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omments2.xml" ContentType="application/vnd.openxmlformats-officedocument.spreadsheetml.comments+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4.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7.xml" ContentType="application/vnd.openxmlformats-officedocument.drawing+xml"/>
  <Override PartName="/xl/comments8.xml" ContentType="application/vnd.openxmlformats-officedocument.spreadsheetml.comments+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8.xml" ContentType="application/vnd.openxmlformats-officedocument.drawing+xml"/>
  <Override PartName="/xl/charts/chart30.xml" ContentType="application/vnd.openxmlformats-officedocument.drawingml.chart+xml"/>
  <Override PartName="/xl/drawings/drawing9.xml" ContentType="application/vnd.openxmlformats-officedocument.drawing+xml"/>
  <Override PartName="/xl/charts/chart3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Override PartName="/xl/charts/colors6.xml" ContentType="application/vnd.ms-office.chartcolorstyle+xml"/>
  <Override PartName="/xl/charts/style6.xml" ContentType="application/vnd.ms-office.chartstyle+xml"/>
  <Override PartName="/xl/charts/colors7.xml" ContentType="application/vnd.ms-office.chartcolorstyle+xml"/>
  <Override PartName="/xl/charts/style7.xml" ContentType="application/vnd.ms-office.chartstyle+xml"/>
  <Override PartName="/xl/charts/colors8.xml" ContentType="application/vnd.ms-office.chartcolorstyle+xml"/>
  <Override PartName="/xl/charts/style8.xml" ContentType="application/vnd.ms-office.chartstyle+xml"/>
  <Override PartName="/xl/charts/colors9.xml" ContentType="application/vnd.ms-office.chartcolorstyle+xml"/>
  <Override PartName="/xl/charts/style9.xml" ContentType="application/vnd.ms-office.chartstyle+xml"/>
  <Override PartName="/xl/charts/colors10.xml" ContentType="application/vnd.ms-office.chartcolorstyle+xml"/>
  <Override PartName="/xl/charts/style10.xml" ContentType="application/vnd.ms-office.chartstyle+xml"/>
  <Override PartName="/xl/charts/colors11.xml" ContentType="application/vnd.ms-office.chartcolorstyle+xml"/>
  <Override PartName="/xl/charts/style11.xml" ContentType="application/vnd.ms-office.chartstyle+xml"/>
  <Override PartName="/xl/charts/colors12.xml" ContentType="application/vnd.ms-office.chartcolorstyle+xml"/>
  <Override PartName="/xl/charts/style12.xml" ContentType="application/vnd.ms-office.chartstyle+xml"/>
  <Override PartName="/xl/charts/colors13.xml" ContentType="application/vnd.ms-office.chartcolorstyle+xml"/>
  <Override PartName="/xl/charts/style13.xml" ContentType="application/vnd.ms-office.chartstyle+xml"/>
  <Override PartName="/xl/charts/colors14.xml" ContentType="application/vnd.ms-office.chartcolorstyle+xml"/>
  <Override PartName="/xl/charts/style14.xml" ContentType="application/vnd.ms-office.chartstyle+xml"/>
  <Override PartName="/xl/charts/colors15.xml" ContentType="application/vnd.ms-office.chartcolorstyle+xml"/>
  <Override PartName="/xl/charts/style15.xml" ContentType="application/vnd.ms-office.chartstyle+xml"/>
  <Override PartName="/xl/charts/colors16.xml" ContentType="application/vnd.ms-office.chartcolorstyle+xml"/>
  <Override PartName="/xl/charts/style16.xml" ContentType="application/vnd.ms-office.chartstyle+xml"/>
  <Override PartName="/xl/charts/colors17.xml" ContentType="application/vnd.ms-office.chartcolorstyle+xml"/>
  <Override PartName="/xl/charts/style17.xml" ContentType="application/vnd.ms-office.chartstyle+xml"/>
  <Override PartName="/xl/charts/colors18.xml" ContentType="application/vnd.ms-office.chartcolorstyle+xml"/>
  <Override PartName="/xl/charts/style18.xml" ContentType="application/vnd.ms-office.chartstyle+xml"/>
  <Override PartName="/xl/charts/colors19.xml" ContentType="application/vnd.ms-office.chartcolorstyle+xml"/>
  <Override PartName="/xl/charts/style19.xml" ContentType="application/vnd.ms-office.chartstyle+xml"/>
  <Override PartName="/xl/charts/colors20.xml" ContentType="application/vnd.ms-office.chartcolorstyle+xml"/>
  <Override PartName="/xl/charts/style20.xml" ContentType="application/vnd.ms-office.chartstyle+xml"/>
  <Override PartName="/xl/charts/colors21.xml" ContentType="application/vnd.ms-office.chartcolorstyle+xml"/>
  <Override PartName="/xl/charts/style21.xml" ContentType="application/vnd.ms-office.chartstyle+xml"/>
  <Override PartName="/xl/charts/colors22.xml" ContentType="application/vnd.ms-office.chartcolorstyle+xml"/>
  <Override PartName="/xl/charts/style22.xml" ContentType="application/vnd.ms-office.chartstyle+xml"/>
  <Override PartName="/xl/charts/colors23.xml" ContentType="application/vnd.ms-office.chartcolorstyle+xml"/>
  <Override PartName="/xl/charts/style23.xml" ContentType="application/vnd.ms-office.chartstyle+xml"/>
  <Override PartName="/xl/charts/colors24.xml" ContentType="application/vnd.ms-office.chartcolorstyle+xml"/>
  <Override PartName="/xl/charts/style24.xml" ContentType="application/vnd.ms-office.chartstyle+xml"/>
  <Override PartName="/xl/charts/colors25.xml" ContentType="application/vnd.ms-office.chartcolorstyle+xml"/>
  <Override PartName="/xl/charts/style25.xml" ContentType="application/vnd.ms-office.chartstyle+xml"/>
  <Override PartName="/xl/charts/colors26.xml" ContentType="application/vnd.ms-office.chartcolorstyle+xml"/>
  <Override PartName="/xl/charts/style26.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defaultThemeVersion="124226"/>
  <bookViews>
    <workbookView xWindow="120" yWindow="690" windowWidth="24915" windowHeight="11535" tabRatio="704"/>
  </bookViews>
  <sheets>
    <sheet name="Notes" sheetId="8" r:id="rId1"/>
    <sheet name="Recovery amounts" sheetId="25" r:id="rId2"/>
    <sheet name="Mapping A" sheetId="42" r:id="rId3"/>
    <sheet name="Mapping B" sheetId="50" r:id="rId4"/>
    <sheet name="Rev Adequacy" sheetId="41" r:id="rId5"/>
    <sheet name="Beneficiary graphs" sheetId="46" r:id="rId6"/>
    <sheet name="Charges to party by investment" sheetId="40" r:id="rId7"/>
    <sheet name="Charges as $M per year" sheetId="38" r:id="rId8"/>
    <sheet name="Charges as $ per MWh" sheetId="39" r:id="rId9"/>
    <sheet name="ACOT" sheetId="44" r:id="rId10"/>
    <sheet name="Connection" sheetId="49" r:id="rId11"/>
    <sheet name="Charges as residential impact" sheetId="30" r:id="rId12"/>
    <sheet name="Deltas" sheetId="37" r:id="rId13"/>
    <sheet name="$M by option and group" sheetId="28" r:id="rId14"/>
    <sheet name="$ per MWh by option and group" sheetId="29" r:id="rId15"/>
    <sheet name="Load factors" sheetId="43" r:id="rId16"/>
    <sheet name="Volumes" sheetId="11" r:id="rId17"/>
  </sheets>
  <externalReferences>
    <externalReference r:id="rId18"/>
  </externalReferences>
  <definedNames>
    <definedName name="_xlnm._FilterDatabase" localSheetId="15" hidden="1">'Load factors'!$L$7:$P$46</definedName>
    <definedName name="_xlnm._FilterDatabase" localSheetId="4" hidden="1">'Rev Adequacy'!$B$6:$H$2860</definedName>
    <definedName name="_xlnm.Print_Area" localSheetId="8">'Charges as $ per MWh'!$B$1:$M$57</definedName>
    <definedName name="_xlnm.Print_Area" localSheetId="6">'Charges to party by investment'!$U$3:$AM$64</definedName>
    <definedName name="_xlnm.Print_Area" localSheetId="2">'Mapping A'!$J$1000:$R$1014</definedName>
    <definedName name="_xlnm.Print_Area" localSheetId="0">Notes!$A$1:$D$36</definedName>
    <definedName name="_xlnm.Print_Area" localSheetId="16">Volumes!$B$1:$I$46</definedName>
  </definedNames>
  <calcPr calcId="145621"/>
</workbook>
</file>

<file path=xl/calcChain.xml><?xml version="1.0" encoding="utf-8"?>
<calcChain xmlns="http://schemas.openxmlformats.org/spreadsheetml/2006/main">
  <c r="I3" i="11" l="1"/>
  <c r="I2" i="11"/>
  <c r="C47" i="11"/>
  <c r="F19" i="11"/>
  <c r="J4" i="39" l="1"/>
  <c r="C4" i="39" s="1"/>
  <c r="A913" i="42"/>
  <c r="A891" i="42"/>
  <c r="A859" i="42"/>
  <c r="A557" i="42"/>
  <c r="A252" i="42"/>
  <c r="A66" i="42"/>
  <c r="P22" i="41"/>
  <c r="I105" i="38" l="1"/>
  <c r="I106" i="38"/>
  <c r="I111" i="38"/>
  <c r="I113" i="38"/>
  <c r="I104" i="38"/>
  <c r="I73" i="38"/>
  <c r="I74" i="38"/>
  <c r="I75" i="38"/>
  <c r="I76" i="38"/>
  <c r="I77" i="38"/>
  <c r="I78" i="38"/>
  <c r="I79" i="38"/>
  <c r="I80" i="38"/>
  <c r="I81" i="38"/>
  <c r="I82" i="38"/>
  <c r="I83" i="38"/>
  <c r="I84" i="38"/>
  <c r="I85" i="38"/>
  <c r="I86" i="38"/>
  <c r="I87" i="38"/>
  <c r="I88" i="38"/>
  <c r="I89" i="38"/>
  <c r="I90" i="38"/>
  <c r="I91" i="38"/>
  <c r="I92" i="38"/>
  <c r="I93" i="38"/>
  <c r="I94" i="38"/>
  <c r="I96" i="38"/>
  <c r="I97" i="38"/>
  <c r="I98" i="38"/>
  <c r="I99" i="38"/>
  <c r="I100" i="38"/>
  <c r="I101" i="38"/>
  <c r="D78" i="38"/>
  <c r="AO66" i="37" l="1"/>
  <c r="AO65" i="37"/>
  <c r="AN66" i="37"/>
  <c r="AN65" i="37"/>
  <c r="AL35" i="37"/>
  <c r="AL36" i="37"/>
  <c r="AL37" i="37"/>
  <c r="AL38" i="37"/>
  <c r="AL39" i="37"/>
  <c r="AL40" i="37"/>
  <c r="AL41" i="37"/>
  <c r="AL42" i="37"/>
  <c r="AL43" i="37"/>
  <c r="AL44" i="37"/>
  <c r="AL45" i="37"/>
  <c r="AL46" i="37"/>
  <c r="AL47" i="37"/>
  <c r="AL48" i="37"/>
  <c r="AL49" i="37"/>
  <c r="AL50" i="37"/>
  <c r="AL51" i="37"/>
  <c r="AL52" i="37"/>
  <c r="AL53" i="37"/>
  <c r="AL54" i="37"/>
  <c r="AL55" i="37"/>
  <c r="AL56" i="37"/>
  <c r="AL57" i="37"/>
  <c r="AL58" i="37"/>
  <c r="AL59" i="37"/>
  <c r="AL60" i="37"/>
  <c r="AL61" i="37"/>
  <c r="AL62" i="37"/>
  <c r="AL34" i="37"/>
  <c r="AM66" i="37"/>
  <c r="AM65" i="37"/>
  <c r="AU50" i="40"/>
  <c r="AU51" i="40"/>
  <c r="AU38" i="40"/>
  <c r="AU39" i="40"/>
  <c r="AI27" i="37" l="1"/>
  <c r="AJ29" i="37"/>
  <c r="AJ33" i="37" l="1"/>
  <c r="AJ62" i="37"/>
  <c r="AJ35" i="37"/>
  <c r="AJ36" i="37"/>
  <c r="AJ37" i="37"/>
  <c r="AJ38" i="37"/>
  <c r="AJ39" i="37"/>
  <c r="AJ40" i="37"/>
  <c r="AJ41" i="37"/>
  <c r="AJ42" i="37"/>
  <c r="AJ43" i="37"/>
  <c r="AJ44" i="37"/>
  <c r="AJ45" i="37"/>
  <c r="AJ46" i="37"/>
  <c r="AJ47" i="37"/>
  <c r="AJ48" i="37"/>
  <c r="AJ49" i="37"/>
  <c r="AJ50" i="37"/>
  <c r="AJ51" i="37"/>
  <c r="AJ52" i="37"/>
  <c r="AJ53" i="37"/>
  <c r="AJ54" i="37"/>
  <c r="AJ55" i="37"/>
  <c r="AJ56" i="37"/>
  <c r="AJ57" i="37"/>
  <c r="AJ58" i="37"/>
  <c r="AJ59" i="37"/>
  <c r="AJ60" i="37"/>
  <c r="AJ61" i="37"/>
  <c r="AJ34" i="37"/>
  <c r="B36" i="46" l="1"/>
  <c r="B37" i="46"/>
  <c r="B38" i="46"/>
  <c r="B39" i="46"/>
  <c r="B40" i="46"/>
  <c r="B41" i="46"/>
  <c r="B42" i="46"/>
  <c r="B43" i="46"/>
  <c r="B44" i="46"/>
  <c r="B45" i="46"/>
  <c r="B48" i="46"/>
  <c r="B49" i="46"/>
  <c r="B50" i="46"/>
  <c r="B51" i="46"/>
  <c r="B52" i="46"/>
  <c r="B53" i="46"/>
  <c r="B54" i="46"/>
  <c r="B55" i="46"/>
  <c r="B56" i="46"/>
  <c r="B57" i="46"/>
  <c r="B58" i="46"/>
  <c r="B6" i="46"/>
  <c r="B7" i="46"/>
  <c r="B8" i="46"/>
  <c r="B9" i="46"/>
  <c r="B10" i="46"/>
  <c r="B11" i="46"/>
  <c r="B12" i="46"/>
  <c r="B13" i="46"/>
  <c r="B14" i="46"/>
  <c r="B15" i="46"/>
  <c r="B16" i="46"/>
  <c r="B17" i="46"/>
  <c r="B18" i="46"/>
  <c r="B19" i="46"/>
  <c r="B20" i="46"/>
  <c r="B21" i="46"/>
  <c r="B22" i="46"/>
  <c r="B23" i="46"/>
  <c r="B24" i="46"/>
  <c r="B25" i="46"/>
  <c r="B26" i="46"/>
  <c r="B27" i="46"/>
  <c r="B28" i="46"/>
  <c r="B29" i="46"/>
  <c r="B30" i="46"/>
  <c r="B31" i="46"/>
  <c r="B32" i="46"/>
  <c r="B33" i="46"/>
  <c r="B5" i="46"/>
  <c r="K7" i="43"/>
  <c r="C59" i="38"/>
  <c r="F54" i="46" l="1"/>
  <c r="G54" i="46"/>
  <c r="H54" i="46"/>
  <c r="I54" i="46"/>
  <c r="J54" i="46"/>
  <c r="K54" i="46"/>
  <c r="E54" i="46"/>
  <c r="C35" i="25" l="1"/>
  <c r="AL102" i="40" l="1"/>
  <c r="T5" i="41"/>
  <c r="U5" i="41"/>
  <c r="V5" i="41"/>
  <c r="W5" i="41"/>
  <c r="X5" i="41"/>
  <c r="Y5" i="41"/>
  <c r="Q5" i="41"/>
  <c r="R5" i="41"/>
  <c r="S5" i="41"/>
  <c r="S9" i="41" s="1"/>
  <c r="P5" i="41"/>
  <c r="O5" i="41"/>
  <c r="Z5" i="40" l="1"/>
  <c r="BE119" i="40"/>
  <c r="BF119" i="40"/>
  <c r="BG119" i="40"/>
  <c r="BE120" i="40"/>
  <c r="BF120" i="40"/>
  <c r="BG120" i="40"/>
  <c r="BB119" i="40"/>
  <c r="BB71" i="40"/>
  <c r="BE71" i="40"/>
  <c r="BF71" i="40"/>
  <c r="BG71" i="40"/>
  <c r="BB72" i="40"/>
  <c r="BE72" i="40"/>
  <c r="BF72" i="40"/>
  <c r="BG72" i="40"/>
  <c r="BB73" i="40"/>
  <c r="BE73" i="40"/>
  <c r="BF73" i="40"/>
  <c r="BG73" i="40"/>
  <c r="BB74" i="40"/>
  <c r="BE74" i="40"/>
  <c r="BF74" i="40"/>
  <c r="BG74" i="40"/>
  <c r="BB75" i="40"/>
  <c r="BE75" i="40"/>
  <c r="BF75" i="40"/>
  <c r="BG75" i="40"/>
  <c r="BB76" i="40"/>
  <c r="BE76" i="40"/>
  <c r="BF76" i="40"/>
  <c r="BG76" i="40"/>
  <c r="BB77" i="40"/>
  <c r="BE77" i="40"/>
  <c r="BF77" i="40"/>
  <c r="BG77" i="40"/>
  <c r="BB78" i="40"/>
  <c r="BE78" i="40"/>
  <c r="BF78" i="40"/>
  <c r="BG78" i="40"/>
  <c r="BB79" i="40"/>
  <c r="BE79" i="40"/>
  <c r="BF79" i="40"/>
  <c r="BG79" i="40"/>
  <c r="BB80" i="40"/>
  <c r="BE80" i="40"/>
  <c r="BF80" i="40"/>
  <c r="BG80" i="40"/>
  <c r="BB81" i="40"/>
  <c r="BE81" i="40"/>
  <c r="BF81" i="40"/>
  <c r="BG81" i="40"/>
  <c r="BB82" i="40"/>
  <c r="BE82" i="40"/>
  <c r="BF82" i="40"/>
  <c r="BG82" i="40"/>
  <c r="BB83" i="40"/>
  <c r="BE83" i="40"/>
  <c r="BF83" i="40"/>
  <c r="BG83" i="40"/>
  <c r="BB84" i="40"/>
  <c r="BE84" i="40"/>
  <c r="BF84" i="40"/>
  <c r="BG84" i="40"/>
  <c r="BB85" i="40"/>
  <c r="BE85" i="40"/>
  <c r="BF85" i="40"/>
  <c r="BG85" i="40"/>
  <c r="BB86" i="40"/>
  <c r="BE86" i="40"/>
  <c r="BF86" i="40"/>
  <c r="BG86" i="40"/>
  <c r="BB87" i="40"/>
  <c r="BE87" i="40"/>
  <c r="BF87" i="40"/>
  <c r="BG87" i="40"/>
  <c r="BB88" i="40"/>
  <c r="BE88" i="40"/>
  <c r="BF88" i="40"/>
  <c r="BG88" i="40"/>
  <c r="BB89" i="40"/>
  <c r="BE89" i="40"/>
  <c r="BF89" i="40"/>
  <c r="BG89" i="40"/>
  <c r="BB90" i="40"/>
  <c r="BE90" i="40"/>
  <c r="BF90" i="40"/>
  <c r="BG90" i="40"/>
  <c r="BB91" i="40"/>
  <c r="BE91" i="40"/>
  <c r="BF91" i="40"/>
  <c r="BG91" i="40"/>
  <c r="BB92" i="40"/>
  <c r="BE92" i="40"/>
  <c r="BF92" i="40"/>
  <c r="BG92" i="40"/>
  <c r="BB93" i="40"/>
  <c r="BE93" i="40"/>
  <c r="BF93" i="40"/>
  <c r="BG93" i="40"/>
  <c r="BB94" i="40"/>
  <c r="BE94" i="40"/>
  <c r="BF94" i="40"/>
  <c r="BG94" i="40"/>
  <c r="BB95" i="40"/>
  <c r="BE95" i="40"/>
  <c r="BF95" i="40"/>
  <c r="BG95" i="40"/>
  <c r="BB96" i="40"/>
  <c r="BE96" i="40"/>
  <c r="BF96" i="40"/>
  <c r="BG96" i="40"/>
  <c r="BB97" i="40"/>
  <c r="BE97" i="40"/>
  <c r="BF97" i="40"/>
  <c r="BG97" i="40"/>
  <c r="BB98" i="40"/>
  <c r="BE98" i="40"/>
  <c r="BF98" i="40"/>
  <c r="BG98" i="40"/>
  <c r="BB99" i="40"/>
  <c r="BE99" i="40"/>
  <c r="BF99" i="40"/>
  <c r="BG99" i="40"/>
  <c r="BB100" i="40"/>
  <c r="BE100" i="40"/>
  <c r="BF100" i="40"/>
  <c r="BG100" i="40"/>
  <c r="BB101" i="40"/>
  <c r="BE101" i="40"/>
  <c r="BF101" i="40"/>
  <c r="BG101" i="40"/>
  <c r="BB102" i="40"/>
  <c r="BE102" i="40"/>
  <c r="BF102" i="40"/>
  <c r="BG102" i="40"/>
  <c r="BB103" i="40"/>
  <c r="BE103" i="40"/>
  <c r="BF103" i="40"/>
  <c r="BG103" i="40"/>
  <c r="BB104" i="40"/>
  <c r="BE104" i="40"/>
  <c r="BF104" i="40"/>
  <c r="BG104" i="40"/>
  <c r="BB105" i="40"/>
  <c r="BE105" i="40"/>
  <c r="BF105" i="40"/>
  <c r="BG105" i="40"/>
  <c r="BB106" i="40"/>
  <c r="BE106" i="40"/>
  <c r="BF106" i="40"/>
  <c r="BG106" i="40"/>
  <c r="BB107" i="40"/>
  <c r="BE107" i="40"/>
  <c r="BF107" i="40"/>
  <c r="BG107" i="40"/>
  <c r="BB108" i="40"/>
  <c r="BE108" i="40"/>
  <c r="BF108" i="40"/>
  <c r="BG108" i="40"/>
  <c r="BB109" i="40"/>
  <c r="BE109" i="40"/>
  <c r="BF109" i="40"/>
  <c r="BG109" i="40"/>
  <c r="BB110" i="40"/>
  <c r="BE110" i="40"/>
  <c r="BF110" i="40"/>
  <c r="BG110" i="40"/>
  <c r="BB111" i="40"/>
  <c r="BE111" i="40"/>
  <c r="BF111" i="40"/>
  <c r="BG111" i="40"/>
  <c r="BB112" i="40"/>
  <c r="BE112" i="40"/>
  <c r="BF112" i="40"/>
  <c r="BG112" i="40"/>
  <c r="BB113" i="40"/>
  <c r="BE113" i="40"/>
  <c r="BF113" i="40"/>
  <c r="BG113" i="40"/>
  <c r="BB114" i="40"/>
  <c r="BE114" i="40"/>
  <c r="BF114" i="40"/>
  <c r="BG114" i="40"/>
  <c r="BB115" i="40"/>
  <c r="BE115" i="40"/>
  <c r="BF115" i="40"/>
  <c r="BG115" i="40"/>
  <c r="BB116" i="40"/>
  <c r="BE116" i="40"/>
  <c r="BF116" i="40"/>
  <c r="BG116" i="40"/>
  <c r="BB117" i="40"/>
  <c r="BE117" i="40"/>
  <c r="BF117" i="40"/>
  <c r="BG117" i="40"/>
  <c r="BB118" i="40"/>
  <c r="BE118" i="40"/>
  <c r="BF118" i="40"/>
  <c r="BG118" i="40"/>
  <c r="BB120" i="40"/>
  <c r="BB121" i="40"/>
  <c r="BE121" i="40"/>
  <c r="BF121" i="40"/>
  <c r="BG121" i="40"/>
  <c r="BB122" i="40"/>
  <c r="BE122" i="40"/>
  <c r="BF122" i="40"/>
  <c r="BG122" i="40"/>
  <c r="BB123" i="40"/>
  <c r="BE123" i="40"/>
  <c r="BF123" i="40"/>
  <c r="BG123" i="40"/>
  <c r="BE70" i="40"/>
  <c r="BF70" i="40"/>
  <c r="BG70" i="40"/>
  <c r="BB70" i="40"/>
  <c r="E6" i="46"/>
  <c r="F6" i="46"/>
  <c r="G6" i="46"/>
  <c r="H6" i="46"/>
  <c r="I6" i="46"/>
  <c r="J6" i="46"/>
  <c r="K6" i="46"/>
  <c r="E7" i="46"/>
  <c r="F7" i="46"/>
  <c r="G7" i="46"/>
  <c r="H7" i="46"/>
  <c r="I7" i="46"/>
  <c r="J7" i="46"/>
  <c r="K7" i="46"/>
  <c r="E8" i="46"/>
  <c r="F8" i="46"/>
  <c r="G8" i="46"/>
  <c r="H8" i="46"/>
  <c r="I8" i="46"/>
  <c r="J8" i="46"/>
  <c r="K8" i="46"/>
  <c r="E9" i="46"/>
  <c r="F9" i="46"/>
  <c r="G9" i="46"/>
  <c r="H9" i="46"/>
  <c r="I9" i="46"/>
  <c r="J9" i="46"/>
  <c r="K9" i="46"/>
  <c r="E10" i="46"/>
  <c r="F10" i="46"/>
  <c r="G10" i="46"/>
  <c r="H10" i="46"/>
  <c r="I10" i="46"/>
  <c r="J10" i="46"/>
  <c r="K10" i="46"/>
  <c r="E11" i="46"/>
  <c r="F11" i="46"/>
  <c r="G11" i="46"/>
  <c r="H11" i="46"/>
  <c r="I11" i="46"/>
  <c r="J11" i="46"/>
  <c r="K11" i="46"/>
  <c r="E12" i="46"/>
  <c r="F12" i="46"/>
  <c r="G12" i="46"/>
  <c r="H12" i="46"/>
  <c r="I12" i="46"/>
  <c r="J12" i="46"/>
  <c r="K12" i="46"/>
  <c r="E13" i="46"/>
  <c r="F13" i="46"/>
  <c r="G13" i="46"/>
  <c r="H13" i="46"/>
  <c r="I13" i="46"/>
  <c r="J13" i="46"/>
  <c r="K13" i="46"/>
  <c r="E14" i="46"/>
  <c r="F14" i="46"/>
  <c r="G14" i="46"/>
  <c r="H14" i="46"/>
  <c r="I14" i="46"/>
  <c r="J14" i="46"/>
  <c r="K14" i="46"/>
  <c r="E15" i="46"/>
  <c r="F15" i="46"/>
  <c r="G15" i="46"/>
  <c r="H15" i="46"/>
  <c r="I15" i="46"/>
  <c r="J15" i="46"/>
  <c r="K15" i="46"/>
  <c r="E16" i="46"/>
  <c r="F16" i="46"/>
  <c r="G16" i="46"/>
  <c r="H16" i="46"/>
  <c r="I16" i="46"/>
  <c r="J16" i="46"/>
  <c r="K16" i="46"/>
  <c r="E17" i="46"/>
  <c r="F17" i="46"/>
  <c r="G17" i="46"/>
  <c r="H17" i="46"/>
  <c r="I17" i="46"/>
  <c r="J17" i="46"/>
  <c r="K17" i="46"/>
  <c r="E18" i="46"/>
  <c r="F18" i="46"/>
  <c r="G18" i="46"/>
  <c r="H18" i="46"/>
  <c r="I18" i="46"/>
  <c r="J18" i="46"/>
  <c r="K18" i="46"/>
  <c r="E19" i="46"/>
  <c r="F19" i="46"/>
  <c r="G19" i="46"/>
  <c r="H19" i="46"/>
  <c r="I19" i="46"/>
  <c r="J19" i="46"/>
  <c r="K19" i="46"/>
  <c r="E20" i="46"/>
  <c r="F20" i="46"/>
  <c r="G20" i="46"/>
  <c r="H20" i="46"/>
  <c r="I20" i="46"/>
  <c r="J20" i="46"/>
  <c r="K20" i="46"/>
  <c r="E21" i="46"/>
  <c r="F21" i="46"/>
  <c r="G21" i="46"/>
  <c r="H21" i="46"/>
  <c r="I21" i="46"/>
  <c r="J21" i="46"/>
  <c r="K21" i="46"/>
  <c r="E22" i="46"/>
  <c r="F22" i="46"/>
  <c r="G22" i="46"/>
  <c r="H22" i="46"/>
  <c r="I22" i="46"/>
  <c r="J22" i="46"/>
  <c r="K22" i="46"/>
  <c r="E23" i="46"/>
  <c r="F23" i="46"/>
  <c r="G23" i="46"/>
  <c r="H23" i="46"/>
  <c r="I23" i="46"/>
  <c r="J23" i="46"/>
  <c r="K23" i="46"/>
  <c r="E24" i="46"/>
  <c r="F24" i="46"/>
  <c r="G24" i="46"/>
  <c r="H24" i="46"/>
  <c r="I24" i="46"/>
  <c r="J24" i="46"/>
  <c r="K24" i="46"/>
  <c r="E25" i="46"/>
  <c r="F25" i="46"/>
  <c r="G25" i="46"/>
  <c r="H25" i="46"/>
  <c r="I25" i="46"/>
  <c r="J25" i="46"/>
  <c r="K25" i="46"/>
  <c r="E26" i="46"/>
  <c r="F26" i="46"/>
  <c r="G26" i="46"/>
  <c r="H26" i="46"/>
  <c r="I26" i="46"/>
  <c r="J26" i="46"/>
  <c r="K26" i="46"/>
  <c r="E27" i="46"/>
  <c r="F27" i="46"/>
  <c r="G27" i="46"/>
  <c r="H27" i="46"/>
  <c r="I27" i="46"/>
  <c r="J27" i="46"/>
  <c r="K27" i="46"/>
  <c r="E28" i="46"/>
  <c r="F28" i="46"/>
  <c r="G28" i="46"/>
  <c r="H28" i="46"/>
  <c r="I28" i="46"/>
  <c r="J28" i="46"/>
  <c r="K28" i="46"/>
  <c r="E29" i="46"/>
  <c r="F29" i="46"/>
  <c r="G29" i="46"/>
  <c r="H29" i="46"/>
  <c r="I29" i="46"/>
  <c r="J29" i="46"/>
  <c r="K29" i="46"/>
  <c r="E30" i="46"/>
  <c r="F30" i="46"/>
  <c r="G30" i="46"/>
  <c r="H30" i="46"/>
  <c r="I30" i="46"/>
  <c r="J30" i="46"/>
  <c r="K30" i="46"/>
  <c r="E31" i="46"/>
  <c r="F31" i="46"/>
  <c r="G31" i="46"/>
  <c r="H31" i="46"/>
  <c r="I31" i="46"/>
  <c r="J31" i="46"/>
  <c r="K31" i="46"/>
  <c r="E32" i="46"/>
  <c r="F32" i="46"/>
  <c r="G32" i="46"/>
  <c r="H32" i="46"/>
  <c r="I32" i="46"/>
  <c r="J32" i="46"/>
  <c r="K32" i="46"/>
  <c r="E33" i="46"/>
  <c r="F33" i="46"/>
  <c r="G33" i="46"/>
  <c r="H33" i="46"/>
  <c r="I33" i="46"/>
  <c r="J33" i="46"/>
  <c r="K33" i="46"/>
  <c r="E34" i="46"/>
  <c r="F34" i="46"/>
  <c r="G34" i="46"/>
  <c r="H34" i="46"/>
  <c r="I34" i="46"/>
  <c r="J34" i="46"/>
  <c r="K34" i="46"/>
  <c r="E35" i="46"/>
  <c r="F35" i="46"/>
  <c r="G35" i="46"/>
  <c r="H35" i="46"/>
  <c r="I35" i="46"/>
  <c r="J35" i="46"/>
  <c r="K35" i="46"/>
  <c r="E36" i="46"/>
  <c r="F36" i="46"/>
  <c r="G36" i="46"/>
  <c r="H36" i="46"/>
  <c r="I36" i="46"/>
  <c r="J36" i="46"/>
  <c r="K36" i="46"/>
  <c r="E37" i="46"/>
  <c r="F37" i="46"/>
  <c r="G37" i="46"/>
  <c r="H37" i="46"/>
  <c r="I37" i="46"/>
  <c r="J37" i="46"/>
  <c r="K37" i="46"/>
  <c r="E38" i="46"/>
  <c r="F38" i="46"/>
  <c r="G38" i="46"/>
  <c r="H38" i="46"/>
  <c r="I38" i="46"/>
  <c r="J38" i="46"/>
  <c r="K38" i="46"/>
  <c r="E39" i="46"/>
  <c r="F39" i="46"/>
  <c r="G39" i="46"/>
  <c r="H39" i="46"/>
  <c r="I39" i="46"/>
  <c r="J39" i="46"/>
  <c r="K39" i="46"/>
  <c r="E40" i="46"/>
  <c r="F40" i="46"/>
  <c r="G40" i="46"/>
  <c r="H40" i="46"/>
  <c r="I40" i="46"/>
  <c r="J40" i="46"/>
  <c r="K40" i="46"/>
  <c r="E41" i="46"/>
  <c r="F41" i="46"/>
  <c r="G41" i="46"/>
  <c r="H41" i="46"/>
  <c r="I41" i="46"/>
  <c r="J41" i="46"/>
  <c r="K41" i="46"/>
  <c r="E42" i="46"/>
  <c r="F42" i="46"/>
  <c r="G42" i="46"/>
  <c r="H42" i="46"/>
  <c r="I42" i="46"/>
  <c r="J42" i="46"/>
  <c r="K42" i="46"/>
  <c r="E43" i="46"/>
  <c r="F43" i="46"/>
  <c r="G43" i="46"/>
  <c r="H43" i="46"/>
  <c r="I43" i="46"/>
  <c r="J43" i="46"/>
  <c r="K43" i="46"/>
  <c r="E44" i="46"/>
  <c r="F44" i="46"/>
  <c r="G44" i="46"/>
  <c r="H44" i="46"/>
  <c r="I44" i="46"/>
  <c r="J44" i="46"/>
  <c r="K44" i="46"/>
  <c r="E45" i="46"/>
  <c r="F45" i="46"/>
  <c r="G45" i="46"/>
  <c r="H45" i="46"/>
  <c r="I45" i="46"/>
  <c r="J45" i="46"/>
  <c r="K45" i="46"/>
  <c r="E46" i="46"/>
  <c r="F46" i="46"/>
  <c r="G46" i="46"/>
  <c r="H46" i="46"/>
  <c r="I46" i="46"/>
  <c r="J46" i="46"/>
  <c r="K46" i="46"/>
  <c r="E47" i="46"/>
  <c r="F47" i="46"/>
  <c r="G47" i="46"/>
  <c r="H47" i="46"/>
  <c r="I47" i="46"/>
  <c r="J47" i="46"/>
  <c r="K47" i="46"/>
  <c r="E48" i="46"/>
  <c r="F48" i="46"/>
  <c r="G48" i="46"/>
  <c r="H48" i="46"/>
  <c r="I48" i="46"/>
  <c r="J48" i="46"/>
  <c r="K48" i="46"/>
  <c r="E49" i="46"/>
  <c r="F49" i="46"/>
  <c r="G49" i="46"/>
  <c r="H49" i="46"/>
  <c r="I49" i="46"/>
  <c r="J49" i="46"/>
  <c r="K49" i="46"/>
  <c r="E50" i="46"/>
  <c r="F50" i="46"/>
  <c r="G50" i="46"/>
  <c r="H50" i="46"/>
  <c r="I50" i="46"/>
  <c r="J50" i="46"/>
  <c r="K50" i="46"/>
  <c r="E51" i="46"/>
  <c r="F51" i="46"/>
  <c r="G51" i="46"/>
  <c r="H51" i="46"/>
  <c r="I51" i="46"/>
  <c r="J51" i="46"/>
  <c r="K51" i="46"/>
  <c r="E52" i="46"/>
  <c r="F52" i="46"/>
  <c r="G52" i="46"/>
  <c r="H52" i="46"/>
  <c r="I52" i="46"/>
  <c r="J52" i="46"/>
  <c r="K52" i="46"/>
  <c r="E53" i="46"/>
  <c r="F53" i="46"/>
  <c r="G53" i="46"/>
  <c r="H53" i="46"/>
  <c r="I53" i="46"/>
  <c r="J53" i="46"/>
  <c r="K53" i="46"/>
  <c r="E55" i="46"/>
  <c r="F55" i="46"/>
  <c r="G55" i="46"/>
  <c r="H55" i="46"/>
  <c r="I55" i="46"/>
  <c r="J55" i="46"/>
  <c r="K55" i="46"/>
  <c r="E56" i="46"/>
  <c r="F56" i="46"/>
  <c r="G56" i="46"/>
  <c r="H56" i="46"/>
  <c r="I56" i="46"/>
  <c r="J56" i="46"/>
  <c r="K56" i="46"/>
  <c r="E57" i="46"/>
  <c r="F57" i="46"/>
  <c r="G57" i="46"/>
  <c r="H57" i="46"/>
  <c r="I57" i="46"/>
  <c r="J57" i="46"/>
  <c r="K57" i="46"/>
  <c r="E58" i="46"/>
  <c r="F58" i="46"/>
  <c r="G58" i="46"/>
  <c r="H58" i="46"/>
  <c r="I58" i="46"/>
  <c r="J58" i="46"/>
  <c r="K58" i="46"/>
  <c r="F5" i="46"/>
  <c r="G5" i="46"/>
  <c r="H5" i="46"/>
  <c r="I5" i="46"/>
  <c r="J5" i="46"/>
  <c r="K5" i="46"/>
  <c r="E5" i="46"/>
  <c r="I14" i="25"/>
  <c r="I13" i="25"/>
  <c r="F13" i="25"/>
  <c r="AJ57" i="40" l="1"/>
  <c r="AJ58" i="40"/>
  <c r="AJ59" i="40"/>
  <c r="AJ60" i="40"/>
  <c r="AJ61" i="40"/>
  <c r="AJ62" i="40"/>
  <c r="AJ56" i="40"/>
  <c r="AJ42" i="40"/>
  <c r="AJ43" i="40"/>
  <c r="AJ44" i="40"/>
  <c r="AJ45" i="40"/>
  <c r="AJ46" i="40"/>
  <c r="AJ47" i="40"/>
  <c r="AJ48" i="40"/>
  <c r="AJ49" i="40"/>
  <c r="AJ52" i="40"/>
  <c r="AJ53" i="40"/>
  <c r="AJ54" i="40"/>
  <c r="AJ55" i="40"/>
  <c r="AJ40" i="40"/>
  <c r="AJ41" i="40"/>
  <c r="AJ10" i="40"/>
  <c r="AJ11" i="40"/>
  <c r="AJ12" i="40"/>
  <c r="AJ13" i="40"/>
  <c r="AJ14" i="40"/>
  <c r="AJ15" i="40"/>
  <c r="AJ16" i="40"/>
  <c r="AJ17" i="40"/>
  <c r="AJ18" i="40"/>
  <c r="AJ19" i="40"/>
  <c r="AJ20" i="40"/>
  <c r="AJ21" i="40"/>
  <c r="AJ22" i="40"/>
  <c r="AJ23" i="40"/>
  <c r="AJ24" i="40"/>
  <c r="AJ25" i="40"/>
  <c r="AJ26" i="40"/>
  <c r="AJ27" i="40"/>
  <c r="AJ28" i="40"/>
  <c r="AJ29" i="40"/>
  <c r="AJ30" i="40"/>
  <c r="AJ31" i="40"/>
  <c r="AJ32" i="40"/>
  <c r="AJ33" i="40"/>
  <c r="AJ34" i="40"/>
  <c r="AJ35" i="40"/>
  <c r="AJ36" i="40"/>
  <c r="AJ37" i="40"/>
  <c r="AJ9" i="40"/>
  <c r="K8" i="43"/>
  <c r="K9" i="43"/>
  <c r="K10" i="43"/>
  <c r="K11" i="43"/>
  <c r="K12" i="43"/>
  <c r="K13" i="43"/>
  <c r="K14" i="43"/>
  <c r="K15" i="43"/>
  <c r="K16" i="43"/>
  <c r="K17" i="43"/>
  <c r="K18" i="43"/>
  <c r="K19" i="43"/>
  <c r="K20" i="43"/>
  <c r="K21" i="43"/>
  <c r="K22" i="43"/>
  <c r="K23" i="43"/>
  <c r="K24" i="43"/>
  <c r="K25" i="43"/>
  <c r="K26" i="43"/>
  <c r="K27" i="43"/>
  <c r="K28" i="43"/>
  <c r="K29" i="43"/>
  <c r="K30" i="43"/>
  <c r="K31" i="43"/>
  <c r="K32" i="43"/>
  <c r="K33" i="43"/>
  <c r="K34" i="43"/>
  <c r="K35" i="43"/>
  <c r="K36" i="43"/>
  <c r="K37" i="43"/>
  <c r="K38" i="43"/>
  <c r="K39" i="43"/>
  <c r="K40" i="43"/>
  <c r="K41" i="43"/>
  <c r="K42" i="43"/>
  <c r="K43" i="43"/>
  <c r="K44" i="43"/>
  <c r="K45" i="43"/>
  <c r="K46" i="43"/>
  <c r="G7" i="43"/>
  <c r="G8" i="43"/>
  <c r="G42" i="43"/>
  <c r="C7" i="28"/>
  <c r="C6" i="28"/>
  <c r="C10" i="28"/>
  <c r="C8" i="28" s="1"/>
  <c r="C9" i="28"/>
  <c r="C5" i="28"/>
  <c r="AY38" i="40"/>
  <c r="AY39" i="40"/>
  <c r="AY50" i="40"/>
  <c r="AY51" i="40"/>
  <c r="CB7" i="40" l="1"/>
  <c r="E120" i="38" l="1"/>
  <c r="E121" i="38"/>
  <c r="D120" i="38"/>
  <c r="D121" i="38"/>
  <c r="D74" i="38" l="1"/>
  <c r="E74" i="38" s="1"/>
  <c r="D75" i="38"/>
  <c r="E75" i="38" s="1"/>
  <c r="D76" i="38"/>
  <c r="E76" i="38" s="1"/>
  <c r="D77" i="38"/>
  <c r="E77" i="38" s="1"/>
  <c r="I116" i="38" s="1"/>
  <c r="E78" i="38"/>
  <c r="E79" i="38"/>
  <c r="D80" i="38"/>
  <c r="E80" i="38" s="1"/>
  <c r="D81" i="38"/>
  <c r="E81" i="38" s="1"/>
  <c r="I117" i="38" s="1"/>
  <c r="D82" i="38"/>
  <c r="E82" i="38" s="1"/>
  <c r="D83" i="38"/>
  <c r="E83" i="38" s="1"/>
  <c r="D84" i="38"/>
  <c r="E84" i="38" s="1"/>
  <c r="D85" i="38"/>
  <c r="E85" i="38" s="1"/>
  <c r="D86" i="38"/>
  <c r="E86" i="38" s="1"/>
  <c r="D87" i="38"/>
  <c r="E87" i="38" s="1"/>
  <c r="D88" i="38"/>
  <c r="E88" i="38" s="1"/>
  <c r="D89" i="38"/>
  <c r="E89" i="38" s="1"/>
  <c r="I118" i="38" s="1"/>
  <c r="D90" i="38"/>
  <c r="E90" i="38" s="1"/>
  <c r="D91" i="38"/>
  <c r="E91" i="38" s="1"/>
  <c r="D92" i="38"/>
  <c r="E92" i="38" s="1"/>
  <c r="D93" i="38"/>
  <c r="E93" i="38" s="1"/>
  <c r="D94" i="38"/>
  <c r="E94" i="38" s="1"/>
  <c r="I119" i="38" s="1"/>
  <c r="D95" i="38"/>
  <c r="E95" i="38" s="1"/>
  <c r="D96" i="38"/>
  <c r="E96" i="38" s="1"/>
  <c r="D97" i="38"/>
  <c r="E97" i="38" s="1"/>
  <c r="D98" i="38"/>
  <c r="E98" i="38" s="1"/>
  <c r="I121" i="38" s="1"/>
  <c r="D99" i="38"/>
  <c r="E99" i="38" s="1"/>
  <c r="D100" i="38"/>
  <c r="E100" i="38" s="1"/>
  <c r="D101" i="38"/>
  <c r="D102" i="38"/>
  <c r="D103" i="38"/>
  <c r="E103" i="38" s="1"/>
  <c r="I122" i="38" s="1"/>
  <c r="D104" i="38"/>
  <c r="E104" i="38" s="1"/>
  <c r="D105" i="38"/>
  <c r="E105" i="38" s="1"/>
  <c r="I123" i="38" s="1"/>
  <c r="D106" i="38"/>
  <c r="E106" i="38" s="1"/>
  <c r="D107" i="38"/>
  <c r="E107" i="38" s="1"/>
  <c r="I124" i="38" s="1"/>
  <c r="D108" i="38"/>
  <c r="E108" i="38" s="1"/>
  <c r="I125" i="38" s="1"/>
  <c r="D109" i="38"/>
  <c r="E109" i="38" s="1"/>
  <c r="D110" i="38"/>
  <c r="E110" i="38" s="1"/>
  <c r="D111" i="38"/>
  <c r="E111" i="38" s="1"/>
  <c r="D112" i="38"/>
  <c r="E112" i="38" s="1"/>
  <c r="I95" i="38" s="1"/>
  <c r="D113" i="38"/>
  <c r="E113" i="38" s="1"/>
  <c r="D114" i="38"/>
  <c r="E114" i="38" s="1"/>
  <c r="D115" i="38"/>
  <c r="E115" i="38" s="1"/>
  <c r="D116" i="38"/>
  <c r="E116" i="38" s="1"/>
  <c r="D117" i="38"/>
  <c r="E117" i="38" s="1"/>
  <c r="D118" i="38"/>
  <c r="E118" i="38" s="1"/>
  <c r="D119" i="38"/>
  <c r="E119" i="38" s="1"/>
  <c r="I126" i="38" s="1"/>
  <c r="D73" i="38"/>
  <c r="E73" i="38" s="1"/>
  <c r="AA37" i="49"/>
  <c r="BI120" i="40" l="1"/>
  <c r="BI121" i="40"/>
  <c r="BI122" i="40"/>
  <c r="BI123" i="40"/>
  <c r="BI101" i="40"/>
  <c r="BI102" i="40"/>
  <c r="BI103" i="40"/>
  <c r="BI104" i="40"/>
  <c r="BI105" i="40"/>
  <c r="BI106" i="40"/>
  <c r="BI107" i="40"/>
  <c r="BI108" i="40"/>
  <c r="BI109" i="40"/>
  <c r="BI110" i="40"/>
  <c r="BI113" i="40"/>
  <c r="BI114" i="40"/>
  <c r="BI115" i="40"/>
  <c r="BI116" i="40"/>
  <c r="BI117" i="40"/>
  <c r="BI118" i="40"/>
  <c r="BI119" i="40"/>
  <c r="BI71" i="40"/>
  <c r="BI72" i="40"/>
  <c r="BI73" i="40"/>
  <c r="BI74" i="40"/>
  <c r="BI75" i="40"/>
  <c r="BI76" i="40"/>
  <c r="BI77" i="40"/>
  <c r="BI78" i="40"/>
  <c r="BI79" i="40"/>
  <c r="BI80" i="40"/>
  <c r="BI81" i="40"/>
  <c r="BI82" i="40"/>
  <c r="BI83" i="40"/>
  <c r="BI84" i="40"/>
  <c r="BI85" i="40"/>
  <c r="BI86" i="40"/>
  <c r="BI87" i="40"/>
  <c r="BI88" i="40"/>
  <c r="BI89" i="40"/>
  <c r="BI90" i="40"/>
  <c r="BI91" i="40"/>
  <c r="BI92" i="40"/>
  <c r="BI93" i="40"/>
  <c r="BI94" i="40"/>
  <c r="BI95" i="40"/>
  <c r="BI96" i="40"/>
  <c r="BI97" i="40"/>
  <c r="BI98" i="40"/>
  <c r="BI70" i="40"/>
  <c r="A35" i="39"/>
  <c r="A36" i="39"/>
  <c r="A37" i="39"/>
  <c r="A38" i="39"/>
  <c r="A39" i="39"/>
  <c r="A40" i="39"/>
  <c r="A41" i="39"/>
  <c r="A42" i="39"/>
  <c r="A43" i="39"/>
  <c r="A44" i="39"/>
  <c r="A47" i="39"/>
  <c r="A48" i="39"/>
  <c r="A49" i="39"/>
  <c r="A50" i="39"/>
  <c r="A51" i="39"/>
  <c r="A52" i="39"/>
  <c r="A53" i="39"/>
  <c r="A54" i="39"/>
  <c r="A55" i="39"/>
  <c r="A56" i="39"/>
  <c r="A57" i="39"/>
  <c r="A5" i="39"/>
  <c r="A6" i="39"/>
  <c r="A7" i="39"/>
  <c r="A8" i="39"/>
  <c r="A9" i="39"/>
  <c r="A10" i="39"/>
  <c r="A11" i="39"/>
  <c r="A12" i="39"/>
  <c r="A13" i="39"/>
  <c r="A14" i="39"/>
  <c r="A15" i="39"/>
  <c r="A16" i="39"/>
  <c r="A17" i="39"/>
  <c r="A18" i="39"/>
  <c r="A19" i="39"/>
  <c r="A20" i="39"/>
  <c r="A21" i="39"/>
  <c r="A22" i="39"/>
  <c r="A23" i="39"/>
  <c r="A24" i="39"/>
  <c r="A25" i="39"/>
  <c r="A26" i="39"/>
  <c r="A27" i="39"/>
  <c r="A28" i="39"/>
  <c r="A29" i="39"/>
  <c r="A30" i="39"/>
  <c r="A31" i="39"/>
  <c r="A32" i="39"/>
  <c r="A4" i="39"/>
  <c r="C44" i="11"/>
  <c r="H1989" i="41" l="1"/>
  <c r="H1990" i="41"/>
  <c r="H1991" i="41"/>
  <c r="H1992" i="41"/>
  <c r="H1993" i="41"/>
  <c r="H1994" i="41"/>
  <c r="H1995" i="41"/>
  <c r="Y6" i="49" l="1"/>
  <c r="Z6" i="49"/>
  <c r="Y7" i="49"/>
  <c r="Z7" i="49"/>
  <c r="Y8" i="49"/>
  <c r="Z8" i="49"/>
  <c r="Y9" i="49"/>
  <c r="Z9" i="49"/>
  <c r="Y10" i="49"/>
  <c r="Z10" i="49"/>
  <c r="Y11" i="49"/>
  <c r="Z11" i="49"/>
  <c r="Y12" i="49"/>
  <c r="Z12" i="49"/>
  <c r="Y13" i="49"/>
  <c r="Z13" i="49"/>
  <c r="Y14" i="49"/>
  <c r="Z14" i="49"/>
  <c r="Y15" i="49"/>
  <c r="Z15" i="49"/>
  <c r="Y16" i="49"/>
  <c r="Z16" i="49"/>
  <c r="Y17" i="49"/>
  <c r="Z17" i="49"/>
  <c r="Y18" i="49"/>
  <c r="Z18" i="49"/>
  <c r="Y19" i="49"/>
  <c r="Z19" i="49"/>
  <c r="Y20" i="49"/>
  <c r="Z20" i="49"/>
  <c r="Y21" i="49"/>
  <c r="Z21" i="49"/>
  <c r="Y22" i="49"/>
  <c r="Z22" i="49"/>
  <c r="Y23" i="49"/>
  <c r="Z23" i="49"/>
  <c r="Y24" i="49"/>
  <c r="Z24" i="49"/>
  <c r="Y25" i="49"/>
  <c r="Z25" i="49"/>
  <c r="Y26" i="49"/>
  <c r="Z26" i="49"/>
  <c r="Y27" i="49"/>
  <c r="Z27" i="49"/>
  <c r="Y28" i="49"/>
  <c r="Z28" i="49"/>
  <c r="Y29" i="49"/>
  <c r="Z29" i="49"/>
  <c r="Y30" i="49"/>
  <c r="Z30" i="49"/>
  <c r="Y31" i="49"/>
  <c r="Z31" i="49"/>
  <c r="Y32" i="49"/>
  <c r="Z32" i="49"/>
  <c r="Y33" i="49"/>
  <c r="Z33" i="49"/>
  <c r="Y34" i="49"/>
  <c r="Z34" i="49"/>
  <c r="Y35" i="49"/>
  <c r="Z35" i="49"/>
  <c r="Y36" i="49"/>
  <c r="Z36" i="49"/>
  <c r="Y37" i="49"/>
  <c r="Z37" i="49"/>
  <c r="Y38" i="49"/>
  <c r="Z38" i="49"/>
  <c r="Y39" i="49"/>
  <c r="Z39" i="49"/>
  <c r="Y40" i="49"/>
  <c r="Z40" i="49"/>
  <c r="Y41" i="49"/>
  <c r="Z41" i="49"/>
  <c r="Y42" i="49"/>
  <c r="Z42" i="49"/>
  <c r="Y43" i="49"/>
  <c r="Z43" i="49"/>
  <c r="Y44" i="49"/>
  <c r="Z44" i="49"/>
  <c r="Y45" i="49"/>
  <c r="Z45" i="49"/>
  <c r="Y46" i="49"/>
  <c r="Z46" i="49"/>
  <c r="Y47" i="49"/>
  <c r="Z47" i="49"/>
  <c r="Y48" i="49"/>
  <c r="Z48" i="49"/>
  <c r="Y49" i="49"/>
  <c r="Z49" i="49"/>
  <c r="Y50" i="49"/>
  <c r="Z50" i="49"/>
  <c r="Y51" i="49"/>
  <c r="Z51" i="49"/>
  <c r="Y52" i="49"/>
  <c r="Z52" i="49"/>
  <c r="Y53" i="49"/>
  <c r="Z53" i="49"/>
  <c r="Y54" i="49"/>
  <c r="Z54" i="49"/>
  <c r="Y55" i="49"/>
  <c r="Z55" i="49"/>
  <c r="Y5" i="49"/>
  <c r="Z5" i="49"/>
  <c r="AA5" i="49"/>
  <c r="AB5" i="49" l="1"/>
  <c r="F5" i="44" l="1"/>
  <c r="BM28" i="41" l="1"/>
  <c r="BM29" i="41"/>
  <c r="BM30" i="41"/>
  <c r="BM31" i="41"/>
  <c r="BM32" i="41"/>
  <c r="BM33" i="41"/>
  <c r="BM34" i="41"/>
  <c r="BM35" i="41"/>
  <c r="BM36" i="41"/>
  <c r="BM37" i="41"/>
  <c r="BM38" i="41"/>
  <c r="BM39" i="41"/>
  <c r="BM40" i="41"/>
  <c r="BM41" i="41"/>
  <c r="BM42" i="41"/>
  <c r="BM43" i="41"/>
  <c r="BM44" i="41"/>
  <c r="BM45" i="41"/>
  <c r="BM46" i="41"/>
  <c r="BM47" i="41"/>
  <c r="BM48" i="41"/>
  <c r="BM49" i="41"/>
  <c r="BM50" i="41"/>
  <c r="BM51" i="41"/>
  <c r="BM52" i="41"/>
  <c r="BM53" i="41"/>
  <c r="BM54" i="41"/>
  <c r="BM55" i="41"/>
  <c r="BM56" i="41"/>
  <c r="BM57" i="41"/>
  <c r="BM58" i="41"/>
  <c r="BM59" i="41"/>
  <c r="BM60" i="41"/>
  <c r="BM61" i="41"/>
  <c r="BM62" i="41"/>
  <c r="BM63" i="41"/>
  <c r="BM64" i="41"/>
  <c r="BM65" i="41"/>
  <c r="BM66" i="41"/>
  <c r="BM67" i="41"/>
  <c r="BM68" i="41"/>
  <c r="BM69" i="41"/>
  <c r="BM70" i="41"/>
  <c r="BM71" i="41"/>
  <c r="BM72" i="41"/>
  <c r="BM73" i="41"/>
  <c r="BM74" i="41"/>
  <c r="BM75" i="41"/>
  <c r="BM76" i="41"/>
  <c r="BM77" i="41"/>
  <c r="BM78" i="41"/>
  <c r="BM79" i="41"/>
  <c r="BM80" i="41"/>
  <c r="BM81" i="41"/>
  <c r="BM82" i="41"/>
  <c r="BM83" i="41"/>
  <c r="BM84" i="41"/>
  <c r="BM85" i="41"/>
  <c r="BM86" i="41"/>
  <c r="BM87" i="41"/>
  <c r="BM88" i="41"/>
  <c r="BM89" i="41"/>
  <c r="BM90" i="41"/>
  <c r="BM91" i="41"/>
  <c r="BM92" i="41"/>
  <c r="BM93" i="41"/>
  <c r="BM94" i="41"/>
  <c r="BM95" i="41"/>
  <c r="BM96" i="41"/>
  <c r="BM97" i="41"/>
  <c r="BM98" i="41"/>
  <c r="BM99" i="41"/>
  <c r="BM100" i="41"/>
  <c r="BM101" i="41"/>
  <c r="BM102" i="41"/>
  <c r="BM103" i="41"/>
  <c r="BM104" i="41"/>
  <c r="BM105" i="41"/>
  <c r="BM106" i="41"/>
  <c r="BM107" i="41"/>
  <c r="BM108" i="41"/>
  <c r="BM109" i="41"/>
  <c r="BM110" i="41"/>
  <c r="BM111" i="41"/>
  <c r="BM112" i="41"/>
  <c r="BM113" i="41"/>
  <c r="BM114" i="41"/>
  <c r="BM115" i="41"/>
  <c r="BM116" i="41"/>
  <c r="BM117" i="41"/>
  <c r="BM118" i="41"/>
  <c r="BM119" i="41"/>
  <c r="BM120" i="41"/>
  <c r="BM121" i="41"/>
  <c r="BM122" i="41"/>
  <c r="BM123" i="41"/>
  <c r="BM124" i="41"/>
  <c r="BM125" i="41"/>
  <c r="BM126" i="41"/>
  <c r="BM127" i="41"/>
  <c r="BM128" i="41"/>
  <c r="BM129" i="41"/>
  <c r="BM130" i="41"/>
  <c r="BM131" i="41"/>
  <c r="BM132" i="41"/>
  <c r="BM133" i="41"/>
  <c r="BM134" i="41"/>
  <c r="BM135" i="41"/>
  <c r="BM136" i="41"/>
  <c r="BM137" i="41"/>
  <c r="BM138" i="41"/>
  <c r="BM139" i="41"/>
  <c r="BM140" i="41"/>
  <c r="BM141" i="41"/>
  <c r="BM142" i="41"/>
  <c r="BM143" i="41"/>
  <c r="BM144" i="41"/>
  <c r="BM145" i="41"/>
  <c r="BM146" i="41"/>
  <c r="BM147" i="41"/>
  <c r="BM148" i="41"/>
  <c r="BM149" i="41"/>
  <c r="BM150" i="41"/>
  <c r="BM151" i="41"/>
  <c r="BM152" i="41"/>
  <c r="BM153" i="41"/>
  <c r="BM154" i="41"/>
  <c r="BM155" i="41"/>
  <c r="BM156" i="41"/>
  <c r="BM157" i="41"/>
  <c r="BM158" i="41"/>
  <c r="BM159" i="41"/>
  <c r="BM160" i="41"/>
  <c r="BM161" i="41"/>
  <c r="BM162" i="41"/>
  <c r="BM163" i="41"/>
  <c r="BM164" i="41"/>
  <c r="BM165" i="41"/>
  <c r="BM166" i="41"/>
  <c r="BM167" i="41"/>
  <c r="BM168" i="41"/>
  <c r="BM169" i="41"/>
  <c r="BM170" i="41"/>
  <c r="BM171" i="41"/>
  <c r="BM172" i="41"/>
  <c r="BM173" i="41"/>
  <c r="BM174" i="41"/>
  <c r="BM175" i="41"/>
  <c r="BM176" i="41"/>
  <c r="BM177" i="41"/>
  <c r="BM178" i="41"/>
  <c r="BM179" i="41"/>
  <c r="BM180" i="41"/>
  <c r="BM181" i="41"/>
  <c r="BM182" i="41"/>
  <c r="BM183" i="41"/>
  <c r="BM184" i="41"/>
  <c r="BM185" i="41"/>
  <c r="BM186" i="41"/>
  <c r="BM187" i="41"/>
  <c r="BM188" i="41"/>
  <c r="BM189" i="41"/>
  <c r="BM190" i="41"/>
  <c r="BM191" i="41"/>
  <c r="BM192" i="41"/>
  <c r="BM193" i="41"/>
  <c r="BM194" i="41"/>
  <c r="BM195" i="41"/>
  <c r="BM196" i="41"/>
  <c r="BM197" i="41"/>
  <c r="BM198" i="41"/>
  <c r="BM199" i="41"/>
  <c r="BM200" i="41"/>
  <c r="BM201" i="41"/>
  <c r="BM202" i="41"/>
  <c r="BM203" i="41"/>
  <c r="BM204" i="41"/>
  <c r="BM205" i="41"/>
  <c r="BM206" i="41"/>
  <c r="BM207" i="41"/>
  <c r="BM208" i="41"/>
  <c r="BM209" i="41"/>
  <c r="BM210" i="41"/>
  <c r="BM211" i="41"/>
  <c r="BM212" i="41"/>
  <c r="BM213" i="41"/>
  <c r="BM214" i="41"/>
  <c r="BM215" i="41"/>
  <c r="BM216" i="41"/>
  <c r="BM217" i="41"/>
  <c r="BM218" i="41"/>
  <c r="BM219" i="41"/>
  <c r="BM220" i="41"/>
  <c r="BM221" i="41"/>
  <c r="BM222" i="41"/>
  <c r="BM223" i="41"/>
  <c r="BM224" i="41"/>
  <c r="BM225" i="41"/>
  <c r="BM226" i="41"/>
  <c r="BM227" i="41"/>
  <c r="BM228" i="41"/>
  <c r="BM229" i="41"/>
  <c r="BM230" i="41"/>
  <c r="BM231" i="41"/>
  <c r="BM232" i="41"/>
  <c r="BM233" i="41"/>
  <c r="BM234" i="41"/>
  <c r="BM235" i="41"/>
  <c r="BM236" i="41"/>
  <c r="BM237" i="41"/>
  <c r="BM238" i="41"/>
  <c r="BM239" i="41"/>
  <c r="BM240" i="41"/>
  <c r="BM241" i="41"/>
  <c r="BM242" i="41"/>
  <c r="BM243" i="41"/>
  <c r="BM244" i="41"/>
  <c r="BM245" i="41"/>
  <c r="BM246" i="41"/>
  <c r="BM247" i="41"/>
  <c r="BM248" i="41"/>
  <c r="BM249" i="41"/>
  <c r="BM250" i="41"/>
  <c r="BM251" i="41"/>
  <c r="BM252" i="41"/>
  <c r="BM253" i="41"/>
  <c r="BM254" i="41"/>
  <c r="BM255" i="41"/>
  <c r="BM256" i="41"/>
  <c r="BM257" i="41"/>
  <c r="BM27" i="41"/>
  <c r="H7" i="41"/>
  <c r="H8"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H424" i="41"/>
  <c r="H425" i="41"/>
  <c r="H426" i="41"/>
  <c r="H427" i="41"/>
  <c r="H428" i="41"/>
  <c r="H429" i="41"/>
  <c r="H430" i="41"/>
  <c r="H431" i="41"/>
  <c r="H432" i="41"/>
  <c r="H433" i="41"/>
  <c r="H434" i="41"/>
  <c r="H435" i="41"/>
  <c r="H436" i="41"/>
  <c r="H437" i="41"/>
  <c r="H438" i="41"/>
  <c r="H439" i="41"/>
  <c r="H440" i="41"/>
  <c r="H441" i="41"/>
  <c r="H442" i="41"/>
  <c r="H443" i="41"/>
  <c r="H444" i="41"/>
  <c r="H445" i="41"/>
  <c r="H446" i="41"/>
  <c r="H447" i="41"/>
  <c r="H448" i="41"/>
  <c r="H449" i="41"/>
  <c r="H450" i="41"/>
  <c r="H451" i="41"/>
  <c r="H452" i="41"/>
  <c r="H453" i="41"/>
  <c r="H454" i="41"/>
  <c r="H455" i="41"/>
  <c r="H456" i="41"/>
  <c r="H457" i="41"/>
  <c r="H458" i="41"/>
  <c r="H459" i="41"/>
  <c r="H460" i="41"/>
  <c r="H461" i="41"/>
  <c r="H462" i="41"/>
  <c r="H463" i="41"/>
  <c r="H464" i="41"/>
  <c r="H465" i="41"/>
  <c r="H466" i="41"/>
  <c r="H467" i="41"/>
  <c r="H468" i="41"/>
  <c r="H469" i="41"/>
  <c r="H470" i="41"/>
  <c r="H471" i="41"/>
  <c r="H472" i="41"/>
  <c r="H473" i="41"/>
  <c r="H474" i="41"/>
  <c r="H475" i="41"/>
  <c r="H476" i="41"/>
  <c r="H477" i="41"/>
  <c r="H478" i="41"/>
  <c r="H479" i="41"/>
  <c r="H480" i="41"/>
  <c r="H481" i="41"/>
  <c r="H482" i="41"/>
  <c r="H483" i="41"/>
  <c r="H484" i="41"/>
  <c r="H485" i="41"/>
  <c r="H486" i="41"/>
  <c r="H487" i="41"/>
  <c r="H488" i="41"/>
  <c r="H489" i="41"/>
  <c r="H490" i="41"/>
  <c r="H491" i="41"/>
  <c r="H492" i="41"/>
  <c r="H493" i="41"/>
  <c r="H494" i="41"/>
  <c r="H495" i="41"/>
  <c r="H496" i="41"/>
  <c r="H497" i="41"/>
  <c r="H498" i="41"/>
  <c r="H499" i="41"/>
  <c r="H500" i="41"/>
  <c r="H501" i="41"/>
  <c r="H502" i="41"/>
  <c r="H503" i="41"/>
  <c r="H504" i="41"/>
  <c r="H505" i="41"/>
  <c r="H506" i="41"/>
  <c r="H507" i="41"/>
  <c r="H508" i="41"/>
  <c r="H509" i="41"/>
  <c r="H510" i="41"/>
  <c r="H511" i="41"/>
  <c r="H512" i="41"/>
  <c r="H513" i="41"/>
  <c r="H514" i="41"/>
  <c r="H515" i="41"/>
  <c r="H516" i="41"/>
  <c r="H517" i="41"/>
  <c r="H518" i="41"/>
  <c r="H519" i="41"/>
  <c r="H520" i="41"/>
  <c r="H521" i="41"/>
  <c r="H522" i="41"/>
  <c r="H523" i="41"/>
  <c r="H524" i="41"/>
  <c r="H525" i="41"/>
  <c r="H526" i="41"/>
  <c r="H527" i="41"/>
  <c r="H528" i="41"/>
  <c r="H529" i="41"/>
  <c r="H530" i="41"/>
  <c r="H531" i="41"/>
  <c r="H532" i="41"/>
  <c r="H533" i="41"/>
  <c r="H534" i="41"/>
  <c r="H535" i="41"/>
  <c r="H536" i="41"/>
  <c r="H537" i="41"/>
  <c r="H538" i="41"/>
  <c r="H539" i="41"/>
  <c r="H540" i="41"/>
  <c r="H541" i="41"/>
  <c r="H542" i="41"/>
  <c r="H543" i="41"/>
  <c r="H544" i="41"/>
  <c r="H545" i="41"/>
  <c r="H546" i="41"/>
  <c r="H547" i="41"/>
  <c r="H548" i="41"/>
  <c r="H549" i="41"/>
  <c r="H550" i="41"/>
  <c r="H551" i="41"/>
  <c r="H552" i="41"/>
  <c r="H553" i="41"/>
  <c r="H554" i="41"/>
  <c r="H555" i="41"/>
  <c r="H556" i="41"/>
  <c r="H557" i="41"/>
  <c r="H558" i="41"/>
  <c r="H559" i="41"/>
  <c r="H560" i="41"/>
  <c r="H561" i="41"/>
  <c r="H562" i="41"/>
  <c r="H563" i="41"/>
  <c r="H564" i="41"/>
  <c r="H565" i="41"/>
  <c r="H566" i="41"/>
  <c r="H567" i="41"/>
  <c r="H568" i="41"/>
  <c r="H569" i="41"/>
  <c r="H570" i="41"/>
  <c r="H571" i="41"/>
  <c r="H572" i="41"/>
  <c r="H573" i="41"/>
  <c r="H574" i="41"/>
  <c r="H575" i="41"/>
  <c r="H576" i="41"/>
  <c r="H577" i="41"/>
  <c r="H578" i="41"/>
  <c r="H579" i="41"/>
  <c r="H580" i="41"/>
  <c r="H581" i="41"/>
  <c r="H582" i="41"/>
  <c r="H583" i="41"/>
  <c r="H584" i="41"/>
  <c r="H585" i="41"/>
  <c r="H586" i="41"/>
  <c r="H587" i="41"/>
  <c r="H588" i="41"/>
  <c r="H589" i="41"/>
  <c r="H590" i="41"/>
  <c r="H591" i="41"/>
  <c r="H592" i="41"/>
  <c r="H593" i="41"/>
  <c r="H594" i="41"/>
  <c r="H595" i="41"/>
  <c r="H596" i="41"/>
  <c r="H597" i="41"/>
  <c r="H598" i="41"/>
  <c r="H599" i="41"/>
  <c r="H600" i="41"/>
  <c r="H601" i="41"/>
  <c r="H602" i="41"/>
  <c r="H603" i="41"/>
  <c r="H604" i="41"/>
  <c r="H605" i="41"/>
  <c r="H606" i="41"/>
  <c r="H607" i="41"/>
  <c r="H608" i="41"/>
  <c r="H609" i="41"/>
  <c r="H610" i="41"/>
  <c r="H611" i="41"/>
  <c r="H612" i="41"/>
  <c r="H613" i="41"/>
  <c r="H614" i="41"/>
  <c r="H615" i="41"/>
  <c r="H616" i="41"/>
  <c r="H617" i="41"/>
  <c r="H618" i="41"/>
  <c r="H619" i="41"/>
  <c r="H620" i="41"/>
  <c r="H621" i="41"/>
  <c r="H622" i="41"/>
  <c r="H623" i="41"/>
  <c r="H624" i="41"/>
  <c r="H625" i="41"/>
  <c r="H626" i="41"/>
  <c r="H627" i="41"/>
  <c r="H628" i="41"/>
  <c r="H629" i="41"/>
  <c r="H630" i="41"/>
  <c r="H631" i="41"/>
  <c r="H632" i="41"/>
  <c r="H633" i="41"/>
  <c r="H634" i="41"/>
  <c r="H635" i="41"/>
  <c r="H636" i="41"/>
  <c r="H637" i="41"/>
  <c r="H638" i="41"/>
  <c r="H639" i="41"/>
  <c r="H640" i="41"/>
  <c r="H641" i="41"/>
  <c r="H642" i="41"/>
  <c r="H643" i="41"/>
  <c r="H644" i="41"/>
  <c r="H645" i="41"/>
  <c r="H646" i="41"/>
  <c r="H647" i="41"/>
  <c r="H648" i="41"/>
  <c r="H649" i="41"/>
  <c r="H650" i="41"/>
  <c r="H651" i="41"/>
  <c r="H652" i="41"/>
  <c r="H653" i="41"/>
  <c r="H654" i="41"/>
  <c r="H655" i="41"/>
  <c r="H656" i="41"/>
  <c r="H657" i="41"/>
  <c r="H658" i="41"/>
  <c r="H659" i="41"/>
  <c r="H660" i="41"/>
  <c r="H661" i="41"/>
  <c r="H662" i="41"/>
  <c r="H663" i="41"/>
  <c r="H664" i="41"/>
  <c r="H665" i="41"/>
  <c r="H666" i="41"/>
  <c r="H667" i="41"/>
  <c r="H668" i="41"/>
  <c r="H669" i="41"/>
  <c r="H670" i="41"/>
  <c r="H671" i="41"/>
  <c r="H672" i="41"/>
  <c r="H673" i="41"/>
  <c r="H674" i="41"/>
  <c r="H675" i="41"/>
  <c r="H676" i="41"/>
  <c r="H677" i="41"/>
  <c r="H678" i="41"/>
  <c r="H679" i="41"/>
  <c r="H680" i="41"/>
  <c r="H681" i="41"/>
  <c r="H682" i="41"/>
  <c r="H683" i="41"/>
  <c r="H684" i="41"/>
  <c r="H685" i="41"/>
  <c r="H686" i="41"/>
  <c r="H687" i="41"/>
  <c r="H688" i="41"/>
  <c r="H689" i="41"/>
  <c r="H690" i="41"/>
  <c r="H691" i="41"/>
  <c r="H692" i="41"/>
  <c r="H693" i="41"/>
  <c r="H694" i="41"/>
  <c r="H695" i="41"/>
  <c r="H696" i="41"/>
  <c r="H697" i="41"/>
  <c r="H698" i="41"/>
  <c r="H699" i="41"/>
  <c r="H700" i="41"/>
  <c r="H701" i="41"/>
  <c r="H702" i="41"/>
  <c r="H703" i="41"/>
  <c r="H704" i="41"/>
  <c r="H705" i="41"/>
  <c r="H706" i="41"/>
  <c r="H707" i="41"/>
  <c r="H708" i="41"/>
  <c r="H709" i="41"/>
  <c r="H710" i="41"/>
  <c r="H711" i="41"/>
  <c r="H712" i="41"/>
  <c r="H713" i="41"/>
  <c r="H714" i="41"/>
  <c r="H715" i="41"/>
  <c r="H716" i="41"/>
  <c r="H717" i="41"/>
  <c r="H718" i="41"/>
  <c r="H719" i="41"/>
  <c r="H720" i="41"/>
  <c r="H721" i="41"/>
  <c r="H722" i="41"/>
  <c r="H723" i="41"/>
  <c r="H724" i="41"/>
  <c r="H725" i="41"/>
  <c r="H726" i="41"/>
  <c r="H727" i="41"/>
  <c r="H728" i="41"/>
  <c r="H729" i="41"/>
  <c r="H730" i="41"/>
  <c r="H731" i="41"/>
  <c r="H732" i="41"/>
  <c r="H733" i="41"/>
  <c r="H734" i="41"/>
  <c r="H735" i="41"/>
  <c r="H736" i="41"/>
  <c r="H737" i="41"/>
  <c r="H738" i="41"/>
  <c r="H739" i="41"/>
  <c r="H740" i="41"/>
  <c r="H741" i="41"/>
  <c r="H742" i="41"/>
  <c r="H743" i="41"/>
  <c r="H744" i="41"/>
  <c r="H745" i="41"/>
  <c r="H746" i="41"/>
  <c r="H747" i="41"/>
  <c r="H748" i="41"/>
  <c r="H749" i="41"/>
  <c r="H750" i="41"/>
  <c r="H751" i="41"/>
  <c r="H752" i="41"/>
  <c r="H753" i="41"/>
  <c r="H754" i="41"/>
  <c r="H755" i="41"/>
  <c r="H756" i="41"/>
  <c r="H757" i="41"/>
  <c r="H758" i="41"/>
  <c r="H759" i="41"/>
  <c r="H760" i="41"/>
  <c r="H761" i="41"/>
  <c r="H762" i="41"/>
  <c r="H763" i="41"/>
  <c r="H764" i="41"/>
  <c r="H765" i="41"/>
  <c r="H766" i="41"/>
  <c r="H767" i="41"/>
  <c r="H768" i="41"/>
  <c r="H769" i="41"/>
  <c r="H770" i="41"/>
  <c r="H771" i="41"/>
  <c r="H772" i="41"/>
  <c r="H773" i="41"/>
  <c r="H774" i="41"/>
  <c r="H775" i="41"/>
  <c r="H776" i="41"/>
  <c r="H777" i="41"/>
  <c r="H778" i="41"/>
  <c r="H779" i="41"/>
  <c r="H780" i="41"/>
  <c r="H781" i="41"/>
  <c r="H782" i="41"/>
  <c r="H783" i="41"/>
  <c r="H784" i="41"/>
  <c r="H785" i="41"/>
  <c r="H786" i="41"/>
  <c r="H787" i="41"/>
  <c r="H788" i="41"/>
  <c r="H789" i="41"/>
  <c r="H790" i="41"/>
  <c r="H791" i="41"/>
  <c r="H792" i="41"/>
  <c r="H793" i="41"/>
  <c r="H794" i="41"/>
  <c r="H795" i="41"/>
  <c r="H796" i="41"/>
  <c r="H797" i="41"/>
  <c r="H798" i="41"/>
  <c r="H799" i="41"/>
  <c r="H800" i="41"/>
  <c r="H801" i="41"/>
  <c r="H802" i="41"/>
  <c r="H803" i="41"/>
  <c r="H804" i="41"/>
  <c r="H805" i="41"/>
  <c r="H806" i="41"/>
  <c r="H807" i="41"/>
  <c r="H808" i="41"/>
  <c r="H809" i="41"/>
  <c r="H810" i="41"/>
  <c r="H811" i="41"/>
  <c r="H812" i="41"/>
  <c r="H813" i="41"/>
  <c r="H814" i="41"/>
  <c r="H815" i="41"/>
  <c r="H816" i="41"/>
  <c r="H817" i="41"/>
  <c r="H818" i="41"/>
  <c r="H819" i="41"/>
  <c r="H820" i="41"/>
  <c r="H821" i="41"/>
  <c r="H822" i="41"/>
  <c r="H823" i="41"/>
  <c r="H824" i="41"/>
  <c r="H825" i="41"/>
  <c r="H826" i="41"/>
  <c r="H827" i="41"/>
  <c r="H828" i="41"/>
  <c r="H829" i="41"/>
  <c r="H830" i="41"/>
  <c r="H831" i="41"/>
  <c r="H832" i="41"/>
  <c r="H833" i="41"/>
  <c r="H834" i="41"/>
  <c r="H835" i="41"/>
  <c r="H836" i="41"/>
  <c r="H837" i="41"/>
  <c r="H838" i="41"/>
  <c r="H839" i="41"/>
  <c r="H840" i="41"/>
  <c r="H841" i="41"/>
  <c r="H842" i="41"/>
  <c r="H843" i="41"/>
  <c r="H844" i="41"/>
  <c r="H845" i="41"/>
  <c r="H846" i="41"/>
  <c r="H847" i="41"/>
  <c r="H848" i="41"/>
  <c r="H849" i="41"/>
  <c r="H850" i="41"/>
  <c r="H851" i="41"/>
  <c r="H852" i="41"/>
  <c r="H853" i="41"/>
  <c r="H854" i="41"/>
  <c r="H855" i="41"/>
  <c r="H856" i="41"/>
  <c r="H857" i="41"/>
  <c r="H858" i="41"/>
  <c r="H859" i="41"/>
  <c r="H860" i="41"/>
  <c r="H861" i="41"/>
  <c r="H862" i="41"/>
  <c r="H863" i="41"/>
  <c r="H864" i="41"/>
  <c r="H865" i="41"/>
  <c r="H866" i="41"/>
  <c r="H867" i="41"/>
  <c r="H868" i="41"/>
  <c r="H869" i="41"/>
  <c r="H870" i="41"/>
  <c r="H871" i="41"/>
  <c r="H872" i="41"/>
  <c r="H873" i="41"/>
  <c r="H874" i="41"/>
  <c r="H875" i="41"/>
  <c r="H876" i="41"/>
  <c r="H877" i="41"/>
  <c r="H878" i="41"/>
  <c r="H879" i="41"/>
  <c r="H880" i="41"/>
  <c r="H881" i="41"/>
  <c r="H882" i="41"/>
  <c r="H883" i="41"/>
  <c r="H884" i="41"/>
  <c r="H885" i="41"/>
  <c r="H886" i="41"/>
  <c r="H887" i="41"/>
  <c r="H888" i="41"/>
  <c r="H889" i="41"/>
  <c r="H890" i="41"/>
  <c r="H891" i="41"/>
  <c r="H892" i="41"/>
  <c r="H893" i="41"/>
  <c r="H894" i="41"/>
  <c r="H895" i="41"/>
  <c r="H896" i="41"/>
  <c r="H897" i="41"/>
  <c r="H898" i="41"/>
  <c r="H899" i="41"/>
  <c r="H900" i="41"/>
  <c r="H901" i="41"/>
  <c r="H902" i="41"/>
  <c r="H903" i="41"/>
  <c r="H904" i="41"/>
  <c r="H905" i="41"/>
  <c r="H906" i="41"/>
  <c r="H907" i="41"/>
  <c r="H908" i="41"/>
  <c r="H909" i="41"/>
  <c r="H910" i="41"/>
  <c r="H911" i="41"/>
  <c r="H912" i="41"/>
  <c r="H913" i="41"/>
  <c r="H914" i="41"/>
  <c r="H915" i="41"/>
  <c r="H916" i="41"/>
  <c r="H917" i="41"/>
  <c r="H918" i="41"/>
  <c r="H919" i="41"/>
  <c r="H920" i="41"/>
  <c r="H921" i="41"/>
  <c r="H922" i="41"/>
  <c r="H923" i="41"/>
  <c r="H924" i="41"/>
  <c r="H925" i="41"/>
  <c r="H926" i="41"/>
  <c r="H927" i="41"/>
  <c r="H928" i="41"/>
  <c r="H929" i="41"/>
  <c r="H930" i="41"/>
  <c r="H931" i="41"/>
  <c r="H932" i="41"/>
  <c r="H933" i="41"/>
  <c r="H934" i="41"/>
  <c r="H935" i="41"/>
  <c r="H936" i="41"/>
  <c r="H937" i="41"/>
  <c r="H938" i="41"/>
  <c r="H939" i="41"/>
  <c r="H940" i="41"/>
  <c r="H941" i="41"/>
  <c r="H942" i="41"/>
  <c r="H943" i="41"/>
  <c r="H944" i="41"/>
  <c r="H945" i="41"/>
  <c r="H946" i="41"/>
  <c r="H947" i="41"/>
  <c r="H948" i="41"/>
  <c r="H949" i="41"/>
  <c r="H950" i="41"/>
  <c r="H951" i="41"/>
  <c r="H952" i="41"/>
  <c r="H953" i="41"/>
  <c r="H954" i="41"/>
  <c r="H955" i="41"/>
  <c r="H956" i="41"/>
  <c r="H957" i="41"/>
  <c r="H958" i="41"/>
  <c r="H959" i="41"/>
  <c r="H960" i="41"/>
  <c r="H961" i="41"/>
  <c r="H962" i="41"/>
  <c r="H963" i="41"/>
  <c r="H964" i="41"/>
  <c r="H965" i="41"/>
  <c r="H966" i="41"/>
  <c r="H967" i="41"/>
  <c r="H968" i="41"/>
  <c r="H969" i="41"/>
  <c r="H970" i="41"/>
  <c r="H971" i="41"/>
  <c r="H972" i="41"/>
  <c r="H973" i="41"/>
  <c r="H974" i="41"/>
  <c r="H975" i="41"/>
  <c r="H976" i="41"/>
  <c r="H977" i="41"/>
  <c r="H978" i="41"/>
  <c r="H979" i="41"/>
  <c r="H980" i="41"/>
  <c r="H981" i="41"/>
  <c r="H982" i="41"/>
  <c r="H983" i="41"/>
  <c r="H984" i="41"/>
  <c r="H985" i="41"/>
  <c r="H986" i="41"/>
  <c r="H987" i="41"/>
  <c r="H988" i="41"/>
  <c r="H989" i="41"/>
  <c r="H990" i="41"/>
  <c r="H991" i="41"/>
  <c r="H992" i="41"/>
  <c r="H993" i="41"/>
  <c r="H994" i="41"/>
  <c r="H995" i="41"/>
  <c r="H996" i="41"/>
  <c r="H997" i="41"/>
  <c r="H998" i="41"/>
  <c r="H999" i="41"/>
  <c r="H1000" i="41"/>
  <c r="H1001" i="41"/>
  <c r="H1002" i="41"/>
  <c r="H1003" i="41"/>
  <c r="H1004" i="41"/>
  <c r="H1005" i="41"/>
  <c r="H1006" i="41"/>
  <c r="H1007" i="41"/>
  <c r="H1008" i="41"/>
  <c r="H1009" i="41"/>
  <c r="H1010" i="41"/>
  <c r="H1011" i="41"/>
  <c r="H1012" i="41"/>
  <c r="H1013" i="41"/>
  <c r="H1014" i="41"/>
  <c r="H1015" i="41"/>
  <c r="H1016" i="41"/>
  <c r="H1017" i="41"/>
  <c r="H1018" i="41"/>
  <c r="H1019" i="41"/>
  <c r="H1020" i="41"/>
  <c r="H1021" i="41"/>
  <c r="H1022" i="41"/>
  <c r="H1023" i="41"/>
  <c r="H1024" i="41"/>
  <c r="H1025" i="41"/>
  <c r="H1026" i="41"/>
  <c r="H1027" i="41"/>
  <c r="H1028" i="41"/>
  <c r="H1029" i="41"/>
  <c r="H1030" i="41"/>
  <c r="H1031" i="41"/>
  <c r="H1032" i="41"/>
  <c r="H1033" i="41"/>
  <c r="H1034" i="41"/>
  <c r="H1035" i="41"/>
  <c r="H1036" i="41"/>
  <c r="H1037" i="41"/>
  <c r="H1038" i="41"/>
  <c r="H1039" i="41"/>
  <c r="H1040" i="41"/>
  <c r="H1041" i="41"/>
  <c r="H1042" i="41"/>
  <c r="H1043" i="41"/>
  <c r="H1044" i="41"/>
  <c r="H1045" i="41"/>
  <c r="H1046" i="41"/>
  <c r="H1047" i="41"/>
  <c r="H1048" i="41"/>
  <c r="H1049" i="41"/>
  <c r="H1050" i="41"/>
  <c r="H1051" i="41"/>
  <c r="H1052" i="41"/>
  <c r="H1053" i="41"/>
  <c r="H1054" i="41"/>
  <c r="H1055" i="41"/>
  <c r="H1056" i="41"/>
  <c r="H1057" i="41"/>
  <c r="H1058" i="41"/>
  <c r="H1059" i="41"/>
  <c r="H1060" i="41"/>
  <c r="H1061" i="41"/>
  <c r="H1062" i="41"/>
  <c r="H1063" i="41"/>
  <c r="H1064" i="41"/>
  <c r="H1065" i="41"/>
  <c r="H1066" i="41"/>
  <c r="H1067" i="41"/>
  <c r="H1068" i="41"/>
  <c r="H1069" i="41"/>
  <c r="H1070" i="41"/>
  <c r="H1071" i="41"/>
  <c r="H1072" i="41"/>
  <c r="H1073" i="41"/>
  <c r="H1074" i="41"/>
  <c r="H1075" i="41"/>
  <c r="H1076" i="41"/>
  <c r="H1077" i="41"/>
  <c r="H1078" i="41"/>
  <c r="H1079" i="41"/>
  <c r="H1080" i="41"/>
  <c r="H1081" i="41"/>
  <c r="H1082" i="41"/>
  <c r="H1083" i="41"/>
  <c r="H1084" i="41"/>
  <c r="H1085" i="41"/>
  <c r="H1086" i="41"/>
  <c r="H1087" i="41"/>
  <c r="H1088" i="41"/>
  <c r="H1089" i="41"/>
  <c r="H1090" i="41"/>
  <c r="H1091" i="41"/>
  <c r="H1092" i="41"/>
  <c r="H1093" i="41"/>
  <c r="H1094" i="41"/>
  <c r="H1095" i="41"/>
  <c r="H1096" i="41"/>
  <c r="H1097" i="41"/>
  <c r="H1098" i="41"/>
  <c r="H1099" i="41"/>
  <c r="H1100" i="41"/>
  <c r="H1101" i="41"/>
  <c r="H1102" i="41"/>
  <c r="H1103" i="41"/>
  <c r="H1104" i="41"/>
  <c r="H1105" i="41"/>
  <c r="H1106" i="41"/>
  <c r="H1107" i="41"/>
  <c r="H1108" i="41"/>
  <c r="H1109" i="41"/>
  <c r="H1110" i="41"/>
  <c r="H1111" i="41"/>
  <c r="H1112" i="41"/>
  <c r="H1113" i="41"/>
  <c r="H1114" i="41"/>
  <c r="H1115" i="41"/>
  <c r="H1116" i="41"/>
  <c r="H1117" i="41"/>
  <c r="H1118" i="41"/>
  <c r="H1119" i="41"/>
  <c r="H1120" i="41"/>
  <c r="H1121" i="41"/>
  <c r="H1122" i="41"/>
  <c r="H1123" i="41"/>
  <c r="H1124" i="41"/>
  <c r="H1125" i="41"/>
  <c r="H1126" i="41"/>
  <c r="H1127" i="41"/>
  <c r="H1128" i="41"/>
  <c r="H1129" i="41"/>
  <c r="H1130" i="41"/>
  <c r="H1131" i="41"/>
  <c r="H1132" i="41"/>
  <c r="H1133" i="41"/>
  <c r="H1134" i="41"/>
  <c r="H1135" i="41"/>
  <c r="H1136" i="41"/>
  <c r="H1137" i="41"/>
  <c r="H1138" i="41"/>
  <c r="H1139" i="41"/>
  <c r="H1140" i="41"/>
  <c r="H1141" i="41"/>
  <c r="H1142" i="41"/>
  <c r="H1143" i="41"/>
  <c r="H1144" i="41"/>
  <c r="H1145" i="41"/>
  <c r="H1146" i="41"/>
  <c r="H1147" i="41"/>
  <c r="H1148" i="41"/>
  <c r="H1149" i="41"/>
  <c r="H1150" i="41"/>
  <c r="H1151" i="41"/>
  <c r="H1152" i="41"/>
  <c r="H1153" i="41"/>
  <c r="H1154" i="41"/>
  <c r="H1155" i="41"/>
  <c r="H1156" i="41"/>
  <c r="H1157" i="41"/>
  <c r="H1158" i="41"/>
  <c r="H1159" i="41"/>
  <c r="H1160" i="41"/>
  <c r="H1161" i="41"/>
  <c r="H1162" i="41"/>
  <c r="H1163" i="41"/>
  <c r="H1164" i="41"/>
  <c r="H1165" i="41"/>
  <c r="H1166" i="41"/>
  <c r="H1167" i="41"/>
  <c r="H1168" i="41"/>
  <c r="H1169" i="41"/>
  <c r="H1170" i="41"/>
  <c r="H1171" i="41"/>
  <c r="H1172" i="41"/>
  <c r="H1173" i="41"/>
  <c r="H1174" i="41"/>
  <c r="H1175" i="41"/>
  <c r="H1176" i="41"/>
  <c r="H1177" i="41"/>
  <c r="H1178" i="41"/>
  <c r="H1179" i="41"/>
  <c r="H1180" i="41"/>
  <c r="H1181" i="41"/>
  <c r="H1182" i="41"/>
  <c r="H1183" i="41"/>
  <c r="H1184" i="41"/>
  <c r="H1185" i="41"/>
  <c r="H1186" i="41"/>
  <c r="H1187" i="41"/>
  <c r="H1188" i="41"/>
  <c r="H1189" i="41"/>
  <c r="H1190" i="41"/>
  <c r="H1191" i="41"/>
  <c r="H1192" i="41"/>
  <c r="H1193" i="41"/>
  <c r="H1194" i="41"/>
  <c r="H1195" i="41"/>
  <c r="H1196" i="41"/>
  <c r="H1197" i="41"/>
  <c r="H1198" i="41"/>
  <c r="H1199" i="41"/>
  <c r="H1200" i="41"/>
  <c r="H1201" i="41"/>
  <c r="H1202" i="41"/>
  <c r="H1203" i="41"/>
  <c r="H1204" i="41"/>
  <c r="H1205" i="41"/>
  <c r="H1206" i="41"/>
  <c r="H1207" i="41"/>
  <c r="H1208" i="41"/>
  <c r="H1209" i="41"/>
  <c r="H1210" i="41"/>
  <c r="H1211" i="41"/>
  <c r="H1212" i="41"/>
  <c r="H1213" i="41"/>
  <c r="H1214" i="41"/>
  <c r="H1215" i="41"/>
  <c r="H1216" i="41"/>
  <c r="H1217" i="41"/>
  <c r="H1218" i="41"/>
  <c r="H1219" i="41"/>
  <c r="H1220" i="41"/>
  <c r="H1221" i="41"/>
  <c r="H1222" i="41"/>
  <c r="H1223" i="41"/>
  <c r="H1224" i="41"/>
  <c r="H1225" i="41"/>
  <c r="H1226" i="41"/>
  <c r="H1227" i="41"/>
  <c r="H1228" i="41"/>
  <c r="H1229" i="41"/>
  <c r="H1230" i="41"/>
  <c r="H1231" i="41"/>
  <c r="H1232" i="41"/>
  <c r="H1233" i="41"/>
  <c r="H1234" i="41"/>
  <c r="H1235" i="41"/>
  <c r="H1236" i="41"/>
  <c r="H1237" i="41"/>
  <c r="H1238" i="41"/>
  <c r="H1239" i="41"/>
  <c r="H1240" i="41"/>
  <c r="H1241" i="41"/>
  <c r="H1242" i="41"/>
  <c r="H1243" i="41"/>
  <c r="H1244" i="41"/>
  <c r="H1245" i="41"/>
  <c r="H1246" i="41"/>
  <c r="H1247" i="41"/>
  <c r="H1248" i="41"/>
  <c r="H1249" i="41"/>
  <c r="H1250" i="41"/>
  <c r="H1251" i="41"/>
  <c r="H1252" i="41"/>
  <c r="H1253" i="41"/>
  <c r="H1254" i="41"/>
  <c r="H1255" i="41"/>
  <c r="H1256" i="41"/>
  <c r="H1257" i="41"/>
  <c r="H1258" i="41"/>
  <c r="H1259" i="41"/>
  <c r="H1260" i="41"/>
  <c r="H1261" i="41"/>
  <c r="H1262" i="41"/>
  <c r="H1263" i="41"/>
  <c r="H1264" i="41"/>
  <c r="H1265" i="41"/>
  <c r="H1266" i="41"/>
  <c r="H1267" i="41"/>
  <c r="H1268" i="41"/>
  <c r="H1269" i="41"/>
  <c r="H1270" i="41"/>
  <c r="H1271" i="41"/>
  <c r="H1272" i="41"/>
  <c r="H1273" i="41"/>
  <c r="H1274" i="41"/>
  <c r="H1275" i="41"/>
  <c r="H1276" i="41"/>
  <c r="H1277" i="41"/>
  <c r="H1278" i="41"/>
  <c r="H1279" i="41"/>
  <c r="H1280" i="41"/>
  <c r="H1281" i="41"/>
  <c r="H1282" i="41"/>
  <c r="H1283" i="41"/>
  <c r="H1284" i="41"/>
  <c r="H1285" i="41"/>
  <c r="H1286" i="41"/>
  <c r="H1287" i="41"/>
  <c r="H1288" i="41"/>
  <c r="H1289" i="41"/>
  <c r="H1290" i="41"/>
  <c r="H1291" i="41"/>
  <c r="H1292" i="41"/>
  <c r="H1293" i="41"/>
  <c r="H1294" i="41"/>
  <c r="H1295" i="41"/>
  <c r="H1296" i="41"/>
  <c r="H1297" i="41"/>
  <c r="H1298" i="41"/>
  <c r="H1299" i="41"/>
  <c r="H1300" i="41"/>
  <c r="H1301" i="41"/>
  <c r="H1302" i="41"/>
  <c r="H1303" i="41"/>
  <c r="H1304" i="41"/>
  <c r="H1305" i="41"/>
  <c r="H1306" i="41"/>
  <c r="H1307" i="41"/>
  <c r="H1308" i="41"/>
  <c r="H1309" i="41"/>
  <c r="H1310" i="41"/>
  <c r="H1311" i="41"/>
  <c r="H1312" i="41"/>
  <c r="H1313" i="41"/>
  <c r="H1314" i="41"/>
  <c r="H1315" i="41"/>
  <c r="H1316" i="41"/>
  <c r="H1317" i="41"/>
  <c r="H1318" i="41"/>
  <c r="H1319" i="41"/>
  <c r="H1320" i="41"/>
  <c r="H1321" i="41"/>
  <c r="H1322" i="41"/>
  <c r="H1323" i="41"/>
  <c r="H1324" i="41"/>
  <c r="H1325" i="41"/>
  <c r="H1326" i="41"/>
  <c r="H1327" i="41"/>
  <c r="H1328" i="41"/>
  <c r="H1329" i="41"/>
  <c r="H1330" i="41"/>
  <c r="H1331" i="41"/>
  <c r="H1332" i="41"/>
  <c r="H1333" i="41"/>
  <c r="H1334" i="41"/>
  <c r="H1335" i="41"/>
  <c r="H1336" i="41"/>
  <c r="H1337" i="41"/>
  <c r="H1338" i="41"/>
  <c r="H1339" i="41"/>
  <c r="H1340" i="41"/>
  <c r="H1341" i="41"/>
  <c r="H1342" i="41"/>
  <c r="H1343" i="41"/>
  <c r="H1344" i="41"/>
  <c r="H1345" i="41"/>
  <c r="H1346" i="41"/>
  <c r="H1347" i="41"/>
  <c r="H1348" i="41"/>
  <c r="H1349" i="41"/>
  <c r="H1350" i="41"/>
  <c r="H1351" i="41"/>
  <c r="H1352" i="41"/>
  <c r="H1353" i="41"/>
  <c r="H1354" i="41"/>
  <c r="H1355" i="41"/>
  <c r="H1356" i="41"/>
  <c r="H1357" i="41"/>
  <c r="H1358" i="41"/>
  <c r="H1359" i="41"/>
  <c r="H1360" i="41"/>
  <c r="H1361" i="41"/>
  <c r="H1362" i="41"/>
  <c r="H1363" i="41"/>
  <c r="H1364" i="41"/>
  <c r="H1365" i="41"/>
  <c r="H1366" i="41"/>
  <c r="H1367" i="41"/>
  <c r="H1368" i="41"/>
  <c r="H1369" i="41"/>
  <c r="H1370" i="41"/>
  <c r="H1371" i="41"/>
  <c r="H1372" i="41"/>
  <c r="H1373" i="41"/>
  <c r="H1374" i="41"/>
  <c r="H1375" i="41"/>
  <c r="H1376" i="41"/>
  <c r="H1377" i="41"/>
  <c r="H1378" i="41"/>
  <c r="H1379" i="41"/>
  <c r="H1380" i="41"/>
  <c r="H1381" i="41"/>
  <c r="H1382" i="41"/>
  <c r="H1383" i="41"/>
  <c r="H1384" i="41"/>
  <c r="H1385" i="41"/>
  <c r="H1386" i="41"/>
  <c r="H1387" i="41"/>
  <c r="H1388" i="41"/>
  <c r="H1389" i="41"/>
  <c r="H1390" i="41"/>
  <c r="H1391" i="41"/>
  <c r="H1392" i="41"/>
  <c r="H1393" i="41"/>
  <c r="H1394" i="41"/>
  <c r="H1395" i="41"/>
  <c r="H1396" i="41"/>
  <c r="H1397" i="41"/>
  <c r="H1398" i="41"/>
  <c r="H1399" i="41"/>
  <c r="H1400" i="41"/>
  <c r="H1401" i="41"/>
  <c r="H1402" i="41"/>
  <c r="H1403" i="41"/>
  <c r="H1404" i="41"/>
  <c r="H1405" i="41"/>
  <c r="H1406" i="41"/>
  <c r="H1407" i="41"/>
  <c r="H1408" i="41"/>
  <c r="H1409" i="41"/>
  <c r="H1410" i="41"/>
  <c r="H1411" i="41"/>
  <c r="H1412" i="41"/>
  <c r="H1413" i="41"/>
  <c r="H1414" i="41"/>
  <c r="H1415" i="41"/>
  <c r="H1416" i="41"/>
  <c r="H1417" i="41"/>
  <c r="H1418" i="41"/>
  <c r="H1419" i="41"/>
  <c r="H1420" i="41"/>
  <c r="H1421" i="41"/>
  <c r="H1422" i="41"/>
  <c r="H1423" i="41"/>
  <c r="H1424" i="41"/>
  <c r="H1425" i="41"/>
  <c r="H1426" i="41"/>
  <c r="H1427" i="41"/>
  <c r="H1428" i="41"/>
  <c r="H1429" i="41"/>
  <c r="H1430" i="41"/>
  <c r="H1431" i="41"/>
  <c r="H1432" i="41"/>
  <c r="H1433" i="41"/>
  <c r="H1434" i="41"/>
  <c r="H1435" i="41"/>
  <c r="H1436" i="41"/>
  <c r="H1437" i="41"/>
  <c r="H1438" i="41"/>
  <c r="H1439" i="41"/>
  <c r="H1440" i="41"/>
  <c r="H1441" i="41"/>
  <c r="H1442" i="41"/>
  <c r="H1443" i="41"/>
  <c r="H1444" i="41"/>
  <c r="H1445" i="41"/>
  <c r="H1446" i="41"/>
  <c r="H1447" i="41"/>
  <c r="H1448" i="41"/>
  <c r="H1449" i="41"/>
  <c r="H1450" i="41"/>
  <c r="H1451" i="41"/>
  <c r="H1452" i="41"/>
  <c r="H1453" i="41"/>
  <c r="H1454" i="41"/>
  <c r="H1455" i="41"/>
  <c r="H1456" i="41"/>
  <c r="H1457" i="41"/>
  <c r="H1458" i="41"/>
  <c r="H1459" i="41"/>
  <c r="H1460" i="41"/>
  <c r="H1461" i="41"/>
  <c r="H1462" i="41"/>
  <c r="H1463" i="41"/>
  <c r="H1464" i="41"/>
  <c r="H1465" i="41"/>
  <c r="H1466" i="41"/>
  <c r="H1467" i="41"/>
  <c r="H1468" i="41"/>
  <c r="H1469" i="41"/>
  <c r="H1470" i="41"/>
  <c r="H1471" i="41"/>
  <c r="H1472" i="41"/>
  <c r="H1473" i="41"/>
  <c r="H1474" i="41"/>
  <c r="H1475" i="41"/>
  <c r="H1476" i="41"/>
  <c r="H1477" i="41"/>
  <c r="H1478" i="41"/>
  <c r="H1479" i="41"/>
  <c r="H1480" i="41"/>
  <c r="H1481" i="41"/>
  <c r="H1482" i="41"/>
  <c r="H1483" i="41"/>
  <c r="H1484" i="41"/>
  <c r="H1485" i="41"/>
  <c r="H1486" i="41"/>
  <c r="H1487" i="41"/>
  <c r="H1488" i="41"/>
  <c r="H1489" i="41"/>
  <c r="H1490" i="41"/>
  <c r="H1491" i="41"/>
  <c r="H1492" i="41"/>
  <c r="H1493" i="41"/>
  <c r="H1494" i="41"/>
  <c r="H1495" i="41"/>
  <c r="H1496" i="41"/>
  <c r="H1497" i="41"/>
  <c r="H1498" i="41"/>
  <c r="H1499" i="41"/>
  <c r="H1500" i="41"/>
  <c r="H1501" i="41"/>
  <c r="H1502" i="41"/>
  <c r="H1503" i="41"/>
  <c r="H1504" i="41"/>
  <c r="H1505" i="41"/>
  <c r="H1506" i="41"/>
  <c r="H1507" i="41"/>
  <c r="H1508" i="41"/>
  <c r="H1509" i="41"/>
  <c r="H1510" i="41"/>
  <c r="H1511" i="41"/>
  <c r="H1512" i="41"/>
  <c r="H1513" i="41"/>
  <c r="H1514" i="41"/>
  <c r="H1515" i="41"/>
  <c r="H1516" i="41"/>
  <c r="H1517" i="41"/>
  <c r="H1518" i="41"/>
  <c r="H1519" i="41"/>
  <c r="H1520" i="41"/>
  <c r="H1521" i="41"/>
  <c r="H1522" i="41"/>
  <c r="H1523" i="41"/>
  <c r="H1524" i="41"/>
  <c r="H1525" i="41"/>
  <c r="H1526" i="41"/>
  <c r="H1527" i="41"/>
  <c r="H1528" i="41"/>
  <c r="H1529" i="41"/>
  <c r="H1530" i="41"/>
  <c r="H1531" i="41"/>
  <c r="H1532" i="41"/>
  <c r="H1533" i="41"/>
  <c r="H1534" i="41"/>
  <c r="H1535" i="41"/>
  <c r="H1536" i="41"/>
  <c r="H1537" i="41"/>
  <c r="H1538" i="41"/>
  <c r="H1539" i="41"/>
  <c r="H1540" i="41"/>
  <c r="H1541" i="41"/>
  <c r="H1542" i="41"/>
  <c r="H1543" i="41"/>
  <c r="H1544" i="41"/>
  <c r="H1545" i="41"/>
  <c r="H1546" i="41"/>
  <c r="H1547" i="41"/>
  <c r="H1548" i="41"/>
  <c r="H1549" i="41"/>
  <c r="H1550" i="41"/>
  <c r="H1551" i="41"/>
  <c r="H1552" i="41"/>
  <c r="H1553" i="41"/>
  <c r="H1554" i="41"/>
  <c r="H1555" i="41"/>
  <c r="H1556" i="41"/>
  <c r="H1557" i="41"/>
  <c r="H1558" i="41"/>
  <c r="H1559" i="41"/>
  <c r="H1560" i="41"/>
  <c r="H1561" i="41"/>
  <c r="H1562" i="41"/>
  <c r="H1563" i="41"/>
  <c r="H1564" i="41"/>
  <c r="H1565" i="41"/>
  <c r="H1566" i="41"/>
  <c r="H1567" i="41"/>
  <c r="H1568" i="41"/>
  <c r="H1569" i="41"/>
  <c r="H1570" i="41"/>
  <c r="H1571" i="41"/>
  <c r="H1572" i="41"/>
  <c r="H1573" i="41"/>
  <c r="H1574" i="41"/>
  <c r="H1575" i="41"/>
  <c r="H1576" i="41"/>
  <c r="H1577" i="41"/>
  <c r="H1578" i="41"/>
  <c r="H1579" i="41"/>
  <c r="H1580" i="41"/>
  <c r="H1581" i="41"/>
  <c r="H1582" i="41"/>
  <c r="H1583" i="41"/>
  <c r="H1584" i="41"/>
  <c r="H1585" i="41"/>
  <c r="H1586" i="41"/>
  <c r="H1587" i="41"/>
  <c r="H1588" i="41"/>
  <c r="H1589" i="41"/>
  <c r="H1590" i="41"/>
  <c r="H1591" i="41"/>
  <c r="H1592" i="41"/>
  <c r="H1593" i="41"/>
  <c r="H1594" i="41"/>
  <c r="H1595" i="41"/>
  <c r="H1596" i="41"/>
  <c r="H1597" i="41"/>
  <c r="H1598" i="41"/>
  <c r="H1599" i="41"/>
  <c r="H1600" i="41"/>
  <c r="H1601" i="41"/>
  <c r="H1602" i="41"/>
  <c r="H1603" i="41"/>
  <c r="H1604" i="41"/>
  <c r="H1605" i="41"/>
  <c r="H1606" i="41"/>
  <c r="H1607" i="41"/>
  <c r="H1608" i="41"/>
  <c r="H1609" i="41"/>
  <c r="H1610" i="41"/>
  <c r="H1611" i="41"/>
  <c r="H1612" i="41"/>
  <c r="H1613" i="41"/>
  <c r="H1614" i="41"/>
  <c r="H1615" i="41"/>
  <c r="H1616" i="41"/>
  <c r="H1617" i="41"/>
  <c r="H1618" i="41"/>
  <c r="H1619" i="41"/>
  <c r="H1620" i="41"/>
  <c r="H1621" i="41"/>
  <c r="H1622" i="41"/>
  <c r="H1623" i="41"/>
  <c r="H1624" i="41"/>
  <c r="H1625" i="41"/>
  <c r="H1626" i="41"/>
  <c r="H1627" i="41"/>
  <c r="H1628" i="41"/>
  <c r="H1629" i="41"/>
  <c r="H1630" i="41"/>
  <c r="H1631" i="41"/>
  <c r="H1632" i="41"/>
  <c r="H1633" i="41"/>
  <c r="H1634" i="41"/>
  <c r="H1635" i="41"/>
  <c r="H1636" i="41"/>
  <c r="H1637" i="41"/>
  <c r="H1638" i="41"/>
  <c r="H1639" i="41"/>
  <c r="H1640" i="41"/>
  <c r="H1641" i="41"/>
  <c r="H1642" i="41"/>
  <c r="H1643" i="41"/>
  <c r="H1644" i="41"/>
  <c r="H1645" i="41"/>
  <c r="H1646" i="41"/>
  <c r="H1647" i="41"/>
  <c r="H1648" i="41"/>
  <c r="H1649" i="41"/>
  <c r="H1650" i="41"/>
  <c r="H1651" i="41"/>
  <c r="H1652" i="41"/>
  <c r="H1653" i="41"/>
  <c r="H1654" i="41"/>
  <c r="H1655" i="41"/>
  <c r="H1656" i="41"/>
  <c r="H1657" i="41"/>
  <c r="H1658" i="41"/>
  <c r="H1659" i="41"/>
  <c r="H1660" i="41"/>
  <c r="H1661" i="41"/>
  <c r="H1662" i="41"/>
  <c r="H1663" i="41"/>
  <c r="H1664" i="41"/>
  <c r="H1665" i="41"/>
  <c r="H1666" i="41"/>
  <c r="H1667" i="41"/>
  <c r="H1668" i="41"/>
  <c r="H1669" i="41"/>
  <c r="H1670" i="41"/>
  <c r="H1671" i="41"/>
  <c r="H1672" i="41"/>
  <c r="H1673" i="41"/>
  <c r="H1674" i="41"/>
  <c r="H1675" i="41"/>
  <c r="H1676" i="41"/>
  <c r="H1677" i="41"/>
  <c r="H1678" i="41"/>
  <c r="H1679" i="41"/>
  <c r="H1680" i="41"/>
  <c r="H1681" i="41"/>
  <c r="H1682" i="41"/>
  <c r="H1683" i="41"/>
  <c r="H1684" i="41"/>
  <c r="H1685" i="41"/>
  <c r="H1686" i="41"/>
  <c r="H1687" i="41"/>
  <c r="H1688" i="41"/>
  <c r="H1689" i="41"/>
  <c r="H1690" i="41"/>
  <c r="H1691" i="41"/>
  <c r="H1692" i="41"/>
  <c r="H1693" i="41"/>
  <c r="H1694" i="41"/>
  <c r="H1695" i="41"/>
  <c r="H1696" i="41"/>
  <c r="H1697" i="41"/>
  <c r="H1698" i="41"/>
  <c r="H1699" i="41"/>
  <c r="H1700" i="41"/>
  <c r="H1701" i="41"/>
  <c r="H1702" i="41"/>
  <c r="H1703" i="41"/>
  <c r="H1704" i="41"/>
  <c r="H1705" i="41"/>
  <c r="H1706" i="41"/>
  <c r="H1707" i="41"/>
  <c r="H1708" i="41"/>
  <c r="H1709" i="41"/>
  <c r="H1710" i="41"/>
  <c r="H1711" i="41"/>
  <c r="H1712" i="41"/>
  <c r="H1713" i="41"/>
  <c r="H1714" i="41"/>
  <c r="H1715" i="41"/>
  <c r="H1716" i="41"/>
  <c r="H1717" i="41"/>
  <c r="H1718" i="41"/>
  <c r="H1719" i="41"/>
  <c r="H1720" i="41"/>
  <c r="H1721" i="41"/>
  <c r="H1722" i="41"/>
  <c r="H1723" i="41"/>
  <c r="H1724" i="41"/>
  <c r="H1725" i="41"/>
  <c r="H1726" i="41"/>
  <c r="H1727" i="41"/>
  <c r="H1728" i="41"/>
  <c r="H1729" i="41"/>
  <c r="H1730" i="41"/>
  <c r="H1731" i="41"/>
  <c r="H1732" i="41"/>
  <c r="H1733" i="41"/>
  <c r="H1734" i="41"/>
  <c r="H1735" i="41"/>
  <c r="H1736" i="41"/>
  <c r="H1737" i="41"/>
  <c r="H1738" i="41"/>
  <c r="H1739" i="41"/>
  <c r="H1740" i="41"/>
  <c r="H1741" i="41"/>
  <c r="H1742" i="41"/>
  <c r="H1743" i="41"/>
  <c r="H1744" i="41"/>
  <c r="H1745" i="41"/>
  <c r="H1746" i="41"/>
  <c r="H1747" i="41"/>
  <c r="H1748" i="41"/>
  <c r="H1749" i="41"/>
  <c r="H1750" i="41"/>
  <c r="H1751" i="41"/>
  <c r="H1752" i="41"/>
  <c r="H1753" i="41"/>
  <c r="H1754" i="41"/>
  <c r="H1755" i="41"/>
  <c r="H1756" i="41"/>
  <c r="H1757" i="41"/>
  <c r="H1758" i="41"/>
  <c r="H1759" i="41"/>
  <c r="H1760" i="41"/>
  <c r="H1761" i="41"/>
  <c r="H1762" i="41"/>
  <c r="H1763" i="41"/>
  <c r="H1764" i="41"/>
  <c r="H1765" i="41"/>
  <c r="H1766" i="41"/>
  <c r="H1767" i="41"/>
  <c r="H1768" i="41"/>
  <c r="H1769" i="41"/>
  <c r="H1770" i="41"/>
  <c r="H1771" i="41"/>
  <c r="H1772" i="41"/>
  <c r="H1773" i="41"/>
  <c r="H1774" i="41"/>
  <c r="H1775" i="41"/>
  <c r="H1776" i="41"/>
  <c r="H1777" i="41"/>
  <c r="H1778" i="41"/>
  <c r="H1779" i="41"/>
  <c r="H1780" i="41"/>
  <c r="H1781" i="41"/>
  <c r="H1782" i="41"/>
  <c r="H1783" i="41"/>
  <c r="H1784" i="41"/>
  <c r="H1785" i="41"/>
  <c r="H1786" i="41"/>
  <c r="H1787" i="41"/>
  <c r="H1788" i="41"/>
  <c r="H1789" i="41"/>
  <c r="H1790" i="41"/>
  <c r="H1791" i="41"/>
  <c r="H1792" i="41"/>
  <c r="H1793" i="41"/>
  <c r="H1794" i="41"/>
  <c r="H1795" i="41"/>
  <c r="H1796" i="41"/>
  <c r="H1797" i="41"/>
  <c r="H1798" i="41"/>
  <c r="H1799" i="41"/>
  <c r="H1800" i="41"/>
  <c r="H1801" i="41"/>
  <c r="H1802" i="41"/>
  <c r="H1803" i="41"/>
  <c r="H1804" i="41"/>
  <c r="H1805" i="41"/>
  <c r="H1806" i="41"/>
  <c r="H1807" i="41"/>
  <c r="H1808" i="41"/>
  <c r="H1809" i="41"/>
  <c r="H1810" i="41"/>
  <c r="H1811" i="41"/>
  <c r="H1812" i="41"/>
  <c r="H1813" i="41"/>
  <c r="H1814" i="41"/>
  <c r="H1815" i="41"/>
  <c r="H1816" i="41"/>
  <c r="H1817" i="41"/>
  <c r="H1818" i="41"/>
  <c r="H1819" i="41"/>
  <c r="H1820" i="41"/>
  <c r="H1821" i="41"/>
  <c r="H1822" i="41"/>
  <c r="H1823" i="41"/>
  <c r="H1824" i="41"/>
  <c r="H1825" i="41"/>
  <c r="H1826" i="41"/>
  <c r="H1827" i="41"/>
  <c r="H1828" i="41"/>
  <c r="H1829" i="41"/>
  <c r="H1830" i="41"/>
  <c r="H1831" i="41"/>
  <c r="H1832" i="41"/>
  <c r="H1833" i="41"/>
  <c r="H1834" i="41"/>
  <c r="H1835" i="41"/>
  <c r="H1836" i="41"/>
  <c r="H1837" i="41"/>
  <c r="H1838" i="41"/>
  <c r="H1839" i="41"/>
  <c r="H1840" i="41"/>
  <c r="H1841" i="41"/>
  <c r="H1842" i="41"/>
  <c r="H1843" i="41"/>
  <c r="H1844" i="41"/>
  <c r="H1845" i="41"/>
  <c r="H1846" i="41"/>
  <c r="H1847" i="41"/>
  <c r="H1848" i="41"/>
  <c r="H1849" i="41"/>
  <c r="H1850" i="41"/>
  <c r="H1851" i="41"/>
  <c r="H1852" i="41"/>
  <c r="H1853" i="41"/>
  <c r="H1854" i="41"/>
  <c r="H1855" i="41"/>
  <c r="H1856" i="41"/>
  <c r="H1857" i="41"/>
  <c r="H1858" i="41"/>
  <c r="H1859" i="41"/>
  <c r="H1860" i="41"/>
  <c r="H1861" i="41"/>
  <c r="H1862" i="41"/>
  <c r="H1863" i="41"/>
  <c r="H1864" i="41"/>
  <c r="H1865" i="41"/>
  <c r="H1866" i="41"/>
  <c r="H1867" i="41"/>
  <c r="H1868" i="41"/>
  <c r="H1869" i="41"/>
  <c r="H1870" i="41"/>
  <c r="H1871" i="41"/>
  <c r="H1872" i="41"/>
  <c r="H1873" i="41"/>
  <c r="H1874" i="41"/>
  <c r="H1875" i="41"/>
  <c r="H1876" i="41"/>
  <c r="H1877" i="41"/>
  <c r="H1878" i="41"/>
  <c r="H1879" i="41"/>
  <c r="H1880" i="41"/>
  <c r="H1881" i="41"/>
  <c r="H1882" i="41"/>
  <c r="H1883" i="41"/>
  <c r="H1884" i="41"/>
  <c r="H1885" i="41"/>
  <c r="H1886" i="41"/>
  <c r="H1887" i="41"/>
  <c r="H1888" i="41"/>
  <c r="H1889" i="41"/>
  <c r="H1890" i="41"/>
  <c r="H1891" i="41"/>
  <c r="H1892" i="41"/>
  <c r="H1893" i="41"/>
  <c r="H1894" i="41"/>
  <c r="H1895" i="41"/>
  <c r="H1896" i="41"/>
  <c r="H1897" i="41"/>
  <c r="H1898" i="41"/>
  <c r="H1899" i="41"/>
  <c r="H1900" i="41"/>
  <c r="H1901" i="41"/>
  <c r="H1902" i="41"/>
  <c r="H1903" i="41"/>
  <c r="H1904" i="41"/>
  <c r="H1905" i="41"/>
  <c r="H1906" i="41"/>
  <c r="H1907" i="41"/>
  <c r="H1908" i="41"/>
  <c r="H1909" i="41"/>
  <c r="H1910" i="41"/>
  <c r="H1911" i="41"/>
  <c r="H1912" i="41"/>
  <c r="H1913" i="41"/>
  <c r="H1914" i="41"/>
  <c r="H1915" i="41"/>
  <c r="H1916" i="41"/>
  <c r="H1917" i="41"/>
  <c r="H1918" i="41"/>
  <c r="H1919" i="41"/>
  <c r="H1920" i="41"/>
  <c r="H1921" i="41"/>
  <c r="H1922" i="41"/>
  <c r="H1923" i="41"/>
  <c r="H1924" i="41"/>
  <c r="H1925" i="41"/>
  <c r="H1926" i="41"/>
  <c r="H1927" i="41"/>
  <c r="H1928" i="41"/>
  <c r="H1929" i="41"/>
  <c r="H1930" i="41"/>
  <c r="H1931" i="41"/>
  <c r="H1932" i="41"/>
  <c r="H1933" i="41"/>
  <c r="H1934" i="41"/>
  <c r="H1935" i="41"/>
  <c r="H1936" i="41"/>
  <c r="H1937" i="41"/>
  <c r="H1938" i="41"/>
  <c r="H1939" i="41"/>
  <c r="H1940" i="41"/>
  <c r="H1941" i="41"/>
  <c r="H1942" i="41"/>
  <c r="H1943" i="41"/>
  <c r="H1944" i="41"/>
  <c r="H1945" i="41"/>
  <c r="H1946" i="41"/>
  <c r="H1947" i="41"/>
  <c r="H1948" i="41"/>
  <c r="H1949" i="41"/>
  <c r="H1950" i="41"/>
  <c r="H1951" i="41"/>
  <c r="H1952" i="41"/>
  <c r="H1953" i="41"/>
  <c r="H1954" i="41"/>
  <c r="H1955" i="41"/>
  <c r="H1956" i="41"/>
  <c r="H1957" i="41"/>
  <c r="H1958" i="41"/>
  <c r="H1959" i="41"/>
  <c r="H1960" i="41"/>
  <c r="H1961" i="41"/>
  <c r="H1962" i="41"/>
  <c r="H1963" i="41"/>
  <c r="H1964" i="41"/>
  <c r="H1965" i="41"/>
  <c r="H1966" i="41"/>
  <c r="H1967" i="41"/>
  <c r="H1968" i="41"/>
  <c r="H1969" i="41"/>
  <c r="H1970" i="41"/>
  <c r="H1971" i="41"/>
  <c r="H1972" i="41"/>
  <c r="H1973" i="41"/>
  <c r="H1974" i="41"/>
  <c r="H1975" i="41"/>
  <c r="H1976" i="41"/>
  <c r="H1977" i="41"/>
  <c r="H1978" i="41"/>
  <c r="H1979" i="41"/>
  <c r="H1980" i="41"/>
  <c r="H1981" i="41"/>
  <c r="H1982" i="41"/>
  <c r="H1983" i="41"/>
  <c r="H1984" i="41"/>
  <c r="H1985" i="41"/>
  <c r="H1986" i="41"/>
  <c r="H1987" i="41"/>
  <c r="H1988" i="41"/>
  <c r="H1996" i="41"/>
  <c r="H1997" i="41"/>
  <c r="H1998" i="41"/>
  <c r="H1999" i="41"/>
  <c r="H2000" i="41"/>
  <c r="H2001" i="41"/>
  <c r="H2002" i="41"/>
  <c r="H2003" i="41"/>
  <c r="H2004" i="41"/>
  <c r="H2005" i="41"/>
  <c r="H2006" i="41"/>
  <c r="H2007" i="41"/>
  <c r="H2008" i="41"/>
  <c r="H2009" i="41"/>
  <c r="H2010" i="41"/>
  <c r="H2011" i="41"/>
  <c r="H2012" i="41"/>
  <c r="H2013" i="41"/>
  <c r="H2014" i="41"/>
  <c r="H2015" i="41"/>
  <c r="H2016" i="41"/>
  <c r="H2017" i="41"/>
  <c r="H2018" i="41"/>
  <c r="H2019" i="41"/>
  <c r="H2020" i="41"/>
  <c r="H2021" i="41"/>
  <c r="H2022" i="41"/>
  <c r="H2023" i="41"/>
  <c r="H2024" i="41"/>
  <c r="H2025" i="41"/>
  <c r="H2026" i="41"/>
  <c r="H2027" i="41"/>
  <c r="H2028" i="41"/>
  <c r="H2029" i="41"/>
  <c r="H2030" i="41"/>
  <c r="H2031" i="41"/>
  <c r="H2032" i="41"/>
  <c r="H2033" i="41"/>
  <c r="H2034" i="41"/>
  <c r="H2035" i="41"/>
  <c r="H2036" i="41"/>
  <c r="H2037" i="41"/>
  <c r="H2038" i="41"/>
  <c r="H2039" i="41"/>
  <c r="H2040" i="41"/>
  <c r="H2041" i="41"/>
  <c r="H2042" i="41"/>
  <c r="H2043" i="41"/>
  <c r="H2044" i="41"/>
  <c r="H2045" i="41"/>
  <c r="H2046" i="41"/>
  <c r="H2047" i="41"/>
  <c r="H2048" i="41"/>
  <c r="H2049" i="41"/>
  <c r="H2050" i="41"/>
  <c r="H2051" i="41"/>
  <c r="H2052" i="41"/>
  <c r="H2053" i="41"/>
  <c r="H2054" i="41"/>
  <c r="H2055" i="41"/>
  <c r="H2056" i="41"/>
  <c r="H2057" i="41"/>
  <c r="H2058" i="41"/>
  <c r="H2059" i="41"/>
  <c r="H2060" i="41"/>
  <c r="H2061" i="41"/>
  <c r="H2062" i="41"/>
  <c r="H2063" i="41"/>
  <c r="H2064" i="41"/>
  <c r="H2065" i="41"/>
  <c r="H2066" i="41"/>
  <c r="H2067" i="41"/>
  <c r="H2068" i="41"/>
  <c r="H2069" i="41"/>
  <c r="H2070" i="41"/>
  <c r="H2071" i="41"/>
  <c r="H2072" i="41"/>
  <c r="H2073" i="41"/>
  <c r="H2074" i="41"/>
  <c r="H2075" i="41"/>
  <c r="H2076" i="41"/>
  <c r="H2077" i="41"/>
  <c r="H2078" i="41"/>
  <c r="H2079" i="41"/>
  <c r="H2080" i="41"/>
  <c r="H2081" i="41"/>
  <c r="H2082" i="41"/>
  <c r="H2083" i="41"/>
  <c r="H2084" i="41"/>
  <c r="H2085" i="41"/>
  <c r="H2086" i="41"/>
  <c r="H2087" i="41"/>
  <c r="H2088" i="41"/>
  <c r="H2089" i="41"/>
  <c r="H2090" i="41"/>
  <c r="H2091" i="41"/>
  <c r="H2092" i="41"/>
  <c r="H2093" i="41"/>
  <c r="H2094" i="41"/>
  <c r="H2095" i="41"/>
  <c r="H2096" i="41"/>
  <c r="H2097" i="41"/>
  <c r="H2098" i="41"/>
  <c r="H6" i="41"/>
  <c r="A310" i="50"/>
  <c r="A309" i="50"/>
  <c r="A308" i="50"/>
  <c r="A307" i="50"/>
  <c r="A306" i="50"/>
  <c r="A305" i="50"/>
  <c r="A304" i="50"/>
  <c r="A303" i="50"/>
  <c r="A302" i="50"/>
  <c r="A301" i="50"/>
  <c r="A300" i="50"/>
  <c r="A299" i="50"/>
  <c r="A298" i="50"/>
  <c r="A297" i="50"/>
  <c r="A296" i="50"/>
  <c r="A295" i="50"/>
  <c r="A294" i="50"/>
  <c r="A293" i="50"/>
  <c r="A292" i="50"/>
  <c r="A291" i="50"/>
  <c r="A290" i="50"/>
  <c r="A289" i="50"/>
  <c r="A288" i="50"/>
  <c r="A287" i="50"/>
  <c r="A286" i="50"/>
  <c r="A285" i="50"/>
  <c r="A284" i="50"/>
  <c r="A283" i="50"/>
  <c r="A282" i="50"/>
  <c r="A281" i="50"/>
  <c r="A280" i="50"/>
  <c r="A279" i="50"/>
  <c r="A278" i="50"/>
  <c r="A277" i="50"/>
  <c r="A276" i="50"/>
  <c r="A275" i="50"/>
  <c r="A274" i="50"/>
  <c r="A273" i="50"/>
  <c r="A272" i="50"/>
  <c r="A271" i="50"/>
  <c r="A270" i="50"/>
  <c r="A269" i="50"/>
  <c r="A268" i="50"/>
  <c r="A267" i="50"/>
  <c r="A266" i="50"/>
  <c r="A265" i="50"/>
  <c r="A264" i="50"/>
  <c r="A263" i="50"/>
  <c r="A262" i="50"/>
  <c r="A261" i="50"/>
  <c r="A260" i="50"/>
  <c r="A259" i="50"/>
  <c r="A258" i="50"/>
  <c r="A257" i="50"/>
  <c r="A256" i="50"/>
  <c r="A255" i="50"/>
  <c r="A254" i="50"/>
  <c r="A253" i="50"/>
  <c r="A252" i="50"/>
  <c r="A251" i="50"/>
  <c r="A250" i="50"/>
  <c r="A249" i="50"/>
  <c r="A248" i="50"/>
  <c r="A247" i="50"/>
  <c r="A246" i="50"/>
  <c r="A245" i="50"/>
  <c r="A244" i="50"/>
  <c r="A243" i="50"/>
  <c r="A242" i="50"/>
  <c r="A241" i="50"/>
  <c r="A240" i="50"/>
  <c r="A239" i="50"/>
  <c r="A238" i="50"/>
  <c r="A237" i="50"/>
  <c r="A236" i="50"/>
  <c r="A235" i="50"/>
  <c r="A234" i="50"/>
  <c r="A233" i="50"/>
  <c r="A232" i="50"/>
  <c r="A231" i="50"/>
  <c r="A230" i="50"/>
  <c r="A229" i="50"/>
  <c r="A228" i="50"/>
  <c r="A227" i="50"/>
  <c r="A226" i="50"/>
  <c r="A225" i="50"/>
  <c r="A224" i="50"/>
  <c r="A223" i="50"/>
  <c r="A222" i="50"/>
  <c r="A221" i="50"/>
  <c r="A220" i="50"/>
  <c r="A219" i="50"/>
  <c r="A218" i="50"/>
  <c r="A217" i="50"/>
  <c r="A216" i="50"/>
  <c r="A215" i="50"/>
  <c r="A214" i="50"/>
  <c r="A213" i="50"/>
  <c r="A212" i="50"/>
  <c r="A211" i="50"/>
  <c r="A210" i="50"/>
  <c r="A209" i="50"/>
  <c r="A208" i="50"/>
  <c r="A207" i="50"/>
  <c r="A206" i="50"/>
  <c r="A205" i="50"/>
  <c r="A204" i="50"/>
  <c r="A203" i="50"/>
  <c r="A202" i="50"/>
  <c r="A201" i="50"/>
  <c r="A200" i="50"/>
  <c r="A199" i="50"/>
  <c r="A198" i="50"/>
  <c r="A197" i="50"/>
  <c r="A196" i="50"/>
  <c r="A195" i="50"/>
  <c r="A194" i="50"/>
  <c r="A193" i="50"/>
  <c r="A192" i="50"/>
  <c r="A191" i="50"/>
  <c r="A190" i="50"/>
  <c r="A189" i="50"/>
  <c r="A188" i="50"/>
  <c r="A187" i="50"/>
  <c r="A186" i="50"/>
  <c r="A185" i="50"/>
  <c r="A184" i="50"/>
  <c r="A183" i="50"/>
  <c r="A182" i="50"/>
  <c r="A181" i="50"/>
  <c r="A180" i="50"/>
  <c r="A179" i="50"/>
  <c r="A178" i="50"/>
  <c r="A177" i="50"/>
  <c r="A176" i="50"/>
  <c r="A175" i="50"/>
  <c r="A174" i="50"/>
  <c r="A173" i="50"/>
  <c r="A172" i="50"/>
  <c r="A171" i="50"/>
  <c r="A170" i="50"/>
  <c r="A169" i="50"/>
  <c r="A168" i="50"/>
  <c r="A167" i="50"/>
  <c r="A166" i="50"/>
  <c r="A165" i="50"/>
  <c r="A164" i="50"/>
  <c r="A163" i="50"/>
  <c r="A162" i="50"/>
  <c r="A161" i="50"/>
  <c r="A160" i="50"/>
  <c r="A159" i="50"/>
  <c r="A158" i="50"/>
  <c r="A157" i="50"/>
  <c r="A156" i="50"/>
  <c r="A155" i="50"/>
  <c r="A154" i="50"/>
  <c r="A153" i="50"/>
  <c r="A152" i="50"/>
  <c r="A151" i="50"/>
  <c r="A150" i="50"/>
  <c r="A149" i="50"/>
  <c r="A148" i="50"/>
  <c r="A147" i="50"/>
  <c r="A146" i="50"/>
  <c r="A145" i="50"/>
  <c r="A144" i="50"/>
  <c r="A143" i="50"/>
  <c r="A142" i="50"/>
  <c r="A141" i="50"/>
  <c r="A140" i="50"/>
  <c r="A19" i="50"/>
  <c r="A20" i="50"/>
  <c r="A21" i="50"/>
  <c r="A22" i="50"/>
  <c r="A23" i="50"/>
  <c r="A24" i="50"/>
  <c r="A25" i="50"/>
  <c r="A26" i="50"/>
  <c r="A27" i="50"/>
  <c r="A28" i="50"/>
  <c r="A29" i="50"/>
  <c r="A30" i="50"/>
  <c r="A31" i="50"/>
  <c r="A32" i="50"/>
  <c r="A33" i="50"/>
  <c r="A34" i="50"/>
  <c r="A35" i="50"/>
  <c r="A36" i="50"/>
  <c r="A37" i="50"/>
  <c r="A38" i="50"/>
  <c r="A39" i="50"/>
  <c r="A40" i="50"/>
  <c r="A41" i="50"/>
  <c r="A42" i="50"/>
  <c r="A43" i="50"/>
  <c r="A44" i="50"/>
  <c r="A45" i="50"/>
  <c r="A46" i="50"/>
  <c r="A47" i="50"/>
  <c r="A48" i="50"/>
  <c r="A49" i="50"/>
  <c r="A50" i="50"/>
  <c r="A51" i="50"/>
  <c r="A52" i="50"/>
  <c r="A53" i="50"/>
  <c r="A54" i="50"/>
  <c r="A55" i="50"/>
  <c r="A56" i="50"/>
  <c r="A57" i="50"/>
  <c r="A58" i="50"/>
  <c r="A59" i="50"/>
  <c r="A60" i="50"/>
  <c r="A61" i="50"/>
  <c r="A62" i="50"/>
  <c r="A63" i="50"/>
  <c r="A64" i="50"/>
  <c r="A65" i="50"/>
  <c r="A66" i="50"/>
  <c r="A67" i="50"/>
  <c r="A68" i="50"/>
  <c r="A69" i="50"/>
  <c r="A70" i="50"/>
  <c r="A71" i="50"/>
  <c r="A72" i="50"/>
  <c r="A73" i="50"/>
  <c r="A74" i="50"/>
  <c r="A75" i="50"/>
  <c r="A76" i="50"/>
  <c r="A77" i="50"/>
  <c r="A78" i="50"/>
  <c r="A79" i="50"/>
  <c r="A80" i="50"/>
  <c r="A81" i="50"/>
  <c r="A82" i="50"/>
  <c r="A83" i="50"/>
  <c r="A84" i="50"/>
  <c r="A85" i="50"/>
  <c r="A86" i="50"/>
  <c r="A87" i="50"/>
  <c r="A88" i="50"/>
  <c r="A89" i="50"/>
  <c r="A90" i="50"/>
  <c r="A91" i="50"/>
  <c r="A92" i="50"/>
  <c r="A93" i="50"/>
  <c r="A94" i="50"/>
  <c r="A95" i="50"/>
  <c r="A96" i="50"/>
  <c r="A97" i="50"/>
  <c r="A98" i="50"/>
  <c r="A99" i="50"/>
  <c r="A100" i="50"/>
  <c r="A101" i="50"/>
  <c r="A102" i="50"/>
  <c r="A103" i="50"/>
  <c r="A104" i="50"/>
  <c r="A105" i="50"/>
  <c r="A106" i="50"/>
  <c r="A107" i="50"/>
  <c r="A108" i="50"/>
  <c r="A109" i="50"/>
  <c r="A110" i="50"/>
  <c r="A111" i="50"/>
  <c r="A112" i="50"/>
  <c r="A113" i="50"/>
  <c r="A114" i="50"/>
  <c r="A115" i="50"/>
  <c r="A116" i="50"/>
  <c r="A117" i="50"/>
  <c r="A118" i="50"/>
  <c r="A119" i="50"/>
  <c r="A120" i="50"/>
  <c r="A121" i="50"/>
  <c r="A122" i="50"/>
  <c r="A123" i="50"/>
  <c r="A124" i="50"/>
  <c r="A125" i="50"/>
  <c r="A126" i="50"/>
  <c r="A127" i="50"/>
  <c r="A128" i="50"/>
  <c r="A129" i="50"/>
  <c r="A130" i="50"/>
  <c r="A131" i="50"/>
  <c r="A132" i="50"/>
  <c r="A133" i="50"/>
  <c r="A134" i="50"/>
  <c r="A135" i="50"/>
  <c r="A136" i="50"/>
  <c r="A137" i="50"/>
  <c r="A138" i="50"/>
  <c r="A139" i="50"/>
  <c r="A18" i="50"/>
  <c r="A17" i="50"/>
  <c r="A16" i="50"/>
  <c r="A15" i="50"/>
  <c r="A14" i="50"/>
  <c r="A13" i="50"/>
  <c r="A12" i="50"/>
  <c r="A11" i="50"/>
  <c r="A10" i="50"/>
  <c r="A9" i="50"/>
  <c r="A8" i="50"/>
  <c r="A7" i="50"/>
  <c r="A6" i="50"/>
  <c r="A5" i="50"/>
  <c r="A4" i="50"/>
  <c r="A3" i="50"/>
  <c r="A2" i="50"/>
  <c r="F91" i="40"/>
  <c r="G91" i="40"/>
  <c r="H91" i="40"/>
  <c r="I91" i="40"/>
  <c r="J91" i="40"/>
  <c r="K91" i="40"/>
  <c r="L91" i="40"/>
  <c r="M91" i="40"/>
  <c r="N91" i="40"/>
  <c r="O91" i="40"/>
  <c r="P91" i="40"/>
  <c r="Q91" i="40"/>
  <c r="R91" i="40"/>
  <c r="F92" i="40"/>
  <c r="G92" i="40"/>
  <c r="H92" i="40"/>
  <c r="I92" i="40"/>
  <c r="J92" i="40"/>
  <c r="K92" i="40"/>
  <c r="L92" i="40"/>
  <c r="M92" i="40"/>
  <c r="N92" i="40"/>
  <c r="O92" i="40"/>
  <c r="P92" i="40"/>
  <c r="Q92" i="40"/>
  <c r="R92" i="40"/>
  <c r="F93" i="40"/>
  <c r="G93" i="40"/>
  <c r="H93" i="40"/>
  <c r="I93" i="40"/>
  <c r="J93" i="40"/>
  <c r="K93" i="40"/>
  <c r="L93" i="40"/>
  <c r="M93" i="40"/>
  <c r="N93" i="40"/>
  <c r="O93" i="40"/>
  <c r="P93" i="40"/>
  <c r="Q93" i="40"/>
  <c r="R93" i="40"/>
  <c r="F94" i="40"/>
  <c r="G94" i="40"/>
  <c r="H94" i="40"/>
  <c r="I94" i="40"/>
  <c r="J94" i="40"/>
  <c r="K94" i="40"/>
  <c r="L94" i="40"/>
  <c r="M94" i="40"/>
  <c r="N94" i="40"/>
  <c r="O94" i="40"/>
  <c r="P94" i="40"/>
  <c r="Q94" i="40"/>
  <c r="R94" i="40"/>
  <c r="F95" i="40"/>
  <c r="G95" i="40"/>
  <c r="H95" i="40"/>
  <c r="I95" i="40"/>
  <c r="J95" i="40"/>
  <c r="K95" i="40"/>
  <c r="L95" i="40"/>
  <c r="M95" i="40"/>
  <c r="N95" i="40"/>
  <c r="O95" i="40"/>
  <c r="P95" i="40"/>
  <c r="Q95" i="40"/>
  <c r="R95" i="40"/>
  <c r="F96" i="40"/>
  <c r="G96" i="40"/>
  <c r="H96" i="40"/>
  <c r="I96" i="40"/>
  <c r="J96" i="40"/>
  <c r="K96" i="40"/>
  <c r="L96" i="40"/>
  <c r="M96" i="40"/>
  <c r="N96" i="40"/>
  <c r="O96" i="40"/>
  <c r="P96" i="40"/>
  <c r="Q96" i="40"/>
  <c r="R96" i="40"/>
  <c r="F97" i="40"/>
  <c r="G97" i="40"/>
  <c r="H97" i="40"/>
  <c r="I97" i="40"/>
  <c r="J97" i="40"/>
  <c r="K97" i="40"/>
  <c r="L97" i="40"/>
  <c r="M97" i="40"/>
  <c r="N97" i="40"/>
  <c r="O97" i="40"/>
  <c r="P97" i="40"/>
  <c r="Q97" i="40"/>
  <c r="R97" i="40"/>
  <c r="M76" i="40"/>
  <c r="F81" i="40"/>
  <c r="G81" i="40"/>
  <c r="H81" i="40"/>
  <c r="I81" i="40"/>
  <c r="J81" i="40"/>
  <c r="K81" i="40"/>
  <c r="L81" i="40"/>
  <c r="M81" i="40"/>
  <c r="N81" i="40"/>
  <c r="O81" i="40"/>
  <c r="P81" i="40"/>
  <c r="Q81" i="40"/>
  <c r="R81" i="40"/>
  <c r="F82" i="40"/>
  <c r="G82" i="40"/>
  <c r="H82" i="40"/>
  <c r="I82" i="40"/>
  <c r="J82" i="40"/>
  <c r="K82" i="40"/>
  <c r="L82" i="40"/>
  <c r="M82" i="40"/>
  <c r="N82" i="40"/>
  <c r="O82" i="40"/>
  <c r="P82" i="40"/>
  <c r="Q82" i="40"/>
  <c r="R82" i="40"/>
  <c r="AH98" i="40"/>
  <c r="AG98" i="40"/>
  <c r="AF98" i="40"/>
  <c r="AE98" i="40"/>
  <c r="AD98" i="40"/>
  <c r="AC98" i="40"/>
  <c r="AB98" i="40"/>
  <c r="AH97" i="40"/>
  <c r="AG97" i="40"/>
  <c r="AF97" i="40"/>
  <c r="AE97" i="40"/>
  <c r="AD97" i="40"/>
  <c r="AC97" i="40"/>
  <c r="AB97" i="40"/>
  <c r="AH96" i="40"/>
  <c r="AG96" i="40"/>
  <c r="AF96" i="40"/>
  <c r="AE96" i="40"/>
  <c r="AD96" i="40"/>
  <c r="AC96" i="40"/>
  <c r="AB96" i="40"/>
  <c r="AH95" i="40"/>
  <c r="AG95" i="40"/>
  <c r="AF95" i="40"/>
  <c r="AE95" i="40"/>
  <c r="AD95" i="40"/>
  <c r="AC95" i="40"/>
  <c r="AB95" i="40"/>
  <c r="AH94" i="40"/>
  <c r="AG94" i="40"/>
  <c r="AF94" i="40"/>
  <c r="AE94" i="40"/>
  <c r="AD94" i="40"/>
  <c r="AC94" i="40"/>
  <c r="AB94" i="40"/>
  <c r="AH93" i="40"/>
  <c r="AG93" i="40"/>
  <c r="AF93" i="40"/>
  <c r="AE93" i="40"/>
  <c r="AD93" i="40"/>
  <c r="AC93" i="40"/>
  <c r="AB93" i="40"/>
  <c r="AH92" i="40"/>
  <c r="AG92" i="40"/>
  <c r="AF92" i="40"/>
  <c r="AE92" i="40"/>
  <c r="AD92" i="40"/>
  <c r="AC92" i="40"/>
  <c r="AB92" i="40"/>
  <c r="AH91" i="40"/>
  <c r="AG91" i="40"/>
  <c r="AF91" i="40"/>
  <c r="AE91" i="40"/>
  <c r="AD91" i="40"/>
  <c r="AC91" i="40"/>
  <c r="AB91" i="40"/>
  <c r="AH90" i="40"/>
  <c r="AG90" i="40"/>
  <c r="AF90" i="40"/>
  <c r="AE90" i="40"/>
  <c r="AD90" i="40"/>
  <c r="AC90" i="40"/>
  <c r="AB90" i="40"/>
  <c r="AH89" i="40"/>
  <c r="AG89" i="40"/>
  <c r="AF89" i="40"/>
  <c r="AE89" i="40"/>
  <c r="AD89" i="40"/>
  <c r="AC89" i="40"/>
  <c r="AB89" i="40"/>
  <c r="AH88" i="40"/>
  <c r="AG88" i="40"/>
  <c r="AF88" i="40"/>
  <c r="AE88" i="40"/>
  <c r="AD88" i="40"/>
  <c r="AC88" i="40"/>
  <c r="AB88" i="40"/>
  <c r="AH87" i="40"/>
  <c r="AG87" i="40"/>
  <c r="AF87" i="40"/>
  <c r="AE87" i="40"/>
  <c r="AD87" i="40"/>
  <c r="AC87" i="40"/>
  <c r="AB87" i="40"/>
  <c r="AH84" i="40"/>
  <c r="AG84" i="40"/>
  <c r="AF84" i="40"/>
  <c r="AE84" i="40"/>
  <c r="AD84" i="40"/>
  <c r="AC84" i="40"/>
  <c r="AB84" i="40"/>
  <c r="AH83" i="40"/>
  <c r="AG83" i="40"/>
  <c r="AF83" i="40"/>
  <c r="AE83" i="40"/>
  <c r="AD83" i="40"/>
  <c r="AC83" i="40"/>
  <c r="AB83" i="40"/>
  <c r="AH82" i="40"/>
  <c r="AG82" i="40"/>
  <c r="AF82" i="40"/>
  <c r="AE82" i="40"/>
  <c r="AD82" i="40"/>
  <c r="AC82" i="40"/>
  <c r="AB82" i="40"/>
  <c r="AH81" i="40"/>
  <c r="AG81" i="40"/>
  <c r="AF81" i="40"/>
  <c r="AE81" i="40"/>
  <c r="AD81" i="40"/>
  <c r="AC81" i="40"/>
  <c r="AB81" i="40"/>
  <c r="AH80" i="40"/>
  <c r="AG80" i="40"/>
  <c r="AF80" i="40"/>
  <c r="AE80" i="40"/>
  <c r="AD80" i="40"/>
  <c r="AC80" i="40"/>
  <c r="AB80" i="40"/>
  <c r="AH79" i="40"/>
  <c r="AG79" i="40"/>
  <c r="AF79" i="40"/>
  <c r="AE79" i="40"/>
  <c r="AD79" i="40"/>
  <c r="AC79" i="40"/>
  <c r="AB79" i="40"/>
  <c r="AH78" i="40"/>
  <c r="AG78" i="40"/>
  <c r="AF78" i="40"/>
  <c r="AE78" i="40"/>
  <c r="AD78" i="40"/>
  <c r="AC78" i="40"/>
  <c r="AB78" i="40"/>
  <c r="AH77" i="40"/>
  <c r="AG77" i="40"/>
  <c r="AF77" i="40"/>
  <c r="AE77" i="40"/>
  <c r="AD77" i="40"/>
  <c r="AC77" i="40"/>
  <c r="AB77" i="40"/>
  <c r="AH76" i="40"/>
  <c r="AG76" i="40"/>
  <c r="AF76" i="40"/>
  <c r="AE76" i="40"/>
  <c r="AD76" i="40"/>
  <c r="AC76" i="40"/>
  <c r="AB76" i="40"/>
  <c r="AH75" i="40"/>
  <c r="AG75" i="40"/>
  <c r="AF75" i="40"/>
  <c r="AE75" i="40"/>
  <c r="AD75" i="40"/>
  <c r="AC75" i="40"/>
  <c r="AB75" i="40"/>
  <c r="AH74" i="40"/>
  <c r="AG74" i="40"/>
  <c r="AF74" i="40"/>
  <c r="AE74" i="40"/>
  <c r="AD74" i="40"/>
  <c r="AC74" i="40"/>
  <c r="AB74" i="40"/>
  <c r="AH73" i="40"/>
  <c r="AG73" i="40"/>
  <c r="AF73" i="40"/>
  <c r="AE73" i="40"/>
  <c r="AD73" i="40"/>
  <c r="AC73" i="40"/>
  <c r="AB73" i="40"/>
  <c r="AK94" i="40" l="1"/>
  <c r="AK91" i="40"/>
  <c r="AK82" i="40"/>
  <c r="AK77" i="40"/>
  <c r="AK81" i="40"/>
  <c r="AK97" i="40"/>
  <c r="AK93" i="40"/>
  <c r="AK80" i="40"/>
  <c r="AK96" i="40"/>
  <c r="AK92" i="40"/>
  <c r="AK79" i="40"/>
  <c r="AK95" i="40"/>
  <c r="CC8" i="40"/>
  <c r="BY8" i="40"/>
  <c r="CB8" i="40"/>
  <c r="CA9" i="40"/>
  <c r="CA10" i="40"/>
  <c r="CA11" i="40"/>
  <c r="CA12" i="40"/>
  <c r="CA13" i="40"/>
  <c r="CA14" i="40"/>
  <c r="CA15" i="40"/>
  <c r="CA16" i="40"/>
  <c r="CA17" i="40"/>
  <c r="CA18" i="40"/>
  <c r="CA19" i="40"/>
  <c r="CA20" i="40"/>
  <c r="CA21" i="40"/>
  <c r="CA22" i="40"/>
  <c r="CA23" i="40"/>
  <c r="CA24" i="40"/>
  <c r="CA25" i="40"/>
  <c r="CA26" i="40"/>
  <c r="CA27" i="40"/>
  <c r="CA28" i="40"/>
  <c r="CA29" i="40"/>
  <c r="CA30" i="40"/>
  <c r="CA31" i="40"/>
  <c r="CA32" i="40"/>
  <c r="CA33" i="40"/>
  <c r="CA34" i="40"/>
  <c r="CA35" i="40"/>
  <c r="CA36" i="40"/>
  <c r="CA37" i="40"/>
  <c r="CA40" i="40"/>
  <c r="CA41" i="40"/>
  <c r="CA42" i="40"/>
  <c r="CA43" i="40"/>
  <c r="CA44" i="40"/>
  <c r="CA45" i="40"/>
  <c r="CA46" i="40"/>
  <c r="CA47" i="40"/>
  <c r="CA48" i="40"/>
  <c r="CA49" i="40"/>
  <c r="CA52" i="40"/>
  <c r="CA53" i="40"/>
  <c r="CA54" i="40"/>
  <c r="CA55" i="40"/>
  <c r="CA56" i="40"/>
  <c r="CA57" i="40"/>
  <c r="CA58" i="40"/>
  <c r="CA59" i="40"/>
  <c r="CA60" i="40"/>
  <c r="CA61" i="40"/>
  <c r="CA62" i="40"/>
  <c r="BZ8" i="40"/>
  <c r="CA8" i="40"/>
  <c r="BX62" i="40"/>
  <c r="BX61" i="40"/>
  <c r="BX60" i="40"/>
  <c r="BX59" i="40"/>
  <c r="BX58" i="40"/>
  <c r="BX57" i="40"/>
  <c r="BX56" i="40"/>
  <c r="BX55" i="40"/>
  <c r="BX54" i="40"/>
  <c r="BX53" i="40"/>
  <c r="BX52" i="40"/>
  <c r="BX49" i="40"/>
  <c r="BX48" i="40"/>
  <c r="BX47" i="40"/>
  <c r="BX46" i="40"/>
  <c r="BX45" i="40"/>
  <c r="BX44" i="40"/>
  <c r="BX43" i="40"/>
  <c r="BX42" i="40"/>
  <c r="BX41" i="40"/>
  <c r="BX40" i="40"/>
  <c r="BX37" i="40"/>
  <c r="BX36" i="40"/>
  <c r="BX35" i="40"/>
  <c r="BX34" i="40"/>
  <c r="BX33" i="40"/>
  <c r="BX32" i="40"/>
  <c r="BX31" i="40"/>
  <c r="BX30" i="40"/>
  <c r="BX29" i="40"/>
  <c r="BX28" i="40"/>
  <c r="BX27" i="40"/>
  <c r="BX26" i="40"/>
  <c r="BX25" i="40"/>
  <c r="BX24" i="40"/>
  <c r="BX23" i="40"/>
  <c r="BX22" i="40"/>
  <c r="BX21" i="40"/>
  <c r="BX20" i="40"/>
  <c r="BX19" i="40"/>
  <c r="BX18" i="40"/>
  <c r="BX17" i="40"/>
  <c r="BX16" i="40"/>
  <c r="BX15" i="40"/>
  <c r="BX14" i="40"/>
  <c r="BX13" i="40"/>
  <c r="BX12" i="40"/>
  <c r="BX11" i="40"/>
  <c r="BX10" i="40"/>
  <c r="BX9" i="40"/>
  <c r="C67" i="37" l="1"/>
  <c r="BH19" i="41" l="1"/>
  <c r="AT38" i="40" l="1"/>
  <c r="AT39" i="40"/>
  <c r="AT50" i="40"/>
  <c r="AT51" i="40"/>
  <c r="C2" i="29"/>
  <c r="C3" i="29"/>
  <c r="AA13" i="49" l="1"/>
  <c r="AB13" i="49" s="1"/>
  <c r="AA26" i="49"/>
  <c r="AB26" i="49" s="1"/>
  <c r="AA8" i="49"/>
  <c r="AB8" i="49" s="1"/>
  <c r="AA6" i="49"/>
  <c r="AB6" i="49" s="1"/>
  <c r="AA7" i="49"/>
  <c r="AB7" i="49" s="1"/>
  <c r="AA9" i="49"/>
  <c r="AB9" i="49" s="1"/>
  <c r="AA10" i="49"/>
  <c r="AB10" i="49" s="1"/>
  <c r="AA11" i="49"/>
  <c r="AB11" i="49" s="1"/>
  <c r="AA12" i="49"/>
  <c r="AB12" i="49" s="1"/>
  <c r="AA14" i="49"/>
  <c r="AB14" i="49" s="1"/>
  <c r="AA15" i="49"/>
  <c r="AB15" i="49" s="1"/>
  <c r="AA16" i="49"/>
  <c r="AB16" i="49" s="1"/>
  <c r="AA17" i="49"/>
  <c r="AB17" i="49" s="1"/>
  <c r="AA18" i="49"/>
  <c r="AB18" i="49" s="1"/>
  <c r="AA19" i="49"/>
  <c r="AB19" i="49" s="1"/>
  <c r="AA20" i="49"/>
  <c r="AB20" i="49" s="1"/>
  <c r="AA21" i="49"/>
  <c r="AB21" i="49" s="1"/>
  <c r="AA22" i="49"/>
  <c r="AB22" i="49" s="1"/>
  <c r="AA23" i="49"/>
  <c r="AB23" i="49" s="1"/>
  <c r="AA24" i="49"/>
  <c r="AB24" i="49" s="1"/>
  <c r="AA25" i="49"/>
  <c r="AB25" i="49" s="1"/>
  <c r="AA27" i="49"/>
  <c r="AB27" i="49" s="1"/>
  <c r="AA28" i="49"/>
  <c r="AB28" i="49" s="1"/>
  <c r="AA29" i="49"/>
  <c r="AB29" i="49" s="1"/>
  <c r="AA30" i="49"/>
  <c r="AB30" i="49" s="1"/>
  <c r="AA31" i="49"/>
  <c r="AB31" i="49" s="1"/>
  <c r="AA32" i="49"/>
  <c r="AB32" i="49" s="1"/>
  <c r="AA33" i="49"/>
  <c r="AB33" i="49" s="1"/>
  <c r="AA34" i="49"/>
  <c r="AB34" i="49" s="1"/>
  <c r="AA35" i="49"/>
  <c r="AB35" i="49" s="1"/>
  <c r="AA36" i="49"/>
  <c r="AB36" i="49" s="1"/>
  <c r="AB37" i="49"/>
  <c r="AA38" i="49"/>
  <c r="AA39" i="49"/>
  <c r="AB39" i="49" s="1"/>
  <c r="AA40" i="49"/>
  <c r="AB40" i="49" s="1"/>
  <c r="AA41" i="49"/>
  <c r="AB41" i="49" s="1"/>
  <c r="AA42" i="49"/>
  <c r="AB42" i="49" s="1"/>
  <c r="AA43" i="49"/>
  <c r="AB43" i="49" s="1"/>
  <c r="AA44" i="49"/>
  <c r="AB44" i="49" s="1"/>
  <c r="AA45" i="49"/>
  <c r="AB45" i="49" s="1"/>
  <c r="AA46" i="49"/>
  <c r="AB46" i="49" s="1"/>
  <c r="AA47" i="49"/>
  <c r="AB47" i="49" s="1"/>
  <c r="AA48" i="49"/>
  <c r="AB48" i="49" s="1"/>
  <c r="AA49" i="49"/>
  <c r="AB49" i="49" s="1"/>
  <c r="AA50" i="49"/>
  <c r="AB50" i="49" s="1"/>
  <c r="AA51" i="49"/>
  <c r="AB51" i="49" s="1"/>
  <c r="AN58" i="40" s="1"/>
  <c r="AA52" i="49"/>
  <c r="AB52" i="49" s="1"/>
  <c r="AA53" i="49"/>
  <c r="AB53" i="49" s="1"/>
  <c r="AA54" i="49"/>
  <c r="AB54" i="49" s="1"/>
  <c r="AA55" i="49"/>
  <c r="AB55" i="49" s="1"/>
  <c r="BA3" i="40"/>
  <c r="BA2" i="40"/>
  <c r="AB38" i="49" l="1"/>
  <c r="AB3" i="49"/>
  <c r="E6" i="25" s="1"/>
  <c r="D6" i="25" s="1"/>
  <c r="G13" i="25" s="1"/>
  <c r="H14" i="25" l="1"/>
  <c r="H13" i="25"/>
  <c r="J13" i="25" s="1"/>
  <c r="AO64" i="40" l="1"/>
  <c r="J5" i="28" l="1"/>
  <c r="AI430" i="41"/>
  <c r="AI408" i="41"/>
  <c r="AI385" i="41"/>
  <c r="AI382" i="41"/>
  <c r="AI381" i="41"/>
  <c r="AI372" i="41"/>
  <c r="AI346" i="41"/>
  <c r="AI331" i="41"/>
  <c r="AI271" i="41"/>
  <c r="AI267" i="41"/>
  <c r="AI33" i="41"/>
  <c r="AI37" i="41"/>
  <c r="AI97" i="41"/>
  <c r="AI112" i="41"/>
  <c r="AI138" i="41"/>
  <c r="AI147" i="41"/>
  <c r="AI148" i="41"/>
  <c r="AI151" i="41"/>
  <c r="AI174" i="41"/>
  <c r="AI196" i="41"/>
  <c r="L196" i="41"/>
  <c r="L174" i="41"/>
  <c r="L151" i="41"/>
  <c r="L148" i="41"/>
  <c r="L147" i="41"/>
  <c r="L138" i="41"/>
  <c r="L112" i="41"/>
  <c r="L97" i="41"/>
  <c r="L37" i="41"/>
  <c r="L33" i="41"/>
  <c r="L271" i="41"/>
  <c r="L331" i="41"/>
  <c r="L346" i="41"/>
  <c r="L372" i="41"/>
  <c r="L381" i="41"/>
  <c r="L382" i="41"/>
  <c r="L385" i="41"/>
  <c r="L408" i="41"/>
  <c r="L430" i="41"/>
  <c r="L267" i="41"/>
  <c r="AF482" i="41"/>
  <c r="AF483" i="41"/>
  <c r="AF484" i="41"/>
  <c r="AF485" i="41"/>
  <c r="AF486" i="41"/>
  <c r="AF248" i="41"/>
  <c r="AF249" i="41"/>
  <c r="AF250" i="41"/>
  <c r="AF251" i="41"/>
  <c r="L386" i="41"/>
  <c r="BC42" i="41"/>
  <c r="AI105" i="41"/>
  <c r="G35" i="43"/>
  <c r="BD110" i="41"/>
  <c r="BD41" i="41"/>
  <c r="BD28" i="41"/>
  <c r="BD29" i="41"/>
  <c r="BD30" i="41"/>
  <c r="BD31" i="41"/>
  <c r="BD32" i="41"/>
  <c r="BD33" i="41"/>
  <c r="BD34" i="41"/>
  <c r="BD35" i="41"/>
  <c r="BD36" i="41"/>
  <c r="BD37" i="41"/>
  <c r="BD38" i="41"/>
  <c r="BD39" i="41"/>
  <c r="BD40" i="41"/>
  <c r="BD42" i="41"/>
  <c r="BD43" i="41"/>
  <c r="BD44" i="41"/>
  <c r="BD45" i="41"/>
  <c r="BD46" i="41"/>
  <c r="BD47" i="41"/>
  <c r="BD48" i="41"/>
  <c r="BD49" i="41"/>
  <c r="BD50" i="41"/>
  <c r="BD51" i="41"/>
  <c r="BD52" i="41"/>
  <c r="BD53" i="41"/>
  <c r="BD54" i="41"/>
  <c r="BD55" i="41"/>
  <c r="BD56" i="41"/>
  <c r="BD57" i="41"/>
  <c r="BD58" i="41"/>
  <c r="BD59" i="41"/>
  <c r="BD60" i="41"/>
  <c r="BD61" i="41"/>
  <c r="BD62" i="41"/>
  <c r="BD63" i="41"/>
  <c r="BD64" i="41"/>
  <c r="BD65" i="41"/>
  <c r="BD66" i="41"/>
  <c r="BD67" i="41"/>
  <c r="BD68" i="41"/>
  <c r="BD69" i="41"/>
  <c r="BD70" i="41"/>
  <c r="BD71" i="41"/>
  <c r="BD72" i="41"/>
  <c r="BD73" i="41"/>
  <c r="BD74" i="41"/>
  <c r="BD75" i="41"/>
  <c r="BD76" i="41"/>
  <c r="BD77" i="41"/>
  <c r="BD78" i="41"/>
  <c r="BD79" i="41"/>
  <c r="BD80" i="41"/>
  <c r="BD81" i="41"/>
  <c r="BD82" i="41"/>
  <c r="BD83" i="41"/>
  <c r="BD84" i="41"/>
  <c r="BD85" i="41"/>
  <c r="BD86" i="41"/>
  <c r="BD87" i="41"/>
  <c r="BD88" i="41"/>
  <c r="BD89" i="41"/>
  <c r="BD90" i="41"/>
  <c r="BD91" i="41"/>
  <c r="BD92" i="41"/>
  <c r="BD93" i="41"/>
  <c r="BD94" i="41"/>
  <c r="BD95" i="41"/>
  <c r="BD96" i="41"/>
  <c r="BD97" i="41"/>
  <c r="BD98" i="41"/>
  <c r="BD99" i="41"/>
  <c r="BD100" i="41"/>
  <c r="BD101" i="41"/>
  <c r="BD102" i="41"/>
  <c r="BD103" i="41"/>
  <c r="BD104" i="41"/>
  <c r="BD105" i="41"/>
  <c r="BD106" i="41"/>
  <c r="BD107" i="41"/>
  <c r="BD108" i="41"/>
  <c r="BD109" i="41"/>
  <c r="BD111" i="41"/>
  <c r="BD112" i="41"/>
  <c r="BD113" i="41"/>
  <c r="BD114" i="41"/>
  <c r="BD115" i="41"/>
  <c r="BD116" i="41"/>
  <c r="BD117" i="41"/>
  <c r="BD118" i="41"/>
  <c r="BD119" i="41"/>
  <c r="BD120" i="41"/>
  <c r="BD121" i="41"/>
  <c r="BD122" i="41"/>
  <c r="BD123" i="41"/>
  <c r="BD124" i="41"/>
  <c r="BD125" i="41"/>
  <c r="BD126" i="41"/>
  <c r="BD127" i="41"/>
  <c r="BD128" i="41"/>
  <c r="BD129" i="41"/>
  <c r="BD130" i="41"/>
  <c r="BD131" i="41"/>
  <c r="BD132" i="41"/>
  <c r="BD133" i="41"/>
  <c r="BD134" i="41"/>
  <c r="BD135" i="41"/>
  <c r="BD136" i="41"/>
  <c r="BD137" i="41"/>
  <c r="BD138" i="41"/>
  <c r="BD139" i="41"/>
  <c r="BD140" i="41"/>
  <c r="BD141" i="41"/>
  <c r="BD142" i="41"/>
  <c r="BD143" i="41"/>
  <c r="BD144" i="41"/>
  <c r="BD145" i="41"/>
  <c r="BD146" i="41"/>
  <c r="BD147" i="41"/>
  <c r="BD148" i="41"/>
  <c r="BD149" i="41"/>
  <c r="BD150" i="41"/>
  <c r="BD151" i="41"/>
  <c r="BD152" i="41"/>
  <c r="BD153" i="41"/>
  <c r="BD154" i="41"/>
  <c r="BD155" i="41"/>
  <c r="BD156" i="41"/>
  <c r="BD157" i="41"/>
  <c r="BD158" i="41"/>
  <c r="BD159" i="41"/>
  <c r="BD160" i="41"/>
  <c r="BD161" i="41"/>
  <c r="BD162" i="41"/>
  <c r="BD163" i="41"/>
  <c r="BD164" i="41"/>
  <c r="BD165" i="41"/>
  <c r="BD166" i="41"/>
  <c r="BD167" i="41"/>
  <c r="BD168" i="41"/>
  <c r="BD169" i="41"/>
  <c r="BD170" i="41"/>
  <c r="BD171" i="41"/>
  <c r="BD172" i="41"/>
  <c r="BD173" i="41"/>
  <c r="BD174" i="41"/>
  <c r="BD175" i="41"/>
  <c r="BD176" i="41"/>
  <c r="BD177" i="41"/>
  <c r="BD178" i="41"/>
  <c r="BD179" i="41"/>
  <c r="BD180" i="41"/>
  <c r="BD181" i="41"/>
  <c r="BD182" i="41"/>
  <c r="BD183" i="41"/>
  <c r="BD184" i="41"/>
  <c r="BD185" i="41"/>
  <c r="BD186" i="41"/>
  <c r="BD187" i="41"/>
  <c r="BD188" i="41"/>
  <c r="BD189" i="41"/>
  <c r="BD190" i="41"/>
  <c r="BD191" i="41"/>
  <c r="BD192" i="41"/>
  <c r="BD193" i="41"/>
  <c r="BD194" i="41"/>
  <c r="BD195" i="41"/>
  <c r="BD196" i="41"/>
  <c r="BD197" i="41"/>
  <c r="BD198" i="41"/>
  <c r="BD199" i="41"/>
  <c r="BD200" i="41"/>
  <c r="BD201" i="41"/>
  <c r="BD202" i="41"/>
  <c r="BD203" i="41"/>
  <c r="BD204" i="41"/>
  <c r="BD205" i="41"/>
  <c r="BD206" i="41"/>
  <c r="BD207" i="41"/>
  <c r="BD208" i="41"/>
  <c r="BD209" i="41"/>
  <c r="BD210" i="41"/>
  <c r="BD211" i="41"/>
  <c r="BD212" i="41"/>
  <c r="BD213" i="41"/>
  <c r="BD214" i="41"/>
  <c r="BD215" i="41"/>
  <c r="BD216" i="41"/>
  <c r="BD217" i="41"/>
  <c r="BD218" i="41"/>
  <c r="BD219" i="41"/>
  <c r="BD220" i="41"/>
  <c r="BD221" i="41"/>
  <c r="BD222" i="41"/>
  <c r="BD223" i="41"/>
  <c r="BD224" i="41"/>
  <c r="BD225" i="41"/>
  <c r="BD226" i="41"/>
  <c r="BD227" i="41"/>
  <c r="BD228" i="41"/>
  <c r="BD229" i="41"/>
  <c r="BD230" i="41"/>
  <c r="BD231" i="41"/>
  <c r="BD232" i="41"/>
  <c r="BD233" i="41"/>
  <c r="BD234" i="41"/>
  <c r="BD235" i="41"/>
  <c r="BD236" i="41"/>
  <c r="BD237" i="41"/>
  <c r="BD238" i="41"/>
  <c r="BD239" i="41"/>
  <c r="BD240" i="41"/>
  <c r="BD241" i="41"/>
  <c r="BD242" i="41"/>
  <c r="BD243" i="41"/>
  <c r="BD244" i="41"/>
  <c r="BD245" i="41"/>
  <c r="BD246" i="41"/>
  <c r="BD247" i="41"/>
  <c r="BD248" i="41"/>
  <c r="BD249" i="41"/>
  <c r="BD250" i="41"/>
  <c r="BD251" i="41"/>
  <c r="BD252" i="41"/>
  <c r="BD253" i="41"/>
  <c r="BD254" i="41"/>
  <c r="BD255" i="41"/>
  <c r="BD256" i="41"/>
  <c r="BD257" i="41"/>
  <c r="L262" i="41"/>
  <c r="AI265" i="41"/>
  <c r="L35" i="41"/>
  <c r="AI38" i="41"/>
  <c r="L50" i="41"/>
  <c r="L287" i="41"/>
  <c r="AI292" i="41"/>
  <c r="L82" i="41"/>
  <c r="L319" i="41"/>
  <c r="L335" i="41"/>
  <c r="AI337" i="41"/>
  <c r="AI106" i="41"/>
  <c r="L114" i="41"/>
  <c r="L367" i="41"/>
  <c r="L374" i="41"/>
  <c r="AI150" i="41"/>
  <c r="L159" i="41"/>
  <c r="L415" i="41"/>
  <c r="L183" i="41"/>
  <c r="L191" i="41"/>
  <c r="AI204" i="41"/>
  <c r="L439" i="41"/>
  <c r="L206" i="41"/>
  <c r="L471" i="41"/>
  <c r="L238" i="41"/>
  <c r="AI252" i="41"/>
  <c r="BD27" i="41"/>
  <c r="AI339" i="41" l="1"/>
  <c r="L338" i="41"/>
  <c r="AI104" i="41"/>
  <c r="L105" i="41"/>
  <c r="L339" i="41"/>
  <c r="G39" i="43"/>
  <c r="L104" i="41"/>
  <c r="AI338" i="41"/>
  <c r="G14" i="43"/>
  <c r="AI478" i="41"/>
  <c r="L244" i="41"/>
  <c r="L478" i="41"/>
  <c r="AI470" i="41"/>
  <c r="L236" i="41"/>
  <c r="L470" i="41"/>
  <c r="AI462" i="41"/>
  <c r="L228" i="41"/>
  <c r="L462" i="41"/>
  <c r="AI450" i="41"/>
  <c r="L216" i="41"/>
  <c r="L450" i="41"/>
  <c r="AI216" i="41"/>
  <c r="AI442" i="41"/>
  <c r="L208" i="41"/>
  <c r="L442" i="41"/>
  <c r="AI208" i="41"/>
  <c r="AI434" i="41"/>
  <c r="L200" i="41"/>
  <c r="L434" i="41"/>
  <c r="AI200" i="41"/>
  <c r="AI421" i="41"/>
  <c r="L421" i="41"/>
  <c r="L187" i="41"/>
  <c r="AI187" i="41"/>
  <c r="AI413" i="41"/>
  <c r="L413" i="41"/>
  <c r="L179" i="41"/>
  <c r="AI179" i="41"/>
  <c r="L404" i="41"/>
  <c r="AI170" i="41"/>
  <c r="AI404" i="41"/>
  <c r="L170" i="41"/>
  <c r="L396" i="41"/>
  <c r="AI162" i="41"/>
  <c r="AI396" i="41"/>
  <c r="L162" i="41"/>
  <c r="L380" i="41"/>
  <c r="AI380" i="41"/>
  <c r="AI371" i="41"/>
  <c r="L137" i="41"/>
  <c r="AI137" i="41"/>
  <c r="L371" i="41"/>
  <c r="AI363" i="41"/>
  <c r="L129" i="41"/>
  <c r="L363" i="41"/>
  <c r="AI129" i="41"/>
  <c r="AI350" i="41"/>
  <c r="AI116" i="41"/>
  <c r="L116" i="41"/>
  <c r="L350" i="41"/>
  <c r="AI107" i="41"/>
  <c r="L341" i="41"/>
  <c r="AI341" i="41"/>
  <c r="AI326" i="41"/>
  <c r="AI92" i="41"/>
  <c r="L92" i="41"/>
  <c r="L326" i="41"/>
  <c r="AI318" i="41"/>
  <c r="AI84" i="41"/>
  <c r="L84" i="41"/>
  <c r="L318" i="41"/>
  <c r="AI310" i="41"/>
  <c r="AI76" i="41"/>
  <c r="L76" i="41"/>
  <c r="L310" i="41"/>
  <c r="AI302" i="41"/>
  <c r="AI68" i="41"/>
  <c r="L68" i="41"/>
  <c r="L302" i="41"/>
  <c r="AI294" i="41"/>
  <c r="AI60" i="41"/>
  <c r="L60" i="41"/>
  <c r="L294" i="41"/>
  <c r="AI286" i="41"/>
  <c r="AI52" i="41"/>
  <c r="L52" i="41"/>
  <c r="L286" i="41"/>
  <c r="G20" i="43"/>
  <c r="AI274" i="41"/>
  <c r="AI40" i="41"/>
  <c r="L40" i="41"/>
  <c r="L274" i="41"/>
  <c r="AI264" i="41"/>
  <c r="AI30" i="41"/>
  <c r="L264" i="41"/>
  <c r="AI485" i="41"/>
  <c r="L251" i="41"/>
  <c r="L485" i="41"/>
  <c r="AI251" i="41"/>
  <c r="AI481" i="41"/>
  <c r="AI247" i="41"/>
  <c r="L481" i="41"/>
  <c r="L247" i="41"/>
  <c r="AI477" i="41"/>
  <c r="L477" i="41"/>
  <c r="L243" i="41"/>
  <c r="AI243" i="41"/>
  <c r="L473" i="41"/>
  <c r="AI473" i="41"/>
  <c r="AI239" i="41"/>
  <c r="L239" i="41"/>
  <c r="AI469" i="41"/>
  <c r="L469" i="41"/>
  <c r="L235" i="41"/>
  <c r="AI235" i="41"/>
  <c r="L465" i="41"/>
  <c r="AI465" i="41"/>
  <c r="AI231" i="41"/>
  <c r="L231" i="41"/>
  <c r="AI461" i="41"/>
  <c r="L461" i="41"/>
  <c r="L227" i="41"/>
  <c r="AI227" i="41"/>
  <c r="L457" i="41"/>
  <c r="AI457" i="41"/>
  <c r="AI223" i="41"/>
  <c r="L223" i="41"/>
  <c r="G9" i="43"/>
  <c r="L449" i="41"/>
  <c r="AI449" i="41"/>
  <c r="AI215" i="41"/>
  <c r="L215" i="41"/>
  <c r="L441" i="41"/>
  <c r="AI441" i="41"/>
  <c r="AI207" i="41"/>
  <c r="L207" i="41"/>
  <c r="L433" i="41"/>
  <c r="AI433" i="41"/>
  <c r="AI199" i="41"/>
  <c r="L199" i="41"/>
  <c r="AI416" i="41"/>
  <c r="L416" i="41"/>
  <c r="AI182" i="41"/>
  <c r="L182" i="41"/>
  <c r="L412" i="41"/>
  <c r="AI178" i="41"/>
  <c r="AI412" i="41"/>
  <c r="L178" i="41"/>
  <c r="AI403" i="41"/>
  <c r="AI169" i="41"/>
  <c r="L169" i="41"/>
  <c r="L403" i="41"/>
  <c r="AI395" i="41"/>
  <c r="AI161" i="41"/>
  <c r="L161" i="41"/>
  <c r="L395" i="41"/>
  <c r="AI391" i="41"/>
  <c r="AI157" i="41"/>
  <c r="L157" i="41"/>
  <c r="L391" i="41"/>
  <c r="AI379" i="41"/>
  <c r="L145" i="41"/>
  <c r="AI145" i="41"/>
  <c r="L379" i="41"/>
  <c r="AI370" i="41"/>
  <c r="AI136" i="41"/>
  <c r="L136" i="41"/>
  <c r="L370" i="41"/>
  <c r="AI366" i="41"/>
  <c r="AI132" i="41"/>
  <c r="L132" i="41"/>
  <c r="L366" i="41"/>
  <c r="AI358" i="41"/>
  <c r="AI124" i="41"/>
  <c r="L124" i="41"/>
  <c r="L358" i="41"/>
  <c r="AI115" i="41"/>
  <c r="L349" i="41"/>
  <c r="AI349" i="41"/>
  <c r="L115" i="41"/>
  <c r="AI110" i="41"/>
  <c r="L344" i="41"/>
  <c r="L110" i="41"/>
  <c r="AI334" i="41"/>
  <c r="AI100" i="41"/>
  <c r="L100" i="41"/>
  <c r="L334" i="41"/>
  <c r="AI91" i="41"/>
  <c r="L325" i="41"/>
  <c r="AI325" i="41"/>
  <c r="L91" i="41"/>
  <c r="AI87" i="41"/>
  <c r="AI321" i="41"/>
  <c r="L321" i="41"/>
  <c r="L87" i="41"/>
  <c r="AI79" i="41"/>
  <c r="AI313" i="41"/>
  <c r="L313" i="41"/>
  <c r="L79" i="41"/>
  <c r="AI71" i="41"/>
  <c r="AI305" i="41"/>
  <c r="L305" i="41"/>
  <c r="L71" i="41"/>
  <c r="AI63" i="41"/>
  <c r="AI297" i="41"/>
  <c r="L297" i="41"/>
  <c r="L63" i="41"/>
  <c r="AI55" i="41"/>
  <c r="AI289" i="41"/>
  <c r="L289" i="41"/>
  <c r="L55" i="41"/>
  <c r="AI47" i="41"/>
  <c r="AI281" i="41"/>
  <c r="L281" i="41"/>
  <c r="L47" i="41"/>
  <c r="AI39" i="41"/>
  <c r="AI273" i="41"/>
  <c r="L273" i="41"/>
  <c r="L39" i="41"/>
  <c r="AI263" i="41"/>
  <c r="L29" i="41"/>
  <c r="L263" i="41"/>
  <c r="L444" i="41"/>
  <c r="AI444" i="41"/>
  <c r="AI210" i="41"/>
  <c r="L210" i="41"/>
  <c r="L269" i="41"/>
  <c r="L146" i="41"/>
  <c r="AI236" i="41"/>
  <c r="AI482" i="41"/>
  <c r="L248" i="41"/>
  <c r="AI248" i="41"/>
  <c r="L482" i="41"/>
  <c r="L388" i="41"/>
  <c r="AI388" i="41"/>
  <c r="AI154" i="41"/>
  <c r="L154" i="41"/>
  <c r="AI484" i="41"/>
  <c r="AI250" i="41"/>
  <c r="L250" i="41"/>
  <c r="L480" i="41"/>
  <c r="AI246" i="41"/>
  <c r="AI480" i="41"/>
  <c r="L476" i="41"/>
  <c r="AI476" i="41"/>
  <c r="AI242" i="41"/>
  <c r="L242" i="41"/>
  <c r="L472" i="41"/>
  <c r="AI238" i="41"/>
  <c r="AI472" i="41"/>
  <c r="L468" i="41"/>
  <c r="AI468" i="41"/>
  <c r="AI234" i="41"/>
  <c r="L234" i="41"/>
  <c r="L464" i="41"/>
  <c r="AI230" i="41"/>
  <c r="AI464" i="41"/>
  <c r="L460" i="41"/>
  <c r="AI460" i="41"/>
  <c r="AI226" i="41"/>
  <c r="L226" i="41"/>
  <c r="L456" i="41"/>
  <c r="AI222" i="41"/>
  <c r="AI456" i="41"/>
  <c r="G25" i="43"/>
  <c r="L452" i="41"/>
  <c r="AI452" i="41"/>
  <c r="AI218" i="41"/>
  <c r="L218" i="41"/>
  <c r="L448" i="41"/>
  <c r="AI214" i="41"/>
  <c r="AI448" i="41"/>
  <c r="L440" i="41"/>
  <c r="AI206" i="41"/>
  <c r="AI440" i="41"/>
  <c r="L436" i="41"/>
  <c r="AI436" i="41"/>
  <c r="AI202" i="41"/>
  <c r="L202" i="41"/>
  <c r="L432" i="41"/>
  <c r="AI198" i="41"/>
  <c r="AI432" i="41"/>
  <c r="AI427" i="41"/>
  <c r="AI193" i="41"/>
  <c r="L193" i="41"/>
  <c r="L427" i="41"/>
  <c r="AI423" i="41"/>
  <c r="AI189" i="41"/>
  <c r="L189" i="41"/>
  <c r="AI419" i="41"/>
  <c r="AI185" i="41"/>
  <c r="L185" i="41"/>
  <c r="L419" i="41"/>
  <c r="AI415" i="41"/>
  <c r="AI181" i="41"/>
  <c r="L181" i="41"/>
  <c r="AI411" i="41"/>
  <c r="AI177" i="41"/>
  <c r="L177" i="41"/>
  <c r="L411" i="41"/>
  <c r="AI406" i="41"/>
  <c r="L172" i="41"/>
  <c r="L406" i="41"/>
  <c r="AI172" i="41"/>
  <c r="AI402" i="41"/>
  <c r="L168" i="41"/>
  <c r="AI168" i="41"/>
  <c r="AI398" i="41"/>
  <c r="L164" i="41"/>
  <c r="L398" i="41"/>
  <c r="AI164" i="41"/>
  <c r="AI394" i="41"/>
  <c r="L160" i="41"/>
  <c r="AI160" i="41"/>
  <c r="AI390" i="41"/>
  <c r="AI156" i="41"/>
  <c r="L156" i="41"/>
  <c r="L390" i="41"/>
  <c r="AI384" i="41"/>
  <c r="L384" i="41"/>
  <c r="L150" i="41"/>
  <c r="AI378" i="41"/>
  <c r="AI144" i="41"/>
  <c r="L144" i="41"/>
  <c r="L378" i="41"/>
  <c r="AI374" i="41"/>
  <c r="AI140" i="41"/>
  <c r="L140" i="41"/>
  <c r="AI135" i="41"/>
  <c r="AI369" i="41"/>
  <c r="L369" i="41"/>
  <c r="L135" i="41"/>
  <c r="AI131" i="41"/>
  <c r="L365" i="41"/>
  <c r="AI365" i="41"/>
  <c r="L131" i="41"/>
  <c r="AI127" i="41"/>
  <c r="AI361" i="41"/>
  <c r="L361" i="41"/>
  <c r="L127" i="41"/>
  <c r="AI123" i="41"/>
  <c r="L357" i="41"/>
  <c r="AI357" i="41"/>
  <c r="L123" i="41"/>
  <c r="AI119" i="41"/>
  <c r="AI353" i="41"/>
  <c r="L353" i="41"/>
  <c r="L119" i="41"/>
  <c r="L348" i="41"/>
  <c r="AI348" i="41"/>
  <c r="AI343" i="41"/>
  <c r="L109" i="41"/>
  <c r="AI109" i="41"/>
  <c r="AI103" i="41"/>
  <c r="L337" i="41"/>
  <c r="AI99" i="41"/>
  <c r="AI333" i="41"/>
  <c r="L333" i="41"/>
  <c r="L99" i="41"/>
  <c r="L328" i="41"/>
  <c r="AI328" i="41"/>
  <c r="AI94" i="41"/>
  <c r="L94" i="41"/>
  <c r="L324" i="41"/>
  <c r="AI90" i="41"/>
  <c r="L320" i="41"/>
  <c r="AI320" i="41"/>
  <c r="L86" i="41"/>
  <c r="L316" i="41"/>
  <c r="AI82" i="41"/>
  <c r="AI316" i="41"/>
  <c r="L312" i="41"/>
  <c r="AI312" i="41"/>
  <c r="AI78" i="41"/>
  <c r="L78" i="41"/>
  <c r="L308" i="41"/>
  <c r="AI74" i="41"/>
  <c r="L304" i="41"/>
  <c r="AI304" i="41"/>
  <c r="L70" i="41"/>
  <c r="L300" i="41"/>
  <c r="AI66" i="41"/>
  <c r="AI300" i="41"/>
  <c r="L296" i="41"/>
  <c r="AI296" i="41"/>
  <c r="AI62" i="41"/>
  <c r="L62" i="41"/>
  <c r="L292" i="41"/>
  <c r="AI58" i="41"/>
  <c r="L288" i="41"/>
  <c r="AI288" i="41"/>
  <c r="L54" i="41"/>
  <c r="L284" i="41"/>
  <c r="AI50" i="41"/>
  <c r="AI284" i="41"/>
  <c r="L280" i="41"/>
  <c r="AI280" i="41"/>
  <c r="AI46" i="41"/>
  <c r="L46" i="41"/>
  <c r="L276" i="41"/>
  <c r="AI42" i="41"/>
  <c r="G12" i="43"/>
  <c r="L272" i="41"/>
  <c r="AI272" i="41"/>
  <c r="L38" i="41"/>
  <c r="G10" i="43"/>
  <c r="AI266" i="41"/>
  <c r="AI32" i="41"/>
  <c r="L32" i="41"/>
  <c r="AI262" i="41"/>
  <c r="AI28" i="41"/>
  <c r="L28" i="41"/>
  <c r="AI258" i="41"/>
  <c r="AI24" i="41"/>
  <c r="L24" i="41"/>
  <c r="AI22" i="41"/>
  <c r="L256" i="41"/>
  <c r="L22" i="41"/>
  <c r="AI256" i="41"/>
  <c r="AI483" i="41"/>
  <c r="AI249" i="41"/>
  <c r="L249" i="41"/>
  <c r="L483" i="41"/>
  <c r="AI479" i="41"/>
  <c r="AI245" i="41"/>
  <c r="L245" i="41"/>
  <c r="AI475" i="41"/>
  <c r="AI241" i="41"/>
  <c r="L241" i="41"/>
  <c r="L475" i="41"/>
  <c r="AI471" i="41"/>
  <c r="AI237" i="41"/>
  <c r="L237" i="41"/>
  <c r="G11" i="43"/>
  <c r="AI467" i="41"/>
  <c r="AI233" i="41"/>
  <c r="L233" i="41"/>
  <c r="L467" i="41"/>
  <c r="AI463" i="41"/>
  <c r="AI229" i="41"/>
  <c r="L229" i="41"/>
  <c r="AI459" i="41"/>
  <c r="AI225" i="41"/>
  <c r="L225" i="41"/>
  <c r="L459" i="41"/>
  <c r="AI455" i="41"/>
  <c r="AI221" i="41"/>
  <c r="L221" i="41"/>
  <c r="AI451" i="41"/>
  <c r="AI217" i="41"/>
  <c r="L217" i="41"/>
  <c r="L451" i="41"/>
  <c r="AI447" i="41"/>
  <c r="AI213" i="41"/>
  <c r="L213" i="41"/>
  <c r="AI443" i="41"/>
  <c r="AI209" i="41"/>
  <c r="L209" i="41"/>
  <c r="L443" i="41"/>
  <c r="AI439" i="41"/>
  <c r="AI205" i="41"/>
  <c r="L205" i="41"/>
  <c r="AI435" i="41"/>
  <c r="AI201" i="41"/>
  <c r="L201" i="41"/>
  <c r="L435" i="41"/>
  <c r="AI431" i="41"/>
  <c r="AI197" i="41"/>
  <c r="L197" i="41"/>
  <c r="AI426" i="41"/>
  <c r="L192" i="41"/>
  <c r="L426" i="41"/>
  <c r="AI192" i="41"/>
  <c r="AI422" i="41"/>
  <c r="L188" i="41"/>
  <c r="L422" i="41"/>
  <c r="AI418" i="41"/>
  <c r="L184" i="41"/>
  <c r="L418" i="41"/>
  <c r="AI184" i="41"/>
  <c r="AI414" i="41"/>
  <c r="L180" i="41"/>
  <c r="L414" i="41"/>
  <c r="AI410" i="41"/>
  <c r="L176" i="41"/>
  <c r="L410" i="41"/>
  <c r="AI176" i="41"/>
  <c r="AI405" i="41"/>
  <c r="L405" i="41"/>
  <c r="AI171" i="41"/>
  <c r="L171" i="41"/>
  <c r="L401" i="41"/>
  <c r="AI401" i="41"/>
  <c r="AI397" i="41"/>
  <c r="L397" i="41"/>
  <c r="AI163" i="41"/>
  <c r="L163" i="41"/>
  <c r="L393" i="41"/>
  <c r="AI393" i="41"/>
  <c r="AI389" i="41"/>
  <c r="L389" i="41"/>
  <c r="L155" i="41"/>
  <c r="AI155" i="41"/>
  <c r="AI383" i="41"/>
  <c r="L149" i="41"/>
  <c r="L383" i="41"/>
  <c r="AI149" i="41"/>
  <c r="AI143" i="41"/>
  <c r="AI377" i="41"/>
  <c r="L377" i="41"/>
  <c r="L143" i="41"/>
  <c r="G16" i="43"/>
  <c r="AI139" i="41"/>
  <c r="L373" i="41"/>
  <c r="AI373" i="41"/>
  <c r="L139" i="41"/>
  <c r="L368" i="41"/>
  <c r="AI368" i="41"/>
  <c r="AI134" i="41"/>
  <c r="L134" i="41"/>
  <c r="L364" i="41"/>
  <c r="AI364" i="41"/>
  <c r="L360" i="41"/>
  <c r="AI360" i="41"/>
  <c r="AI126" i="41"/>
  <c r="L126" i="41"/>
  <c r="L356" i="41"/>
  <c r="AI122" i="41"/>
  <c r="L352" i="41"/>
  <c r="AI352" i="41"/>
  <c r="AI118" i="41"/>
  <c r="L118" i="41"/>
  <c r="AI347" i="41"/>
  <c r="L113" i="41"/>
  <c r="L347" i="41"/>
  <c r="AI113" i="41"/>
  <c r="AI342" i="41"/>
  <c r="AI108" i="41"/>
  <c r="L108" i="41"/>
  <c r="L342" i="41"/>
  <c r="AI336" i="41"/>
  <c r="L336" i="41"/>
  <c r="AI102" i="41"/>
  <c r="L102" i="41"/>
  <c r="L332" i="41"/>
  <c r="AI98" i="41"/>
  <c r="AI332" i="41"/>
  <c r="L98" i="41"/>
  <c r="AI327" i="41"/>
  <c r="L93" i="41"/>
  <c r="AI93" i="41"/>
  <c r="AI323" i="41"/>
  <c r="AI89" i="41"/>
  <c r="L89" i="41"/>
  <c r="L323" i="41"/>
  <c r="AI319" i="41"/>
  <c r="L85" i="41"/>
  <c r="AI85" i="41"/>
  <c r="AI315" i="41"/>
  <c r="AI81" i="41"/>
  <c r="L81" i="41"/>
  <c r="L315" i="41"/>
  <c r="AI311" i="41"/>
  <c r="L77" i="41"/>
  <c r="AI77" i="41"/>
  <c r="AI307" i="41"/>
  <c r="AI73" i="41"/>
  <c r="L73" i="41"/>
  <c r="L307" i="41"/>
  <c r="AI303" i="41"/>
  <c r="L69" i="41"/>
  <c r="AI69" i="41"/>
  <c r="AI299" i="41"/>
  <c r="AI65" i="41"/>
  <c r="L65" i="41"/>
  <c r="L299" i="41"/>
  <c r="AI295" i="41"/>
  <c r="L61" i="41"/>
  <c r="AI61" i="41"/>
  <c r="AI291" i="41"/>
  <c r="AI57" i="41"/>
  <c r="L57" i="41"/>
  <c r="L291" i="41"/>
  <c r="AI287" i="41"/>
  <c r="L53" i="41"/>
  <c r="AI53" i="41"/>
  <c r="AI283" i="41"/>
  <c r="AI49" i="41"/>
  <c r="L49" i="41"/>
  <c r="L283" i="41"/>
  <c r="AI279" i="41"/>
  <c r="L45" i="41"/>
  <c r="AI45" i="41"/>
  <c r="AI275" i="41"/>
  <c r="AI41" i="41"/>
  <c r="L41" i="41"/>
  <c r="L275" i="41"/>
  <c r="AI270" i="41"/>
  <c r="AI36" i="41"/>
  <c r="L36" i="41"/>
  <c r="AI31" i="41"/>
  <c r="L31" i="41"/>
  <c r="AI27" i="41"/>
  <c r="AI261" i="41"/>
  <c r="L27" i="41"/>
  <c r="L261" i="41"/>
  <c r="AI23" i="41"/>
  <c r="AI257" i="41"/>
  <c r="L23" i="41"/>
  <c r="L257" i="41"/>
  <c r="L258" i="41"/>
  <c r="L463" i="41"/>
  <c r="L431" i="41"/>
  <c r="L311" i="41"/>
  <c r="L279" i="41"/>
  <c r="L58" i="41"/>
  <c r="L90" i="41"/>
  <c r="L122" i="41"/>
  <c r="L167" i="41"/>
  <c r="L214" i="41"/>
  <c r="L246" i="41"/>
  <c r="AI228" i="41"/>
  <c r="AI167" i="41"/>
  <c r="AI130" i="41"/>
  <c r="AI86" i="41"/>
  <c r="AI308" i="41"/>
  <c r="AI356" i="41"/>
  <c r="AI454" i="41"/>
  <c r="L220" i="41"/>
  <c r="L454" i="41"/>
  <c r="L266" i="41"/>
  <c r="L484" i="41"/>
  <c r="L455" i="41"/>
  <c r="L402" i="41"/>
  <c r="L343" i="41"/>
  <c r="L303" i="41"/>
  <c r="L66" i="41"/>
  <c r="L107" i="41"/>
  <c r="L130" i="41"/>
  <c r="L222" i="41"/>
  <c r="AI220" i="41"/>
  <c r="AI188" i="41"/>
  <c r="AI159" i="41"/>
  <c r="AI114" i="41"/>
  <c r="AI70" i="41"/>
  <c r="AI324" i="41"/>
  <c r="AI486" i="41"/>
  <c r="L252" i="41"/>
  <c r="L486" i="41"/>
  <c r="AI474" i="41"/>
  <c r="L240" i="41"/>
  <c r="L474" i="41"/>
  <c r="AI240" i="41"/>
  <c r="AI466" i="41"/>
  <c r="L232" i="41"/>
  <c r="L466" i="41"/>
  <c r="AI232" i="41"/>
  <c r="AI458" i="41"/>
  <c r="L224" i="41"/>
  <c r="L458" i="41"/>
  <c r="AI224" i="41"/>
  <c r="AI446" i="41"/>
  <c r="L212" i="41"/>
  <c r="L446" i="41"/>
  <c r="AI438" i="41"/>
  <c r="L204" i="41"/>
  <c r="L438" i="41"/>
  <c r="AI429" i="41"/>
  <c r="L429" i="41"/>
  <c r="L195" i="41"/>
  <c r="AI195" i="41"/>
  <c r="L425" i="41"/>
  <c r="AI425" i="41"/>
  <c r="AI191" i="41"/>
  <c r="L417" i="41"/>
  <c r="AI183" i="41"/>
  <c r="AI417" i="41"/>
  <c r="L409" i="41"/>
  <c r="AI175" i="41"/>
  <c r="AI409" i="41"/>
  <c r="AI400" i="41"/>
  <c r="L400" i="41"/>
  <c r="AI166" i="41"/>
  <c r="L166" i="41"/>
  <c r="AI392" i="41"/>
  <c r="L392" i="41"/>
  <c r="AI158" i="41"/>
  <c r="L158" i="41"/>
  <c r="L376" i="41"/>
  <c r="AI376" i="41"/>
  <c r="AI142" i="41"/>
  <c r="L142" i="41"/>
  <c r="G29" i="43"/>
  <c r="AI367" i="41"/>
  <c r="AI133" i="41"/>
  <c r="L133" i="41"/>
  <c r="AI359" i="41"/>
  <c r="AI125" i="41"/>
  <c r="L125" i="41"/>
  <c r="G30" i="43"/>
  <c r="AI355" i="41"/>
  <c r="L121" i="41"/>
  <c r="AI121" i="41"/>
  <c r="L355" i="41"/>
  <c r="AI111" i="41"/>
  <c r="AI345" i="41"/>
  <c r="L345" i="41"/>
  <c r="L111" i="41"/>
  <c r="AI335" i="41"/>
  <c r="L101" i="41"/>
  <c r="AI330" i="41"/>
  <c r="AI96" i="41"/>
  <c r="L96" i="41"/>
  <c r="L330" i="41"/>
  <c r="AI322" i="41"/>
  <c r="AI88" i="41"/>
  <c r="L88" i="41"/>
  <c r="L322" i="41"/>
  <c r="AI314" i="41"/>
  <c r="AI80" i="41"/>
  <c r="L80" i="41"/>
  <c r="L314" i="41"/>
  <c r="G41" i="43"/>
  <c r="AI306" i="41"/>
  <c r="AI72" i="41"/>
  <c r="L72" i="41"/>
  <c r="L306" i="41"/>
  <c r="AI298" i="41"/>
  <c r="AI64" i="41"/>
  <c r="L64" i="41"/>
  <c r="L298" i="41"/>
  <c r="AI290" i="41"/>
  <c r="AI56" i="41"/>
  <c r="L56" i="41"/>
  <c r="L290" i="41"/>
  <c r="G46" i="43"/>
  <c r="AI282" i="41"/>
  <c r="AI48" i="41"/>
  <c r="L48" i="41"/>
  <c r="L282" i="41"/>
  <c r="AI278" i="41"/>
  <c r="AI44" i="41"/>
  <c r="L44" i="41"/>
  <c r="L278" i="41"/>
  <c r="AI35" i="41"/>
  <c r="AI269" i="41"/>
  <c r="AI260" i="41"/>
  <c r="AI26" i="41"/>
  <c r="L26" i="41"/>
  <c r="L260" i="41"/>
  <c r="AI453" i="41"/>
  <c r="L453" i="41"/>
  <c r="L219" i="41"/>
  <c r="AI219" i="41"/>
  <c r="AI445" i="41"/>
  <c r="L445" i="41"/>
  <c r="L211" i="41"/>
  <c r="AI211" i="41"/>
  <c r="AI437" i="41"/>
  <c r="L437" i="41"/>
  <c r="L203" i="41"/>
  <c r="AI203" i="41"/>
  <c r="L428" i="41"/>
  <c r="AI194" i="41"/>
  <c r="AI428" i="41"/>
  <c r="L194" i="41"/>
  <c r="AI424" i="41"/>
  <c r="L424" i="41"/>
  <c r="AI190" i="41"/>
  <c r="L190" i="41"/>
  <c r="L420" i="41"/>
  <c r="AI186" i="41"/>
  <c r="AI420" i="41"/>
  <c r="L186" i="41"/>
  <c r="AI407" i="41"/>
  <c r="AI173" i="41"/>
  <c r="L173" i="41"/>
  <c r="L407" i="41"/>
  <c r="AI399" i="41"/>
  <c r="AI165" i="41"/>
  <c r="L165" i="41"/>
  <c r="L399" i="41"/>
  <c r="AI387" i="41"/>
  <c r="L153" i="41"/>
  <c r="AI153" i="41"/>
  <c r="L387" i="41"/>
  <c r="AI375" i="41"/>
  <c r="AI141" i="41"/>
  <c r="L141" i="41"/>
  <c r="L375" i="41"/>
  <c r="AI362" i="41"/>
  <c r="AI128" i="41"/>
  <c r="L128" i="41"/>
  <c r="L362" i="41"/>
  <c r="AI354" i="41"/>
  <c r="AI120" i="41"/>
  <c r="L120" i="41"/>
  <c r="L354" i="41"/>
  <c r="AI340" i="41"/>
  <c r="L340" i="41"/>
  <c r="L106" i="41"/>
  <c r="AI95" i="41"/>
  <c r="AI329" i="41"/>
  <c r="L329" i="41"/>
  <c r="L95" i="41"/>
  <c r="AI83" i="41"/>
  <c r="L317" i="41"/>
  <c r="AI317" i="41"/>
  <c r="L83" i="41"/>
  <c r="AI75" i="41"/>
  <c r="L309" i="41"/>
  <c r="AI309" i="41"/>
  <c r="L75" i="41"/>
  <c r="AI67" i="41"/>
  <c r="L301" i="41"/>
  <c r="AI301" i="41"/>
  <c r="L67" i="41"/>
  <c r="AI59" i="41"/>
  <c r="L293" i="41"/>
  <c r="AI293" i="41"/>
  <c r="L59" i="41"/>
  <c r="AI51" i="41"/>
  <c r="L285" i="41"/>
  <c r="AI285" i="41"/>
  <c r="L51" i="41"/>
  <c r="AI43" i="41"/>
  <c r="L277" i="41"/>
  <c r="AI277" i="41"/>
  <c r="L43" i="41"/>
  <c r="AI268" i="41"/>
  <c r="AI34" i="41"/>
  <c r="L34" i="41"/>
  <c r="L268" i="41"/>
  <c r="AI259" i="41"/>
  <c r="AI25" i="41"/>
  <c r="L25" i="41"/>
  <c r="L259" i="41"/>
  <c r="AI386" i="41"/>
  <c r="AI152" i="41"/>
  <c r="L152" i="41"/>
  <c r="L270" i="41"/>
  <c r="L265" i="41"/>
  <c r="L479" i="41"/>
  <c r="L447" i="41"/>
  <c r="L423" i="41"/>
  <c r="L394" i="41"/>
  <c r="L359" i="41"/>
  <c r="L327" i="41"/>
  <c r="L295" i="41"/>
  <c r="L30" i="41"/>
  <c r="L42" i="41"/>
  <c r="L74" i="41"/>
  <c r="L103" i="41"/>
  <c r="L175" i="41"/>
  <c r="L198" i="41"/>
  <c r="L230" i="41"/>
  <c r="AI244" i="41"/>
  <c r="AI212" i="41"/>
  <c r="AI180" i="41"/>
  <c r="AI146" i="41"/>
  <c r="AI101" i="41"/>
  <c r="AI54" i="41"/>
  <c r="AI29" i="41"/>
  <c r="AI276" i="41"/>
  <c r="AI344" i="41"/>
  <c r="G36" i="43"/>
  <c r="BH18" i="41"/>
  <c r="G40" i="43"/>
  <c r="G28" i="43"/>
  <c r="G44" i="43"/>
  <c r="G31" i="43"/>
  <c r="G24" i="43"/>
  <c r="G19" i="43"/>
  <c r="G32" i="43"/>
  <c r="G15" i="43"/>
  <c r="G17" i="43"/>
  <c r="G23" i="43"/>
  <c r="G38" i="43"/>
  <c r="G43" i="43"/>
  <c r="G21" i="43"/>
  <c r="G26" i="43"/>
  <c r="G27" i="43"/>
  <c r="G22" i="43"/>
  <c r="G18" i="43"/>
  <c r="G33" i="43"/>
  <c r="G45" i="43"/>
  <c r="G37" i="43"/>
  <c r="G13" i="43"/>
  <c r="G34" i="43"/>
  <c r="C34" i="37"/>
  <c r="AI351" i="41" l="1"/>
  <c r="AI117" i="41"/>
  <c r="L117" i="41"/>
  <c r="L351" i="41"/>
  <c r="F8" i="43"/>
  <c r="F9" i="43"/>
  <c r="F10" i="43"/>
  <c r="F11" i="43"/>
  <c r="F12" i="43"/>
  <c r="F13" i="43"/>
  <c r="F14" i="43"/>
  <c r="F15" i="43"/>
  <c r="F16" i="43"/>
  <c r="F18" i="43"/>
  <c r="F19" i="43"/>
  <c r="F20" i="43"/>
  <c r="F21" i="43"/>
  <c r="F22" i="43"/>
  <c r="F23" i="43"/>
  <c r="F24" i="43"/>
  <c r="F25" i="43"/>
  <c r="F26" i="43"/>
  <c r="F27" i="43"/>
  <c r="F28" i="43"/>
  <c r="F29" i="43"/>
  <c r="F30" i="43"/>
  <c r="F31" i="43"/>
  <c r="F32" i="43"/>
  <c r="F33" i="43"/>
  <c r="F34" i="43"/>
  <c r="F35" i="43"/>
  <c r="F36" i="43"/>
  <c r="F37" i="43"/>
  <c r="F38" i="43"/>
  <c r="F39" i="43"/>
  <c r="F40" i="43"/>
  <c r="F41" i="43"/>
  <c r="F42" i="43"/>
  <c r="F43" i="43"/>
  <c r="F44" i="43"/>
  <c r="F45" i="43"/>
  <c r="F7" i="43"/>
  <c r="J56" i="39" l="1"/>
  <c r="AK61" i="40"/>
  <c r="AN61" i="40" s="1"/>
  <c r="AF277" i="41"/>
  <c r="AF43" i="41"/>
  <c r="F17" i="43" l="1"/>
  <c r="F46" i="43"/>
  <c r="H46" i="43" s="1"/>
  <c r="M61" i="40"/>
  <c r="AG45" i="37"/>
  <c r="AG46" i="37"/>
  <c r="AG47" i="37"/>
  <c r="AG48" i="37"/>
  <c r="AG49" i="37"/>
  <c r="AG50" i="37"/>
  <c r="AG51" i="37"/>
  <c r="AG52" i="37"/>
  <c r="AG53" i="37"/>
  <c r="AG54" i="37"/>
  <c r="AG55" i="37"/>
  <c r="AG56" i="37"/>
  <c r="AG57" i="37"/>
  <c r="AG58" i="37"/>
  <c r="AG59" i="37"/>
  <c r="AG60" i="37"/>
  <c r="AG61" i="37"/>
  <c r="AG62" i="37"/>
  <c r="AG35" i="37"/>
  <c r="AG36" i="37"/>
  <c r="AG37" i="37"/>
  <c r="AG38" i="37"/>
  <c r="AG39" i="37"/>
  <c r="AG40" i="37"/>
  <c r="AG41" i="37"/>
  <c r="AG42" i="37"/>
  <c r="AG43" i="37"/>
  <c r="AG34" i="37"/>
  <c r="AF63" i="37"/>
  <c r="AE63" i="37"/>
  <c r="X34" i="37"/>
  <c r="X35" i="37"/>
  <c r="X44" i="37" s="1"/>
  <c r="X36" i="37"/>
  <c r="X37" i="37"/>
  <c r="X38" i="37"/>
  <c r="X39" i="37"/>
  <c r="X40" i="37"/>
  <c r="X41" i="37"/>
  <c r="X42" i="37"/>
  <c r="X43" i="37"/>
  <c r="X45" i="37"/>
  <c r="X46" i="37"/>
  <c r="X47" i="37"/>
  <c r="X48" i="37"/>
  <c r="X49" i="37"/>
  <c r="X50" i="37"/>
  <c r="X51" i="37"/>
  <c r="X52" i="37"/>
  <c r="X53" i="37"/>
  <c r="X54" i="37"/>
  <c r="X55" i="37"/>
  <c r="X56" i="37"/>
  <c r="X57" i="37"/>
  <c r="X58" i="37"/>
  <c r="X59" i="37"/>
  <c r="X60" i="37"/>
  <c r="X61" i="37"/>
  <c r="X62" i="37"/>
  <c r="G3" i="29" l="1"/>
  <c r="G3" i="28"/>
  <c r="C3" i="28"/>
  <c r="W62" i="37" l="1"/>
  <c r="F63" i="37" s="1"/>
  <c r="W61" i="37"/>
  <c r="F62" i="37" s="1"/>
  <c r="W60" i="37"/>
  <c r="F61" i="37" s="1"/>
  <c r="W59" i="37"/>
  <c r="F60" i="37" s="1"/>
  <c r="W58" i="37"/>
  <c r="F59" i="37" s="1"/>
  <c r="W57" i="37"/>
  <c r="F58" i="37" s="1"/>
  <c r="W56" i="37"/>
  <c r="F57" i="37" s="1"/>
  <c r="W55" i="37"/>
  <c r="F56" i="37" s="1"/>
  <c r="W54" i="37"/>
  <c r="F55" i="37" s="1"/>
  <c r="W53" i="37"/>
  <c r="F54" i="37" s="1"/>
  <c r="W52" i="37"/>
  <c r="F53" i="37" s="1"/>
  <c r="W51" i="37"/>
  <c r="F52" i="37" s="1"/>
  <c r="W50" i="37"/>
  <c r="F51" i="37" s="1"/>
  <c r="W49" i="37"/>
  <c r="F50" i="37" s="1"/>
  <c r="W48" i="37"/>
  <c r="F49" i="37" s="1"/>
  <c r="W47" i="37"/>
  <c r="F48" i="37" s="1"/>
  <c r="W46" i="37"/>
  <c r="F47" i="37" s="1"/>
  <c r="W45" i="37"/>
  <c r="F46" i="37" s="1"/>
  <c r="W43" i="37"/>
  <c r="F44" i="37" s="1"/>
  <c r="W42" i="37"/>
  <c r="F43" i="37" s="1"/>
  <c r="W41" i="37"/>
  <c r="F42" i="37" s="1"/>
  <c r="W40" i="37"/>
  <c r="F41" i="37" s="1"/>
  <c r="W39" i="37"/>
  <c r="F40" i="37" s="1"/>
  <c r="W38" i="37"/>
  <c r="F39" i="37" s="1"/>
  <c r="W37" i="37"/>
  <c r="F38" i="37" s="1"/>
  <c r="W36" i="37"/>
  <c r="F37" i="37" s="1"/>
  <c r="W35" i="37"/>
  <c r="W44" i="37" s="1"/>
  <c r="F45" i="37" s="1"/>
  <c r="W34" i="37"/>
  <c r="F35" i="37" s="1"/>
  <c r="F36" i="37" l="1"/>
  <c r="B67" i="37"/>
  <c r="F4" i="44"/>
  <c r="F6" i="44"/>
  <c r="F7" i="44"/>
  <c r="F8" i="44"/>
  <c r="F9" i="44"/>
  <c r="F10" i="44"/>
  <c r="F11" i="44"/>
  <c r="F12" i="44"/>
  <c r="F13" i="44"/>
  <c r="F14" i="44"/>
  <c r="F15" i="44"/>
  <c r="F16" i="44"/>
  <c r="F17" i="44"/>
  <c r="F18" i="44"/>
  <c r="F19" i="44"/>
  <c r="F20" i="44"/>
  <c r="F21" i="44"/>
  <c r="F22" i="44"/>
  <c r="F23" i="44"/>
  <c r="F24" i="44"/>
  <c r="F25" i="44"/>
  <c r="F26" i="44"/>
  <c r="F27" i="44"/>
  <c r="F28" i="44"/>
  <c r="F29" i="44"/>
  <c r="F30" i="44"/>
  <c r="F31" i="44"/>
  <c r="F32" i="44"/>
  <c r="F33" i="44"/>
  <c r="I2" i="30"/>
  <c r="K3" i="39"/>
  <c r="B17" i="40" l="1"/>
  <c r="AF23" i="41"/>
  <c r="AF24" i="41"/>
  <c r="AF25" i="41"/>
  <c r="AF26" i="41"/>
  <c r="AF27" i="41"/>
  <c r="AF28" i="41"/>
  <c r="AF29" i="41"/>
  <c r="AF30" i="41"/>
  <c r="AF31" i="41"/>
  <c r="AF32" i="41"/>
  <c r="AF33" i="41"/>
  <c r="AF34" i="41"/>
  <c r="AF35" i="41"/>
  <c r="AF36" i="41"/>
  <c r="AF37" i="41"/>
  <c r="AF38" i="41"/>
  <c r="AF39" i="41"/>
  <c r="AF40" i="41"/>
  <c r="AF41" i="41"/>
  <c r="AF42" i="41"/>
  <c r="AF44" i="41"/>
  <c r="AF45" i="41"/>
  <c r="AF46" i="41"/>
  <c r="AF47" i="41"/>
  <c r="AF48" i="41"/>
  <c r="AF49" i="41"/>
  <c r="AF50" i="41"/>
  <c r="AF51" i="41"/>
  <c r="AF52" i="41"/>
  <c r="AF53" i="41"/>
  <c r="AF54" i="41"/>
  <c r="AF55" i="41"/>
  <c r="AF56" i="41"/>
  <c r="AF57" i="41"/>
  <c r="AF58" i="41"/>
  <c r="AF59" i="41"/>
  <c r="AF60" i="41"/>
  <c r="AF61" i="41"/>
  <c r="AF62" i="41"/>
  <c r="AF63" i="41"/>
  <c r="AF64" i="41"/>
  <c r="AF65" i="41"/>
  <c r="AF66" i="41"/>
  <c r="AF67" i="41"/>
  <c r="AF68" i="41"/>
  <c r="AF69" i="41"/>
  <c r="AF70" i="41"/>
  <c r="AF71" i="41"/>
  <c r="AF72" i="41"/>
  <c r="AF73" i="41"/>
  <c r="AF74" i="41"/>
  <c r="AF75" i="41"/>
  <c r="AF76" i="41"/>
  <c r="AF77" i="41"/>
  <c r="AF78" i="41"/>
  <c r="AF79" i="41"/>
  <c r="AF80" i="41"/>
  <c r="AF81" i="41"/>
  <c r="AF82" i="41"/>
  <c r="AF83" i="41"/>
  <c r="AF84" i="41"/>
  <c r="AF85" i="41"/>
  <c r="AF86" i="41"/>
  <c r="AF87" i="41"/>
  <c r="AF88" i="41"/>
  <c r="AF89" i="41"/>
  <c r="AF90" i="41"/>
  <c r="AF91" i="41"/>
  <c r="AF92" i="41"/>
  <c r="AF93" i="41"/>
  <c r="AF94" i="41"/>
  <c r="AF95" i="41"/>
  <c r="AF96" i="41"/>
  <c r="AF97" i="41"/>
  <c r="AF98" i="41"/>
  <c r="AF99" i="41"/>
  <c r="AF100" i="41"/>
  <c r="AF101" i="41"/>
  <c r="AF102" i="41"/>
  <c r="AF103" i="41"/>
  <c r="AF104" i="41"/>
  <c r="AF105" i="41"/>
  <c r="AF106" i="41"/>
  <c r="AF107" i="41"/>
  <c r="AF108" i="41"/>
  <c r="AF109" i="41"/>
  <c r="AF110" i="41"/>
  <c r="AF111" i="41"/>
  <c r="AF112" i="41"/>
  <c r="AF113" i="41"/>
  <c r="AF114" i="41"/>
  <c r="AF115" i="41"/>
  <c r="AF116" i="41"/>
  <c r="AF117" i="41"/>
  <c r="AF118" i="41"/>
  <c r="AF119" i="41"/>
  <c r="AF120" i="41"/>
  <c r="AF121" i="41"/>
  <c r="AF122" i="41"/>
  <c r="AF123" i="41"/>
  <c r="AF124" i="41"/>
  <c r="AF125" i="41"/>
  <c r="AF126" i="41"/>
  <c r="AF127" i="41"/>
  <c r="AF128" i="41"/>
  <c r="AF129" i="41"/>
  <c r="AF130" i="41"/>
  <c r="AF131" i="41"/>
  <c r="AF132" i="41"/>
  <c r="AF133" i="41"/>
  <c r="AF134" i="41"/>
  <c r="AF135" i="41"/>
  <c r="AF136" i="41"/>
  <c r="AF137" i="41"/>
  <c r="AF138" i="41"/>
  <c r="AF139" i="41"/>
  <c r="AF140" i="41"/>
  <c r="AF141" i="41"/>
  <c r="AF142" i="41"/>
  <c r="AF143" i="41"/>
  <c r="AF144" i="41"/>
  <c r="AF145" i="41"/>
  <c r="AF146" i="41"/>
  <c r="AF147" i="41"/>
  <c r="AF148" i="41"/>
  <c r="AF149" i="41"/>
  <c r="AF150" i="41"/>
  <c r="AF151" i="41"/>
  <c r="AF152" i="41"/>
  <c r="AF153" i="41"/>
  <c r="AF154" i="41"/>
  <c r="AF155" i="41"/>
  <c r="AF156" i="41"/>
  <c r="AF157" i="41"/>
  <c r="AF158" i="41"/>
  <c r="AF159" i="41"/>
  <c r="AF160" i="41"/>
  <c r="AF161" i="41"/>
  <c r="AF162" i="41"/>
  <c r="AF163" i="41"/>
  <c r="AF164" i="41"/>
  <c r="AF165" i="41"/>
  <c r="AF166" i="41"/>
  <c r="AF167" i="41"/>
  <c r="AF168" i="41"/>
  <c r="AF169" i="41"/>
  <c r="AF170" i="41"/>
  <c r="AF171" i="41"/>
  <c r="AF172" i="41"/>
  <c r="AF173" i="41"/>
  <c r="AF174" i="41"/>
  <c r="AF175" i="41"/>
  <c r="AF176" i="41"/>
  <c r="AF177" i="41"/>
  <c r="AF178" i="41"/>
  <c r="AF179" i="41"/>
  <c r="AF180" i="41"/>
  <c r="AF181" i="41"/>
  <c r="AF182" i="41"/>
  <c r="AF183" i="41"/>
  <c r="AF184" i="41"/>
  <c r="AF185" i="41"/>
  <c r="AF186" i="41"/>
  <c r="AF187" i="41"/>
  <c r="AF188" i="41"/>
  <c r="AF189" i="41"/>
  <c r="AF190" i="41"/>
  <c r="AF191" i="41"/>
  <c r="AF192" i="41"/>
  <c r="AF193" i="41"/>
  <c r="AF194" i="41"/>
  <c r="AF195" i="41"/>
  <c r="AF196" i="41"/>
  <c r="AF197" i="41"/>
  <c r="AF198" i="41"/>
  <c r="AF199" i="41"/>
  <c r="AF200" i="41"/>
  <c r="AF201" i="41"/>
  <c r="AF202" i="41"/>
  <c r="AF203" i="41"/>
  <c r="AF204" i="41"/>
  <c r="AF205" i="41"/>
  <c r="AF206" i="41"/>
  <c r="AF207" i="41"/>
  <c r="AF208" i="41"/>
  <c r="AF209" i="41"/>
  <c r="AF210" i="41"/>
  <c r="AF211" i="41"/>
  <c r="AF212" i="41"/>
  <c r="AF213" i="41"/>
  <c r="AF214" i="41"/>
  <c r="AF215" i="41"/>
  <c r="AF216" i="41"/>
  <c r="AF217" i="41"/>
  <c r="AF218" i="41"/>
  <c r="AF219" i="41"/>
  <c r="AF220" i="41"/>
  <c r="AF221" i="41"/>
  <c r="AF222" i="41"/>
  <c r="AF223" i="41"/>
  <c r="AF224" i="41"/>
  <c r="AF225" i="41"/>
  <c r="AF226" i="41"/>
  <c r="AF227" i="41"/>
  <c r="AF228" i="41"/>
  <c r="AF229" i="41"/>
  <c r="AF230" i="41"/>
  <c r="AF231" i="41"/>
  <c r="AF232" i="41"/>
  <c r="AF233" i="41"/>
  <c r="AF234" i="41"/>
  <c r="AF235" i="41"/>
  <c r="AF236" i="41"/>
  <c r="AF237" i="41"/>
  <c r="AF238" i="41"/>
  <c r="AF239" i="41"/>
  <c r="AF240" i="41"/>
  <c r="AF241" i="41"/>
  <c r="AF242" i="41"/>
  <c r="AF243" i="41"/>
  <c r="AF244" i="41"/>
  <c r="AF245" i="41"/>
  <c r="AF246" i="41"/>
  <c r="AF247" i="41"/>
  <c r="AF252" i="41"/>
  <c r="AF253" i="41"/>
  <c r="AF254" i="41"/>
  <c r="AF255" i="41"/>
  <c r="AF256" i="41"/>
  <c r="AF257" i="41"/>
  <c r="AF258" i="41"/>
  <c r="AF259" i="41"/>
  <c r="AF260" i="41"/>
  <c r="AF261" i="41"/>
  <c r="AF262" i="41"/>
  <c r="AF263" i="41"/>
  <c r="AF264" i="41"/>
  <c r="AF265" i="41"/>
  <c r="AF266" i="41"/>
  <c r="AF267" i="41"/>
  <c r="AF268" i="41"/>
  <c r="AF269" i="41"/>
  <c r="AF270" i="41"/>
  <c r="AF271" i="41"/>
  <c r="AF272" i="41"/>
  <c r="AF273" i="41"/>
  <c r="AF274" i="41"/>
  <c r="AF275" i="41"/>
  <c r="AF276" i="41"/>
  <c r="AF278" i="41"/>
  <c r="AF279" i="41"/>
  <c r="AF280" i="41"/>
  <c r="AF281" i="41"/>
  <c r="AF282" i="41"/>
  <c r="AF283" i="41"/>
  <c r="AF284" i="41"/>
  <c r="AF285" i="41"/>
  <c r="AF286" i="41"/>
  <c r="AF287" i="41"/>
  <c r="AF288" i="41"/>
  <c r="AF289" i="41"/>
  <c r="AF290" i="41"/>
  <c r="AF291" i="41"/>
  <c r="AF292" i="41"/>
  <c r="AF293" i="41"/>
  <c r="AF294" i="41"/>
  <c r="AF295" i="41"/>
  <c r="AF296" i="41"/>
  <c r="AF297" i="41"/>
  <c r="AF298" i="41"/>
  <c r="AF299" i="41"/>
  <c r="AF300" i="41"/>
  <c r="AF301" i="41"/>
  <c r="AF302" i="41"/>
  <c r="AF303" i="41"/>
  <c r="AF304" i="41"/>
  <c r="AF305" i="41"/>
  <c r="AF306" i="41"/>
  <c r="AF307" i="41"/>
  <c r="AF308" i="41"/>
  <c r="AF309" i="41"/>
  <c r="AF310" i="41"/>
  <c r="AF311" i="41"/>
  <c r="AF312" i="41"/>
  <c r="AF313" i="41"/>
  <c r="AF314" i="41"/>
  <c r="AF315" i="41"/>
  <c r="AF316" i="41"/>
  <c r="AF317" i="41"/>
  <c r="AF318" i="41"/>
  <c r="AF319" i="41"/>
  <c r="AF320" i="41"/>
  <c r="AF321" i="41"/>
  <c r="AF322" i="41"/>
  <c r="AF323" i="41"/>
  <c r="AF324" i="41"/>
  <c r="AF325" i="41"/>
  <c r="AF326" i="41"/>
  <c r="AF327" i="41"/>
  <c r="AF328" i="41"/>
  <c r="AF329" i="41"/>
  <c r="AF330" i="41"/>
  <c r="AF331" i="41"/>
  <c r="AF332" i="41"/>
  <c r="AF333" i="41"/>
  <c r="AF334" i="41"/>
  <c r="AF335" i="41"/>
  <c r="AF336" i="41"/>
  <c r="AF337" i="41"/>
  <c r="AF338" i="41"/>
  <c r="AF339" i="41"/>
  <c r="AF340" i="41"/>
  <c r="AF341" i="41"/>
  <c r="AF342" i="41"/>
  <c r="AF343" i="41"/>
  <c r="AF344" i="41"/>
  <c r="AF345" i="41"/>
  <c r="AF346" i="41"/>
  <c r="AF347" i="41"/>
  <c r="AF348" i="41"/>
  <c r="AF349" i="41"/>
  <c r="AF350" i="41"/>
  <c r="AF351" i="41"/>
  <c r="AF352" i="41"/>
  <c r="AF353" i="41"/>
  <c r="AF354" i="41"/>
  <c r="AF355" i="41"/>
  <c r="AF356" i="41"/>
  <c r="AF357" i="41"/>
  <c r="AF358" i="41"/>
  <c r="AF359" i="41"/>
  <c r="AF360" i="41"/>
  <c r="AF361" i="41"/>
  <c r="AF362" i="41"/>
  <c r="AF363" i="41"/>
  <c r="AF364" i="41"/>
  <c r="AF365" i="41"/>
  <c r="AF366" i="41"/>
  <c r="AF367" i="41"/>
  <c r="AF368" i="41"/>
  <c r="AF369" i="41"/>
  <c r="AF370" i="41"/>
  <c r="AF371" i="41"/>
  <c r="AF372" i="41"/>
  <c r="AF373" i="41"/>
  <c r="AF374" i="41"/>
  <c r="AF375" i="41"/>
  <c r="AF376" i="41"/>
  <c r="AF377" i="41"/>
  <c r="AF378" i="41"/>
  <c r="AF379" i="41"/>
  <c r="AF380" i="41"/>
  <c r="AF381" i="41"/>
  <c r="AF382" i="41"/>
  <c r="AF383" i="41"/>
  <c r="AF384" i="41"/>
  <c r="AF385" i="41"/>
  <c r="AF386" i="41"/>
  <c r="AF387" i="41"/>
  <c r="AF388" i="41"/>
  <c r="AF389" i="41"/>
  <c r="AF390" i="41"/>
  <c r="AF391" i="41"/>
  <c r="AF392" i="41"/>
  <c r="AF393" i="41"/>
  <c r="AF394" i="41"/>
  <c r="AF395" i="41"/>
  <c r="AF396" i="41"/>
  <c r="AF397" i="41"/>
  <c r="AF398" i="41"/>
  <c r="AF399" i="41"/>
  <c r="AF400" i="41"/>
  <c r="AF401" i="41"/>
  <c r="AF402" i="41"/>
  <c r="AF403" i="41"/>
  <c r="AF404" i="41"/>
  <c r="AF405" i="41"/>
  <c r="AF406" i="41"/>
  <c r="AF407" i="41"/>
  <c r="AF408" i="41"/>
  <c r="AF409" i="41"/>
  <c r="AF410" i="41"/>
  <c r="AF411" i="41"/>
  <c r="AF412" i="41"/>
  <c r="AF413" i="41"/>
  <c r="AF414" i="41"/>
  <c r="AF415" i="41"/>
  <c r="AF416" i="41"/>
  <c r="AF417" i="41"/>
  <c r="AF418" i="41"/>
  <c r="AF419" i="41"/>
  <c r="AF420" i="41"/>
  <c r="AF421" i="41"/>
  <c r="AF422" i="41"/>
  <c r="AF423" i="41"/>
  <c r="AF424" i="41"/>
  <c r="AF425" i="41"/>
  <c r="AF426" i="41"/>
  <c r="AF427" i="41"/>
  <c r="AF428" i="41"/>
  <c r="AF429" i="41"/>
  <c r="AF430" i="41"/>
  <c r="AF431" i="41"/>
  <c r="AF432" i="41"/>
  <c r="AF433" i="41"/>
  <c r="AF434" i="41"/>
  <c r="AF435" i="41"/>
  <c r="AF436" i="41"/>
  <c r="AF437" i="41"/>
  <c r="AF438" i="41"/>
  <c r="AF439" i="41"/>
  <c r="AF440" i="41"/>
  <c r="AF441" i="41"/>
  <c r="AF442" i="41"/>
  <c r="AF443" i="41"/>
  <c r="AF444" i="41"/>
  <c r="AF445" i="41"/>
  <c r="AF446" i="41"/>
  <c r="AF447" i="41"/>
  <c r="AF448" i="41"/>
  <c r="AF449" i="41"/>
  <c r="AF450" i="41"/>
  <c r="AF451" i="41"/>
  <c r="AF452" i="41"/>
  <c r="AF453" i="41"/>
  <c r="AF454" i="41"/>
  <c r="AF455" i="41"/>
  <c r="AF456" i="41"/>
  <c r="AF457" i="41"/>
  <c r="AF458" i="41"/>
  <c r="AF459" i="41"/>
  <c r="AF460" i="41"/>
  <c r="AF461" i="41"/>
  <c r="AF462" i="41"/>
  <c r="AF463" i="41"/>
  <c r="AF464" i="41"/>
  <c r="AF465" i="41"/>
  <c r="AF466" i="41"/>
  <c r="AF467" i="41"/>
  <c r="AF468" i="41"/>
  <c r="AF469" i="41"/>
  <c r="AF470" i="41"/>
  <c r="AF471" i="41"/>
  <c r="AF472" i="41"/>
  <c r="AF473" i="41"/>
  <c r="AF474" i="41"/>
  <c r="AF475" i="41"/>
  <c r="AF476" i="41"/>
  <c r="AF477" i="41"/>
  <c r="AF478" i="41"/>
  <c r="AF479" i="41"/>
  <c r="AF480" i="41"/>
  <c r="AF481" i="41"/>
  <c r="AF487" i="41"/>
  <c r="AF488" i="41"/>
  <c r="AF489" i="41"/>
  <c r="AF490" i="41"/>
  <c r="AF491" i="41"/>
  <c r="AF492" i="41"/>
  <c r="AF493" i="41"/>
  <c r="AF494" i="41"/>
  <c r="AF495" i="41"/>
  <c r="AF496" i="41"/>
  <c r="AF497" i="41"/>
  <c r="AF498" i="41"/>
  <c r="AF499" i="41"/>
  <c r="AF500" i="41"/>
  <c r="AF501" i="41"/>
  <c r="AF502" i="41"/>
  <c r="AF503" i="41"/>
  <c r="AF504" i="41"/>
  <c r="AF505" i="41"/>
  <c r="AF506" i="41"/>
  <c r="AF507" i="41"/>
  <c r="AF508" i="41"/>
  <c r="AF509" i="41"/>
  <c r="AF510" i="41"/>
  <c r="AF511" i="41"/>
  <c r="AF512" i="41"/>
  <c r="AF513" i="41"/>
  <c r="AF514" i="41"/>
  <c r="AF515" i="41"/>
  <c r="AF516" i="41"/>
  <c r="AF517" i="41"/>
  <c r="AF518" i="41"/>
  <c r="AF519" i="41"/>
  <c r="AF520" i="41"/>
  <c r="AF521" i="41"/>
  <c r="AF522" i="41"/>
  <c r="AF523" i="41"/>
  <c r="AF524" i="41"/>
  <c r="AF525" i="41"/>
  <c r="AF526" i="41"/>
  <c r="AF527" i="41"/>
  <c r="AF528" i="41"/>
  <c r="AF529" i="41"/>
  <c r="AF530" i="41"/>
  <c r="AF531" i="41"/>
  <c r="AF532" i="41"/>
  <c r="AF533" i="41"/>
  <c r="AF534" i="41"/>
  <c r="AF535" i="41"/>
  <c r="AF536" i="41"/>
  <c r="AF537" i="41"/>
  <c r="AF538" i="41"/>
  <c r="AF539" i="41"/>
  <c r="AF540" i="41"/>
  <c r="AF541" i="41"/>
  <c r="AF542" i="41"/>
  <c r="AF543" i="41"/>
  <c r="AF544" i="41"/>
  <c r="AF545" i="41"/>
  <c r="AF546" i="41"/>
  <c r="AF547" i="41"/>
  <c r="AF548" i="41"/>
  <c r="AF549" i="41"/>
  <c r="AF550" i="41"/>
  <c r="AF551" i="41"/>
  <c r="AF552" i="41"/>
  <c r="AF553" i="41"/>
  <c r="AF554" i="41"/>
  <c r="AF555" i="41"/>
  <c r="AF556" i="41"/>
  <c r="AF557" i="41"/>
  <c r="AF558" i="41"/>
  <c r="AF559" i="41"/>
  <c r="AF560" i="41"/>
  <c r="AF561" i="41"/>
  <c r="AF562" i="41"/>
  <c r="AF563" i="41"/>
  <c r="AF564" i="41"/>
  <c r="AF565" i="41"/>
  <c r="AF566" i="41"/>
  <c r="AF567" i="41"/>
  <c r="AF568" i="41"/>
  <c r="AF569" i="41"/>
  <c r="AF570" i="41"/>
  <c r="AF571" i="41"/>
  <c r="AF572" i="41"/>
  <c r="AF573" i="41"/>
  <c r="AF574" i="41"/>
  <c r="AF575" i="41"/>
  <c r="AF576" i="41"/>
  <c r="AF577" i="41"/>
  <c r="AF578" i="41"/>
  <c r="AF579" i="41"/>
  <c r="AF580" i="41"/>
  <c r="AF581" i="41"/>
  <c r="AF582" i="41"/>
  <c r="AF583" i="41"/>
  <c r="AF584" i="41"/>
  <c r="AF585" i="41"/>
  <c r="AF586" i="41"/>
  <c r="AF587" i="41"/>
  <c r="AF588" i="41"/>
  <c r="AF589" i="41"/>
  <c r="AF590" i="41"/>
  <c r="AF591" i="41"/>
  <c r="AF592" i="41"/>
  <c r="AF593" i="41"/>
  <c r="AF594" i="41"/>
  <c r="AF595" i="41"/>
  <c r="AF596" i="41"/>
  <c r="AF597" i="41"/>
  <c r="AF598" i="41"/>
  <c r="AF599" i="41"/>
  <c r="AF600" i="41"/>
  <c r="AF601" i="41"/>
  <c r="AF602" i="41"/>
  <c r="AF603" i="41"/>
  <c r="AF604" i="41"/>
  <c r="AF605" i="41"/>
  <c r="AF606" i="41"/>
  <c r="AF607" i="41"/>
  <c r="AF608" i="41"/>
  <c r="AF609" i="41"/>
  <c r="AF610" i="41"/>
  <c r="AF611" i="41"/>
  <c r="AF612" i="41"/>
  <c r="AF613" i="41"/>
  <c r="AF614" i="41"/>
  <c r="AF615" i="41"/>
  <c r="AF616" i="41"/>
  <c r="AF617" i="41"/>
  <c r="AF618" i="41"/>
  <c r="AF619" i="41"/>
  <c r="AF620" i="41"/>
  <c r="AF621" i="41"/>
  <c r="AF622" i="41"/>
  <c r="AF623" i="41"/>
  <c r="AF624" i="41"/>
  <c r="AF625" i="41"/>
  <c r="AF626" i="41"/>
  <c r="AF627" i="41"/>
  <c r="AF628" i="41"/>
  <c r="AF629" i="41"/>
  <c r="AF630" i="41"/>
  <c r="AF631" i="41"/>
  <c r="AF632" i="41"/>
  <c r="AF633" i="41"/>
  <c r="AF634" i="41"/>
  <c r="AF635" i="41"/>
  <c r="AF636" i="41"/>
  <c r="AF637" i="41"/>
  <c r="AF638" i="41"/>
  <c r="AF639" i="41"/>
  <c r="AF640" i="41"/>
  <c r="AF641" i="41"/>
  <c r="AF642" i="41"/>
  <c r="AF643" i="41"/>
  <c r="AF644" i="41"/>
  <c r="AF645" i="41"/>
  <c r="AF646" i="41"/>
  <c r="AF647" i="41"/>
  <c r="AF648" i="41"/>
  <c r="AF649" i="41"/>
  <c r="AF650" i="41"/>
  <c r="AF651" i="41"/>
  <c r="AF652" i="41"/>
  <c r="AF22" i="41"/>
  <c r="X4" i="40" l="1"/>
  <c r="W4" i="40"/>
  <c r="BC119" i="40" l="1"/>
  <c r="BC71" i="40"/>
  <c r="BC73" i="40"/>
  <c r="BC75" i="40"/>
  <c r="BC77" i="40"/>
  <c r="BC79" i="40"/>
  <c r="BC81" i="40"/>
  <c r="BC83" i="40"/>
  <c r="BC85" i="40"/>
  <c r="BC87" i="40"/>
  <c r="BC89" i="40"/>
  <c r="BC91" i="40"/>
  <c r="BC93" i="40"/>
  <c r="BC95" i="40"/>
  <c r="BC97" i="40"/>
  <c r="BC99" i="40"/>
  <c r="BC101" i="40"/>
  <c r="BC103" i="40"/>
  <c r="BC105" i="40"/>
  <c r="BC107" i="40"/>
  <c r="BC109" i="40"/>
  <c r="BC111" i="40"/>
  <c r="BC113" i="40"/>
  <c r="BC115" i="40"/>
  <c r="BC117" i="40"/>
  <c r="BC120" i="40"/>
  <c r="BC121" i="40"/>
  <c r="BC123" i="40"/>
  <c r="BC72" i="40"/>
  <c r="BC74" i="40"/>
  <c r="BC76" i="40"/>
  <c r="BC78" i="40"/>
  <c r="BC80" i="40"/>
  <c r="BC82" i="40"/>
  <c r="BC84" i="40"/>
  <c r="BC86" i="40"/>
  <c r="BC88" i="40"/>
  <c r="BC90" i="40"/>
  <c r="BC92" i="40"/>
  <c r="BC94" i="40"/>
  <c r="BC96" i="40"/>
  <c r="BC98" i="40"/>
  <c r="BC100" i="40"/>
  <c r="BC102" i="40"/>
  <c r="BC104" i="40"/>
  <c r="BC106" i="40"/>
  <c r="BC108" i="40"/>
  <c r="BC110" i="40"/>
  <c r="BC112" i="40"/>
  <c r="BC114" i="40"/>
  <c r="BC116" i="40"/>
  <c r="BC118" i="40"/>
  <c r="BC70" i="40"/>
  <c r="BC122" i="40"/>
  <c r="BD122" i="40"/>
  <c r="BD119" i="40"/>
  <c r="BD71" i="40"/>
  <c r="BD73" i="40"/>
  <c r="BD75" i="40"/>
  <c r="BD77" i="40"/>
  <c r="BD79" i="40"/>
  <c r="BD81" i="40"/>
  <c r="BD83" i="40"/>
  <c r="BD85" i="40"/>
  <c r="BD87" i="40"/>
  <c r="BD89" i="40"/>
  <c r="BD91" i="40"/>
  <c r="BD93" i="40"/>
  <c r="BD95" i="40"/>
  <c r="BD97" i="40"/>
  <c r="BD99" i="40"/>
  <c r="BD101" i="40"/>
  <c r="BD103" i="40"/>
  <c r="BD105" i="40"/>
  <c r="BD107" i="40"/>
  <c r="BD109" i="40"/>
  <c r="BD111" i="40"/>
  <c r="BD113" i="40"/>
  <c r="BD115" i="40"/>
  <c r="BD117" i="40"/>
  <c r="BD120" i="40"/>
  <c r="BD121" i="40"/>
  <c r="BD123" i="40"/>
  <c r="BD72" i="40"/>
  <c r="BD74" i="40"/>
  <c r="BD76" i="40"/>
  <c r="BD78" i="40"/>
  <c r="BD80" i="40"/>
  <c r="BD82" i="40"/>
  <c r="BD84" i="40"/>
  <c r="BD86" i="40"/>
  <c r="BD88" i="40"/>
  <c r="BD90" i="40"/>
  <c r="BD92" i="40"/>
  <c r="BD94" i="40"/>
  <c r="BD96" i="40"/>
  <c r="BD98" i="40"/>
  <c r="BD100" i="40"/>
  <c r="BD102" i="40"/>
  <c r="BD104" i="40"/>
  <c r="BD106" i="40"/>
  <c r="BD108" i="40"/>
  <c r="BD110" i="40"/>
  <c r="BD112" i="40"/>
  <c r="BD114" i="40"/>
  <c r="BD116" i="40"/>
  <c r="BD118" i="40"/>
  <c r="BD70" i="40"/>
  <c r="BK119" i="40" l="1"/>
  <c r="BK71" i="40"/>
  <c r="BK122" i="40"/>
  <c r="BO122" i="40" s="1"/>
  <c r="BK97" i="40"/>
  <c r="BK81" i="40"/>
  <c r="BK104" i="40"/>
  <c r="BK88" i="40"/>
  <c r="BK72" i="40"/>
  <c r="BK110" i="40"/>
  <c r="BK95" i="40"/>
  <c r="BK79" i="40"/>
  <c r="BK113" i="40"/>
  <c r="BK98" i="40"/>
  <c r="BK118" i="40"/>
  <c r="BK103" i="40"/>
  <c r="BK87" i="40"/>
  <c r="BK117" i="40"/>
  <c r="BK102" i="40"/>
  <c r="BK86" i="40"/>
  <c r="BK121" i="40"/>
  <c r="BK106" i="40"/>
  <c r="BK90" i="40"/>
  <c r="BK74" i="40"/>
  <c r="BK96" i="40"/>
  <c r="BK80" i="40"/>
  <c r="BK116" i="40"/>
  <c r="BK101" i="40"/>
  <c r="BK85" i="40"/>
  <c r="BK70" i="40"/>
  <c r="BK107" i="40"/>
  <c r="BK91" i="40"/>
  <c r="BK75" i="40"/>
  <c r="BK115" i="40"/>
  <c r="BK120" i="40"/>
  <c r="BK105" i="40"/>
  <c r="BK89" i="40"/>
  <c r="BK73" i="40"/>
  <c r="BK82" i="40"/>
  <c r="BK93" i="40"/>
  <c r="BK77" i="40"/>
  <c r="I2" i="46"/>
  <c r="N16" i="46"/>
  <c r="BK109" i="40"/>
  <c r="BK94" i="40"/>
  <c r="BK78" i="40"/>
  <c r="BK114" i="40"/>
  <c r="BK83" i="40"/>
  <c r="BK123" i="40"/>
  <c r="BK108" i="40"/>
  <c r="BK92" i="40"/>
  <c r="BK84" i="40"/>
  <c r="BK76" i="40"/>
  <c r="M55" i="46"/>
  <c r="N41" i="46"/>
  <c r="N22" i="46"/>
  <c r="N39" i="46"/>
  <c r="N28" i="46"/>
  <c r="N49" i="46"/>
  <c r="M57" i="46"/>
  <c r="M50" i="46"/>
  <c r="M28" i="46"/>
  <c r="M13" i="46"/>
  <c r="N13" i="46"/>
  <c r="N5" i="46"/>
  <c r="M20" i="46"/>
  <c r="M14" i="46"/>
  <c r="N10" i="46"/>
  <c r="N7" i="46"/>
  <c r="M9" i="46"/>
  <c r="M7" i="46"/>
  <c r="M51" i="46"/>
  <c r="N36" i="46"/>
  <c r="N31" i="46"/>
  <c r="M32" i="46"/>
  <c r="M34" i="46"/>
  <c r="M15" i="46"/>
  <c r="M41" i="46"/>
  <c r="N52" i="46"/>
  <c r="N56" i="46"/>
  <c r="M56" i="46"/>
  <c r="M36" i="46"/>
  <c r="N25" i="46"/>
  <c r="N6" i="46"/>
  <c r="N43" i="46"/>
  <c r="N12" i="46"/>
  <c r="N34" i="46"/>
  <c r="M58" i="46"/>
  <c r="M35" i="46"/>
  <c r="M12" i="46"/>
  <c r="N20" i="46"/>
  <c r="N8" i="46"/>
  <c r="N53" i="46"/>
  <c r="M40" i="46"/>
  <c r="M45" i="46"/>
  <c r="N27" i="46"/>
  <c r="M33" i="46"/>
  <c r="M27" i="46"/>
  <c r="M49" i="46"/>
  <c r="N11" i="46"/>
  <c r="M17" i="46"/>
  <c r="M11" i="46"/>
  <c r="M53" i="46"/>
  <c r="M26" i="46"/>
  <c r="M39" i="46"/>
  <c r="N50" i="46"/>
  <c r="N29" i="46"/>
  <c r="N32" i="46"/>
  <c r="N9" i="46"/>
  <c r="N48" i="46"/>
  <c r="N15" i="46"/>
  <c r="N37" i="46"/>
  <c r="N18" i="46"/>
  <c r="M30" i="46"/>
  <c r="M19" i="46"/>
  <c r="M44" i="46"/>
  <c r="N47" i="46"/>
  <c r="N57" i="46"/>
  <c r="M23" i="46"/>
  <c r="M42" i="46"/>
  <c r="N17" i="46"/>
  <c r="N54" i="46"/>
  <c r="M52" i="46"/>
  <c r="M46" i="46"/>
  <c r="N26" i="46"/>
  <c r="N46" i="46"/>
  <c r="M37" i="46"/>
  <c r="M31" i="46"/>
  <c r="M5" i="46"/>
  <c r="N19" i="46"/>
  <c r="N45" i="46"/>
  <c r="M38" i="46"/>
  <c r="N14" i="46"/>
  <c r="M10" i="46"/>
  <c r="M54" i="46"/>
  <c r="N44" i="46"/>
  <c r="N40" i="46"/>
  <c r="N38" i="46"/>
  <c r="N51" i="46"/>
  <c r="N21" i="46"/>
  <c r="M18" i="46"/>
  <c r="M29" i="46"/>
  <c r="N23" i="46"/>
  <c r="M48" i="46"/>
  <c r="M43" i="46"/>
  <c r="M47" i="46"/>
  <c r="N24" i="46"/>
  <c r="N58" i="46"/>
  <c r="M24" i="46"/>
  <c r="M22" i="46"/>
  <c r="N42" i="46"/>
  <c r="N33" i="46"/>
  <c r="N35" i="46"/>
  <c r="M8" i="46"/>
  <c r="M6" i="46"/>
  <c r="M21" i="46"/>
  <c r="N55" i="46"/>
  <c r="M25" i="46"/>
  <c r="M16" i="46"/>
  <c r="N30" i="46"/>
  <c r="J2" i="46"/>
  <c r="F2" i="46"/>
  <c r="E2" i="46"/>
  <c r="H2" i="46"/>
  <c r="K2" i="46"/>
  <c r="G2" i="46"/>
  <c r="V8" i="41"/>
  <c r="V7" i="41" s="1"/>
  <c r="V9" i="41" s="1"/>
  <c r="W8" i="41"/>
  <c r="W7" i="41" s="1"/>
  <c r="X8" i="41"/>
  <c r="X7" i="41" s="1"/>
  <c r="Y8" i="41"/>
  <c r="Y7" i="41" s="1"/>
  <c r="Z8" i="41"/>
  <c r="Z7" i="41" s="1"/>
  <c r="AA8" i="41"/>
  <c r="AA7" i="41" s="1"/>
  <c r="P8" i="41"/>
  <c r="P7" i="41" s="1"/>
  <c r="P9" i="41" s="1"/>
  <c r="W5" i="40" s="1"/>
  <c r="Q8" i="41"/>
  <c r="Q7" i="41" s="1"/>
  <c r="Q9" i="41" s="1"/>
  <c r="X5" i="40" s="1"/>
  <c r="R8" i="41"/>
  <c r="R7" i="41" s="1"/>
  <c r="S8" i="41"/>
  <c r="T8" i="41"/>
  <c r="T7" i="41" s="1"/>
  <c r="T9" i="41" s="1"/>
  <c r="AA5" i="40" s="1"/>
  <c r="O8" i="41"/>
  <c r="O7" i="41" s="1"/>
  <c r="O9" i="41" s="1"/>
  <c r="V5" i="40" s="1"/>
  <c r="R9" i="41" l="1"/>
  <c r="Y5" i="40" s="1"/>
  <c r="X9" i="41"/>
  <c r="AA9" i="41"/>
  <c r="W9" i="41"/>
  <c r="Z9" i="41"/>
  <c r="Y9" i="41"/>
  <c r="AL7" i="41"/>
  <c r="AW7" i="41"/>
  <c r="AN7" i="41"/>
  <c r="AQ7" i="41"/>
  <c r="AM7" i="41"/>
  <c r="H40" i="43"/>
  <c r="H39" i="43"/>
  <c r="H14" i="43"/>
  <c r="H8" i="43"/>
  <c r="H37" i="43"/>
  <c r="H10" i="43"/>
  <c r="H25" i="43"/>
  <c r="H29" i="43"/>
  <c r="H43" i="43"/>
  <c r="H35" i="43"/>
  <c r="H15" i="43"/>
  <c r="H45" i="43"/>
  <c r="H41" i="43"/>
  <c r="H20" i="43"/>
  <c r="H16" i="43"/>
  <c r="H24" i="43"/>
  <c r="H27" i="43"/>
  <c r="H17" i="43"/>
  <c r="H22" i="43"/>
  <c r="H13" i="43"/>
  <c r="H7" i="43"/>
  <c r="H26" i="43"/>
  <c r="H12" i="43"/>
  <c r="H19" i="43"/>
  <c r="H44" i="43"/>
  <c r="H18" i="43"/>
  <c r="H28" i="43"/>
  <c r="H34" i="43"/>
  <c r="H21" i="43"/>
  <c r="H31" i="43"/>
  <c r="H32" i="43"/>
  <c r="H38" i="43"/>
  <c r="H9" i="43"/>
  <c r="H23" i="43"/>
  <c r="H33" i="43"/>
  <c r="H36" i="43"/>
  <c r="H42" i="43"/>
  <c r="H11" i="43"/>
  <c r="H30" i="43"/>
  <c r="AV7" i="41" l="1"/>
  <c r="AS7" i="41"/>
  <c r="AT7" i="41"/>
  <c r="AU7" i="41"/>
  <c r="AP7" i="41"/>
  <c r="AO7" i="41"/>
  <c r="AB9" i="40"/>
  <c r="AC9" i="40" l="1"/>
  <c r="AD9" i="40"/>
  <c r="AE9" i="40"/>
  <c r="AF9" i="40"/>
  <c r="AG9" i="40"/>
  <c r="AH9" i="40"/>
  <c r="F38" i="40"/>
  <c r="F39" i="40"/>
  <c r="F47" i="40"/>
  <c r="F50" i="40"/>
  <c r="F51" i="40"/>
  <c r="G38" i="40"/>
  <c r="H38" i="40"/>
  <c r="I38" i="40"/>
  <c r="J38" i="40"/>
  <c r="K38" i="40"/>
  <c r="G39" i="40"/>
  <c r="H39" i="40"/>
  <c r="I39" i="40"/>
  <c r="J39" i="40"/>
  <c r="K39" i="40"/>
  <c r="G47" i="40"/>
  <c r="H47" i="40"/>
  <c r="I47" i="40"/>
  <c r="J47" i="40"/>
  <c r="K47" i="40"/>
  <c r="G50" i="40"/>
  <c r="H50" i="40"/>
  <c r="I50" i="40"/>
  <c r="J50" i="40"/>
  <c r="K50" i="40"/>
  <c r="G51" i="40"/>
  <c r="H51" i="40"/>
  <c r="I51" i="40"/>
  <c r="J51" i="40"/>
  <c r="K51" i="40"/>
  <c r="U8" i="41" l="1"/>
  <c r="U7" i="41" s="1"/>
  <c r="U9" i="41" l="1"/>
  <c r="AI58" i="40"/>
  <c r="X6" i="40"/>
  <c r="Y6" i="40"/>
  <c r="Z6" i="40"/>
  <c r="AA6" i="40"/>
  <c r="AB6" i="40"/>
  <c r="AC6" i="40"/>
  <c r="AD6" i="40"/>
  <c r="AE6" i="40"/>
  <c r="AF6" i="40"/>
  <c r="AG6" i="40"/>
  <c r="AH6" i="40"/>
  <c r="AK10" i="40"/>
  <c r="AN10" i="40" s="1"/>
  <c r="AK11" i="40"/>
  <c r="AN11" i="40" s="1"/>
  <c r="AK12" i="40"/>
  <c r="AN12" i="40" s="1"/>
  <c r="AK13" i="40"/>
  <c r="AN13" i="40" s="1"/>
  <c r="AK14" i="40"/>
  <c r="AN14" i="40" s="1"/>
  <c r="AK15" i="40"/>
  <c r="AN15" i="40" s="1"/>
  <c r="AK16" i="40"/>
  <c r="AN16" i="40" s="1"/>
  <c r="AK17" i="40"/>
  <c r="AN17" i="40" s="1"/>
  <c r="AK18" i="40"/>
  <c r="AN18" i="40" s="1"/>
  <c r="AK19" i="40"/>
  <c r="AN19" i="40" s="1"/>
  <c r="AK20" i="40"/>
  <c r="AN20" i="40" s="1"/>
  <c r="AK21" i="40"/>
  <c r="AN21" i="40" s="1"/>
  <c r="AK22" i="40"/>
  <c r="AN22" i="40" s="1"/>
  <c r="AK23" i="40"/>
  <c r="AN23" i="40" s="1"/>
  <c r="AK24" i="40"/>
  <c r="AN24" i="40" s="1"/>
  <c r="AK25" i="40"/>
  <c r="AN25" i="40" s="1"/>
  <c r="AK26" i="40"/>
  <c r="AN26" i="40" s="1"/>
  <c r="AK27" i="40"/>
  <c r="AN27" i="40" s="1"/>
  <c r="AK28" i="40"/>
  <c r="AN28" i="40" s="1"/>
  <c r="AK29" i="40"/>
  <c r="AN29" i="40" s="1"/>
  <c r="AK30" i="40"/>
  <c r="AN30" i="40" s="1"/>
  <c r="AK31" i="40"/>
  <c r="AN31" i="40" s="1"/>
  <c r="AK32" i="40"/>
  <c r="AN32" i="40" s="1"/>
  <c r="AK33" i="40"/>
  <c r="AN33" i="40" s="1"/>
  <c r="AK34" i="40"/>
  <c r="AN34" i="40" s="1"/>
  <c r="AK35" i="40"/>
  <c r="AN35" i="40" s="1"/>
  <c r="AK36" i="40"/>
  <c r="AN36" i="40" s="1"/>
  <c r="AK37" i="40"/>
  <c r="AN37" i="40" s="1"/>
  <c r="AK40" i="40"/>
  <c r="AN40" i="40" s="1"/>
  <c r="AK41" i="40"/>
  <c r="AN41" i="40" s="1"/>
  <c r="AK42" i="40"/>
  <c r="AN42" i="40" s="1"/>
  <c r="AK43" i="40"/>
  <c r="AK44" i="40"/>
  <c r="AN44" i="40" s="1"/>
  <c r="AK45" i="40"/>
  <c r="AK46" i="40"/>
  <c r="AK47" i="40"/>
  <c r="AK48" i="40"/>
  <c r="AN48" i="40" s="1"/>
  <c r="AK49" i="40"/>
  <c r="AN49" i="40" s="1"/>
  <c r="AK52" i="40"/>
  <c r="AN52" i="40" s="1"/>
  <c r="AK53" i="40"/>
  <c r="AN53" i="40" s="1"/>
  <c r="AK54" i="40"/>
  <c r="AN54" i="40" s="1"/>
  <c r="AK55" i="40"/>
  <c r="AN55" i="40" s="1"/>
  <c r="AK56" i="40"/>
  <c r="AN56" i="40" s="1"/>
  <c r="AK57" i="40"/>
  <c r="AN57" i="40" s="1"/>
  <c r="AK59" i="40"/>
  <c r="AN59" i="40" s="1"/>
  <c r="AK60" i="40"/>
  <c r="AN60" i="40" s="1"/>
  <c r="AK62" i="40"/>
  <c r="AN62" i="40" s="1"/>
  <c r="AK9" i="40"/>
  <c r="AN9" i="40" s="1"/>
  <c r="W6" i="40"/>
  <c r="V6" i="40"/>
  <c r="AB10" i="40"/>
  <c r="AC10" i="40"/>
  <c r="AD10" i="40"/>
  <c r="AE10" i="40"/>
  <c r="AF10" i="40"/>
  <c r="AG10" i="40"/>
  <c r="AH10" i="40"/>
  <c r="AB11" i="40"/>
  <c r="AC11" i="40"/>
  <c r="AD11" i="40"/>
  <c r="AE11" i="40"/>
  <c r="AF11" i="40"/>
  <c r="AG11" i="40"/>
  <c r="AH11" i="40"/>
  <c r="AB12" i="40"/>
  <c r="AC12" i="40"/>
  <c r="AD12" i="40"/>
  <c r="AE12" i="40"/>
  <c r="AF12" i="40"/>
  <c r="AG12" i="40"/>
  <c r="AH12" i="40"/>
  <c r="AB13" i="40"/>
  <c r="AC13" i="40"/>
  <c r="AD13" i="40"/>
  <c r="AE13" i="40"/>
  <c r="AF13" i="40"/>
  <c r="AG13" i="40"/>
  <c r="AH13" i="40"/>
  <c r="AB14" i="40"/>
  <c r="AC14" i="40"/>
  <c r="AD14" i="40"/>
  <c r="AE14" i="40"/>
  <c r="AF14" i="40"/>
  <c r="AG14" i="40"/>
  <c r="AH14" i="40"/>
  <c r="AB15" i="40"/>
  <c r="AC15" i="40"/>
  <c r="AD15" i="40"/>
  <c r="AE15" i="40"/>
  <c r="AF15" i="40"/>
  <c r="AG15" i="40"/>
  <c r="AH15" i="40"/>
  <c r="AB16" i="40"/>
  <c r="AC16" i="40"/>
  <c r="AD16" i="40"/>
  <c r="AE16" i="40"/>
  <c r="AF16" i="40"/>
  <c r="AG16" i="40"/>
  <c r="AH16" i="40"/>
  <c r="AB17" i="40"/>
  <c r="AC17" i="40"/>
  <c r="AD17" i="40"/>
  <c r="AE17" i="40"/>
  <c r="AF17" i="40"/>
  <c r="AG17" i="40"/>
  <c r="AH17" i="40"/>
  <c r="AB18" i="40"/>
  <c r="AC18" i="40"/>
  <c r="AD18" i="40"/>
  <c r="AE18" i="40"/>
  <c r="AF18" i="40"/>
  <c r="AG18" i="40"/>
  <c r="AH18" i="40"/>
  <c r="AB19" i="40"/>
  <c r="AC19" i="40"/>
  <c r="AD19" i="40"/>
  <c r="AE19" i="40"/>
  <c r="AF19" i="40"/>
  <c r="AG19" i="40"/>
  <c r="AH19" i="40"/>
  <c r="AB20" i="40"/>
  <c r="AC20" i="40"/>
  <c r="AD20" i="40"/>
  <c r="AE20" i="40"/>
  <c r="AF20" i="40"/>
  <c r="AG20" i="40"/>
  <c r="AH20" i="40"/>
  <c r="AB21" i="40"/>
  <c r="AC21" i="40"/>
  <c r="AD21" i="40"/>
  <c r="AE21" i="40"/>
  <c r="AF21" i="40"/>
  <c r="AG21" i="40"/>
  <c r="AH21" i="40"/>
  <c r="AB22" i="40"/>
  <c r="AC22" i="40"/>
  <c r="AD22" i="40"/>
  <c r="AE22" i="40"/>
  <c r="AF22" i="40"/>
  <c r="AG22" i="40"/>
  <c r="AH22" i="40"/>
  <c r="AB23" i="40"/>
  <c r="AC23" i="40"/>
  <c r="AD23" i="40"/>
  <c r="AE23" i="40"/>
  <c r="AF23" i="40"/>
  <c r="AG23" i="40"/>
  <c r="AH23" i="40"/>
  <c r="AB24" i="40"/>
  <c r="AC24" i="40"/>
  <c r="AD24" i="40"/>
  <c r="AE24" i="40"/>
  <c r="AF24" i="40"/>
  <c r="AG24" i="40"/>
  <c r="AH24" i="40"/>
  <c r="AB25" i="40"/>
  <c r="AC25" i="40"/>
  <c r="AD25" i="40"/>
  <c r="AE25" i="40"/>
  <c r="AF25" i="40"/>
  <c r="AG25" i="40"/>
  <c r="AH25" i="40"/>
  <c r="AB26" i="40"/>
  <c r="AC26" i="40"/>
  <c r="AD26" i="40"/>
  <c r="AE26" i="40"/>
  <c r="AF26" i="40"/>
  <c r="AG26" i="40"/>
  <c r="AH26" i="40"/>
  <c r="AB27" i="40"/>
  <c r="AC27" i="40"/>
  <c r="AD27" i="40"/>
  <c r="AE27" i="40"/>
  <c r="AF27" i="40"/>
  <c r="AG27" i="40"/>
  <c r="AH27" i="40"/>
  <c r="AB28" i="40"/>
  <c r="AC28" i="40"/>
  <c r="AD28" i="40"/>
  <c r="AE28" i="40"/>
  <c r="AF28" i="40"/>
  <c r="AG28" i="40"/>
  <c r="AH28" i="40"/>
  <c r="AB29" i="40"/>
  <c r="AC29" i="40"/>
  <c r="AD29" i="40"/>
  <c r="AE29" i="40"/>
  <c r="AF29" i="40"/>
  <c r="AG29" i="40"/>
  <c r="AH29" i="40"/>
  <c r="AB30" i="40"/>
  <c r="AC30" i="40"/>
  <c r="AD30" i="40"/>
  <c r="AE30" i="40"/>
  <c r="AF30" i="40"/>
  <c r="AG30" i="40"/>
  <c r="AH30" i="40"/>
  <c r="AB31" i="40"/>
  <c r="AC31" i="40"/>
  <c r="AD31" i="40"/>
  <c r="AE31" i="40"/>
  <c r="AF31" i="40"/>
  <c r="AG31" i="40"/>
  <c r="AH31" i="40"/>
  <c r="AB32" i="40"/>
  <c r="AC32" i="40"/>
  <c r="AD32" i="40"/>
  <c r="AE32" i="40"/>
  <c r="AF32" i="40"/>
  <c r="AG32" i="40"/>
  <c r="AH32" i="40"/>
  <c r="AB33" i="40"/>
  <c r="AC33" i="40"/>
  <c r="AD33" i="40"/>
  <c r="AE33" i="40"/>
  <c r="AF33" i="40"/>
  <c r="AG33" i="40"/>
  <c r="AH33" i="40"/>
  <c r="AB34" i="40"/>
  <c r="AC34" i="40"/>
  <c r="AD34" i="40"/>
  <c r="AE34" i="40"/>
  <c r="AF34" i="40"/>
  <c r="AG34" i="40"/>
  <c r="AH34" i="40"/>
  <c r="AB35" i="40"/>
  <c r="AC35" i="40"/>
  <c r="AD35" i="40"/>
  <c r="AE35" i="40"/>
  <c r="AF35" i="40"/>
  <c r="AG35" i="40"/>
  <c r="AH35" i="40"/>
  <c r="AB36" i="40"/>
  <c r="AC36" i="40"/>
  <c r="AD36" i="40"/>
  <c r="AE36" i="40"/>
  <c r="AF36" i="40"/>
  <c r="AG36" i="40"/>
  <c r="AH36" i="40"/>
  <c r="AB37" i="40"/>
  <c r="AC37" i="40"/>
  <c r="AD37" i="40"/>
  <c r="AE37" i="40"/>
  <c r="AF37" i="40"/>
  <c r="AG37" i="40"/>
  <c r="AH37" i="40"/>
  <c r="AB38" i="40"/>
  <c r="AC38" i="40"/>
  <c r="AD38" i="40"/>
  <c r="AE38" i="40"/>
  <c r="AF38" i="40"/>
  <c r="AG38" i="40"/>
  <c r="AH38" i="40"/>
  <c r="AB39" i="40"/>
  <c r="AC39" i="40"/>
  <c r="AD39" i="40"/>
  <c r="AE39" i="40"/>
  <c r="AF39" i="40"/>
  <c r="AG39" i="40"/>
  <c r="AH39" i="40"/>
  <c r="AB40" i="40"/>
  <c r="AC40" i="40"/>
  <c r="AD40" i="40"/>
  <c r="AE40" i="40"/>
  <c r="AF40" i="40"/>
  <c r="AG40" i="40"/>
  <c r="AH40" i="40"/>
  <c r="AB41" i="40"/>
  <c r="AC41" i="40"/>
  <c r="AD41" i="40"/>
  <c r="AE41" i="40"/>
  <c r="AF41" i="40"/>
  <c r="AG41" i="40"/>
  <c r="AH41" i="40"/>
  <c r="AB42" i="40"/>
  <c r="AC42" i="40"/>
  <c r="AD42" i="40"/>
  <c r="AE42" i="40"/>
  <c r="AF42" i="40"/>
  <c r="AG42" i="40"/>
  <c r="AH42" i="40"/>
  <c r="AB43" i="40"/>
  <c r="AC43" i="40"/>
  <c r="AD43" i="40"/>
  <c r="AE43" i="40"/>
  <c r="AF43" i="40"/>
  <c r="AG43" i="40"/>
  <c r="AH43" i="40"/>
  <c r="AB44" i="40"/>
  <c r="AC44" i="40"/>
  <c r="AD44" i="40"/>
  <c r="AE44" i="40"/>
  <c r="AF44" i="40"/>
  <c r="AG44" i="40"/>
  <c r="AH44" i="40"/>
  <c r="AB45" i="40"/>
  <c r="AC45" i="40"/>
  <c r="AD45" i="40"/>
  <c r="AE45" i="40"/>
  <c r="AF45" i="40"/>
  <c r="AG45" i="40"/>
  <c r="AH45" i="40"/>
  <c r="AB46" i="40"/>
  <c r="AC46" i="40"/>
  <c r="AD46" i="40"/>
  <c r="AE46" i="40"/>
  <c r="AF46" i="40"/>
  <c r="AG46" i="40"/>
  <c r="AH46" i="40"/>
  <c r="AB47" i="40"/>
  <c r="AC47" i="40"/>
  <c r="AD47" i="40"/>
  <c r="AE47" i="40"/>
  <c r="AF47" i="40"/>
  <c r="AG47" i="40"/>
  <c r="AH47" i="40"/>
  <c r="AB48" i="40"/>
  <c r="AC48" i="40"/>
  <c r="AD48" i="40"/>
  <c r="AE48" i="40"/>
  <c r="AF48" i="40"/>
  <c r="AG48" i="40"/>
  <c r="AH48" i="40"/>
  <c r="AB49" i="40"/>
  <c r="AC49" i="40"/>
  <c r="AD49" i="40"/>
  <c r="AE49" i="40"/>
  <c r="AF49" i="40"/>
  <c r="AG49" i="40"/>
  <c r="AH49" i="40"/>
  <c r="AB50" i="40"/>
  <c r="AC50" i="40"/>
  <c r="AD50" i="40"/>
  <c r="AE50" i="40"/>
  <c r="AF50" i="40"/>
  <c r="AG50" i="40"/>
  <c r="AH50" i="40"/>
  <c r="AB51" i="40"/>
  <c r="AC51" i="40"/>
  <c r="AD51" i="40"/>
  <c r="AE51" i="40"/>
  <c r="AF51" i="40"/>
  <c r="AG51" i="40"/>
  <c r="AH51" i="40"/>
  <c r="AB52" i="40"/>
  <c r="AC52" i="40"/>
  <c r="AD52" i="40"/>
  <c r="AE52" i="40"/>
  <c r="AF52" i="40"/>
  <c r="AG52" i="40"/>
  <c r="AH52" i="40"/>
  <c r="AB53" i="40"/>
  <c r="AC53" i="40"/>
  <c r="AD53" i="40"/>
  <c r="AE53" i="40"/>
  <c r="AF53" i="40"/>
  <c r="AG53" i="40"/>
  <c r="AH53" i="40"/>
  <c r="AB54" i="40"/>
  <c r="AC54" i="40"/>
  <c r="AD54" i="40"/>
  <c r="AE54" i="40"/>
  <c r="AF54" i="40"/>
  <c r="AG54" i="40"/>
  <c r="AH54" i="40"/>
  <c r="AB55" i="40"/>
  <c r="AC55" i="40"/>
  <c r="AD55" i="40"/>
  <c r="AE55" i="40"/>
  <c r="AF55" i="40"/>
  <c r="AG55" i="40"/>
  <c r="AH55" i="40"/>
  <c r="AB56" i="40"/>
  <c r="AC56" i="40"/>
  <c r="AD56" i="40"/>
  <c r="AE56" i="40"/>
  <c r="AF56" i="40"/>
  <c r="AG56" i="40"/>
  <c r="AH56" i="40"/>
  <c r="AB57" i="40"/>
  <c r="AC57" i="40"/>
  <c r="AD57" i="40"/>
  <c r="AE57" i="40"/>
  <c r="AF57" i="40"/>
  <c r="AG57" i="40"/>
  <c r="AH57" i="40"/>
  <c r="AB58" i="40"/>
  <c r="AC58" i="40"/>
  <c r="AD58" i="40"/>
  <c r="AE58" i="40"/>
  <c r="AF58" i="40"/>
  <c r="AG58" i="40"/>
  <c r="AH58" i="40"/>
  <c r="AB59" i="40"/>
  <c r="AC59" i="40"/>
  <c r="AD59" i="40"/>
  <c r="AE59" i="40"/>
  <c r="AF59" i="40"/>
  <c r="AG59" i="40"/>
  <c r="AH59" i="40"/>
  <c r="AB60" i="40"/>
  <c r="AC60" i="40"/>
  <c r="AD60" i="40"/>
  <c r="AE60" i="40"/>
  <c r="AF60" i="40"/>
  <c r="AG60" i="40"/>
  <c r="AH60" i="40"/>
  <c r="AB62" i="40"/>
  <c r="AC62" i="40"/>
  <c r="AD62" i="40"/>
  <c r="AE62" i="40"/>
  <c r="AF62" i="40"/>
  <c r="AG62" i="40"/>
  <c r="AH62" i="40"/>
  <c r="L38" i="40"/>
  <c r="M38" i="40"/>
  <c r="N38" i="40"/>
  <c r="O38" i="40"/>
  <c r="P38" i="40"/>
  <c r="Q38" i="40"/>
  <c r="R38" i="40"/>
  <c r="L39" i="40"/>
  <c r="M39" i="40"/>
  <c r="N39" i="40"/>
  <c r="O39" i="40"/>
  <c r="P39" i="40"/>
  <c r="Q39" i="40"/>
  <c r="R39" i="40"/>
  <c r="L47" i="40"/>
  <c r="M47" i="40"/>
  <c r="N47" i="40"/>
  <c r="O47" i="40"/>
  <c r="P47" i="40"/>
  <c r="Q47" i="40"/>
  <c r="R47" i="40"/>
  <c r="L50" i="40"/>
  <c r="M50" i="40"/>
  <c r="N50" i="40"/>
  <c r="O50" i="40"/>
  <c r="P50" i="40"/>
  <c r="Q50" i="40"/>
  <c r="R50" i="40"/>
  <c r="L51" i="40"/>
  <c r="M51" i="40"/>
  <c r="N51" i="40"/>
  <c r="O51" i="40"/>
  <c r="P51" i="40"/>
  <c r="Q51" i="40"/>
  <c r="R51" i="40"/>
  <c r="A7" i="42"/>
  <c r="A8" i="42"/>
  <c r="A9" i="42"/>
  <c r="A10" i="42"/>
  <c r="A11" i="42"/>
  <c r="A12" i="42"/>
  <c r="A13" i="42"/>
  <c r="A14" i="42"/>
  <c r="A15" i="42"/>
  <c r="A16" i="42"/>
  <c r="A17" i="42"/>
  <c r="A18" i="42"/>
  <c r="A19" i="42"/>
  <c r="A20" i="42"/>
  <c r="A21" i="42"/>
  <c r="A22" i="42"/>
  <c r="A23" i="42"/>
  <c r="A24" i="42"/>
  <c r="A25" i="42"/>
  <c r="A26" i="42"/>
  <c r="A27" i="42"/>
  <c r="A28" i="42"/>
  <c r="A29" i="42"/>
  <c r="A30" i="42"/>
  <c r="A31" i="42"/>
  <c r="A32" i="42"/>
  <c r="A33" i="42"/>
  <c r="A34" i="42"/>
  <c r="A35" i="42"/>
  <c r="A36" i="42"/>
  <c r="A37" i="42"/>
  <c r="A38" i="42"/>
  <c r="A39" i="42"/>
  <c r="A40" i="42"/>
  <c r="A41" i="42"/>
  <c r="A42" i="42"/>
  <c r="A43" i="42"/>
  <c r="A44" i="42"/>
  <c r="A45" i="42"/>
  <c r="A46" i="42"/>
  <c r="A47" i="42"/>
  <c r="A48" i="42"/>
  <c r="A49" i="42"/>
  <c r="A50" i="42"/>
  <c r="A51" i="42"/>
  <c r="A52" i="42"/>
  <c r="A53" i="42"/>
  <c r="A54" i="42"/>
  <c r="A55" i="42"/>
  <c r="A56" i="42"/>
  <c r="A57" i="42"/>
  <c r="A58" i="42"/>
  <c r="A59" i="42"/>
  <c r="A60" i="42"/>
  <c r="A61" i="42"/>
  <c r="A62" i="42"/>
  <c r="A63" i="42"/>
  <c r="A64" i="42"/>
  <c r="A65" i="42"/>
  <c r="A67" i="42"/>
  <c r="A68" i="42"/>
  <c r="A69" i="42"/>
  <c r="A70" i="42"/>
  <c r="A71" i="42"/>
  <c r="A72" i="42"/>
  <c r="A73" i="42"/>
  <c r="A74" i="42"/>
  <c r="A75" i="42"/>
  <c r="A76" i="42"/>
  <c r="A77" i="42"/>
  <c r="A78" i="42"/>
  <c r="A79" i="42"/>
  <c r="A80" i="42"/>
  <c r="A81" i="42"/>
  <c r="A82" i="42"/>
  <c r="A83" i="42"/>
  <c r="A84" i="42"/>
  <c r="A85" i="42"/>
  <c r="A86" i="42"/>
  <c r="A87" i="42"/>
  <c r="A88" i="42"/>
  <c r="A89" i="42"/>
  <c r="A90" i="42"/>
  <c r="A91" i="42"/>
  <c r="A92" i="42"/>
  <c r="A93" i="42"/>
  <c r="A94" i="42"/>
  <c r="A95" i="42"/>
  <c r="A96" i="42"/>
  <c r="A97" i="42"/>
  <c r="A98" i="42"/>
  <c r="A99" i="42"/>
  <c r="A100" i="42"/>
  <c r="A101" i="42"/>
  <c r="A102" i="42"/>
  <c r="A103" i="42"/>
  <c r="A104" i="42"/>
  <c r="A105" i="42"/>
  <c r="A106" i="42"/>
  <c r="A107" i="42"/>
  <c r="A108" i="42"/>
  <c r="A109" i="42"/>
  <c r="A110" i="42"/>
  <c r="A111" i="42"/>
  <c r="A112" i="42"/>
  <c r="A113" i="42"/>
  <c r="A114" i="42"/>
  <c r="A115" i="42"/>
  <c r="A116" i="42"/>
  <c r="A117" i="42"/>
  <c r="A118" i="42"/>
  <c r="A119" i="42"/>
  <c r="A120" i="42"/>
  <c r="A121" i="42"/>
  <c r="A122" i="42"/>
  <c r="A123" i="42"/>
  <c r="A124" i="42"/>
  <c r="A125" i="42"/>
  <c r="A126" i="42"/>
  <c r="A127" i="42"/>
  <c r="A128" i="42"/>
  <c r="A129" i="42"/>
  <c r="A130" i="42"/>
  <c r="A131" i="42"/>
  <c r="A132" i="42"/>
  <c r="A133" i="42"/>
  <c r="A134" i="42"/>
  <c r="A135" i="42"/>
  <c r="A136" i="42"/>
  <c r="A137" i="42"/>
  <c r="A138" i="42"/>
  <c r="A139" i="42"/>
  <c r="A140" i="42"/>
  <c r="A141" i="42"/>
  <c r="A142" i="42"/>
  <c r="A143" i="42"/>
  <c r="A144" i="42"/>
  <c r="A145" i="42"/>
  <c r="A146" i="42"/>
  <c r="A147" i="42"/>
  <c r="A148" i="42"/>
  <c r="A149" i="42"/>
  <c r="A150" i="42"/>
  <c r="A151" i="42"/>
  <c r="A152" i="42"/>
  <c r="A153" i="42"/>
  <c r="A154" i="42"/>
  <c r="A155" i="42"/>
  <c r="A156" i="42"/>
  <c r="A157" i="42"/>
  <c r="A158" i="42"/>
  <c r="A159" i="42"/>
  <c r="A160" i="42"/>
  <c r="A161" i="42"/>
  <c r="A162" i="42"/>
  <c r="A163" i="42"/>
  <c r="A164" i="42"/>
  <c r="A165" i="42"/>
  <c r="A166" i="42"/>
  <c r="A167" i="42"/>
  <c r="A168" i="42"/>
  <c r="A169" i="42"/>
  <c r="A170" i="42"/>
  <c r="A171" i="42"/>
  <c r="A172" i="42"/>
  <c r="A173" i="42"/>
  <c r="A174" i="42"/>
  <c r="A175" i="42"/>
  <c r="A176" i="42"/>
  <c r="A177" i="42"/>
  <c r="A178" i="42"/>
  <c r="A179" i="42"/>
  <c r="A180" i="42"/>
  <c r="A181" i="42"/>
  <c r="A182" i="42"/>
  <c r="A183" i="42"/>
  <c r="A184" i="42"/>
  <c r="A185" i="42"/>
  <c r="A186" i="42"/>
  <c r="A187" i="42"/>
  <c r="A188" i="42"/>
  <c r="A189" i="42"/>
  <c r="A190" i="42"/>
  <c r="A191" i="42"/>
  <c r="A192" i="42"/>
  <c r="A193" i="42"/>
  <c r="A194" i="42"/>
  <c r="A195" i="42"/>
  <c r="A196" i="42"/>
  <c r="A197" i="42"/>
  <c r="A198" i="42"/>
  <c r="A199" i="42"/>
  <c r="A200" i="42"/>
  <c r="A201" i="42"/>
  <c r="A202" i="42"/>
  <c r="A203" i="42"/>
  <c r="A204" i="42"/>
  <c r="A205" i="42"/>
  <c r="A206" i="42"/>
  <c r="A207" i="42"/>
  <c r="A208" i="42"/>
  <c r="A209" i="42"/>
  <c r="A210" i="42"/>
  <c r="A211" i="42"/>
  <c r="A212" i="42"/>
  <c r="A213" i="42"/>
  <c r="A214" i="42"/>
  <c r="A215" i="42"/>
  <c r="A216" i="42"/>
  <c r="A217" i="42"/>
  <c r="A218" i="42"/>
  <c r="A219" i="42"/>
  <c r="A220" i="42"/>
  <c r="A221" i="42"/>
  <c r="A222" i="42"/>
  <c r="A223" i="42"/>
  <c r="A224" i="42"/>
  <c r="A225" i="42"/>
  <c r="A226" i="42"/>
  <c r="A227" i="42"/>
  <c r="A228" i="42"/>
  <c r="A229" i="42"/>
  <c r="A230" i="42"/>
  <c r="A231" i="42"/>
  <c r="A232" i="42"/>
  <c r="A233" i="42"/>
  <c r="A234" i="42"/>
  <c r="A235" i="42"/>
  <c r="A236" i="42"/>
  <c r="A237" i="42"/>
  <c r="A238" i="42"/>
  <c r="A239" i="42"/>
  <c r="A240" i="42"/>
  <c r="A241" i="42"/>
  <c r="A242" i="42"/>
  <c r="A243" i="42"/>
  <c r="A244" i="42"/>
  <c r="A245" i="42"/>
  <c r="A246" i="42"/>
  <c r="A247" i="42"/>
  <c r="A248" i="42"/>
  <c r="A249" i="42"/>
  <c r="A250" i="42"/>
  <c r="A251" i="42"/>
  <c r="A253" i="42"/>
  <c r="A254" i="42"/>
  <c r="A255" i="42"/>
  <c r="A256" i="42"/>
  <c r="A257" i="42"/>
  <c r="A258" i="42"/>
  <c r="A259" i="42"/>
  <c r="A260" i="42"/>
  <c r="A261" i="42"/>
  <c r="A262" i="42"/>
  <c r="A263" i="42"/>
  <c r="A264" i="42"/>
  <c r="A265" i="42"/>
  <c r="A266" i="42"/>
  <c r="A267" i="42"/>
  <c r="A268" i="42"/>
  <c r="A269" i="42"/>
  <c r="A270" i="42"/>
  <c r="A271" i="42"/>
  <c r="A272" i="42"/>
  <c r="A273" i="42"/>
  <c r="A274" i="42"/>
  <c r="A275" i="42"/>
  <c r="A276" i="42"/>
  <c r="A277" i="42"/>
  <c r="A278" i="42"/>
  <c r="A279" i="42"/>
  <c r="A280" i="42"/>
  <c r="A281" i="42"/>
  <c r="A282" i="42"/>
  <c r="A283" i="42"/>
  <c r="A284" i="42"/>
  <c r="A285" i="42"/>
  <c r="A286" i="42"/>
  <c r="A287" i="42"/>
  <c r="A288" i="42"/>
  <c r="A289" i="42"/>
  <c r="A290" i="42"/>
  <c r="A291" i="42"/>
  <c r="A292" i="42"/>
  <c r="A293" i="42"/>
  <c r="A294" i="42"/>
  <c r="A295" i="42"/>
  <c r="A296" i="42"/>
  <c r="A297" i="42"/>
  <c r="A298" i="42"/>
  <c r="A299" i="42"/>
  <c r="A300" i="42"/>
  <c r="A301" i="42"/>
  <c r="A302" i="42"/>
  <c r="A303" i="42"/>
  <c r="A304" i="42"/>
  <c r="A305" i="42"/>
  <c r="A306" i="42"/>
  <c r="A307" i="42"/>
  <c r="A308" i="42"/>
  <c r="A309" i="42"/>
  <c r="A310" i="42"/>
  <c r="A311" i="42"/>
  <c r="A312" i="42"/>
  <c r="A313" i="42"/>
  <c r="A314" i="42"/>
  <c r="A315" i="42"/>
  <c r="A316" i="42"/>
  <c r="A317" i="42"/>
  <c r="A318" i="42"/>
  <c r="A319" i="42"/>
  <c r="A320" i="42"/>
  <c r="A321" i="42"/>
  <c r="A322" i="42"/>
  <c r="A323" i="42"/>
  <c r="A324" i="42"/>
  <c r="A325" i="42"/>
  <c r="A326" i="42"/>
  <c r="A327" i="42"/>
  <c r="A328" i="42"/>
  <c r="A329" i="42"/>
  <c r="A330" i="42"/>
  <c r="A331" i="42"/>
  <c r="A332" i="42"/>
  <c r="A333" i="42"/>
  <c r="A334" i="42"/>
  <c r="A335" i="42"/>
  <c r="A336" i="42"/>
  <c r="A337" i="42"/>
  <c r="A338" i="42"/>
  <c r="A339" i="42"/>
  <c r="A340" i="42"/>
  <c r="A341" i="42"/>
  <c r="A342" i="42"/>
  <c r="A343" i="42"/>
  <c r="A344" i="42"/>
  <c r="A345" i="42"/>
  <c r="A346" i="42"/>
  <c r="A347" i="42"/>
  <c r="A348" i="42"/>
  <c r="A349" i="42"/>
  <c r="A350" i="42"/>
  <c r="A351" i="42"/>
  <c r="A352" i="42"/>
  <c r="A353" i="42"/>
  <c r="A354" i="42"/>
  <c r="A355" i="42"/>
  <c r="A356" i="42"/>
  <c r="A357" i="42"/>
  <c r="A358" i="42"/>
  <c r="A359" i="42"/>
  <c r="A360" i="42"/>
  <c r="A361" i="42"/>
  <c r="A362" i="42"/>
  <c r="A363" i="42"/>
  <c r="A364" i="42"/>
  <c r="A365" i="42"/>
  <c r="A366" i="42"/>
  <c r="A367" i="42"/>
  <c r="A368" i="42"/>
  <c r="A369" i="42"/>
  <c r="A370" i="42"/>
  <c r="A371" i="42"/>
  <c r="A372" i="42"/>
  <c r="A373" i="42"/>
  <c r="A374" i="42"/>
  <c r="A375" i="42"/>
  <c r="A376" i="42"/>
  <c r="A377" i="42"/>
  <c r="A378" i="42"/>
  <c r="A379" i="42"/>
  <c r="A380" i="42"/>
  <c r="A381" i="42"/>
  <c r="A382" i="42"/>
  <c r="A383" i="42"/>
  <c r="A384" i="42"/>
  <c r="A385" i="42"/>
  <c r="A386" i="42"/>
  <c r="A387" i="42"/>
  <c r="A388" i="42"/>
  <c r="A389" i="42"/>
  <c r="A390" i="42"/>
  <c r="A391" i="42"/>
  <c r="A392" i="42"/>
  <c r="A393" i="42"/>
  <c r="A394" i="42"/>
  <c r="A395" i="42"/>
  <c r="A396" i="42"/>
  <c r="A397" i="42"/>
  <c r="A398" i="42"/>
  <c r="A399" i="42"/>
  <c r="A400" i="42"/>
  <c r="A401" i="42"/>
  <c r="A402" i="42"/>
  <c r="A403" i="42"/>
  <c r="A404" i="42"/>
  <c r="A405" i="42"/>
  <c r="A406" i="42"/>
  <c r="A407" i="42"/>
  <c r="A408" i="42"/>
  <c r="A409" i="42"/>
  <c r="A410" i="42"/>
  <c r="A411" i="42"/>
  <c r="A412" i="42"/>
  <c r="A413" i="42"/>
  <c r="A414" i="42"/>
  <c r="A415" i="42"/>
  <c r="A416" i="42"/>
  <c r="A417" i="42"/>
  <c r="A418" i="42"/>
  <c r="A419" i="42"/>
  <c r="A420" i="42"/>
  <c r="A421" i="42"/>
  <c r="A422" i="42"/>
  <c r="A423" i="42"/>
  <c r="A424" i="42"/>
  <c r="A425" i="42"/>
  <c r="A426" i="42"/>
  <c r="A427" i="42"/>
  <c r="A428" i="42"/>
  <c r="A429" i="42"/>
  <c r="A430" i="42"/>
  <c r="A431" i="42"/>
  <c r="A432" i="42"/>
  <c r="A433" i="42"/>
  <c r="A434" i="42"/>
  <c r="A435" i="42"/>
  <c r="A436" i="42"/>
  <c r="A437" i="42"/>
  <c r="A438" i="42"/>
  <c r="A439" i="42"/>
  <c r="A440" i="42"/>
  <c r="A441" i="42"/>
  <c r="A442" i="42"/>
  <c r="A443" i="42"/>
  <c r="A444" i="42"/>
  <c r="A445" i="42"/>
  <c r="A446" i="42"/>
  <c r="A447" i="42"/>
  <c r="A448" i="42"/>
  <c r="A449" i="42"/>
  <c r="A450" i="42"/>
  <c r="A451" i="42"/>
  <c r="A452" i="42"/>
  <c r="A453" i="42"/>
  <c r="A454" i="42"/>
  <c r="A455" i="42"/>
  <c r="A456" i="42"/>
  <c r="A457" i="42"/>
  <c r="A458" i="42"/>
  <c r="A459" i="42"/>
  <c r="A460" i="42"/>
  <c r="A461" i="42"/>
  <c r="A462" i="42"/>
  <c r="A463" i="42"/>
  <c r="A464" i="42"/>
  <c r="A465" i="42"/>
  <c r="A466" i="42"/>
  <c r="A467" i="42"/>
  <c r="A468" i="42"/>
  <c r="A469" i="42"/>
  <c r="A470" i="42"/>
  <c r="A471" i="42"/>
  <c r="A472" i="42"/>
  <c r="A473" i="42"/>
  <c r="A474" i="42"/>
  <c r="A475" i="42"/>
  <c r="A476" i="42"/>
  <c r="A477" i="42"/>
  <c r="A478" i="42"/>
  <c r="A479" i="42"/>
  <c r="A480" i="42"/>
  <c r="A481" i="42"/>
  <c r="A482" i="42"/>
  <c r="A483" i="42"/>
  <c r="A484" i="42"/>
  <c r="A485" i="42"/>
  <c r="A486" i="42"/>
  <c r="A487" i="42"/>
  <c r="A488" i="42"/>
  <c r="A489" i="42"/>
  <c r="A490" i="42"/>
  <c r="A491" i="42"/>
  <c r="A492" i="42"/>
  <c r="A493" i="42"/>
  <c r="A494" i="42"/>
  <c r="A495" i="42"/>
  <c r="A496" i="42"/>
  <c r="A497" i="42"/>
  <c r="A498" i="42"/>
  <c r="A499" i="42"/>
  <c r="A500" i="42"/>
  <c r="A501" i="42"/>
  <c r="A502" i="42"/>
  <c r="A503" i="42"/>
  <c r="A504" i="42"/>
  <c r="A505" i="42"/>
  <c r="A506" i="42"/>
  <c r="A507" i="42"/>
  <c r="A508" i="42"/>
  <c r="A509" i="42"/>
  <c r="A510" i="42"/>
  <c r="A511" i="42"/>
  <c r="A512" i="42"/>
  <c r="A513" i="42"/>
  <c r="A514" i="42"/>
  <c r="A515" i="42"/>
  <c r="A516" i="42"/>
  <c r="A517" i="42"/>
  <c r="A518" i="42"/>
  <c r="A519" i="42"/>
  <c r="A520" i="42"/>
  <c r="A521" i="42"/>
  <c r="A522" i="42"/>
  <c r="A523" i="42"/>
  <c r="A524" i="42"/>
  <c r="A525" i="42"/>
  <c r="A526" i="42"/>
  <c r="A527" i="42"/>
  <c r="A528" i="42"/>
  <c r="A529" i="42"/>
  <c r="A530" i="42"/>
  <c r="A531" i="42"/>
  <c r="A532" i="42"/>
  <c r="A533" i="42"/>
  <c r="A534" i="42"/>
  <c r="A535" i="42"/>
  <c r="A536" i="42"/>
  <c r="A537" i="42"/>
  <c r="A538" i="42"/>
  <c r="A539" i="42"/>
  <c r="A540" i="42"/>
  <c r="A541" i="42"/>
  <c r="A542" i="42"/>
  <c r="A543" i="42"/>
  <c r="A544" i="42"/>
  <c r="A545" i="42"/>
  <c r="A546" i="42"/>
  <c r="A547" i="42"/>
  <c r="A548" i="42"/>
  <c r="A549" i="42"/>
  <c r="A550" i="42"/>
  <c r="A551" i="42"/>
  <c r="A552" i="42"/>
  <c r="A553" i="42"/>
  <c r="A554" i="42"/>
  <c r="A555" i="42"/>
  <c r="A556" i="42"/>
  <c r="A558" i="42"/>
  <c r="A559" i="42"/>
  <c r="A560" i="42"/>
  <c r="A561" i="42"/>
  <c r="A562" i="42"/>
  <c r="A563" i="42"/>
  <c r="A564" i="42"/>
  <c r="A565" i="42"/>
  <c r="A566" i="42"/>
  <c r="A567" i="42"/>
  <c r="A568" i="42"/>
  <c r="A569" i="42"/>
  <c r="A570" i="42"/>
  <c r="A571" i="42"/>
  <c r="A572" i="42"/>
  <c r="A573" i="42"/>
  <c r="A574" i="42"/>
  <c r="A575" i="42"/>
  <c r="A576" i="42"/>
  <c r="A577" i="42"/>
  <c r="A578" i="42"/>
  <c r="A579" i="42"/>
  <c r="A580" i="42"/>
  <c r="A581" i="42"/>
  <c r="A582" i="42"/>
  <c r="A583" i="42"/>
  <c r="A584" i="42"/>
  <c r="A585" i="42"/>
  <c r="A586" i="42"/>
  <c r="A587" i="42"/>
  <c r="A588" i="42"/>
  <c r="A589" i="42"/>
  <c r="A590" i="42"/>
  <c r="A591" i="42"/>
  <c r="A592" i="42"/>
  <c r="A593" i="42"/>
  <c r="A594" i="42"/>
  <c r="A595" i="42"/>
  <c r="A596" i="42"/>
  <c r="A597" i="42"/>
  <c r="A598" i="42"/>
  <c r="A599" i="42"/>
  <c r="A600" i="42"/>
  <c r="A601" i="42"/>
  <c r="A602" i="42"/>
  <c r="A603" i="42"/>
  <c r="O22" i="41" s="1"/>
  <c r="A604" i="42"/>
  <c r="A605" i="42"/>
  <c r="A606" i="42"/>
  <c r="A607" i="42"/>
  <c r="A608" i="42"/>
  <c r="A609" i="42"/>
  <c r="A610" i="42"/>
  <c r="A611" i="42"/>
  <c r="A612" i="42"/>
  <c r="A613" i="42"/>
  <c r="A614" i="42"/>
  <c r="A615" i="42"/>
  <c r="A616" i="42"/>
  <c r="A617" i="42"/>
  <c r="A618" i="42"/>
  <c r="A619" i="42"/>
  <c r="A620" i="42"/>
  <c r="A621" i="42"/>
  <c r="A622" i="42"/>
  <c r="A623" i="42"/>
  <c r="A624" i="42"/>
  <c r="A625" i="42"/>
  <c r="A626" i="42"/>
  <c r="A627" i="42"/>
  <c r="A628" i="42"/>
  <c r="A629" i="42"/>
  <c r="A630" i="42"/>
  <c r="A631" i="42"/>
  <c r="A632" i="42"/>
  <c r="A633" i="42"/>
  <c r="A634" i="42"/>
  <c r="A635" i="42"/>
  <c r="A636" i="42"/>
  <c r="A637" i="42"/>
  <c r="A638" i="42"/>
  <c r="A639" i="42"/>
  <c r="A640" i="42"/>
  <c r="A641" i="42"/>
  <c r="A642" i="42"/>
  <c r="A643" i="42"/>
  <c r="A644" i="42"/>
  <c r="A645" i="42"/>
  <c r="A646" i="42"/>
  <c r="A647" i="42"/>
  <c r="A648" i="42"/>
  <c r="A649" i="42"/>
  <c r="A650" i="42"/>
  <c r="A651" i="42"/>
  <c r="A652" i="42"/>
  <c r="A653" i="42"/>
  <c r="A654" i="42"/>
  <c r="A655" i="42"/>
  <c r="A656" i="42"/>
  <c r="A657" i="42"/>
  <c r="A658" i="42"/>
  <c r="A659" i="42"/>
  <c r="A660" i="42"/>
  <c r="A661" i="42"/>
  <c r="A662" i="42"/>
  <c r="A663" i="42"/>
  <c r="A664" i="42"/>
  <c r="A665" i="42"/>
  <c r="A666" i="42"/>
  <c r="A667" i="42"/>
  <c r="A668" i="42"/>
  <c r="A669" i="42"/>
  <c r="A670" i="42"/>
  <c r="A671" i="42"/>
  <c r="A672" i="42"/>
  <c r="A673" i="42"/>
  <c r="A674" i="42"/>
  <c r="A675" i="42"/>
  <c r="A676" i="42"/>
  <c r="A677" i="42"/>
  <c r="A678" i="42"/>
  <c r="A679" i="42"/>
  <c r="A680" i="42"/>
  <c r="A681" i="42"/>
  <c r="A682" i="42"/>
  <c r="A683" i="42"/>
  <c r="A684" i="42"/>
  <c r="A685" i="42"/>
  <c r="A686" i="42"/>
  <c r="A687" i="42"/>
  <c r="A688" i="42"/>
  <c r="A689" i="42"/>
  <c r="A690" i="42"/>
  <c r="A691" i="42"/>
  <c r="A692" i="42"/>
  <c r="A693" i="42"/>
  <c r="A694" i="42"/>
  <c r="A695" i="42"/>
  <c r="A696" i="42"/>
  <c r="A697" i="42"/>
  <c r="A698" i="42"/>
  <c r="A699" i="42"/>
  <c r="A700" i="42"/>
  <c r="A701" i="42"/>
  <c r="A702" i="42"/>
  <c r="A703" i="42"/>
  <c r="A704" i="42"/>
  <c r="A705" i="42"/>
  <c r="A706" i="42"/>
  <c r="A707" i="42"/>
  <c r="A708" i="42"/>
  <c r="A709" i="42"/>
  <c r="A710" i="42"/>
  <c r="A711" i="42"/>
  <c r="A712" i="42"/>
  <c r="A713" i="42"/>
  <c r="A714" i="42"/>
  <c r="A715" i="42"/>
  <c r="A716" i="42"/>
  <c r="A717" i="42"/>
  <c r="A718" i="42"/>
  <c r="A719" i="42"/>
  <c r="A720" i="42"/>
  <c r="A721" i="42"/>
  <c r="A722" i="42"/>
  <c r="A723" i="42"/>
  <c r="A724" i="42"/>
  <c r="A725" i="42"/>
  <c r="A726" i="42"/>
  <c r="A727" i="42"/>
  <c r="A728" i="42"/>
  <c r="A729" i="42"/>
  <c r="A730" i="42"/>
  <c r="A731" i="42"/>
  <c r="A732" i="42"/>
  <c r="A733" i="42"/>
  <c r="A734" i="42"/>
  <c r="A735" i="42"/>
  <c r="A736" i="42"/>
  <c r="A737" i="42"/>
  <c r="A738" i="42"/>
  <c r="A739" i="42"/>
  <c r="A740" i="42"/>
  <c r="A741" i="42"/>
  <c r="A742" i="42"/>
  <c r="A743" i="42"/>
  <c r="A744" i="42"/>
  <c r="A745" i="42"/>
  <c r="A746" i="42"/>
  <c r="A747" i="42"/>
  <c r="A748" i="42"/>
  <c r="A749" i="42"/>
  <c r="A750" i="42"/>
  <c r="A751" i="42"/>
  <c r="A752" i="42"/>
  <c r="A753" i="42"/>
  <c r="A754" i="42"/>
  <c r="A755" i="42"/>
  <c r="A756" i="42"/>
  <c r="A757" i="42"/>
  <c r="A758" i="42"/>
  <c r="A759" i="42"/>
  <c r="A760" i="42"/>
  <c r="A761" i="42"/>
  <c r="A762" i="42"/>
  <c r="A763" i="42"/>
  <c r="A764" i="42"/>
  <c r="A765" i="42"/>
  <c r="A766" i="42"/>
  <c r="A767" i="42"/>
  <c r="A768" i="42"/>
  <c r="A769" i="42"/>
  <c r="A770" i="42"/>
  <c r="A771" i="42"/>
  <c r="A772" i="42"/>
  <c r="A773" i="42"/>
  <c r="A774" i="42"/>
  <c r="A775" i="42"/>
  <c r="A776" i="42"/>
  <c r="A777" i="42"/>
  <c r="A778" i="42"/>
  <c r="A779" i="42"/>
  <c r="A780" i="42"/>
  <c r="A781" i="42"/>
  <c r="A782" i="42"/>
  <c r="A783" i="42"/>
  <c r="A784" i="42"/>
  <c r="A785" i="42"/>
  <c r="A786" i="42"/>
  <c r="A787" i="42"/>
  <c r="A788" i="42"/>
  <c r="A789" i="42"/>
  <c r="A790" i="42"/>
  <c r="A791" i="42"/>
  <c r="A792" i="42"/>
  <c r="A793" i="42"/>
  <c r="A794" i="42"/>
  <c r="A795" i="42"/>
  <c r="A796" i="42"/>
  <c r="A797" i="42"/>
  <c r="A798" i="42"/>
  <c r="A799" i="42"/>
  <c r="A800" i="42"/>
  <c r="A801" i="42"/>
  <c r="A802" i="42"/>
  <c r="A803" i="42"/>
  <c r="A804" i="42"/>
  <c r="A805" i="42"/>
  <c r="A806" i="42"/>
  <c r="A807" i="42"/>
  <c r="A808" i="42"/>
  <c r="A809" i="42"/>
  <c r="A810" i="42"/>
  <c r="A811" i="42"/>
  <c r="A812" i="42"/>
  <c r="A813" i="42"/>
  <c r="A814" i="42"/>
  <c r="A815" i="42"/>
  <c r="A816" i="42"/>
  <c r="A817" i="42"/>
  <c r="A818" i="42"/>
  <c r="A819" i="42"/>
  <c r="A820" i="42"/>
  <c r="A821" i="42"/>
  <c r="A822" i="42"/>
  <c r="A823" i="42"/>
  <c r="A824" i="42"/>
  <c r="A825" i="42"/>
  <c r="A826" i="42"/>
  <c r="A827" i="42"/>
  <c r="A828" i="42"/>
  <c r="A829" i="42"/>
  <c r="A830" i="42"/>
  <c r="A831" i="42"/>
  <c r="A832" i="42"/>
  <c r="A833" i="42"/>
  <c r="A834" i="42"/>
  <c r="A835" i="42"/>
  <c r="A836" i="42"/>
  <c r="A837" i="42"/>
  <c r="A838" i="42"/>
  <c r="A839" i="42"/>
  <c r="A840" i="42"/>
  <c r="A841" i="42"/>
  <c r="A842" i="42"/>
  <c r="A843" i="42"/>
  <c r="A844" i="42"/>
  <c r="A845" i="42"/>
  <c r="A846" i="42"/>
  <c r="A847" i="42"/>
  <c r="A848" i="42"/>
  <c r="A849" i="42"/>
  <c r="A850" i="42"/>
  <c r="A851" i="42"/>
  <c r="A852" i="42"/>
  <c r="A853" i="42"/>
  <c r="A854" i="42"/>
  <c r="A855" i="42"/>
  <c r="A856" i="42"/>
  <c r="A857" i="42"/>
  <c r="A858" i="42"/>
  <c r="A860" i="42"/>
  <c r="A861" i="42"/>
  <c r="A862" i="42"/>
  <c r="A863" i="42"/>
  <c r="A864" i="42"/>
  <c r="A865" i="42"/>
  <c r="A866" i="42"/>
  <c r="A867" i="42"/>
  <c r="A868" i="42"/>
  <c r="A869" i="42"/>
  <c r="A870" i="42"/>
  <c r="A871" i="42"/>
  <c r="A872" i="42"/>
  <c r="A873" i="42"/>
  <c r="A874" i="42"/>
  <c r="A875" i="42"/>
  <c r="A876" i="42"/>
  <c r="A877" i="42"/>
  <c r="A878" i="42"/>
  <c r="A879" i="42"/>
  <c r="A880" i="42"/>
  <c r="A881" i="42"/>
  <c r="A882" i="42"/>
  <c r="A883" i="42"/>
  <c r="A884" i="42"/>
  <c r="A885" i="42"/>
  <c r="A886" i="42"/>
  <c r="A887" i="42"/>
  <c r="A888" i="42"/>
  <c r="A889" i="42"/>
  <c r="A890" i="42"/>
  <c r="A892" i="42"/>
  <c r="A893" i="42"/>
  <c r="A894" i="42"/>
  <c r="A895" i="42"/>
  <c r="A896" i="42"/>
  <c r="A897" i="42"/>
  <c r="A898" i="42"/>
  <c r="A899" i="42"/>
  <c r="A900" i="42"/>
  <c r="A901" i="42"/>
  <c r="A902" i="42"/>
  <c r="A903" i="42"/>
  <c r="A904" i="42"/>
  <c r="A905" i="42"/>
  <c r="A906" i="42"/>
  <c r="A907" i="42"/>
  <c r="A908" i="42"/>
  <c r="A909" i="42"/>
  <c r="A910" i="42"/>
  <c r="A911" i="42"/>
  <c r="A912" i="42"/>
  <c r="A914" i="42"/>
  <c r="A915" i="42"/>
  <c r="A916" i="42"/>
  <c r="A917" i="42"/>
  <c r="A918" i="42"/>
  <c r="A919" i="42"/>
  <c r="A920" i="42"/>
  <c r="A921" i="42"/>
  <c r="A922" i="42"/>
  <c r="A923" i="42"/>
  <c r="A924" i="42"/>
  <c r="A925" i="42"/>
  <c r="A926" i="42"/>
  <c r="A927" i="42"/>
  <c r="A928" i="42"/>
  <c r="A929" i="42"/>
  <c r="A930" i="42"/>
  <c r="A931" i="42"/>
  <c r="A932" i="42"/>
  <c r="A933" i="42"/>
  <c r="A934" i="42"/>
  <c r="A935" i="42"/>
  <c r="A936" i="42"/>
  <c r="A937" i="42"/>
  <c r="A938" i="42"/>
  <c r="A939" i="42"/>
  <c r="A940" i="42"/>
  <c r="A941" i="42"/>
  <c r="A942" i="42"/>
  <c r="A943" i="42"/>
  <c r="A944" i="42"/>
  <c r="A945" i="42"/>
  <c r="A946" i="42"/>
  <c r="A947" i="42"/>
  <c r="A948" i="42"/>
  <c r="A949" i="42"/>
  <c r="A950" i="42"/>
  <c r="A951" i="42"/>
  <c r="A952" i="42"/>
  <c r="A953" i="42"/>
  <c r="A954" i="42"/>
  <c r="A955" i="42"/>
  <c r="A956" i="42"/>
  <c r="A957" i="42"/>
  <c r="A958" i="42"/>
  <c r="A959" i="42"/>
  <c r="A960" i="42"/>
  <c r="A961" i="42"/>
  <c r="A962" i="42"/>
  <c r="A963" i="42"/>
  <c r="A964" i="42"/>
  <c r="A965" i="42"/>
  <c r="A966" i="42"/>
  <c r="A967" i="42"/>
  <c r="A968" i="42"/>
  <c r="A969" i="42"/>
  <c r="A970" i="42"/>
  <c r="A971" i="42"/>
  <c r="A972" i="42"/>
  <c r="A973" i="42"/>
  <c r="A974" i="42"/>
  <c r="A975" i="42"/>
  <c r="A976" i="42"/>
  <c r="A977" i="42"/>
  <c r="A978" i="42"/>
  <c r="A979" i="42"/>
  <c r="A980" i="42"/>
  <c r="A981" i="42"/>
  <c r="A982" i="42"/>
  <c r="A983" i="42"/>
  <c r="A984" i="42"/>
  <c r="A985" i="42"/>
  <c r="A986" i="42"/>
  <c r="A987" i="42"/>
  <c r="A988" i="42"/>
  <c r="A989" i="42"/>
  <c r="A990" i="42"/>
  <c r="A991" i="42"/>
  <c r="A992" i="42"/>
  <c r="A993" i="42"/>
  <c r="A994" i="42"/>
  <c r="A995" i="42"/>
  <c r="A996" i="42"/>
  <c r="A997" i="42"/>
  <c r="A998" i="42"/>
  <c r="A999" i="42"/>
  <c r="A1000" i="42"/>
  <c r="A1001" i="42"/>
  <c r="A1002" i="42"/>
  <c r="A1003" i="42"/>
  <c r="A1004" i="42"/>
  <c r="A1005" i="42"/>
  <c r="A1006" i="42"/>
  <c r="A1007" i="42"/>
  <c r="A1008" i="42"/>
  <c r="A1009" i="42"/>
  <c r="A1010" i="42"/>
  <c r="A1011" i="42"/>
  <c r="A6" i="42"/>
  <c r="AN46" i="40" l="1"/>
  <c r="AY46" i="40"/>
  <c r="AN45" i="40"/>
  <c r="AY45" i="40"/>
  <c r="AN47" i="40"/>
  <c r="AY47" i="40"/>
  <c r="AN43" i="40"/>
  <c r="AY43" i="40"/>
  <c r="AR7" i="41"/>
  <c r="V96" i="40"/>
  <c r="V92" i="40"/>
  <c r="V88" i="40"/>
  <c r="V81" i="40"/>
  <c r="V77" i="40"/>
  <c r="V95" i="40"/>
  <c r="V91" i="40"/>
  <c r="V84" i="40"/>
  <c r="V80" i="40"/>
  <c r="V76" i="40"/>
  <c r="V98" i="40"/>
  <c r="V94" i="40"/>
  <c r="V90" i="40"/>
  <c r="V83" i="40"/>
  <c r="V79" i="40"/>
  <c r="V75" i="40"/>
  <c r="V97" i="40"/>
  <c r="V78" i="40"/>
  <c r="V11" i="40"/>
  <c r="V15" i="40"/>
  <c r="V19" i="40"/>
  <c r="V23" i="40"/>
  <c r="V27" i="40"/>
  <c r="V31" i="40"/>
  <c r="V35" i="40"/>
  <c r="V39" i="40"/>
  <c r="V43" i="40"/>
  <c r="V47" i="40"/>
  <c r="V51" i="40"/>
  <c r="V55" i="40"/>
  <c r="V60" i="40"/>
  <c r="V93" i="40"/>
  <c r="V74" i="40"/>
  <c r="V12" i="40"/>
  <c r="V16" i="40"/>
  <c r="V20" i="40"/>
  <c r="V24" i="40"/>
  <c r="V28" i="40"/>
  <c r="V32" i="40"/>
  <c r="V36" i="40"/>
  <c r="V40" i="40"/>
  <c r="V44" i="40"/>
  <c r="V48" i="40"/>
  <c r="V52" i="40"/>
  <c r="V56" i="40"/>
  <c r="V61" i="40"/>
  <c r="V89" i="40"/>
  <c r="V58" i="40"/>
  <c r="V13" i="40"/>
  <c r="V17" i="40"/>
  <c r="V21" i="40"/>
  <c r="V25" i="40"/>
  <c r="V29" i="40"/>
  <c r="V33" i="40"/>
  <c r="V37" i="40"/>
  <c r="V41" i="40"/>
  <c r="V45" i="40"/>
  <c r="V49" i="40"/>
  <c r="V53" i="40"/>
  <c r="V57" i="40"/>
  <c r="V62" i="40"/>
  <c r="V82" i="40"/>
  <c r="V10" i="40"/>
  <c r="V14" i="40"/>
  <c r="V18" i="40"/>
  <c r="V22" i="40"/>
  <c r="V26" i="40"/>
  <c r="V30" i="40"/>
  <c r="V34" i="40"/>
  <c r="V38" i="40"/>
  <c r="V42" i="40"/>
  <c r="V46" i="40"/>
  <c r="V50" i="40"/>
  <c r="V54" i="40"/>
  <c r="V59" i="40"/>
  <c r="V9" i="40"/>
  <c r="X95" i="40"/>
  <c r="X62" i="40"/>
  <c r="X88" i="40"/>
  <c r="X79" i="40"/>
  <c r="X52" i="40"/>
  <c r="X97" i="40"/>
  <c r="X77" i="40"/>
  <c r="X37" i="40"/>
  <c r="X21" i="40"/>
  <c r="X40" i="40"/>
  <c r="X24" i="40"/>
  <c r="X60" i="40"/>
  <c r="X43" i="40"/>
  <c r="X27" i="40"/>
  <c r="X11" i="40"/>
  <c r="X51" i="40"/>
  <c r="X22" i="40"/>
  <c r="X74" i="40"/>
  <c r="X57" i="40"/>
  <c r="X92" i="40"/>
  <c r="X83" i="40"/>
  <c r="X48" i="40"/>
  <c r="X76" i="40"/>
  <c r="X90" i="40"/>
  <c r="X81" i="40"/>
  <c r="X33" i="40"/>
  <c r="X17" i="40"/>
  <c r="X36" i="40"/>
  <c r="X20" i="40"/>
  <c r="X47" i="40"/>
  <c r="X39" i="40"/>
  <c r="X23" i="40"/>
  <c r="X9" i="40"/>
  <c r="X50" i="40"/>
  <c r="X34" i="40"/>
  <c r="X18" i="40"/>
  <c r="X14" i="40"/>
  <c r="X78" i="40"/>
  <c r="X53" i="40"/>
  <c r="X96" i="40"/>
  <c r="X61" i="40"/>
  <c r="X44" i="40"/>
  <c r="X89" i="40"/>
  <c r="X80" i="40"/>
  <c r="X94" i="40"/>
  <c r="X55" i="40"/>
  <c r="X29" i="40"/>
  <c r="X13" i="40"/>
  <c r="X32" i="40"/>
  <c r="X16" i="40"/>
  <c r="X46" i="40"/>
  <c r="X35" i="40"/>
  <c r="X19" i="40"/>
  <c r="X58" i="40"/>
  <c r="X49" i="40"/>
  <c r="X30" i="40"/>
  <c r="X91" i="40"/>
  <c r="X82" i="40"/>
  <c r="X75" i="40"/>
  <c r="X56" i="40"/>
  <c r="X93" i="40"/>
  <c r="X84" i="40"/>
  <c r="X98" i="40"/>
  <c r="X41" i="40"/>
  <c r="X25" i="40"/>
  <c r="X59" i="40"/>
  <c r="X28" i="40"/>
  <c r="X12" i="40"/>
  <c r="X45" i="40"/>
  <c r="X31" i="40"/>
  <c r="X15" i="40"/>
  <c r="X54" i="40"/>
  <c r="X42" i="40"/>
  <c r="X26" i="40"/>
  <c r="X10" i="40"/>
  <c r="X38" i="40"/>
  <c r="W75" i="40"/>
  <c r="W59" i="40"/>
  <c r="W76" i="40"/>
  <c r="W57" i="40"/>
  <c r="W77" i="40"/>
  <c r="W95" i="40"/>
  <c r="W61" i="40"/>
  <c r="W42" i="40"/>
  <c r="W26" i="40"/>
  <c r="W10" i="40"/>
  <c r="W33" i="40"/>
  <c r="W17" i="40"/>
  <c r="W44" i="40"/>
  <c r="W28" i="40"/>
  <c r="W12" i="40"/>
  <c r="W46" i="40"/>
  <c r="W31" i="40"/>
  <c r="W15" i="40"/>
  <c r="W88" i="40"/>
  <c r="W79" i="40"/>
  <c r="W54" i="40"/>
  <c r="W89" i="40"/>
  <c r="W80" i="40"/>
  <c r="W53" i="40"/>
  <c r="W90" i="40"/>
  <c r="W81" i="40"/>
  <c r="W74" i="40"/>
  <c r="W52" i="40"/>
  <c r="W38" i="40"/>
  <c r="W22" i="40"/>
  <c r="W55" i="40"/>
  <c r="W29" i="40"/>
  <c r="W13" i="40"/>
  <c r="W40" i="40"/>
  <c r="W24" i="40"/>
  <c r="W60" i="40"/>
  <c r="W43" i="40"/>
  <c r="W27" i="40"/>
  <c r="W11" i="40"/>
  <c r="W92" i="40"/>
  <c r="W83" i="40"/>
  <c r="W93" i="40"/>
  <c r="W84" i="40"/>
  <c r="W49" i="40"/>
  <c r="W94" i="40"/>
  <c r="W78" i="40"/>
  <c r="W51" i="40"/>
  <c r="W34" i="40"/>
  <c r="W18" i="40"/>
  <c r="W41" i="40"/>
  <c r="W25" i="40"/>
  <c r="W9" i="40"/>
  <c r="W36" i="40"/>
  <c r="W20" i="40"/>
  <c r="W48" i="40"/>
  <c r="W39" i="40"/>
  <c r="W23" i="40"/>
  <c r="W96" i="40"/>
  <c r="W58" i="40"/>
  <c r="W97" i="40"/>
  <c r="W62" i="40"/>
  <c r="W45" i="40"/>
  <c r="W98" i="40"/>
  <c r="W91" i="40"/>
  <c r="W82" i="40"/>
  <c r="W50" i="40"/>
  <c r="W30" i="40"/>
  <c r="W14" i="40"/>
  <c r="W37" i="40"/>
  <c r="W21" i="40"/>
  <c r="W56" i="40"/>
  <c r="W32" i="40"/>
  <c r="W16" i="40"/>
  <c r="W47" i="40"/>
  <c r="W35" i="40"/>
  <c r="W19" i="40"/>
  <c r="AA88" i="40"/>
  <c r="AA92" i="40"/>
  <c r="AA96" i="40"/>
  <c r="AA75" i="40"/>
  <c r="AA79" i="40"/>
  <c r="AA83" i="40"/>
  <c r="AA58" i="40"/>
  <c r="AA59" i="40"/>
  <c r="AA54" i="40"/>
  <c r="AA89" i="40"/>
  <c r="AA93" i="40"/>
  <c r="AA97" i="40"/>
  <c r="AA76" i="40"/>
  <c r="AA80" i="40"/>
  <c r="AA84" i="40"/>
  <c r="AA62" i="40"/>
  <c r="AA57" i="40"/>
  <c r="AA53" i="40"/>
  <c r="AA49" i="40"/>
  <c r="AA45" i="40"/>
  <c r="AA90" i="40"/>
  <c r="AA94" i="40"/>
  <c r="AA98" i="40"/>
  <c r="AA77" i="40"/>
  <c r="AA81" i="40"/>
  <c r="AA91" i="40"/>
  <c r="AA95" i="40"/>
  <c r="AA74" i="40"/>
  <c r="AA78" i="40"/>
  <c r="AA82" i="40"/>
  <c r="AA56" i="40"/>
  <c r="AA48" i="40"/>
  <c r="AA47" i="40"/>
  <c r="AA46" i="40"/>
  <c r="AA42" i="40"/>
  <c r="AA38" i="40"/>
  <c r="AA34" i="40"/>
  <c r="AA30" i="40"/>
  <c r="AA26" i="40"/>
  <c r="AA22" i="40"/>
  <c r="AA18" i="40"/>
  <c r="AA14" i="40"/>
  <c r="AA10" i="40"/>
  <c r="AA60" i="40"/>
  <c r="AA51" i="40"/>
  <c r="AA50" i="40"/>
  <c r="AA41" i="40"/>
  <c r="AA37" i="40"/>
  <c r="AA33" i="40"/>
  <c r="AA29" i="40"/>
  <c r="AA25" i="40"/>
  <c r="AA21" i="40"/>
  <c r="AA17" i="40"/>
  <c r="AA13" i="40"/>
  <c r="AA9" i="40"/>
  <c r="AA61" i="40"/>
  <c r="AA52" i="40"/>
  <c r="AA40" i="40"/>
  <c r="AA36" i="40"/>
  <c r="AA32" i="40"/>
  <c r="AA28" i="40"/>
  <c r="AA24" i="40"/>
  <c r="AA20" i="40"/>
  <c r="AA16" i="40"/>
  <c r="AA12" i="40"/>
  <c r="AA55" i="40"/>
  <c r="AA44" i="40"/>
  <c r="AA43" i="40"/>
  <c r="AA39" i="40"/>
  <c r="AA35" i="40"/>
  <c r="AA31" i="40"/>
  <c r="AA27" i="40"/>
  <c r="AA23" i="40"/>
  <c r="AA19" i="40"/>
  <c r="AA15" i="40"/>
  <c r="AA11" i="40"/>
  <c r="Z89" i="40"/>
  <c r="Z93" i="40"/>
  <c r="Z97" i="40"/>
  <c r="Z76" i="40"/>
  <c r="Z80" i="40"/>
  <c r="Z84" i="40"/>
  <c r="Z60" i="40"/>
  <c r="Z55" i="40"/>
  <c r="Z90" i="40"/>
  <c r="Z94" i="40"/>
  <c r="Z98" i="40"/>
  <c r="Z77" i="40"/>
  <c r="Z81" i="40"/>
  <c r="Z58" i="40"/>
  <c r="Z59" i="40"/>
  <c r="Z54" i="40"/>
  <c r="Z50" i="40"/>
  <c r="Z46" i="40"/>
  <c r="Z91" i="40"/>
  <c r="Z95" i="40"/>
  <c r="Z74" i="40"/>
  <c r="Z78" i="40"/>
  <c r="Z82" i="40"/>
  <c r="Z88" i="40"/>
  <c r="Z92" i="40"/>
  <c r="Z96" i="40"/>
  <c r="Z75" i="40"/>
  <c r="Z79" i="40"/>
  <c r="Z83" i="40"/>
  <c r="Z62" i="40"/>
  <c r="Z53" i="40"/>
  <c r="Z45" i="40"/>
  <c r="Z44" i="40"/>
  <c r="Z43" i="40"/>
  <c r="Z39" i="40"/>
  <c r="Z35" i="40"/>
  <c r="Z31" i="40"/>
  <c r="Z27" i="40"/>
  <c r="Z23" i="40"/>
  <c r="Z19" i="40"/>
  <c r="Z15" i="40"/>
  <c r="Z11" i="40"/>
  <c r="Z9" i="40"/>
  <c r="Z56" i="40"/>
  <c r="Z49" i="40"/>
  <c r="Z48" i="40"/>
  <c r="Z47" i="40"/>
  <c r="Z42" i="40"/>
  <c r="Z38" i="40"/>
  <c r="Z34" i="40"/>
  <c r="Z30" i="40"/>
  <c r="Z26" i="40"/>
  <c r="Z22" i="40"/>
  <c r="Z18" i="40"/>
  <c r="Z14" i="40"/>
  <c r="Z10" i="40"/>
  <c r="Z57" i="40"/>
  <c r="Z51" i="40"/>
  <c r="Z41" i="40"/>
  <c r="Z37" i="40"/>
  <c r="Z33" i="40"/>
  <c r="Z29" i="40"/>
  <c r="Z25" i="40"/>
  <c r="Z21" i="40"/>
  <c r="Z17" i="40"/>
  <c r="Z13" i="40"/>
  <c r="Z61" i="40"/>
  <c r="Z52" i="40"/>
  <c r="Z40" i="40"/>
  <c r="Z36" i="40"/>
  <c r="Z32" i="40"/>
  <c r="Z28" i="40"/>
  <c r="Z24" i="40"/>
  <c r="Z20" i="40"/>
  <c r="Z16" i="40"/>
  <c r="Z12" i="40"/>
  <c r="Y90" i="40"/>
  <c r="Y94" i="40"/>
  <c r="Y98" i="40"/>
  <c r="Y77" i="40"/>
  <c r="Y81" i="40"/>
  <c r="Y61" i="40"/>
  <c r="Y56" i="40"/>
  <c r="Y52" i="40"/>
  <c r="Y91" i="40"/>
  <c r="Y95" i="40"/>
  <c r="Y74" i="40"/>
  <c r="Y78" i="40"/>
  <c r="Y82" i="40"/>
  <c r="Y60" i="40"/>
  <c r="Y55" i="40"/>
  <c r="Y51" i="40"/>
  <c r="Y47" i="40"/>
  <c r="Y88" i="40"/>
  <c r="Y92" i="40"/>
  <c r="Y96" i="40"/>
  <c r="Y75" i="40"/>
  <c r="Y79" i="40"/>
  <c r="Y83" i="40"/>
  <c r="Y89" i="40"/>
  <c r="Y93" i="40"/>
  <c r="Y97" i="40"/>
  <c r="Y76" i="40"/>
  <c r="Y80" i="40"/>
  <c r="Y84" i="40"/>
  <c r="Y59" i="40"/>
  <c r="Y40" i="40"/>
  <c r="Y36" i="40"/>
  <c r="Y32" i="40"/>
  <c r="Y28" i="40"/>
  <c r="Y24" i="40"/>
  <c r="Y20" i="40"/>
  <c r="Y16" i="40"/>
  <c r="Y12" i="40"/>
  <c r="Y62" i="40"/>
  <c r="Y53" i="40"/>
  <c r="Y46" i="40"/>
  <c r="Y45" i="40"/>
  <c r="Y44" i="40"/>
  <c r="Y43" i="40"/>
  <c r="Y39" i="40"/>
  <c r="Y35" i="40"/>
  <c r="Y31" i="40"/>
  <c r="Y27" i="40"/>
  <c r="Y23" i="40"/>
  <c r="Y19" i="40"/>
  <c r="Y15" i="40"/>
  <c r="Y11" i="40"/>
  <c r="Y58" i="40"/>
  <c r="Y54" i="40"/>
  <c r="Y50" i="40"/>
  <c r="Y49" i="40"/>
  <c r="Y48" i="40"/>
  <c r="Y42" i="40"/>
  <c r="Y38" i="40"/>
  <c r="Y34" i="40"/>
  <c r="Y30" i="40"/>
  <c r="Y26" i="40"/>
  <c r="Y22" i="40"/>
  <c r="Y18" i="40"/>
  <c r="Y14" i="40"/>
  <c r="Y10" i="40"/>
  <c r="Y57" i="40"/>
  <c r="Y41" i="40"/>
  <c r="Y37" i="40"/>
  <c r="Y33" i="40"/>
  <c r="Y29" i="40"/>
  <c r="Y25" i="40"/>
  <c r="Y21" i="40"/>
  <c r="Y17" i="40"/>
  <c r="Y13" i="40"/>
  <c r="Y9" i="40"/>
  <c r="AN64" i="40"/>
  <c r="R482" i="41"/>
  <c r="V482" i="41"/>
  <c r="Z482" i="41"/>
  <c r="Q483" i="41"/>
  <c r="V483" i="41"/>
  <c r="Z483" i="41"/>
  <c r="Q484" i="41"/>
  <c r="U484" i="41"/>
  <c r="Y484" i="41"/>
  <c r="P485" i="41"/>
  <c r="T485" i="41"/>
  <c r="X485" i="41"/>
  <c r="O486" i="41"/>
  <c r="S486" i="41"/>
  <c r="W486" i="41"/>
  <c r="AA486" i="41"/>
  <c r="T250" i="41"/>
  <c r="X250" i="41"/>
  <c r="R251" i="41"/>
  <c r="W251" i="41"/>
  <c r="AA251" i="41"/>
  <c r="T252" i="41"/>
  <c r="Y252" i="41"/>
  <c r="P248" i="41"/>
  <c r="T248" i="41"/>
  <c r="X248" i="41"/>
  <c r="O249" i="41"/>
  <c r="V249" i="41"/>
  <c r="Z249" i="41"/>
  <c r="Q482" i="41"/>
  <c r="U482" i="41"/>
  <c r="Y482" i="41"/>
  <c r="P483" i="41"/>
  <c r="U483" i="41"/>
  <c r="Y483" i="41"/>
  <c r="T484" i="41"/>
  <c r="X484" i="41"/>
  <c r="O485" i="41"/>
  <c r="W485" i="41"/>
  <c r="R486" i="41"/>
  <c r="Z486" i="41"/>
  <c r="W250" i="41"/>
  <c r="U251" i="41"/>
  <c r="S252" i="41"/>
  <c r="O248" i="41"/>
  <c r="W248" i="41"/>
  <c r="U249" i="41"/>
  <c r="O482" i="41"/>
  <c r="S482" i="41"/>
  <c r="W482" i="41"/>
  <c r="AA482" i="41"/>
  <c r="R483" i="41"/>
  <c r="W483" i="41"/>
  <c r="AA483" i="41"/>
  <c r="R484" i="41"/>
  <c r="V484" i="41"/>
  <c r="Z484" i="41"/>
  <c r="Q485" i="41"/>
  <c r="U485" i="41"/>
  <c r="Y485" i="41"/>
  <c r="P486" i="41"/>
  <c r="T486" i="41"/>
  <c r="X486" i="41"/>
  <c r="O250" i="41"/>
  <c r="U250" i="41"/>
  <c r="Y250" i="41"/>
  <c r="S251" i="41"/>
  <c r="X251" i="41"/>
  <c r="O252" i="41"/>
  <c r="U252" i="41"/>
  <c r="Z252" i="41"/>
  <c r="Q248" i="41"/>
  <c r="U248" i="41"/>
  <c r="Y248" i="41"/>
  <c r="R249" i="41"/>
  <c r="W249" i="41"/>
  <c r="AA249" i="41"/>
  <c r="P482" i="41"/>
  <c r="T482" i="41"/>
  <c r="X482" i="41"/>
  <c r="O483" i="41"/>
  <c r="S483" i="41"/>
  <c r="X483" i="41"/>
  <c r="O484" i="41"/>
  <c r="S484" i="41"/>
  <c r="W484" i="41"/>
  <c r="AA484" i="41"/>
  <c r="R485" i="41"/>
  <c r="V485" i="41"/>
  <c r="Z485" i="41"/>
  <c r="Q486" i="41"/>
  <c r="U486" i="41"/>
  <c r="Y486" i="41"/>
  <c r="R250" i="41"/>
  <c r="V250" i="41"/>
  <c r="AA250" i="41"/>
  <c r="T251" i="41"/>
  <c r="Y251" i="41"/>
  <c r="R252" i="41"/>
  <c r="W252" i="41"/>
  <c r="AA252" i="41"/>
  <c r="R248" i="41"/>
  <c r="V248" i="41"/>
  <c r="Z248" i="41"/>
  <c r="S249" i="41"/>
  <c r="X249" i="41"/>
  <c r="P484" i="41"/>
  <c r="S485" i="41"/>
  <c r="AA485" i="41"/>
  <c r="V486" i="41"/>
  <c r="S250" i="41"/>
  <c r="O251" i="41"/>
  <c r="Z251" i="41"/>
  <c r="X252" i="41"/>
  <c r="S248" i="41"/>
  <c r="AA248" i="41"/>
  <c r="Y249" i="41"/>
  <c r="Q249" i="41"/>
  <c r="T249" i="41"/>
  <c r="T483" i="41"/>
  <c r="Z250" i="41"/>
  <c r="P251" i="41"/>
  <c r="P249" i="41"/>
  <c r="P252" i="41"/>
  <c r="Q251" i="41"/>
  <c r="P250" i="41"/>
  <c r="Q252" i="41"/>
  <c r="V251" i="41"/>
  <c r="Q250" i="41"/>
  <c r="V252" i="41"/>
  <c r="O277" i="41"/>
  <c r="X277" i="41"/>
  <c r="W43" i="41"/>
  <c r="Q42" i="41"/>
  <c r="U42" i="41"/>
  <c r="Y42" i="41"/>
  <c r="P277" i="41"/>
  <c r="U277" i="41"/>
  <c r="Y277" i="41"/>
  <c r="S43" i="41"/>
  <c r="Y43" i="41"/>
  <c r="R42" i="41"/>
  <c r="V42" i="41"/>
  <c r="Z42" i="41"/>
  <c r="Q277" i="41"/>
  <c r="V277" i="41"/>
  <c r="Z277" i="41"/>
  <c r="T43" i="41"/>
  <c r="Z43" i="41"/>
  <c r="S42" i="41"/>
  <c r="W42" i="41"/>
  <c r="AA42" i="41"/>
  <c r="R277" i="41"/>
  <c r="W277" i="41"/>
  <c r="AA277" i="41"/>
  <c r="V43" i="41"/>
  <c r="AA43" i="41"/>
  <c r="T42" i="41"/>
  <c r="X42" i="41"/>
  <c r="P42" i="41"/>
  <c r="S277" i="41"/>
  <c r="T277" i="41"/>
  <c r="P43" i="41"/>
  <c r="O43" i="41"/>
  <c r="X43" i="41"/>
  <c r="R43" i="41"/>
  <c r="Q43" i="41"/>
  <c r="U43" i="41"/>
  <c r="AX45" i="40"/>
  <c r="AM45" i="40"/>
  <c r="AX46" i="40"/>
  <c r="AM46" i="40"/>
  <c r="AX47" i="40"/>
  <c r="AM47" i="40"/>
  <c r="AX43" i="40"/>
  <c r="AM43" i="40"/>
  <c r="Z245" i="41"/>
  <c r="Y22" i="41"/>
  <c r="U22" i="41"/>
  <c r="X247" i="41"/>
  <c r="S247" i="41"/>
  <c r="O247" i="41"/>
  <c r="X246" i="41"/>
  <c r="S246" i="41"/>
  <c r="AA245" i="41"/>
  <c r="X22" i="41"/>
  <c r="S22" i="41"/>
  <c r="AA247" i="41"/>
  <c r="W247" i="41"/>
  <c r="R247" i="41"/>
  <c r="AA246" i="41"/>
  <c r="W246" i="41"/>
  <c r="R246" i="41"/>
  <c r="T26" i="41"/>
  <c r="T30" i="41"/>
  <c r="T34" i="41"/>
  <c r="T38" i="41"/>
  <c r="T47" i="41"/>
  <c r="T51" i="41"/>
  <c r="T55" i="41"/>
  <c r="T59" i="41"/>
  <c r="T63" i="41"/>
  <c r="T67" i="41"/>
  <c r="T71" i="41"/>
  <c r="T75" i="41"/>
  <c r="T79" i="41"/>
  <c r="T83" i="41"/>
  <c r="T87" i="41"/>
  <c r="T91" i="41"/>
  <c r="T95" i="41"/>
  <c r="T99" i="41"/>
  <c r="T103" i="41"/>
  <c r="T107" i="41"/>
  <c r="T111" i="41"/>
  <c r="T115" i="41"/>
  <c r="T119" i="41"/>
  <c r="T123" i="41"/>
  <c r="T127" i="41"/>
  <c r="T131" i="41"/>
  <c r="T135" i="41"/>
  <c r="T139" i="41"/>
  <c r="T143" i="41"/>
  <c r="T147" i="41"/>
  <c r="T151" i="41"/>
  <c r="T155" i="41"/>
  <c r="T159" i="41"/>
  <c r="T163" i="41"/>
  <c r="T167" i="41"/>
  <c r="T171" i="41"/>
  <c r="T175" i="41"/>
  <c r="T179" i="41"/>
  <c r="T183" i="41"/>
  <c r="T187" i="41"/>
  <c r="T191" i="41"/>
  <c r="T195" i="41"/>
  <c r="T199" i="41"/>
  <c r="T203" i="41"/>
  <c r="T207" i="41"/>
  <c r="T211" i="41"/>
  <c r="T215" i="41"/>
  <c r="T219" i="41"/>
  <c r="T223" i="41"/>
  <c r="T227" i="41"/>
  <c r="T231" i="41"/>
  <c r="T235" i="41"/>
  <c r="T239" i="41"/>
  <c r="T243" i="41"/>
  <c r="T247" i="41"/>
  <c r="Q576" i="41"/>
  <c r="U576" i="41"/>
  <c r="Y576" i="41"/>
  <c r="P577" i="41"/>
  <c r="T577" i="41"/>
  <c r="X577" i="41"/>
  <c r="O578" i="41"/>
  <c r="S578" i="41"/>
  <c r="W578" i="41"/>
  <c r="AA578" i="41"/>
  <c r="R579" i="41"/>
  <c r="V579" i="41"/>
  <c r="Z579" i="41"/>
  <c r="Q580" i="41"/>
  <c r="U580" i="41"/>
  <c r="T23" i="41"/>
  <c r="T27" i="41"/>
  <c r="T31" i="41"/>
  <c r="T35" i="41"/>
  <c r="T39" i="41"/>
  <c r="T44" i="41"/>
  <c r="T48" i="41"/>
  <c r="T52" i="41"/>
  <c r="T56" i="41"/>
  <c r="T60" i="41"/>
  <c r="T64" i="41"/>
  <c r="T68" i="41"/>
  <c r="T72" i="41"/>
  <c r="T76" i="41"/>
  <c r="T80" i="41"/>
  <c r="T84" i="41"/>
  <c r="T88" i="41"/>
  <c r="T92" i="41"/>
  <c r="T96" i="41"/>
  <c r="T100" i="41"/>
  <c r="T104" i="41"/>
  <c r="T108" i="41"/>
  <c r="T112" i="41"/>
  <c r="T116" i="41"/>
  <c r="T120" i="41"/>
  <c r="T124" i="41"/>
  <c r="T128" i="41"/>
  <c r="T132" i="41"/>
  <c r="T136" i="41"/>
  <c r="T140" i="41"/>
  <c r="T144" i="41"/>
  <c r="T148" i="41"/>
  <c r="T152" i="41"/>
  <c r="T156" i="41"/>
  <c r="T160" i="41"/>
  <c r="T164" i="41"/>
  <c r="T168" i="41"/>
  <c r="T172" i="41"/>
  <c r="T176" i="41"/>
  <c r="T180" i="41"/>
  <c r="T184" i="41"/>
  <c r="T188" i="41"/>
  <c r="T192" i="41"/>
  <c r="T196" i="41"/>
  <c r="T200" i="41"/>
  <c r="T204" i="41"/>
  <c r="T208" i="41"/>
  <c r="T212" i="41"/>
  <c r="T216" i="41"/>
  <c r="T220" i="41"/>
  <c r="T224" i="41"/>
  <c r="T228" i="41"/>
  <c r="T232" i="41"/>
  <c r="T236" i="41"/>
  <c r="T240" i="41"/>
  <c r="T244" i="41"/>
  <c r="T22" i="41"/>
  <c r="R576" i="41"/>
  <c r="V576" i="41"/>
  <c r="Z576" i="41"/>
  <c r="Q577" i="41"/>
  <c r="U577" i="41"/>
  <c r="Y577" i="41"/>
  <c r="P578" i="41"/>
  <c r="T578" i="41"/>
  <c r="X578" i="41"/>
  <c r="O579" i="41"/>
  <c r="S579" i="41"/>
  <c r="W579" i="41"/>
  <c r="AA579" i="41"/>
  <c r="R580" i="41"/>
  <c r="V580" i="41"/>
  <c r="Z580" i="41"/>
  <c r="Q581" i="41"/>
  <c r="U581" i="41"/>
  <c r="Y581" i="41"/>
  <c r="P582" i="41"/>
  <c r="T582" i="41"/>
  <c r="X582" i="41"/>
  <c r="O583" i="41"/>
  <c r="S583" i="41"/>
  <c r="W583" i="41"/>
  <c r="AA583" i="41"/>
  <c r="R584" i="41"/>
  <c r="V584" i="41"/>
  <c r="T24" i="41"/>
  <c r="T28" i="41"/>
  <c r="T32" i="41"/>
  <c r="T36" i="41"/>
  <c r="T40" i="41"/>
  <c r="T45" i="41"/>
  <c r="T49" i="41"/>
  <c r="T53" i="41"/>
  <c r="T57" i="41"/>
  <c r="T61" i="41"/>
  <c r="T65" i="41"/>
  <c r="T69" i="41"/>
  <c r="T73" i="41"/>
  <c r="T77" i="41"/>
  <c r="T81" i="41"/>
  <c r="T85" i="41"/>
  <c r="T89" i="41"/>
  <c r="T93" i="41"/>
  <c r="T97" i="41"/>
  <c r="T101" i="41"/>
  <c r="T105" i="41"/>
  <c r="T109" i="41"/>
  <c r="T113" i="41"/>
  <c r="T117" i="41"/>
  <c r="T121" i="41"/>
  <c r="T125" i="41"/>
  <c r="T129" i="41"/>
  <c r="T133" i="41"/>
  <c r="T137" i="41"/>
  <c r="T141" i="41"/>
  <c r="T145" i="41"/>
  <c r="T149" i="41"/>
  <c r="T153" i="41"/>
  <c r="T157" i="41"/>
  <c r="T161" i="41"/>
  <c r="T165" i="41"/>
  <c r="T169" i="41"/>
  <c r="T173" i="41"/>
  <c r="T177" i="41"/>
  <c r="T181" i="41"/>
  <c r="T185" i="41"/>
  <c r="T189" i="41"/>
  <c r="T193" i="41"/>
  <c r="T197" i="41"/>
  <c r="T201" i="41"/>
  <c r="T205" i="41"/>
  <c r="T209" i="41"/>
  <c r="T213" i="41"/>
  <c r="T217" i="41"/>
  <c r="T221" i="41"/>
  <c r="T225" i="41"/>
  <c r="T229" i="41"/>
  <c r="T233" i="41"/>
  <c r="T237" i="41"/>
  <c r="T241" i="41"/>
  <c r="T245" i="41"/>
  <c r="O576" i="41"/>
  <c r="S576" i="41"/>
  <c r="W576" i="41"/>
  <c r="AA576" i="41"/>
  <c r="R577" i="41"/>
  <c r="V577" i="41"/>
  <c r="Z577" i="41"/>
  <c r="Q578" i="41"/>
  <c r="U578" i="41"/>
  <c r="Y578" i="41"/>
  <c r="P579" i="41"/>
  <c r="T579" i="41"/>
  <c r="X579" i="41"/>
  <c r="O580" i="41"/>
  <c r="S580" i="41"/>
  <c r="W580" i="41"/>
  <c r="AA580" i="41"/>
  <c r="R581" i="41"/>
  <c r="V581" i="41"/>
  <c r="Z581" i="41"/>
  <c r="Q582" i="41"/>
  <c r="U582" i="41"/>
  <c r="Y582" i="41"/>
  <c r="P583" i="41"/>
  <c r="T583" i="41"/>
  <c r="X583" i="41"/>
  <c r="O584" i="41"/>
  <c r="S584" i="41"/>
  <c r="W584" i="41"/>
  <c r="T37" i="41"/>
  <c r="T54" i="41"/>
  <c r="T70" i="41"/>
  <c r="T86" i="41"/>
  <c r="T102" i="41"/>
  <c r="T118" i="41"/>
  <c r="T134" i="41"/>
  <c r="T150" i="41"/>
  <c r="T166" i="41"/>
  <c r="T182" i="41"/>
  <c r="T198" i="41"/>
  <c r="T214" i="41"/>
  <c r="T230" i="41"/>
  <c r="T246" i="41"/>
  <c r="O577" i="41"/>
  <c r="R578" i="41"/>
  <c r="U579" i="41"/>
  <c r="X580" i="41"/>
  <c r="S581" i="41"/>
  <c r="AA581" i="41"/>
  <c r="V582" i="41"/>
  <c r="Q583" i="41"/>
  <c r="Y583" i="41"/>
  <c r="T584" i="41"/>
  <c r="Z584" i="41"/>
  <c r="Q585" i="41"/>
  <c r="U585" i="41"/>
  <c r="Y585" i="41"/>
  <c r="P586" i="41"/>
  <c r="T586" i="41"/>
  <c r="X586" i="41"/>
  <c r="O587" i="41"/>
  <c r="S587" i="41"/>
  <c r="W587" i="41"/>
  <c r="AA587" i="41"/>
  <c r="R588" i="41"/>
  <c r="V588" i="41"/>
  <c r="Z588" i="41"/>
  <c r="Q589" i="41"/>
  <c r="U589" i="41"/>
  <c r="Y589" i="41"/>
  <c r="P590" i="41"/>
  <c r="T590" i="41"/>
  <c r="X590" i="41"/>
  <c r="O591" i="41"/>
  <c r="S591" i="41"/>
  <c r="W591" i="41"/>
  <c r="AA591" i="41"/>
  <c r="R592" i="41"/>
  <c r="V592" i="41"/>
  <c r="Z592" i="41"/>
  <c r="Q593" i="41"/>
  <c r="U593" i="41"/>
  <c r="Y593" i="41"/>
  <c r="P594" i="41"/>
  <c r="T594" i="41"/>
  <c r="X594" i="41"/>
  <c r="O595" i="41"/>
  <c r="S595" i="41"/>
  <c r="W595" i="41"/>
  <c r="AA595" i="41"/>
  <c r="R596" i="41"/>
  <c r="V596" i="41"/>
  <c r="Z596" i="41"/>
  <c r="T25" i="41"/>
  <c r="T41" i="41"/>
  <c r="T58" i="41"/>
  <c r="T74" i="41"/>
  <c r="T90" i="41"/>
  <c r="T106" i="41"/>
  <c r="T122" i="41"/>
  <c r="T138" i="41"/>
  <c r="T154" i="41"/>
  <c r="T170" i="41"/>
  <c r="T186" i="41"/>
  <c r="T202" i="41"/>
  <c r="T218" i="41"/>
  <c r="T234" i="41"/>
  <c r="P576" i="41"/>
  <c r="S577" i="41"/>
  <c r="V578" i="41"/>
  <c r="Y579" i="41"/>
  <c r="Y580" i="41"/>
  <c r="T581" i="41"/>
  <c r="O582" i="41"/>
  <c r="W582" i="41"/>
  <c r="R583" i="41"/>
  <c r="Z583" i="41"/>
  <c r="U584" i="41"/>
  <c r="AA584" i="41"/>
  <c r="R585" i="41"/>
  <c r="V585" i="41"/>
  <c r="Z585" i="41"/>
  <c r="Q586" i="41"/>
  <c r="U586" i="41"/>
  <c r="Y586" i="41"/>
  <c r="P587" i="41"/>
  <c r="T587" i="41"/>
  <c r="X587" i="41"/>
  <c r="O588" i="41"/>
  <c r="S588" i="41"/>
  <c r="W588" i="41"/>
  <c r="AA588" i="41"/>
  <c r="R589" i="41"/>
  <c r="V589" i="41"/>
  <c r="Z589" i="41"/>
  <c r="Q590" i="41"/>
  <c r="U590" i="41"/>
  <c r="Y590" i="41"/>
  <c r="P591" i="41"/>
  <c r="T591" i="41"/>
  <c r="X591" i="41"/>
  <c r="O592" i="41"/>
  <c r="S592" i="41"/>
  <c r="W592" i="41"/>
  <c r="AA592" i="41"/>
  <c r="R593" i="41"/>
  <c r="V593" i="41"/>
  <c r="Z593" i="41"/>
  <c r="Q594" i="41"/>
  <c r="U594" i="41"/>
  <c r="Y594" i="41"/>
  <c r="P595" i="41"/>
  <c r="T595" i="41"/>
  <c r="X595" i="41"/>
  <c r="O596" i="41"/>
  <c r="S596" i="41"/>
  <c r="W596" i="41"/>
  <c r="AA596" i="41"/>
  <c r="R597" i="41"/>
  <c r="V597" i="41"/>
  <c r="Z597" i="41"/>
  <c r="Q598" i="41"/>
  <c r="U598" i="41"/>
  <c r="Y598" i="41"/>
  <c r="P599" i="41"/>
  <c r="T599" i="41"/>
  <c r="X599" i="41"/>
  <c r="T29" i="41"/>
  <c r="T46" i="41"/>
  <c r="T62" i="41"/>
  <c r="T78" i="41"/>
  <c r="T94" i="41"/>
  <c r="T110" i="41"/>
  <c r="T126" i="41"/>
  <c r="T142" i="41"/>
  <c r="T158" i="41"/>
  <c r="T174" i="41"/>
  <c r="T190" i="41"/>
  <c r="T206" i="41"/>
  <c r="T222" i="41"/>
  <c r="T238" i="41"/>
  <c r="T576" i="41"/>
  <c r="W577" i="41"/>
  <c r="Z578" i="41"/>
  <c r="P580" i="41"/>
  <c r="O581" i="41"/>
  <c r="W581" i="41"/>
  <c r="R582" i="41"/>
  <c r="Z582" i="41"/>
  <c r="U583" i="41"/>
  <c r="P584" i="41"/>
  <c r="X584" i="41"/>
  <c r="O585" i="41"/>
  <c r="S585" i="41"/>
  <c r="W585" i="41"/>
  <c r="AA585" i="41"/>
  <c r="R586" i="41"/>
  <c r="V586" i="41"/>
  <c r="Z586" i="41"/>
  <c r="Q587" i="41"/>
  <c r="U587" i="41"/>
  <c r="Y587" i="41"/>
  <c r="P588" i="41"/>
  <c r="T588" i="41"/>
  <c r="X588" i="41"/>
  <c r="O589" i="41"/>
  <c r="S589" i="41"/>
  <c r="W589" i="41"/>
  <c r="AA589" i="41"/>
  <c r="R590" i="41"/>
  <c r="V590" i="41"/>
  <c r="Z590" i="41"/>
  <c r="Q591" i="41"/>
  <c r="U591" i="41"/>
  <c r="Y591" i="41"/>
  <c r="P592" i="41"/>
  <c r="T592" i="41"/>
  <c r="X592" i="41"/>
  <c r="O593" i="41"/>
  <c r="S593" i="41"/>
  <c r="W593" i="41"/>
  <c r="AA593" i="41"/>
  <c r="R594" i="41"/>
  <c r="V594" i="41"/>
  <c r="Z594" i="41"/>
  <c r="Q595" i="41"/>
  <c r="U595" i="41"/>
  <c r="Y595" i="41"/>
  <c r="P596" i="41"/>
  <c r="T596" i="41"/>
  <c r="X596" i="41"/>
  <c r="O597" i="41"/>
  <c r="S597" i="41"/>
  <c r="W597" i="41"/>
  <c r="AA597" i="41"/>
  <c r="R598" i="41"/>
  <c r="V598" i="41"/>
  <c r="Z598" i="41"/>
  <c r="Q599" i="41"/>
  <c r="U599" i="41"/>
  <c r="Y599" i="41"/>
  <c r="P600" i="41"/>
  <c r="T600" i="41"/>
  <c r="X600" i="41"/>
  <c r="O601" i="41"/>
  <c r="S601" i="41"/>
  <c r="W601" i="41"/>
  <c r="AA601" i="41"/>
  <c r="R602" i="41"/>
  <c r="V602" i="41"/>
  <c r="Z602" i="41"/>
  <c r="Q603" i="41"/>
  <c r="T82" i="41"/>
  <c r="T146" i="41"/>
  <c r="T210" i="41"/>
  <c r="AA577" i="41"/>
  <c r="X581" i="41"/>
  <c r="Q584" i="41"/>
  <c r="X585" i="41"/>
  <c r="AA586" i="41"/>
  <c r="Q588" i="41"/>
  <c r="T589" i="41"/>
  <c r="W590" i="41"/>
  <c r="Z591" i="41"/>
  <c r="P593" i="41"/>
  <c r="S594" i="41"/>
  <c r="V595" i="41"/>
  <c r="Y596" i="41"/>
  <c r="U597" i="41"/>
  <c r="P598" i="41"/>
  <c r="X598" i="41"/>
  <c r="S599" i="41"/>
  <c r="AA599" i="41"/>
  <c r="S600" i="41"/>
  <c r="Y600" i="41"/>
  <c r="Q601" i="41"/>
  <c r="V601" i="41"/>
  <c r="O602" i="41"/>
  <c r="T602" i="41"/>
  <c r="Y602" i="41"/>
  <c r="R603" i="41"/>
  <c r="V603" i="41"/>
  <c r="Z603" i="41"/>
  <c r="Q604" i="41"/>
  <c r="U604" i="41"/>
  <c r="Y604" i="41"/>
  <c r="P605" i="41"/>
  <c r="T605" i="41"/>
  <c r="X605" i="41"/>
  <c r="O606" i="41"/>
  <c r="S606" i="41"/>
  <c r="W606" i="41"/>
  <c r="AA606" i="41"/>
  <c r="R607" i="41"/>
  <c r="V607" i="41"/>
  <c r="Z607" i="41"/>
  <c r="Q608" i="41"/>
  <c r="U608" i="41"/>
  <c r="Y608" i="41"/>
  <c r="P609" i="41"/>
  <c r="T609" i="41"/>
  <c r="X609" i="41"/>
  <c r="O610" i="41"/>
  <c r="S610" i="41"/>
  <c r="W610" i="41"/>
  <c r="AA610" i="41"/>
  <c r="R611" i="41"/>
  <c r="V611" i="41"/>
  <c r="Z611" i="41"/>
  <c r="Q612" i="41"/>
  <c r="U612" i="41"/>
  <c r="Y612" i="41"/>
  <c r="P613" i="41"/>
  <c r="T613" i="41"/>
  <c r="X613" i="41"/>
  <c r="O614" i="41"/>
  <c r="S614" i="41"/>
  <c r="W614" i="41"/>
  <c r="AA614" i="41"/>
  <c r="R615" i="41"/>
  <c r="V615" i="41"/>
  <c r="Z615" i="41"/>
  <c r="Q616" i="41"/>
  <c r="U616" i="41"/>
  <c r="Y616" i="41"/>
  <c r="P617" i="41"/>
  <c r="T617" i="41"/>
  <c r="X617" i="41"/>
  <c r="O618" i="41"/>
  <c r="S618" i="41"/>
  <c r="W618" i="41"/>
  <c r="AA618" i="41"/>
  <c r="R619" i="41"/>
  <c r="V619" i="41"/>
  <c r="Z619" i="41"/>
  <c r="Q620" i="41"/>
  <c r="U620" i="41"/>
  <c r="T33" i="41"/>
  <c r="T98" i="41"/>
  <c r="T162" i="41"/>
  <c r="T226" i="41"/>
  <c r="Q579" i="41"/>
  <c r="S582" i="41"/>
  <c r="Y584" i="41"/>
  <c r="O586" i="41"/>
  <c r="R587" i="41"/>
  <c r="U588" i="41"/>
  <c r="X589" i="41"/>
  <c r="AA590" i="41"/>
  <c r="Q592" i="41"/>
  <c r="T593" i="41"/>
  <c r="W594" i="41"/>
  <c r="Z595" i="41"/>
  <c r="P597" i="41"/>
  <c r="X597" i="41"/>
  <c r="S598" i="41"/>
  <c r="AA598" i="41"/>
  <c r="V599" i="41"/>
  <c r="O600" i="41"/>
  <c r="U600" i="41"/>
  <c r="Z600" i="41"/>
  <c r="R601" i="41"/>
  <c r="X601" i="41"/>
  <c r="P602" i="41"/>
  <c r="U602" i="41"/>
  <c r="AA602" i="41"/>
  <c r="S603" i="41"/>
  <c r="W603" i="41"/>
  <c r="AA603" i="41"/>
  <c r="R604" i="41"/>
  <c r="V604" i="41"/>
  <c r="Z604" i="41"/>
  <c r="Q605" i="41"/>
  <c r="U605" i="41"/>
  <c r="Y605" i="41"/>
  <c r="P606" i="41"/>
  <c r="T606" i="41"/>
  <c r="X606" i="41"/>
  <c r="O607" i="41"/>
  <c r="S607" i="41"/>
  <c r="W607" i="41"/>
  <c r="AA607" i="41"/>
  <c r="R608" i="41"/>
  <c r="V608" i="41"/>
  <c r="Z608" i="41"/>
  <c r="Q609" i="41"/>
  <c r="U609" i="41"/>
  <c r="Y609" i="41"/>
  <c r="P610" i="41"/>
  <c r="T610" i="41"/>
  <c r="X610" i="41"/>
  <c r="O611" i="41"/>
  <c r="S611" i="41"/>
  <c r="W611" i="41"/>
  <c r="AA611" i="41"/>
  <c r="R612" i="41"/>
  <c r="V612" i="41"/>
  <c r="Z612" i="41"/>
  <c r="Q613" i="41"/>
  <c r="U613" i="41"/>
  <c r="Y613" i="41"/>
  <c r="P614" i="41"/>
  <c r="T614" i="41"/>
  <c r="X614" i="41"/>
  <c r="O615" i="41"/>
  <c r="S615" i="41"/>
  <c r="W615" i="41"/>
  <c r="AA615" i="41"/>
  <c r="R616" i="41"/>
  <c r="V616" i="41"/>
  <c r="Z616" i="41"/>
  <c r="Q617" i="41"/>
  <c r="U617" i="41"/>
  <c r="Y617" i="41"/>
  <c r="P618" i="41"/>
  <c r="T618" i="41"/>
  <c r="X618" i="41"/>
  <c r="O619" i="41"/>
  <c r="S619" i="41"/>
  <c r="W619" i="41"/>
  <c r="AA619" i="41"/>
  <c r="R620" i="41"/>
  <c r="V620" i="41"/>
  <c r="Z620" i="41"/>
  <c r="Q621" i="41"/>
  <c r="U621" i="41"/>
  <c r="Y621" i="41"/>
  <c r="P622" i="41"/>
  <c r="T622" i="41"/>
  <c r="X622" i="41"/>
  <c r="O623" i="41"/>
  <c r="S623" i="41"/>
  <c r="W623" i="41"/>
  <c r="AA623" i="41"/>
  <c r="R624" i="41"/>
  <c r="V624" i="41"/>
  <c r="Z624" i="41"/>
  <c r="Q625" i="41"/>
  <c r="U625" i="41"/>
  <c r="Y625" i="41"/>
  <c r="P626" i="41"/>
  <c r="T626" i="41"/>
  <c r="X626" i="41"/>
  <c r="O627" i="41"/>
  <c r="S627" i="41"/>
  <c r="W627" i="41"/>
  <c r="AA627" i="41"/>
  <c r="R628" i="41"/>
  <c r="V628" i="41"/>
  <c r="Z628" i="41"/>
  <c r="Q629" i="41"/>
  <c r="U629" i="41"/>
  <c r="Y629" i="41"/>
  <c r="T50" i="41"/>
  <c r="T114" i="41"/>
  <c r="T178" i="41"/>
  <c r="T242" i="41"/>
  <c r="T580" i="41"/>
  <c r="AA582" i="41"/>
  <c r="P585" i="41"/>
  <c r="S586" i="41"/>
  <c r="V587" i="41"/>
  <c r="Y588" i="41"/>
  <c r="O590" i="41"/>
  <c r="R591" i="41"/>
  <c r="U592" i="41"/>
  <c r="X593" i="41"/>
  <c r="AA594" i="41"/>
  <c r="Q596" i="41"/>
  <c r="Q597" i="41"/>
  <c r="Y597" i="41"/>
  <c r="T598" i="41"/>
  <c r="O599" i="41"/>
  <c r="W599" i="41"/>
  <c r="Q600" i="41"/>
  <c r="V600" i="41"/>
  <c r="AA600" i="41"/>
  <c r="T601" i="41"/>
  <c r="Y601" i="41"/>
  <c r="Q602" i="41"/>
  <c r="W602" i="41"/>
  <c r="O603" i="41"/>
  <c r="T603" i="41"/>
  <c r="X603" i="41"/>
  <c r="O604" i="41"/>
  <c r="S604" i="41"/>
  <c r="W604" i="41"/>
  <c r="AA604" i="41"/>
  <c r="R605" i="41"/>
  <c r="V605" i="41"/>
  <c r="Z605" i="41"/>
  <c r="Q606" i="41"/>
  <c r="U606" i="41"/>
  <c r="Y606" i="41"/>
  <c r="P607" i="41"/>
  <c r="T607" i="41"/>
  <c r="X607" i="41"/>
  <c r="O608" i="41"/>
  <c r="S608" i="41"/>
  <c r="W608" i="41"/>
  <c r="AA608" i="41"/>
  <c r="R609" i="41"/>
  <c r="V609" i="41"/>
  <c r="Z609" i="41"/>
  <c r="Q610" i="41"/>
  <c r="U610" i="41"/>
  <c r="Y610" i="41"/>
  <c r="P611" i="41"/>
  <c r="T611" i="41"/>
  <c r="X611" i="41"/>
  <c r="O612" i="41"/>
  <c r="S612" i="41"/>
  <c r="W612" i="41"/>
  <c r="AA612" i="41"/>
  <c r="R613" i="41"/>
  <c r="V613" i="41"/>
  <c r="Z613" i="41"/>
  <c r="Q614" i="41"/>
  <c r="U614" i="41"/>
  <c r="Y614" i="41"/>
  <c r="P615" i="41"/>
  <c r="T615" i="41"/>
  <c r="X615" i="41"/>
  <c r="O616" i="41"/>
  <c r="S616" i="41"/>
  <c r="W616" i="41"/>
  <c r="AA616" i="41"/>
  <c r="R617" i="41"/>
  <c r="V617" i="41"/>
  <c r="Z617" i="41"/>
  <c r="Q618" i="41"/>
  <c r="U618" i="41"/>
  <c r="Y618" i="41"/>
  <c r="P619" i="41"/>
  <c r="T619" i="41"/>
  <c r="X619" i="41"/>
  <c r="O620" i="41"/>
  <c r="S620" i="41"/>
  <c r="W620" i="41"/>
  <c r="AA620" i="41"/>
  <c r="R621" i="41"/>
  <c r="V621" i="41"/>
  <c r="Z621" i="41"/>
  <c r="Q622" i="41"/>
  <c r="U622" i="41"/>
  <c r="Y622" i="41"/>
  <c r="P623" i="41"/>
  <c r="T623" i="41"/>
  <c r="X623" i="41"/>
  <c r="O624" i="41"/>
  <c r="S624" i="41"/>
  <c r="W624" i="41"/>
  <c r="AA624" i="41"/>
  <c r="R625" i="41"/>
  <c r="V625" i="41"/>
  <c r="Z625" i="41"/>
  <c r="Q626" i="41"/>
  <c r="U626" i="41"/>
  <c r="Y626" i="41"/>
  <c r="P627" i="41"/>
  <c r="T627" i="41"/>
  <c r="X627" i="41"/>
  <c r="O628" i="41"/>
  <c r="S628" i="41"/>
  <c r="W628" i="41"/>
  <c r="AA628" i="41"/>
  <c r="R629" i="41"/>
  <c r="V629" i="41"/>
  <c r="Z629" i="41"/>
  <c r="X576" i="41"/>
  <c r="W586" i="41"/>
  <c r="V591" i="41"/>
  <c r="U596" i="41"/>
  <c r="R599" i="41"/>
  <c r="P601" i="41"/>
  <c r="X602" i="41"/>
  <c r="P604" i="41"/>
  <c r="S605" i="41"/>
  <c r="V606" i="41"/>
  <c r="Y607" i="41"/>
  <c r="O609" i="41"/>
  <c r="R610" i="41"/>
  <c r="U611" i="41"/>
  <c r="X612" i="41"/>
  <c r="AA613" i="41"/>
  <c r="Q615" i="41"/>
  <c r="T616" i="41"/>
  <c r="W617" i="41"/>
  <c r="Z618" i="41"/>
  <c r="P620" i="41"/>
  <c r="O621" i="41"/>
  <c r="W621" i="41"/>
  <c r="R622" i="41"/>
  <c r="Z622" i="41"/>
  <c r="U623" i="41"/>
  <c r="P624" i="41"/>
  <c r="X624" i="41"/>
  <c r="S625" i="41"/>
  <c r="AA625" i="41"/>
  <c r="V626" i="41"/>
  <c r="Q627" i="41"/>
  <c r="Y627" i="41"/>
  <c r="T628" i="41"/>
  <c r="O629" i="41"/>
  <c r="W629" i="41"/>
  <c r="P630" i="41"/>
  <c r="T630" i="41"/>
  <c r="X630" i="41"/>
  <c r="O631" i="41"/>
  <c r="S631" i="41"/>
  <c r="W631" i="41"/>
  <c r="AA631" i="41"/>
  <c r="R632" i="41"/>
  <c r="V632" i="41"/>
  <c r="Z632" i="41"/>
  <c r="Q633" i="41"/>
  <c r="U633" i="41"/>
  <c r="Y633" i="41"/>
  <c r="P634" i="41"/>
  <c r="T634" i="41"/>
  <c r="X634" i="41"/>
  <c r="O635" i="41"/>
  <c r="S635" i="41"/>
  <c r="W635" i="41"/>
  <c r="AA635" i="41"/>
  <c r="R636" i="41"/>
  <c r="V636" i="41"/>
  <c r="Z636" i="41"/>
  <c r="Q637" i="41"/>
  <c r="U637" i="41"/>
  <c r="Y637" i="41"/>
  <c r="P638" i="41"/>
  <c r="T638" i="41"/>
  <c r="X638" i="41"/>
  <c r="O639" i="41"/>
  <c r="S639" i="41"/>
  <c r="W639" i="41"/>
  <c r="AA639" i="41"/>
  <c r="R640" i="41"/>
  <c r="V640" i="41"/>
  <c r="Z640" i="41"/>
  <c r="Q641" i="41"/>
  <c r="U641" i="41"/>
  <c r="Y641" i="41"/>
  <c r="P642" i="41"/>
  <c r="T642" i="41"/>
  <c r="X642" i="41"/>
  <c r="O643" i="41"/>
  <c r="S643" i="41"/>
  <c r="W643" i="41"/>
  <c r="AA643" i="41"/>
  <c r="R644" i="41"/>
  <c r="V644" i="41"/>
  <c r="Z644" i="41"/>
  <c r="Q645" i="41"/>
  <c r="U645" i="41"/>
  <c r="Y645" i="41"/>
  <c r="P646" i="41"/>
  <c r="T646" i="41"/>
  <c r="X646" i="41"/>
  <c r="O647" i="41"/>
  <c r="S647" i="41"/>
  <c r="W647" i="41"/>
  <c r="AA647" i="41"/>
  <c r="R648" i="41"/>
  <c r="V648" i="41"/>
  <c r="Z648" i="41"/>
  <c r="Q649" i="41"/>
  <c r="U649" i="41"/>
  <c r="Y649" i="41"/>
  <c r="P650" i="41"/>
  <c r="T650" i="41"/>
  <c r="X650" i="41"/>
  <c r="O651" i="41"/>
  <c r="S651" i="41"/>
  <c r="W651" i="41"/>
  <c r="AA651" i="41"/>
  <c r="R652" i="41"/>
  <c r="V652" i="41"/>
  <c r="Z652" i="41"/>
  <c r="R575" i="41"/>
  <c r="V575" i="41"/>
  <c r="Z575" i="41"/>
  <c r="P493" i="41"/>
  <c r="T493" i="41"/>
  <c r="X493" i="41"/>
  <c r="O494" i="41"/>
  <c r="S494" i="41"/>
  <c r="W494" i="41"/>
  <c r="AA494" i="41"/>
  <c r="R495" i="41"/>
  <c r="V495" i="41"/>
  <c r="Z495" i="41"/>
  <c r="Q496" i="41"/>
  <c r="U496" i="41"/>
  <c r="Y496" i="41"/>
  <c r="P497" i="41"/>
  <c r="T497" i="41"/>
  <c r="X497" i="41"/>
  <c r="O498" i="41"/>
  <c r="S498" i="41"/>
  <c r="W498" i="41"/>
  <c r="AA498" i="41"/>
  <c r="R499" i="41"/>
  <c r="V499" i="41"/>
  <c r="Z499" i="41"/>
  <c r="Q500" i="41"/>
  <c r="U500" i="41"/>
  <c r="Y500" i="41"/>
  <c r="P501" i="41"/>
  <c r="T501" i="41"/>
  <c r="X501" i="41"/>
  <c r="O502" i="41"/>
  <c r="S502" i="41"/>
  <c r="W502" i="41"/>
  <c r="AA502" i="41"/>
  <c r="R503" i="41"/>
  <c r="V503" i="41"/>
  <c r="Z503" i="41"/>
  <c r="Q504" i="41"/>
  <c r="U504" i="41"/>
  <c r="Y504" i="41"/>
  <c r="P505" i="41"/>
  <c r="T505" i="41"/>
  <c r="X505" i="41"/>
  <c r="O506" i="41"/>
  <c r="S506" i="41"/>
  <c r="W506" i="41"/>
  <c r="AA506" i="41"/>
  <c r="R507" i="41"/>
  <c r="V507" i="41"/>
  <c r="Z507" i="41"/>
  <c r="Q508" i="41"/>
  <c r="U508" i="41"/>
  <c r="Y508" i="41"/>
  <c r="P509" i="41"/>
  <c r="T509" i="41"/>
  <c r="X509" i="41"/>
  <c r="O510" i="41"/>
  <c r="T66" i="41"/>
  <c r="P581" i="41"/>
  <c r="Z587" i="41"/>
  <c r="Y592" i="41"/>
  <c r="T597" i="41"/>
  <c r="Z599" i="41"/>
  <c r="U601" i="41"/>
  <c r="P603" i="41"/>
  <c r="T604" i="41"/>
  <c r="W605" i="41"/>
  <c r="Z606" i="41"/>
  <c r="P608" i="41"/>
  <c r="S609" i="41"/>
  <c r="V610" i="41"/>
  <c r="Y611" i="41"/>
  <c r="O613" i="41"/>
  <c r="R614" i="41"/>
  <c r="U615" i="41"/>
  <c r="X616" i="41"/>
  <c r="AA617" i="41"/>
  <c r="Q619" i="41"/>
  <c r="T620" i="41"/>
  <c r="P621" i="41"/>
  <c r="X621" i="41"/>
  <c r="S622" i="41"/>
  <c r="AA622" i="41"/>
  <c r="V623" i="41"/>
  <c r="Q624" i="41"/>
  <c r="Y624" i="41"/>
  <c r="T625" i="41"/>
  <c r="O626" i="41"/>
  <c r="W626" i="41"/>
  <c r="R627" i="41"/>
  <c r="Z627" i="41"/>
  <c r="U628" i="41"/>
  <c r="P629" i="41"/>
  <c r="X629" i="41"/>
  <c r="Q630" i="41"/>
  <c r="U630" i="41"/>
  <c r="Y630" i="41"/>
  <c r="P631" i="41"/>
  <c r="T631" i="41"/>
  <c r="X631" i="41"/>
  <c r="O632" i="41"/>
  <c r="S632" i="41"/>
  <c r="W632" i="41"/>
  <c r="AA632" i="41"/>
  <c r="R633" i="41"/>
  <c r="V633" i="41"/>
  <c r="Z633" i="41"/>
  <c r="Q634" i="41"/>
  <c r="U634" i="41"/>
  <c r="Y634" i="41"/>
  <c r="P635" i="41"/>
  <c r="T635" i="41"/>
  <c r="X635" i="41"/>
  <c r="O636" i="41"/>
  <c r="S636" i="41"/>
  <c r="W636" i="41"/>
  <c r="AA636" i="41"/>
  <c r="R637" i="41"/>
  <c r="V637" i="41"/>
  <c r="Z637" i="41"/>
  <c r="Q638" i="41"/>
  <c r="U638" i="41"/>
  <c r="Y638" i="41"/>
  <c r="P639" i="41"/>
  <c r="T639" i="41"/>
  <c r="X639" i="41"/>
  <c r="O640" i="41"/>
  <c r="S640" i="41"/>
  <c r="W640" i="41"/>
  <c r="AA640" i="41"/>
  <c r="R641" i="41"/>
  <c r="V641" i="41"/>
  <c r="Z641" i="41"/>
  <c r="Q642" i="41"/>
  <c r="U642" i="41"/>
  <c r="Y642" i="41"/>
  <c r="P643" i="41"/>
  <c r="T643" i="41"/>
  <c r="X643" i="41"/>
  <c r="O644" i="41"/>
  <c r="S644" i="41"/>
  <c r="W644" i="41"/>
  <c r="AA644" i="41"/>
  <c r="R645" i="41"/>
  <c r="V645" i="41"/>
  <c r="Z645" i="41"/>
  <c r="Q646" i="41"/>
  <c r="U646" i="41"/>
  <c r="Y646" i="41"/>
  <c r="P647" i="41"/>
  <c r="T647" i="41"/>
  <c r="X647" i="41"/>
  <c r="O648" i="41"/>
  <c r="S648" i="41"/>
  <c r="W648" i="41"/>
  <c r="AA648" i="41"/>
  <c r="R649" i="41"/>
  <c r="V649" i="41"/>
  <c r="Z649" i="41"/>
  <c r="Q650" i="41"/>
  <c r="U650" i="41"/>
  <c r="Y650" i="41"/>
  <c r="P651" i="41"/>
  <c r="T651" i="41"/>
  <c r="X651" i="41"/>
  <c r="O652" i="41"/>
  <c r="S652" i="41"/>
  <c r="W652" i="41"/>
  <c r="AA652" i="41"/>
  <c r="S575" i="41"/>
  <c r="W575" i="41"/>
  <c r="AA575" i="41"/>
  <c r="Q493" i="41"/>
  <c r="U493" i="41"/>
  <c r="Y493" i="41"/>
  <c r="P494" i="41"/>
  <c r="T494" i="41"/>
  <c r="X494" i="41"/>
  <c r="O495" i="41"/>
  <c r="S495" i="41"/>
  <c r="W495" i="41"/>
  <c r="AA495" i="41"/>
  <c r="R496" i="41"/>
  <c r="V496" i="41"/>
  <c r="Z496" i="41"/>
  <c r="Q497" i="41"/>
  <c r="U497" i="41"/>
  <c r="Y497" i="41"/>
  <c r="P498" i="41"/>
  <c r="T498" i="41"/>
  <c r="X498" i="41"/>
  <c r="O499" i="41"/>
  <c r="S499" i="41"/>
  <c r="W499" i="41"/>
  <c r="AA499" i="41"/>
  <c r="R500" i="41"/>
  <c r="V500" i="41"/>
  <c r="Z500" i="41"/>
  <c r="Q501" i="41"/>
  <c r="U501" i="41"/>
  <c r="Y501" i="41"/>
  <c r="P502" i="41"/>
  <c r="T502" i="41"/>
  <c r="X502" i="41"/>
  <c r="O503" i="41"/>
  <c r="S503" i="41"/>
  <c r="W503" i="41"/>
  <c r="AA503" i="41"/>
  <c r="R504" i="41"/>
  <c r="V504" i="41"/>
  <c r="Z504" i="41"/>
  <c r="Q505" i="41"/>
  <c r="U505" i="41"/>
  <c r="Y505" i="41"/>
  <c r="P506" i="41"/>
  <c r="T506" i="41"/>
  <c r="X506" i="41"/>
  <c r="O507" i="41"/>
  <c r="S507" i="41"/>
  <c r="W507" i="41"/>
  <c r="AA507" i="41"/>
  <c r="R508" i="41"/>
  <c r="V508" i="41"/>
  <c r="Z508" i="41"/>
  <c r="Q509" i="41"/>
  <c r="U509" i="41"/>
  <c r="Y509" i="41"/>
  <c r="T130" i="41"/>
  <c r="V583" i="41"/>
  <c r="P589" i="41"/>
  <c r="O594" i="41"/>
  <c r="O598" i="41"/>
  <c r="R600" i="41"/>
  <c r="Z601" i="41"/>
  <c r="U603" i="41"/>
  <c r="X604" i="41"/>
  <c r="AA605" i="41"/>
  <c r="Q607" i="41"/>
  <c r="T608" i="41"/>
  <c r="W609" i="41"/>
  <c r="Z610" i="41"/>
  <c r="P612" i="41"/>
  <c r="S613" i="41"/>
  <c r="V614" i="41"/>
  <c r="Y615" i="41"/>
  <c r="O617" i="41"/>
  <c r="R618" i="41"/>
  <c r="U619" i="41"/>
  <c r="X620" i="41"/>
  <c r="S621" i="41"/>
  <c r="AA621" i="41"/>
  <c r="V622" i="41"/>
  <c r="Q623" i="41"/>
  <c r="Y623" i="41"/>
  <c r="T624" i="41"/>
  <c r="O625" i="41"/>
  <c r="W625" i="41"/>
  <c r="R626" i="41"/>
  <c r="Z626" i="41"/>
  <c r="U627" i="41"/>
  <c r="P628" i="41"/>
  <c r="X628" i="41"/>
  <c r="S629" i="41"/>
  <c r="AA629" i="41"/>
  <c r="R630" i="41"/>
  <c r="V630" i="41"/>
  <c r="Z630" i="41"/>
  <c r="Q631" i="41"/>
  <c r="U631" i="41"/>
  <c r="Y631" i="41"/>
  <c r="P632" i="41"/>
  <c r="T632" i="41"/>
  <c r="X632" i="41"/>
  <c r="O633" i="41"/>
  <c r="S633" i="41"/>
  <c r="W633" i="41"/>
  <c r="AA633" i="41"/>
  <c r="R634" i="41"/>
  <c r="V634" i="41"/>
  <c r="Z634" i="41"/>
  <c r="Q635" i="41"/>
  <c r="U635" i="41"/>
  <c r="Y635" i="41"/>
  <c r="P636" i="41"/>
  <c r="T636" i="41"/>
  <c r="X636" i="41"/>
  <c r="O637" i="41"/>
  <c r="S637" i="41"/>
  <c r="W637" i="41"/>
  <c r="AA637" i="41"/>
  <c r="R638" i="41"/>
  <c r="V638" i="41"/>
  <c r="Z638" i="41"/>
  <c r="Q639" i="41"/>
  <c r="U639" i="41"/>
  <c r="Y639" i="41"/>
  <c r="P640" i="41"/>
  <c r="T640" i="41"/>
  <c r="X640" i="41"/>
  <c r="O641" i="41"/>
  <c r="S641" i="41"/>
  <c r="W641" i="41"/>
  <c r="AA641" i="41"/>
  <c r="R642" i="41"/>
  <c r="V642" i="41"/>
  <c r="Z642" i="41"/>
  <c r="Q643" i="41"/>
  <c r="U643" i="41"/>
  <c r="Y643" i="41"/>
  <c r="P644" i="41"/>
  <c r="T644" i="41"/>
  <c r="X644" i="41"/>
  <c r="O645" i="41"/>
  <c r="S645" i="41"/>
  <c r="W645" i="41"/>
  <c r="AA645" i="41"/>
  <c r="R646" i="41"/>
  <c r="V646" i="41"/>
  <c r="Z646" i="41"/>
  <c r="Q647" i="41"/>
  <c r="U647" i="41"/>
  <c r="Y647" i="41"/>
  <c r="P648" i="41"/>
  <c r="T648" i="41"/>
  <c r="X648" i="41"/>
  <c r="O649" i="41"/>
  <c r="S649" i="41"/>
  <c r="W649" i="41"/>
  <c r="AA649" i="41"/>
  <c r="R650" i="41"/>
  <c r="V650" i="41"/>
  <c r="Z650" i="41"/>
  <c r="Q651" i="41"/>
  <c r="U651" i="41"/>
  <c r="Y651" i="41"/>
  <c r="P652" i="41"/>
  <c r="T652" i="41"/>
  <c r="X652" i="41"/>
  <c r="P575" i="41"/>
  <c r="T575" i="41"/>
  <c r="X575" i="41"/>
  <c r="O575" i="41"/>
  <c r="R493" i="41"/>
  <c r="V493" i="41"/>
  <c r="Z493" i="41"/>
  <c r="Q494" i="41"/>
  <c r="U494" i="41"/>
  <c r="Y494" i="41"/>
  <c r="P495" i="41"/>
  <c r="T495" i="41"/>
  <c r="X495" i="41"/>
  <c r="O496" i="41"/>
  <c r="S496" i="41"/>
  <c r="W496" i="41"/>
  <c r="AA496" i="41"/>
  <c r="R497" i="41"/>
  <c r="V497" i="41"/>
  <c r="Z497" i="41"/>
  <c r="Q498" i="41"/>
  <c r="U498" i="41"/>
  <c r="Y498" i="41"/>
  <c r="P499" i="41"/>
  <c r="T499" i="41"/>
  <c r="X499" i="41"/>
  <c r="O500" i="41"/>
  <c r="S500" i="41"/>
  <c r="W500" i="41"/>
  <c r="AA500" i="41"/>
  <c r="R501" i="41"/>
  <c r="V501" i="41"/>
  <c r="Z501" i="41"/>
  <c r="Q502" i="41"/>
  <c r="U502" i="41"/>
  <c r="Y502" i="41"/>
  <c r="P503" i="41"/>
  <c r="T503" i="41"/>
  <c r="X503" i="41"/>
  <c r="O504" i="41"/>
  <c r="S504" i="41"/>
  <c r="W504" i="41"/>
  <c r="AA504" i="41"/>
  <c r="R505" i="41"/>
  <c r="V505" i="41"/>
  <c r="Z505" i="41"/>
  <c r="Q506" i="41"/>
  <c r="U506" i="41"/>
  <c r="Y506" i="41"/>
  <c r="P507" i="41"/>
  <c r="T507" i="41"/>
  <c r="X507" i="41"/>
  <c r="O508" i="41"/>
  <c r="S508" i="41"/>
  <c r="W508" i="41"/>
  <c r="AA508" i="41"/>
  <c r="R509" i="41"/>
  <c r="V509" i="41"/>
  <c r="Z509" i="41"/>
  <c r="R595" i="41"/>
  <c r="Y603" i="41"/>
  <c r="X608" i="41"/>
  <c r="W613" i="41"/>
  <c r="V618" i="41"/>
  <c r="O622" i="41"/>
  <c r="U624" i="41"/>
  <c r="AA626" i="41"/>
  <c r="T629" i="41"/>
  <c r="AA630" i="41"/>
  <c r="Q632" i="41"/>
  <c r="T633" i="41"/>
  <c r="W634" i="41"/>
  <c r="Z635" i="41"/>
  <c r="P637" i="41"/>
  <c r="S638" i="41"/>
  <c r="V639" i="41"/>
  <c r="Y640" i="41"/>
  <c r="O642" i="41"/>
  <c r="R643" i="41"/>
  <c r="U644" i="41"/>
  <c r="X645" i="41"/>
  <c r="AA646" i="41"/>
  <c r="Q648" i="41"/>
  <c r="T649" i="41"/>
  <c r="W650" i="41"/>
  <c r="Z651" i="41"/>
  <c r="Q575" i="41"/>
  <c r="S493" i="41"/>
  <c r="V494" i="41"/>
  <c r="Y495" i="41"/>
  <c r="O497" i="41"/>
  <c r="R498" i="41"/>
  <c r="U499" i="41"/>
  <c r="X500" i="41"/>
  <c r="AA501" i="41"/>
  <c r="Q503" i="41"/>
  <c r="T504" i="41"/>
  <c r="W505" i="41"/>
  <c r="Z506" i="41"/>
  <c r="P508" i="41"/>
  <c r="S509" i="41"/>
  <c r="Q510" i="41"/>
  <c r="U510" i="41"/>
  <c r="Y510" i="41"/>
  <c r="P511" i="41"/>
  <c r="T511" i="41"/>
  <c r="X511" i="41"/>
  <c r="O512" i="41"/>
  <c r="S512" i="41"/>
  <c r="W512" i="41"/>
  <c r="AA512" i="41"/>
  <c r="R513" i="41"/>
  <c r="V513" i="41"/>
  <c r="Z513" i="41"/>
  <c r="Q514" i="41"/>
  <c r="U514" i="41"/>
  <c r="Y514" i="41"/>
  <c r="P515" i="41"/>
  <c r="T515" i="41"/>
  <c r="X515" i="41"/>
  <c r="O516" i="41"/>
  <c r="S516" i="41"/>
  <c r="W516" i="41"/>
  <c r="AA516" i="41"/>
  <c r="R517" i="41"/>
  <c r="V517" i="41"/>
  <c r="Z517" i="41"/>
  <c r="Q518" i="41"/>
  <c r="U518" i="41"/>
  <c r="Y518" i="41"/>
  <c r="P519" i="41"/>
  <c r="T519" i="41"/>
  <c r="X519" i="41"/>
  <c r="O520" i="41"/>
  <c r="S520" i="41"/>
  <c r="W520" i="41"/>
  <c r="AA520" i="41"/>
  <c r="R521" i="41"/>
  <c r="V521" i="41"/>
  <c r="Z521" i="41"/>
  <c r="Q522" i="41"/>
  <c r="U522" i="41"/>
  <c r="Y522" i="41"/>
  <c r="P523" i="41"/>
  <c r="T523" i="41"/>
  <c r="X523" i="41"/>
  <c r="O524" i="41"/>
  <c r="S524" i="41"/>
  <c r="W524" i="41"/>
  <c r="AA524" i="41"/>
  <c r="R525" i="41"/>
  <c r="V525" i="41"/>
  <c r="Z525" i="41"/>
  <c r="Q526" i="41"/>
  <c r="U526" i="41"/>
  <c r="Y526" i="41"/>
  <c r="P527" i="41"/>
  <c r="T527" i="41"/>
  <c r="X527" i="41"/>
  <c r="O528" i="41"/>
  <c r="S528" i="41"/>
  <c r="W528" i="41"/>
  <c r="AA528" i="41"/>
  <c r="R529" i="41"/>
  <c r="V529" i="41"/>
  <c r="Z529" i="41"/>
  <c r="Q530" i="41"/>
  <c r="U530" i="41"/>
  <c r="Y530" i="41"/>
  <c r="P531" i="41"/>
  <c r="T531" i="41"/>
  <c r="X531" i="41"/>
  <c r="O532" i="41"/>
  <c r="S532" i="41"/>
  <c r="W532" i="41"/>
  <c r="AA532" i="41"/>
  <c r="T194" i="41"/>
  <c r="W598" i="41"/>
  <c r="O605" i="41"/>
  <c r="AA609" i="41"/>
  <c r="Z614" i="41"/>
  <c r="Y619" i="41"/>
  <c r="W622" i="41"/>
  <c r="P625" i="41"/>
  <c r="V627" i="41"/>
  <c r="O630" i="41"/>
  <c r="R631" i="41"/>
  <c r="U632" i="41"/>
  <c r="X633" i="41"/>
  <c r="AA634" i="41"/>
  <c r="Q636" i="41"/>
  <c r="T637" i="41"/>
  <c r="W638" i="41"/>
  <c r="Z639" i="41"/>
  <c r="P641" i="41"/>
  <c r="S642" i="41"/>
  <c r="V643" i="41"/>
  <c r="Y644" i="41"/>
  <c r="O646" i="41"/>
  <c r="R647" i="41"/>
  <c r="U648" i="41"/>
  <c r="X649" i="41"/>
  <c r="AA650" i="41"/>
  <c r="Q652" i="41"/>
  <c r="U575" i="41"/>
  <c r="W493" i="41"/>
  <c r="Z494" i="41"/>
  <c r="P496" i="41"/>
  <c r="S497" i="41"/>
  <c r="V498" i="41"/>
  <c r="Y499" i="41"/>
  <c r="O501" i="41"/>
  <c r="R502" i="41"/>
  <c r="U503" i="41"/>
  <c r="X504" i="41"/>
  <c r="AA505" i="41"/>
  <c r="Q507" i="41"/>
  <c r="T508" i="41"/>
  <c r="W509" i="41"/>
  <c r="R510" i="41"/>
  <c r="V510" i="41"/>
  <c r="Z510" i="41"/>
  <c r="Q511" i="41"/>
  <c r="U511" i="41"/>
  <c r="Y511" i="41"/>
  <c r="P512" i="41"/>
  <c r="T512" i="41"/>
  <c r="X512" i="41"/>
  <c r="O513" i="41"/>
  <c r="S513" i="41"/>
  <c r="W513" i="41"/>
  <c r="AA513" i="41"/>
  <c r="R514" i="41"/>
  <c r="V514" i="41"/>
  <c r="Z514" i="41"/>
  <c r="Q515" i="41"/>
  <c r="U515" i="41"/>
  <c r="Y515" i="41"/>
  <c r="P516" i="41"/>
  <c r="T516" i="41"/>
  <c r="X516" i="41"/>
  <c r="O517" i="41"/>
  <c r="S517" i="41"/>
  <c r="W517" i="41"/>
  <c r="AA517" i="41"/>
  <c r="R518" i="41"/>
  <c r="V518" i="41"/>
  <c r="Z518" i="41"/>
  <c r="Q519" i="41"/>
  <c r="U519" i="41"/>
  <c r="Y519" i="41"/>
  <c r="P520" i="41"/>
  <c r="T520" i="41"/>
  <c r="X520" i="41"/>
  <c r="O521" i="41"/>
  <c r="S521" i="41"/>
  <c r="W521" i="41"/>
  <c r="AA521" i="41"/>
  <c r="R522" i="41"/>
  <c r="V522" i="41"/>
  <c r="Z522" i="41"/>
  <c r="Q523" i="41"/>
  <c r="U523" i="41"/>
  <c r="Y523" i="41"/>
  <c r="P524" i="41"/>
  <c r="T524" i="41"/>
  <c r="X524" i="41"/>
  <c r="O525" i="41"/>
  <c r="S525" i="41"/>
  <c r="W525" i="41"/>
  <c r="AA525" i="41"/>
  <c r="R526" i="41"/>
  <c r="V526" i="41"/>
  <c r="Z526" i="41"/>
  <c r="Q527" i="41"/>
  <c r="U527" i="41"/>
  <c r="Y527" i="41"/>
  <c r="P528" i="41"/>
  <c r="T528" i="41"/>
  <c r="X528" i="41"/>
  <c r="O529" i="41"/>
  <c r="S529" i="41"/>
  <c r="W529" i="41"/>
  <c r="AA529" i="41"/>
  <c r="R530" i="41"/>
  <c r="V530" i="41"/>
  <c r="Z530" i="41"/>
  <c r="Q531" i="41"/>
  <c r="U531" i="41"/>
  <c r="Y531" i="41"/>
  <c r="P532" i="41"/>
  <c r="T532" i="41"/>
  <c r="X532" i="41"/>
  <c r="O533" i="41"/>
  <c r="S533" i="41"/>
  <c r="W533" i="41"/>
  <c r="AA533" i="41"/>
  <c r="R534" i="41"/>
  <c r="V534" i="41"/>
  <c r="Z534" i="41"/>
  <c r="T585" i="41"/>
  <c r="W600" i="41"/>
  <c r="R606" i="41"/>
  <c r="Q611" i="41"/>
  <c r="P616" i="41"/>
  <c r="Y620" i="41"/>
  <c r="R623" i="41"/>
  <c r="X625" i="41"/>
  <c r="Q628" i="41"/>
  <c r="S630" i="41"/>
  <c r="V631" i="41"/>
  <c r="Y632" i="41"/>
  <c r="O634" i="41"/>
  <c r="R635" i="41"/>
  <c r="U636" i="41"/>
  <c r="X637" i="41"/>
  <c r="AA638" i="41"/>
  <c r="Q640" i="41"/>
  <c r="T641" i="41"/>
  <c r="W642" i="41"/>
  <c r="Z643" i="41"/>
  <c r="P645" i="41"/>
  <c r="S646" i="41"/>
  <c r="V647" i="41"/>
  <c r="Y648" i="41"/>
  <c r="O650" i="41"/>
  <c r="R651" i="41"/>
  <c r="U652" i="41"/>
  <c r="Y575" i="41"/>
  <c r="AA493" i="41"/>
  <c r="Q495" i="41"/>
  <c r="T496" i="41"/>
  <c r="W497" i="41"/>
  <c r="Z498" i="41"/>
  <c r="P500" i="41"/>
  <c r="S501" i="41"/>
  <c r="V502" i="41"/>
  <c r="Y503" i="41"/>
  <c r="O505" i="41"/>
  <c r="R506" i="41"/>
  <c r="U507" i="41"/>
  <c r="X508" i="41"/>
  <c r="AA509" i="41"/>
  <c r="S510" i="41"/>
  <c r="W510" i="41"/>
  <c r="AA510" i="41"/>
  <c r="R511" i="41"/>
  <c r="V511" i="41"/>
  <c r="Z511" i="41"/>
  <c r="Q512" i="41"/>
  <c r="U512" i="41"/>
  <c r="Y512" i="41"/>
  <c r="P513" i="41"/>
  <c r="T513" i="41"/>
  <c r="X513" i="41"/>
  <c r="O514" i="41"/>
  <c r="S514" i="41"/>
  <c r="W514" i="41"/>
  <c r="AA514" i="41"/>
  <c r="R515" i="41"/>
  <c r="V515" i="41"/>
  <c r="Z515" i="41"/>
  <c r="Q516" i="41"/>
  <c r="U516" i="41"/>
  <c r="Y516" i="41"/>
  <c r="P517" i="41"/>
  <c r="T517" i="41"/>
  <c r="X517" i="41"/>
  <c r="O518" i="41"/>
  <c r="S518" i="41"/>
  <c r="W518" i="41"/>
  <c r="AA518" i="41"/>
  <c r="R519" i="41"/>
  <c r="V519" i="41"/>
  <c r="Z519" i="41"/>
  <c r="Q520" i="41"/>
  <c r="U520" i="41"/>
  <c r="Y520" i="41"/>
  <c r="P521" i="41"/>
  <c r="T521" i="41"/>
  <c r="X521" i="41"/>
  <c r="O522" i="41"/>
  <c r="S522" i="41"/>
  <c r="W522" i="41"/>
  <c r="AA522" i="41"/>
  <c r="R523" i="41"/>
  <c r="V523" i="41"/>
  <c r="Z523" i="41"/>
  <c r="Q524" i="41"/>
  <c r="U524" i="41"/>
  <c r="Y524" i="41"/>
  <c r="P525" i="41"/>
  <c r="T525" i="41"/>
  <c r="X525" i="41"/>
  <c r="O526" i="41"/>
  <c r="S526" i="41"/>
  <c r="W526" i="41"/>
  <c r="AA526" i="41"/>
  <c r="R527" i="41"/>
  <c r="V527" i="41"/>
  <c r="Z527" i="41"/>
  <c r="Q528" i="41"/>
  <c r="U528" i="41"/>
  <c r="Y528" i="41"/>
  <c r="P529" i="41"/>
  <c r="T529" i="41"/>
  <c r="X529" i="41"/>
  <c r="O530" i="41"/>
  <c r="S530" i="41"/>
  <c r="W530" i="41"/>
  <c r="AA530" i="41"/>
  <c r="R531" i="41"/>
  <c r="V531" i="41"/>
  <c r="Z531" i="41"/>
  <c r="Q532" i="41"/>
  <c r="U532" i="41"/>
  <c r="Y532" i="41"/>
  <c r="P533" i="41"/>
  <c r="T533" i="41"/>
  <c r="X533" i="41"/>
  <c r="O534" i="41"/>
  <c r="S534" i="41"/>
  <c r="W534" i="41"/>
  <c r="AA534" i="41"/>
  <c r="R535" i="41"/>
  <c r="V535" i="41"/>
  <c r="Z535" i="41"/>
  <c r="Q536" i="41"/>
  <c r="S590" i="41"/>
  <c r="S602" i="41"/>
  <c r="U607" i="41"/>
  <c r="T612" i="41"/>
  <c r="S617" i="41"/>
  <c r="T621" i="41"/>
  <c r="Z623" i="41"/>
  <c r="S626" i="41"/>
  <c r="Y628" i="41"/>
  <c r="W630" i="41"/>
  <c r="Z631" i="41"/>
  <c r="P633" i="41"/>
  <c r="S634" i="41"/>
  <c r="V635" i="41"/>
  <c r="Y636" i="41"/>
  <c r="O638" i="41"/>
  <c r="R639" i="41"/>
  <c r="U640" i="41"/>
  <c r="X641" i="41"/>
  <c r="AA642" i="41"/>
  <c r="Q644" i="41"/>
  <c r="T645" i="41"/>
  <c r="W646" i="41"/>
  <c r="Z647" i="41"/>
  <c r="P649" i="41"/>
  <c r="S650" i="41"/>
  <c r="V651" i="41"/>
  <c r="Y652" i="41"/>
  <c r="O493" i="41"/>
  <c r="R494" i="41"/>
  <c r="U495" i="41"/>
  <c r="X496" i="41"/>
  <c r="AA497" i="41"/>
  <c r="Q499" i="41"/>
  <c r="T500" i="41"/>
  <c r="W501" i="41"/>
  <c r="Z502" i="41"/>
  <c r="P504" i="41"/>
  <c r="S505" i="41"/>
  <c r="V506" i="41"/>
  <c r="Y507" i="41"/>
  <c r="O509" i="41"/>
  <c r="P510" i="41"/>
  <c r="T510" i="41"/>
  <c r="X510" i="41"/>
  <c r="O511" i="41"/>
  <c r="S511" i="41"/>
  <c r="W511" i="41"/>
  <c r="AA511" i="41"/>
  <c r="R512" i="41"/>
  <c r="V512" i="41"/>
  <c r="Z512" i="41"/>
  <c r="Q513" i="41"/>
  <c r="U513" i="41"/>
  <c r="Y513" i="41"/>
  <c r="P514" i="41"/>
  <c r="T514" i="41"/>
  <c r="X514" i="41"/>
  <c r="O515" i="41"/>
  <c r="S515" i="41"/>
  <c r="W515" i="41"/>
  <c r="AA515" i="41"/>
  <c r="R516" i="41"/>
  <c r="V516" i="41"/>
  <c r="Z516" i="41"/>
  <c r="Q517" i="41"/>
  <c r="U517" i="41"/>
  <c r="Y517" i="41"/>
  <c r="P518" i="41"/>
  <c r="T518" i="41"/>
  <c r="X518" i="41"/>
  <c r="O519" i="41"/>
  <c r="S519" i="41"/>
  <c r="W519" i="41"/>
  <c r="AA519" i="41"/>
  <c r="R520" i="41"/>
  <c r="V520" i="41"/>
  <c r="Z520" i="41"/>
  <c r="Q521" i="41"/>
  <c r="U521" i="41"/>
  <c r="Y521" i="41"/>
  <c r="P522" i="41"/>
  <c r="T522" i="41"/>
  <c r="X522" i="41"/>
  <c r="O523" i="41"/>
  <c r="R524" i="41"/>
  <c r="U525" i="41"/>
  <c r="X526" i="41"/>
  <c r="AA527" i="41"/>
  <c r="Q529" i="41"/>
  <c r="T530" i="41"/>
  <c r="W531" i="41"/>
  <c r="Z532" i="41"/>
  <c r="V533" i="41"/>
  <c r="Q534" i="41"/>
  <c r="Y534" i="41"/>
  <c r="S535" i="41"/>
  <c r="X535" i="41"/>
  <c r="P536" i="41"/>
  <c r="U536" i="41"/>
  <c r="Y536" i="41"/>
  <c r="P537" i="41"/>
  <c r="T537" i="41"/>
  <c r="X537" i="41"/>
  <c r="O538" i="41"/>
  <c r="S538" i="41"/>
  <c r="W538" i="41"/>
  <c r="AA538" i="41"/>
  <c r="R539" i="41"/>
  <c r="V539" i="41"/>
  <c r="Z539" i="41"/>
  <c r="Q540" i="41"/>
  <c r="U540" i="41"/>
  <c r="Y540" i="41"/>
  <c r="P541" i="41"/>
  <c r="T541" i="41"/>
  <c r="X541" i="41"/>
  <c r="O542" i="41"/>
  <c r="S542" i="41"/>
  <c r="W542" i="41"/>
  <c r="AA542" i="41"/>
  <c r="R543" i="41"/>
  <c r="V543" i="41"/>
  <c r="Z543" i="41"/>
  <c r="Q544" i="41"/>
  <c r="U544" i="41"/>
  <c r="Y544" i="41"/>
  <c r="P545" i="41"/>
  <c r="T545" i="41"/>
  <c r="X545" i="41"/>
  <c r="O546" i="41"/>
  <c r="S546" i="41"/>
  <c r="W546" i="41"/>
  <c r="AA546" i="41"/>
  <c r="R547" i="41"/>
  <c r="V547" i="41"/>
  <c r="Z547" i="41"/>
  <c r="Q548" i="41"/>
  <c r="U548" i="41"/>
  <c r="Y548" i="41"/>
  <c r="P549" i="41"/>
  <c r="T549" i="41"/>
  <c r="X549" i="41"/>
  <c r="O550" i="41"/>
  <c r="S550" i="41"/>
  <c r="W550" i="41"/>
  <c r="AA550" i="41"/>
  <c r="R551" i="41"/>
  <c r="V551" i="41"/>
  <c r="Z551" i="41"/>
  <c r="Q552" i="41"/>
  <c r="U552" i="41"/>
  <c r="Y552" i="41"/>
  <c r="P553" i="41"/>
  <c r="T553" i="41"/>
  <c r="X553" i="41"/>
  <c r="O554" i="41"/>
  <c r="S554" i="41"/>
  <c r="W554" i="41"/>
  <c r="AA554" i="41"/>
  <c r="R555" i="41"/>
  <c r="V555" i="41"/>
  <c r="Z555" i="41"/>
  <c r="Q556" i="41"/>
  <c r="U556" i="41"/>
  <c r="Y556" i="41"/>
  <c r="P557" i="41"/>
  <c r="T557" i="41"/>
  <c r="X557" i="41"/>
  <c r="O558" i="41"/>
  <c r="S558" i="41"/>
  <c r="W558" i="41"/>
  <c r="AA558" i="41"/>
  <c r="R559" i="41"/>
  <c r="V559" i="41"/>
  <c r="Z559" i="41"/>
  <c r="Q560" i="41"/>
  <c r="U560" i="41"/>
  <c r="Y560" i="41"/>
  <c r="P561" i="41"/>
  <c r="T561" i="41"/>
  <c r="X561" i="41"/>
  <c r="O562" i="41"/>
  <c r="S562" i="41"/>
  <c r="W562" i="41"/>
  <c r="AA562" i="41"/>
  <c r="R563" i="41"/>
  <c r="V563" i="41"/>
  <c r="Z563" i="41"/>
  <c r="Q564" i="41"/>
  <c r="U564" i="41"/>
  <c r="Y564" i="41"/>
  <c r="P565" i="41"/>
  <c r="T565" i="41"/>
  <c r="X565" i="41"/>
  <c r="O566" i="41"/>
  <c r="S566" i="41"/>
  <c r="W566" i="41"/>
  <c r="AA566" i="41"/>
  <c r="R567" i="41"/>
  <c r="V567" i="41"/>
  <c r="Z567" i="41"/>
  <c r="Q568" i="41"/>
  <c r="U568" i="41"/>
  <c r="Y568" i="41"/>
  <c r="P569" i="41"/>
  <c r="T569" i="41"/>
  <c r="X569" i="41"/>
  <c r="P492" i="41"/>
  <c r="T492" i="41"/>
  <c r="X492" i="41"/>
  <c r="O492" i="41"/>
  <c r="T256" i="41"/>
  <c r="X256" i="41"/>
  <c r="Q257" i="41"/>
  <c r="U257" i="41"/>
  <c r="Y257" i="41"/>
  <c r="R258" i="41"/>
  <c r="V258" i="41"/>
  <c r="Z258" i="41"/>
  <c r="S259" i="41"/>
  <c r="W259" i="41"/>
  <c r="AA259" i="41"/>
  <c r="T260" i="41"/>
  <c r="X260" i="41"/>
  <c r="Q261" i="41"/>
  <c r="U261" i="41"/>
  <c r="Y261" i="41"/>
  <c r="R262" i="41"/>
  <c r="V262" i="41"/>
  <c r="Z262" i="41"/>
  <c r="S263" i="41"/>
  <c r="W263" i="41"/>
  <c r="AA263" i="41"/>
  <c r="T264" i="41"/>
  <c r="X264" i="41"/>
  <c r="Q265" i="41"/>
  <c r="U265" i="41"/>
  <c r="Y265" i="41"/>
  <c r="R266" i="41"/>
  <c r="V266" i="41"/>
  <c r="Z266" i="41"/>
  <c r="S267" i="41"/>
  <c r="S523" i="41"/>
  <c r="V524" i="41"/>
  <c r="Y525" i="41"/>
  <c r="O527" i="41"/>
  <c r="R528" i="41"/>
  <c r="U529" i="41"/>
  <c r="X530" i="41"/>
  <c r="AA531" i="41"/>
  <c r="Q533" i="41"/>
  <c r="Y533" i="41"/>
  <c r="T534" i="41"/>
  <c r="O535" i="41"/>
  <c r="T535" i="41"/>
  <c r="Y535" i="41"/>
  <c r="R536" i="41"/>
  <c r="V536" i="41"/>
  <c r="Z536" i="41"/>
  <c r="Q537" i="41"/>
  <c r="U537" i="41"/>
  <c r="Y537" i="41"/>
  <c r="P538" i="41"/>
  <c r="T538" i="41"/>
  <c r="X538" i="41"/>
  <c r="O539" i="41"/>
  <c r="S539" i="41"/>
  <c r="W539" i="41"/>
  <c r="AA539" i="41"/>
  <c r="R540" i="41"/>
  <c r="V540" i="41"/>
  <c r="Z540" i="41"/>
  <c r="Q541" i="41"/>
  <c r="U541" i="41"/>
  <c r="Y541" i="41"/>
  <c r="P542" i="41"/>
  <c r="T542" i="41"/>
  <c r="X542" i="41"/>
  <c r="O543" i="41"/>
  <c r="S543" i="41"/>
  <c r="W543" i="41"/>
  <c r="AA543" i="41"/>
  <c r="R544" i="41"/>
  <c r="V544" i="41"/>
  <c r="Z544" i="41"/>
  <c r="Q545" i="41"/>
  <c r="U545" i="41"/>
  <c r="Y545" i="41"/>
  <c r="P546" i="41"/>
  <c r="T546" i="41"/>
  <c r="X546" i="41"/>
  <c r="O547" i="41"/>
  <c r="S547" i="41"/>
  <c r="W547" i="41"/>
  <c r="AA547" i="41"/>
  <c r="R548" i="41"/>
  <c r="V548" i="41"/>
  <c r="Z548" i="41"/>
  <c r="Q549" i="41"/>
  <c r="U549" i="41"/>
  <c r="Y549" i="41"/>
  <c r="P550" i="41"/>
  <c r="T550" i="41"/>
  <c r="X550" i="41"/>
  <c r="O551" i="41"/>
  <c r="S551" i="41"/>
  <c r="W551" i="41"/>
  <c r="AA551" i="41"/>
  <c r="R552" i="41"/>
  <c r="V552" i="41"/>
  <c r="Z552" i="41"/>
  <c r="Q553" i="41"/>
  <c r="U553" i="41"/>
  <c r="Y553" i="41"/>
  <c r="P554" i="41"/>
  <c r="T554" i="41"/>
  <c r="X554" i="41"/>
  <c r="O555" i="41"/>
  <c r="S555" i="41"/>
  <c r="W555" i="41"/>
  <c r="AA555" i="41"/>
  <c r="R556" i="41"/>
  <c r="V556" i="41"/>
  <c r="Z556" i="41"/>
  <c r="Q557" i="41"/>
  <c r="U557" i="41"/>
  <c r="Y557" i="41"/>
  <c r="P558" i="41"/>
  <c r="T558" i="41"/>
  <c r="X558" i="41"/>
  <c r="O559" i="41"/>
  <c r="S559" i="41"/>
  <c r="W559" i="41"/>
  <c r="AA559" i="41"/>
  <c r="R560" i="41"/>
  <c r="V560" i="41"/>
  <c r="Z560" i="41"/>
  <c r="Q561" i="41"/>
  <c r="U561" i="41"/>
  <c r="Y561" i="41"/>
  <c r="P562" i="41"/>
  <c r="T562" i="41"/>
  <c r="X562" i="41"/>
  <c r="O563" i="41"/>
  <c r="S563" i="41"/>
  <c r="W563" i="41"/>
  <c r="AA563" i="41"/>
  <c r="R564" i="41"/>
  <c r="V564" i="41"/>
  <c r="Z564" i="41"/>
  <c r="Q565" i="41"/>
  <c r="U565" i="41"/>
  <c r="Y565" i="41"/>
  <c r="P566" i="41"/>
  <c r="T566" i="41"/>
  <c r="X566" i="41"/>
  <c r="O567" i="41"/>
  <c r="S567" i="41"/>
  <c r="W567" i="41"/>
  <c r="AA567" i="41"/>
  <c r="R568" i="41"/>
  <c r="V568" i="41"/>
  <c r="Z568" i="41"/>
  <c r="Q569" i="41"/>
  <c r="U569" i="41"/>
  <c r="Y569" i="41"/>
  <c r="Q492" i="41"/>
  <c r="U492" i="41"/>
  <c r="Y492" i="41"/>
  <c r="Q256" i="41"/>
  <c r="U256" i="41"/>
  <c r="Y256" i="41"/>
  <c r="R257" i="41"/>
  <c r="V257" i="41"/>
  <c r="Z257" i="41"/>
  <c r="S258" i="41"/>
  <c r="W258" i="41"/>
  <c r="AA258" i="41"/>
  <c r="T259" i="41"/>
  <c r="X259" i="41"/>
  <c r="Q260" i="41"/>
  <c r="U260" i="41"/>
  <c r="Y260" i="41"/>
  <c r="R261" i="41"/>
  <c r="V261" i="41"/>
  <c r="Z261" i="41"/>
  <c r="S262" i="41"/>
  <c r="W262" i="41"/>
  <c r="AA262" i="41"/>
  <c r="T263" i="41"/>
  <c r="X263" i="41"/>
  <c r="Q264" i="41"/>
  <c r="U264" i="41"/>
  <c r="Y264" i="41"/>
  <c r="R265" i="41"/>
  <c r="V265" i="41"/>
  <c r="Z265" i="41"/>
  <c r="S266" i="41"/>
  <c r="W266" i="41"/>
  <c r="AA266" i="41"/>
  <c r="T267" i="41"/>
  <c r="W523" i="41"/>
  <c r="Z524" i="41"/>
  <c r="P526" i="41"/>
  <c r="S527" i="41"/>
  <c r="V528" i="41"/>
  <c r="Y529" i="41"/>
  <c r="O531" i="41"/>
  <c r="R532" i="41"/>
  <c r="R533" i="41"/>
  <c r="Z533" i="41"/>
  <c r="U534" i="41"/>
  <c r="P535" i="41"/>
  <c r="U535" i="41"/>
  <c r="AA535" i="41"/>
  <c r="S536" i="41"/>
  <c r="W536" i="41"/>
  <c r="AA536" i="41"/>
  <c r="R537" i="41"/>
  <c r="V537" i="41"/>
  <c r="Z537" i="41"/>
  <c r="Q538" i="41"/>
  <c r="U538" i="41"/>
  <c r="Y538" i="41"/>
  <c r="P539" i="41"/>
  <c r="T539" i="41"/>
  <c r="X539" i="41"/>
  <c r="O540" i="41"/>
  <c r="S540" i="41"/>
  <c r="W540" i="41"/>
  <c r="AA540" i="41"/>
  <c r="R541" i="41"/>
  <c r="V541" i="41"/>
  <c r="Z541" i="41"/>
  <c r="Q542" i="41"/>
  <c r="U542" i="41"/>
  <c r="Y542" i="41"/>
  <c r="P543" i="41"/>
  <c r="T543" i="41"/>
  <c r="X543" i="41"/>
  <c r="O544" i="41"/>
  <c r="S544" i="41"/>
  <c r="W544" i="41"/>
  <c r="AA544" i="41"/>
  <c r="R545" i="41"/>
  <c r="V545" i="41"/>
  <c r="Z545" i="41"/>
  <c r="Q546" i="41"/>
  <c r="U546" i="41"/>
  <c r="Y546" i="41"/>
  <c r="P547" i="41"/>
  <c r="T547" i="41"/>
  <c r="X547" i="41"/>
  <c r="O548" i="41"/>
  <c r="S548" i="41"/>
  <c r="W548" i="41"/>
  <c r="AA548" i="41"/>
  <c r="R549" i="41"/>
  <c r="V549" i="41"/>
  <c r="Z549" i="41"/>
  <c r="Q550" i="41"/>
  <c r="U550" i="41"/>
  <c r="Y550" i="41"/>
  <c r="P551" i="41"/>
  <c r="T551" i="41"/>
  <c r="X551" i="41"/>
  <c r="O552" i="41"/>
  <c r="S552" i="41"/>
  <c r="W552" i="41"/>
  <c r="AA552" i="41"/>
  <c r="R553" i="41"/>
  <c r="V553" i="41"/>
  <c r="Z553" i="41"/>
  <c r="Q554" i="41"/>
  <c r="U554" i="41"/>
  <c r="Y554" i="41"/>
  <c r="P555" i="41"/>
  <c r="T555" i="41"/>
  <c r="X555" i="41"/>
  <c r="O556" i="41"/>
  <c r="S556" i="41"/>
  <c r="W556" i="41"/>
  <c r="AA556" i="41"/>
  <c r="R557" i="41"/>
  <c r="V557" i="41"/>
  <c r="Z557" i="41"/>
  <c r="Q558" i="41"/>
  <c r="U558" i="41"/>
  <c r="Y558" i="41"/>
  <c r="P559" i="41"/>
  <c r="T559" i="41"/>
  <c r="X559" i="41"/>
  <c r="O560" i="41"/>
  <c r="S560" i="41"/>
  <c r="W560" i="41"/>
  <c r="AA560" i="41"/>
  <c r="R561" i="41"/>
  <c r="V561" i="41"/>
  <c r="Z561" i="41"/>
  <c r="Q562" i="41"/>
  <c r="U562" i="41"/>
  <c r="Y562" i="41"/>
  <c r="P563" i="41"/>
  <c r="T563" i="41"/>
  <c r="X563" i="41"/>
  <c r="O564" i="41"/>
  <c r="S564" i="41"/>
  <c r="W564" i="41"/>
  <c r="AA564" i="41"/>
  <c r="R565" i="41"/>
  <c r="V565" i="41"/>
  <c r="Z565" i="41"/>
  <c r="Q566" i="41"/>
  <c r="U566" i="41"/>
  <c r="Y566" i="41"/>
  <c r="P567" i="41"/>
  <c r="T567" i="41"/>
  <c r="X567" i="41"/>
  <c r="O568" i="41"/>
  <c r="S568" i="41"/>
  <c r="W568" i="41"/>
  <c r="AA568" i="41"/>
  <c r="R569" i="41"/>
  <c r="V569" i="41"/>
  <c r="Z569" i="41"/>
  <c r="R492" i="41"/>
  <c r="V492" i="41"/>
  <c r="Z492" i="41"/>
  <c r="R256" i="41"/>
  <c r="V256" i="41"/>
  <c r="Z256" i="41"/>
  <c r="S257" i="41"/>
  <c r="W257" i="41"/>
  <c r="AA257" i="41"/>
  <c r="T258" i="41"/>
  <c r="X258" i="41"/>
  <c r="Q259" i="41"/>
  <c r="U259" i="41"/>
  <c r="Y259" i="41"/>
  <c r="R260" i="41"/>
  <c r="V260" i="41"/>
  <c r="Z260" i="41"/>
  <c r="S261" i="41"/>
  <c r="W261" i="41"/>
  <c r="AA261" i="41"/>
  <c r="T262" i="41"/>
  <c r="X262" i="41"/>
  <c r="Q263" i="41"/>
  <c r="U263" i="41"/>
  <c r="Y263" i="41"/>
  <c r="R264" i="41"/>
  <c r="V264" i="41"/>
  <c r="Z264" i="41"/>
  <c r="S265" i="41"/>
  <c r="W265" i="41"/>
  <c r="AA265" i="41"/>
  <c r="T266" i="41"/>
  <c r="X266" i="41"/>
  <c r="Q267" i="41"/>
  <c r="U267" i="41"/>
  <c r="Y267" i="41"/>
  <c r="AA523" i="41"/>
  <c r="Q525" i="41"/>
  <c r="T526" i="41"/>
  <c r="W527" i="41"/>
  <c r="Z528" i="41"/>
  <c r="P530" i="41"/>
  <c r="S531" i="41"/>
  <c r="V532" i="41"/>
  <c r="U533" i="41"/>
  <c r="P534" i="41"/>
  <c r="X534" i="41"/>
  <c r="Q535" i="41"/>
  <c r="W535" i="41"/>
  <c r="O536" i="41"/>
  <c r="T536" i="41"/>
  <c r="X536" i="41"/>
  <c r="O537" i="41"/>
  <c r="S537" i="41"/>
  <c r="W537" i="41"/>
  <c r="AA537" i="41"/>
  <c r="R538" i="41"/>
  <c r="V538" i="41"/>
  <c r="Z538" i="41"/>
  <c r="Q539" i="41"/>
  <c r="U539" i="41"/>
  <c r="Y539" i="41"/>
  <c r="P540" i="41"/>
  <c r="T540" i="41"/>
  <c r="X540" i="41"/>
  <c r="O541" i="41"/>
  <c r="S541" i="41"/>
  <c r="W541" i="41"/>
  <c r="AA541" i="41"/>
  <c r="R542" i="41"/>
  <c r="V542" i="41"/>
  <c r="Z542" i="41"/>
  <c r="Q543" i="41"/>
  <c r="U543" i="41"/>
  <c r="Y543" i="41"/>
  <c r="P544" i="41"/>
  <c r="T544" i="41"/>
  <c r="X544" i="41"/>
  <c r="O545" i="41"/>
  <c r="S545" i="41"/>
  <c r="W545" i="41"/>
  <c r="AA545" i="41"/>
  <c r="R546" i="41"/>
  <c r="V546" i="41"/>
  <c r="Z546" i="41"/>
  <c r="Q547" i="41"/>
  <c r="U547" i="41"/>
  <c r="Y547" i="41"/>
  <c r="P548" i="41"/>
  <c r="T548" i="41"/>
  <c r="X548" i="41"/>
  <c r="O549" i="41"/>
  <c r="S549" i="41"/>
  <c r="W549" i="41"/>
  <c r="AA549" i="41"/>
  <c r="R550" i="41"/>
  <c r="V550" i="41"/>
  <c r="Z550" i="41"/>
  <c r="Q551" i="41"/>
  <c r="U551" i="41"/>
  <c r="Y551" i="41"/>
  <c r="P552" i="41"/>
  <c r="T552" i="41"/>
  <c r="X552" i="41"/>
  <c r="O553" i="41"/>
  <c r="S553" i="41"/>
  <c r="W553" i="41"/>
  <c r="AA553" i="41"/>
  <c r="R554" i="41"/>
  <c r="V554" i="41"/>
  <c r="Z554" i="41"/>
  <c r="Q555" i="41"/>
  <c r="U555" i="41"/>
  <c r="Y555" i="41"/>
  <c r="P556" i="41"/>
  <c r="T556" i="41"/>
  <c r="X556" i="41"/>
  <c r="O557" i="41"/>
  <c r="S557" i="41"/>
  <c r="W557" i="41"/>
  <c r="AA557" i="41"/>
  <c r="R558" i="41"/>
  <c r="V558" i="41"/>
  <c r="Z558" i="41"/>
  <c r="Q559" i="41"/>
  <c r="U559" i="41"/>
  <c r="Y559" i="41"/>
  <c r="P560" i="41"/>
  <c r="T560" i="41"/>
  <c r="X560" i="41"/>
  <c r="O561" i="41"/>
  <c r="S561" i="41"/>
  <c r="W561" i="41"/>
  <c r="AA561" i="41"/>
  <c r="R562" i="41"/>
  <c r="V562" i="41"/>
  <c r="Z562" i="41"/>
  <c r="Q563" i="41"/>
  <c r="U563" i="41"/>
  <c r="Y563" i="41"/>
  <c r="P564" i="41"/>
  <c r="T564" i="41"/>
  <c r="X564" i="41"/>
  <c r="O565" i="41"/>
  <c r="S565" i="41"/>
  <c r="W565" i="41"/>
  <c r="AA565" i="41"/>
  <c r="R566" i="41"/>
  <c r="V566" i="41"/>
  <c r="Z566" i="41"/>
  <c r="Q567" i="41"/>
  <c r="U567" i="41"/>
  <c r="Y567" i="41"/>
  <c r="P568" i="41"/>
  <c r="T568" i="41"/>
  <c r="X568" i="41"/>
  <c r="O569" i="41"/>
  <c r="S569" i="41"/>
  <c r="W569" i="41"/>
  <c r="AA569" i="41"/>
  <c r="S492" i="41"/>
  <c r="W492" i="41"/>
  <c r="AA492" i="41"/>
  <c r="S256" i="41"/>
  <c r="W256" i="41"/>
  <c r="AA256" i="41"/>
  <c r="T257" i="41"/>
  <c r="X257" i="41"/>
  <c r="Q258" i="41"/>
  <c r="U258" i="41"/>
  <c r="Y258" i="41"/>
  <c r="R259" i="41"/>
  <c r="V259" i="41"/>
  <c r="Z259" i="41"/>
  <c r="S260" i="41"/>
  <c r="W260" i="41"/>
  <c r="AA260" i="41"/>
  <c r="T261" i="41"/>
  <c r="X261" i="41"/>
  <c r="Q262" i="41"/>
  <c r="U262" i="41"/>
  <c r="Y262" i="41"/>
  <c r="R263" i="41"/>
  <c r="V263" i="41"/>
  <c r="Z263" i="41"/>
  <c r="S264" i="41"/>
  <c r="W264" i="41"/>
  <c r="AA264" i="41"/>
  <c r="T265" i="41"/>
  <c r="X265" i="41"/>
  <c r="Q266" i="41"/>
  <c r="U266" i="41"/>
  <c r="Y266" i="41"/>
  <c r="R267" i="41"/>
  <c r="V267" i="41"/>
  <c r="Z267" i="41"/>
  <c r="S268" i="41"/>
  <c r="W268" i="41"/>
  <c r="AA268" i="41"/>
  <c r="T269" i="41"/>
  <c r="X269" i="41"/>
  <c r="Q270" i="41"/>
  <c r="U270" i="41"/>
  <c r="Y270" i="41"/>
  <c r="R271" i="41"/>
  <c r="V271" i="41"/>
  <c r="Q268" i="41"/>
  <c r="V268" i="41"/>
  <c r="Q269" i="41"/>
  <c r="V269" i="41"/>
  <c r="AA269" i="41"/>
  <c r="V270" i="41"/>
  <c r="AA270" i="41"/>
  <c r="U271" i="41"/>
  <c r="Z271" i="41"/>
  <c r="S272" i="41"/>
  <c r="W272" i="41"/>
  <c r="AA272" i="41"/>
  <c r="T273" i="41"/>
  <c r="X273" i="41"/>
  <c r="Q274" i="41"/>
  <c r="U274" i="41"/>
  <c r="Y274" i="41"/>
  <c r="R275" i="41"/>
  <c r="V275" i="41"/>
  <c r="Z275" i="41"/>
  <c r="S276" i="41"/>
  <c r="W276" i="41"/>
  <c r="AA276" i="41"/>
  <c r="T278" i="41"/>
  <c r="X278" i="41"/>
  <c r="Q279" i="41"/>
  <c r="U279" i="41"/>
  <c r="Y279" i="41"/>
  <c r="R280" i="41"/>
  <c r="V280" i="41"/>
  <c r="Z280" i="41"/>
  <c r="S281" i="41"/>
  <c r="W281" i="41"/>
  <c r="AA281" i="41"/>
  <c r="T282" i="41"/>
  <c r="X282" i="41"/>
  <c r="Q283" i="41"/>
  <c r="U283" i="41"/>
  <c r="Y283" i="41"/>
  <c r="R284" i="41"/>
  <c r="V284" i="41"/>
  <c r="Z284" i="41"/>
  <c r="S285" i="41"/>
  <c r="W285" i="41"/>
  <c r="AA285" i="41"/>
  <c r="T286" i="41"/>
  <c r="X286" i="41"/>
  <c r="Q287" i="41"/>
  <c r="U287" i="41"/>
  <c r="Y287" i="41"/>
  <c r="R288" i="41"/>
  <c r="V288" i="41"/>
  <c r="Z288" i="41"/>
  <c r="S289" i="41"/>
  <c r="W289" i="41"/>
  <c r="AA289" i="41"/>
  <c r="T290" i="41"/>
  <c r="X290" i="41"/>
  <c r="Q291" i="41"/>
  <c r="U291" i="41"/>
  <c r="Y291" i="41"/>
  <c r="R292" i="41"/>
  <c r="V292" i="41"/>
  <c r="Z292" i="41"/>
  <c r="S293" i="41"/>
  <c r="W293" i="41"/>
  <c r="AA293" i="41"/>
  <c r="T294" i="41"/>
  <c r="X294" i="41"/>
  <c r="Q295" i="41"/>
  <c r="U295" i="41"/>
  <c r="Y295" i="41"/>
  <c r="R296" i="41"/>
  <c r="V296" i="41"/>
  <c r="Z296" i="41"/>
  <c r="S297" i="41"/>
  <c r="W297" i="41"/>
  <c r="AA297" i="41"/>
  <c r="T298" i="41"/>
  <c r="X298" i="41"/>
  <c r="Q299" i="41"/>
  <c r="U299" i="41"/>
  <c r="Y299" i="41"/>
  <c r="R300" i="41"/>
  <c r="V300" i="41"/>
  <c r="Z300" i="41"/>
  <c r="S301" i="41"/>
  <c r="W301" i="41"/>
  <c r="AA301" i="41"/>
  <c r="T302" i="41"/>
  <c r="X302" i="41"/>
  <c r="Q303" i="41"/>
  <c r="U303" i="41"/>
  <c r="Y303" i="41"/>
  <c r="R304" i="41"/>
  <c r="V304" i="41"/>
  <c r="Z304" i="41"/>
  <c r="S305" i="41"/>
  <c r="W305" i="41"/>
  <c r="AA305" i="41"/>
  <c r="T306" i="41"/>
  <c r="X306" i="41"/>
  <c r="Q307" i="41"/>
  <c r="U307" i="41"/>
  <c r="Y307" i="41"/>
  <c r="R308" i="41"/>
  <c r="V308" i="41"/>
  <c r="Z308" i="41"/>
  <c r="S309" i="41"/>
  <c r="W309" i="41"/>
  <c r="AA309" i="41"/>
  <c r="T310" i="41"/>
  <c r="X310" i="41"/>
  <c r="Q311" i="41"/>
  <c r="U311" i="41"/>
  <c r="Y311" i="41"/>
  <c r="R312" i="41"/>
  <c r="V312" i="41"/>
  <c r="Z312" i="41"/>
  <c r="S313" i="41"/>
  <c r="W313" i="41"/>
  <c r="AA313" i="41"/>
  <c r="T314" i="41"/>
  <c r="X314" i="41"/>
  <c r="Q315" i="41"/>
  <c r="U315" i="41"/>
  <c r="Y315" i="41"/>
  <c r="R316" i="41"/>
  <c r="V316" i="41"/>
  <c r="Z316" i="41"/>
  <c r="S317" i="41"/>
  <c r="W317" i="41"/>
  <c r="AA317" i="41"/>
  <c r="T318" i="41"/>
  <c r="X318" i="41"/>
  <c r="Q319" i="41"/>
  <c r="U319" i="41"/>
  <c r="Y319" i="41"/>
  <c r="R320" i="41"/>
  <c r="V320" i="41"/>
  <c r="Z320" i="41"/>
  <c r="S321" i="41"/>
  <c r="W321" i="41"/>
  <c r="AA321" i="41"/>
  <c r="T322" i="41"/>
  <c r="X322" i="41"/>
  <c r="Q323" i="41"/>
  <c r="U323" i="41"/>
  <c r="Y323" i="41"/>
  <c r="R324" i="41"/>
  <c r="V324" i="41"/>
  <c r="Z324" i="41"/>
  <c r="S325" i="41"/>
  <c r="W325" i="41"/>
  <c r="AA325" i="41"/>
  <c r="T326" i="41"/>
  <c r="X326" i="41"/>
  <c r="Q327" i="41"/>
  <c r="U327" i="41"/>
  <c r="Y327" i="41"/>
  <c r="R328" i="41"/>
  <c r="V328" i="41"/>
  <c r="Z328" i="41"/>
  <c r="S329" i="41"/>
  <c r="W329" i="41"/>
  <c r="AA329" i="41"/>
  <c r="T330" i="41"/>
  <c r="W267" i="41"/>
  <c r="R268" i="41"/>
  <c r="X268" i="41"/>
  <c r="R269" i="41"/>
  <c r="W269" i="41"/>
  <c r="R270" i="41"/>
  <c r="W270" i="41"/>
  <c r="Q271" i="41"/>
  <c r="W271" i="41"/>
  <c r="AA271" i="41"/>
  <c r="T272" i="41"/>
  <c r="X272" i="41"/>
  <c r="Q273" i="41"/>
  <c r="U273" i="41"/>
  <c r="Y273" i="41"/>
  <c r="R274" i="41"/>
  <c r="V274" i="41"/>
  <c r="Z274" i="41"/>
  <c r="S275" i="41"/>
  <c r="W275" i="41"/>
  <c r="AA275" i="41"/>
  <c r="T276" i="41"/>
  <c r="X276" i="41"/>
  <c r="Q278" i="41"/>
  <c r="U278" i="41"/>
  <c r="Y278" i="41"/>
  <c r="R279" i="41"/>
  <c r="V279" i="41"/>
  <c r="Z279" i="41"/>
  <c r="S280" i="41"/>
  <c r="W280" i="41"/>
  <c r="AA280" i="41"/>
  <c r="T281" i="41"/>
  <c r="X281" i="41"/>
  <c r="Q282" i="41"/>
  <c r="U282" i="41"/>
  <c r="Y282" i="41"/>
  <c r="R283" i="41"/>
  <c r="V283" i="41"/>
  <c r="Z283" i="41"/>
  <c r="S284" i="41"/>
  <c r="W284" i="41"/>
  <c r="AA284" i="41"/>
  <c r="T285" i="41"/>
  <c r="X285" i="41"/>
  <c r="Q286" i="41"/>
  <c r="U286" i="41"/>
  <c r="Y286" i="41"/>
  <c r="R287" i="41"/>
  <c r="V287" i="41"/>
  <c r="Z287" i="41"/>
  <c r="S288" i="41"/>
  <c r="W288" i="41"/>
  <c r="AA288" i="41"/>
  <c r="T289" i="41"/>
  <c r="X289" i="41"/>
  <c r="Q290" i="41"/>
  <c r="U290" i="41"/>
  <c r="Y290" i="41"/>
  <c r="R291" i="41"/>
  <c r="V291" i="41"/>
  <c r="Z291" i="41"/>
  <c r="S292" i="41"/>
  <c r="W292" i="41"/>
  <c r="AA292" i="41"/>
  <c r="T293" i="41"/>
  <c r="X293" i="41"/>
  <c r="Q294" i="41"/>
  <c r="U294" i="41"/>
  <c r="Y294" i="41"/>
  <c r="R295" i="41"/>
  <c r="V295" i="41"/>
  <c r="Z295" i="41"/>
  <c r="S296" i="41"/>
  <c r="W296" i="41"/>
  <c r="AA296" i="41"/>
  <c r="T297" i="41"/>
  <c r="X297" i="41"/>
  <c r="Q298" i="41"/>
  <c r="U298" i="41"/>
  <c r="Y298" i="41"/>
  <c r="R299" i="41"/>
  <c r="V299" i="41"/>
  <c r="Z299" i="41"/>
  <c r="S300" i="41"/>
  <c r="W300" i="41"/>
  <c r="AA300" i="41"/>
  <c r="T301" i="41"/>
  <c r="X301" i="41"/>
  <c r="Q302" i="41"/>
  <c r="U302" i="41"/>
  <c r="Y302" i="41"/>
  <c r="R303" i="41"/>
  <c r="V303" i="41"/>
  <c r="Z303" i="41"/>
  <c r="S304" i="41"/>
  <c r="W304" i="41"/>
  <c r="AA304" i="41"/>
  <c r="T305" i="41"/>
  <c r="X305" i="41"/>
  <c r="Q306" i="41"/>
  <c r="U306" i="41"/>
  <c r="Y306" i="41"/>
  <c r="R307" i="41"/>
  <c r="V307" i="41"/>
  <c r="Z307" i="41"/>
  <c r="S308" i="41"/>
  <c r="W308" i="41"/>
  <c r="AA308" i="41"/>
  <c r="T309" i="41"/>
  <c r="X309" i="41"/>
  <c r="Q310" i="41"/>
  <c r="U310" i="41"/>
  <c r="Y310" i="41"/>
  <c r="R311" i="41"/>
  <c r="V311" i="41"/>
  <c r="Z311" i="41"/>
  <c r="S312" i="41"/>
  <c r="W312" i="41"/>
  <c r="AA312" i="41"/>
  <c r="T313" i="41"/>
  <c r="X313" i="41"/>
  <c r="Q314" i="41"/>
  <c r="U314" i="41"/>
  <c r="Y314" i="41"/>
  <c r="R315" i="41"/>
  <c r="V315" i="41"/>
  <c r="Z315" i="41"/>
  <c r="S316" i="41"/>
  <c r="W316" i="41"/>
  <c r="AA316" i="41"/>
  <c r="T317" i="41"/>
  <c r="X317" i="41"/>
  <c r="Q318" i="41"/>
  <c r="U318" i="41"/>
  <c r="Y318" i="41"/>
  <c r="R319" i="41"/>
  <c r="V319" i="41"/>
  <c r="Z319" i="41"/>
  <c r="S320" i="41"/>
  <c r="W320" i="41"/>
  <c r="AA320" i="41"/>
  <c r="T321" i="41"/>
  <c r="X321" i="41"/>
  <c r="Q322" i="41"/>
  <c r="U322" i="41"/>
  <c r="Y322" i="41"/>
  <c r="R323" i="41"/>
  <c r="V323" i="41"/>
  <c r="Z323" i="41"/>
  <c r="S324" i="41"/>
  <c r="W324" i="41"/>
  <c r="AA324" i="41"/>
  <c r="T325" i="41"/>
  <c r="X325" i="41"/>
  <c r="Q326" i="41"/>
  <c r="U326" i="41"/>
  <c r="Y326" i="41"/>
  <c r="R327" i="41"/>
  <c r="V327" i="41"/>
  <c r="Z327" i="41"/>
  <c r="S328" i="41"/>
  <c r="W328" i="41"/>
  <c r="AA328" i="41"/>
  <c r="T329" i="41"/>
  <c r="X329" i="41"/>
  <c r="Q330" i="41"/>
  <c r="U330" i="41"/>
  <c r="Y330" i="41"/>
  <c r="R331" i="41"/>
  <c r="V331" i="41"/>
  <c r="X267" i="41"/>
  <c r="T268" i="41"/>
  <c r="Y268" i="41"/>
  <c r="S269" i="41"/>
  <c r="Y269" i="41"/>
  <c r="S270" i="41"/>
  <c r="X270" i="41"/>
  <c r="S271" i="41"/>
  <c r="X271" i="41"/>
  <c r="Q272" i="41"/>
  <c r="U272" i="41"/>
  <c r="Y272" i="41"/>
  <c r="R273" i="41"/>
  <c r="V273" i="41"/>
  <c r="Z273" i="41"/>
  <c r="S274" i="41"/>
  <c r="W274" i="41"/>
  <c r="AA274" i="41"/>
  <c r="T275" i="41"/>
  <c r="X275" i="41"/>
  <c r="Q276" i="41"/>
  <c r="U276" i="41"/>
  <c r="Y276" i="41"/>
  <c r="R278" i="41"/>
  <c r="V278" i="41"/>
  <c r="Z278" i="41"/>
  <c r="S279" i="41"/>
  <c r="W279" i="41"/>
  <c r="AA279" i="41"/>
  <c r="T280" i="41"/>
  <c r="X280" i="41"/>
  <c r="Q281" i="41"/>
  <c r="U281" i="41"/>
  <c r="Y281" i="41"/>
  <c r="R282" i="41"/>
  <c r="V282" i="41"/>
  <c r="Z282" i="41"/>
  <c r="S283" i="41"/>
  <c r="W283" i="41"/>
  <c r="AA283" i="41"/>
  <c r="T284" i="41"/>
  <c r="X284" i="41"/>
  <c r="Q285" i="41"/>
  <c r="U285" i="41"/>
  <c r="Y285" i="41"/>
  <c r="R286" i="41"/>
  <c r="V286" i="41"/>
  <c r="Z286" i="41"/>
  <c r="S287" i="41"/>
  <c r="W287" i="41"/>
  <c r="AA287" i="41"/>
  <c r="T288" i="41"/>
  <c r="X288" i="41"/>
  <c r="Q289" i="41"/>
  <c r="U289" i="41"/>
  <c r="Y289" i="41"/>
  <c r="R290" i="41"/>
  <c r="V290" i="41"/>
  <c r="Z290" i="41"/>
  <c r="S291" i="41"/>
  <c r="W291" i="41"/>
  <c r="AA291" i="41"/>
  <c r="T292" i="41"/>
  <c r="X292" i="41"/>
  <c r="Q293" i="41"/>
  <c r="U293" i="41"/>
  <c r="Y293" i="41"/>
  <c r="R294" i="41"/>
  <c r="V294" i="41"/>
  <c r="Z294" i="41"/>
  <c r="S295" i="41"/>
  <c r="W295" i="41"/>
  <c r="AA295" i="41"/>
  <c r="T296" i="41"/>
  <c r="X296" i="41"/>
  <c r="Q297" i="41"/>
  <c r="U297" i="41"/>
  <c r="Y297" i="41"/>
  <c r="R298" i="41"/>
  <c r="V298" i="41"/>
  <c r="Z298" i="41"/>
  <c r="S299" i="41"/>
  <c r="W299" i="41"/>
  <c r="AA299" i="41"/>
  <c r="T300" i="41"/>
  <c r="X300" i="41"/>
  <c r="Q301" i="41"/>
  <c r="U301" i="41"/>
  <c r="Y301" i="41"/>
  <c r="R302" i="41"/>
  <c r="V302" i="41"/>
  <c r="Z302" i="41"/>
  <c r="S303" i="41"/>
  <c r="W303" i="41"/>
  <c r="AA303" i="41"/>
  <c r="T304" i="41"/>
  <c r="X304" i="41"/>
  <c r="Q305" i="41"/>
  <c r="U305" i="41"/>
  <c r="Y305" i="41"/>
  <c r="R306" i="41"/>
  <c r="V306" i="41"/>
  <c r="Z306" i="41"/>
  <c r="S307" i="41"/>
  <c r="W307" i="41"/>
  <c r="AA307" i="41"/>
  <c r="T308" i="41"/>
  <c r="X308" i="41"/>
  <c r="Q309" i="41"/>
  <c r="U309" i="41"/>
  <c r="Y309" i="41"/>
  <c r="R310" i="41"/>
  <c r="V310" i="41"/>
  <c r="Z310" i="41"/>
  <c r="S311" i="41"/>
  <c r="W311" i="41"/>
  <c r="AA311" i="41"/>
  <c r="T312" i="41"/>
  <c r="X312" i="41"/>
  <c r="Q313" i="41"/>
  <c r="U313" i="41"/>
  <c r="Y313" i="41"/>
  <c r="R314" i="41"/>
  <c r="V314" i="41"/>
  <c r="Z314" i="41"/>
  <c r="S315" i="41"/>
  <c r="W315" i="41"/>
  <c r="AA315" i="41"/>
  <c r="T316" i="41"/>
  <c r="X316" i="41"/>
  <c r="Q317" i="41"/>
  <c r="U317" i="41"/>
  <c r="Y317" i="41"/>
  <c r="R318" i="41"/>
  <c r="V318" i="41"/>
  <c r="Z318" i="41"/>
  <c r="S319" i="41"/>
  <c r="W319" i="41"/>
  <c r="AA319" i="41"/>
  <c r="T320" i="41"/>
  <c r="X320" i="41"/>
  <c r="Q321" i="41"/>
  <c r="U321" i="41"/>
  <c r="Y321" i="41"/>
  <c r="R322" i="41"/>
  <c r="V322" i="41"/>
  <c r="Z322" i="41"/>
  <c r="S323" i="41"/>
  <c r="W323" i="41"/>
  <c r="AA323" i="41"/>
  <c r="T324" i="41"/>
  <c r="X324" i="41"/>
  <c r="Q325" i="41"/>
  <c r="U325" i="41"/>
  <c r="Y325" i="41"/>
  <c r="R326" i="41"/>
  <c r="V326" i="41"/>
  <c r="Z326" i="41"/>
  <c r="S327" i="41"/>
  <c r="W327" i="41"/>
  <c r="AA327" i="41"/>
  <c r="T328" i="41"/>
  <c r="X328" i="41"/>
  <c r="Q329" i="41"/>
  <c r="U329" i="41"/>
  <c r="Y329" i="41"/>
  <c r="R330" i="41"/>
  <c r="V330" i="41"/>
  <c r="Z330" i="41"/>
  <c r="S331" i="41"/>
  <c r="AA267" i="41"/>
  <c r="U268" i="41"/>
  <c r="Z268" i="41"/>
  <c r="U269" i="41"/>
  <c r="Z269" i="41"/>
  <c r="T270" i="41"/>
  <c r="Z270" i="41"/>
  <c r="T271" i="41"/>
  <c r="Y271" i="41"/>
  <c r="R272" i="41"/>
  <c r="V272" i="41"/>
  <c r="Z272" i="41"/>
  <c r="S273" i="41"/>
  <c r="W273" i="41"/>
  <c r="AA273" i="41"/>
  <c r="T274" i="41"/>
  <c r="X274" i="41"/>
  <c r="Q275" i="41"/>
  <c r="U275" i="41"/>
  <c r="Y275" i="41"/>
  <c r="R276" i="41"/>
  <c r="V276" i="41"/>
  <c r="Z276" i="41"/>
  <c r="S278" i="41"/>
  <c r="W278" i="41"/>
  <c r="AA278" i="41"/>
  <c r="T279" i="41"/>
  <c r="X279" i="41"/>
  <c r="Q280" i="41"/>
  <c r="U280" i="41"/>
  <c r="Y280" i="41"/>
  <c r="R281" i="41"/>
  <c r="V281" i="41"/>
  <c r="Z281" i="41"/>
  <c r="S282" i="41"/>
  <c r="W282" i="41"/>
  <c r="AA282" i="41"/>
  <c r="T283" i="41"/>
  <c r="X283" i="41"/>
  <c r="Q284" i="41"/>
  <c r="U284" i="41"/>
  <c r="Y284" i="41"/>
  <c r="R285" i="41"/>
  <c r="V285" i="41"/>
  <c r="Z285" i="41"/>
  <c r="S286" i="41"/>
  <c r="W286" i="41"/>
  <c r="AA286" i="41"/>
  <c r="T287" i="41"/>
  <c r="X287" i="41"/>
  <c r="Q288" i="41"/>
  <c r="U288" i="41"/>
  <c r="Y288" i="41"/>
  <c r="R289" i="41"/>
  <c r="V289" i="41"/>
  <c r="Z289" i="41"/>
  <c r="S290" i="41"/>
  <c r="W290" i="41"/>
  <c r="AA290" i="41"/>
  <c r="T291" i="41"/>
  <c r="X291" i="41"/>
  <c r="Q292" i="41"/>
  <c r="U292" i="41"/>
  <c r="Y292" i="41"/>
  <c r="R293" i="41"/>
  <c r="V293" i="41"/>
  <c r="Z293" i="41"/>
  <c r="S294" i="41"/>
  <c r="W294" i="41"/>
  <c r="AA294" i="41"/>
  <c r="T295" i="41"/>
  <c r="X295" i="41"/>
  <c r="Q296" i="41"/>
  <c r="U296" i="41"/>
  <c r="Y296" i="41"/>
  <c r="R297" i="41"/>
  <c r="V297" i="41"/>
  <c r="Z297" i="41"/>
  <c r="S298" i="41"/>
  <c r="W298" i="41"/>
  <c r="AA298" i="41"/>
  <c r="T299" i="41"/>
  <c r="X299" i="41"/>
  <c r="Q300" i="41"/>
  <c r="U300" i="41"/>
  <c r="Y300" i="41"/>
  <c r="R301" i="41"/>
  <c r="V301" i="41"/>
  <c r="Z301" i="41"/>
  <c r="S302" i="41"/>
  <c r="W302" i="41"/>
  <c r="AA302" i="41"/>
  <c r="T303" i="41"/>
  <c r="X303" i="41"/>
  <c r="Q304" i="41"/>
  <c r="U304" i="41"/>
  <c r="Y304" i="41"/>
  <c r="R305" i="41"/>
  <c r="V305" i="41"/>
  <c r="Z305" i="41"/>
  <c r="S306" i="41"/>
  <c r="W306" i="41"/>
  <c r="AA306" i="41"/>
  <c r="T307" i="41"/>
  <c r="X307" i="41"/>
  <c r="Q308" i="41"/>
  <c r="U308" i="41"/>
  <c r="Y308" i="41"/>
  <c r="R309" i="41"/>
  <c r="V309" i="41"/>
  <c r="Z309" i="41"/>
  <c r="S310" i="41"/>
  <c r="W310" i="41"/>
  <c r="AA310" i="41"/>
  <c r="T311" i="41"/>
  <c r="X311" i="41"/>
  <c r="Q312" i="41"/>
  <c r="U312" i="41"/>
  <c r="Y312" i="41"/>
  <c r="R313" i="41"/>
  <c r="V313" i="41"/>
  <c r="Z313" i="41"/>
  <c r="S314" i="41"/>
  <c r="W314" i="41"/>
  <c r="AA314" i="41"/>
  <c r="T315" i="41"/>
  <c r="X315" i="41"/>
  <c r="Q316" i="41"/>
  <c r="U316" i="41"/>
  <c r="Y316" i="41"/>
  <c r="R317" i="41"/>
  <c r="V317" i="41"/>
  <c r="Z317" i="41"/>
  <c r="S318" i="41"/>
  <c r="W318" i="41"/>
  <c r="AA318" i="41"/>
  <c r="T319" i="41"/>
  <c r="X319" i="41"/>
  <c r="Q320" i="41"/>
  <c r="U320" i="41"/>
  <c r="Y320" i="41"/>
  <c r="R321" i="41"/>
  <c r="V321" i="41"/>
  <c r="Z321" i="41"/>
  <c r="S322" i="41"/>
  <c r="W322" i="41"/>
  <c r="AA322" i="41"/>
  <c r="T323" i="41"/>
  <c r="X323" i="41"/>
  <c r="Q324" i="41"/>
  <c r="U324" i="41"/>
  <c r="Y324" i="41"/>
  <c r="R325" i="41"/>
  <c r="V325" i="41"/>
  <c r="Z325" i="41"/>
  <c r="S326" i="41"/>
  <c r="W326" i="41"/>
  <c r="AA326" i="41"/>
  <c r="T327" i="41"/>
  <c r="X327" i="41"/>
  <c r="Q328" i="41"/>
  <c r="U328" i="41"/>
  <c r="Y328" i="41"/>
  <c r="R329" i="41"/>
  <c r="V329" i="41"/>
  <c r="Z329" i="41"/>
  <c r="S330" i="41"/>
  <c r="W330" i="41"/>
  <c r="AA330" i="41"/>
  <c r="T331" i="41"/>
  <c r="X331" i="41"/>
  <c r="W331" i="41"/>
  <c r="Q332" i="41"/>
  <c r="U332" i="41"/>
  <c r="Y332" i="41"/>
  <c r="R333" i="41"/>
  <c r="V333" i="41"/>
  <c r="Z333" i="41"/>
  <c r="S334" i="41"/>
  <c r="W334" i="41"/>
  <c r="AA334" i="41"/>
  <c r="T335" i="41"/>
  <c r="X335" i="41"/>
  <c r="Q336" i="41"/>
  <c r="U336" i="41"/>
  <c r="Y336" i="41"/>
  <c r="R337" i="41"/>
  <c r="V337" i="41"/>
  <c r="Z337" i="41"/>
  <c r="S338" i="41"/>
  <c r="W338" i="41"/>
  <c r="AA338" i="41"/>
  <c r="T339" i="41"/>
  <c r="X339" i="41"/>
  <c r="Q340" i="41"/>
  <c r="U340" i="41"/>
  <c r="Y340" i="41"/>
  <c r="R341" i="41"/>
  <c r="V341" i="41"/>
  <c r="Z341" i="41"/>
  <c r="S342" i="41"/>
  <c r="W342" i="41"/>
  <c r="AA342" i="41"/>
  <c r="T343" i="41"/>
  <c r="X343" i="41"/>
  <c r="Q344" i="41"/>
  <c r="U344" i="41"/>
  <c r="Y344" i="41"/>
  <c r="R345" i="41"/>
  <c r="V345" i="41"/>
  <c r="Z345" i="41"/>
  <c r="S346" i="41"/>
  <c r="W346" i="41"/>
  <c r="AA346" i="41"/>
  <c r="T347" i="41"/>
  <c r="X347" i="41"/>
  <c r="Q348" i="41"/>
  <c r="U348" i="41"/>
  <c r="Y348" i="41"/>
  <c r="R349" i="41"/>
  <c r="V349" i="41"/>
  <c r="Z349" i="41"/>
  <c r="S350" i="41"/>
  <c r="W350" i="41"/>
  <c r="AA350" i="41"/>
  <c r="T351" i="41"/>
  <c r="X351" i="41"/>
  <c r="Q352" i="41"/>
  <c r="U352" i="41"/>
  <c r="Y352" i="41"/>
  <c r="R353" i="41"/>
  <c r="V353" i="41"/>
  <c r="Z353" i="41"/>
  <c r="S354" i="41"/>
  <c r="W354" i="41"/>
  <c r="AA354" i="41"/>
  <c r="T355" i="41"/>
  <c r="X355" i="41"/>
  <c r="Q356" i="41"/>
  <c r="U356" i="41"/>
  <c r="Y356" i="41"/>
  <c r="R357" i="41"/>
  <c r="V357" i="41"/>
  <c r="Z357" i="41"/>
  <c r="S358" i="41"/>
  <c r="W358" i="41"/>
  <c r="AA358" i="41"/>
  <c r="T359" i="41"/>
  <c r="X359" i="41"/>
  <c r="Q360" i="41"/>
  <c r="U360" i="41"/>
  <c r="Y360" i="41"/>
  <c r="R361" i="41"/>
  <c r="V361" i="41"/>
  <c r="Z361" i="41"/>
  <c r="S362" i="41"/>
  <c r="W362" i="41"/>
  <c r="AA362" i="41"/>
  <c r="T363" i="41"/>
  <c r="X363" i="41"/>
  <c r="Q364" i="41"/>
  <c r="U364" i="41"/>
  <c r="Y364" i="41"/>
  <c r="R365" i="41"/>
  <c r="V365" i="41"/>
  <c r="Z365" i="41"/>
  <c r="S366" i="41"/>
  <c r="W366" i="41"/>
  <c r="AA366" i="41"/>
  <c r="T367" i="41"/>
  <c r="X367" i="41"/>
  <c r="Q368" i="41"/>
  <c r="U368" i="41"/>
  <c r="Y368" i="41"/>
  <c r="R369" i="41"/>
  <c r="V369" i="41"/>
  <c r="Z369" i="41"/>
  <c r="S370" i="41"/>
  <c r="W370" i="41"/>
  <c r="AA370" i="41"/>
  <c r="T371" i="41"/>
  <c r="X371" i="41"/>
  <c r="Q372" i="41"/>
  <c r="U372" i="41"/>
  <c r="Y372" i="41"/>
  <c r="R373" i="41"/>
  <c r="V373" i="41"/>
  <c r="Z373" i="41"/>
  <c r="S374" i="41"/>
  <c r="W374" i="41"/>
  <c r="AA374" i="41"/>
  <c r="T375" i="41"/>
  <c r="X375" i="41"/>
  <c r="Q376" i="41"/>
  <c r="U376" i="41"/>
  <c r="Y376" i="41"/>
  <c r="R377" i="41"/>
  <c r="V377" i="41"/>
  <c r="Z377" i="41"/>
  <c r="S378" i="41"/>
  <c r="W378" i="41"/>
  <c r="AA378" i="41"/>
  <c r="T379" i="41"/>
  <c r="X379" i="41"/>
  <c r="Q380" i="41"/>
  <c r="U380" i="41"/>
  <c r="Y380" i="41"/>
  <c r="R381" i="41"/>
  <c r="V381" i="41"/>
  <c r="Z381" i="41"/>
  <c r="S382" i="41"/>
  <c r="W382" i="41"/>
  <c r="AA382" i="41"/>
  <c r="T383" i="41"/>
  <c r="X383" i="41"/>
  <c r="Q384" i="41"/>
  <c r="U384" i="41"/>
  <c r="Y384" i="41"/>
  <c r="R385" i="41"/>
  <c r="V385" i="41"/>
  <c r="Z385" i="41"/>
  <c r="S386" i="41"/>
  <c r="W386" i="41"/>
  <c r="AA386" i="41"/>
  <c r="T387" i="41"/>
  <c r="X387" i="41"/>
  <c r="Q388" i="41"/>
  <c r="U388" i="41"/>
  <c r="Y388" i="41"/>
  <c r="R389" i="41"/>
  <c r="V389" i="41"/>
  <c r="Z389" i="41"/>
  <c r="S390" i="41"/>
  <c r="W390" i="41"/>
  <c r="AA390" i="41"/>
  <c r="T391" i="41"/>
  <c r="X391" i="41"/>
  <c r="Q392" i="41"/>
  <c r="U392" i="41"/>
  <c r="Y392" i="41"/>
  <c r="R393" i="41"/>
  <c r="X330" i="41"/>
  <c r="Y331" i="41"/>
  <c r="R332" i="41"/>
  <c r="V332" i="41"/>
  <c r="Z332" i="41"/>
  <c r="S333" i="41"/>
  <c r="W333" i="41"/>
  <c r="AA333" i="41"/>
  <c r="T334" i="41"/>
  <c r="X334" i="41"/>
  <c r="Q335" i="41"/>
  <c r="U335" i="41"/>
  <c r="Y335" i="41"/>
  <c r="R336" i="41"/>
  <c r="V336" i="41"/>
  <c r="Z336" i="41"/>
  <c r="S337" i="41"/>
  <c r="W337" i="41"/>
  <c r="AA337" i="41"/>
  <c r="T338" i="41"/>
  <c r="X338" i="41"/>
  <c r="Q339" i="41"/>
  <c r="U339" i="41"/>
  <c r="Y339" i="41"/>
  <c r="R340" i="41"/>
  <c r="V340" i="41"/>
  <c r="Z340" i="41"/>
  <c r="S341" i="41"/>
  <c r="W341" i="41"/>
  <c r="AA341" i="41"/>
  <c r="T342" i="41"/>
  <c r="X342" i="41"/>
  <c r="Q343" i="41"/>
  <c r="U343" i="41"/>
  <c r="Y343" i="41"/>
  <c r="R344" i="41"/>
  <c r="V344" i="41"/>
  <c r="Z344" i="41"/>
  <c r="S345" i="41"/>
  <c r="W345" i="41"/>
  <c r="AA345" i="41"/>
  <c r="T346" i="41"/>
  <c r="X346" i="41"/>
  <c r="Q347" i="41"/>
  <c r="U347" i="41"/>
  <c r="Y347" i="41"/>
  <c r="R348" i="41"/>
  <c r="V348" i="41"/>
  <c r="Z348" i="41"/>
  <c r="S349" i="41"/>
  <c r="W349" i="41"/>
  <c r="AA349" i="41"/>
  <c r="T350" i="41"/>
  <c r="X350" i="41"/>
  <c r="Q351" i="41"/>
  <c r="U351" i="41"/>
  <c r="Y351" i="41"/>
  <c r="R352" i="41"/>
  <c r="V352" i="41"/>
  <c r="Z352" i="41"/>
  <c r="S353" i="41"/>
  <c r="W353" i="41"/>
  <c r="AA353" i="41"/>
  <c r="T354" i="41"/>
  <c r="X354" i="41"/>
  <c r="Q355" i="41"/>
  <c r="U355" i="41"/>
  <c r="Y355" i="41"/>
  <c r="R356" i="41"/>
  <c r="V356" i="41"/>
  <c r="Z356" i="41"/>
  <c r="S357" i="41"/>
  <c r="W357" i="41"/>
  <c r="AA357" i="41"/>
  <c r="T358" i="41"/>
  <c r="X358" i="41"/>
  <c r="Q359" i="41"/>
  <c r="U359" i="41"/>
  <c r="Y359" i="41"/>
  <c r="R360" i="41"/>
  <c r="V360" i="41"/>
  <c r="Z360" i="41"/>
  <c r="S361" i="41"/>
  <c r="W361" i="41"/>
  <c r="AA361" i="41"/>
  <c r="T362" i="41"/>
  <c r="X362" i="41"/>
  <c r="Q363" i="41"/>
  <c r="U363" i="41"/>
  <c r="Y363" i="41"/>
  <c r="R364" i="41"/>
  <c r="V364" i="41"/>
  <c r="Z364" i="41"/>
  <c r="S365" i="41"/>
  <c r="W365" i="41"/>
  <c r="AA365" i="41"/>
  <c r="T366" i="41"/>
  <c r="X366" i="41"/>
  <c r="Q367" i="41"/>
  <c r="U367" i="41"/>
  <c r="Y367" i="41"/>
  <c r="R368" i="41"/>
  <c r="V368" i="41"/>
  <c r="Z368" i="41"/>
  <c r="S369" i="41"/>
  <c r="W369" i="41"/>
  <c r="AA369" i="41"/>
  <c r="T370" i="41"/>
  <c r="X370" i="41"/>
  <c r="Q371" i="41"/>
  <c r="U371" i="41"/>
  <c r="Y371" i="41"/>
  <c r="R372" i="41"/>
  <c r="V372" i="41"/>
  <c r="Z372" i="41"/>
  <c r="S373" i="41"/>
  <c r="W373" i="41"/>
  <c r="AA373" i="41"/>
  <c r="T374" i="41"/>
  <c r="X374" i="41"/>
  <c r="Q375" i="41"/>
  <c r="U375" i="41"/>
  <c r="Y375" i="41"/>
  <c r="R376" i="41"/>
  <c r="V376" i="41"/>
  <c r="Z376" i="41"/>
  <c r="S377" i="41"/>
  <c r="W377" i="41"/>
  <c r="AA377" i="41"/>
  <c r="T378" i="41"/>
  <c r="X378" i="41"/>
  <c r="Q379" i="41"/>
  <c r="U379" i="41"/>
  <c r="Y379" i="41"/>
  <c r="R380" i="41"/>
  <c r="V380" i="41"/>
  <c r="Z380" i="41"/>
  <c r="S381" i="41"/>
  <c r="W381" i="41"/>
  <c r="AA381" i="41"/>
  <c r="T382" i="41"/>
  <c r="X382" i="41"/>
  <c r="Q383" i="41"/>
  <c r="U383" i="41"/>
  <c r="Y383" i="41"/>
  <c r="R384" i="41"/>
  <c r="V384" i="41"/>
  <c r="Z384" i="41"/>
  <c r="S385" i="41"/>
  <c r="W385" i="41"/>
  <c r="AA385" i="41"/>
  <c r="T386" i="41"/>
  <c r="X386" i="41"/>
  <c r="Q387" i="41"/>
  <c r="U387" i="41"/>
  <c r="Y387" i="41"/>
  <c r="R388" i="41"/>
  <c r="V388" i="41"/>
  <c r="Z388" i="41"/>
  <c r="S389" i="41"/>
  <c r="W389" i="41"/>
  <c r="AA389" i="41"/>
  <c r="T390" i="41"/>
  <c r="X390" i="41"/>
  <c r="Q391" i="41"/>
  <c r="U391" i="41"/>
  <c r="Y391" i="41"/>
  <c r="R392" i="41"/>
  <c r="V392" i="41"/>
  <c r="Z392" i="41"/>
  <c r="S393" i="41"/>
  <c r="Q331" i="41"/>
  <c r="Z331" i="41"/>
  <c r="S332" i="41"/>
  <c r="W332" i="41"/>
  <c r="AA332" i="41"/>
  <c r="T333" i="41"/>
  <c r="X333" i="41"/>
  <c r="Q334" i="41"/>
  <c r="U334" i="41"/>
  <c r="Y334" i="41"/>
  <c r="R335" i="41"/>
  <c r="V335" i="41"/>
  <c r="Z335" i="41"/>
  <c r="S336" i="41"/>
  <c r="W336" i="41"/>
  <c r="AA336" i="41"/>
  <c r="T337" i="41"/>
  <c r="X337" i="41"/>
  <c r="Q338" i="41"/>
  <c r="U338" i="41"/>
  <c r="Y338" i="41"/>
  <c r="R339" i="41"/>
  <c r="V339" i="41"/>
  <c r="Z339" i="41"/>
  <c r="S340" i="41"/>
  <c r="W340" i="41"/>
  <c r="AA340" i="41"/>
  <c r="T341" i="41"/>
  <c r="X341" i="41"/>
  <c r="Q342" i="41"/>
  <c r="U342" i="41"/>
  <c r="Y342" i="41"/>
  <c r="R343" i="41"/>
  <c r="V343" i="41"/>
  <c r="Z343" i="41"/>
  <c r="S344" i="41"/>
  <c r="W344" i="41"/>
  <c r="AA344" i="41"/>
  <c r="T345" i="41"/>
  <c r="X345" i="41"/>
  <c r="Q346" i="41"/>
  <c r="U346" i="41"/>
  <c r="Y346" i="41"/>
  <c r="R347" i="41"/>
  <c r="V347" i="41"/>
  <c r="Z347" i="41"/>
  <c r="S348" i="41"/>
  <c r="W348" i="41"/>
  <c r="AA348" i="41"/>
  <c r="T349" i="41"/>
  <c r="X349" i="41"/>
  <c r="Q350" i="41"/>
  <c r="U350" i="41"/>
  <c r="Y350" i="41"/>
  <c r="R351" i="41"/>
  <c r="V351" i="41"/>
  <c r="Z351" i="41"/>
  <c r="S352" i="41"/>
  <c r="W352" i="41"/>
  <c r="AA352" i="41"/>
  <c r="T353" i="41"/>
  <c r="X353" i="41"/>
  <c r="Q354" i="41"/>
  <c r="U354" i="41"/>
  <c r="Y354" i="41"/>
  <c r="R355" i="41"/>
  <c r="V355" i="41"/>
  <c r="Z355" i="41"/>
  <c r="S356" i="41"/>
  <c r="W356" i="41"/>
  <c r="AA356" i="41"/>
  <c r="T357" i="41"/>
  <c r="X357" i="41"/>
  <c r="Q358" i="41"/>
  <c r="U358" i="41"/>
  <c r="Y358" i="41"/>
  <c r="R359" i="41"/>
  <c r="V359" i="41"/>
  <c r="Z359" i="41"/>
  <c r="S360" i="41"/>
  <c r="W360" i="41"/>
  <c r="AA360" i="41"/>
  <c r="T361" i="41"/>
  <c r="X361" i="41"/>
  <c r="Q362" i="41"/>
  <c r="U362" i="41"/>
  <c r="Y362" i="41"/>
  <c r="R363" i="41"/>
  <c r="V363" i="41"/>
  <c r="Z363" i="41"/>
  <c r="S364" i="41"/>
  <c r="W364" i="41"/>
  <c r="AA364" i="41"/>
  <c r="T365" i="41"/>
  <c r="X365" i="41"/>
  <c r="Q366" i="41"/>
  <c r="U366" i="41"/>
  <c r="Y366" i="41"/>
  <c r="R367" i="41"/>
  <c r="V367" i="41"/>
  <c r="Z367" i="41"/>
  <c r="S368" i="41"/>
  <c r="W368" i="41"/>
  <c r="AA368" i="41"/>
  <c r="T369" i="41"/>
  <c r="X369" i="41"/>
  <c r="Q370" i="41"/>
  <c r="U370" i="41"/>
  <c r="Y370" i="41"/>
  <c r="R371" i="41"/>
  <c r="V371" i="41"/>
  <c r="Z371" i="41"/>
  <c r="S372" i="41"/>
  <c r="W372" i="41"/>
  <c r="AA372" i="41"/>
  <c r="T373" i="41"/>
  <c r="X373" i="41"/>
  <c r="Q374" i="41"/>
  <c r="U374" i="41"/>
  <c r="Y374" i="41"/>
  <c r="R375" i="41"/>
  <c r="V375" i="41"/>
  <c r="Z375" i="41"/>
  <c r="S376" i="41"/>
  <c r="W376" i="41"/>
  <c r="AA376" i="41"/>
  <c r="T377" i="41"/>
  <c r="X377" i="41"/>
  <c r="Q378" i="41"/>
  <c r="U378" i="41"/>
  <c r="Y378" i="41"/>
  <c r="R379" i="41"/>
  <c r="V379" i="41"/>
  <c r="Z379" i="41"/>
  <c r="S380" i="41"/>
  <c r="W380" i="41"/>
  <c r="AA380" i="41"/>
  <c r="T381" i="41"/>
  <c r="X381" i="41"/>
  <c r="Q382" i="41"/>
  <c r="U382" i="41"/>
  <c r="Y382" i="41"/>
  <c r="R383" i="41"/>
  <c r="V383" i="41"/>
  <c r="Z383" i="41"/>
  <c r="S384" i="41"/>
  <c r="W384" i="41"/>
  <c r="AA384" i="41"/>
  <c r="T385" i="41"/>
  <c r="X385" i="41"/>
  <c r="Q386" i="41"/>
  <c r="U386" i="41"/>
  <c r="Y386" i="41"/>
  <c r="R387" i="41"/>
  <c r="V387" i="41"/>
  <c r="Z387" i="41"/>
  <c r="S388" i="41"/>
  <c r="W388" i="41"/>
  <c r="AA388" i="41"/>
  <c r="T389" i="41"/>
  <c r="X389" i="41"/>
  <c r="Q390" i="41"/>
  <c r="U390" i="41"/>
  <c r="Y390" i="41"/>
  <c r="R391" i="41"/>
  <c r="V391" i="41"/>
  <c r="Z391" i="41"/>
  <c r="S392" i="41"/>
  <c r="W392" i="41"/>
  <c r="AA392" i="41"/>
  <c r="T393" i="41"/>
  <c r="U331" i="41"/>
  <c r="AA331" i="41"/>
  <c r="T332" i="41"/>
  <c r="X332" i="41"/>
  <c r="Q333" i="41"/>
  <c r="U333" i="41"/>
  <c r="Y333" i="41"/>
  <c r="R334" i="41"/>
  <c r="V334" i="41"/>
  <c r="Z334" i="41"/>
  <c r="S335" i="41"/>
  <c r="W335" i="41"/>
  <c r="AA335" i="41"/>
  <c r="T336" i="41"/>
  <c r="X336" i="41"/>
  <c r="Q337" i="41"/>
  <c r="U337" i="41"/>
  <c r="Y337" i="41"/>
  <c r="R338" i="41"/>
  <c r="V338" i="41"/>
  <c r="Z338" i="41"/>
  <c r="S339" i="41"/>
  <c r="W339" i="41"/>
  <c r="AA339" i="41"/>
  <c r="T340" i="41"/>
  <c r="X340" i="41"/>
  <c r="Q341" i="41"/>
  <c r="U341" i="41"/>
  <c r="Y341" i="41"/>
  <c r="R342" i="41"/>
  <c r="V342" i="41"/>
  <c r="Z342" i="41"/>
  <c r="S343" i="41"/>
  <c r="W343" i="41"/>
  <c r="AA343" i="41"/>
  <c r="T344" i="41"/>
  <c r="X344" i="41"/>
  <c r="Q345" i="41"/>
  <c r="U345" i="41"/>
  <c r="Y345" i="41"/>
  <c r="R346" i="41"/>
  <c r="V346" i="41"/>
  <c r="Z346" i="41"/>
  <c r="S347" i="41"/>
  <c r="W347" i="41"/>
  <c r="AA347" i="41"/>
  <c r="T348" i="41"/>
  <c r="X348" i="41"/>
  <c r="Q349" i="41"/>
  <c r="U349" i="41"/>
  <c r="Y349" i="41"/>
  <c r="R350" i="41"/>
  <c r="V350" i="41"/>
  <c r="Z350" i="41"/>
  <c r="S351" i="41"/>
  <c r="W351" i="41"/>
  <c r="AA351" i="41"/>
  <c r="T352" i="41"/>
  <c r="X352" i="41"/>
  <c r="Q353" i="41"/>
  <c r="U353" i="41"/>
  <c r="Y353" i="41"/>
  <c r="R354" i="41"/>
  <c r="V354" i="41"/>
  <c r="Z354" i="41"/>
  <c r="S355" i="41"/>
  <c r="W355" i="41"/>
  <c r="AA355" i="41"/>
  <c r="T356" i="41"/>
  <c r="X356" i="41"/>
  <c r="Q357" i="41"/>
  <c r="U357" i="41"/>
  <c r="Y357" i="41"/>
  <c r="R358" i="41"/>
  <c r="V358" i="41"/>
  <c r="Z358" i="41"/>
  <c r="S359" i="41"/>
  <c r="W359" i="41"/>
  <c r="AA359" i="41"/>
  <c r="T360" i="41"/>
  <c r="X360" i="41"/>
  <c r="Q361" i="41"/>
  <c r="U361" i="41"/>
  <c r="Y361" i="41"/>
  <c r="R362" i="41"/>
  <c r="V362" i="41"/>
  <c r="Z362" i="41"/>
  <c r="S363" i="41"/>
  <c r="W363" i="41"/>
  <c r="AA363" i="41"/>
  <c r="T364" i="41"/>
  <c r="X364" i="41"/>
  <c r="Q365" i="41"/>
  <c r="U365" i="41"/>
  <c r="Y365" i="41"/>
  <c r="R366" i="41"/>
  <c r="V366" i="41"/>
  <c r="Z366" i="41"/>
  <c r="S367" i="41"/>
  <c r="W367" i="41"/>
  <c r="AA367" i="41"/>
  <c r="T368" i="41"/>
  <c r="X368" i="41"/>
  <c r="Q369" i="41"/>
  <c r="U369" i="41"/>
  <c r="Y369" i="41"/>
  <c r="R370" i="41"/>
  <c r="V370" i="41"/>
  <c r="Z370" i="41"/>
  <c r="S371" i="41"/>
  <c r="W371" i="41"/>
  <c r="AA371" i="41"/>
  <c r="T372" i="41"/>
  <c r="X372" i="41"/>
  <c r="Q373" i="41"/>
  <c r="U373" i="41"/>
  <c r="Y373" i="41"/>
  <c r="R374" i="41"/>
  <c r="V374" i="41"/>
  <c r="Z374" i="41"/>
  <c r="S375" i="41"/>
  <c r="W375" i="41"/>
  <c r="AA375" i="41"/>
  <c r="T376" i="41"/>
  <c r="X376" i="41"/>
  <c r="Q377" i="41"/>
  <c r="U377" i="41"/>
  <c r="Y377" i="41"/>
  <c r="R378" i="41"/>
  <c r="V378" i="41"/>
  <c r="Z378" i="41"/>
  <c r="S379" i="41"/>
  <c r="W379" i="41"/>
  <c r="AA379" i="41"/>
  <c r="T380" i="41"/>
  <c r="X380" i="41"/>
  <c r="Q381" i="41"/>
  <c r="U381" i="41"/>
  <c r="Y381" i="41"/>
  <c r="R382" i="41"/>
  <c r="V382" i="41"/>
  <c r="Z382" i="41"/>
  <c r="S383" i="41"/>
  <c r="W383" i="41"/>
  <c r="AA383" i="41"/>
  <c r="T384" i="41"/>
  <c r="X384" i="41"/>
  <c r="Q385" i="41"/>
  <c r="U385" i="41"/>
  <c r="Y385" i="41"/>
  <c r="R386" i="41"/>
  <c r="V386" i="41"/>
  <c r="Z386" i="41"/>
  <c r="S387" i="41"/>
  <c r="W387" i="41"/>
  <c r="AA387" i="41"/>
  <c r="T388" i="41"/>
  <c r="X388" i="41"/>
  <c r="Q389" i="41"/>
  <c r="U389" i="41"/>
  <c r="Y389" i="41"/>
  <c r="R390" i="41"/>
  <c r="V390" i="41"/>
  <c r="Z390" i="41"/>
  <c r="S391" i="41"/>
  <c r="W391" i="41"/>
  <c r="AA391" i="41"/>
  <c r="T392" i="41"/>
  <c r="X392" i="41"/>
  <c r="Q393" i="41"/>
  <c r="U393" i="41"/>
  <c r="Y393" i="41"/>
  <c r="R394" i="41"/>
  <c r="V394" i="41"/>
  <c r="Z394" i="41"/>
  <c r="S395" i="41"/>
  <c r="W395" i="41"/>
  <c r="AA395" i="41"/>
  <c r="T396" i="41"/>
  <c r="X396" i="41"/>
  <c r="Q397" i="41"/>
  <c r="U397" i="41"/>
  <c r="Y397" i="41"/>
  <c r="R398" i="41"/>
  <c r="V398" i="41"/>
  <c r="Z398" i="41"/>
  <c r="S399" i="41"/>
  <c r="W399" i="41"/>
  <c r="AA399" i="41"/>
  <c r="T400" i="41"/>
  <c r="X400" i="41"/>
  <c r="Q401" i="41"/>
  <c r="U401" i="41"/>
  <c r="Y401" i="41"/>
  <c r="R402" i="41"/>
  <c r="V402" i="41"/>
  <c r="Z402" i="41"/>
  <c r="S403" i="41"/>
  <c r="W403" i="41"/>
  <c r="AA403" i="41"/>
  <c r="T404" i="41"/>
  <c r="X404" i="41"/>
  <c r="Q405" i="41"/>
  <c r="U405" i="41"/>
  <c r="Y405" i="41"/>
  <c r="R406" i="41"/>
  <c r="V406" i="41"/>
  <c r="Z406" i="41"/>
  <c r="S407" i="41"/>
  <c r="W407" i="41"/>
  <c r="AA407" i="41"/>
  <c r="T408" i="41"/>
  <c r="X408" i="41"/>
  <c r="Q409" i="41"/>
  <c r="U409" i="41"/>
  <c r="Y409" i="41"/>
  <c r="R410" i="41"/>
  <c r="V410" i="41"/>
  <c r="Z410" i="41"/>
  <c r="S411" i="41"/>
  <c r="W411" i="41"/>
  <c r="AA411" i="41"/>
  <c r="T412" i="41"/>
  <c r="X412" i="41"/>
  <c r="Q413" i="41"/>
  <c r="U413" i="41"/>
  <c r="Y413" i="41"/>
  <c r="R414" i="41"/>
  <c r="V414" i="41"/>
  <c r="Z414" i="41"/>
  <c r="S415" i="41"/>
  <c r="W415" i="41"/>
  <c r="AA415" i="41"/>
  <c r="T416" i="41"/>
  <c r="X416" i="41"/>
  <c r="Q417" i="41"/>
  <c r="U417" i="41"/>
  <c r="Y417" i="41"/>
  <c r="R418" i="41"/>
  <c r="V418" i="41"/>
  <c r="Z418" i="41"/>
  <c r="S419" i="41"/>
  <c r="W419" i="41"/>
  <c r="AA419" i="41"/>
  <c r="T420" i="41"/>
  <c r="X420" i="41"/>
  <c r="Q421" i="41"/>
  <c r="U421" i="41"/>
  <c r="Y421" i="41"/>
  <c r="R422" i="41"/>
  <c r="V422" i="41"/>
  <c r="Z422" i="41"/>
  <c r="S423" i="41"/>
  <c r="W423" i="41"/>
  <c r="AA423" i="41"/>
  <c r="T424" i="41"/>
  <c r="X424" i="41"/>
  <c r="Q425" i="41"/>
  <c r="U425" i="41"/>
  <c r="Y425" i="41"/>
  <c r="R426" i="41"/>
  <c r="V426" i="41"/>
  <c r="Z426" i="41"/>
  <c r="S427" i="41"/>
  <c r="W427" i="41"/>
  <c r="AA427" i="41"/>
  <c r="T428" i="41"/>
  <c r="X428" i="41"/>
  <c r="Q429" i="41"/>
  <c r="U429" i="41"/>
  <c r="Y429" i="41"/>
  <c r="R430" i="41"/>
  <c r="V430" i="41"/>
  <c r="Z430" i="41"/>
  <c r="S431" i="41"/>
  <c r="W431" i="41"/>
  <c r="AA431" i="41"/>
  <c r="T432" i="41"/>
  <c r="X432" i="41"/>
  <c r="Q433" i="41"/>
  <c r="U433" i="41"/>
  <c r="Y433" i="41"/>
  <c r="R434" i="41"/>
  <c r="V434" i="41"/>
  <c r="Z434" i="41"/>
  <c r="S435" i="41"/>
  <c r="W435" i="41"/>
  <c r="AA435" i="41"/>
  <c r="T436" i="41"/>
  <c r="X436" i="41"/>
  <c r="Q437" i="41"/>
  <c r="U437" i="41"/>
  <c r="Y437" i="41"/>
  <c r="R438" i="41"/>
  <c r="V438" i="41"/>
  <c r="Z438" i="41"/>
  <c r="S439" i="41"/>
  <c r="W439" i="41"/>
  <c r="AA439" i="41"/>
  <c r="T440" i="41"/>
  <c r="X440" i="41"/>
  <c r="Q441" i="41"/>
  <c r="U441" i="41"/>
  <c r="Y441" i="41"/>
  <c r="R442" i="41"/>
  <c r="V442" i="41"/>
  <c r="Z442" i="41"/>
  <c r="S443" i="41"/>
  <c r="W443" i="41"/>
  <c r="AA443" i="41"/>
  <c r="T444" i="41"/>
  <c r="X444" i="41"/>
  <c r="Q445" i="41"/>
  <c r="U445" i="41"/>
  <c r="Y445" i="41"/>
  <c r="R446" i="41"/>
  <c r="V446" i="41"/>
  <c r="Z446" i="41"/>
  <c r="S447" i="41"/>
  <c r="W447" i="41"/>
  <c r="AA447" i="41"/>
  <c r="T448" i="41"/>
  <c r="X448" i="41"/>
  <c r="Q449" i="41"/>
  <c r="U449" i="41"/>
  <c r="Y449" i="41"/>
  <c r="R450" i="41"/>
  <c r="V450" i="41"/>
  <c r="Z450" i="41"/>
  <c r="S451" i="41"/>
  <c r="W451" i="41"/>
  <c r="AA451" i="41"/>
  <c r="T452" i="41"/>
  <c r="X452" i="41"/>
  <c r="Q453" i="41"/>
  <c r="U453" i="41"/>
  <c r="Y453" i="41"/>
  <c r="R454" i="41"/>
  <c r="V454" i="41"/>
  <c r="Z454" i="41"/>
  <c r="S455" i="41"/>
  <c r="W455" i="41"/>
  <c r="AA455" i="41"/>
  <c r="T456" i="41"/>
  <c r="X456" i="41"/>
  <c r="Q457" i="41"/>
  <c r="U457" i="41"/>
  <c r="Y457" i="41"/>
  <c r="R458" i="41"/>
  <c r="V458" i="41"/>
  <c r="Z458" i="41"/>
  <c r="S459" i="41"/>
  <c r="W459" i="41"/>
  <c r="AA459" i="41"/>
  <c r="T460" i="41"/>
  <c r="X460" i="41"/>
  <c r="Q461" i="41"/>
  <c r="U461" i="41"/>
  <c r="Y461" i="41"/>
  <c r="R462" i="41"/>
  <c r="V462" i="41"/>
  <c r="Z462" i="41"/>
  <c r="S463" i="41"/>
  <c r="W463" i="41"/>
  <c r="AA463" i="41"/>
  <c r="T464" i="41"/>
  <c r="X464" i="41"/>
  <c r="Q465" i="41"/>
  <c r="U465" i="41"/>
  <c r="Y465" i="41"/>
  <c r="R466" i="41"/>
  <c r="V466" i="41"/>
  <c r="Z466" i="41"/>
  <c r="S467" i="41"/>
  <c r="W467" i="41"/>
  <c r="AA467" i="41"/>
  <c r="T468" i="41"/>
  <c r="X468" i="41"/>
  <c r="Q469" i="41"/>
  <c r="U469" i="41"/>
  <c r="Y469" i="41"/>
  <c r="R470" i="41"/>
  <c r="V470" i="41"/>
  <c r="Z470" i="41"/>
  <c r="S471" i="41"/>
  <c r="W471" i="41"/>
  <c r="AA471" i="41"/>
  <c r="T472" i="41"/>
  <c r="X472" i="41"/>
  <c r="Q473" i="41"/>
  <c r="U473" i="41"/>
  <c r="Y473" i="41"/>
  <c r="R474" i="41"/>
  <c r="V474" i="41"/>
  <c r="Z474" i="41"/>
  <c r="S475" i="41"/>
  <c r="W475" i="41"/>
  <c r="AA475" i="41"/>
  <c r="T476" i="41"/>
  <c r="X476" i="41"/>
  <c r="Q477" i="41"/>
  <c r="U477" i="41"/>
  <c r="Y477" i="41"/>
  <c r="R478" i="41"/>
  <c r="V478" i="41"/>
  <c r="Z478" i="41"/>
  <c r="S479" i="41"/>
  <c r="W479" i="41"/>
  <c r="AA479" i="41"/>
  <c r="T480" i="41"/>
  <c r="X480" i="41"/>
  <c r="Q481" i="41"/>
  <c r="U481" i="41"/>
  <c r="Y481" i="41"/>
  <c r="P257" i="41"/>
  <c r="P259" i="41"/>
  <c r="P261" i="41"/>
  <c r="P263" i="41"/>
  <c r="P265" i="41"/>
  <c r="P267" i="41"/>
  <c r="P269" i="41"/>
  <c r="P271" i="41"/>
  <c r="P273" i="41"/>
  <c r="P275" i="41"/>
  <c r="P278" i="41"/>
  <c r="P280" i="41"/>
  <c r="P282" i="41"/>
  <c r="P284" i="41"/>
  <c r="P286" i="41"/>
  <c r="P288" i="41"/>
  <c r="P290" i="41"/>
  <c r="P292" i="41"/>
  <c r="P294" i="41"/>
  <c r="P296" i="41"/>
  <c r="P298" i="41"/>
  <c r="P300" i="41"/>
  <c r="P302" i="41"/>
  <c r="P304" i="41"/>
  <c r="P306" i="41"/>
  <c r="P308" i="41"/>
  <c r="P310" i="41"/>
  <c r="P312" i="41"/>
  <c r="P314" i="41"/>
  <c r="P316" i="41"/>
  <c r="P318" i="41"/>
  <c r="P320" i="41"/>
  <c r="P322" i="41"/>
  <c r="P324" i="41"/>
  <c r="P326" i="41"/>
  <c r="P328" i="41"/>
  <c r="P330" i="41"/>
  <c r="P332" i="41"/>
  <c r="P334" i="41"/>
  <c r="P336" i="41"/>
  <c r="P338" i="41"/>
  <c r="P340" i="41"/>
  <c r="P342" i="41"/>
  <c r="P344" i="41"/>
  <c r="P346" i="41"/>
  <c r="P348" i="41"/>
  <c r="P350" i="41"/>
  <c r="P352" i="41"/>
  <c r="P354" i="41"/>
  <c r="P356" i="41"/>
  <c r="P358" i="41"/>
  <c r="P360" i="41"/>
  <c r="P362" i="41"/>
  <c r="P364" i="41"/>
  <c r="P366" i="41"/>
  <c r="P368" i="41"/>
  <c r="P370" i="41"/>
  <c r="P372" i="41"/>
  <c r="P374" i="41"/>
  <c r="P376" i="41"/>
  <c r="P378" i="41"/>
  <c r="P380" i="41"/>
  <c r="P382" i="41"/>
  <c r="P384" i="41"/>
  <c r="P386" i="41"/>
  <c r="P388" i="41"/>
  <c r="P390" i="41"/>
  <c r="P392" i="41"/>
  <c r="P394" i="41"/>
  <c r="P396" i="41"/>
  <c r="P398" i="41"/>
  <c r="P400" i="41"/>
  <c r="P402" i="41"/>
  <c r="P404" i="41"/>
  <c r="P406" i="41"/>
  <c r="P408" i="41"/>
  <c r="P410" i="41"/>
  <c r="P412" i="41"/>
  <c r="P414" i="41"/>
  <c r="P416" i="41"/>
  <c r="P418" i="41"/>
  <c r="P420" i="41"/>
  <c r="P422" i="41"/>
  <c r="P424" i="41"/>
  <c r="P426" i="41"/>
  <c r="P428" i="41"/>
  <c r="P430" i="41"/>
  <c r="P432" i="41"/>
  <c r="P434" i="41"/>
  <c r="P436" i="41"/>
  <c r="P438" i="41"/>
  <c r="P440" i="41"/>
  <c r="P442" i="41"/>
  <c r="P444" i="41"/>
  <c r="P446" i="41"/>
  <c r="P448" i="41"/>
  <c r="P450" i="41"/>
  <c r="V393" i="41"/>
  <c r="Z393" i="41"/>
  <c r="S394" i="41"/>
  <c r="W394" i="41"/>
  <c r="AA394" i="41"/>
  <c r="T395" i="41"/>
  <c r="X395" i="41"/>
  <c r="Q396" i="41"/>
  <c r="U396" i="41"/>
  <c r="Y396" i="41"/>
  <c r="R397" i="41"/>
  <c r="V397" i="41"/>
  <c r="Z397" i="41"/>
  <c r="S398" i="41"/>
  <c r="W398" i="41"/>
  <c r="AA398" i="41"/>
  <c r="T399" i="41"/>
  <c r="X399" i="41"/>
  <c r="Q400" i="41"/>
  <c r="U400" i="41"/>
  <c r="Y400" i="41"/>
  <c r="R401" i="41"/>
  <c r="V401" i="41"/>
  <c r="Z401" i="41"/>
  <c r="S402" i="41"/>
  <c r="W402" i="41"/>
  <c r="AA402" i="41"/>
  <c r="T403" i="41"/>
  <c r="X403" i="41"/>
  <c r="Q404" i="41"/>
  <c r="U404" i="41"/>
  <c r="Y404" i="41"/>
  <c r="R405" i="41"/>
  <c r="V405" i="41"/>
  <c r="Z405" i="41"/>
  <c r="S406" i="41"/>
  <c r="W406" i="41"/>
  <c r="AA406" i="41"/>
  <c r="T407" i="41"/>
  <c r="X407" i="41"/>
  <c r="Q408" i="41"/>
  <c r="U408" i="41"/>
  <c r="Y408" i="41"/>
  <c r="R409" i="41"/>
  <c r="V409" i="41"/>
  <c r="Z409" i="41"/>
  <c r="S410" i="41"/>
  <c r="W410" i="41"/>
  <c r="AA410" i="41"/>
  <c r="T411" i="41"/>
  <c r="X411" i="41"/>
  <c r="Q412" i="41"/>
  <c r="U412" i="41"/>
  <c r="Y412" i="41"/>
  <c r="R413" i="41"/>
  <c r="V413" i="41"/>
  <c r="Z413" i="41"/>
  <c r="S414" i="41"/>
  <c r="W414" i="41"/>
  <c r="AA414" i="41"/>
  <c r="T415" i="41"/>
  <c r="X415" i="41"/>
  <c r="Q416" i="41"/>
  <c r="U416" i="41"/>
  <c r="Y416" i="41"/>
  <c r="R417" i="41"/>
  <c r="V417" i="41"/>
  <c r="Z417" i="41"/>
  <c r="S418" i="41"/>
  <c r="W418" i="41"/>
  <c r="AA418" i="41"/>
  <c r="T419" i="41"/>
  <c r="X419" i="41"/>
  <c r="Q420" i="41"/>
  <c r="U420" i="41"/>
  <c r="Y420" i="41"/>
  <c r="R421" i="41"/>
  <c r="V421" i="41"/>
  <c r="Z421" i="41"/>
  <c r="S422" i="41"/>
  <c r="W422" i="41"/>
  <c r="AA422" i="41"/>
  <c r="T423" i="41"/>
  <c r="X423" i="41"/>
  <c r="Q424" i="41"/>
  <c r="U424" i="41"/>
  <c r="Y424" i="41"/>
  <c r="R425" i="41"/>
  <c r="V425" i="41"/>
  <c r="Z425" i="41"/>
  <c r="S426" i="41"/>
  <c r="W426" i="41"/>
  <c r="AA426" i="41"/>
  <c r="T427" i="41"/>
  <c r="X427" i="41"/>
  <c r="Q428" i="41"/>
  <c r="U428" i="41"/>
  <c r="Y428" i="41"/>
  <c r="R429" i="41"/>
  <c r="V429" i="41"/>
  <c r="Z429" i="41"/>
  <c r="S430" i="41"/>
  <c r="W430" i="41"/>
  <c r="AA430" i="41"/>
  <c r="T431" i="41"/>
  <c r="X431" i="41"/>
  <c r="Q432" i="41"/>
  <c r="U432" i="41"/>
  <c r="Y432" i="41"/>
  <c r="R433" i="41"/>
  <c r="V433" i="41"/>
  <c r="Z433" i="41"/>
  <c r="S434" i="41"/>
  <c r="W434" i="41"/>
  <c r="AA434" i="41"/>
  <c r="T435" i="41"/>
  <c r="X435" i="41"/>
  <c r="Q436" i="41"/>
  <c r="U436" i="41"/>
  <c r="Y436" i="41"/>
  <c r="R437" i="41"/>
  <c r="V437" i="41"/>
  <c r="Z437" i="41"/>
  <c r="S438" i="41"/>
  <c r="W438" i="41"/>
  <c r="AA438" i="41"/>
  <c r="T439" i="41"/>
  <c r="X439" i="41"/>
  <c r="Q440" i="41"/>
  <c r="U440" i="41"/>
  <c r="Y440" i="41"/>
  <c r="R441" i="41"/>
  <c r="V441" i="41"/>
  <c r="Z441" i="41"/>
  <c r="S442" i="41"/>
  <c r="W442" i="41"/>
  <c r="AA442" i="41"/>
  <c r="T443" i="41"/>
  <c r="X443" i="41"/>
  <c r="Q444" i="41"/>
  <c r="U444" i="41"/>
  <c r="Y444" i="41"/>
  <c r="R445" i="41"/>
  <c r="V445" i="41"/>
  <c r="Z445" i="41"/>
  <c r="S446" i="41"/>
  <c r="W446" i="41"/>
  <c r="AA446" i="41"/>
  <c r="T447" i="41"/>
  <c r="X447" i="41"/>
  <c r="Q448" i="41"/>
  <c r="U448" i="41"/>
  <c r="Y448" i="41"/>
  <c r="R449" i="41"/>
  <c r="V449" i="41"/>
  <c r="Z449" i="41"/>
  <c r="S450" i="41"/>
  <c r="W450" i="41"/>
  <c r="AA450" i="41"/>
  <c r="T451" i="41"/>
  <c r="X451" i="41"/>
  <c r="Q452" i="41"/>
  <c r="U452" i="41"/>
  <c r="Y452" i="41"/>
  <c r="R453" i="41"/>
  <c r="V453" i="41"/>
  <c r="Z453" i="41"/>
  <c r="S454" i="41"/>
  <c r="W454" i="41"/>
  <c r="AA454" i="41"/>
  <c r="T455" i="41"/>
  <c r="X455" i="41"/>
  <c r="Q456" i="41"/>
  <c r="U456" i="41"/>
  <c r="Y456" i="41"/>
  <c r="R457" i="41"/>
  <c r="V457" i="41"/>
  <c r="Z457" i="41"/>
  <c r="S458" i="41"/>
  <c r="W458" i="41"/>
  <c r="AA458" i="41"/>
  <c r="T459" i="41"/>
  <c r="X459" i="41"/>
  <c r="Q460" i="41"/>
  <c r="U460" i="41"/>
  <c r="Y460" i="41"/>
  <c r="R461" i="41"/>
  <c r="V461" i="41"/>
  <c r="Z461" i="41"/>
  <c r="S462" i="41"/>
  <c r="W462" i="41"/>
  <c r="AA462" i="41"/>
  <c r="T463" i="41"/>
  <c r="X463" i="41"/>
  <c r="Q464" i="41"/>
  <c r="U464" i="41"/>
  <c r="Y464" i="41"/>
  <c r="R465" i="41"/>
  <c r="V465" i="41"/>
  <c r="Z465" i="41"/>
  <c r="S466" i="41"/>
  <c r="W466" i="41"/>
  <c r="AA466" i="41"/>
  <c r="T467" i="41"/>
  <c r="X467" i="41"/>
  <c r="Q468" i="41"/>
  <c r="U468" i="41"/>
  <c r="Y468" i="41"/>
  <c r="R469" i="41"/>
  <c r="V469" i="41"/>
  <c r="Z469" i="41"/>
  <c r="S470" i="41"/>
  <c r="W470" i="41"/>
  <c r="AA470" i="41"/>
  <c r="T471" i="41"/>
  <c r="X471" i="41"/>
  <c r="Q472" i="41"/>
  <c r="U472" i="41"/>
  <c r="Y472" i="41"/>
  <c r="R473" i="41"/>
  <c r="V473" i="41"/>
  <c r="Z473" i="41"/>
  <c r="S474" i="41"/>
  <c r="W474" i="41"/>
  <c r="AA474" i="41"/>
  <c r="T475" i="41"/>
  <c r="X475" i="41"/>
  <c r="Q476" i="41"/>
  <c r="U476" i="41"/>
  <c r="Y476" i="41"/>
  <c r="R477" i="41"/>
  <c r="V477" i="41"/>
  <c r="Z477" i="41"/>
  <c r="S478" i="41"/>
  <c r="W478" i="41"/>
  <c r="AA478" i="41"/>
  <c r="T479" i="41"/>
  <c r="X479" i="41"/>
  <c r="Q480" i="41"/>
  <c r="U480" i="41"/>
  <c r="Y480" i="41"/>
  <c r="R481" i="41"/>
  <c r="V481" i="41"/>
  <c r="Z481" i="41"/>
  <c r="O258" i="41"/>
  <c r="O260" i="41"/>
  <c r="O262" i="41"/>
  <c r="O264" i="41"/>
  <c r="O266" i="41"/>
  <c r="O268" i="41"/>
  <c r="O270" i="41"/>
  <c r="O272" i="41"/>
  <c r="O274" i="41"/>
  <c r="O276" i="41"/>
  <c r="O279" i="41"/>
  <c r="O281" i="41"/>
  <c r="O283" i="41"/>
  <c r="O285" i="41"/>
  <c r="O287" i="41"/>
  <c r="O289" i="41"/>
  <c r="O291" i="41"/>
  <c r="O293" i="41"/>
  <c r="O295" i="41"/>
  <c r="O297" i="41"/>
  <c r="O299" i="41"/>
  <c r="O301" i="41"/>
  <c r="O303" i="41"/>
  <c r="O305" i="41"/>
  <c r="O307" i="41"/>
  <c r="O309" i="41"/>
  <c r="O311" i="41"/>
  <c r="O313" i="41"/>
  <c r="O315" i="41"/>
  <c r="O317" i="41"/>
  <c r="O319" i="41"/>
  <c r="O321" i="41"/>
  <c r="O323" i="41"/>
  <c r="O325" i="41"/>
  <c r="O327" i="41"/>
  <c r="O329" i="41"/>
  <c r="O331" i="41"/>
  <c r="O333" i="41"/>
  <c r="O335" i="41"/>
  <c r="O337" i="41"/>
  <c r="O339" i="41"/>
  <c r="O341" i="41"/>
  <c r="O343" i="41"/>
  <c r="O345" i="41"/>
  <c r="O347" i="41"/>
  <c r="O349" i="41"/>
  <c r="O351" i="41"/>
  <c r="O353" i="41"/>
  <c r="O355" i="41"/>
  <c r="O357" i="41"/>
  <c r="O359" i="41"/>
  <c r="O361" i="41"/>
  <c r="O363" i="41"/>
  <c r="O365" i="41"/>
  <c r="O367" i="41"/>
  <c r="O369" i="41"/>
  <c r="O371" i="41"/>
  <c r="O373" i="41"/>
  <c r="O375" i="41"/>
  <c r="O377" i="41"/>
  <c r="O379" i="41"/>
  <c r="O381" i="41"/>
  <c r="O383" i="41"/>
  <c r="O385" i="41"/>
  <c r="O387" i="41"/>
  <c r="O389" i="41"/>
  <c r="O391" i="41"/>
  <c r="O393" i="41"/>
  <c r="O395" i="41"/>
  <c r="O397" i="41"/>
  <c r="O399" i="41"/>
  <c r="O401" i="41"/>
  <c r="O403" i="41"/>
  <c r="O405" i="41"/>
  <c r="O407" i="41"/>
  <c r="O409" i="41"/>
  <c r="O411" i="41"/>
  <c r="O413" i="41"/>
  <c r="O415" i="41"/>
  <c r="O417" i="41"/>
  <c r="O419" i="41"/>
  <c r="O421" i="41"/>
  <c r="O423" i="41"/>
  <c r="O425" i="41"/>
  <c r="O427" i="41"/>
  <c r="O429" i="41"/>
  <c r="O431" i="41"/>
  <c r="O433" i="41"/>
  <c r="O435" i="41"/>
  <c r="O437" i="41"/>
  <c r="O439" i="41"/>
  <c r="O441" i="41"/>
  <c r="O443" i="41"/>
  <c r="O445" i="41"/>
  <c r="O447" i="41"/>
  <c r="O449" i="41"/>
  <c r="O451" i="41"/>
  <c r="W393" i="41"/>
  <c r="AA393" i="41"/>
  <c r="T394" i="41"/>
  <c r="X394" i="41"/>
  <c r="Q395" i="41"/>
  <c r="U395" i="41"/>
  <c r="Y395" i="41"/>
  <c r="R396" i="41"/>
  <c r="V396" i="41"/>
  <c r="Z396" i="41"/>
  <c r="S397" i="41"/>
  <c r="W397" i="41"/>
  <c r="AA397" i="41"/>
  <c r="T398" i="41"/>
  <c r="X398" i="41"/>
  <c r="Q399" i="41"/>
  <c r="U399" i="41"/>
  <c r="Y399" i="41"/>
  <c r="R400" i="41"/>
  <c r="V400" i="41"/>
  <c r="Z400" i="41"/>
  <c r="S401" i="41"/>
  <c r="W401" i="41"/>
  <c r="AA401" i="41"/>
  <c r="T402" i="41"/>
  <c r="X402" i="41"/>
  <c r="Q403" i="41"/>
  <c r="U403" i="41"/>
  <c r="Y403" i="41"/>
  <c r="R404" i="41"/>
  <c r="V404" i="41"/>
  <c r="Z404" i="41"/>
  <c r="S405" i="41"/>
  <c r="W405" i="41"/>
  <c r="AA405" i="41"/>
  <c r="T406" i="41"/>
  <c r="X406" i="41"/>
  <c r="Q407" i="41"/>
  <c r="U407" i="41"/>
  <c r="Y407" i="41"/>
  <c r="R408" i="41"/>
  <c r="V408" i="41"/>
  <c r="Z408" i="41"/>
  <c r="S409" i="41"/>
  <c r="W409" i="41"/>
  <c r="AA409" i="41"/>
  <c r="T410" i="41"/>
  <c r="X410" i="41"/>
  <c r="Q411" i="41"/>
  <c r="U411" i="41"/>
  <c r="Y411" i="41"/>
  <c r="R412" i="41"/>
  <c r="V412" i="41"/>
  <c r="Z412" i="41"/>
  <c r="S413" i="41"/>
  <c r="W413" i="41"/>
  <c r="AA413" i="41"/>
  <c r="T414" i="41"/>
  <c r="X414" i="41"/>
  <c r="Q415" i="41"/>
  <c r="U415" i="41"/>
  <c r="Y415" i="41"/>
  <c r="R416" i="41"/>
  <c r="V416" i="41"/>
  <c r="Z416" i="41"/>
  <c r="S417" i="41"/>
  <c r="W417" i="41"/>
  <c r="AA417" i="41"/>
  <c r="T418" i="41"/>
  <c r="X418" i="41"/>
  <c r="Q419" i="41"/>
  <c r="U419" i="41"/>
  <c r="Y419" i="41"/>
  <c r="R420" i="41"/>
  <c r="V420" i="41"/>
  <c r="Z420" i="41"/>
  <c r="S421" i="41"/>
  <c r="W421" i="41"/>
  <c r="AA421" i="41"/>
  <c r="T422" i="41"/>
  <c r="X422" i="41"/>
  <c r="Q423" i="41"/>
  <c r="U423" i="41"/>
  <c r="Y423" i="41"/>
  <c r="R424" i="41"/>
  <c r="V424" i="41"/>
  <c r="Z424" i="41"/>
  <c r="S425" i="41"/>
  <c r="W425" i="41"/>
  <c r="AA425" i="41"/>
  <c r="T426" i="41"/>
  <c r="X426" i="41"/>
  <c r="Q427" i="41"/>
  <c r="U427" i="41"/>
  <c r="Y427" i="41"/>
  <c r="R428" i="41"/>
  <c r="V428" i="41"/>
  <c r="Z428" i="41"/>
  <c r="S429" i="41"/>
  <c r="W429" i="41"/>
  <c r="AA429" i="41"/>
  <c r="T430" i="41"/>
  <c r="X430" i="41"/>
  <c r="Q431" i="41"/>
  <c r="U431" i="41"/>
  <c r="Y431" i="41"/>
  <c r="R432" i="41"/>
  <c r="V432" i="41"/>
  <c r="Z432" i="41"/>
  <c r="S433" i="41"/>
  <c r="W433" i="41"/>
  <c r="AA433" i="41"/>
  <c r="T434" i="41"/>
  <c r="X434" i="41"/>
  <c r="Q435" i="41"/>
  <c r="U435" i="41"/>
  <c r="Y435" i="41"/>
  <c r="R436" i="41"/>
  <c r="V436" i="41"/>
  <c r="Z436" i="41"/>
  <c r="S437" i="41"/>
  <c r="W437" i="41"/>
  <c r="AA437" i="41"/>
  <c r="T438" i="41"/>
  <c r="X438" i="41"/>
  <c r="Q439" i="41"/>
  <c r="U439" i="41"/>
  <c r="Y439" i="41"/>
  <c r="R440" i="41"/>
  <c r="V440" i="41"/>
  <c r="Z440" i="41"/>
  <c r="S441" i="41"/>
  <c r="W441" i="41"/>
  <c r="AA441" i="41"/>
  <c r="T442" i="41"/>
  <c r="X442" i="41"/>
  <c r="Q443" i="41"/>
  <c r="U443" i="41"/>
  <c r="Y443" i="41"/>
  <c r="R444" i="41"/>
  <c r="V444" i="41"/>
  <c r="Z444" i="41"/>
  <c r="S445" i="41"/>
  <c r="W445" i="41"/>
  <c r="AA445" i="41"/>
  <c r="T446" i="41"/>
  <c r="X446" i="41"/>
  <c r="Q447" i="41"/>
  <c r="U447" i="41"/>
  <c r="Y447" i="41"/>
  <c r="R448" i="41"/>
  <c r="V448" i="41"/>
  <c r="Z448" i="41"/>
  <c r="S449" i="41"/>
  <c r="W449" i="41"/>
  <c r="AA449" i="41"/>
  <c r="T450" i="41"/>
  <c r="X450" i="41"/>
  <c r="Q451" i="41"/>
  <c r="U451" i="41"/>
  <c r="Y451" i="41"/>
  <c r="R452" i="41"/>
  <c r="V452" i="41"/>
  <c r="Z452" i="41"/>
  <c r="S453" i="41"/>
  <c r="W453" i="41"/>
  <c r="AA453" i="41"/>
  <c r="T454" i="41"/>
  <c r="X454" i="41"/>
  <c r="Q455" i="41"/>
  <c r="U455" i="41"/>
  <c r="Y455" i="41"/>
  <c r="R456" i="41"/>
  <c r="V456" i="41"/>
  <c r="Z456" i="41"/>
  <c r="S457" i="41"/>
  <c r="W457" i="41"/>
  <c r="AA457" i="41"/>
  <c r="T458" i="41"/>
  <c r="X458" i="41"/>
  <c r="Q459" i="41"/>
  <c r="U459" i="41"/>
  <c r="Y459" i="41"/>
  <c r="R460" i="41"/>
  <c r="V460" i="41"/>
  <c r="Z460" i="41"/>
  <c r="S461" i="41"/>
  <c r="W461" i="41"/>
  <c r="AA461" i="41"/>
  <c r="T462" i="41"/>
  <c r="X462" i="41"/>
  <c r="Q463" i="41"/>
  <c r="U463" i="41"/>
  <c r="Y463" i="41"/>
  <c r="R464" i="41"/>
  <c r="V464" i="41"/>
  <c r="Z464" i="41"/>
  <c r="S465" i="41"/>
  <c r="W465" i="41"/>
  <c r="AA465" i="41"/>
  <c r="T466" i="41"/>
  <c r="X466" i="41"/>
  <c r="Q467" i="41"/>
  <c r="U467" i="41"/>
  <c r="Y467" i="41"/>
  <c r="R468" i="41"/>
  <c r="V468" i="41"/>
  <c r="Z468" i="41"/>
  <c r="S469" i="41"/>
  <c r="W469" i="41"/>
  <c r="AA469" i="41"/>
  <c r="T470" i="41"/>
  <c r="X470" i="41"/>
  <c r="Q471" i="41"/>
  <c r="U471" i="41"/>
  <c r="Y471" i="41"/>
  <c r="R472" i="41"/>
  <c r="V472" i="41"/>
  <c r="Z472" i="41"/>
  <c r="S473" i="41"/>
  <c r="W473" i="41"/>
  <c r="AA473" i="41"/>
  <c r="T474" i="41"/>
  <c r="X474" i="41"/>
  <c r="Q475" i="41"/>
  <c r="U475" i="41"/>
  <c r="Y475" i="41"/>
  <c r="R476" i="41"/>
  <c r="V476" i="41"/>
  <c r="Z476" i="41"/>
  <c r="S477" i="41"/>
  <c r="W477" i="41"/>
  <c r="AA477" i="41"/>
  <c r="T478" i="41"/>
  <c r="X478" i="41"/>
  <c r="Q479" i="41"/>
  <c r="U479" i="41"/>
  <c r="Y479" i="41"/>
  <c r="R480" i="41"/>
  <c r="V480" i="41"/>
  <c r="Z480" i="41"/>
  <c r="S481" i="41"/>
  <c r="W481" i="41"/>
  <c r="AA481" i="41"/>
  <c r="P258" i="41"/>
  <c r="P260" i="41"/>
  <c r="P262" i="41"/>
  <c r="P264" i="41"/>
  <c r="P266" i="41"/>
  <c r="P268" i="41"/>
  <c r="P270" i="41"/>
  <c r="P272" i="41"/>
  <c r="P274" i="41"/>
  <c r="P276" i="41"/>
  <c r="P279" i="41"/>
  <c r="P281" i="41"/>
  <c r="P283" i="41"/>
  <c r="P285" i="41"/>
  <c r="P287" i="41"/>
  <c r="P289" i="41"/>
  <c r="P291" i="41"/>
  <c r="P293" i="41"/>
  <c r="P295" i="41"/>
  <c r="P297" i="41"/>
  <c r="P299" i="41"/>
  <c r="P301" i="41"/>
  <c r="P303" i="41"/>
  <c r="P305" i="41"/>
  <c r="P307" i="41"/>
  <c r="P309" i="41"/>
  <c r="P311" i="41"/>
  <c r="P313" i="41"/>
  <c r="P315" i="41"/>
  <c r="P317" i="41"/>
  <c r="P319" i="41"/>
  <c r="P321" i="41"/>
  <c r="P323" i="41"/>
  <c r="P325" i="41"/>
  <c r="P327" i="41"/>
  <c r="P329" i="41"/>
  <c r="P331" i="41"/>
  <c r="P333" i="41"/>
  <c r="P335" i="41"/>
  <c r="P337" i="41"/>
  <c r="P339" i="41"/>
  <c r="P341" i="41"/>
  <c r="P343" i="41"/>
  <c r="P345" i="41"/>
  <c r="P347" i="41"/>
  <c r="P349" i="41"/>
  <c r="P351" i="41"/>
  <c r="P353" i="41"/>
  <c r="P355" i="41"/>
  <c r="P357" i="41"/>
  <c r="P359" i="41"/>
  <c r="P361" i="41"/>
  <c r="P363" i="41"/>
  <c r="P365" i="41"/>
  <c r="P367" i="41"/>
  <c r="P369" i="41"/>
  <c r="P371" i="41"/>
  <c r="P373" i="41"/>
  <c r="P375" i="41"/>
  <c r="P377" i="41"/>
  <c r="P379" i="41"/>
  <c r="P381" i="41"/>
  <c r="P383" i="41"/>
  <c r="P385" i="41"/>
  <c r="P387" i="41"/>
  <c r="P389" i="41"/>
  <c r="P391" i="41"/>
  <c r="P393" i="41"/>
  <c r="P395" i="41"/>
  <c r="P397" i="41"/>
  <c r="P399" i="41"/>
  <c r="P401" i="41"/>
  <c r="P403" i="41"/>
  <c r="P405" i="41"/>
  <c r="P407" i="41"/>
  <c r="P409" i="41"/>
  <c r="P411" i="41"/>
  <c r="P413" i="41"/>
  <c r="P415" i="41"/>
  <c r="P417" i="41"/>
  <c r="P419" i="41"/>
  <c r="P421" i="41"/>
  <c r="P423" i="41"/>
  <c r="P425" i="41"/>
  <c r="P427" i="41"/>
  <c r="P429" i="41"/>
  <c r="P431" i="41"/>
  <c r="P433" i="41"/>
  <c r="P435" i="41"/>
  <c r="P437" i="41"/>
  <c r="P439" i="41"/>
  <c r="P441" i="41"/>
  <c r="P443" i="41"/>
  <c r="P445" i="41"/>
  <c r="P447" i="41"/>
  <c r="P449" i="41"/>
  <c r="P451" i="41"/>
  <c r="X393" i="41"/>
  <c r="Q394" i="41"/>
  <c r="U394" i="41"/>
  <c r="Y394" i="41"/>
  <c r="R395" i="41"/>
  <c r="V395" i="41"/>
  <c r="Z395" i="41"/>
  <c r="S396" i="41"/>
  <c r="W396" i="41"/>
  <c r="AA396" i="41"/>
  <c r="T397" i="41"/>
  <c r="X397" i="41"/>
  <c r="Q398" i="41"/>
  <c r="U398" i="41"/>
  <c r="Y398" i="41"/>
  <c r="R399" i="41"/>
  <c r="V399" i="41"/>
  <c r="Z399" i="41"/>
  <c r="S400" i="41"/>
  <c r="W400" i="41"/>
  <c r="AA400" i="41"/>
  <c r="T401" i="41"/>
  <c r="X401" i="41"/>
  <c r="Q402" i="41"/>
  <c r="U402" i="41"/>
  <c r="Y402" i="41"/>
  <c r="R403" i="41"/>
  <c r="V403" i="41"/>
  <c r="Z403" i="41"/>
  <c r="S404" i="41"/>
  <c r="W404" i="41"/>
  <c r="AA404" i="41"/>
  <c r="T405" i="41"/>
  <c r="X405" i="41"/>
  <c r="Q406" i="41"/>
  <c r="U406" i="41"/>
  <c r="Y406" i="41"/>
  <c r="R407" i="41"/>
  <c r="V407" i="41"/>
  <c r="Z407" i="41"/>
  <c r="S408" i="41"/>
  <c r="W408" i="41"/>
  <c r="AA408" i="41"/>
  <c r="T409" i="41"/>
  <c r="X409" i="41"/>
  <c r="Q410" i="41"/>
  <c r="U410" i="41"/>
  <c r="Y410" i="41"/>
  <c r="R411" i="41"/>
  <c r="V411" i="41"/>
  <c r="Z411" i="41"/>
  <c r="S412" i="41"/>
  <c r="W412" i="41"/>
  <c r="AA412" i="41"/>
  <c r="T413" i="41"/>
  <c r="X413" i="41"/>
  <c r="Q414" i="41"/>
  <c r="U414" i="41"/>
  <c r="Y414" i="41"/>
  <c r="R415" i="41"/>
  <c r="V415" i="41"/>
  <c r="Z415" i="41"/>
  <c r="S416" i="41"/>
  <c r="W416" i="41"/>
  <c r="AA416" i="41"/>
  <c r="T417" i="41"/>
  <c r="X417" i="41"/>
  <c r="Q418" i="41"/>
  <c r="U418" i="41"/>
  <c r="Y418" i="41"/>
  <c r="R419" i="41"/>
  <c r="V419" i="41"/>
  <c r="Z419" i="41"/>
  <c r="S420" i="41"/>
  <c r="W420" i="41"/>
  <c r="AA420" i="41"/>
  <c r="T421" i="41"/>
  <c r="X421" i="41"/>
  <c r="Q422" i="41"/>
  <c r="U422" i="41"/>
  <c r="Y422" i="41"/>
  <c r="R423" i="41"/>
  <c r="V423" i="41"/>
  <c r="Z423" i="41"/>
  <c r="S424" i="41"/>
  <c r="W424" i="41"/>
  <c r="AA424" i="41"/>
  <c r="T425" i="41"/>
  <c r="X425" i="41"/>
  <c r="Q426" i="41"/>
  <c r="U426" i="41"/>
  <c r="Y426" i="41"/>
  <c r="R427" i="41"/>
  <c r="V427" i="41"/>
  <c r="Z427" i="41"/>
  <c r="S428" i="41"/>
  <c r="W428" i="41"/>
  <c r="AA428" i="41"/>
  <c r="T429" i="41"/>
  <c r="X429" i="41"/>
  <c r="Q430" i="41"/>
  <c r="U430" i="41"/>
  <c r="Y430" i="41"/>
  <c r="R431" i="41"/>
  <c r="V431" i="41"/>
  <c r="Z431" i="41"/>
  <c r="S432" i="41"/>
  <c r="W432" i="41"/>
  <c r="AA432" i="41"/>
  <c r="T433" i="41"/>
  <c r="X433" i="41"/>
  <c r="Q434" i="41"/>
  <c r="U434" i="41"/>
  <c r="Y434" i="41"/>
  <c r="R435" i="41"/>
  <c r="V435" i="41"/>
  <c r="Z435" i="41"/>
  <c r="S436" i="41"/>
  <c r="W436" i="41"/>
  <c r="AA436" i="41"/>
  <c r="T437" i="41"/>
  <c r="X437" i="41"/>
  <c r="Q438" i="41"/>
  <c r="U438" i="41"/>
  <c r="Y438" i="41"/>
  <c r="R439" i="41"/>
  <c r="V439" i="41"/>
  <c r="Z439" i="41"/>
  <c r="S440" i="41"/>
  <c r="W440" i="41"/>
  <c r="AA440" i="41"/>
  <c r="T441" i="41"/>
  <c r="X441" i="41"/>
  <c r="Q442" i="41"/>
  <c r="U442" i="41"/>
  <c r="Y442" i="41"/>
  <c r="R443" i="41"/>
  <c r="V443" i="41"/>
  <c r="Z443" i="41"/>
  <c r="S444" i="41"/>
  <c r="W444" i="41"/>
  <c r="AA444" i="41"/>
  <c r="T445" i="41"/>
  <c r="X445" i="41"/>
  <c r="Q446" i="41"/>
  <c r="U446" i="41"/>
  <c r="Y446" i="41"/>
  <c r="R447" i="41"/>
  <c r="V447" i="41"/>
  <c r="Z447" i="41"/>
  <c r="S448" i="41"/>
  <c r="W448" i="41"/>
  <c r="AA448" i="41"/>
  <c r="T449" i="41"/>
  <c r="X449" i="41"/>
  <c r="Q450" i="41"/>
  <c r="U450" i="41"/>
  <c r="Y450" i="41"/>
  <c r="R451" i="41"/>
  <c r="V451" i="41"/>
  <c r="Z451" i="41"/>
  <c r="S452" i="41"/>
  <c r="W452" i="41"/>
  <c r="AA452" i="41"/>
  <c r="T453" i="41"/>
  <c r="X453" i="41"/>
  <c r="Q454" i="41"/>
  <c r="U454" i="41"/>
  <c r="Y454" i="41"/>
  <c r="R455" i="41"/>
  <c r="V455" i="41"/>
  <c r="Z455" i="41"/>
  <c r="S456" i="41"/>
  <c r="W456" i="41"/>
  <c r="AA456" i="41"/>
  <c r="T457" i="41"/>
  <c r="X457" i="41"/>
  <c r="Q458" i="41"/>
  <c r="U458" i="41"/>
  <c r="Y458" i="41"/>
  <c r="R459" i="41"/>
  <c r="V459" i="41"/>
  <c r="Z459" i="41"/>
  <c r="S460" i="41"/>
  <c r="W460" i="41"/>
  <c r="AA460" i="41"/>
  <c r="T461" i="41"/>
  <c r="X461" i="41"/>
  <c r="Q462" i="41"/>
  <c r="U462" i="41"/>
  <c r="Y462" i="41"/>
  <c r="R463" i="41"/>
  <c r="V463" i="41"/>
  <c r="Z463" i="41"/>
  <c r="S464" i="41"/>
  <c r="W464" i="41"/>
  <c r="AA464" i="41"/>
  <c r="T465" i="41"/>
  <c r="X465" i="41"/>
  <c r="Q466" i="41"/>
  <c r="U466" i="41"/>
  <c r="Y466" i="41"/>
  <c r="R467" i="41"/>
  <c r="V467" i="41"/>
  <c r="Z467" i="41"/>
  <c r="S468" i="41"/>
  <c r="W468" i="41"/>
  <c r="AA468" i="41"/>
  <c r="T469" i="41"/>
  <c r="X469" i="41"/>
  <c r="Q470" i="41"/>
  <c r="U470" i="41"/>
  <c r="Y470" i="41"/>
  <c r="R471" i="41"/>
  <c r="V471" i="41"/>
  <c r="Z471" i="41"/>
  <c r="S472" i="41"/>
  <c r="W472" i="41"/>
  <c r="AA472" i="41"/>
  <c r="T473" i="41"/>
  <c r="X473" i="41"/>
  <c r="Q474" i="41"/>
  <c r="U474" i="41"/>
  <c r="Y474" i="41"/>
  <c r="R475" i="41"/>
  <c r="V475" i="41"/>
  <c r="Z475" i="41"/>
  <c r="S476" i="41"/>
  <c r="W476" i="41"/>
  <c r="AA476" i="41"/>
  <c r="T477" i="41"/>
  <c r="X477" i="41"/>
  <c r="Q478" i="41"/>
  <c r="U478" i="41"/>
  <c r="Y478" i="41"/>
  <c r="R479" i="41"/>
  <c r="V479" i="41"/>
  <c r="Z479" i="41"/>
  <c r="S480" i="41"/>
  <c r="W480" i="41"/>
  <c r="AA480" i="41"/>
  <c r="T481" i="41"/>
  <c r="X481" i="41"/>
  <c r="O257" i="41"/>
  <c r="O259" i="41"/>
  <c r="O261" i="41"/>
  <c r="O263" i="41"/>
  <c r="O265" i="41"/>
  <c r="O267" i="41"/>
  <c r="O269" i="41"/>
  <c r="O271" i="41"/>
  <c r="O273" i="41"/>
  <c r="O275" i="41"/>
  <c r="O278" i="41"/>
  <c r="O280" i="41"/>
  <c r="O282" i="41"/>
  <c r="O284" i="41"/>
  <c r="O286" i="41"/>
  <c r="O288" i="41"/>
  <c r="O290" i="41"/>
  <c r="O292" i="41"/>
  <c r="O294" i="41"/>
  <c r="O296" i="41"/>
  <c r="O298" i="41"/>
  <c r="O300" i="41"/>
  <c r="O302" i="41"/>
  <c r="O304" i="41"/>
  <c r="O306" i="41"/>
  <c r="O308" i="41"/>
  <c r="O310" i="41"/>
  <c r="O312" i="41"/>
  <c r="O314" i="41"/>
  <c r="O316" i="41"/>
  <c r="O318" i="41"/>
  <c r="O320" i="41"/>
  <c r="O322" i="41"/>
  <c r="O324" i="41"/>
  <c r="O326" i="41"/>
  <c r="O328" i="41"/>
  <c r="O330" i="41"/>
  <c r="O332" i="41"/>
  <c r="O334" i="41"/>
  <c r="O336" i="41"/>
  <c r="O338" i="41"/>
  <c r="O340" i="41"/>
  <c r="O342" i="41"/>
  <c r="O344" i="41"/>
  <c r="O346" i="41"/>
  <c r="O348" i="41"/>
  <c r="O350" i="41"/>
  <c r="O352" i="41"/>
  <c r="O354" i="41"/>
  <c r="O356" i="41"/>
  <c r="O358" i="41"/>
  <c r="O360" i="41"/>
  <c r="O362" i="41"/>
  <c r="O364" i="41"/>
  <c r="O366" i="41"/>
  <c r="O368" i="41"/>
  <c r="O370" i="41"/>
  <c r="O372" i="41"/>
  <c r="O374" i="41"/>
  <c r="O376" i="41"/>
  <c r="O378" i="41"/>
  <c r="O380" i="41"/>
  <c r="O382" i="41"/>
  <c r="O384" i="41"/>
  <c r="O386" i="41"/>
  <c r="O388" i="41"/>
  <c r="O390" i="41"/>
  <c r="O392" i="41"/>
  <c r="O394" i="41"/>
  <c r="O396" i="41"/>
  <c r="O398" i="41"/>
  <c r="O400" i="41"/>
  <c r="O402" i="41"/>
  <c r="O404" i="41"/>
  <c r="O406" i="41"/>
  <c r="O408" i="41"/>
  <c r="O410" i="41"/>
  <c r="O412" i="41"/>
  <c r="O414" i="41"/>
  <c r="O416" i="41"/>
  <c r="O418" i="41"/>
  <c r="O420" i="41"/>
  <c r="O422" i="41"/>
  <c r="O424" i="41"/>
  <c r="O426" i="41"/>
  <c r="O428" i="41"/>
  <c r="O430" i="41"/>
  <c r="O432" i="41"/>
  <c r="O434" i="41"/>
  <c r="O436" i="41"/>
  <c r="O438" i="41"/>
  <c r="O440" i="41"/>
  <c r="O442" i="41"/>
  <c r="O444" i="41"/>
  <c r="O446" i="41"/>
  <c r="O448" i="41"/>
  <c r="O450" i="41"/>
  <c r="O452" i="41"/>
  <c r="O454" i="41"/>
  <c r="O456" i="41"/>
  <c r="O458" i="41"/>
  <c r="O460" i="41"/>
  <c r="O462" i="41"/>
  <c r="O464" i="41"/>
  <c r="O466" i="41"/>
  <c r="O468" i="41"/>
  <c r="O470" i="41"/>
  <c r="O472" i="41"/>
  <c r="O474" i="41"/>
  <c r="O476" i="41"/>
  <c r="O478" i="41"/>
  <c r="O480" i="41"/>
  <c r="P256" i="41"/>
  <c r="Q23" i="41"/>
  <c r="V23" i="41"/>
  <c r="Z23" i="41"/>
  <c r="Q24" i="41"/>
  <c r="V24" i="41"/>
  <c r="Z24" i="41"/>
  <c r="Q25" i="41"/>
  <c r="V25" i="41"/>
  <c r="Z25" i="41"/>
  <c r="Q26" i="41"/>
  <c r="V26" i="41"/>
  <c r="Z26" i="41"/>
  <c r="Q27" i="41"/>
  <c r="V27" i="41"/>
  <c r="Z27" i="41"/>
  <c r="Q28" i="41"/>
  <c r="V28" i="41"/>
  <c r="Z28" i="41"/>
  <c r="Q29" i="41"/>
  <c r="V29" i="41"/>
  <c r="Z29" i="41"/>
  <c r="Q30" i="41"/>
  <c r="V30" i="41"/>
  <c r="Z30" i="41"/>
  <c r="Q31" i="41"/>
  <c r="V31" i="41"/>
  <c r="Z31" i="41"/>
  <c r="Q32" i="41"/>
  <c r="V32" i="41"/>
  <c r="Z32" i="41"/>
  <c r="Q33" i="41"/>
  <c r="V33" i="41"/>
  <c r="Z33" i="41"/>
  <c r="Q34" i="41"/>
  <c r="V34" i="41"/>
  <c r="Z34" i="41"/>
  <c r="Q35" i="41"/>
  <c r="V35" i="41"/>
  <c r="Z35" i="41"/>
  <c r="Q36" i="41"/>
  <c r="V36" i="41"/>
  <c r="Z36" i="41"/>
  <c r="Q37" i="41"/>
  <c r="V37" i="41"/>
  <c r="Z37" i="41"/>
  <c r="Q38" i="41"/>
  <c r="V38" i="41"/>
  <c r="Z38" i="41"/>
  <c r="Q39" i="41"/>
  <c r="V39" i="41"/>
  <c r="Z39" i="41"/>
  <c r="Q40" i="41"/>
  <c r="V40" i="41"/>
  <c r="Z40" i="41"/>
  <c r="Q41" i="41"/>
  <c r="V41" i="41"/>
  <c r="Z41" i="41"/>
  <c r="Q44" i="41"/>
  <c r="V44" i="41"/>
  <c r="Z44" i="41"/>
  <c r="Q45" i="41"/>
  <c r="V45" i="41"/>
  <c r="Z45" i="41"/>
  <c r="Q46" i="41"/>
  <c r="V46" i="41"/>
  <c r="Z46" i="41"/>
  <c r="Q47" i="41"/>
  <c r="V47" i="41"/>
  <c r="Z47" i="41"/>
  <c r="Q48" i="41"/>
  <c r="V48" i="41"/>
  <c r="Z48" i="41"/>
  <c r="Q49" i="41"/>
  <c r="V49" i="41"/>
  <c r="Z49" i="41"/>
  <c r="Q50" i="41"/>
  <c r="V50" i="41"/>
  <c r="Z50" i="41"/>
  <c r="Q51" i="41"/>
  <c r="V51" i="41"/>
  <c r="Z51" i="41"/>
  <c r="Q52" i="41"/>
  <c r="V52" i="41"/>
  <c r="Z52" i="41"/>
  <c r="Q53" i="41"/>
  <c r="V53" i="41"/>
  <c r="Z53" i="41"/>
  <c r="Q54" i="41"/>
  <c r="V54" i="41"/>
  <c r="Z54" i="41"/>
  <c r="Q55" i="41"/>
  <c r="V55" i="41"/>
  <c r="Z55" i="41"/>
  <c r="Q56" i="41"/>
  <c r="V56" i="41"/>
  <c r="Z56" i="41"/>
  <c r="Q57" i="41"/>
  <c r="V57" i="41"/>
  <c r="Z57" i="41"/>
  <c r="Q58" i="41"/>
  <c r="V58" i="41"/>
  <c r="Z58" i="41"/>
  <c r="Q59" i="41"/>
  <c r="V59" i="41"/>
  <c r="Z59" i="41"/>
  <c r="Q60" i="41"/>
  <c r="V60" i="41"/>
  <c r="Z60" i="41"/>
  <c r="Q61" i="41"/>
  <c r="V61" i="41"/>
  <c r="Z61" i="41"/>
  <c r="Q62" i="41"/>
  <c r="V62" i="41"/>
  <c r="Z62" i="41"/>
  <c r="Q63" i="41"/>
  <c r="V63" i="41"/>
  <c r="Z63" i="41"/>
  <c r="Q64" i="41"/>
  <c r="V64" i="41"/>
  <c r="Z64" i="41"/>
  <c r="Q65" i="41"/>
  <c r="V65" i="41"/>
  <c r="Z65" i="41"/>
  <c r="Q66" i="41"/>
  <c r="V66" i="41"/>
  <c r="Z66" i="41"/>
  <c r="Q67" i="41"/>
  <c r="V67" i="41"/>
  <c r="Z67" i="41"/>
  <c r="Q68" i="41"/>
  <c r="V68" i="41"/>
  <c r="Z68" i="41"/>
  <c r="Q69" i="41"/>
  <c r="V69" i="41"/>
  <c r="Z69" i="41"/>
  <c r="Q70" i="41"/>
  <c r="V70" i="41"/>
  <c r="Z70" i="41"/>
  <c r="Q71" i="41"/>
  <c r="V71" i="41"/>
  <c r="Z71" i="41"/>
  <c r="Q72" i="41"/>
  <c r="V72" i="41"/>
  <c r="Z72" i="41"/>
  <c r="Q73" i="41"/>
  <c r="V73" i="41"/>
  <c r="Z73" i="41"/>
  <c r="Q74" i="41"/>
  <c r="V74" i="41"/>
  <c r="Z74" i="41"/>
  <c r="Q75" i="41"/>
  <c r="V75" i="41"/>
  <c r="Z75" i="41"/>
  <c r="Q76" i="41"/>
  <c r="V76" i="41"/>
  <c r="Z76" i="41"/>
  <c r="Q77" i="41"/>
  <c r="V77" i="41"/>
  <c r="Z77" i="41"/>
  <c r="Q78" i="41"/>
  <c r="V78" i="41"/>
  <c r="Z78" i="41"/>
  <c r="Q79" i="41"/>
  <c r="V79" i="41"/>
  <c r="Z79" i="41"/>
  <c r="Q80" i="41"/>
  <c r="V80" i="41"/>
  <c r="Z80" i="41"/>
  <c r="Q81" i="41"/>
  <c r="V81" i="41"/>
  <c r="Z81" i="41"/>
  <c r="Q82" i="41"/>
  <c r="V82" i="41"/>
  <c r="Z82" i="41"/>
  <c r="Q83" i="41"/>
  <c r="V83" i="41"/>
  <c r="Z83" i="41"/>
  <c r="Q84" i="41"/>
  <c r="V84" i="41"/>
  <c r="Z84" i="41"/>
  <c r="Q85" i="41"/>
  <c r="V85" i="41"/>
  <c r="Z85" i="41"/>
  <c r="Q86" i="41"/>
  <c r="V86" i="41"/>
  <c r="Z86" i="41"/>
  <c r="Q87" i="41"/>
  <c r="V87" i="41"/>
  <c r="Z87" i="41"/>
  <c r="Q88" i="41"/>
  <c r="V88" i="41"/>
  <c r="Z88" i="41"/>
  <c r="Q89" i="41"/>
  <c r="V89" i="41"/>
  <c r="Z89" i="41"/>
  <c r="Q90" i="41"/>
  <c r="V90" i="41"/>
  <c r="Z90" i="41"/>
  <c r="Q91" i="41"/>
  <c r="V91" i="41"/>
  <c r="Z91" i="41"/>
  <c r="Q92" i="41"/>
  <c r="V92" i="41"/>
  <c r="Z92" i="41"/>
  <c r="Q93" i="41"/>
  <c r="V93" i="41"/>
  <c r="Z93" i="41"/>
  <c r="Q94" i="41"/>
  <c r="V94" i="41"/>
  <c r="Z94" i="41"/>
  <c r="Q95" i="41"/>
  <c r="V95" i="41"/>
  <c r="Z95" i="41"/>
  <c r="Q96" i="41"/>
  <c r="V96" i="41"/>
  <c r="Z96" i="41"/>
  <c r="Q97" i="41"/>
  <c r="V97" i="41"/>
  <c r="Z97" i="41"/>
  <c r="Q98" i="41"/>
  <c r="V98" i="41"/>
  <c r="Z98" i="41"/>
  <c r="Q99" i="41"/>
  <c r="V99" i="41"/>
  <c r="Z99" i="41"/>
  <c r="Q100" i="41"/>
  <c r="V100" i="41"/>
  <c r="Z100" i="41"/>
  <c r="Q101" i="41"/>
  <c r="V101" i="41"/>
  <c r="Z101" i="41"/>
  <c r="Q102" i="41"/>
  <c r="V102" i="41"/>
  <c r="Z102" i="41"/>
  <c r="Q103" i="41"/>
  <c r="V103" i="41"/>
  <c r="Z103" i="41"/>
  <c r="Q104" i="41"/>
  <c r="V104" i="41"/>
  <c r="Z104" i="41"/>
  <c r="Q105" i="41"/>
  <c r="V105" i="41"/>
  <c r="Z105" i="41"/>
  <c r="Q106" i="41"/>
  <c r="V106" i="41"/>
  <c r="Z106" i="41"/>
  <c r="Q107" i="41"/>
  <c r="V107" i="41"/>
  <c r="Z107" i="41"/>
  <c r="Q108" i="41"/>
  <c r="V108" i="41"/>
  <c r="Z108" i="41"/>
  <c r="Q109" i="41"/>
  <c r="V109" i="41"/>
  <c r="Z109" i="41"/>
  <c r="Q110" i="41"/>
  <c r="V110" i="41"/>
  <c r="Z110" i="41"/>
  <c r="Q111" i="41"/>
  <c r="V111" i="41"/>
  <c r="Z111" i="41"/>
  <c r="Q112" i="41"/>
  <c r="V112" i="41"/>
  <c r="Z112" i="41"/>
  <c r="Q113" i="41"/>
  <c r="V113" i="41"/>
  <c r="Z113" i="41"/>
  <c r="Q114" i="41"/>
  <c r="V114" i="41"/>
  <c r="Z114" i="41"/>
  <c r="Q115" i="41"/>
  <c r="V115" i="41"/>
  <c r="Z115" i="41"/>
  <c r="Q116" i="41"/>
  <c r="V116" i="41"/>
  <c r="Z116" i="41"/>
  <c r="Q117" i="41"/>
  <c r="V117" i="41"/>
  <c r="Z117" i="41"/>
  <c r="Q118" i="41"/>
  <c r="V118" i="41"/>
  <c r="Z118" i="41"/>
  <c r="Q119" i="41"/>
  <c r="V119" i="41"/>
  <c r="Z119" i="41"/>
  <c r="Q120" i="41"/>
  <c r="V120" i="41"/>
  <c r="Z120" i="41"/>
  <c r="Q121" i="41"/>
  <c r="V121" i="41"/>
  <c r="Z121" i="41"/>
  <c r="Q122" i="41"/>
  <c r="V122" i="41"/>
  <c r="Z122" i="41"/>
  <c r="Q123" i="41"/>
  <c r="V123" i="41"/>
  <c r="Z123" i="41"/>
  <c r="Q124" i="41"/>
  <c r="V124" i="41"/>
  <c r="Z124" i="41"/>
  <c r="Q125" i="41"/>
  <c r="V125" i="41"/>
  <c r="Z125" i="41"/>
  <c r="Q126" i="41"/>
  <c r="V126" i="41"/>
  <c r="Z126" i="41"/>
  <c r="Q127" i="41"/>
  <c r="V127" i="41"/>
  <c r="Z127" i="41"/>
  <c r="Q128" i="41"/>
  <c r="V128" i="41"/>
  <c r="Z128" i="41"/>
  <c r="Q129" i="41"/>
  <c r="V129" i="41"/>
  <c r="Z129" i="41"/>
  <c r="Q130" i="41"/>
  <c r="V130" i="41"/>
  <c r="Z130" i="41"/>
  <c r="Q131" i="41"/>
  <c r="V131" i="41"/>
  <c r="Z131" i="41"/>
  <c r="Q132" i="41"/>
  <c r="V132" i="41"/>
  <c r="P452" i="41"/>
  <c r="P454" i="41"/>
  <c r="P456" i="41"/>
  <c r="P458" i="41"/>
  <c r="P460" i="41"/>
  <c r="P462" i="41"/>
  <c r="P464" i="41"/>
  <c r="P466" i="41"/>
  <c r="P468" i="41"/>
  <c r="P470" i="41"/>
  <c r="P472" i="41"/>
  <c r="P474" i="41"/>
  <c r="P476" i="41"/>
  <c r="P478" i="41"/>
  <c r="P480" i="41"/>
  <c r="O256" i="41"/>
  <c r="R23" i="41"/>
  <c r="W23" i="41"/>
  <c r="AA23" i="41"/>
  <c r="R24" i="41"/>
  <c r="W24" i="41"/>
  <c r="AA24" i="41"/>
  <c r="R25" i="41"/>
  <c r="W25" i="41"/>
  <c r="AA25" i="41"/>
  <c r="R26" i="41"/>
  <c r="W26" i="41"/>
  <c r="AA26" i="41"/>
  <c r="R27" i="41"/>
  <c r="W27" i="41"/>
  <c r="AA27" i="41"/>
  <c r="R28" i="41"/>
  <c r="W28" i="41"/>
  <c r="AA28" i="41"/>
  <c r="R29" i="41"/>
  <c r="W29" i="41"/>
  <c r="AA29" i="41"/>
  <c r="R30" i="41"/>
  <c r="W30" i="41"/>
  <c r="AA30" i="41"/>
  <c r="R31" i="41"/>
  <c r="W31" i="41"/>
  <c r="AA31" i="41"/>
  <c r="R32" i="41"/>
  <c r="W32" i="41"/>
  <c r="AA32" i="41"/>
  <c r="R33" i="41"/>
  <c r="W33" i="41"/>
  <c r="AA33" i="41"/>
  <c r="R34" i="41"/>
  <c r="W34" i="41"/>
  <c r="AA34" i="41"/>
  <c r="R35" i="41"/>
  <c r="W35" i="41"/>
  <c r="AA35" i="41"/>
  <c r="R36" i="41"/>
  <c r="W36" i="41"/>
  <c r="AA36" i="41"/>
  <c r="R37" i="41"/>
  <c r="W37" i="41"/>
  <c r="AA37" i="41"/>
  <c r="R38" i="41"/>
  <c r="W38" i="41"/>
  <c r="AA38" i="41"/>
  <c r="R39" i="41"/>
  <c r="W39" i="41"/>
  <c r="AA39" i="41"/>
  <c r="R40" i="41"/>
  <c r="W40" i="41"/>
  <c r="AA40" i="41"/>
  <c r="R41" i="41"/>
  <c r="W41" i="41"/>
  <c r="AA41" i="41"/>
  <c r="R44" i="41"/>
  <c r="W44" i="41"/>
  <c r="AA44" i="41"/>
  <c r="R45" i="41"/>
  <c r="W45" i="41"/>
  <c r="AA45" i="41"/>
  <c r="R46" i="41"/>
  <c r="W46" i="41"/>
  <c r="AA46" i="41"/>
  <c r="R47" i="41"/>
  <c r="W47" i="41"/>
  <c r="AA47" i="41"/>
  <c r="R48" i="41"/>
  <c r="W48" i="41"/>
  <c r="AA48" i="41"/>
  <c r="R49" i="41"/>
  <c r="W49" i="41"/>
  <c r="AA49" i="41"/>
  <c r="R50" i="41"/>
  <c r="W50" i="41"/>
  <c r="AA50" i="41"/>
  <c r="R51" i="41"/>
  <c r="W51" i="41"/>
  <c r="AA51" i="41"/>
  <c r="R52" i="41"/>
  <c r="W52" i="41"/>
  <c r="AA52" i="41"/>
  <c r="R53" i="41"/>
  <c r="W53" i="41"/>
  <c r="AA53" i="41"/>
  <c r="R54" i="41"/>
  <c r="W54" i="41"/>
  <c r="AA54" i="41"/>
  <c r="R55" i="41"/>
  <c r="W55" i="41"/>
  <c r="AA55" i="41"/>
  <c r="R56" i="41"/>
  <c r="W56" i="41"/>
  <c r="AA56" i="41"/>
  <c r="R57" i="41"/>
  <c r="W57" i="41"/>
  <c r="AA57" i="41"/>
  <c r="R58" i="41"/>
  <c r="W58" i="41"/>
  <c r="AA58" i="41"/>
  <c r="R59" i="41"/>
  <c r="W59" i="41"/>
  <c r="AA59" i="41"/>
  <c r="R60" i="41"/>
  <c r="W60" i="41"/>
  <c r="AA60" i="41"/>
  <c r="R61" i="41"/>
  <c r="W61" i="41"/>
  <c r="AA61" i="41"/>
  <c r="R62" i="41"/>
  <c r="W62" i="41"/>
  <c r="AA62" i="41"/>
  <c r="R63" i="41"/>
  <c r="W63" i="41"/>
  <c r="AA63" i="41"/>
  <c r="R64" i="41"/>
  <c r="W64" i="41"/>
  <c r="AA64" i="41"/>
  <c r="R65" i="41"/>
  <c r="W65" i="41"/>
  <c r="AA65" i="41"/>
  <c r="R66" i="41"/>
  <c r="W66" i="41"/>
  <c r="AA66" i="41"/>
  <c r="R67" i="41"/>
  <c r="W67" i="41"/>
  <c r="AA67" i="41"/>
  <c r="R68" i="41"/>
  <c r="W68" i="41"/>
  <c r="AA68" i="41"/>
  <c r="R69" i="41"/>
  <c r="W69" i="41"/>
  <c r="AA69" i="41"/>
  <c r="R70" i="41"/>
  <c r="W70" i="41"/>
  <c r="AA70" i="41"/>
  <c r="R71" i="41"/>
  <c r="W71" i="41"/>
  <c r="AA71" i="41"/>
  <c r="R72" i="41"/>
  <c r="W72" i="41"/>
  <c r="AA72" i="41"/>
  <c r="R73" i="41"/>
  <c r="W73" i="41"/>
  <c r="AA73" i="41"/>
  <c r="R74" i="41"/>
  <c r="W74" i="41"/>
  <c r="AA74" i="41"/>
  <c r="R75" i="41"/>
  <c r="W75" i="41"/>
  <c r="AA75" i="41"/>
  <c r="R76" i="41"/>
  <c r="W76" i="41"/>
  <c r="AA76" i="41"/>
  <c r="R77" i="41"/>
  <c r="W77" i="41"/>
  <c r="AA77" i="41"/>
  <c r="R78" i="41"/>
  <c r="W78" i="41"/>
  <c r="AA78" i="41"/>
  <c r="R79" i="41"/>
  <c r="W79" i="41"/>
  <c r="AA79" i="41"/>
  <c r="R80" i="41"/>
  <c r="W80" i="41"/>
  <c r="AA80" i="41"/>
  <c r="R81" i="41"/>
  <c r="W81" i="41"/>
  <c r="AA81" i="41"/>
  <c r="R82" i="41"/>
  <c r="W82" i="41"/>
  <c r="AA82" i="41"/>
  <c r="R83" i="41"/>
  <c r="W83" i="41"/>
  <c r="AA83" i="41"/>
  <c r="R84" i="41"/>
  <c r="W84" i="41"/>
  <c r="AA84" i="41"/>
  <c r="R85" i="41"/>
  <c r="W85" i="41"/>
  <c r="AA85" i="41"/>
  <c r="R86" i="41"/>
  <c r="W86" i="41"/>
  <c r="AA86" i="41"/>
  <c r="R87" i="41"/>
  <c r="W87" i="41"/>
  <c r="AA87" i="41"/>
  <c r="R88" i="41"/>
  <c r="W88" i="41"/>
  <c r="AA88" i="41"/>
  <c r="R89" i="41"/>
  <c r="W89" i="41"/>
  <c r="AA89" i="41"/>
  <c r="R90" i="41"/>
  <c r="W90" i="41"/>
  <c r="AA90" i="41"/>
  <c r="R91" i="41"/>
  <c r="W91" i="41"/>
  <c r="AA91" i="41"/>
  <c r="R92" i="41"/>
  <c r="W92" i="41"/>
  <c r="AA92" i="41"/>
  <c r="R93" i="41"/>
  <c r="W93" i="41"/>
  <c r="AA93" i="41"/>
  <c r="R94" i="41"/>
  <c r="W94" i="41"/>
  <c r="AA94" i="41"/>
  <c r="R95" i="41"/>
  <c r="W95" i="41"/>
  <c r="AA95" i="41"/>
  <c r="R96" i="41"/>
  <c r="W96" i="41"/>
  <c r="AA96" i="41"/>
  <c r="R97" i="41"/>
  <c r="W97" i="41"/>
  <c r="AA97" i="41"/>
  <c r="R98" i="41"/>
  <c r="W98" i="41"/>
  <c r="AA98" i="41"/>
  <c r="R99" i="41"/>
  <c r="W99" i="41"/>
  <c r="AA99" i="41"/>
  <c r="R100" i="41"/>
  <c r="W100" i="41"/>
  <c r="AA100" i="41"/>
  <c r="R101" i="41"/>
  <c r="W101" i="41"/>
  <c r="AA101" i="41"/>
  <c r="R102" i="41"/>
  <c r="W102" i="41"/>
  <c r="AA102" i="41"/>
  <c r="R103" i="41"/>
  <c r="W103" i="41"/>
  <c r="AA103" i="41"/>
  <c r="R104" i="41"/>
  <c r="W104" i="41"/>
  <c r="AA104" i="41"/>
  <c r="R105" i="41"/>
  <c r="W105" i="41"/>
  <c r="AA105" i="41"/>
  <c r="R106" i="41"/>
  <c r="W106" i="41"/>
  <c r="AA106" i="41"/>
  <c r="R107" i="41"/>
  <c r="W107" i="41"/>
  <c r="AA107" i="41"/>
  <c r="R108" i="41"/>
  <c r="W108" i="41"/>
  <c r="AA108" i="41"/>
  <c r="R109" i="41"/>
  <c r="W109" i="41"/>
  <c r="AA109" i="41"/>
  <c r="R110" i="41"/>
  <c r="W110" i="41"/>
  <c r="AA110" i="41"/>
  <c r="R111" i="41"/>
  <c r="W111" i="41"/>
  <c r="AA111" i="41"/>
  <c r="R112" i="41"/>
  <c r="W112" i="41"/>
  <c r="AA112" i="41"/>
  <c r="R113" i="41"/>
  <c r="W113" i="41"/>
  <c r="AA113" i="41"/>
  <c r="R114" i="41"/>
  <c r="W114" i="41"/>
  <c r="AA114" i="41"/>
  <c r="R115" i="41"/>
  <c r="W115" i="41"/>
  <c r="AA115" i="41"/>
  <c r="R116" i="41"/>
  <c r="W116" i="41"/>
  <c r="AA116" i="41"/>
  <c r="R117" i="41"/>
  <c r="W117" i="41"/>
  <c r="AA117" i="41"/>
  <c r="R118" i="41"/>
  <c r="W118" i="41"/>
  <c r="AA118" i="41"/>
  <c r="R119" i="41"/>
  <c r="W119" i="41"/>
  <c r="AA119" i="41"/>
  <c r="R120" i="41"/>
  <c r="W120" i="41"/>
  <c r="AA120" i="41"/>
  <c r="R121" i="41"/>
  <c r="W121" i="41"/>
  <c r="AA121" i="41"/>
  <c r="R122" i="41"/>
  <c r="W122" i="41"/>
  <c r="AA122" i="41"/>
  <c r="R123" i="41"/>
  <c r="W123" i="41"/>
  <c r="AA123" i="41"/>
  <c r="R124" i="41"/>
  <c r="W124" i="41"/>
  <c r="AA124" i="41"/>
  <c r="R125" i="41"/>
  <c r="W125" i="41"/>
  <c r="AA125" i="41"/>
  <c r="R126" i="41"/>
  <c r="W126" i="41"/>
  <c r="AA126" i="41"/>
  <c r="R127" i="41"/>
  <c r="W127" i="41"/>
  <c r="AA127" i="41"/>
  <c r="R128" i="41"/>
  <c r="W128" i="41"/>
  <c r="AA128" i="41"/>
  <c r="R129" i="41"/>
  <c r="W129" i="41"/>
  <c r="AA129" i="41"/>
  <c r="O453" i="41"/>
  <c r="O455" i="41"/>
  <c r="O457" i="41"/>
  <c r="O459" i="41"/>
  <c r="O461" i="41"/>
  <c r="O463" i="41"/>
  <c r="O465" i="41"/>
  <c r="O467" i="41"/>
  <c r="O469" i="41"/>
  <c r="O471" i="41"/>
  <c r="O473" i="41"/>
  <c r="O475" i="41"/>
  <c r="O477" i="41"/>
  <c r="O479" i="41"/>
  <c r="O481" i="41"/>
  <c r="O23" i="41"/>
  <c r="S23" i="41"/>
  <c r="X23" i="41"/>
  <c r="O24" i="41"/>
  <c r="S24" i="41"/>
  <c r="X24" i="41"/>
  <c r="O25" i="41"/>
  <c r="S25" i="41"/>
  <c r="X25" i="41"/>
  <c r="O26" i="41"/>
  <c r="S26" i="41"/>
  <c r="X26" i="41"/>
  <c r="O27" i="41"/>
  <c r="S27" i="41"/>
  <c r="X27" i="41"/>
  <c r="O28" i="41"/>
  <c r="S28" i="41"/>
  <c r="X28" i="41"/>
  <c r="O29" i="41"/>
  <c r="S29" i="41"/>
  <c r="X29" i="41"/>
  <c r="O30" i="41"/>
  <c r="S30" i="41"/>
  <c r="X30" i="41"/>
  <c r="O31" i="41"/>
  <c r="S31" i="41"/>
  <c r="X31" i="41"/>
  <c r="O32" i="41"/>
  <c r="S32" i="41"/>
  <c r="X32" i="41"/>
  <c r="O33" i="41"/>
  <c r="S33" i="41"/>
  <c r="X33" i="41"/>
  <c r="O34" i="41"/>
  <c r="S34" i="41"/>
  <c r="X34" i="41"/>
  <c r="O35" i="41"/>
  <c r="S35" i="41"/>
  <c r="X35" i="41"/>
  <c r="O36" i="41"/>
  <c r="S36" i="41"/>
  <c r="X36" i="41"/>
  <c r="O37" i="41"/>
  <c r="S37" i="41"/>
  <c r="X37" i="41"/>
  <c r="O38" i="41"/>
  <c r="S38" i="41"/>
  <c r="X38" i="41"/>
  <c r="O39" i="41"/>
  <c r="S39" i="41"/>
  <c r="X39" i="41"/>
  <c r="O40" i="41"/>
  <c r="S40" i="41"/>
  <c r="X40" i="41"/>
  <c r="O41" i="41"/>
  <c r="S41" i="41"/>
  <c r="X41" i="41"/>
  <c r="O42" i="41"/>
  <c r="O44" i="41"/>
  <c r="S44" i="41"/>
  <c r="X44" i="41"/>
  <c r="O45" i="41"/>
  <c r="S45" i="41"/>
  <c r="X45" i="41"/>
  <c r="O46" i="41"/>
  <c r="S46" i="41"/>
  <c r="X46" i="41"/>
  <c r="O47" i="41"/>
  <c r="S47" i="41"/>
  <c r="X47" i="41"/>
  <c r="O48" i="41"/>
  <c r="S48" i="41"/>
  <c r="X48" i="41"/>
  <c r="O49" i="41"/>
  <c r="S49" i="41"/>
  <c r="X49" i="41"/>
  <c r="O50" i="41"/>
  <c r="S50" i="41"/>
  <c r="X50" i="41"/>
  <c r="O51" i="41"/>
  <c r="S51" i="41"/>
  <c r="X51" i="41"/>
  <c r="O52" i="41"/>
  <c r="S52" i="41"/>
  <c r="X52" i="41"/>
  <c r="O53" i="41"/>
  <c r="S53" i="41"/>
  <c r="X53" i="41"/>
  <c r="O54" i="41"/>
  <c r="S54" i="41"/>
  <c r="X54" i="41"/>
  <c r="O55" i="41"/>
  <c r="S55" i="41"/>
  <c r="X55" i="41"/>
  <c r="O56" i="41"/>
  <c r="S56" i="41"/>
  <c r="X56" i="41"/>
  <c r="O57" i="41"/>
  <c r="S57" i="41"/>
  <c r="X57" i="41"/>
  <c r="O58" i="41"/>
  <c r="S58" i="41"/>
  <c r="X58" i="41"/>
  <c r="O59" i="41"/>
  <c r="S59" i="41"/>
  <c r="X59" i="41"/>
  <c r="O60" i="41"/>
  <c r="S60" i="41"/>
  <c r="X60" i="41"/>
  <c r="O61" i="41"/>
  <c r="S61" i="41"/>
  <c r="X61" i="41"/>
  <c r="O62" i="41"/>
  <c r="S62" i="41"/>
  <c r="X62" i="41"/>
  <c r="O63" i="41"/>
  <c r="S63" i="41"/>
  <c r="X63" i="41"/>
  <c r="O64" i="41"/>
  <c r="S64" i="41"/>
  <c r="X64" i="41"/>
  <c r="O65" i="41"/>
  <c r="S65" i="41"/>
  <c r="X65" i="41"/>
  <c r="O66" i="41"/>
  <c r="S66" i="41"/>
  <c r="X66" i="41"/>
  <c r="O67" i="41"/>
  <c r="S67" i="41"/>
  <c r="X67" i="41"/>
  <c r="O68" i="41"/>
  <c r="S68" i="41"/>
  <c r="X68" i="41"/>
  <c r="O69" i="41"/>
  <c r="S69" i="41"/>
  <c r="X69" i="41"/>
  <c r="O70" i="41"/>
  <c r="S70" i="41"/>
  <c r="X70" i="41"/>
  <c r="O71" i="41"/>
  <c r="S71" i="41"/>
  <c r="X71" i="41"/>
  <c r="O72" i="41"/>
  <c r="S72" i="41"/>
  <c r="X72" i="41"/>
  <c r="O73" i="41"/>
  <c r="S73" i="41"/>
  <c r="X73" i="41"/>
  <c r="O74" i="41"/>
  <c r="S74" i="41"/>
  <c r="X74" i="41"/>
  <c r="O75" i="41"/>
  <c r="S75" i="41"/>
  <c r="X75" i="41"/>
  <c r="O76" i="41"/>
  <c r="S76" i="41"/>
  <c r="X76" i="41"/>
  <c r="O77" i="41"/>
  <c r="S77" i="41"/>
  <c r="X77" i="41"/>
  <c r="O78" i="41"/>
  <c r="S78" i="41"/>
  <c r="X78" i="41"/>
  <c r="O79" i="41"/>
  <c r="S79" i="41"/>
  <c r="X79" i="41"/>
  <c r="O80" i="41"/>
  <c r="S80" i="41"/>
  <c r="X80" i="41"/>
  <c r="O81" i="41"/>
  <c r="S81" i="41"/>
  <c r="X81" i="41"/>
  <c r="O82" i="41"/>
  <c r="S82" i="41"/>
  <c r="X82" i="41"/>
  <c r="O83" i="41"/>
  <c r="S83" i="41"/>
  <c r="X83" i="41"/>
  <c r="O84" i="41"/>
  <c r="S84" i="41"/>
  <c r="X84" i="41"/>
  <c r="O85" i="41"/>
  <c r="S85" i="41"/>
  <c r="X85" i="41"/>
  <c r="O86" i="41"/>
  <c r="S86" i="41"/>
  <c r="X86" i="41"/>
  <c r="O87" i="41"/>
  <c r="S87" i="41"/>
  <c r="X87" i="41"/>
  <c r="O88" i="41"/>
  <c r="S88" i="41"/>
  <c r="X88" i="41"/>
  <c r="O89" i="41"/>
  <c r="S89" i="41"/>
  <c r="X89" i="41"/>
  <c r="O90" i="41"/>
  <c r="S90" i="41"/>
  <c r="X90" i="41"/>
  <c r="O91" i="41"/>
  <c r="S91" i="41"/>
  <c r="X91" i="41"/>
  <c r="O92" i="41"/>
  <c r="S92" i="41"/>
  <c r="X92" i="41"/>
  <c r="O93" i="41"/>
  <c r="S93" i="41"/>
  <c r="X93" i="41"/>
  <c r="O94" i="41"/>
  <c r="S94" i="41"/>
  <c r="X94" i="41"/>
  <c r="O95" i="41"/>
  <c r="S95" i="41"/>
  <c r="X95" i="41"/>
  <c r="O96" i="41"/>
  <c r="S96" i="41"/>
  <c r="X96" i="41"/>
  <c r="O97" i="41"/>
  <c r="S97" i="41"/>
  <c r="X97" i="41"/>
  <c r="O98" i="41"/>
  <c r="S98" i="41"/>
  <c r="X98" i="41"/>
  <c r="O99" i="41"/>
  <c r="S99" i="41"/>
  <c r="X99" i="41"/>
  <c r="O100" i="41"/>
  <c r="S100" i="41"/>
  <c r="X100" i="41"/>
  <c r="O101" i="41"/>
  <c r="S101" i="41"/>
  <c r="X101" i="41"/>
  <c r="O102" i="41"/>
  <c r="S102" i="41"/>
  <c r="X102" i="41"/>
  <c r="O103" i="41"/>
  <c r="S103" i="41"/>
  <c r="X103" i="41"/>
  <c r="O104" i="41"/>
  <c r="S104" i="41"/>
  <c r="X104" i="41"/>
  <c r="O105" i="41"/>
  <c r="S105" i="41"/>
  <c r="X105" i="41"/>
  <c r="O106" i="41"/>
  <c r="S106" i="41"/>
  <c r="X106" i="41"/>
  <c r="O107" i="41"/>
  <c r="S107" i="41"/>
  <c r="X107" i="41"/>
  <c r="O108" i="41"/>
  <c r="S108" i="41"/>
  <c r="X108" i="41"/>
  <c r="O109" i="41"/>
  <c r="S109" i="41"/>
  <c r="X109" i="41"/>
  <c r="O110" i="41"/>
  <c r="S110" i="41"/>
  <c r="X110" i="41"/>
  <c r="O111" i="41"/>
  <c r="S111" i="41"/>
  <c r="X111" i="41"/>
  <c r="O112" i="41"/>
  <c r="S112" i="41"/>
  <c r="X112" i="41"/>
  <c r="O113" i="41"/>
  <c r="S113" i="41"/>
  <c r="X113" i="41"/>
  <c r="O114" i="41"/>
  <c r="S114" i="41"/>
  <c r="X114" i="41"/>
  <c r="O115" i="41"/>
  <c r="S115" i="41"/>
  <c r="X115" i="41"/>
  <c r="O116" i="41"/>
  <c r="S116" i="41"/>
  <c r="X116" i="41"/>
  <c r="O117" i="41"/>
  <c r="S117" i="41"/>
  <c r="X117" i="41"/>
  <c r="O118" i="41"/>
  <c r="S118" i="41"/>
  <c r="X118" i="41"/>
  <c r="O119" i="41"/>
  <c r="S119" i="41"/>
  <c r="X119" i="41"/>
  <c r="O120" i="41"/>
  <c r="S120" i="41"/>
  <c r="X120" i="41"/>
  <c r="O121" i="41"/>
  <c r="S121" i="41"/>
  <c r="X121" i="41"/>
  <c r="O122" i="41"/>
  <c r="S122" i="41"/>
  <c r="X122" i="41"/>
  <c r="O123" i="41"/>
  <c r="S123" i="41"/>
  <c r="X123" i="41"/>
  <c r="O124" i="41"/>
  <c r="S124" i="41"/>
  <c r="X124" i="41"/>
  <c r="O125" i="41"/>
  <c r="S125" i="41"/>
  <c r="X125" i="41"/>
  <c r="O126" i="41"/>
  <c r="S126" i="41"/>
  <c r="X126" i="41"/>
  <c r="O127" i="41"/>
  <c r="S127" i="41"/>
  <c r="X127" i="41"/>
  <c r="O128" i="41"/>
  <c r="S128" i="41"/>
  <c r="X128" i="41"/>
  <c r="O129" i="41"/>
  <c r="S129" i="41"/>
  <c r="X129" i="41"/>
  <c r="O130" i="41"/>
  <c r="S130" i="41"/>
  <c r="X130" i="41"/>
  <c r="O131" i="41"/>
  <c r="S131" i="41"/>
  <c r="X131" i="41"/>
  <c r="O132" i="41"/>
  <c r="S132" i="41"/>
  <c r="P453" i="41"/>
  <c r="P455" i="41"/>
  <c r="P457" i="41"/>
  <c r="P459" i="41"/>
  <c r="P461" i="41"/>
  <c r="P463" i="41"/>
  <c r="P465" i="41"/>
  <c r="P467" i="41"/>
  <c r="P469" i="41"/>
  <c r="P471" i="41"/>
  <c r="P473" i="41"/>
  <c r="P475" i="41"/>
  <c r="P477" i="41"/>
  <c r="P479" i="41"/>
  <c r="P481" i="41"/>
  <c r="P23" i="41"/>
  <c r="U23" i="41"/>
  <c r="Y23" i="41"/>
  <c r="P24" i="41"/>
  <c r="U24" i="41"/>
  <c r="Y24" i="41"/>
  <c r="P25" i="41"/>
  <c r="U25" i="41"/>
  <c r="Y25" i="41"/>
  <c r="P26" i="41"/>
  <c r="U26" i="41"/>
  <c r="Y26" i="41"/>
  <c r="P27" i="41"/>
  <c r="U27" i="41"/>
  <c r="Y27" i="41"/>
  <c r="P28" i="41"/>
  <c r="U28" i="41"/>
  <c r="Y28" i="41"/>
  <c r="P29" i="41"/>
  <c r="U29" i="41"/>
  <c r="Y29" i="41"/>
  <c r="P30" i="41"/>
  <c r="U30" i="41"/>
  <c r="Y30" i="41"/>
  <c r="P31" i="41"/>
  <c r="U31" i="41"/>
  <c r="Y31" i="41"/>
  <c r="P32" i="41"/>
  <c r="U32" i="41"/>
  <c r="Y32" i="41"/>
  <c r="P33" i="41"/>
  <c r="U33" i="41"/>
  <c r="Y33" i="41"/>
  <c r="P34" i="41"/>
  <c r="U34" i="41"/>
  <c r="Y34" i="41"/>
  <c r="P35" i="41"/>
  <c r="U35" i="41"/>
  <c r="Y35" i="41"/>
  <c r="P36" i="41"/>
  <c r="U36" i="41"/>
  <c r="Y36" i="41"/>
  <c r="P37" i="41"/>
  <c r="U37" i="41"/>
  <c r="Y37" i="41"/>
  <c r="P38" i="41"/>
  <c r="U38" i="41"/>
  <c r="Y38" i="41"/>
  <c r="P39" i="41"/>
  <c r="U39" i="41"/>
  <c r="Y39" i="41"/>
  <c r="P40" i="41"/>
  <c r="U40" i="41"/>
  <c r="Y40" i="41"/>
  <c r="P41" i="41"/>
  <c r="U41" i="41"/>
  <c r="Y41" i="41"/>
  <c r="P44" i="41"/>
  <c r="U44" i="41"/>
  <c r="Y44" i="41"/>
  <c r="P45" i="41"/>
  <c r="U45" i="41"/>
  <c r="Y45" i="41"/>
  <c r="P46" i="41"/>
  <c r="U46" i="41"/>
  <c r="Y46" i="41"/>
  <c r="P47" i="41"/>
  <c r="U47" i="41"/>
  <c r="Y47" i="41"/>
  <c r="P48" i="41"/>
  <c r="U48" i="41"/>
  <c r="Y48" i="41"/>
  <c r="P49" i="41"/>
  <c r="U49" i="41"/>
  <c r="Y49" i="41"/>
  <c r="P50" i="41"/>
  <c r="U50" i="41"/>
  <c r="Y50" i="41"/>
  <c r="P51" i="41"/>
  <c r="U51" i="41"/>
  <c r="Y51" i="41"/>
  <c r="P52" i="41"/>
  <c r="U52" i="41"/>
  <c r="Y52" i="41"/>
  <c r="P53" i="41"/>
  <c r="U53" i="41"/>
  <c r="Y53" i="41"/>
  <c r="P54" i="41"/>
  <c r="U54" i="41"/>
  <c r="Y54" i="41"/>
  <c r="P55" i="41"/>
  <c r="U55" i="41"/>
  <c r="Y55" i="41"/>
  <c r="P56" i="41"/>
  <c r="U56" i="41"/>
  <c r="Y56" i="41"/>
  <c r="P57" i="41"/>
  <c r="U57" i="41"/>
  <c r="Y57" i="41"/>
  <c r="P58" i="41"/>
  <c r="U58" i="41"/>
  <c r="Y58" i="41"/>
  <c r="P59" i="41"/>
  <c r="U59" i="41"/>
  <c r="Y59" i="41"/>
  <c r="P60" i="41"/>
  <c r="U60" i="41"/>
  <c r="Y60" i="41"/>
  <c r="P61" i="41"/>
  <c r="U61" i="41"/>
  <c r="Y61" i="41"/>
  <c r="P62" i="41"/>
  <c r="U62" i="41"/>
  <c r="Y62" i="41"/>
  <c r="P63" i="41"/>
  <c r="U63" i="41"/>
  <c r="Y63" i="41"/>
  <c r="P64" i="41"/>
  <c r="U64" i="41"/>
  <c r="Y64" i="41"/>
  <c r="P65" i="41"/>
  <c r="U65" i="41"/>
  <c r="Y65" i="41"/>
  <c r="P66" i="41"/>
  <c r="U66" i="41"/>
  <c r="Y66" i="41"/>
  <c r="P67" i="41"/>
  <c r="U67" i="41"/>
  <c r="Y67" i="41"/>
  <c r="P68" i="41"/>
  <c r="U68" i="41"/>
  <c r="Y68" i="41"/>
  <c r="P69" i="41"/>
  <c r="U69" i="41"/>
  <c r="Y69" i="41"/>
  <c r="P70" i="41"/>
  <c r="U70" i="41"/>
  <c r="Y70" i="41"/>
  <c r="P71" i="41"/>
  <c r="U71" i="41"/>
  <c r="Y71" i="41"/>
  <c r="P72" i="41"/>
  <c r="U72" i="41"/>
  <c r="Y72" i="41"/>
  <c r="P73" i="41"/>
  <c r="U73" i="41"/>
  <c r="Y73" i="41"/>
  <c r="P74" i="41"/>
  <c r="U74" i="41"/>
  <c r="Y74" i="41"/>
  <c r="P75" i="41"/>
  <c r="U75" i="41"/>
  <c r="Y75" i="41"/>
  <c r="P76" i="41"/>
  <c r="U76" i="41"/>
  <c r="Y76" i="41"/>
  <c r="P77" i="41"/>
  <c r="U77" i="41"/>
  <c r="Y77" i="41"/>
  <c r="P78" i="41"/>
  <c r="U78" i="41"/>
  <c r="Y78" i="41"/>
  <c r="P79" i="41"/>
  <c r="U79" i="41"/>
  <c r="Y79" i="41"/>
  <c r="P80" i="41"/>
  <c r="U80" i="41"/>
  <c r="Y80" i="41"/>
  <c r="P81" i="41"/>
  <c r="U81" i="41"/>
  <c r="Y81" i="41"/>
  <c r="P82" i="41"/>
  <c r="U82" i="41"/>
  <c r="Y82" i="41"/>
  <c r="P83" i="41"/>
  <c r="U83" i="41"/>
  <c r="Y83" i="41"/>
  <c r="P84" i="41"/>
  <c r="U84" i="41"/>
  <c r="Y84" i="41"/>
  <c r="P85" i="41"/>
  <c r="U85" i="41"/>
  <c r="Y85" i="41"/>
  <c r="P86" i="41"/>
  <c r="U86" i="41"/>
  <c r="Y86" i="41"/>
  <c r="P87" i="41"/>
  <c r="U87" i="41"/>
  <c r="Y87" i="41"/>
  <c r="P88" i="41"/>
  <c r="U88" i="41"/>
  <c r="Y88" i="41"/>
  <c r="P89" i="41"/>
  <c r="U89" i="41"/>
  <c r="Y89" i="41"/>
  <c r="P90" i="41"/>
  <c r="U90" i="41"/>
  <c r="Y90" i="41"/>
  <c r="P91" i="41"/>
  <c r="U91" i="41"/>
  <c r="Y91" i="41"/>
  <c r="P92" i="41"/>
  <c r="U92" i="41"/>
  <c r="Y92" i="41"/>
  <c r="P93" i="41"/>
  <c r="U93" i="41"/>
  <c r="Y93" i="41"/>
  <c r="P94" i="41"/>
  <c r="U94" i="41"/>
  <c r="Y94" i="41"/>
  <c r="P95" i="41"/>
  <c r="U95" i="41"/>
  <c r="Y95" i="41"/>
  <c r="P96" i="41"/>
  <c r="U96" i="41"/>
  <c r="Y96" i="41"/>
  <c r="P97" i="41"/>
  <c r="U97" i="41"/>
  <c r="Y97" i="41"/>
  <c r="P98" i="41"/>
  <c r="U98" i="41"/>
  <c r="Y98" i="41"/>
  <c r="P99" i="41"/>
  <c r="U99" i="41"/>
  <c r="Y99" i="41"/>
  <c r="P100" i="41"/>
  <c r="U100" i="41"/>
  <c r="Y100" i="41"/>
  <c r="P101" i="41"/>
  <c r="U101" i="41"/>
  <c r="Y101" i="41"/>
  <c r="P102" i="41"/>
  <c r="U102" i="41"/>
  <c r="Y102" i="41"/>
  <c r="P103" i="41"/>
  <c r="U103" i="41"/>
  <c r="Y103" i="41"/>
  <c r="P104" i="41"/>
  <c r="U104" i="41"/>
  <c r="Y104" i="41"/>
  <c r="P105" i="41"/>
  <c r="U105" i="41"/>
  <c r="Y105" i="41"/>
  <c r="P106" i="41"/>
  <c r="U106" i="41"/>
  <c r="Y106" i="41"/>
  <c r="P107" i="41"/>
  <c r="U107" i="41"/>
  <c r="Y107" i="41"/>
  <c r="P108" i="41"/>
  <c r="U108" i="41"/>
  <c r="Y108" i="41"/>
  <c r="P109" i="41"/>
  <c r="U109" i="41"/>
  <c r="Y109" i="41"/>
  <c r="P110" i="41"/>
  <c r="U110" i="41"/>
  <c r="Y110" i="41"/>
  <c r="P111" i="41"/>
  <c r="U111" i="41"/>
  <c r="Y111" i="41"/>
  <c r="P112" i="41"/>
  <c r="U112" i="41"/>
  <c r="Y112" i="41"/>
  <c r="P113" i="41"/>
  <c r="U113" i="41"/>
  <c r="Y113" i="41"/>
  <c r="P114" i="41"/>
  <c r="U114" i="41"/>
  <c r="Y114" i="41"/>
  <c r="P115" i="41"/>
  <c r="U115" i="41"/>
  <c r="Y115" i="41"/>
  <c r="P116" i="41"/>
  <c r="U116" i="41"/>
  <c r="Y116" i="41"/>
  <c r="P117" i="41"/>
  <c r="U117" i="41"/>
  <c r="Y117" i="41"/>
  <c r="P118" i="41"/>
  <c r="U118" i="41"/>
  <c r="Y118" i="41"/>
  <c r="P119" i="41"/>
  <c r="U119" i="41"/>
  <c r="Y119" i="41"/>
  <c r="P120" i="41"/>
  <c r="U120" i="41"/>
  <c r="Y120" i="41"/>
  <c r="P121" i="41"/>
  <c r="U121" i="41"/>
  <c r="Y121" i="41"/>
  <c r="P122" i="41"/>
  <c r="U122" i="41"/>
  <c r="Y122" i="41"/>
  <c r="P123" i="41"/>
  <c r="U123" i="41"/>
  <c r="Y123" i="41"/>
  <c r="P124" i="41"/>
  <c r="U124" i="41"/>
  <c r="Y124" i="41"/>
  <c r="P125" i="41"/>
  <c r="U125" i="41"/>
  <c r="Y125" i="41"/>
  <c r="P126" i="41"/>
  <c r="U126" i="41"/>
  <c r="Y126" i="41"/>
  <c r="P127" i="41"/>
  <c r="U127" i="41"/>
  <c r="Y127" i="41"/>
  <c r="P128" i="41"/>
  <c r="U128" i="41"/>
  <c r="Y128" i="41"/>
  <c r="P129" i="41"/>
  <c r="U129" i="41"/>
  <c r="Y129" i="41"/>
  <c r="P130" i="41"/>
  <c r="U130" i="41"/>
  <c r="Y130" i="41"/>
  <c r="P131" i="41"/>
  <c r="U131" i="41"/>
  <c r="Y131" i="41"/>
  <c r="P132" i="41"/>
  <c r="R131" i="41"/>
  <c r="U132" i="41"/>
  <c r="Z132" i="41"/>
  <c r="Q133" i="41"/>
  <c r="V133" i="41"/>
  <c r="Z133" i="41"/>
  <c r="Q134" i="41"/>
  <c r="V134" i="41"/>
  <c r="Z134" i="41"/>
  <c r="Q135" i="41"/>
  <c r="V135" i="41"/>
  <c r="Z135" i="41"/>
  <c r="Q136" i="41"/>
  <c r="V136" i="41"/>
  <c r="Z136" i="41"/>
  <c r="Q137" i="41"/>
  <c r="V137" i="41"/>
  <c r="Z137" i="41"/>
  <c r="Q138" i="41"/>
  <c r="V138" i="41"/>
  <c r="Z138" i="41"/>
  <c r="Q139" i="41"/>
  <c r="V139" i="41"/>
  <c r="Z139" i="41"/>
  <c r="Q140" i="41"/>
  <c r="V140" i="41"/>
  <c r="Z140" i="41"/>
  <c r="Q141" i="41"/>
  <c r="V141" i="41"/>
  <c r="Z141" i="41"/>
  <c r="Q142" i="41"/>
  <c r="V142" i="41"/>
  <c r="Z142" i="41"/>
  <c r="Q143" i="41"/>
  <c r="V143" i="41"/>
  <c r="Z143" i="41"/>
  <c r="Q144" i="41"/>
  <c r="V144" i="41"/>
  <c r="Z144" i="41"/>
  <c r="Q145" i="41"/>
  <c r="V145" i="41"/>
  <c r="Z145" i="41"/>
  <c r="Q146" i="41"/>
  <c r="V146" i="41"/>
  <c r="Z146" i="41"/>
  <c r="Q147" i="41"/>
  <c r="V147" i="41"/>
  <c r="Z147" i="41"/>
  <c r="Q148" i="41"/>
  <c r="V148" i="41"/>
  <c r="Z148" i="41"/>
  <c r="Q149" i="41"/>
  <c r="V149" i="41"/>
  <c r="Z149" i="41"/>
  <c r="Q150" i="41"/>
  <c r="V150" i="41"/>
  <c r="Z150" i="41"/>
  <c r="Q151" i="41"/>
  <c r="V151" i="41"/>
  <c r="Z151" i="41"/>
  <c r="Q152" i="41"/>
  <c r="V152" i="41"/>
  <c r="Z152" i="41"/>
  <c r="Q153" i="41"/>
  <c r="V153" i="41"/>
  <c r="Z153" i="41"/>
  <c r="Q154" i="41"/>
  <c r="V154" i="41"/>
  <c r="Z154" i="41"/>
  <c r="Q155" i="41"/>
  <c r="V155" i="41"/>
  <c r="Z155" i="41"/>
  <c r="Q156" i="41"/>
  <c r="V156" i="41"/>
  <c r="Z156" i="41"/>
  <c r="Q157" i="41"/>
  <c r="V157" i="41"/>
  <c r="Z157" i="41"/>
  <c r="Q158" i="41"/>
  <c r="V158" i="41"/>
  <c r="Z158" i="41"/>
  <c r="Q159" i="41"/>
  <c r="V159" i="41"/>
  <c r="Z159" i="41"/>
  <c r="Q160" i="41"/>
  <c r="V160" i="41"/>
  <c r="Z160" i="41"/>
  <c r="Q161" i="41"/>
  <c r="V161" i="41"/>
  <c r="Z161" i="41"/>
  <c r="Q162" i="41"/>
  <c r="V162" i="41"/>
  <c r="Z162" i="41"/>
  <c r="Q163" i="41"/>
  <c r="V163" i="41"/>
  <c r="Z163" i="41"/>
  <c r="Q164" i="41"/>
  <c r="V164" i="41"/>
  <c r="Z164" i="41"/>
  <c r="Q165" i="41"/>
  <c r="V165" i="41"/>
  <c r="Z165" i="41"/>
  <c r="Q166" i="41"/>
  <c r="V166" i="41"/>
  <c r="Z166" i="41"/>
  <c r="Q167" i="41"/>
  <c r="V167" i="41"/>
  <c r="Z167" i="41"/>
  <c r="Q168" i="41"/>
  <c r="V168" i="41"/>
  <c r="Z168" i="41"/>
  <c r="Q169" i="41"/>
  <c r="V169" i="41"/>
  <c r="Z169" i="41"/>
  <c r="Q170" i="41"/>
  <c r="V170" i="41"/>
  <c r="Z170" i="41"/>
  <c r="Q171" i="41"/>
  <c r="V171" i="41"/>
  <c r="Z171" i="41"/>
  <c r="Q172" i="41"/>
  <c r="V172" i="41"/>
  <c r="Z172" i="41"/>
  <c r="Q173" i="41"/>
  <c r="V173" i="41"/>
  <c r="Z173" i="41"/>
  <c r="Q174" i="41"/>
  <c r="V174" i="41"/>
  <c r="Z174" i="41"/>
  <c r="Q175" i="41"/>
  <c r="V175" i="41"/>
  <c r="Z175" i="41"/>
  <c r="Q176" i="41"/>
  <c r="V176" i="41"/>
  <c r="Z176" i="41"/>
  <c r="Q177" i="41"/>
  <c r="V177" i="41"/>
  <c r="Z177" i="41"/>
  <c r="Q178" i="41"/>
  <c r="V178" i="41"/>
  <c r="Z178" i="41"/>
  <c r="Q179" i="41"/>
  <c r="V179" i="41"/>
  <c r="Z179" i="41"/>
  <c r="Q180" i="41"/>
  <c r="V180" i="41"/>
  <c r="Z180" i="41"/>
  <c r="Q181" i="41"/>
  <c r="V181" i="41"/>
  <c r="Z181" i="41"/>
  <c r="Q182" i="41"/>
  <c r="V182" i="41"/>
  <c r="Z182" i="41"/>
  <c r="Q183" i="41"/>
  <c r="V183" i="41"/>
  <c r="Z183" i="41"/>
  <c r="Q184" i="41"/>
  <c r="V184" i="41"/>
  <c r="Z184" i="41"/>
  <c r="Q185" i="41"/>
  <c r="V185" i="41"/>
  <c r="Z185" i="41"/>
  <c r="Q186" i="41"/>
  <c r="V186" i="41"/>
  <c r="Z186" i="41"/>
  <c r="Q187" i="41"/>
  <c r="V187" i="41"/>
  <c r="Z187" i="41"/>
  <c r="Q188" i="41"/>
  <c r="V188" i="41"/>
  <c r="Z188" i="41"/>
  <c r="Q189" i="41"/>
  <c r="V189" i="41"/>
  <c r="Z189" i="41"/>
  <c r="Q190" i="41"/>
  <c r="V190" i="41"/>
  <c r="Z190" i="41"/>
  <c r="Q191" i="41"/>
  <c r="V191" i="41"/>
  <c r="Z191" i="41"/>
  <c r="Q192" i="41"/>
  <c r="V192" i="41"/>
  <c r="Z192" i="41"/>
  <c r="Q193" i="41"/>
  <c r="V193" i="41"/>
  <c r="Z193" i="41"/>
  <c r="Q194" i="41"/>
  <c r="V194" i="41"/>
  <c r="Z194" i="41"/>
  <c r="Q195" i="41"/>
  <c r="V195" i="41"/>
  <c r="Z195" i="41"/>
  <c r="Q196" i="41"/>
  <c r="V196" i="41"/>
  <c r="Z196" i="41"/>
  <c r="Q197" i="41"/>
  <c r="V197" i="41"/>
  <c r="Z197" i="41"/>
  <c r="Q198" i="41"/>
  <c r="V198" i="41"/>
  <c r="Z198" i="41"/>
  <c r="Q199" i="41"/>
  <c r="V199" i="41"/>
  <c r="Z199" i="41"/>
  <c r="Q200" i="41"/>
  <c r="V200" i="41"/>
  <c r="Z200" i="41"/>
  <c r="Q201" i="41"/>
  <c r="V201" i="41"/>
  <c r="Z201" i="41"/>
  <c r="Q202" i="41"/>
  <c r="V202" i="41"/>
  <c r="Z202" i="41"/>
  <c r="Q203" i="41"/>
  <c r="V203" i="41"/>
  <c r="Z203" i="41"/>
  <c r="Q204" i="41"/>
  <c r="V204" i="41"/>
  <c r="Z204" i="41"/>
  <c r="Q205" i="41"/>
  <c r="V205" i="41"/>
  <c r="Z205" i="41"/>
  <c r="Q206" i="41"/>
  <c r="V206" i="41"/>
  <c r="Z206" i="41"/>
  <c r="Q207" i="41"/>
  <c r="V207" i="41"/>
  <c r="Z207" i="41"/>
  <c r="Q208" i="41"/>
  <c r="V208" i="41"/>
  <c r="Z208" i="41"/>
  <c r="Q209" i="41"/>
  <c r="V209" i="41"/>
  <c r="Z209" i="41"/>
  <c r="Q210" i="41"/>
  <c r="V210" i="41"/>
  <c r="Z210" i="41"/>
  <c r="Q211" i="41"/>
  <c r="V211" i="41"/>
  <c r="Z211" i="41"/>
  <c r="Q212" i="41"/>
  <c r="V212" i="41"/>
  <c r="Z212" i="41"/>
  <c r="Q213" i="41"/>
  <c r="V213" i="41"/>
  <c r="Z213" i="41"/>
  <c r="Q214" i="41"/>
  <c r="V214" i="41"/>
  <c r="Z214" i="41"/>
  <c r="Q215" i="41"/>
  <c r="V215" i="41"/>
  <c r="Z215" i="41"/>
  <c r="Q216" i="41"/>
  <c r="V216" i="41"/>
  <c r="Z216" i="41"/>
  <c r="Q217" i="41"/>
  <c r="V217" i="41"/>
  <c r="Z217" i="41"/>
  <c r="Q218" i="41"/>
  <c r="V218" i="41"/>
  <c r="Z218" i="41"/>
  <c r="Q219" i="41"/>
  <c r="V219" i="41"/>
  <c r="Z219" i="41"/>
  <c r="Q220" i="41"/>
  <c r="V220" i="41"/>
  <c r="Z220" i="41"/>
  <c r="Q221" i="41"/>
  <c r="V221" i="41"/>
  <c r="Z221" i="41"/>
  <c r="Q222" i="41"/>
  <c r="V222" i="41"/>
  <c r="Z222" i="41"/>
  <c r="Q223" i="41"/>
  <c r="V223" i="41"/>
  <c r="Z223" i="41"/>
  <c r="Q224" i="41"/>
  <c r="V224" i="41"/>
  <c r="Z224" i="41"/>
  <c r="Q225" i="41"/>
  <c r="V225" i="41"/>
  <c r="Z225" i="41"/>
  <c r="Q226" i="41"/>
  <c r="V226" i="41"/>
  <c r="Z226" i="41"/>
  <c r="Q227" i="41"/>
  <c r="V227" i="41"/>
  <c r="Z227" i="41"/>
  <c r="Q228" i="41"/>
  <c r="V228" i="41"/>
  <c r="Z228" i="41"/>
  <c r="Q229" i="41"/>
  <c r="V229" i="41"/>
  <c r="Z229" i="41"/>
  <c r="Q230" i="41"/>
  <c r="V230" i="41"/>
  <c r="Z230" i="41"/>
  <c r="Q231" i="41"/>
  <c r="V231" i="41"/>
  <c r="Z231" i="41"/>
  <c r="Q232" i="41"/>
  <c r="V232" i="41"/>
  <c r="Z232" i="41"/>
  <c r="Q233" i="41"/>
  <c r="V233" i="41"/>
  <c r="Z233" i="41"/>
  <c r="Q234" i="41"/>
  <c r="V234" i="41"/>
  <c r="Z234" i="41"/>
  <c r="Q235" i="41"/>
  <c r="V235" i="41"/>
  <c r="Z235" i="41"/>
  <c r="Q236" i="41"/>
  <c r="V236" i="41"/>
  <c r="Z236" i="41"/>
  <c r="Q237" i="41"/>
  <c r="V237" i="41"/>
  <c r="Z237" i="41"/>
  <c r="Q238" i="41"/>
  <c r="V238" i="41"/>
  <c r="Z238" i="41"/>
  <c r="Q239" i="41"/>
  <c r="V239" i="41"/>
  <c r="Z239" i="41"/>
  <c r="Q240" i="41"/>
  <c r="V240" i="41"/>
  <c r="Z240" i="41"/>
  <c r="Q241" i="41"/>
  <c r="V241" i="41"/>
  <c r="Z241" i="41"/>
  <c r="Q242" i="41"/>
  <c r="V242" i="41"/>
  <c r="Z242" i="41"/>
  <c r="Q243" i="41"/>
  <c r="V243" i="41"/>
  <c r="Z243" i="41"/>
  <c r="Q244" i="41"/>
  <c r="V244" i="41"/>
  <c r="Z244" i="41"/>
  <c r="Q245" i="41"/>
  <c r="V245" i="41"/>
  <c r="R130" i="41"/>
  <c r="W131" i="41"/>
  <c r="W132" i="41"/>
  <c r="AA132" i="41"/>
  <c r="R133" i="41"/>
  <c r="W133" i="41"/>
  <c r="AA133" i="41"/>
  <c r="R134" i="41"/>
  <c r="W134" i="41"/>
  <c r="AA134" i="41"/>
  <c r="R135" i="41"/>
  <c r="W135" i="41"/>
  <c r="AA135" i="41"/>
  <c r="R136" i="41"/>
  <c r="W136" i="41"/>
  <c r="AA136" i="41"/>
  <c r="R137" i="41"/>
  <c r="W137" i="41"/>
  <c r="AA137" i="41"/>
  <c r="R138" i="41"/>
  <c r="W138" i="41"/>
  <c r="AA138" i="41"/>
  <c r="R139" i="41"/>
  <c r="W139" i="41"/>
  <c r="AA139" i="41"/>
  <c r="R140" i="41"/>
  <c r="W140" i="41"/>
  <c r="AA140" i="41"/>
  <c r="R141" i="41"/>
  <c r="W141" i="41"/>
  <c r="AA141" i="41"/>
  <c r="R142" i="41"/>
  <c r="W142" i="41"/>
  <c r="AA142" i="41"/>
  <c r="R143" i="41"/>
  <c r="W143" i="41"/>
  <c r="AA143" i="41"/>
  <c r="R144" i="41"/>
  <c r="W144" i="41"/>
  <c r="AA144" i="41"/>
  <c r="R145" i="41"/>
  <c r="W145" i="41"/>
  <c r="AA145" i="41"/>
  <c r="R146" i="41"/>
  <c r="W146" i="41"/>
  <c r="AA146" i="41"/>
  <c r="R147" i="41"/>
  <c r="W147" i="41"/>
  <c r="AA147" i="41"/>
  <c r="R148" i="41"/>
  <c r="W148" i="41"/>
  <c r="AA148" i="41"/>
  <c r="R149" i="41"/>
  <c r="W149" i="41"/>
  <c r="AA149" i="41"/>
  <c r="R150" i="41"/>
  <c r="W150" i="41"/>
  <c r="AA150" i="41"/>
  <c r="R151" i="41"/>
  <c r="W151" i="41"/>
  <c r="AA151" i="41"/>
  <c r="R152" i="41"/>
  <c r="W152" i="41"/>
  <c r="AA152" i="41"/>
  <c r="R153" i="41"/>
  <c r="W153" i="41"/>
  <c r="AA153" i="41"/>
  <c r="R154" i="41"/>
  <c r="W154" i="41"/>
  <c r="AA154" i="41"/>
  <c r="R155" i="41"/>
  <c r="W155" i="41"/>
  <c r="AA155" i="41"/>
  <c r="R156" i="41"/>
  <c r="W156" i="41"/>
  <c r="AA156" i="41"/>
  <c r="R157" i="41"/>
  <c r="W157" i="41"/>
  <c r="AA157" i="41"/>
  <c r="R158" i="41"/>
  <c r="W158" i="41"/>
  <c r="AA158" i="41"/>
  <c r="R159" i="41"/>
  <c r="W159" i="41"/>
  <c r="AA159" i="41"/>
  <c r="R160" i="41"/>
  <c r="W160" i="41"/>
  <c r="AA160" i="41"/>
  <c r="R161" i="41"/>
  <c r="W161" i="41"/>
  <c r="AA161" i="41"/>
  <c r="R162" i="41"/>
  <c r="W162" i="41"/>
  <c r="AA162" i="41"/>
  <c r="R163" i="41"/>
  <c r="W163" i="41"/>
  <c r="AA163" i="41"/>
  <c r="R164" i="41"/>
  <c r="W164" i="41"/>
  <c r="AA164" i="41"/>
  <c r="R165" i="41"/>
  <c r="W165" i="41"/>
  <c r="AA165" i="41"/>
  <c r="R166" i="41"/>
  <c r="W166" i="41"/>
  <c r="AA166" i="41"/>
  <c r="R167" i="41"/>
  <c r="W167" i="41"/>
  <c r="AA167" i="41"/>
  <c r="R168" i="41"/>
  <c r="W168" i="41"/>
  <c r="AA168" i="41"/>
  <c r="R169" i="41"/>
  <c r="W169" i="41"/>
  <c r="AA169" i="41"/>
  <c r="R170" i="41"/>
  <c r="W170" i="41"/>
  <c r="AA170" i="41"/>
  <c r="R171" i="41"/>
  <c r="W171" i="41"/>
  <c r="AA171" i="41"/>
  <c r="R172" i="41"/>
  <c r="W172" i="41"/>
  <c r="AA172" i="41"/>
  <c r="R173" i="41"/>
  <c r="W173" i="41"/>
  <c r="AA173" i="41"/>
  <c r="R174" i="41"/>
  <c r="W174" i="41"/>
  <c r="AA174" i="41"/>
  <c r="R175" i="41"/>
  <c r="W175" i="41"/>
  <c r="AA175" i="41"/>
  <c r="R176" i="41"/>
  <c r="W176" i="41"/>
  <c r="AA176" i="41"/>
  <c r="R177" i="41"/>
  <c r="W177" i="41"/>
  <c r="AA177" i="41"/>
  <c r="R178" i="41"/>
  <c r="W178" i="41"/>
  <c r="AA178" i="41"/>
  <c r="R179" i="41"/>
  <c r="W179" i="41"/>
  <c r="AA179" i="41"/>
  <c r="R180" i="41"/>
  <c r="W180" i="41"/>
  <c r="AA180" i="41"/>
  <c r="R181" i="41"/>
  <c r="W181" i="41"/>
  <c r="AA181" i="41"/>
  <c r="R182" i="41"/>
  <c r="W182" i="41"/>
  <c r="AA182" i="41"/>
  <c r="R183" i="41"/>
  <c r="W183" i="41"/>
  <c r="AA183" i="41"/>
  <c r="R184" i="41"/>
  <c r="W184" i="41"/>
  <c r="AA184" i="41"/>
  <c r="R185" i="41"/>
  <c r="W185" i="41"/>
  <c r="AA185" i="41"/>
  <c r="R186" i="41"/>
  <c r="W186" i="41"/>
  <c r="AA186" i="41"/>
  <c r="R187" i="41"/>
  <c r="W187" i="41"/>
  <c r="AA187" i="41"/>
  <c r="R188" i="41"/>
  <c r="W188" i="41"/>
  <c r="AA188" i="41"/>
  <c r="R189" i="41"/>
  <c r="W189" i="41"/>
  <c r="AA189" i="41"/>
  <c r="R190" i="41"/>
  <c r="W190" i="41"/>
  <c r="AA190" i="41"/>
  <c r="R191" i="41"/>
  <c r="W191" i="41"/>
  <c r="AA191" i="41"/>
  <c r="R192" i="41"/>
  <c r="W192" i="41"/>
  <c r="AA192" i="41"/>
  <c r="R193" i="41"/>
  <c r="W193" i="41"/>
  <c r="AA193" i="41"/>
  <c r="R194" i="41"/>
  <c r="W194" i="41"/>
  <c r="AA194" i="41"/>
  <c r="R195" i="41"/>
  <c r="W195" i="41"/>
  <c r="AA195" i="41"/>
  <c r="R196" i="41"/>
  <c r="W196" i="41"/>
  <c r="AA196" i="41"/>
  <c r="R197" i="41"/>
  <c r="W197" i="41"/>
  <c r="AA197" i="41"/>
  <c r="R198" i="41"/>
  <c r="W198" i="41"/>
  <c r="AA198" i="41"/>
  <c r="R199" i="41"/>
  <c r="W199" i="41"/>
  <c r="AA199" i="41"/>
  <c r="R200" i="41"/>
  <c r="W200" i="41"/>
  <c r="AA200" i="41"/>
  <c r="R201" i="41"/>
  <c r="W201" i="41"/>
  <c r="AA201" i="41"/>
  <c r="R202" i="41"/>
  <c r="W202" i="41"/>
  <c r="AA202" i="41"/>
  <c r="R203" i="41"/>
  <c r="W203" i="41"/>
  <c r="AA203" i="41"/>
  <c r="R204" i="41"/>
  <c r="W204" i="41"/>
  <c r="AA204" i="41"/>
  <c r="R205" i="41"/>
  <c r="W205" i="41"/>
  <c r="AA205" i="41"/>
  <c r="R206" i="41"/>
  <c r="W206" i="41"/>
  <c r="AA206" i="41"/>
  <c r="R207" i="41"/>
  <c r="W207" i="41"/>
  <c r="AA207" i="41"/>
  <c r="R208" i="41"/>
  <c r="W208" i="41"/>
  <c r="AA208" i="41"/>
  <c r="R209" i="41"/>
  <c r="W209" i="41"/>
  <c r="AA209" i="41"/>
  <c r="R210" i="41"/>
  <c r="W210" i="41"/>
  <c r="AA210" i="41"/>
  <c r="R211" i="41"/>
  <c r="W211" i="41"/>
  <c r="AA211" i="41"/>
  <c r="R212" i="41"/>
  <c r="W212" i="41"/>
  <c r="AA212" i="41"/>
  <c r="R213" i="41"/>
  <c r="W213" i="41"/>
  <c r="AA213" i="41"/>
  <c r="R214" i="41"/>
  <c r="W214" i="41"/>
  <c r="AA214" i="41"/>
  <c r="R215" i="41"/>
  <c r="W215" i="41"/>
  <c r="AA215" i="41"/>
  <c r="R216" i="41"/>
  <c r="W216" i="41"/>
  <c r="AA216" i="41"/>
  <c r="R217" i="41"/>
  <c r="W217" i="41"/>
  <c r="AA217" i="41"/>
  <c r="R218" i="41"/>
  <c r="W218" i="41"/>
  <c r="AA218" i="41"/>
  <c r="R219" i="41"/>
  <c r="W219" i="41"/>
  <c r="AA219" i="41"/>
  <c r="R220" i="41"/>
  <c r="W220" i="41"/>
  <c r="AA220" i="41"/>
  <c r="R221" i="41"/>
  <c r="W221" i="41"/>
  <c r="AA221" i="41"/>
  <c r="R222" i="41"/>
  <c r="W222" i="41"/>
  <c r="AA222" i="41"/>
  <c r="R223" i="41"/>
  <c r="W223" i="41"/>
  <c r="AA223" i="41"/>
  <c r="R224" i="41"/>
  <c r="W224" i="41"/>
  <c r="AA224" i="41"/>
  <c r="R225" i="41"/>
  <c r="W225" i="41"/>
  <c r="AA225" i="41"/>
  <c r="R226" i="41"/>
  <c r="W226" i="41"/>
  <c r="AA226" i="41"/>
  <c r="R227" i="41"/>
  <c r="W227" i="41"/>
  <c r="AA227" i="41"/>
  <c r="R228" i="41"/>
  <c r="W228" i="41"/>
  <c r="AA228" i="41"/>
  <c r="R229" i="41"/>
  <c r="W229" i="41"/>
  <c r="AA229" i="41"/>
  <c r="R230" i="41"/>
  <c r="W230" i="41"/>
  <c r="AA230" i="41"/>
  <c r="R231" i="41"/>
  <c r="W231" i="41"/>
  <c r="AA231" i="41"/>
  <c r="R232" i="41"/>
  <c r="W232" i="41"/>
  <c r="AA232" i="41"/>
  <c r="R233" i="41"/>
  <c r="W233" i="41"/>
  <c r="AA233" i="41"/>
  <c r="R234" i="41"/>
  <c r="W234" i="41"/>
  <c r="AA234" i="41"/>
  <c r="R235" i="41"/>
  <c r="W235" i="41"/>
  <c r="AA235" i="41"/>
  <c r="R236" i="41"/>
  <c r="W236" i="41"/>
  <c r="AA236" i="41"/>
  <c r="R237" i="41"/>
  <c r="W237" i="41"/>
  <c r="AA237" i="41"/>
  <c r="R238" i="41"/>
  <c r="W238" i="41"/>
  <c r="AA238" i="41"/>
  <c r="R239" i="41"/>
  <c r="W239" i="41"/>
  <c r="AA239" i="41"/>
  <c r="R240" i="41"/>
  <c r="W240" i="41"/>
  <c r="AA240" i="41"/>
  <c r="R241" i="41"/>
  <c r="W241" i="41"/>
  <c r="AA241" i="41"/>
  <c r="R242" i="41"/>
  <c r="W242" i="41"/>
  <c r="AA242" i="41"/>
  <c r="R243" i="41"/>
  <c r="W243" i="41"/>
  <c r="AA243" i="41"/>
  <c r="R244" i="41"/>
  <c r="W244" i="41"/>
  <c r="AA244" i="41"/>
  <c r="R245" i="41"/>
  <c r="W245" i="41"/>
  <c r="W130" i="41"/>
  <c r="AA131" i="41"/>
  <c r="X132" i="41"/>
  <c r="O133" i="41"/>
  <c r="S133" i="41"/>
  <c r="X133" i="41"/>
  <c r="O134" i="41"/>
  <c r="S134" i="41"/>
  <c r="X134" i="41"/>
  <c r="O135" i="41"/>
  <c r="S135" i="41"/>
  <c r="X135" i="41"/>
  <c r="O136" i="41"/>
  <c r="S136" i="41"/>
  <c r="X136" i="41"/>
  <c r="O137" i="41"/>
  <c r="S137" i="41"/>
  <c r="X137" i="41"/>
  <c r="O138" i="41"/>
  <c r="S138" i="41"/>
  <c r="X138" i="41"/>
  <c r="O139" i="41"/>
  <c r="S139" i="41"/>
  <c r="X139" i="41"/>
  <c r="O140" i="41"/>
  <c r="S140" i="41"/>
  <c r="X140" i="41"/>
  <c r="O141" i="41"/>
  <c r="S141" i="41"/>
  <c r="X141" i="41"/>
  <c r="O142" i="41"/>
  <c r="S142" i="41"/>
  <c r="X142" i="41"/>
  <c r="O143" i="41"/>
  <c r="S143" i="41"/>
  <c r="X143" i="41"/>
  <c r="O144" i="41"/>
  <c r="S144" i="41"/>
  <c r="X144" i="41"/>
  <c r="O145" i="41"/>
  <c r="S145" i="41"/>
  <c r="X145" i="41"/>
  <c r="O146" i="41"/>
  <c r="S146" i="41"/>
  <c r="X146" i="41"/>
  <c r="O147" i="41"/>
  <c r="S147" i="41"/>
  <c r="X147" i="41"/>
  <c r="O148" i="41"/>
  <c r="S148" i="41"/>
  <c r="X148" i="41"/>
  <c r="O149" i="41"/>
  <c r="S149" i="41"/>
  <c r="X149" i="41"/>
  <c r="O150" i="41"/>
  <c r="S150" i="41"/>
  <c r="X150" i="41"/>
  <c r="O151" i="41"/>
  <c r="S151" i="41"/>
  <c r="X151" i="41"/>
  <c r="O152" i="41"/>
  <c r="S152" i="41"/>
  <c r="X152" i="41"/>
  <c r="O153" i="41"/>
  <c r="S153" i="41"/>
  <c r="X153" i="41"/>
  <c r="O154" i="41"/>
  <c r="S154" i="41"/>
  <c r="X154" i="41"/>
  <c r="O155" i="41"/>
  <c r="S155" i="41"/>
  <c r="X155" i="41"/>
  <c r="O156" i="41"/>
  <c r="S156" i="41"/>
  <c r="X156" i="41"/>
  <c r="O157" i="41"/>
  <c r="S157" i="41"/>
  <c r="X157" i="41"/>
  <c r="O158" i="41"/>
  <c r="S158" i="41"/>
  <c r="X158" i="41"/>
  <c r="O159" i="41"/>
  <c r="S159" i="41"/>
  <c r="X159" i="41"/>
  <c r="O160" i="41"/>
  <c r="S160" i="41"/>
  <c r="X160" i="41"/>
  <c r="O161" i="41"/>
  <c r="S161" i="41"/>
  <c r="X161" i="41"/>
  <c r="O162" i="41"/>
  <c r="S162" i="41"/>
  <c r="X162" i="41"/>
  <c r="O163" i="41"/>
  <c r="S163" i="41"/>
  <c r="X163" i="41"/>
  <c r="O164" i="41"/>
  <c r="S164" i="41"/>
  <c r="X164" i="41"/>
  <c r="O165" i="41"/>
  <c r="S165" i="41"/>
  <c r="X165" i="41"/>
  <c r="O166" i="41"/>
  <c r="S166" i="41"/>
  <c r="X166" i="41"/>
  <c r="O167" i="41"/>
  <c r="S167" i="41"/>
  <c r="X167" i="41"/>
  <c r="O168" i="41"/>
  <c r="S168" i="41"/>
  <c r="X168" i="41"/>
  <c r="O169" i="41"/>
  <c r="S169" i="41"/>
  <c r="X169" i="41"/>
  <c r="O170" i="41"/>
  <c r="S170" i="41"/>
  <c r="X170" i="41"/>
  <c r="O171" i="41"/>
  <c r="S171" i="41"/>
  <c r="X171" i="41"/>
  <c r="O172" i="41"/>
  <c r="S172" i="41"/>
  <c r="X172" i="41"/>
  <c r="O173" i="41"/>
  <c r="S173" i="41"/>
  <c r="X173" i="41"/>
  <c r="O174" i="41"/>
  <c r="S174" i="41"/>
  <c r="X174" i="41"/>
  <c r="O175" i="41"/>
  <c r="S175" i="41"/>
  <c r="X175" i="41"/>
  <c r="O176" i="41"/>
  <c r="S176" i="41"/>
  <c r="X176" i="41"/>
  <c r="O177" i="41"/>
  <c r="S177" i="41"/>
  <c r="X177" i="41"/>
  <c r="O178" i="41"/>
  <c r="S178" i="41"/>
  <c r="X178" i="41"/>
  <c r="O179" i="41"/>
  <c r="S179" i="41"/>
  <c r="X179" i="41"/>
  <c r="O180" i="41"/>
  <c r="S180" i="41"/>
  <c r="X180" i="41"/>
  <c r="O181" i="41"/>
  <c r="S181" i="41"/>
  <c r="X181" i="41"/>
  <c r="O182" i="41"/>
  <c r="S182" i="41"/>
  <c r="X182" i="41"/>
  <c r="O183" i="41"/>
  <c r="S183" i="41"/>
  <c r="X183" i="41"/>
  <c r="O184" i="41"/>
  <c r="S184" i="41"/>
  <c r="X184" i="41"/>
  <c r="O185" i="41"/>
  <c r="S185" i="41"/>
  <c r="X185" i="41"/>
  <c r="O186" i="41"/>
  <c r="S186" i="41"/>
  <c r="X186" i="41"/>
  <c r="O187" i="41"/>
  <c r="S187" i="41"/>
  <c r="X187" i="41"/>
  <c r="O188" i="41"/>
  <c r="S188" i="41"/>
  <c r="X188" i="41"/>
  <c r="O189" i="41"/>
  <c r="S189" i="41"/>
  <c r="X189" i="41"/>
  <c r="O190" i="41"/>
  <c r="S190" i="41"/>
  <c r="X190" i="41"/>
  <c r="O191" i="41"/>
  <c r="S191" i="41"/>
  <c r="X191" i="41"/>
  <c r="O192" i="41"/>
  <c r="S192" i="41"/>
  <c r="X192" i="41"/>
  <c r="O193" i="41"/>
  <c r="S193" i="41"/>
  <c r="X193" i="41"/>
  <c r="O194" i="41"/>
  <c r="S194" i="41"/>
  <c r="X194" i="41"/>
  <c r="O195" i="41"/>
  <c r="S195" i="41"/>
  <c r="X195" i="41"/>
  <c r="O196" i="41"/>
  <c r="S196" i="41"/>
  <c r="X196" i="41"/>
  <c r="O197" i="41"/>
  <c r="S197" i="41"/>
  <c r="X197" i="41"/>
  <c r="O198" i="41"/>
  <c r="S198" i="41"/>
  <c r="X198" i="41"/>
  <c r="O199" i="41"/>
  <c r="S199" i="41"/>
  <c r="X199" i="41"/>
  <c r="O200" i="41"/>
  <c r="S200" i="41"/>
  <c r="X200" i="41"/>
  <c r="O201" i="41"/>
  <c r="S201" i="41"/>
  <c r="X201" i="41"/>
  <c r="O202" i="41"/>
  <c r="S202" i="41"/>
  <c r="X202" i="41"/>
  <c r="O203" i="41"/>
  <c r="S203" i="41"/>
  <c r="X203" i="41"/>
  <c r="O204" i="41"/>
  <c r="S204" i="41"/>
  <c r="X204" i="41"/>
  <c r="O205" i="41"/>
  <c r="S205" i="41"/>
  <c r="X205" i="41"/>
  <c r="O206" i="41"/>
  <c r="S206" i="41"/>
  <c r="X206" i="41"/>
  <c r="O207" i="41"/>
  <c r="S207" i="41"/>
  <c r="X207" i="41"/>
  <c r="O208" i="41"/>
  <c r="S208" i="41"/>
  <c r="X208" i="41"/>
  <c r="O209" i="41"/>
  <c r="S209" i="41"/>
  <c r="X209" i="41"/>
  <c r="O210" i="41"/>
  <c r="S210" i="41"/>
  <c r="X210" i="41"/>
  <c r="O211" i="41"/>
  <c r="S211" i="41"/>
  <c r="X211" i="41"/>
  <c r="O212" i="41"/>
  <c r="S212" i="41"/>
  <c r="X212" i="41"/>
  <c r="O213" i="41"/>
  <c r="S213" i="41"/>
  <c r="X213" i="41"/>
  <c r="O214" i="41"/>
  <c r="S214" i="41"/>
  <c r="X214" i="41"/>
  <c r="O215" i="41"/>
  <c r="S215" i="41"/>
  <c r="X215" i="41"/>
  <c r="O216" i="41"/>
  <c r="S216" i="41"/>
  <c r="X216" i="41"/>
  <c r="O217" i="41"/>
  <c r="S217" i="41"/>
  <c r="X217" i="41"/>
  <c r="O218" i="41"/>
  <c r="S218" i="41"/>
  <c r="X218" i="41"/>
  <c r="O219" i="41"/>
  <c r="S219" i="41"/>
  <c r="X219" i="41"/>
  <c r="O220" i="41"/>
  <c r="S220" i="41"/>
  <c r="X220" i="41"/>
  <c r="O221" i="41"/>
  <c r="S221" i="41"/>
  <c r="X221" i="41"/>
  <c r="O222" i="41"/>
  <c r="S222" i="41"/>
  <c r="X222" i="41"/>
  <c r="O223" i="41"/>
  <c r="S223" i="41"/>
  <c r="X223" i="41"/>
  <c r="O224" i="41"/>
  <c r="S224" i="41"/>
  <c r="X224" i="41"/>
  <c r="O225" i="41"/>
  <c r="S225" i="41"/>
  <c r="X225" i="41"/>
  <c r="O226" i="41"/>
  <c r="S226" i="41"/>
  <c r="X226" i="41"/>
  <c r="O227" i="41"/>
  <c r="S227" i="41"/>
  <c r="X227" i="41"/>
  <c r="O228" i="41"/>
  <c r="S228" i="41"/>
  <c r="X228" i="41"/>
  <c r="O229" i="41"/>
  <c r="S229" i="41"/>
  <c r="X229" i="41"/>
  <c r="O230" i="41"/>
  <c r="S230" i="41"/>
  <c r="X230" i="41"/>
  <c r="O231" i="41"/>
  <c r="S231" i="41"/>
  <c r="X231" i="41"/>
  <c r="O232" i="41"/>
  <c r="S232" i="41"/>
  <c r="X232" i="41"/>
  <c r="O233" i="41"/>
  <c r="S233" i="41"/>
  <c r="X233" i="41"/>
  <c r="O234" i="41"/>
  <c r="S234" i="41"/>
  <c r="X234" i="41"/>
  <c r="O235" i="41"/>
  <c r="S235" i="41"/>
  <c r="X235" i="41"/>
  <c r="O236" i="41"/>
  <c r="S236" i="41"/>
  <c r="X236" i="41"/>
  <c r="O237" i="41"/>
  <c r="S237" i="41"/>
  <c r="X237" i="41"/>
  <c r="O238" i="41"/>
  <c r="S238" i="41"/>
  <c r="X238" i="41"/>
  <c r="O239" i="41"/>
  <c r="S239" i="41"/>
  <c r="X239" i="41"/>
  <c r="O240" i="41"/>
  <c r="S240" i="41"/>
  <c r="X240" i="41"/>
  <c r="O241" i="41"/>
  <c r="S241" i="41"/>
  <c r="X241" i="41"/>
  <c r="O242" i="41"/>
  <c r="S242" i="41"/>
  <c r="X242" i="41"/>
  <c r="O243" i="41"/>
  <c r="S243" i="41"/>
  <c r="X243" i="41"/>
  <c r="O244" i="41"/>
  <c r="S244" i="41"/>
  <c r="X244" i="41"/>
  <c r="O245" i="41"/>
  <c r="S245" i="41"/>
  <c r="X245" i="41"/>
  <c r="O246" i="41"/>
  <c r="AA130" i="41"/>
  <c r="R132" i="41"/>
  <c r="Y132" i="41"/>
  <c r="P133" i="41"/>
  <c r="U133" i="41"/>
  <c r="Y133" i="41"/>
  <c r="P134" i="41"/>
  <c r="U134" i="41"/>
  <c r="Y134" i="41"/>
  <c r="P135" i="41"/>
  <c r="U135" i="41"/>
  <c r="Y135" i="41"/>
  <c r="P136" i="41"/>
  <c r="U136" i="41"/>
  <c r="Y136" i="41"/>
  <c r="P137" i="41"/>
  <c r="U137" i="41"/>
  <c r="Y137" i="41"/>
  <c r="P138" i="41"/>
  <c r="U138" i="41"/>
  <c r="Y138" i="41"/>
  <c r="P139" i="41"/>
  <c r="U139" i="41"/>
  <c r="Y139" i="41"/>
  <c r="P140" i="41"/>
  <c r="U140" i="41"/>
  <c r="Y140" i="41"/>
  <c r="P141" i="41"/>
  <c r="U141" i="41"/>
  <c r="Y141" i="41"/>
  <c r="P142" i="41"/>
  <c r="U142" i="41"/>
  <c r="Y142" i="41"/>
  <c r="P143" i="41"/>
  <c r="U143" i="41"/>
  <c r="Y143" i="41"/>
  <c r="P144" i="41"/>
  <c r="U144" i="41"/>
  <c r="Y144" i="41"/>
  <c r="P145" i="41"/>
  <c r="U145" i="41"/>
  <c r="Y145" i="41"/>
  <c r="P146" i="41"/>
  <c r="U146" i="41"/>
  <c r="Y146" i="41"/>
  <c r="P147" i="41"/>
  <c r="U147" i="41"/>
  <c r="Y147" i="41"/>
  <c r="P148" i="41"/>
  <c r="U148" i="41"/>
  <c r="Y148" i="41"/>
  <c r="P149" i="41"/>
  <c r="U149" i="41"/>
  <c r="Y149" i="41"/>
  <c r="P150" i="41"/>
  <c r="U150" i="41"/>
  <c r="Y150" i="41"/>
  <c r="P151" i="41"/>
  <c r="U151" i="41"/>
  <c r="Y151" i="41"/>
  <c r="P152" i="41"/>
  <c r="U152" i="41"/>
  <c r="Y152" i="41"/>
  <c r="P153" i="41"/>
  <c r="U153" i="41"/>
  <c r="Y153" i="41"/>
  <c r="P154" i="41"/>
  <c r="U154" i="41"/>
  <c r="Y154" i="41"/>
  <c r="P155" i="41"/>
  <c r="U155" i="41"/>
  <c r="Y155" i="41"/>
  <c r="P156" i="41"/>
  <c r="U156" i="41"/>
  <c r="Y156" i="41"/>
  <c r="P157" i="41"/>
  <c r="U157" i="41"/>
  <c r="Y157" i="41"/>
  <c r="P158" i="41"/>
  <c r="U158" i="41"/>
  <c r="Y158" i="41"/>
  <c r="P159" i="41"/>
  <c r="U159" i="41"/>
  <c r="Y159" i="41"/>
  <c r="P160" i="41"/>
  <c r="U160" i="41"/>
  <c r="Y160" i="41"/>
  <c r="P161" i="41"/>
  <c r="U161" i="41"/>
  <c r="Y161" i="41"/>
  <c r="P162" i="41"/>
  <c r="U162" i="41"/>
  <c r="Y162" i="41"/>
  <c r="P163" i="41"/>
  <c r="U163" i="41"/>
  <c r="Y163" i="41"/>
  <c r="P164" i="41"/>
  <c r="U164" i="41"/>
  <c r="Y164" i="41"/>
  <c r="P165" i="41"/>
  <c r="U165" i="41"/>
  <c r="Y165" i="41"/>
  <c r="P166" i="41"/>
  <c r="U166" i="41"/>
  <c r="Y166" i="41"/>
  <c r="P167" i="41"/>
  <c r="U167" i="41"/>
  <c r="Y167" i="41"/>
  <c r="P168" i="41"/>
  <c r="U168" i="41"/>
  <c r="Y168" i="41"/>
  <c r="P169" i="41"/>
  <c r="U169" i="41"/>
  <c r="Y169" i="41"/>
  <c r="P170" i="41"/>
  <c r="U170" i="41"/>
  <c r="Y170" i="41"/>
  <c r="P171" i="41"/>
  <c r="U171" i="41"/>
  <c r="Y171" i="41"/>
  <c r="P172" i="41"/>
  <c r="U172" i="41"/>
  <c r="Y172" i="41"/>
  <c r="P173" i="41"/>
  <c r="U173" i="41"/>
  <c r="Y173" i="41"/>
  <c r="P174" i="41"/>
  <c r="U174" i="41"/>
  <c r="Y174" i="41"/>
  <c r="P175" i="41"/>
  <c r="U175" i="41"/>
  <c r="Y175" i="41"/>
  <c r="P176" i="41"/>
  <c r="U176" i="41"/>
  <c r="Y176" i="41"/>
  <c r="P177" i="41"/>
  <c r="U177" i="41"/>
  <c r="Y177" i="41"/>
  <c r="P178" i="41"/>
  <c r="U178" i="41"/>
  <c r="Y178" i="41"/>
  <c r="P179" i="41"/>
  <c r="U179" i="41"/>
  <c r="Y179" i="41"/>
  <c r="P180" i="41"/>
  <c r="U180" i="41"/>
  <c r="Y180" i="41"/>
  <c r="P181" i="41"/>
  <c r="U181" i="41"/>
  <c r="Y181" i="41"/>
  <c r="P182" i="41"/>
  <c r="U182" i="41"/>
  <c r="Y182" i="41"/>
  <c r="P183" i="41"/>
  <c r="U183" i="41"/>
  <c r="Y183" i="41"/>
  <c r="P184" i="41"/>
  <c r="U184" i="41"/>
  <c r="Y184" i="41"/>
  <c r="P185" i="41"/>
  <c r="U185" i="41"/>
  <c r="Y185" i="41"/>
  <c r="P186" i="41"/>
  <c r="U186" i="41"/>
  <c r="Y186" i="41"/>
  <c r="P187" i="41"/>
  <c r="U187" i="41"/>
  <c r="Y187" i="41"/>
  <c r="P188" i="41"/>
  <c r="U188" i="41"/>
  <c r="Y188" i="41"/>
  <c r="P189" i="41"/>
  <c r="U189" i="41"/>
  <c r="Y189" i="41"/>
  <c r="P190" i="41"/>
  <c r="U190" i="41"/>
  <c r="Y190" i="41"/>
  <c r="P191" i="41"/>
  <c r="U191" i="41"/>
  <c r="Y191" i="41"/>
  <c r="P192" i="41"/>
  <c r="U192" i="41"/>
  <c r="Y192" i="41"/>
  <c r="P193" i="41"/>
  <c r="U193" i="41"/>
  <c r="Y193" i="41"/>
  <c r="P194" i="41"/>
  <c r="U194" i="41"/>
  <c r="Y194" i="41"/>
  <c r="P195" i="41"/>
  <c r="U195" i="41"/>
  <c r="Y195" i="41"/>
  <c r="P196" i="41"/>
  <c r="U196" i="41"/>
  <c r="Y196" i="41"/>
  <c r="P197" i="41"/>
  <c r="U197" i="41"/>
  <c r="Y197" i="41"/>
  <c r="P198" i="41"/>
  <c r="U198" i="41"/>
  <c r="Y198" i="41"/>
  <c r="P199" i="41"/>
  <c r="U199" i="41"/>
  <c r="Y199" i="41"/>
  <c r="P200" i="41"/>
  <c r="U200" i="41"/>
  <c r="Y200" i="41"/>
  <c r="P201" i="41"/>
  <c r="U201" i="41"/>
  <c r="Y201" i="41"/>
  <c r="P202" i="41"/>
  <c r="U202" i="41"/>
  <c r="Y202" i="41"/>
  <c r="P203" i="41"/>
  <c r="U203" i="41"/>
  <c r="Y203" i="41"/>
  <c r="P204" i="41"/>
  <c r="U204" i="41"/>
  <c r="Y204" i="41"/>
  <c r="P205" i="41"/>
  <c r="U205" i="41"/>
  <c r="Y205" i="41"/>
  <c r="P206" i="41"/>
  <c r="U206" i="41"/>
  <c r="Y206" i="41"/>
  <c r="P207" i="41"/>
  <c r="U207" i="41"/>
  <c r="Y207" i="41"/>
  <c r="P208" i="41"/>
  <c r="U208" i="41"/>
  <c r="Y208" i="41"/>
  <c r="P209" i="41"/>
  <c r="U209" i="41"/>
  <c r="Y209" i="41"/>
  <c r="P210" i="41"/>
  <c r="U210" i="41"/>
  <c r="Y210" i="41"/>
  <c r="P211" i="41"/>
  <c r="U211" i="41"/>
  <c r="Y211" i="41"/>
  <c r="P212" i="41"/>
  <c r="U212" i="41"/>
  <c r="Y212" i="41"/>
  <c r="P213" i="41"/>
  <c r="U213" i="41"/>
  <c r="Y213" i="41"/>
  <c r="P214" i="41"/>
  <c r="U214" i="41"/>
  <c r="Y214" i="41"/>
  <c r="P215" i="41"/>
  <c r="U215" i="41"/>
  <c r="Y215" i="41"/>
  <c r="P216" i="41"/>
  <c r="U216" i="41"/>
  <c r="Y216" i="41"/>
  <c r="P217" i="41"/>
  <c r="U217" i="41"/>
  <c r="Y217" i="41"/>
  <c r="P218" i="41"/>
  <c r="U218" i="41"/>
  <c r="Y218" i="41"/>
  <c r="P219" i="41"/>
  <c r="U219" i="41"/>
  <c r="Y219" i="41"/>
  <c r="P220" i="41"/>
  <c r="U220" i="41"/>
  <c r="Y220" i="41"/>
  <c r="P221" i="41"/>
  <c r="U221" i="41"/>
  <c r="Y221" i="41"/>
  <c r="P222" i="41"/>
  <c r="U222" i="41"/>
  <c r="Y222" i="41"/>
  <c r="P223" i="41"/>
  <c r="U223" i="41"/>
  <c r="Y223" i="41"/>
  <c r="P224" i="41"/>
  <c r="U224" i="41"/>
  <c r="Y224" i="41"/>
  <c r="P225" i="41"/>
  <c r="U225" i="41"/>
  <c r="Y225" i="41"/>
  <c r="P226" i="41"/>
  <c r="U226" i="41"/>
  <c r="Y226" i="41"/>
  <c r="P227" i="41"/>
  <c r="U227" i="41"/>
  <c r="Y227" i="41"/>
  <c r="P228" i="41"/>
  <c r="U228" i="41"/>
  <c r="Y228" i="41"/>
  <c r="P229" i="41"/>
  <c r="U229" i="41"/>
  <c r="Y229" i="41"/>
  <c r="P230" i="41"/>
  <c r="U230" i="41"/>
  <c r="Y230" i="41"/>
  <c r="P231" i="41"/>
  <c r="U231" i="41"/>
  <c r="Y231" i="41"/>
  <c r="P232" i="41"/>
  <c r="U232" i="41"/>
  <c r="Y232" i="41"/>
  <c r="P233" i="41"/>
  <c r="U233" i="41"/>
  <c r="Y233" i="41"/>
  <c r="P234" i="41"/>
  <c r="U234" i="41"/>
  <c r="Y234" i="41"/>
  <c r="P235" i="41"/>
  <c r="U235" i="41"/>
  <c r="Y235" i="41"/>
  <c r="P236" i="41"/>
  <c r="U236" i="41"/>
  <c r="Y236" i="41"/>
  <c r="P237" i="41"/>
  <c r="U237" i="41"/>
  <c r="Y237" i="41"/>
  <c r="P238" i="41"/>
  <c r="U238" i="41"/>
  <c r="Y238" i="41"/>
  <c r="P239" i="41"/>
  <c r="U239" i="41"/>
  <c r="Y239" i="41"/>
  <c r="P240" i="41"/>
  <c r="U240" i="41"/>
  <c r="Y240" i="41"/>
  <c r="P241" i="41"/>
  <c r="U241" i="41"/>
  <c r="Y241" i="41"/>
  <c r="P242" i="41"/>
  <c r="U242" i="41"/>
  <c r="Y242" i="41"/>
  <c r="P243" i="41"/>
  <c r="U243" i="41"/>
  <c r="Y243" i="41"/>
  <c r="P244" i="41"/>
  <c r="U244" i="41"/>
  <c r="Y244" i="41"/>
  <c r="P245" i="41"/>
  <c r="U245" i="41"/>
  <c r="AA22" i="41"/>
  <c r="W22" i="41"/>
  <c r="R22" i="41"/>
  <c r="Z247" i="41"/>
  <c r="V247" i="41"/>
  <c r="Q247" i="41"/>
  <c r="Z246" i="41"/>
  <c r="V246" i="41"/>
  <c r="Q246" i="41"/>
  <c r="Y245" i="41"/>
  <c r="Z22" i="41"/>
  <c r="V22" i="41"/>
  <c r="Q22" i="41"/>
  <c r="Y247" i="41"/>
  <c r="U247" i="41"/>
  <c r="P247" i="41"/>
  <c r="Y246" i="41"/>
  <c r="U246" i="41"/>
  <c r="P246" i="41"/>
  <c r="U574" i="41"/>
  <c r="Y491" i="41"/>
  <c r="Q491" i="41"/>
  <c r="Z491" i="41"/>
  <c r="V491" i="41"/>
  <c r="R491" i="41"/>
  <c r="O574" i="41"/>
  <c r="X574" i="41"/>
  <c r="T574" i="41"/>
  <c r="P574" i="41"/>
  <c r="AA491" i="41"/>
  <c r="W491" i="41"/>
  <c r="S491" i="41"/>
  <c r="Y574" i="41"/>
  <c r="Q574" i="41"/>
  <c r="U491" i="41"/>
  <c r="AA574" i="41"/>
  <c r="W574" i="41"/>
  <c r="S574" i="41"/>
  <c r="O491" i="41"/>
  <c r="X491" i="41"/>
  <c r="T491" i="41"/>
  <c r="P491" i="41"/>
  <c r="Z574" i="41"/>
  <c r="V574" i="41"/>
  <c r="R574" i="41"/>
  <c r="R21" i="41" l="1"/>
  <c r="AJ81" i="40"/>
  <c r="AW577" i="41"/>
  <c r="AW579" i="41"/>
  <c r="AW581" i="41"/>
  <c r="AW583" i="41"/>
  <c r="AW585" i="41"/>
  <c r="AW587" i="41"/>
  <c r="AW589" i="41"/>
  <c r="AW591" i="41"/>
  <c r="AW593" i="41"/>
  <c r="AW595" i="41"/>
  <c r="AW597" i="41"/>
  <c r="AW599" i="41"/>
  <c r="AW601" i="41"/>
  <c r="AW603" i="41"/>
  <c r="AW605" i="41"/>
  <c r="AW607" i="41"/>
  <c r="AW609" i="41"/>
  <c r="AW611" i="41"/>
  <c r="AW613" i="41"/>
  <c r="AW615" i="41"/>
  <c r="AW617" i="41"/>
  <c r="AW619" i="41"/>
  <c r="AW621" i="41"/>
  <c r="AW623" i="41"/>
  <c r="AW625" i="41"/>
  <c r="AW627" i="41"/>
  <c r="AW629" i="41"/>
  <c r="AW631" i="41"/>
  <c r="AW582" i="41"/>
  <c r="AW590" i="41"/>
  <c r="AW598" i="41"/>
  <c r="AW606" i="41"/>
  <c r="AW614" i="41"/>
  <c r="AW622" i="41"/>
  <c r="AW630" i="41"/>
  <c r="AW576" i="41"/>
  <c r="AW588" i="41"/>
  <c r="AW594" i="41"/>
  <c r="AW600" i="41"/>
  <c r="AW620" i="41"/>
  <c r="AW626" i="41"/>
  <c r="AW632" i="41"/>
  <c r="AW639" i="41"/>
  <c r="AW640" i="41"/>
  <c r="AW647" i="41"/>
  <c r="AW648" i="41"/>
  <c r="AW580" i="41"/>
  <c r="AW586" i="41"/>
  <c r="AW592" i="41"/>
  <c r="AW612" i="41"/>
  <c r="AW618" i="41"/>
  <c r="AW624" i="41"/>
  <c r="AW633" i="41"/>
  <c r="AW634" i="41"/>
  <c r="AW641" i="41"/>
  <c r="AW642" i="41"/>
  <c r="AW649" i="41"/>
  <c r="AW650" i="41"/>
  <c r="AW602" i="41"/>
  <c r="AW628" i="41"/>
  <c r="AW638" i="41"/>
  <c r="AW645" i="41"/>
  <c r="AW578" i="41"/>
  <c r="AW610" i="41"/>
  <c r="AW635" i="41"/>
  <c r="AW644" i="41"/>
  <c r="AW651" i="41"/>
  <c r="AW584" i="41"/>
  <c r="AW596" i="41"/>
  <c r="AW608" i="41"/>
  <c r="AW637" i="41"/>
  <c r="AW646" i="41"/>
  <c r="AW575" i="41"/>
  <c r="AW604" i="41"/>
  <c r="AW616" i="41"/>
  <c r="AW636" i="41"/>
  <c r="AW643" i="41"/>
  <c r="AW652" i="41"/>
  <c r="AU576" i="41"/>
  <c r="AU578" i="41"/>
  <c r="AU580" i="41"/>
  <c r="AU582" i="41"/>
  <c r="AU584" i="41"/>
  <c r="AU586" i="41"/>
  <c r="AU588" i="41"/>
  <c r="AU590" i="41"/>
  <c r="AU592" i="41"/>
  <c r="AU594" i="41"/>
  <c r="AU596" i="41"/>
  <c r="AU598" i="41"/>
  <c r="AU600" i="41"/>
  <c r="AU602" i="41"/>
  <c r="AU604" i="41"/>
  <c r="AU606" i="41"/>
  <c r="AU608" i="41"/>
  <c r="AU610" i="41"/>
  <c r="AU612" i="41"/>
  <c r="AU614" i="41"/>
  <c r="AU616" i="41"/>
  <c r="AU618" i="41"/>
  <c r="AU620" i="41"/>
  <c r="AU622" i="41"/>
  <c r="AU624" i="41"/>
  <c r="AU626" i="41"/>
  <c r="AU628" i="41"/>
  <c r="AU630" i="41"/>
  <c r="AU632" i="41"/>
  <c r="AU577" i="41"/>
  <c r="AU585" i="41"/>
  <c r="AU593" i="41"/>
  <c r="AU601" i="41"/>
  <c r="AU609" i="41"/>
  <c r="AU617" i="41"/>
  <c r="AU625" i="41"/>
  <c r="AU581" i="41"/>
  <c r="AU587" i="41"/>
  <c r="AU579" i="41"/>
  <c r="AU599" i="41"/>
  <c r="AU605" i="41"/>
  <c r="AU611" i="41"/>
  <c r="AU631" i="41"/>
  <c r="AU634" i="41"/>
  <c r="AU635" i="41"/>
  <c r="AU642" i="41"/>
  <c r="AU643" i="41"/>
  <c r="AU650" i="41"/>
  <c r="AU651" i="41"/>
  <c r="AU591" i="41"/>
  <c r="AU597" i="41"/>
  <c r="AU603" i="41"/>
  <c r="AU623" i="41"/>
  <c r="AU629" i="41"/>
  <c r="AU636" i="41"/>
  <c r="AU637" i="41"/>
  <c r="AU644" i="41"/>
  <c r="AU645" i="41"/>
  <c r="AU652" i="41"/>
  <c r="AU575" i="41"/>
  <c r="AU607" i="41"/>
  <c r="AU619" i="41"/>
  <c r="AU633" i="41"/>
  <c r="AU640" i="41"/>
  <c r="AU649" i="41"/>
  <c r="AU583" i="41"/>
  <c r="AU615" i="41"/>
  <c r="AU627" i="41"/>
  <c r="AU639" i="41"/>
  <c r="AU646" i="41"/>
  <c r="AU589" i="41"/>
  <c r="AU613" i="41"/>
  <c r="AU641" i="41"/>
  <c r="AU648" i="41"/>
  <c r="AU595" i="41"/>
  <c r="AU647" i="41"/>
  <c r="AU638" i="41"/>
  <c r="AU621" i="41"/>
  <c r="Z21" i="41"/>
  <c r="AW22" i="41" s="1"/>
  <c r="AX494" i="41"/>
  <c r="AX496" i="41"/>
  <c r="AX498" i="41"/>
  <c r="AX500" i="41"/>
  <c r="AX502" i="41"/>
  <c r="AX504" i="41"/>
  <c r="AX506" i="41"/>
  <c r="AX508" i="41"/>
  <c r="AX510" i="41"/>
  <c r="AX512" i="41"/>
  <c r="AX514" i="41"/>
  <c r="AX516" i="41"/>
  <c r="AX518" i="41"/>
  <c r="AX520" i="41"/>
  <c r="AX522" i="41"/>
  <c r="AX524" i="41"/>
  <c r="AX526" i="41"/>
  <c r="AX528" i="41"/>
  <c r="AX530" i="41"/>
  <c r="AX532" i="41"/>
  <c r="AX534" i="41"/>
  <c r="AX536" i="41"/>
  <c r="AX538" i="41"/>
  <c r="AX540" i="41"/>
  <c r="AX493" i="41"/>
  <c r="AX501" i="41"/>
  <c r="AX495" i="41"/>
  <c r="AX503" i="41"/>
  <c r="AX511" i="41"/>
  <c r="AX519" i="41"/>
  <c r="AX527" i="41"/>
  <c r="AX535" i="41"/>
  <c r="AX542" i="41"/>
  <c r="AX544" i="41"/>
  <c r="AX546" i="41"/>
  <c r="AX548" i="41"/>
  <c r="AX550" i="41"/>
  <c r="AX552" i="41"/>
  <c r="AX554" i="41"/>
  <c r="AX556" i="41"/>
  <c r="AX558" i="41"/>
  <c r="AX560" i="41"/>
  <c r="AX562" i="41"/>
  <c r="AX564" i="41"/>
  <c r="AX566" i="41"/>
  <c r="AX568" i="41"/>
  <c r="AX492" i="41"/>
  <c r="AX505" i="41"/>
  <c r="AX497" i="41"/>
  <c r="AX517" i="41"/>
  <c r="AX523" i="41"/>
  <c r="AX529" i="41"/>
  <c r="AX549" i="41"/>
  <c r="AX557" i="41"/>
  <c r="AX565" i="41"/>
  <c r="AX499" i="41"/>
  <c r="AX509" i="41"/>
  <c r="AX515" i="41"/>
  <c r="AX521" i="41"/>
  <c r="AX541" i="41"/>
  <c r="AX543" i="41"/>
  <c r="AX551" i="41"/>
  <c r="AX559" i="41"/>
  <c r="AX567" i="41"/>
  <c r="AX525" i="41"/>
  <c r="AX537" i="41"/>
  <c r="AX547" i="41"/>
  <c r="AX563" i="41"/>
  <c r="AX507" i="41"/>
  <c r="AX533" i="41"/>
  <c r="AX553" i="41"/>
  <c r="AX569" i="41"/>
  <c r="AX513" i="41"/>
  <c r="AX531" i="41"/>
  <c r="AX555" i="41"/>
  <c r="AX539" i="41"/>
  <c r="AX561" i="41"/>
  <c r="AX545" i="41"/>
  <c r="W21" i="41"/>
  <c r="AT242" i="41" s="1"/>
  <c r="AW202" i="41"/>
  <c r="AT494" i="41"/>
  <c r="AT496" i="41"/>
  <c r="AT498" i="41"/>
  <c r="AT500" i="41"/>
  <c r="AT502" i="41"/>
  <c r="AT504" i="41"/>
  <c r="AT506" i="41"/>
  <c r="AT508" i="41"/>
  <c r="AT510" i="41"/>
  <c r="AT512" i="41"/>
  <c r="AT514" i="41"/>
  <c r="AT516" i="41"/>
  <c r="AT518" i="41"/>
  <c r="AT520" i="41"/>
  <c r="AT522" i="41"/>
  <c r="AT524" i="41"/>
  <c r="AT526" i="41"/>
  <c r="AT528" i="41"/>
  <c r="AT530" i="41"/>
  <c r="AT532" i="41"/>
  <c r="AT534" i="41"/>
  <c r="AT536" i="41"/>
  <c r="AT538" i="41"/>
  <c r="AT540" i="41"/>
  <c r="AT542" i="41"/>
  <c r="AT499" i="41"/>
  <c r="AT493" i="41"/>
  <c r="AT501" i="41"/>
  <c r="AT509" i="41"/>
  <c r="AT517" i="41"/>
  <c r="AT525" i="41"/>
  <c r="AT533" i="41"/>
  <c r="AT541" i="41"/>
  <c r="AT544" i="41"/>
  <c r="AT546" i="41"/>
  <c r="AT548" i="41"/>
  <c r="AT550" i="41"/>
  <c r="AT552" i="41"/>
  <c r="AT554" i="41"/>
  <c r="AT556" i="41"/>
  <c r="AT558" i="41"/>
  <c r="AT560" i="41"/>
  <c r="AT562" i="41"/>
  <c r="AT564" i="41"/>
  <c r="AT566" i="41"/>
  <c r="AT568" i="41"/>
  <c r="AT492" i="41"/>
  <c r="AT497" i="41"/>
  <c r="AT515" i="41"/>
  <c r="AT521" i="41"/>
  <c r="AT503" i="41"/>
  <c r="AT507" i="41"/>
  <c r="AT513" i="41"/>
  <c r="AT519" i="41"/>
  <c r="AT539" i="41"/>
  <c r="AT547" i="41"/>
  <c r="AT555" i="41"/>
  <c r="AT563" i="41"/>
  <c r="AT505" i="41"/>
  <c r="AT511" i="41"/>
  <c r="AT531" i="41"/>
  <c r="AT537" i="41"/>
  <c r="AT549" i="41"/>
  <c r="AT557" i="41"/>
  <c r="AT565" i="41"/>
  <c r="AT553" i="41"/>
  <c r="AT569" i="41"/>
  <c r="AT495" i="41"/>
  <c r="AT529" i="41"/>
  <c r="AT543" i="41"/>
  <c r="AT559" i="41"/>
  <c r="AT527" i="41"/>
  <c r="AT545" i="41"/>
  <c r="AT561" i="41"/>
  <c r="AT523" i="41"/>
  <c r="AT535" i="41"/>
  <c r="AT551" i="41"/>
  <c r="AT567" i="41"/>
  <c r="AW494" i="41"/>
  <c r="AW495" i="41"/>
  <c r="AW502" i="41"/>
  <c r="AW503" i="41"/>
  <c r="AW496" i="41"/>
  <c r="AW497" i="41"/>
  <c r="AW504" i="41"/>
  <c r="AW505" i="41"/>
  <c r="AW512" i="41"/>
  <c r="AW513" i="41"/>
  <c r="AW520" i="41"/>
  <c r="AW521" i="41"/>
  <c r="AW528" i="41"/>
  <c r="AW529" i="41"/>
  <c r="AW536" i="41"/>
  <c r="AW537" i="41"/>
  <c r="AW493" i="41"/>
  <c r="AW500" i="41"/>
  <c r="AW511" i="41"/>
  <c r="AW517" i="41"/>
  <c r="AW518" i="41"/>
  <c r="AW499" i="41"/>
  <c r="AW509" i="41"/>
  <c r="AW510" i="41"/>
  <c r="AW515" i="41"/>
  <c r="AW516" i="41"/>
  <c r="AW522" i="41"/>
  <c r="AW535" i="41"/>
  <c r="AW541" i="41"/>
  <c r="AW542" i="41"/>
  <c r="AW543" i="41"/>
  <c r="AW550" i="41"/>
  <c r="AW551" i="41"/>
  <c r="AW558" i="41"/>
  <c r="AW559" i="41"/>
  <c r="AW566" i="41"/>
  <c r="AW567" i="41"/>
  <c r="AW501" i="41"/>
  <c r="AW507" i="41"/>
  <c r="AW508" i="41"/>
  <c r="AW514" i="41"/>
  <c r="AW527" i="41"/>
  <c r="AW533" i="41"/>
  <c r="AW534" i="41"/>
  <c r="AW539" i="41"/>
  <c r="AW540" i="41"/>
  <c r="AW544" i="41"/>
  <c r="AW545" i="41"/>
  <c r="AW552" i="41"/>
  <c r="AW553" i="41"/>
  <c r="AW560" i="41"/>
  <c r="AW561" i="41"/>
  <c r="AW568" i="41"/>
  <c r="AW569" i="41"/>
  <c r="AW506" i="41"/>
  <c r="AW523" i="41"/>
  <c r="AW530" i="41"/>
  <c r="AW549" i="41"/>
  <c r="AW556" i="41"/>
  <c r="AW565" i="41"/>
  <c r="AW526" i="41"/>
  <c r="AW531" i="41"/>
  <c r="AW538" i="41"/>
  <c r="AW546" i="41"/>
  <c r="AW555" i="41"/>
  <c r="AW562" i="41"/>
  <c r="AW524" i="41"/>
  <c r="AW548" i="41"/>
  <c r="AW557" i="41"/>
  <c r="AW564" i="41"/>
  <c r="AW498" i="41"/>
  <c r="AW519" i="41"/>
  <c r="AW547" i="41"/>
  <c r="AW554" i="41"/>
  <c r="AW532" i="41"/>
  <c r="AW563" i="41"/>
  <c r="AW492" i="41"/>
  <c r="AW525" i="41"/>
  <c r="AQ496" i="41"/>
  <c r="AQ500" i="41"/>
  <c r="AQ504" i="41"/>
  <c r="AQ508" i="41"/>
  <c r="AQ512" i="41"/>
  <c r="AQ516" i="41"/>
  <c r="AQ520" i="41"/>
  <c r="AQ524" i="41"/>
  <c r="AQ528" i="41"/>
  <c r="AQ532" i="41"/>
  <c r="AQ536" i="41"/>
  <c r="AQ540" i="41"/>
  <c r="AQ544" i="41"/>
  <c r="AQ548" i="41"/>
  <c r="AQ552" i="41"/>
  <c r="AQ556" i="41"/>
  <c r="AQ560" i="41"/>
  <c r="AQ564" i="41"/>
  <c r="AQ568" i="41"/>
  <c r="AQ493" i="41"/>
  <c r="AQ497" i="41"/>
  <c r="AQ501" i="41"/>
  <c r="AQ505" i="41"/>
  <c r="AQ509" i="41"/>
  <c r="AQ513" i="41"/>
  <c r="AQ517" i="41"/>
  <c r="AQ521" i="41"/>
  <c r="AQ525" i="41"/>
  <c r="AQ529" i="41"/>
  <c r="AQ533" i="41"/>
  <c r="AQ537" i="41"/>
  <c r="AQ541" i="41"/>
  <c r="AQ545" i="41"/>
  <c r="AQ549" i="41"/>
  <c r="AQ553" i="41"/>
  <c r="AQ557" i="41"/>
  <c r="AQ561" i="41"/>
  <c r="AQ565" i="41"/>
  <c r="AQ569" i="41"/>
  <c r="AQ494" i="41"/>
  <c r="AQ498" i="41"/>
  <c r="AQ502" i="41"/>
  <c r="AQ506" i="41"/>
  <c r="AQ510" i="41"/>
  <c r="AQ514" i="41"/>
  <c r="AQ518" i="41"/>
  <c r="AQ522" i="41"/>
  <c r="AQ526" i="41"/>
  <c r="AQ530" i="41"/>
  <c r="AQ534" i="41"/>
  <c r="AQ538" i="41"/>
  <c r="AQ542" i="41"/>
  <c r="AQ546" i="41"/>
  <c r="AQ550" i="41"/>
  <c r="AQ554" i="41"/>
  <c r="AQ558" i="41"/>
  <c r="AQ562" i="41"/>
  <c r="AQ566" i="41"/>
  <c r="AQ495" i="41"/>
  <c r="AQ499" i="41"/>
  <c r="AQ503" i="41"/>
  <c r="AQ507" i="41"/>
  <c r="AQ511" i="41"/>
  <c r="AQ515" i="41"/>
  <c r="AQ519" i="41"/>
  <c r="AQ523" i="41"/>
  <c r="AQ527" i="41"/>
  <c r="AQ531" i="41"/>
  <c r="AQ535" i="41"/>
  <c r="AQ539" i="41"/>
  <c r="AQ543" i="41"/>
  <c r="AQ547" i="41"/>
  <c r="AQ551" i="41"/>
  <c r="AQ555" i="41"/>
  <c r="AQ559" i="41"/>
  <c r="AQ563" i="41"/>
  <c r="AQ567" i="41"/>
  <c r="AT576" i="41"/>
  <c r="AT578" i="41"/>
  <c r="AT579" i="41"/>
  <c r="AT586" i="41"/>
  <c r="AT587" i="41"/>
  <c r="AT594" i="41"/>
  <c r="AT595" i="41"/>
  <c r="AT602" i="41"/>
  <c r="AT603" i="41"/>
  <c r="AT610" i="41"/>
  <c r="AT611" i="41"/>
  <c r="AT618" i="41"/>
  <c r="AT619" i="41"/>
  <c r="AT626" i="41"/>
  <c r="AT627" i="41"/>
  <c r="AT633" i="41"/>
  <c r="AT635" i="41"/>
  <c r="AT637" i="41"/>
  <c r="AT639" i="41"/>
  <c r="AT641" i="41"/>
  <c r="AT643" i="41"/>
  <c r="AT645" i="41"/>
  <c r="AT647" i="41"/>
  <c r="AT649" i="41"/>
  <c r="AT651" i="41"/>
  <c r="AT575" i="41"/>
  <c r="AT580" i="41"/>
  <c r="AT585" i="41"/>
  <c r="AT591" i="41"/>
  <c r="AT592" i="41"/>
  <c r="AT597" i="41"/>
  <c r="AT598" i="41"/>
  <c r="AT604" i="41"/>
  <c r="AT617" i="41"/>
  <c r="AT623" i="41"/>
  <c r="AT624" i="41"/>
  <c r="AT629" i="41"/>
  <c r="AT630" i="41"/>
  <c r="AT636" i="41"/>
  <c r="AT644" i="41"/>
  <c r="AT652" i="41"/>
  <c r="AT577" i="41"/>
  <c r="AT583" i="41"/>
  <c r="AT584" i="41"/>
  <c r="AT589" i="41"/>
  <c r="AT590" i="41"/>
  <c r="AT596" i="41"/>
  <c r="AT609" i="41"/>
  <c r="AT615" i="41"/>
  <c r="AT616" i="41"/>
  <c r="AT621" i="41"/>
  <c r="AT622" i="41"/>
  <c r="AT628" i="41"/>
  <c r="AT638" i="41"/>
  <c r="AT646" i="41"/>
  <c r="AT582" i="41"/>
  <c r="AT593" i="41"/>
  <c r="AT600" i="41"/>
  <c r="AT605" i="41"/>
  <c r="AT612" i="41"/>
  <c r="AT631" i="41"/>
  <c r="AT642" i="41"/>
  <c r="AT588" i="41"/>
  <c r="AT601" i="41"/>
  <c r="AT608" i="41"/>
  <c r="AT613" i="41"/>
  <c r="AT620" i="41"/>
  <c r="AT648" i="41"/>
  <c r="AT599" i="41"/>
  <c r="AT606" i="41"/>
  <c r="AT625" i="41"/>
  <c r="AT632" i="41"/>
  <c r="AT634" i="41"/>
  <c r="AT650" i="41"/>
  <c r="AT581" i="41"/>
  <c r="AT614" i="41"/>
  <c r="AT640" i="41"/>
  <c r="AT607" i="41"/>
  <c r="AV576" i="41"/>
  <c r="AV583" i="41"/>
  <c r="AV584" i="41"/>
  <c r="AV591" i="41"/>
  <c r="AV592" i="41"/>
  <c r="AV599" i="41"/>
  <c r="AV600" i="41"/>
  <c r="AV607" i="41"/>
  <c r="AV608" i="41"/>
  <c r="AV615" i="41"/>
  <c r="AV616" i="41"/>
  <c r="AV623" i="41"/>
  <c r="AV624" i="41"/>
  <c r="AV631" i="41"/>
  <c r="AV632" i="41"/>
  <c r="AV634" i="41"/>
  <c r="AV636" i="41"/>
  <c r="AV638" i="41"/>
  <c r="AV640" i="41"/>
  <c r="AV642" i="41"/>
  <c r="AV644" i="41"/>
  <c r="AV646" i="41"/>
  <c r="AV648" i="41"/>
  <c r="AV650" i="41"/>
  <c r="AV652" i="41"/>
  <c r="AV582" i="41"/>
  <c r="AV588" i="41"/>
  <c r="AV589" i="41"/>
  <c r="AV580" i="41"/>
  <c r="AV581" i="41"/>
  <c r="AV586" i="41"/>
  <c r="AV587" i="41"/>
  <c r="AV593" i="41"/>
  <c r="AV606" i="41"/>
  <c r="AV612" i="41"/>
  <c r="AV613" i="41"/>
  <c r="AV618" i="41"/>
  <c r="AV619" i="41"/>
  <c r="AV625" i="41"/>
  <c r="AV633" i="41"/>
  <c r="AV641" i="41"/>
  <c r="AV649" i="41"/>
  <c r="AV578" i="41"/>
  <c r="AV579" i="41"/>
  <c r="AV585" i="41"/>
  <c r="AV598" i="41"/>
  <c r="AV604" i="41"/>
  <c r="AV605" i="41"/>
  <c r="AV610" i="41"/>
  <c r="AV611" i="41"/>
  <c r="AV617" i="41"/>
  <c r="AV630" i="41"/>
  <c r="AV635" i="41"/>
  <c r="AV643" i="41"/>
  <c r="AV651" i="41"/>
  <c r="AV577" i="41"/>
  <c r="AV595" i="41"/>
  <c r="AV614" i="41"/>
  <c r="AV621" i="41"/>
  <c r="AV626" i="41"/>
  <c r="AV647" i="41"/>
  <c r="AV596" i="41"/>
  <c r="AV603" i="41"/>
  <c r="AV622" i="41"/>
  <c r="AV629" i="41"/>
  <c r="AV637" i="41"/>
  <c r="AV575" i="41"/>
  <c r="AV594" i="41"/>
  <c r="AV601" i="41"/>
  <c r="AV620" i="41"/>
  <c r="AV627" i="41"/>
  <c r="AV639" i="41"/>
  <c r="AV597" i="41"/>
  <c r="AV590" i="41"/>
  <c r="AV609" i="41"/>
  <c r="AV628" i="41"/>
  <c r="AV602" i="41"/>
  <c r="AV645" i="41"/>
  <c r="AV493" i="41"/>
  <c r="AV495" i="41"/>
  <c r="AV497" i="41"/>
  <c r="AV499" i="41"/>
  <c r="AV501" i="41"/>
  <c r="AV503" i="41"/>
  <c r="AV505" i="41"/>
  <c r="AV507" i="41"/>
  <c r="AV509" i="41"/>
  <c r="AV511" i="41"/>
  <c r="AV513" i="41"/>
  <c r="AV515" i="41"/>
  <c r="AV517" i="41"/>
  <c r="AV519" i="41"/>
  <c r="AV521" i="41"/>
  <c r="AV523" i="41"/>
  <c r="AV525" i="41"/>
  <c r="AV527" i="41"/>
  <c r="AV529" i="41"/>
  <c r="AV531" i="41"/>
  <c r="AV533" i="41"/>
  <c r="AV535" i="41"/>
  <c r="AV537" i="41"/>
  <c r="AV539" i="41"/>
  <c r="AV541" i="41"/>
  <c r="AV496" i="41"/>
  <c r="AV504" i="41"/>
  <c r="AV498" i="41"/>
  <c r="AV506" i="41"/>
  <c r="AV514" i="41"/>
  <c r="AV522" i="41"/>
  <c r="AV530" i="41"/>
  <c r="AV538" i="41"/>
  <c r="AV543" i="41"/>
  <c r="AV545" i="41"/>
  <c r="AV547" i="41"/>
  <c r="AV549" i="41"/>
  <c r="AV551" i="41"/>
  <c r="AV553" i="41"/>
  <c r="AV555" i="41"/>
  <c r="AV557" i="41"/>
  <c r="AV559" i="41"/>
  <c r="AV561" i="41"/>
  <c r="AV563" i="41"/>
  <c r="AV565" i="41"/>
  <c r="AV567" i="41"/>
  <c r="AV569" i="41"/>
  <c r="AV502" i="41"/>
  <c r="AV510" i="41"/>
  <c r="AV516" i="41"/>
  <c r="AV508" i="41"/>
  <c r="AV528" i="41"/>
  <c r="AV534" i="41"/>
  <c r="AV540" i="41"/>
  <c r="AV544" i="41"/>
  <c r="AV552" i="41"/>
  <c r="AV560" i="41"/>
  <c r="AV568" i="41"/>
  <c r="AV494" i="41"/>
  <c r="AV520" i="41"/>
  <c r="AV526" i="41"/>
  <c r="AV532" i="41"/>
  <c r="AV546" i="41"/>
  <c r="AV554" i="41"/>
  <c r="AV562" i="41"/>
  <c r="AV492" i="41"/>
  <c r="AV500" i="41"/>
  <c r="AV542" i="41"/>
  <c r="AV558" i="41"/>
  <c r="AV512" i="41"/>
  <c r="AV524" i="41"/>
  <c r="AV548" i="41"/>
  <c r="AV564" i="41"/>
  <c r="AV518" i="41"/>
  <c r="AV536" i="41"/>
  <c r="AV550" i="41"/>
  <c r="AV566" i="41"/>
  <c r="AV556" i="41"/>
  <c r="AW227" i="41"/>
  <c r="AW223" i="41"/>
  <c r="AW195" i="41"/>
  <c r="AW191" i="41"/>
  <c r="AW163" i="41"/>
  <c r="AW159" i="41"/>
  <c r="AR493" i="41"/>
  <c r="AR500" i="41"/>
  <c r="AR501" i="41"/>
  <c r="AR494" i="41"/>
  <c r="AR495" i="41"/>
  <c r="AR502" i="41"/>
  <c r="AR503" i="41"/>
  <c r="AR510" i="41"/>
  <c r="AR511" i="41"/>
  <c r="AR518" i="41"/>
  <c r="AR519" i="41"/>
  <c r="AR526" i="41"/>
  <c r="AR527" i="41"/>
  <c r="AR534" i="41"/>
  <c r="AR535" i="41"/>
  <c r="AR542" i="41"/>
  <c r="AR499" i="41"/>
  <c r="AR507" i="41"/>
  <c r="AR508" i="41"/>
  <c r="AR513" i="41"/>
  <c r="AR514" i="41"/>
  <c r="AR520" i="41"/>
  <c r="AR496" i="41"/>
  <c r="AR505" i="41"/>
  <c r="AR506" i="41"/>
  <c r="AR512" i="41"/>
  <c r="AR525" i="41"/>
  <c r="AR531" i="41"/>
  <c r="AR532" i="41"/>
  <c r="AR537" i="41"/>
  <c r="AR538" i="41"/>
  <c r="AR548" i="41"/>
  <c r="AR549" i="41"/>
  <c r="AR556" i="41"/>
  <c r="AR557" i="41"/>
  <c r="AR564" i="41"/>
  <c r="AR565" i="41"/>
  <c r="AR498" i="41"/>
  <c r="AR517" i="41"/>
  <c r="AR523" i="41"/>
  <c r="AR524" i="41"/>
  <c r="AR529" i="41"/>
  <c r="AR530" i="41"/>
  <c r="AR536" i="41"/>
  <c r="AR543" i="41"/>
  <c r="AR550" i="41"/>
  <c r="AR551" i="41"/>
  <c r="AR558" i="41"/>
  <c r="AR559" i="41"/>
  <c r="AR566" i="41"/>
  <c r="AR567" i="41"/>
  <c r="AR516" i="41"/>
  <c r="AR521" i="41"/>
  <c r="AR533" i="41"/>
  <c r="AR540" i="41"/>
  <c r="AR546" i="41"/>
  <c r="AR555" i="41"/>
  <c r="AR562" i="41"/>
  <c r="AR522" i="41"/>
  <c r="AR541" i="41"/>
  <c r="AR545" i="41"/>
  <c r="AR552" i="41"/>
  <c r="AR561" i="41"/>
  <c r="AR568" i="41"/>
  <c r="AR497" i="41"/>
  <c r="AR504" i="41"/>
  <c r="AR509" i="41"/>
  <c r="AR539" i="41"/>
  <c r="AR547" i="41"/>
  <c r="AR554" i="41"/>
  <c r="AR563" i="41"/>
  <c r="AR492" i="41"/>
  <c r="AR569" i="41"/>
  <c r="AR544" i="41"/>
  <c r="AR515" i="41"/>
  <c r="AR553" i="41"/>
  <c r="AR528" i="41"/>
  <c r="AR560" i="41"/>
  <c r="Q21" i="41"/>
  <c r="AN73" i="41" s="1"/>
  <c r="AA21" i="41"/>
  <c r="AX243" i="41" s="1"/>
  <c r="AS575" i="41"/>
  <c r="AS589" i="41"/>
  <c r="AS605" i="41"/>
  <c r="AS621" i="41"/>
  <c r="AS637" i="41"/>
  <c r="AS576" i="41"/>
  <c r="AS592" i="41"/>
  <c r="AS608" i="41"/>
  <c r="AS632" i="41"/>
  <c r="AS607" i="41"/>
  <c r="AS631" i="41"/>
  <c r="AS651" i="41"/>
  <c r="AS614" i="41"/>
  <c r="AS620" i="41"/>
  <c r="AS652" i="41"/>
  <c r="AS591" i="41"/>
  <c r="AS623" i="41"/>
  <c r="AS594" i="41"/>
  <c r="AS618" i="41"/>
  <c r="AS642" i="41"/>
  <c r="AS577" i="41"/>
  <c r="AS593" i="41"/>
  <c r="AS609" i="41"/>
  <c r="AS625" i="41"/>
  <c r="AS641" i="41"/>
  <c r="AS580" i="41"/>
  <c r="AS596" i="41"/>
  <c r="AS612" i="41"/>
  <c r="AS636" i="41"/>
  <c r="AS611" i="41"/>
  <c r="AS639" i="41"/>
  <c r="AS582" i="41"/>
  <c r="AS622" i="41"/>
  <c r="AS628" i="41"/>
  <c r="AS579" i="41"/>
  <c r="AS595" i="41"/>
  <c r="AS635" i="41"/>
  <c r="AS598" i="41"/>
  <c r="AS626" i="41"/>
  <c r="AS650" i="41"/>
  <c r="AS581" i="41"/>
  <c r="AS597" i="41"/>
  <c r="AS613" i="41"/>
  <c r="AS629" i="41"/>
  <c r="AS645" i="41"/>
  <c r="AS584" i="41"/>
  <c r="AS600" i="41"/>
  <c r="AS616" i="41"/>
  <c r="AS648" i="41"/>
  <c r="AS615" i="41"/>
  <c r="AS643" i="41"/>
  <c r="AS586" i="41"/>
  <c r="AS638" i="41"/>
  <c r="AS640" i="41"/>
  <c r="AS583" i="41"/>
  <c r="AS599" i="41"/>
  <c r="AS578" i="41"/>
  <c r="AS602" i="41"/>
  <c r="AS630" i="41"/>
  <c r="AS585" i="41"/>
  <c r="AS601" i="41"/>
  <c r="AS617" i="41"/>
  <c r="AS633" i="41"/>
  <c r="AS649" i="41"/>
  <c r="AS588" i="41"/>
  <c r="AS604" i="41"/>
  <c r="AS624" i="41"/>
  <c r="AS603" i="41"/>
  <c r="AS627" i="41"/>
  <c r="AS647" i="41"/>
  <c r="AS606" i="41"/>
  <c r="AS646" i="41"/>
  <c r="AS644" i="41"/>
  <c r="AS587" i="41"/>
  <c r="AS619" i="41"/>
  <c r="AS590" i="41"/>
  <c r="AS610" i="41"/>
  <c r="AS634" i="41"/>
  <c r="AU497" i="41"/>
  <c r="AU498" i="41"/>
  <c r="AU499" i="41"/>
  <c r="AU500" i="41"/>
  <c r="AU507" i="41"/>
  <c r="AU508" i="41"/>
  <c r="AU515" i="41"/>
  <c r="AU516" i="41"/>
  <c r="AU523" i="41"/>
  <c r="AU524" i="41"/>
  <c r="AU531" i="41"/>
  <c r="AU532" i="41"/>
  <c r="AU539" i="41"/>
  <c r="AU540" i="41"/>
  <c r="AU495" i="41"/>
  <c r="AU504" i="41"/>
  <c r="AU509" i="41"/>
  <c r="AU494" i="41"/>
  <c r="AU501" i="41"/>
  <c r="AU514" i="41"/>
  <c r="AU520" i="41"/>
  <c r="AU521" i="41"/>
  <c r="AU526" i="41"/>
  <c r="AU527" i="41"/>
  <c r="AU533" i="41"/>
  <c r="AU545" i="41"/>
  <c r="AU546" i="41"/>
  <c r="AU553" i="41"/>
  <c r="AU554" i="41"/>
  <c r="AU561" i="41"/>
  <c r="AU562" i="41"/>
  <c r="AU569" i="41"/>
  <c r="AU492" i="41"/>
  <c r="AU496" i="41"/>
  <c r="AU503" i="41"/>
  <c r="AU506" i="41"/>
  <c r="AU512" i="41"/>
  <c r="AU513" i="41"/>
  <c r="AU518" i="41"/>
  <c r="AU519" i="41"/>
  <c r="AU525" i="41"/>
  <c r="AU538" i="41"/>
  <c r="AU547" i="41"/>
  <c r="AU548" i="41"/>
  <c r="AU555" i="41"/>
  <c r="AU556" i="41"/>
  <c r="AU563" i="41"/>
  <c r="AU564" i="41"/>
  <c r="AU493" i="41"/>
  <c r="AU511" i="41"/>
  <c r="AU528" i="41"/>
  <c r="AU535" i="41"/>
  <c r="AU544" i="41"/>
  <c r="AU551" i="41"/>
  <c r="AU560" i="41"/>
  <c r="AU567" i="41"/>
  <c r="AU502" i="41"/>
  <c r="AU517" i="41"/>
  <c r="AU536" i="41"/>
  <c r="AU550" i="41"/>
  <c r="AU557" i="41"/>
  <c r="AU566" i="41"/>
  <c r="AU522" i="41"/>
  <c r="AU529" i="41"/>
  <c r="AU534" i="41"/>
  <c r="AU541" i="41"/>
  <c r="AU543" i="41"/>
  <c r="AU552" i="41"/>
  <c r="AU559" i="41"/>
  <c r="AU568" i="41"/>
  <c r="AU530" i="41"/>
  <c r="AU505" i="41"/>
  <c r="AU542" i="41"/>
  <c r="AU549" i="41"/>
  <c r="AU510" i="41"/>
  <c r="AU558" i="41"/>
  <c r="AU565" i="41"/>
  <c r="AU537" i="41"/>
  <c r="AX580" i="41"/>
  <c r="AX581" i="41"/>
  <c r="AX588" i="41"/>
  <c r="AX589" i="41"/>
  <c r="AX596" i="41"/>
  <c r="AX597" i="41"/>
  <c r="AX604" i="41"/>
  <c r="AX605" i="41"/>
  <c r="AX612" i="41"/>
  <c r="AX613" i="41"/>
  <c r="AX620" i="41"/>
  <c r="AX621" i="41"/>
  <c r="AX628" i="41"/>
  <c r="AX629" i="41"/>
  <c r="AX633" i="41"/>
  <c r="AX635" i="41"/>
  <c r="AX637" i="41"/>
  <c r="AX639" i="41"/>
  <c r="AX641" i="41"/>
  <c r="AX643" i="41"/>
  <c r="AX645" i="41"/>
  <c r="AX647" i="41"/>
  <c r="AX649" i="41"/>
  <c r="AX651" i="41"/>
  <c r="AX575" i="41"/>
  <c r="AX577" i="41"/>
  <c r="AX578" i="41"/>
  <c r="AX583" i="41"/>
  <c r="AX584" i="41"/>
  <c r="AX576" i="41"/>
  <c r="AX582" i="41"/>
  <c r="AX595" i="41"/>
  <c r="AX601" i="41"/>
  <c r="AX602" i="41"/>
  <c r="AX607" i="41"/>
  <c r="AX608" i="41"/>
  <c r="AX614" i="41"/>
  <c r="AX627" i="41"/>
  <c r="AX638" i="41"/>
  <c r="AX646" i="41"/>
  <c r="AX587" i="41"/>
  <c r="AX593" i="41"/>
  <c r="AX594" i="41"/>
  <c r="AX599" i="41"/>
  <c r="AX600" i="41"/>
  <c r="AX606" i="41"/>
  <c r="AX619" i="41"/>
  <c r="AX625" i="41"/>
  <c r="AX626" i="41"/>
  <c r="AX631" i="41"/>
  <c r="AX632" i="41"/>
  <c r="AX640" i="41"/>
  <c r="AX648" i="41"/>
  <c r="AX586" i="41"/>
  <c r="AX590" i="41"/>
  <c r="AX609" i="41"/>
  <c r="AX616" i="41"/>
  <c r="AX636" i="41"/>
  <c r="AX652" i="41"/>
  <c r="AX591" i="41"/>
  <c r="AX598" i="41"/>
  <c r="AX617" i="41"/>
  <c r="AX624" i="41"/>
  <c r="AX642" i="41"/>
  <c r="AX579" i="41"/>
  <c r="AX603" i="41"/>
  <c r="AX610" i="41"/>
  <c r="AX615" i="41"/>
  <c r="AX622" i="41"/>
  <c r="AX644" i="41"/>
  <c r="AX623" i="41"/>
  <c r="AX585" i="41"/>
  <c r="AX634" i="41"/>
  <c r="AX618" i="41"/>
  <c r="AX650" i="41"/>
  <c r="AX592" i="41"/>
  <c r="AX630" i="41"/>
  <c r="AX611" i="41"/>
  <c r="AS552" i="41"/>
  <c r="AS561" i="41"/>
  <c r="AS494" i="41"/>
  <c r="AS498" i="41"/>
  <c r="AS502" i="41"/>
  <c r="AS506" i="41"/>
  <c r="AS510" i="41"/>
  <c r="AS514" i="41"/>
  <c r="AS518" i="41"/>
  <c r="AS522" i="41"/>
  <c r="AS527" i="41"/>
  <c r="AS531" i="41"/>
  <c r="AS535" i="41"/>
  <c r="AS539" i="41"/>
  <c r="AS543" i="41"/>
  <c r="AS547" i="41"/>
  <c r="AS551" i="41"/>
  <c r="AS558" i="41"/>
  <c r="AS565" i="41"/>
  <c r="AS553" i="41"/>
  <c r="AS562" i="41"/>
  <c r="AS495" i="41"/>
  <c r="AS499" i="41"/>
  <c r="AS503" i="41"/>
  <c r="AS507" i="41"/>
  <c r="AS511" i="41"/>
  <c r="AS515" i="41"/>
  <c r="AS519" i="41"/>
  <c r="AS524" i="41"/>
  <c r="AS528" i="41"/>
  <c r="AS532" i="41"/>
  <c r="AS536" i="41"/>
  <c r="AS540" i="41"/>
  <c r="AS544" i="41"/>
  <c r="AS548" i="41"/>
  <c r="AS555" i="41"/>
  <c r="AS559" i="41"/>
  <c r="AS569" i="41"/>
  <c r="AS492" i="41"/>
  <c r="AS554" i="41"/>
  <c r="AS563" i="41"/>
  <c r="AS496" i="41"/>
  <c r="AS500" i="41"/>
  <c r="AS504" i="41"/>
  <c r="AS508" i="41"/>
  <c r="AS512" i="41"/>
  <c r="AS516" i="41"/>
  <c r="AS520" i="41"/>
  <c r="AS525" i="41"/>
  <c r="AS529" i="41"/>
  <c r="AS533" i="41"/>
  <c r="AS537" i="41"/>
  <c r="AS541" i="41"/>
  <c r="AS545" i="41"/>
  <c r="AS549" i="41"/>
  <c r="AS556" i="41"/>
  <c r="AS567" i="41"/>
  <c r="AS564" i="41"/>
  <c r="AS523" i="41"/>
  <c r="AS560" i="41"/>
  <c r="AS493" i="41"/>
  <c r="AS497" i="41"/>
  <c r="AS501" i="41"/>
  <c r="AS505" i="41"/>
  <c r="AS509" i="41"/>
  <c r="AS513" i="41"/>
  <c r="AS517" i="41"/>
  <c r="AS521" i="41"/>
  <c r="AS526" i="41"/>
  <c r="AS530" i="41"/>
  <c r="AS534" i="41"/>
  <c r="AS538" i="41"/>
  <c r="AS542" i="41"/>
  <c r="AS546" i="41"/>
  <c r="AS550" i="41"/>
  <c r="AS557" i="41"/>
  <c r="AS566" i="41"/>
  <c r="AS568" i="41"/>
  <c r="AR577" i="41"/>
  <c r="AR579" i="41"/>
  <c r="AR581" i="41"/>
  <c r="AR583" i="41"/>
  <c r="AR585" i="41"/>
  <c r="AR587" i="41"/>
  <c r="AR589" i="41"/>
  <c r="AR591" i="41"/>
  <c r="AR593" i="41"/>
  <c r="AR595" i="41"/>
  <c r="AR597" i="41"/>
  <c r="AR599" i="41"/>
  <c r="AR601" i="41"/>
  <c r="AR603" i="41"/>
  <c r="AR605" i="41"/>
  <c r="AR607" i="41"/>
  <c r="AR609" i="41"/>
  <c r="AR611" i="41"/>
  <c r="AR613" i="41"/>
  <c r="AR615" i="41"/>
  <c r="AR617" i="41"/>
  <c r="AR619" i="41"/>
  <c r="AR621" i="41"/>
  <c r="AR623" i="41"/>
  <c r="AR625" i="41"/>
  <c r="AR627" i="41"/>
  <c r="AR629" i="41"/>
  <c r="AR631" i="41"/>
  <c r="AR576" i="41"/>
  <c r="AR580" i="41"/>
  <c r="AR588" i="41"/>
  <c r="AR596" i="41"/>
  <c r="AR604" i="41"/>
  <c r="AR612" i="41"/>
  <c r="AR620" i="41"/>
  <c r="AR628" i="41"/>
  <c r="AR586" i="41"/>
  <c r="AR578" i="41"/>
  <c r="AR584" i="41"/>
  <c r="AR590" i="41"/>
  <c r="AR610" i="41"/>
  <c r="AR616" i="41"/>
  <c r="AR622" i="41"/>
  <c r="AR637" i="41"/>
  <c r="AR638" i="41"/>
  <c r="AR645" i="41"/>
  <c r="AR646" i="41"/>
  <c r="AR575" i="41"/>
  <c r="AR582" i="41"/>
  <c r="AR602" i="41"/>
  <c r="AR608" i="41"/>
  <c r="AR614" i="41"/>
  <c r="AR639" i="41"/>
  <c r="AR640" i="41"/>
  <c r="AR647" i="41"/>
  <c r="AR648" i="41"/>
  <c r="AR598" i="41"/>
  <c r="AR624" i="41"/>
  <c r="AR635" i="41"/>
  <c r="AR644" i="41"/>
  <c r="AR651" i="41"/>
  <c r="AR594" i="41"/>
  <c r="AR606" i="41"/>
  <c r="AR632" i="41"/>
  <c r="AR634" i="41"/>
  <c r="AR641" i="41"/>
  <c r="AR650" i="41"/>
  <c r="AR592" i="41"/>
  <c r="AR618" i="41"/>
  <c r="AR630" i="41"/>
  <c r="AR636" i="41"/>
  <c r="AR643" i="41"/>
  <c r="AR652" i="41"/>
  <c r="AR633" i="41"/>
  <c r="AR626" i="41"/>
  <c r="AR642" i="41"/>
  <c r="AR649" i="41"/>
  <c r="AR600" i="41"/>
  <c r="V21" i="41"/>
  <c r="AW244" i="41"/>
  <c r="AW240" i="41"/>
  <c r="AW212" i="41"/>
  <c r="AW208" i="41"/>
  <c r="AW180" i="41"/>
  <c r="AW176" i="41"/>
  <c r="AW148" i="41"/>
  <c r="AW144" i="41"/>
  <c r="AW157" i="41"/>
  <c r="AW153" i="41"/>
  <c r="AW108" i="41"/>
  <c r="AW104" i="41"/>
  <c r="AW76" i="41"/>
  <c r="AW72" i="41"/>
  <c r="AW44" i="41"/>
  <c r="AW38" i="41"/>
  <c r="T21" i="41"/>
  <c r="AQ95" i="41" s="1"/>
  <c r="Y21" i="41"/>
  <c r="AV223" i="41" s="1"/>
  <c r="AW117" i="41"/>
  <c r="AW113" i="41"/>
  <c r="AW85" i="41"/>
  <c r="AW81" i="41"/>
  <c r="AW53" i="41"/>
  <c r="AW49" i="41"/>
  <c r="AW245" i="41"/>
  <c r="AW106" i="41"/>
  <c r="AW102" i="41"/>
  <c r="AW74" i="41"/>
  <c r="AW70" i="41"/>
  <c r="AW40" i="41"/>
  <c r="AW36" i="41"/>
  <c r="S21" i="41"/>
  <c r="P21" i="41"/>
  <c r="AM235" i="41" s="1"/>
  <c r="AW248" i="41"/>
  <c r="AW107" i="41"/>
  <c r="AW103" i="41"/>
  <c r="AW75" i="41"/>
  <c r="AW71" i="41"/>
  <c r="AW41" i="41"/>
  <c r="AW37" i="41"/>
  <c r="O21" i="41"/>
  <c r="AL130" i="41" s="1"/>
  <c r="X21" i="41"/>
  <c r="AU240" i="41" s="1"/>
  <c r="U21" i="41"/>
  <c r="AR210" i="41" s="1"/>
  <c r="AW252" i="41"/>
  <c r="AJ94" i="40"/>
  <c r="AL47" i="40"/>
  <c r="AJ92" i="40"/>
  <c r="AJ97" i="40"/>
  <c r="AJ95" i="40"/>
  <c r="AJ93" i="40"/>
  <c r="AJ82" i="40"/>
  <c r="AJ91" i="40"/>
  <c r="AJ96" i="40"/>
  <c r="BZ46" i="40"/>
  <c r="BZ47" i="40"/>
  <c r="BZ45" i="40"/>
  <c r="BZ43" i="40"/>
  <c r="Z65" i="40"/>
  <c r="Z66" i="40" s="1"/>
  <c r="W65" i="40"/>
  <c r="W66" i="40" s="1"/>
  <c r="V65" i="40"/>
  <c r="V66" i="40" s="1"/>
  <c r="Y65" i="40"/>
  <c r="Y66" i="40" s="1"/>
  <c r="X65" i="40"/>
  <c r="X66" i="40" s="1"/>
  <c r="AA65" i="40"/>
  <c r="AA66" i="40" s="1"/>
  <c r="G42" i="38"/>
  <c r="G41" i="38"/>
  <c r="G38" i="38"/>
  <c r="G40" i="38"/>
  <c r="Z255" i="41"/>
  <c r="BL75" i="40"/>
  <c r="BL83" i="40"/>
  <c r="BL93" i="40"/>
  <c r="BL101" i="40"/>
  <c r="BL116" i="40"/>
  <c r="BL71" i="40"/>
  <c r="BL76" i="40"/>
  <c r="BL84" i="40"/>
  <c r="BL92" i="40"/>
  <c r="BL108" i="40"/>
  <c r="BL115" i="40"/>
  <c r="BL77" i="40"/>
  <c r="BL85" i="40"/>
  <c r="BL95" i="40"/>
  <c r="BL103" i="40"/>
  <c r="BL110" i="40"/>
  <c r="BL118" i="40"/>
  <c r="BL70" i="40"/>
  <c r="BL78" i="40"/>
  <c r="BL86" i="40"/>
  <c r="BL94" i="40"/>
  <c r="BL102" i="40"/>
  <c r="BL109" i="40"/>
  <c r="BL117" i="40"/>
  <c r="BL122" i="40"/>
  <c r="BL79" i="40"/>
  <c r="BL87" i="40"/>
  <c r="BL97" i="40"/>
  <c r="BL105" i="40"/>
  <c r="BL120" i="40"/>
  <c r="BL72" i="40"/>
  <c r="BL80" i="40"/>
  <c r="BL88" i="40"/>
  <c r="BL96" i="40"/>
  <c r="BL104" i="40"/>
  <c r="BL119" i="40"/>
  <c r="BL91" i="40"/>
  <c r="BL73" i="40"/>
  <c r="BL81" i="40"/>
  <c r="BL89" i="40"/>
  <c r="BL107" i="40"/>
  <c r="BL114" i="40"/>
  <c r="BL123" i="40"/>
  <c r="BL74" i="40"/>
  <c r="BL82" i="40"/>
  <c r="BL90" i="40"/>
  <c r="BL98" i="40"/>
  <c r="BL106" i="40"/>
  <c r="BL113" i="40"/>
  <c r="BL121" i="40"/>
  <c r="T255" i="41"/>
  <c r="U255" i="41"/>
  <c r="Y255" i="41"/>
  <c r="O255" i="41"/>
  <c r="AL263" i="41" s="1"/>
  <c r="AA255" i="41"/>
  <c r="V255" i="41"/>
  <c r="Q255" i="41"/>
  <c r="AN326" i="41" s="1"/>
  <c r="W255" i="41"/>
  <c r="R255" i="41"/>
  <c r="AO379" i="41" s="1"/>
  <c r="X255" i="41"/>
  <c r="S255" i="41"/>
  <c r="AP261" i="41" s="1"/>
  <c r="P255" i="41"/>
  <c r="AL576" i="41"/>
  <c r="AL580" i="41"/>
  <c r="AL579" i="41"/>
  <c r="AL578" i="41"/>
  <c r="AL577" i="41"/>
  <c r="AL581" i="41"/>
  <c r="AL583" i="41"/>
  <c r="AL587" i="41"/>
  <c r="AL591" i="41"/>
  <c r="AL595" i="41"/>
  <c r="AL599" i="41"/>
  <c r="AL603" i="41"/>
  <c r="AL607" i="41"/>
  <c r="AL611" i="41"/>
  <c r="AL582" i="41"/>
  <c r="AL586" i="41"/>
  <c r="AL590" i="41"/>
  <c r="AL594" i="41"/>
  <c r="AL598" i="41"/>
  <c r="AL602" i="41"/>
  <c r="AL606" i="41"/>
  <c r="AL610" i="41"/>
  <c r="AL585" i="41"/>
  <c r="AL589" i="41"/>
  <c r="AL593" i="41"/>
  <c r="AL597" i="41"/>
  <c r="AL601" i="41"/>
  <c r="AL605" i="41"/>
  <c r="AL609" i="41"/>
  <c r="AL613" i="41"/>
  <c r="AL584" i="41"/>
  <c r="AL588" i="41"/>
  <c r="AL592" i="41"/>
  <c r="AL596" i="41"/>
  <c r="AL600" i="41"/>
  <c r="AL604" i="41"/>
  <c r="AL608" i="41"/>
  <c r="AL612" i="41"/>
  <c r="AL616" i="41"/>
  <c r="AL620" i="41"/>
  <c r="AL624" i="41"/>
  <c r="AL628" i="41"/>
  <c r="AL632" i="41"/>
  <c r="AL636" i="41"/>
  <c r="AL640" i="41"/>
  <c r="AL644" i="41"/>
  <c r="AL648" i="41"/>
  <c r="AL652" i="41"/>
  <c r="AL615" i="41"/>
  <c r="AL619" i="41"/>
  <c r="AL623" i="41"/>
  <c r="AL627" i="41"/>
  <c r="AL631" i="41"/>
  <c r="AL635" i="41"/>
  <c r="AL639" i="41"/>
  <c r="AL643" i="41"/>
  <c r="AL647" i="41"/>
  <c r="AL651" i="41"/>
  <c r="AL575" i="41"/>
  <c r="AL614" i="41"/>
  <c r="AL618" i="41"/>
  <c r="AL622" i="41"/>
  <c r="AL626" i="41"/>
  <c r="AL630" i="41"/>
  <c r="AL634" i="41"/>
  <c r="AL638" i="41"/>
  <c r="AL642" i="41"/>
  <c r="AL646" i="41"/>
  <c r="AL650" i="41"/>
  <c r="AL617" i="41"/>
  <c r="AL621" i="41"/>
  <c r="AL625" i="41"/>
  <c r="AL629" i="41"/>
  <c r="AL633" i="41"/>
  <c r="AL637" i="41"/>
  <c r="AL641" i="41"/>
  <c r="AL645" i="41"/>
  <c r="AL649" i="41"/>
  <c r="AO496" i="41"/>
  <c r="AO500" i="41"/>
  <c r="AO504" i="41"/>
  <c r="AO508" i="41"/>
  <c r="AO493" i="41"/>
  <c r="AO497" i="41"/>
  <c r="AO501" i="41"/>
  <c r="AO505" i="41"/>
  <c r="AO509" i="41"/>
  <c r="AO494" i="41"/>
  <c r="AO498" i="41"/>
  <c r="AO502" i="41"/>
  <c r="AO506" i="41"/>
  <c r="AO510" i="41"/>
  <c r="AO495" i="41"/>
  <c r="AO499" i="41"/>
  <c r="AO503" i="41"/>
  <c r="AO507" i="41"/>
  <c r="AO512" i="41"/>
  <c r="AO516" i="41"/>
  <c r="AO520" i="41"/>
  <c r="AO524" i="41"/>
  <c r="AO528" i="41"/>
  <c r="AO532" i="41"/>
  <c r="AO536" i="41"/>
  <c r="AO540" i="41"/>
  <c r="AO544" i="41"/>
  <c r="AO548" i="41"/>
  <c r="AO552" i="41"/>
  <c r="AO556" i="41"/>
  <c r="AO560" i="41"/>
  <c r="AO513" i="41"/>
  <c r="AO517" i="41"/>
  <c r="AO521" i="41"/>
  <c r="AO525" i="41"/>
  <c r="AO529" i="41"/>
  <c r="AO533" i="41"/>
  <c r="AO537" i="41"/>
  <c r="AO541" i="41"/>
  <c r="AO545" i="41"/>
  <c r="AO549" i="41"/>
  <c r="AO553" i="41"/>
  <c r="AO557" i="41"/>
  <c r="AO561" i="41"/>
  <c r="AO514" i="41"/>
  <c r="AO518" i="41"/>
  <c r="AO522" i="41"/>
  <c r="AO526" i="41"/>
  <c r="AO530" i="41"/>
  <c r="AO534" i="41"/>
  <c r="AO538" i="41"/>
  <c r="AO542" i="41"/>
  <c r="AO546" i="41"/>
  <c r="AO550" i="41"/>
  <c r="AO554" i="41"/>
  <c r="AO558" i="41"/>
  <c r="AO562" i="41"/>
  <c r="AO511" i="41"/>
  <c r="AO515" i="41"/>
  <c r="AO519" i="41"/>
  <c r="AO523" i="41"/>
  <c r="AO527" i="41"/>
  <c r="AO531" i="41"/>
  <c r="AO535" i="41"/>
  <c r="AO539" i="41"/>
  <c r="AO543" i="41"/>
  <c r="AO547" i="41"/>
  <c r="AO551" i="41"/>
  <c r="AO555" i="41"/>
  <c r="AO559" i="41"/>
  <c r="AO566" i="41"/>
  <c r="AO567" i="41"/>
  <c r="AO563" i="41"/>
  <c r="AO564" i="41"/>
  <c r="AO568" i="41"/>
  <c r="AO565" i="41"/>
  <c r="AO569" i="41"/>
  <c r="AO492" i="41"/>
  <c r="AP495" i="41"/>
  <c r="AP499" i="41"/>
  <c r="AP503" i="41"/>
  <c r="AP507" i="41"/>
  <c r="AP496" i="41"/>
  <c r="AP500" i="41"/>
  <c r="AP504" i="41"/>
  <c r="AP508" i="41"/>
  <c r="AP493" i="41"/>
  <c r="AP497" i="41"/>
  <c r="AP501" i="41"/>
  <c r="AP505" i="41"/>
  <c r="AP509" i="41"/>
  <c r="AP494" i="41"/>
  <c r="AP498" i="41"/>
  <c r="AP502" i="41"/>
  <c r="AP506" i="41"/>
  <c r="AP510" i="41"/>
  <c r="AP511" i="41"/>
  <c r="AP515" i="41"/>
  <c r="AP519" i="41"/>
  <c r="AP523" i="41"/>
  <c r="AP527" i="41"/>
  <c r="AP531" i="41"/>
  <c r="AP535" i="41"/>
  <c r="AP539" i="41"/>
  <c r="AP543" i="41"/>
  <c r="AP547" i="41"/>
  <c r="AP551" i="41"/>
  <c r="AP555" i="41"/>
  <c r="AP559" i="41"/>
  <c r="AP563" i="41"/>
  <c r="AP512" i="41"/>
  <c r="AP516" i="41"/>
  <c r="AP520" i="41"/>
  <c r="AP524" i="41"/>
  <c r="AP528" i="41"/>
  <c r="AP532" i="41"/>
  <c r="AP536" i="41"/>
  <c r="AP540" i="41"/>
  <c r="AP544" i="41"/>
  <c r="AP548" i="41"/>
  <c r="AP552" i="41"/>
  <c r="AP556" i="41"/>
  <c r="AP560" i="41"/>
  <c r="AP513" i="41"/>
  <c r="AP517" i="41"/>
  <c r="AP521" i="41"/>
  <c r="AP525" i="41"/>
  <c r="AP529" i="41"/>
  <c r="AP533" i="41"/>
  <c r="AP537" i="41"/>
  <c r="AP541" i="41"/>
  <c r="AP545" i="41"/>
  <c r="AP549" i="41"/>
  <c r="AP553" i="41"/>
  <c r="AP557" i="41"/>
  <c r="AP561" i="41"/>
  <c r="AP514" i="41"/>
  <c r="AP518" i="41"/>
  <c r="AP522" i="41"/>
  <c r="AP526" i="41"/>
  <c r="AP530" i="41"/>
  <c r="AP534" i="41"/>
  <c r="AP538" i="41"/>
  <c r="AP542" i="41"/>
  <c r="AP546" i="41"/>
  <c r="AP550" i="41"/>
  <c r="AP554" i="41"/>
  <c r="AP558" i="41"/>
  <c r="AP562" i="41"/>
  <c r="AP565" i="41"/>
  <c r="AP569" i="41"/>
  <c r="AP492" i="41"/>
  <c r="AP566" i="41"/>
  <c r="AP567" i="41"/>
  <c r="AP564" i="41"/>
  <c r="AP568" i="41"/>
  <c r="AQ579" i="41"/>
  <c r="AQ578" i="41"/>
  <c r="AQ577" i="41"/>
  <c r="AQ581" i="41"/>
  <c r="AQ576" i="41"/>
  <c r="AQ580" i="41"/>
  <c r="AQ582" i="41"/>
  <c r="AQ586" i="41"/>
  <c r="AQ590" i="41"/>
  <c r="AQ594" i="41"/>
  <c r="AQ598" i="41"/>
  <c r="AQ602" i="41"/>
  <c r="AQ606" i="41"/>
  <c r="AQ610" i="41"/>
  <c r="AQ585" i="41"/>
  <c r="AQ589" i="41"/>
  <c r="AQ593" i="41"/>
  <c r="AQ597" i="41"/>
  <c r="AQ601" i="41"/>
  <c r="AQ605" i="41"/>
  <c r="AQ609" i="41"/>
  <c r="AQ584" i="41"/>
  <c r="AQ588" i="41"/>
  <c r="AQ592" i="41"/>
  <c r="AQ596" i="41"/>
  <c r="AQ600" i="41"/>
  <c r="AQ604" i="41"/>
  <c r="AQ608" i="41"/>
  <c r="AQ612" i="41"/>
  <c r="AQ583" i="41"/>
  <c r="AQ587" i="41"/>
  <c r="AQ591" i="41"/>
  <c r="AQ595" i="41"/>
  <c r="AQ599" i="41"/>
  <c r="AQ603" i="41"/>
  <c r="AQ607" i="41"/>
  <c r="AQ611" i="41"/>
  <c r="AQ615" i="41"/>
  <c r="AQ619" i="41"/>
  <c r="AQ623" i="41"/>
  <c r="AQ627" i="41"/>
  <c r="AQ631" i="41"/>
  <c r="AQ635" i="41"/>
  <c r="AQ639" i="41"/>
  <c r="AQ643" i="41"/>
  <c r="AQ647" i="41"/>
  <c r="AQ651" i="41"/>
  <c r="AQ614" i="41"/>
  <c r="AQ618" i="41"/>
  <c r="AQ622" i="41"/>
  <c r="AQ626" i="41"/>
  <c r="AQ630" i="41"/>
  <c r="AQ634" i="41"/>
  <c r="AQ638" i="41"/>
  <c r="AQ642" i="41"/>
  <c r="AQ646" i="41"/>
  <c r="AQ650" i="41"/>
  <c r="AQ575" i="41"/>
  <c r="AQ613" i="41"/>
  <c r="AQ617" i="41"/>
  <c r="AQ621" i="41"/>
  <c r="AQ625" i="41"/>
  <c r="AQ629" i="41"/>
  <c r="AQ633" i="41"/>
  <c r="AQ637" i="41"/>
  <c r="AQ641" i="41"/>
  <c r="AQ645" i="41"/>
  <c r="AQ649" i="41"/>
  <c r="AQ616" i="41"/>
  <c r="AQ620" i="41"/>
  <c r="AQ624" i="41"/>
  <c r="AQ628" i="41"/>
  <c r="AQ632" i="41"/>
  <c r="AQ636" i="41"/>
  <c r="AQ640" i="41"/>
  <c r="AQ644" i="41"/>
  <c r="AQ648" i="41"/>
  <c r="AQ652" i="41"/>
  <c r="AO23" i="41"/>
  <c r="AO31" i="41"/>
  <c r="AO39" i="41"/>
  <c r="AO48" i="41"/>
  <c r="AO56" i="41"/>
  <c r="AO64" i="41"/>
  <c r="AO72" i="41"/>
  <c r="AO80" i="41"/>
  <c r="AO88" i="41"/>
  <c r="AO96" i="41"/>
  <c r="AO104" i="41"/>
  <c r="AO112" i="41"/>
  <c r="AO120" i="41"/>
  <c r="AO128" i="41"/>
  <c r="AO136" i="41"/>
  <c r="AO144" i="41"/>
  <c r="AO152" i="41"/>
  <c r="AO160" i="41"/>
  <c r="AO168" i="41"/>
  <c r="AO176" i="41"/>
  <c r="AO184" i="41"/>
  <c r="AO192" i="41"/>
  <c r="AO196" i="41"/>
  <c r="AO200" i="41"/>
  <c r="AO204" i="41"/>
  <c r="AO208" i="41"/>
  <c r="AO212" i="41"/>
  <c r="AO216" i="41"/>
  <c r="AO220" i="41"/>
  <c r="AO224" i="41"/>
  <c r="AO226" i="41"/>
  <c r="AO230" i="41"/>
  <c r="AO234" i="41"/>
  <c r="AO238" i="41"/>
  <c r="AO246" i="41"/>
  <c r="AO242" i="41"/>
  <c r="AO247" i="41"/>
  <c r="M21" i="40"/>
  <c r="AN493" i="41"/>
  <c r="AN497" i="41"/>
  <c r="AN501" i="41"/>
  <c r="AN505" i="41"/>
  <c r="AN509" i="41"/>
  <c r="AN494" i="41"/>
  <c r="AN498" i="41"/>
  <c r="AN502" i="41"/>
  <c r="AN506" i="41"/>
  <c r="AN510" i="41"/>
  <c r="AN495" i="41"/>
  <c r="AN499" i="41"/>
  <c r="AN503" i="41"/>
  <c r="AN507" i="41"/>
  <c r="AN496" i="41"/>
  <c r="AN500" i="41"/>
  <c r="AN504" i="41"/>
  <c r="AN508" i="41"/>
  <c r="AN513" i="41"/>
  <c r="AN517" i="41"/>
  <c r="AN521" i="41"/>
  <c r="AN525" i="41"/>
  <c r="AN529" i="41"/>
  <c r="AN533" i="41"/>
  <c r="AN537" i="41"/>
  <c r="AN541" i="41"/>
  <c r="AN545" i="41"/>
  <c r="AN549" i="41"/>
  <c r="AN553" i="41"/>
  <c r="AN557" i="41"/>
  <c r="AN561" i="41"/>
  <c r="AN514" i="41"/>
  <c r="AN518" i="41"/>
  <c r="AN522" i="41"/>
  <c r="AN526" i="41"/>
  <c r="AN530" i="41"/>
  <c r="AN534" i="41"/>
  <c r="AN538" i="41"/>
  <c r="AN542" i="41"/>
  <c r="AN546" i="41"/>
  <c r="AN550" i="41"/>
  <c r="AN554" i="41"/>
  <c r="AN558" i="41"/>
  <c r="AN562" i="41"/>
  <c r="AN511" i="41"/>
  <c r="AN515" i="41"/>
  <c r="AN519" i="41"/>
  <c r="AN523" i="41"/>
  <c r="AN527" i="41"/>
  <c r="AN531" i="41"/>
  <c r="AN535" i="41"/>
  <c r="AN539" i="41"/>
  <c r="AN543" i="41"/>
  <c r="AN547" i="41"/>
  <c r="AN551" i="41"/>
  <c r="AN555" i="41"/>
  <c r="AN559" i="41"/>
  <c r="AN563" i="41"/>
  <c r="AN512" i="41"/>
  <c r="AN516" i="41"/>
  <c r="AN520" i="41"/>
  <c r="AN524" i="41"/>
  <c r="AN528" i="41"/>
  <c r="AN532" i="41"/>
  <c r="AN536" i="41"/>
  <c r="AN540" i="41"/>
  <c r="AN544" i="41"/>
  <c r="AN548" i="41"/>
  <c r="AN552" i="41"/>
  <c r="AN556" i="41"/>
  <c r="AN560" i="41"/>
  <c r="AN567" i="41"/>
  <c r="AN564" i="41"/>
  <c r="AN568" i="41"/>
  <c r="AN565" i="41"/>
  <c r="AN569" i="41"/>
  <c r="AN492" i="41"/>
  <c r="AN566" i="41"/>
  <c r="AO26" i="41"/>
  <c r="AO30" i="41"/>
  <c r="AO34" i="41"/>
  <c r="AO38" i="41"/>
  <c r="AO42" i="41"/>
  <c r="AO47" i="41"/>
  <c r="AO51" i="41"/>
  <c r="AO55" i="41"/>
  <c r="AO59" i="41"/>
  <c r="AO63" i="41"/>
  <c r="AO67" i="41"/>
  <c r="AO71" i="41"/>
  <c r="AO75" i="41"/>
  <c r="AO79" i="41"/>
  <c r="AO83" i="41"/>
  <c r="AO87" i="41"/>
  <c r="AO91" i="41"/>
  <c r="AO95" i="41"/>
  <c r="AO99" i="41"/>
  <c r="AO103" i="41"/>
  <c r="AO107" i="41"/>
  <c r="AO111" i="41"/>
  <c r="AO115" i="41"/>
  <c r="AO119" i="41"/>
  <c r="AO123" i="41"/>
  <c r="AO127" i="41"/>
  <c r="AO131" i="41"/>
  <c r="AO135" i="41"/>
  <c r="AO139" i="41"/>
  <c r="AO143" i="41"/>
  <c r="AO147" i="41"/>
  <c r="AO151" i="41"/>
  <c r="AO155" i="41"/>
  <c r="AO159" i="41"/>
  <c r="AO163" i="41"/>
  <c r="AO167" i="41"/>
  <c r="AO171" i="41"/>
  <c r="AO175" i="41"/>
  <c r="AO179" i="41"/>
  <c r="AO183" i="41"/>
  <c r="AO187" i="41"/>
  <c r="AO191" i="41"/>
  <c r="AO195" i="41"/>
  <c r="AO199" i="41"/>
  <c r="AO203" i="41"/>
  <c r="AO207" i="41"/>
  <c r="AO211" i="41"/>
  <c r="AO215" i="41"/>
  <c r="AO219" i="41"/>
  <c r="AO223" i="41"/>
  <c r="AO227" i="41"/>
  <c r="AO231" i="41"/>
  <c r="AO22" i="41"/>
  <c r="AO235" i="41"/>
  <c r="AO239" i="41"/>
  <c r="AO243" i="41"/>
  <c r="M31" i="40"/>
  <c r="AO236" i="41"/>
  <c r="M53" i="40"/>
  <c r="AO25" i="41"/>
  <c r="AO29" i="41"/>
  <c r="AO33" i="41"/>
  <c r="AO37" i="41"/>
  <c r="AO41" i="41"/>
  <c r="AO46" i="41"/>
  <c r="AO50" i="41"/>
  <c r="AO54" i="41"/>
  <c r="AO58" i="41"/>
  <c r="AO62" i="41"/>
  <c r="AO66" i="41"/>
  <c r="AO70" i="41"/>
  <c r="AO74" i="41"/>
  <c r="AO78" i="41"/>
  <c r="AO82" i="41"/>
  <c r="AO86" i="41"/>
  <c r="AO90" i="41"/>
  <c r="AO94" i="41"/>
  <c r="AO98" i="41"/>
  <c r="AO102" i="41"/>
  <c r="AO106" i="41"/>
  <c r="AO110" i="41"/>
  <c r="AO114" i="41"/>
  <c r="AO118" i="41"/>
  <c r="AO122" i="41"/>
  <c r="AO126" i="41"/>
  <c r="AO130" i="41"/>
  <c r="AO134" i="41"/>
  <c r="AO138" i="41"/>
  <c r="AO142" i="41"/>
  <c r="AO146" i="41"/>
  <c r="AO150" i="41"/>
  <c r="AO154" i="41"/>
  <c r="AO158" i="41"/>
  <c r="AO162" i="41"/>
  <c r="AO166" i="41"/>
  <c r="AO170" i="41"/>
  <c r="AO174" i="41"/>
  <c r="AO178" i="41"/>
  <c r="AO182" i="41"/>
  <c r="AO186" i="41"/>
  <c r="AO190" i="41"/>
  <c r="AO194" i="41"/>
  <c r="AO198" i="41"/>
  <c r="AO202" i="41"/>
  <c r="AO206" i="41"/>
  <c r="AO210" i="41"/>
  <c r="AO214" i="41"/>
  <c r="AO218" i="41"/>
  <c r="AO222" i="41"/>
  <c r="AO228" i="41"/>
  <c r="AO232" i="41"/>
  <c r="AO240" i="41"/>
  <c r="AO244" i="41"/>
  <c r="AO233" i="41"/>
  <c r="AL495" i="41"/>
  <c r="AL499" i="41"/>
  <c r="AL503" i="41"/>
  <c r="AL507" i="41"/>
  <c r="AL496" i="41"/>
  <c r="AL500" i="41"/>
  <c r="AL504" i="41"/>
  <c r="AL508" i="41"/>
  <c r="AL493" i="41"/>
  <c r="AL497" i="41"/>
  <c r="AL501" i="41"/>
  <c r="AL505" i="41"/>
  <c r="AL509" i="41"/>
  <c r="AL494" i="41"/>
  <c r="AL498" i="41"/>
  <c r="AL502" i="41"/>
  <c r="AL506" i="41"/>
  <c r="AL510" i="41"/>
  <c r="AL511" i="41"/>
  <c r="AL515" i="41"/>
  <c r="AL519" i="41"/>
  <c r="AL523" i="41"/>
  <c r="AL527" i="41"/>
  <c r="AL531" i="41"/>
  <c r="AL535" i="41"/>
  <c r="AL539" i="41"/>
  <c r="AL543" i="41"/>
  <c r="AL547" i="41"/>
  <c r="AL551" i="41"/>
  <c r="AL555" i="41"/>
  <c r="AL559" i="41"/>
  <c r="AL563" i="41"/>
  <c r="AL512" i="41"/>
  <c r="AL516" i="41"/>
  <c r="AL520" i="41"/>
  <c r="AL524" i="41"/>
  <c r="AL528" i="41"/>
  <c r="AL532" i="41"/>
  <c r="AL536" i="41"/>
  <c r="AL540" i="41"/>
  <c r="AL544" i="41"/>
  <c r="AL548" i="41"/>
  <c r="AL552" i="41"/>
  <c r="AL556" i="41"/>
  <c r="AL560" i="41"/>
  <c r="AL513" i="41"/>
  <c r="AL517" i="41"/>
  <c r="AL521" i="41"/>
  <c r="AL525" i="41"/>
  <c r="AL529" i="41"/>
  <c r="AL533" i="41"/>
  <c r="AL537" i="41"/>
  <c r="AL541" i="41"/>
  <c r="AL545" i="41"/>
  <c r="AL549" i="41"/>
  <c r="AL553" i="41"/>
  <c r="AL557" i="41"/>
  <c r="AL561" i="41"/>
  <c r="AL514" i="41"/>
  <c r="AL518" i="41"/>
  <c r="AL522" i="41"/>
  <c r="AL526" i="41"/>
  <c r="AL530" i="41"/>
  <c r="AL534" i="41"/>
  <c r="AL538" i="41"/>
  <c r="AL542" i="41"/>
  <c r="AL546" i="41"/>
  <c r="AL550" i="41"/>
  <c r="AL554" i="41"/>
  <c r="AL558" i="41"/>
  <c r="AL562" i="41"/>
  <c r="AL565" i="41"/>
  <c r="AL569" i="41"/>
  <c r="AL492" i="41"/>
  <c r="AL566" i="41"/>
  <c r="AL567" i="41"/>
  <c r="AL564" i="41"/>
  <c r="AL568" i="41"/>
  <c r="AM494" i="41"/>
  <c r="AM498" i="41"/>
  <c r="AM502" i="41"/>
  <c r="AM506" i="41"/>
  <c r="AM510" i="41"/>
  <c r="AM495" i="41"/>
  <c r="AM499" i="41"/>
  <c r="AM503" i="41"/>
  <c r="AM507" i="41"/>
  <c r="AM496" i="41"/>
  <c r="AM500" i="41"/>
  <c r="AM504" i="41"/>
  <c r="AM508" i="41"/>
  <c r="AM493" i="41"/>
  <c r="AM497" i="41"/>
  <c r="AM501" i="41"/>
  <c r="AM505" i="41"/>
  <c r="AM509" i="41"/>
  <c r="AM514" i="41"/>
  <c r="AM518" i="41"/>
  <c r="AM522" i="41"/>
  <c r="AM526" i="41"/>
  <c r="AM530" i="41"/>
  <c r="AM534" i="41"/>
  <c r="AM538" i="41"/>
  <c r="AM542" i="41"/>
  <c r="AM546" i="41"/>
  <c r="AM550" i="41"/>
  <c r="AM554" i="41"/>
  <c r="AM558" i="41"/>
  <c r="AM562" i="41"/>
  <c r="AM511" i="41"/>
  <c r="AM515" i="41"/>
  <c r="AM519" i="41"/>
  <c r="AM523" i="41"/>
  <c r="AM527" i="41"/>
  <c r="AM531" i="41"/>
  <c r="AM535" i="41"/>
  <c r="AM539" i="41"/>
  <c r="AM543" i="41"/>
  <c r="AM547" i="41"/>
  <c r="AM551" i="41"/>
  <c r="AM555" i="41"/>
  <c r="AM559" i="41"/>
  <c r="AM512" i="41"/>
  <c r="AM516" i="41"/>
  <c r="AM520" i="41"/>
  <c r="AM524" i="41"/>
  <c r="AM528" i="41"/>
  <c r="AM532" i="41"/>
  <c r="AM536" i="41"/>
  <c r="AM540" i="41"/>
  <c r="AM544" i="41"/>
  <c r="AM548" i="41"/>
  <c r="AM552" i="41"/>
  <c r="AM556" i="41"/>
  <c r="AM560" i="41"/>
  <c r="AM513" i="41"/>
  <c r="AM517" i="41"/>
  <c r="AM521" i="41"/>
  <c r="AM525" i="41"/>
  <c r="AM529" i="41"/>
  <c r="AM533" i="41"/>
  <c r="AM537" i="41"/>
  <c r="AM541" i="41"/>
  <c r="AM545" i="41"/>
  <c r="AM549" i="41"/>
  <c r="AM553" i="41"/>
  <c r="AM557" i="41"/>
  <c r="AM561" i="41"/>
  <c r="AM564" i="41"/>
  <c r="AM568" i="41"/>
  <c r="AM563" i="41"/>
  <c r="AM565" i="41"/>
  <c r="AM569" i="41"/>
  <c r="AM492" i="41"/>
  <c r="AM566" i="41"/>
  <c r="AM567" i="41"/>
  <c r="AN578" i="41"/>
  <c r="AN582" i="41"/>
  <c r="AN586" i="41"/>
  <c r="AN590" i="41"/>
  <c r="AN594" i="41"/>
  <c r="AN598" i="41"/>
  <c r="AN602" i="41"/>
  <c r="AN606" i="41"/>
  <c r="AN610" i="41"/>
  <c r="AN614" i="41"/>
  <c r="AN618" i="41"/>
  <c r="AN622" i="41"/>
  <c r="AN626" i="41"/>
  <c r="AN630" i="41"/>
  <c r="AN634" i="41"/>
  <c r="AN638" i="41"/>
  <c r="AN642" i="41"/>
  <c r="AN646" i="41"/>
  <c r="AN650" i="41"/>
  <c r="AN579" i="41"/>
  <c r="AN583" i="41"/>
  <c r="AN587" i="41"/>
  <c r="AN591" i="41"/>
  <c r="AN595" i="41"/>
  <c r="AN599" i="41"/>
  <c r="AN603" i="41"/>
  <c r="AN607" i="41"/>
  <c r="AN611" i="41"/>
  <c r="AN615" i="41"/>
  <c r="AN619" i="41"/>
  <c r="AN623" i="41"/>
  <c r="AN627" i="41"/>
  <c r="AN631" i="41"/>
  <c r="AN635" i="41"/>
  <c r="AN639" i="41"/>
  <c r="AN643" i="41"/>
  <c r="AN647" i="41"/>
  <c r="AN651" i="41"/>
  <c r="AN576" i="41"/>
  <c r="AN580" i="41"/>
  <c r="AN584" i="41"/>
  <c r="AN588" i="41"/>
  <c r="AN592" i="41"/>
  <c r="AN596" i="41"/>
  <c r="AN600" i="41"/>
  <c r="AN604" i="41"/>
  <c r="AN608" i="41"/>
  <c r="AN612" i="41"/>
  <c r="AN616" i="41"/>
  <c r="AN620" i="41"/>
  <c r="AN624" i="41"/>
  <c r="AN628" i="41"/>
  <c r="AN632" i="41"/>
  <c r="AN636" i="41"/>
  <c r="AN640" i="41"/>
  <c r="AN644" i="41"/>
  <c r="AN648" i="41"/>
  <c r="AN652" i="41"/>
  <c r="AN577" i="41"/>
  <c r="AN581" i="41"/>
  <c r="AN585" i="41"/>
  <c r="AN589" i="41"/>
  <c r="AN593" i="41"/>
  <c r="AN597" i="41"/>
  <c r="AN601" i="41"/>
  <c r="AN605" i="41"/>
  <c r="AN609" i="41"/>
  <c r="AN613" i="41"/>
  <c r="AN617" i="41"/>
  <c r="AN621" i="41"/>
  <c r="AN625" i="41"/>
  <c r="AN629" i="41"/>
  <c r="AN633" i="41"/>
  <c r="AN637" i="41"/>
  <c r="AN641" i="41"/>
  <c r="AN645" i="41"/>
  <c r="AN649" i="41"/>
  <c r="AN575" i="41"/>
  <c r="AO577" i="41"/>
  <c r="AO581" i="41"/>
  <c r="AO576" i="41"/>
  <c r="AO580" i="41"/>
  <c r="AO579" i="41"/>
  <c r="AO578" i="41"/>
  <c r="AO584" i="41"/>
  <c r="AO588" i="41"/>
  <c r="AO592" i="41"/>
  <c r="AO596" i="41"/>
  <c r="AO600" i="41"/>
  <c r="AO604" i="41"/>
  <c r="AO608" i="41"/>
  <c r="AO612" i="41"/>
  <c r="AO583" i="41"/>
  <c r="AO587" i="41"/>
  <c r="AO591" i="41"/>
  <c r="AO595" i="41"/>
  <c r="AO599" i="41"/>
  <c r="AO603" i="41"/>
  <c r="AO607" i="41"/>
  <c r="AO611" i="41"/>
  <c r="AO582" i="41"/>
  <c r="AO586" i="41"/>
  <c r="AO590" i="41"/>
  <c r="AO594" i="41"/>
  <c r="AO598" i="41"/>
  <c r="AO602" i="41"/>
  <c r="AO606" i="41"/>
  <c r="AO610" i="41"/>
  <c r="AO585" i="41"/>
  <c r="AO589" i="41"/>
  <c r="AO593" i="41"/>
  <c r="AO597" i="41"/>
  <c r="AO601" i="41"/>
  <c r="AO605" i="41"/>
  <c r="AO609" i="41"/>
  <c r="AO613" i="41"/>
  <c r="AO617" i="41"/>
  <c r="AO621" i="41"/>
  <c r="AO625" i="41"/>
  <c r="AO629" i="41"/>
  <c r="AO633" i="41"/>
  <c r="AO637" i="41"/>
  <c r="AO641" i="41"/>
  <c r="AO645" i="41"/>
  <c r="AO649" i="41"/>
  <c r="AO616" i="41"/>
  <c r="AO620" i="41"/>
  <c r="AO624" i="41"/>
  <c r="AO628" i="41"/>
  <c r="AO632" i="41"/>
  <c r="AO636" i="41"/>
  <c r="AO640" i="41"/>
  <c r="AO644" i="41"/>
  <c r="AO648" i="41"/>
  <c r="AO652" i="41"/>
  <c r="AO615" i="41"/>
  <c r="AO619" i="41"/>
  <c r="AO623" i="41"/>
  <c r="AO627" i="41"/>
  <c r="AO631" i="41"/>
  <c r="AO635" i="41"/>
  <c r="AO639" i="41"/>
  <c r="AO643" i="41"/>
  <c r="AO647" i="41"/>
  <c r="AO651" i="41"/>
  <c r="AO614" i="41"/>
  <c r="AO618" i="41"/>
  <c r="AO622" i="41"/>
  <c r="AO626" i="41"/>
  <c r="AO630" i="41"/>
  <c r="AO634" i="41"/>
  <c r="AO638" i="41"/>
  <c r="AO642" i="41"/>
  <c r="AO646" i="41"/>
  <c r="AO650" i="41"/>
  <c r="AO575" i="41"/>
  <c r="AQ492" i="41"/>
  <c r="AP578" i="41"/>
  <c r="AP577" i="41"/>
  <c r="AP581" i="41"/>
  <c r="AP576" i="41"/>
  <c r="AP580" i="41"/>
  <c r="AP579" i="41"/>
  <c r="AP585" i="41"/>
  <c r="AP589" i="41"/>
  <c r="AP593" i="41"/>
  <c r="AP597" i="41"/>
  <c r="AP601" i="41"/>
  <c r="AP605" i="41"/>
  <c r="AP609" i="41"/>
  <c r="AP584" i="41"/>
  <c r="AP588" i="41"/>
  <c r="AP592" i="41"/>
  <c r="AP596" i="41"/>
  <c r="AP600" i="41"/>
  <c r="AP604" i="41"/>
  <c r="AP608" i="41"/>
  <c r="AP612" i="41"/>
  <c r="AP583" i="41"/>
  <c r="AP587" i="41"/>
  <c r="AP591" i="41"/>
  <c r="AP595" i="41"/>
  <c r="AP599" i="41"/>
  <c r="AP603" i="41"/>
  <c r="AP607" i="41"/>
  <c r="AP611" i="41"/>
  <c r="AP582" i="41"/>
  <c r="AP586" i="41"/>
  <c r="AP590" i="41"/>
  <c r="AP594" i="41"/>
  <c r="AP598" i="41"/>
  <c r="AP602" i="41"/>
  <c r="AP606" i="41"/>
  <c r="AP610" i="41"/>
  <c r="AP614" i="41"/>
  <c r="AP618" i="41"/>
  <c r="AP622" i="41"/>
  <c r="AP626" i="41"/>
  <c r="AP630" i="41"/>
  <c r="AP634" i="41"/>
  <c r="AP638" i="41"/>
  <c r="AP642" i="41"/>
  <c r="AP646" i="41"/>
  <c r="AP650" i="41"/>
  <c r="AP575" i="41"/>
  <c r="AP613" i="41"/>
  <c r="AP617" i="41"/>
  <c r="AP621" i="41"/>
  <c r="AP625" i="41"/>
  <c r="AP629" i="41"/>
  <c r="AP633" i="41"/>
  <c r="AP637" i="41"/>
  <c r="AP641" i="41"/>
  <c r="AP645" i="41"/>
  <c r="AP649" i="41"/>
  <c r="AP616" i="41"/>
  <c r="AP620" i="41"/>
  <c r="AP624" i="41"/>
  <c r="AP628" i="41"/>
  <c r="AP632" i="41"/>
  <c r="AP636" i="41"/>
  <c r="AP640" i="41"/>
  <c r="AP644" i="41"/>
  <c r="AP648" i="41"/>
  <c r="AP652" i="41"/>
  <c r="AP615" i="41"/>
  <c r="AP619" i="41"/>
  <c r="AP623" i="41"/>
  <c r="AP627" i="41"/>
  <c r="AP631" i="41"/>
  <c r="AP635" i="41"/>
  <c r="AP639" i="41"/>
  <c r="AP643" i="41"/>
  <c r="AP647" i="41"/>
  <c r="AP651" i="41"/>
  <c r="AO363" i="41"/>
  <c r="AP336" i="41"/>
  <c r="AM579" i="41"/>
  <c r="AM583" i="41"/>
  <c r="AM587" i="41"/>
  <c r="AM591" i="41"/>
  <c r="AM595" i="41"/>
  <c r="AM599" i="41"/>
  <c r="AM603" i="41"/>
  <c r="AM607" i="41"/>
  <c r="AM611" i="41"/>
  <c r="AM615" i="41"/>
  <c r="AM619" i="41"/>
  <c r="AM623" i="41"/>
  <c r="AM627" i="41"/>
  <c r="AM631" i="41"/>
  <c r="AM635" i="41"/>
  <c r="AM639" i="41"/>
  <c r="AM643" i="41"/>
  <c r="AM647" i="41"/>
  <c r="AM651" i="41"/>
  <c r="AM576" i="41"/>
  <c r="AM580" i="41"/>
  <c r="AM584" i="41"/>
  <c r="AM588" i="41"/>
  <c r="AM592" i="41"/>
  <c r="AM596" i="41"/>
  <c r="AM600" i="41"/>
  <c r="AM604" i="41"/>
  <c r="AM608" i="41"/>
  <c r="AM612" i="41"/>
  <c r="AM616" i="41"/>
  <c r="AM620" i="41"/>
  <c r="AM624" i="41"/>
  <c r="AM628" i="41"/>
  <c r="AM632" i="41"/>
  <c r="AM636" i="41"/>
  <c r="AM640" i="41"/>
  <c r="AM644" i="41"/>
  <c r="AM648" i="41"/>
  <c r="AM652" i="41"/>
  <c r="AM577" i="41"/>
  <c r="AM581" i="41"/>
  <c r="AM585" i="41"/>
  <c r="AM589" i="41"/>
  <c r="AM593" i="41"/>
  <c r="AM597" i="41"/>
  <c r="AM601" i="41"/>
  <c r="AM605" i="41"/>
  <c r="AM609" i="41"/>
  <c r="AM613" i="41"/>
  <c r="AM617" i="41"/>
  <c r="AM621" i="41"/>
  <c r="AM625" i="41"/>
  <c r="AM629" i="41"/>
  <c r="AM633" i="41"/>
  <c r="AM637" i="41"/>
  <c r="AM641" i="41"/>
  <c r="AM645" i="41"/>
  <c r="AM649" i="41"/>
  <c r="AM575" i="41"/>
  <c r="AM578" i="41"/>
  <c r="AM582" i="41"/>
  <c r="AM586" i="41"/>
  <c r="AM590" i="41"/>
  <c r="AM594" i="41"/>
  <c r="AM598" i="41"/>
  <c r="AM602" i="41"/>
  <c r="AM606" i="41"/>
  <c r="AM610" i="41"/>
  <c r="AM614" i="41"/>
  <c r="AM618" i="41"/>
  <c r="AM622" i="41"/>
  <c r="AM626" i="41"/>
  <c r="AM630" i="41"/>
  <c r="AM634" i="41"/>
  <c r="AM638" i="41"/>
  <c r="AM642" i="41"/>
  <c r="AM646" i="41"/>
  <c r="AM650" i="41"/>
  <c r="M60" i="40"/>
  <c r="AN70" i="41"/>
  <c r="AL260" i="41"/>
  <c r="AL265" i="41"/>
  <c r="AL270" i="41"/>
  <c r="AL274" i="41"/>
  <c r="AL279" i="41"/>
  <c r="AL283" i="41"/>
  <c r="AL287" i="41"/>
  <c r="AL291" i="41"/>
  <c r="AL295" i="41"/>
  <c r="AL299" i="41"/>
  <c r="AL303" i="41"/>
  <c r="AL307" i="41"/>
  <c r="AL311" i="41"/>
  <c r="AL315" i="41"/>
  <c r="AL319" i="41"/>
  <c r="AL321" i="41"/>
  <c r="AL323" i="41"/>
  <c r="AL327" i="41"/>
  <c r="AL331" i="41"/>
  <c r="AL335" i="41"/>
  <c r="AL339" i="41"/>
  <c r="AL343" i="41"/>
  <c r="AL347" i="41"/>
  <c r="AL351" i="41"/>
  <c r="AL355" i="41"/>
  <c r="AL359" i="41"/>
  <c r="AL363" i="41"/>
  <c r="AL367" i="41"/>
  <c r="AL371" i="41"/>
  <c r="AL375" i="41"/>
  <c r="AL379" i="41"/>
  <c r="AL383" i="41"/>
  <c r="AL387" i="41"/>
  <c r="AL391" i="41"/>
  <c r="AL395" i="41"/>
  <c r="AL399" i="41"/>
  <c r="AL403" i="41"/>
  <c r="AL407" i="41"/>
  <c r="AL411" i="41"/>
  <c r="AL415" i="41"/>
  <c r="AL418" i="41"/>
  <c r="AL422" i="41"/>
  <c r="AL426" i="41"/>
  <c r="AL430" i="41"/>
  <c r="AL434" i="41"/>
  <c r="AL438" i="41"/>
  <c r="AL442" i="41"/>
  <c r="AL446" i="41"/>
  <c r="AL450" i="41"/>
  <c r="AL454" i="41"/>
  <c r="AL458" i="41"/>
  <c r="AL462" i="41"/>
  <c r="AL466" i="41"/>
  <c r="AL470" i="41"/>
  <c r="AL474" i="41"/>
  <c r="AL478" i="41"/>
  <c r="AO24" i="41"/>
  <c r="AO28" i="41"/>
  <c r="AO32" i="41"/>
  <c r="AO36" i="41"/>
  <c r="AO40" i="41"/>
  <c r="AO45" i="41"/>
  <c r="AO49" i="41"/>
  <c r="AO53" i="41"/>
  <c r="AO57" i="41"/>
  <c r="AO61" i="41"/>
  <c r="AO65" i="41"/>
  <c r="AO69" i="41"/>
  <c r="AO73" i="41"/>
  <c r="AO77" i="41"/>
  <c r="AO81" i="41"/>
  <c r="AO85" i="41"/>
  <c r="AO89" i="41"/>
  <c r="AO93" i="41"/>
  <c r="AO97" i="41"/>
  <c r="AO101" i="41"/>
  <c r="AO105" i="41"/>
  <c r="AO109" i="41"/>
  <c r="AO113" i="41"/>
  <c r="AO117" i="41"/>
  <c r="AO121" i="41"/>
  <c r="AO125" i="41"/>
  <c r="AO129" i="41"/>
  <c r="AO133" i="41"/>
  <c r="AO137" i="41"/>
  <c r="AO141" i="41"/>
  <c r="AO145" i="41"/>
  <c r="AO149" i="41"/>
  <c r="AO153" i="41"/>
  <c r="AO157" i="41"/>
  <c r="AO161" i="41"/>
  <c r="AO165" i="41"/>
  <c r="AO169" i="41"/>
  <c r="AO173" i="41"/>
  <c r="AO177" i="41"/>
  <c r="AO181" i="41"/>
  <c r="AO185" i="41"/>
  <c r="AO189" i="41"/>
  <c r="AO193" i="41"/>
  <c r="AO197" i="41"/>
  <c r="AO201" i="41"/>
  <c r="AO205" i="41"/>
  <c r="AO209" i="41"/>
  <c r="AO213" i="41"/>
  <c r="AO217" i="41"/>
  <c r="AO221" i="41"/>
  <c r="AO225" i="41"/>
  <c r="AO229" i="41"/>
  <c r="AO237" i="41"/>
  <c r="AO241" i="41"/>
  <c r="AN89" i="41"/>
  <c r="AN188" i="41"/>
  <c r="AL192" i="41"/>
  <c r="AX250" i="41" l="1"/>
  <c r="AX60" i="41"/>
  <c r="F77" i="40"/>
  <c r="AX95" i="41"/>
  <c r="AN231" i="41"/>
  <c r="AN85" i="41"/>
  <c r="AP272" i="41"/>
  <c r="AN245" i="41"/>
  <c r="AN230" i="41"/>
  <c r="AN179" i="41"/>
  <c r="AN180" i="41"/>
  <c r="O77" i="40"/>
  <c r="AN232" i="41"/>
  <c r="AN181" i="41"/>
  <c r="AN66" i="41"/>
  <c r="AN246" i="41"/>
  <c r="AN147" i="41"/>
  <c r="AN148" i="41"/>
  <c r="AN57" i="41"/>
  <c r="AT246" i="41"/>
  <c r="AT123" i="41"/>
  <c r="AN153" i="41"/>
  <c r="AN236" i="41"/>
  <c r="AN37" i="41"/>
  <c r="AP463" i="41"/>
  <c r="AN198" i="41"/>
  <c r="AN116" i="41"/>
  <c r="AM72" i="41"/>
  <c r="AN149" i="41"/>
  <c r="AN228" i="41"/>
  <c r="AP431" i="41"/>
  <c r="AN162" i="41"/>
  <c r="AN87" i="41"/>
  <c r="AN72" i="41"/>
  <c r="AN84" i="41"/>
  <c r="AM36" i="41"/>
  <c r="AT140" i="41"/>
  <c r="AN121" i="41"/>
  <c r="AP400" i="41"/>
  <c r="AN130" i="41"/>
  <c r="AN39" i="41"/>
  <c r="AN117" i="41"/>
  <c r="AP368" i="41"/>
  <c r="AN98" i="41"/>
  <c r="AN47" i="41"/>
  <c r="AN205" i="41"/>
  <c r="AT77" i="41"/>
  <c r="AT181" i="41"/>
  <c r="AP459" i="41"/>
  <c r="AP427" i="41"/>
  <c r="AP396" i="41"/>
  <c r="AP364" i="41"/>
  <c r="AP329" i="41"/>
  <c r="AP264" i="41"/>
  <c r="AT109" i="41"/>
  <c r="AT91" i="41"/>
  <c r="AT149" i="41"/>
  <c r="AP321" i="41"/>
  <c r="AP451" i="41"/>
  <c r="AP419" i="41"/>
  <c r="AP388" i="41"/>
  <c r="AP356" i="41"/>
  <c r="AP313" i="41"/>
  <c r="AT32" i="41"/>
  <c r="AT213" i="41"/>
  <c r="AT172" i="41"/>
  <c r="AP392" i="41"/>
  <c r="AP479" i="41"/>
  <c r="AP447" i="41"/>
  <c r="AP256" i="41"/>
  <c r="AP384" i="41"/>
  <c r="AP352" i="41"/>
  <c r="AP305" i="41"/>
  <c r="AT48" i="41"/>
  <c r="AT66" i="41"/>
  <c r="AT245" i="41"/>
  <c r="AT204" i="41"/>
  <c r="AP360" i="41"/>
  <c r="AP475" i="41"/>
  <c r="AP443" i="41"/>
  <c r="AP412" i="41"/>
  <c r="AP380" i="41"/>
  <c r="AP348" i="41"/>
  <c r="AP297" i="41"/>
  <c r="AT80" i="41"/>
  <c r="AT236" i="41"/>
  <c r="AP455" i="41"/>
  <c r="AP471" i="41"/>
  <c r="AP439" i="41"/>
  <c r="AP408" i="41"/>
  <c r="AP376" i="41"/>
  <c r="AP344" i="41"/>
  <c r="AP289" i="41"/>
  <c r="AT108" i="41"/>
  <c r="AT126" i="41"/>
  <c r="AP423" i="41"/>
  <c r="AP467" i="41"/>
  <c r="AP435" i="41"/>
  <c r="AP404" i="41"/>
  <c r="AP372" i="41"/>
  <c r="AP340" i="41"/>
  <c r="AP281" i="41"/>
  <c r="AT45" i="41"/>
  <c r="AT29" i="41"/>
  <c r="AT35" i="41"/>
  <c r="AT69" i="41"/>
  <c r="AT101" i="41"/>
  <c r="AT251" i="41"/>
  <c r="AT38" i="41"/>
  <c r="AT72" i="41"/>
  <c r="AT100" i="41"/>
  <c r="AT43" i="41"/>
  <c r="AT55" i="41"/>
  <c r="AT83" i="41"/>
  <c r="AT115" i="41"/>
  <c r="AT28" i="41"/>
  <c r="AT58" i="41"/>
  <c r="AT90" i="41"/>
  <c r="AT118" i="41"/>
  <c r="AT141" i="41"/>
  <c r="AT173" i="41"/>
  <c r="AT205" i="41"/>
  <c r="AT237" i="41"/>
  <c r="AT132" i="41"/>
  <c r="AT164" i="41"/>
  <c r="AT196" i="41"/>
  <c r="AT228" i="41"/>
  <c r="AT39" i="41"/>
  <c r="AT73" i="41"/>
  <c r="AT105" i="41"/>
  <c r="AT249" i="41"/>
  <c r="AT44" i="41"/>
  <c r="AT76" i="41"/>
  <c r="AT104" i="41"/>
  <c r="AT25" i="41"/>
  <c r="AT59" i="41"/>
  <c r="AT87" i="41"/>
  <c r="AT119" i="41"/>
  <c r="AX29" i="41"/>
  <c r="AT62" i="41"/>
  <c r="AT94" i="41"/>
  <c r="AT122" i="41"/>
  <c r="AT145" i="41"/>
  <c r="AT177" i="41"/>
  <c r="AT209" i="41"/>
  <c r="AT241" i="41"/>
  <c r="AT136" i="41"/>
  <c r="AT168" i="41"/>
  <c r="AT200" i="41"/>
  <c r="AT232" i="41"/>
  <c r="AT42" i="41"/>
  <c r="AT49" i="41"/>
  <c r="AT81" i="41"/>
  <c r="AT113" i="41"/>
  <c r="AT252" i="41"/>
  <c r="AT52" i="41"/>
  <c r="AX81" i="41"/>
  <c r="AT112" i="41"/>
  <c r="AT33" i="41"/>
  <c r="AT63" i="41"/>
  <c r="AT95" i="41"/>
  <c r="AT127" i="41"/>
  <c r="AT36" i="41"/>
  <c r="AT70" i="41"/>
  <c r="AT98" i="41"/>
  <c r="AT153" i="41"/>
  <c r="AT185" i="41"/>
  <c r="AT217" i="41"/>
  <c r="AT144" i="41"/>
  <c r="AT176" i="41"/>
  <c r="AT208" i="41"/>
  <c r="AT240" i="41"/>
  <c r="AT53" i="41"/>
  <c r="AT85" i="41"/>
  <c r="AT117" i="41"/>
  <c r="AT56" i="41"/>
  <c r="AT84" i="41"/>
  <c r="AT116" i="41"/>
  <c r="AT37" i="41"/>
  <c r="AT67" i="41"/>
  <c r="AT99" i="41"/>
  <c r="AT250" i="41"/>
  <c r="AT40" i="41"/>
  <c r="AT74" i="41"/>
  <c r="AT102" i="41"/>
  <c r="AT157" i="41"/>
  <c r="AT189" i="41"/>
  <c r="AT221" i="41"/>
  <c r="AT148" i="41"/>
  <c r="AT180" i="41"/>
  <c r="AT212" i="41"/>
  <c r="AT244" i="41"/>
  <c r="AT23" i="41"/>
  <c r="AT57" i="41"/>
  <c r="AT89" i="41"/>
  <c r="AT121" i="41"/>
  <c r="AT26" i="41"/>
  <c r="AT60" i="41"/>
  <c r="AT88" i="41"/>
  <c r="AT120" i="41"/>
  <c r="AT41" i="41"/>
  <c r="AT71" i="41"/>
  <c r="AT103" i="41"/>
  <c r="AT248" i="41"/>
  <c r="AT46" i="41"/>
  <c r="AT78" i="41"/>
  <c r="AT106" i="41"/>
  <c r="AT131" i="41"/>
  <c r="AT161" i="41"/>
  <c r="AT193" i="41"/>
  <c r="AT225" i="41"/>
  <c r="AT152" i="41"/>
  <c r="AT184" i="41"/>
  <c r="AT216" i="41"/>
  <c r="AT130" i="41"/>
  <c r="AT27" i="41"/>
  <c r="AT61" i="41"/>
  <c r="AT93" i="41"/>
  <c r="AT125" i="41"/>
  <c r="AT30" i="41"/>
  <c r="AT64" i="41"/>
  <c r="AT92" i="41"/>
  <c r="AT124" i="41"/>
  <c r="AT47" i="41"/>
  <c r="AT75" i="41"/>
  <c r="AT107" i="41"/>
  <c r="AT50" i="41"/>
  <c r="AT82" i="41"/>
  <c r="AT110" i="41"/>
  <c r="AT133" i="41"/>
  <c r="AT165" i="41"/>
  <c r="AT197" i="41"/>
  <c r="AT229" i="41"/>
  <c r="AT156" i="41"/>
  <c r="AT188" i="41"/>
  <c r="AT220" i="41"/>
  <c r="AT31" i="41"/>
  <c r="AT65" i="41"/>
  <c r="AT97" i="41"/>
  <c r="AT129" i="41"/>
  <c r="AT34" i="41"/>
  <c r="AT68" i="41"/>
  <c r="AT96" i="41"/>
  <c r="AT128" i="41"/>
  <c r="AT51" i="41"/>
  <c r="AT79" i="41"/>
  <c r="AT111" i="41"/>
  <c r="AT247" i="41"/>
  <c r="AT24" i="41"/>
  <c r="AT54" i="41"/>
  <c r="AT86" i="41"/>
  <c r="AT114" i="41"/>
  <c r="AT137" i="41"/>
  <c r="AT169" i="41"/>
  <c r="AT201" i="41"/>
  <c r="AT233" i="41"/>
  <c r="AT160" i="41"/>
  <c r="AT192" i="41"/>
  <c r="AT224" i="41"/>
  <c r="AL477" i="41"/>
  <c r="AL469" i="41"/>
  <c r="AL461" i="41"/>
  <c r="AL453" i="41"/>
  <c r="AL445" i="41"/>
  <c r="AL437" i="41"/>
  <c r="AL429" i="41"/>
  <c r="AL421" i="41"/>
  <c r="AL414" i="41"/>
  <c r="AL406" i="41"/>
  <c r="AL398" i="41"/>
  <c r="AL390" i="41"/>
  <c r="AL382" i="41"/>
  <c r="AL374" i="41"/>
  <c r="AL366" i="41"/>
  <c r="AL358" i="41"/>
  <c r="AL350" i="41"/>
  <c r="AL342" i="41"/>
  <c r="AL334" i="41"/>
  <c r="AL326" i="41"/>
  <c r="AL318" i="41"/>
  <c r="AL310" i="41"/>
  <c r="AL302" i="41"/>
  <c r="AL294" i="41"/>
  <c r="AL286" i="41"/>
  <c r="AL278" i="41"/>
  <c r="AL269" i="41"/>
  <c r="AL258" i="41"/>
  <c r="AQ157" i="41"/>
  <c r="AQ147" i="41"/>
  <c r="AL476" i="41"/>
  <c r="AL468" i="41"/>
  <c r="AL460" i="41"/>
  <c r="AL452" i="41"/>
  <c r="AL444" i="41"/>
  <c r="AL436" i="41"/>
  <c r="AL428" i="41"/>
  <c r="AL420" i="41"/>
  <c r="AL413" i="41"/>
  <c r="AL405" i="41"/>
  <c r="AL397" i="41"/>
  <c r="AL389" i="41"/>
  <c r="AL381" i="41"/>
  <c r="AL373" i="41"/>
  <c r="AL365" i="41"/>
  <c r="AL357" i="41"/>
  <c r="AL349" i="41"/>
  <c r="AL341" i="41"/>
  <c r="AL333" i="41"/>
  <c r="AL325" i="41"/>
  <c r="AL317" i="41"/>
  <c r="AL309" i="41"/>
  <c r="AL301" i="41"/>
  <c r="AL293" i="41"/>
  <c r="AL285" i="41"/>
  <c r="AL276" i="41"/>
  <c r="AL268" i="41"/>
  <c r="AL257" i="41"/>
  <c r="AL475" i="41"/>
  <c r="AL467" i="41"/>
  <c r="AL459" i="41"/>
  <c r="AL451" i="41"/>
  <c r="AL443" i="41"/>
  <c r="AL435" i="41"/>
  <c r="AL427" i="41"/>
  <c r="AL419" i="41"/>
  <c r="AL412" i="41"/>
  <c r="AL404" i="41"/>
  <c r="AL396" i="41"/>
  <c r="AL388" i="41"/>
  <c r="AL380" i="41"/>
  <c r="AL372" i="41"/>
  <c r="AL364" i="41"/>
  <c r="AL356" i="41"/>
  <c r="AL348" i="41"/>
  <c r="AL340" i="41"/>
  <c r="AL332" i="41"/>
  <c r="AL324" i="41"/>
  <c r="AL316" i="41"/>
  <c r="AL308" i="41"/>
  <c r="AL300" i="41"/>
  <c r="AL292" i="41"/>
  <c r="AL284" i="41"/>
  <c r="AL275" i="41"/>
  <c r="AL266" i="41"/>
  <c r="AQ81" i="41"/>
  <c r="AL481" i="41"/>
  <c r="AL473" i="41"/>
  <c r="AL465" i="41"/>
  <c r="AL457" i="41"/>
  <c r="AL449" i="41"/>
  <c r="AL441" i="41"/>
  <c r="AL433" i="41"/>
  <c r="AL425" i="41"/>
  <c r="AL417" i="41"/>
  <c r="AL410" i="41"/>
  <c r="AL402" i="41"/>
  <c r="AL394" i="41"/>
  <c r="AL386" i="41"/>
  <c r="AL378" i="41"/>
  <c r="AL370" i="41"/>
  <c r="AL362" i="41"/>
  <c r="AL354" i="41"/>
  <c r="AL346" i="41"/>
  <c r="AL338" i="41"/>
  <c r="AL330" i="41"/>
  <c r="AL322" i="41"/>
  <c r="AL314" i="41"/>
  <c r="AL306" i="41"/>
  <c r="AL298" i="41"/>
  <c r="AL290" i="41"/>
  <c r="AL282" i="41"/>
  <c r="AL273" i="41"/>
  <c r="AL264" i="41"/>
  <c r="AL313" i="41"/>
  <c r="AL305" i="41"/>
  <c r="AL297" i="41"/>
  <c r="AL289" i="41"/>
  <c r="AL281" i="41"/>
  <c r="AL272" i="41"/>
  <c r="AL262" i="41"/>
  <c r="AL480" i="41"/>
  <c r="AL472" i="41"/>
  <c r="AL464" i="41"/>
  <c r="AL456" i="41"/>
  <c r="AL448" i="41"/>
  <c r="AL440" i="41"/>
  <c r="AL432" i="41"/>
  <c r="AL424" i="41"/>
  <c r="AL416" i="41"/>
  <c r="AL409" i="41"/>
  <c r="AL401" i="41"/>
  <c r="AL393" i="41"/>
  <c r="AL385" i="41"/>
  <c r="AL377" i="41"/>
  <c r="AL369" i="41"/>
  <c r="AL361" i="41"/>
  <c r="AL353" i="41"/>
  <c r="AL345" i="41"/>
  <c r="AL337" i="41"/>
  <c r="AL329" i="41"/>
  <c r="AL479" i="41"/>
  <c r="AL471" i="41"/>
  <c r="AL463" i="41"/>
  <c r="AL455" i="41"/>
  <c r="AL447" i="41"/>
  <c r="AL439" i="41"/>
  <c r="AL431" i="41"/>
  <c r="AL423" i="41"/>
  <c r="AL256" i="41"/>
  <c r="AL408" i="41"/>
  <c r="AL400" i="41"/>
  <c r="AL392" i="41"/>
  <c r="AL384" i="41"/>
  <c r="AL376" i="41"/>
  <c r="AL368" i="41"/>
  <c r="AL360" i="41"/>
  <c r="AL352" i="41"/>
  <c r="AL344" i="41"/>
  <c r="AL336" i="41"/>
  <c r="AL328" i="41"/>
  <c r="AL320" i="41"/>
  <c r="AL312" i="41"/>
  <c r="AL304" i="41"/>
  <c r="AL296" i="41"/>
  <c r="AL288" i="41"/>
  <c r="AL280" i="41"/>
  <c r="AL271" i="41"/>
  <c r="AL261" i="41"/>
  <c r="AL243" i="41"/>
  <c r="AL267" i="41"/>
  <c r="AL259" i="41"/>
  <c r="AQ228" i="41"/>
  <c r="AQ199" i="41"/>
  <c r="AQ158" i="41"/>
  <c r="AQ39" i="41"/>
  <c r="AL190" i="41"/>
  <c r="AQ31" i="41"/>
  <c r="AQ92" i="41"/>
  <c r="AW150" i="41"/>
  <c r="AX162" i="41"/>
  <c r="AX226" i="41"/>
  <c r="AW47" i="41"/>
  <c r="AW79" i="41"/>
  <c r="AW111" i="41"/>
  <c r="AW42" i="41"/>
  <c r="AW46" i="41"/>
  <c r="AW78" i="41"/>
  <c r="AW110" i="41"/>
  <c r="AW23" i="41"/>
  <c r="AW57" i="41"/>
  <c r="AW89" i="41"/>
  <c r="AW121" i="41"/>
  <c r="AW48" i="41"/>
  <c r="AW80" i="41"/>
  <c r="AW112" i="41"/>
  <c r="AW161" i="41"/>
  <c r="AW152" i="41"/>
  <c r="AW184" i="41"/>
  <c r="AW216" i="41"/>
  <c r="AW247" i="41"/>
  <c r="AW135" i="41"/>
  <c r="AW167" i="41"/>
  <c r="AW199" i="41"/>
  <c r="AW231" i="41"/>
  <c r="AW51" i="41"/>
  <c r="AW83" i="41"/>
  <c r="AW115" i="41"/>
  <c r="AW132" i="41"/>
  <c r="AW50" i="41"/>
  <c r="AW82" i="41"/>
  <c r="AW114" i="41"/>
  <c r="AW249" i="41"/>
  <c r="AW27" i="41"/>
  <c r="AW61" i="41"/>
  <c r="AW93" i="41"/>
  <c r="AW125" i="41"/>
  <c r="AW52" i="41"/>
  <c r="AW84" i="41"/>
  <c r="AW116" i="41"/>
  <c r="AW133" i="41"/>
  <c r="AW165" i="41"/>
  <c r="AW156" i="41"/>
  <c r="AW188" i="41"/>
  <c r="AW220" i="41"/>
  <c r="AW139" i="41"/>
  <c r="AW171" i="41"/>
  <c r="AW203" i="41"/>
  <c r="AW235" i="41"/>
  <c r="AW246" i="41"/>
  <c r="AW55" i="41"/>
  <c r="AW87" i="41"/>
  <c r="AW119" i="41"/>
  <c r="AW136" i="41"/>
  <c r="AW54" i="41"/>
  <c r="AW86" i="41"/>
  <c r="AW118" i="41"/>
  <c r="AW251" i="41"/>
  <c r="AW31" i="41"/>
  <c r="AW65" i="41"/>
  <c r="AW97" i="41"/>
  <c r="AW129" i="41"/>
  <c r="AW56" i="41"/>
  <c r="AW88" i="41"/>
  <c r="AW120" i="41"/>
  <c r="AW137" i="41"/>
  <c r="AW169" i="41"/>
  <c r="AW160" i="41"/>
  <c r="AW192" i="41"/>
  <c r="AW224" i="41"/>
  <c r="AW143" i="41"/>
  <c r="AW175" i="41"/>
  <c r="AW207" i="41"/>
  <c r="AW239" i="41"/>
  <c r="F80" i="40"/>
  <c r="AW25" i="41"/>
  <c r="AW59" i="41"/>
  <c r="AW91" i="41"/>
  <c r="AW123" i="41"/>
  <c r="AW24" i="41"/>
  <c r="AW58" i="41"/>
  <c r="AW90" i="41"/>
  <c r="AW122" i="41"/>
  <c r="AW250" i="41"/>
  <c r="AW35" i="41"/>
  <c r="AW69" i="41"/>
  <c r="AW101" i="41"/>
  <c r="AW26" i="41"/>
  <c r="AW60" i="41"/>
  <c r="AW92" i="41"/>
  <c r="AW124" i="41"/>
  <c r="AW141" i="41"/>
  <c r="AW173" i="41"/>
  <c r="AW164" i="41"/>
  <c r="AW196" i="41"/>
  <c r="AW228" i="41"/>
  <c r="AW147" i="41"/>
  <c r="AW179" i="41"/>
  <c r="AW211" i="41"/>
  <c r="AW243" i="41"/>
  <c r="AW29" i="41"/>
  <c r="AW63" i="41"/>
  <c r="AW95" i="41"/>
  <c r="AW127" i="41"/>
  <c r="AW28" i="41"/>
  <c r="AW62" i="41"/>
  <c r="AW94" i="41"/>
  <c r="AW126" i="41"/>
  <c r="AW39" i="41"/>
  <c r="AW73" i="41"/>
  <c r="AW105" i="41"/>
  <c r="AW30" i="41"/>
  <c r="AW64" i="41"/>
  <c r="AW96" i="41"/>
  <c r="AW128" i="41"/>
  <c r="AW145" i="41"/>
  <c r="AW177" i="41"/>
  <c r="AW168" i="41"/>
  <c r="AW200" i="41"/>
  <c r="AW232" i="41"/>
  <c r="AW151" i="41"/>
  <c r="AW183" i="41"/>
  <c r="AW215" i="41"/>
  <c r="AW33" i="41"/>
  <c r="AW67" i="41"/>
  <c r="AW99" i="41"/>
  <c r="AW131" i="41"/>
  <c r="AW32" i="41"/>
  <c r="AW66" i="41"/>
  <c r="AW98" i="41"/>
  <c r="AW130" i="41"/>
  <c r="AW43" i="41"/>
  <c r="AW45" i="41"/>
  <c r="AW77" i="41"/>
  <c r="AW109" i="41"/>
  <c r="AW34" i="41"/>
  <c r="AW68" i="41"/>
  <c r="AW100" i="41"/>
  <c r="AW149" i="41"/>
  <c r="AW140" i="41"/>
  <c r="AW172" i="41"/>
  <c r="AW204" i="41"/>
  <c r="AW236" i="41"/>
  <c r="AW155" i="41"/>
  <c r="AW187" i="41"/>
  <c r="AW219" i="41"/>
  <c r="AW174" i="41"/>
  <c r="AW134" i="41"/>
  <c r="AW138" i="41"/>
  <c r="AW142" i="41"/>
  <c r="AW146" i="41"/>
  <c r="O79" i="40"/>
  <c r="AW154" i="41"/>
  <c r="AW158" i="41"/>
  <c r="AW166" i="41"/>
  <c r="AW170" i="41"/>
  <c r="AV119" i="41"/>
  <c r="AL186" i="41"/>
  <c r="AL128" i="41"/>
  <c r="AL179" i="41"/>
  <c r="AO474" i="41"/>
  <c r="AO347" i="41"/>
  <c r="AX32" i="41"/>
  <c r="AX50" i="41"/>
  <c r="AX66" i="41"/>
  <c r="AX82" i="41"/>
  <c r="AX98" i="41"/>
  <c r="AX114" i="41"/>
  <c r="AV25" i="41"/>
  <c r="AV59" i="41"/>
  <c r="AV91" i="41"/>
  <c r="AV123" i="41"/>
  <c r="AX39" i="41"/>
  <c r="AX105" i="41"/>
  <c r="AX249" i="41"/>
  <c r="AX245" i="41"/>
  <c r="AX55" i="41"/>
  <c r="AX119" i="41"/>
  <c r="AX186" i="41"/>
  <c r="AO331" i="41"/>
  <c r="AV29" i="41"/>
  <c r="AV63" i="41"/>
  <c r="AV95" i="41"/>
  <c r="AV127" i="41"/>
  <c r="AX65" i="41"/>
  <c r="AX129" i="41"/>
  <c r="AX252" i="41"/>
  <c r="AX92" i="41"/>
  <c r="AX79" i="41"/>
  <c r="AX146" i="41"/>
  <c r="AX210" i="41"/>
  <c r="AL115" i="41"/>
  <c r="F22" i="40" s="1"/>
  <c r="AL225" i="41"/>
  <c r="AO315" i="41"/>
  <c r="AV252" i="41"/>
  <c r="AX36" i="41"/>
  <c r="AX54" i="41"/>
  <c r="AX70" i="41"/>
  <c r="AX86" i="41"/>
  <c r="AX102" i="41"/>
  <c r="AX118" i="41"/>
  <c r="AV33" i="41"/>
  <c r="AV67" i="41"/>
  <c r="AV99" i="41"/>
  <c r="AV131" i="41"/>
  <c r="AV42" i="41"/>
  <c r="AX23" i="41"/>
  <c r="AX89" i="41"/>
  <c r="AV24" i="41"/>
  <c r="AX44" i="41"/>
  <c r="AX37" i="41"/>
  <c r="AX103" i="41"/>
  <c r="AX170" i="41"/>
  <c r="AX234" i="41"/>
  <c r="AL198" i="41"/>
  <c r="AO458" i="41"/>
  <c r="AL102" i="41"/>
  <c r="AL51" i="41"/>
  <c r="AL62" i="41"/>
  <c r="AL161" i="41"/>
  <c r="AO426" i="41"/>
  <c r="AO299" i="41"/>
  <c r="AL209" i="41"/>
  <c r="AV37" i="41"/>
  <c r="AV71" i="41"/>
  <c r="AV103" i="41"/>
  <c r="AX49" i="41"/>
  <c r="AX113" i="41"/>
  <c r="AV28" i="41"/>
  <c r="AX124" i="41"/>
  <c r="AX63" i="41"/>
  <c r="AX127" i="41"/>
  <c r="AX194" i="41"/>
  <c r="AV87" i="41"/>
  <c r="AL64" i="41"/>
  <c r="AO442" i="41"/>
  <c r="AL29" i="41"/>
  <c r="AL97" i="41"/>
  <c r="AO411" i="41"/>
  <c r="AO283" i="41"/>
  <c r="AX24" i="41"/>
  <c r="AX40" i="41"/>
  <c r="AX58" i="41"/>
  <c r="AX74" i="41"/>
  <c r="AX90" i="41"/>
  <c r="AX106" i="41"/>
  <c r="AX122" i="41"/>
  <c r="AV41" i="41"/>
  <c r="AV75" i="41"/>
  <c r="AV107" i="41"/>
  <c r="AX73" i="41"/>
  <c r="AV36" i="41"/>
  <c r="AX76" i="41"/>
  <c r="AX87" i="41"/>
  <c r="AX154" i="41"/>
  <c r="AX218" i="41"/>
  <c r="AW162" i="41"/>
  <c r="AV55" i="41"/>
  <c r="AL232" i="41"/>
  <c r="AL32" i="41"/>
  <c r="AO395" i="41"/>
  <c r="AO266" i="41"/>
  <c r="AV47" i="41"/>
  <c r="AV79" i="41"/>
  <c r="AV111" i="41"/>
  <c r="AX31" i="41"/>
  <c r="AX97" i="41"/>
  <c r="AV46" i="41"/>
  <c r="AX26" i="41"/>
  <c r="AX47" i="41"/>
  <c r="AX111" i="41"/>
  <c r="AX178" i="41"/>
  <c r="AX242" i="41"/>
  <c r="AL194" i="41"/>
  <c r="AL216" i="41"/>
  <c r="AX28" i="41"/>
  <c r="AX46" i="41"/>
  <c r="AX62" i="41"/>
  <c r="AX78" i="41"/>
  <c r="AX94" i="41"/>
  <c r="AX110" i="41"/>
  <c r="AX126" i="41"/>
  <c r="AV51" i="41"/>
  <c r="AV83" i="41"/>
  <c r="AV115" i="41"/>
  <c r="AX246" i="41"/>
  <c r="AX57" i="41"/>
  <c r="AX121" i="41"/>
  <c r="AV50" i="41"/>
  <c r="AX43" i="41"/>
  <c r="AX108" i="41"/>
  <c r="AX71" i="41"/>
  <c r="AX138" i="41"/>
  <c r="AX202" i="41"/>
  <c r="AW198" i="41"/>
  <c r="AW234" i="41"/>
  <c r="AW237" i="41"/>
  <c r="AW206" i="41"/>
  <c r="AW178" i="41"/>
  <c r="AW210" i="41"/>
  <c r="AW182" i="41"/>
  <c r="AW214" i="41"/>
  <c r="AR249" i="41"/>
  <c r="AW186" i="41"/>
  <c r="AW218" i="41"/>
  <c r="AW190" i="41"/>
  <c r="AW222" i="41"/>
  <c r="AW194" i="41"/>
  <c r="AW230" i="41"/>
  <c r="AV40" i="41"/>
  <c r="AV249" i="41"/>
  <c r="AV248" i="41"/>
  <c r="AR251" i="41"/>
  <c r="AW238" i="41"/>
  <c r="L43" i="40"/>
  <c r="AW242" i="41"/>
  <c r="AV54" i="41"/>
  <c r="AV43" i="41"/>
  <c r="AT143" i="41"/>
  <c r="AV35" i="41"/>
  <c r="AT163" i="41"/>
  <c r="AW181" i="41"/>
  <c r="AU42" i="41"/>
  <c r="AV45" i="41"/>
  <c r="AW205" i="41"/>
  <c r="AR22" i="41"/>
  <c r="AV32" i="41"/>
  <c r="AW226" i="41"/>
  <c r="AW213" i="41"/>
  <c r="AN417" i="41"/>
  <c r="AN113" i="41"/>
  <c r="AN62" i="41"/>
  <c r="AN244" i="41"/>
  <c r="AN195" i="41"/>
  <c r="AN158" i="41"/>
  <c r="AN126" i="41"/>
  <c r="AN94" i="41"/>
  <c r="AN214" i="41"/>
  <c r="AN75" i="41"/>
  <c r="AN42" i="41"/>
  <c r="AN235" i="41"/>
  <c r="AN175" i="41"/>
  <c r="AN143" i="41"/>
  <c r="AN115" i="41"/>
  <c r="AN83" i="41"/>
  <c r="AN227" i="41"/>
  <c r="AN68" i="41"/>
  <c r="AN229" i="41"/>
  <c r="AN176" i="41"/>
  <c r="AN144" i="41"/>
  <c r="AN112" i="41"/>
  <c r="AN80" i="41"/>
  <c r="AN202" i="41"/>
  <c r="AN40" i="41"/>
  <c r="AN353" i="41"/>
  <c r="AN406" i="41"/>
  <c r="AX42" i="41"/>
  <c r="AX247" i="41"/>
  <c r="AX30" i="41"/>
  <c r="AX48" i="41"/>
  <c r="AX64" i="41"/>
  <c r="AX80" i="41"/>
  <c r="AX96" i="41"/>
  <c r="AX112" i="41"/>
  <c r="AX128" i="41"/>
  <c r="AV251" i="41"/>
  <c r="AT135" i="41"/>
  <c r="AT167" i="41"/>
  <c r="AW209" i="41"/>
  <c r="AW241" i="41"/>
  <c r="AN225" i="41"/>
  <c r="AN81" i="41"/>
  <c r="AN220" i="41"/>
  <c r="AN173" i="41"/>
  <c r="AN141" i="41"/>
  <c r="AN109" i="41"/>
  <c r="AN212" i="41"/>
  <c r="AN58" i="41"/>
  <c r="AN29" i="41"/>
  <c r="AN238" i="41"/>
  <c r="AN185" i="41"/>
  <c r="AN154" i="41"/>
  <c r="AN122" i="41"/>
  <c r="AN90" i="41"/>
  <c r="AN209" i="41"/>
  <c r="AN71" i="41"/>
  <c r="AN38" i="41"/>
  <c r="AN211" i="41"/>
  <c r="AN171" i="41"/>
  <c r="AN139" i="41"/>
  <c r="AN111" i="41"/>
  <c r="AN79" i="41"/>
  <c r="AN219" i="41"/>
  <c r="AN64" i="41"/>
  <c r="AN35" i="41"/>
  <c r="AN223" i="41"/>
  <c r="AN172" i="41"/>
  <c r="AN140" i="41"/>
  <c r="AN108" i="41"/>
  <c r="AN197" i="41"/>
  <c r="AN24" i="41"/>
  <c r="AN476" i="41"/>
  <c r="AN342" i="41"/>
  <c r="AX27" i="41"/>
  <c r="AX45" i="41"/>
  <c r="AX61" i="41"/>
  <c r="AX77" i="41"/>
  <c r="AX93" i="41"/>
  <c r="AX109" i="41"/>
  <c r="AX125" i="41"/>
  <c r="AV27" i="41"/>
  <c r="AV22" i="41"/>
  <c r="AX25" i="41"/>
  <c r="AX41" i="41"/>
  <c r="AX59" i="41"/>
  <c r="AX75" i="41"/>
  <c r="AX91" i="41"/>
  <c r="AX107" i="41"/>
  <c r="AX123" i="41"/>
  <c r="AX142" i="41"/>
  <c r="AX158" i="41"/>
  <c r="AX174" i="41"/>
  <c r="AX190" i="41"/>
  <c r="AX206" i="41"/>
  <c r="AX222" i="41"/>
  <c r="AX238" i="41"/>
  <c r="AT139" i="41"/>
  <c r="AT171" i="41"/>
  <c r="AN33" i="41"/>
  <c r="AN215" i="41"/>
  <c r="AN169" i="41"/>
  <c r="AN137" i="41"/>
  <c r="AN105" i="41"/>
  <c r="AN207" i="41"/>
  <c r="AN54" i="41"/>
  <c r="AN25" i="41"/>
  <c r="AN233" i="41"/>
  <c r="AN182" i="41"/>
  <c r="AN150" i="41"/>
  <c r="AN118" i="41"/>
  <c r="AN86" i="41"/>
  <c r="AN196" i="41"/>
  <c r="AN67" i="41"/>
  <c r="AN34" i="41"/>
  <c r="AN208" i="41"/>
  <c r="AN167" i="41"/>
  <c r="AN135" i="41"/>
  <c r="AN107" i="41"/>
  <c r="AN216" i="41"/>
  <c r="AN60" i="41"/>
  <c r="AN31" i="41"/>
  <c r="AN218" i="41"/>
  <c r="AN168" i="41"/>
  <c r="AN136" i="41"/>
  <c r="AN104" i="41"/>
  <c r="AN237" i="41"/>
  <c r="AN192" i="41"/>
  <c r="AN412" i="41"/>
  <c r="AN261" i="41"/>
  <c r="AX34" i="41"/>
  <c r="AX52" i="41"/>
  <c r="AX68" i="41"/>
  <c r="AX84" i="41"/>
  <c r="AX100" i="41"/>
  <c r="AX116" i="41"/>
  <c r="AW185" i="41"/>
  <c r="AW217" i="41"/>
  <c r="AN470" i="41"/>
  <c r="AN145" i="41"/>
  <c r="AN165" i="41"/>
  <c r="AN50" i="41"/>
  <c r="AN222" i="41"/>
  <c r="AN178" i="41"/>
  <c r="AN146" i="41"/>
  <c r="AN114" i="41"/>
  <c r="AN82" i="41"/>
  <c r="AN63" i="41"/>
  <c r="AN203" i="41"/>
  <c r="AN163" i="41"/>
  <c r="AN131" i="41"/>
  <c r="AN103" i="41"/>
  <c r="AN187" i="41"/>
  <c r="AN56" i="41"/>
  <c r="AN27" i="41"/>
  <c r="AN213" i="41"/>
  <c r="AN164" i="41"/>
  <c r="AN132" i="41"/>
  <c r="AN100" i="41"/>
  <c r="AN234" i="41"/>
  <c r="AN348" i="41"/>
  <c r="K77" i="40"/>
  <c r="AT147" i="41"/>
  <c r="AW189" i="41"/>
  <c r="AW221" i="41"/>
  <c r="AN204" i="41"/>
  <c r="AN101" i="41"/>
  <c r="AN247" i="41"/>
  <c r="AN161" i="41"/>
  <c r="AN97" i="41"/>
  <c r="AN241" i="41"/>
  <c r="AN194" i="41"/>
  <c r="AN78" i="41"/>
  <c r="AN46" i="41"/>
  <c r="AN217" i="41"/>
  <c r="AN174" i="41"/>
  <c r="AN142" i="41"/>
  <c r="AN110" i="41"/>
  <c r="AN59" i="41"/>
  <c r="AN30" i="41"/>
  <c r="AN200" i="41"/>
  <c r="AN159" i="41"/>
  <c r="AN127" i="41"/>
  <c r="AN99" i="41"/>
  <c r="AN52" i="41"/>
  <c r="AN23" i="41"/>
  <c r="AN191" i="41"/>
  <c r="AN160" i="41"/>
  <c r="AN128" i="41"/>
  <c r="AN96" i="41"/>
  <c r="AN224" i="41"/>
  <c r="AN471" i="41"/>
  <c r="AR42" i="41"/>
  <c r="AX251" i="41"/>
  <c r="AX38" i="41"/>
  <c r="AX56" i="41"/>
  <c r="AX72" i="41"/>
  <c r="AX88" i="41"/>
  <c r="AX104" i="41"/>
  <c r="AX120" i="41"/>
  <c r="AV53" i="41"/>
  <c r="AT151" i="41"/>
  <c r="AW193" i="41"/>
  <c r="AW225" i="41"/>
  <c r="AN177" i="41"/>
  <c r="AN226" i="41"/>
  <c r="AN133" i="41"/>
  <c r="AN199" i="41"/>
  <c r="AN193" i="41"/>
  <c r="AN129" i="41"/>
  <c r="AN190" i="41"/>
  <c r="AN157" i="41"/>
  <c r="AN125" i="41"/>
  <c r="AN93" i="41"/>
  <c r="AN239" i="41"/>
  <c r="AN22" i="41"/>
  <c r="AN74" i="41"/>
  <c r="AN41" i="41"/>
  <c r="AN206" i="41"/>
  <c r="AN170" i="41"/>
  <c r="AN138" i="41"/>
  <c r="AN106" i="41"/>
  <c r="AN55" i="41"/>
  <c r="AN26" i="41"/>
  <c r="AN189" i="41"/>
  <c r="AN155" i="41"/>
  <c r="AN123" i="41"/>
  <c r="AN95" i="41"/>
  <c r="AN48" i="41"/>
  <c r="AN186" i="41"/>
  <c r="AN156" i="41"/>
  <c r="AN124" i="41"/>
  <c r="AN92" i="41"/>
  <c r="AN221" i="41"/>
  <c r="AN407" i="41"/>
  <c r="AX248" i="41"/>
  <c r="AX35" i="41"/>
  <c r="AX53" i="41"/>
  <c r="AX69" i="41"/>
  <c r="AX85" i="41"/>
  <c r="AX101" i="41"/>
  <c r="AX117" i="41"/>
  <c r="AX33" i="41"/>
  <c r="AX51" i="41"/>
  <c r="AX67" i="41"/>
  <c r="AX83" i="41"/>
  <c r="AX99" i="41"/>
  <c r="AX115" i="41"/>
  <c r="AX134" i="41"/>
  <c r="AX150" i="41"/>
  <c r="AX166" i="41"/>
  <c r="AX182" i="41"/>
  <c r="AX198" i="41"/>
  <c r="AX214" i="41"/>
  <c r="AX230" i="41"/>
  <c r="AX130" i="41"/>
  <c r="AT155" i="41"/>
  <c r="AW197" i="41"/>
  <c r="AW229" i="41"/>
  <c r="AN201" i="41"/>
  <c r="AN166" i="41"/>
  <c r="AN134" i="41"/>
  <c r="AN102" i="41"/>
  <c r="AN243" i="41"/>
  <c r="AN51" i="41"/>
  <c r="AN183" i="41"/>
  <c r="AN151" i="41"/>
  <c r="AN119" i="41"/>
  <c r="AN91" i="41"/>
  <c r="AN240" i="41"/>
  <c r="AN76" i="41"/>
  <c r="AN44" i="41"/>
  <c r="AN184" i="41"/>
  <c r="AN152" i="41"/>
  <c r="AN120" i="41"/>
  <c r="AN88" i="41"/>
  <c r="AN210" i="41"/>
  <c r="AN481" i="41"/>
  <c r="AN343" i="41"/>
  <c r="K79" i="40"/>
  <c r="AT159" i="41"/>
  <c r="AW201" i="41"/>
  <c r="AW233" i="41"/>
  <c r="BY47" i="40"/>
  <c r="AU47" i="40"/>
  <c r="AU258" i="41"/>
  <c r="AU262" i="41"/>
  <c r="AU266" i="41"/>
  <c r="AU270" i="41"/>
  <c r="AU274" i="41"/>
  <c r="AU278" i="41"/>
  <c r="AU282" i="41"/>
  <c r="AU286" i="41"/>
  <c r="AU290" i="41"/>
  <c r="AU294" i="41"/>
  <c r="AU298" i="41"/>
  <c r="AU302" i="41"/>
  <c r="AU306" i="41"/>
  <c r="AU310" i="41"/>
  <c r="AU314" i="41"/>
  <c r="AU318" i="41"/>
  <c r="AU322" i="41"/>
  <c r="AU326" i="41"/>
  <c r="AU330" i="41"/>
  <c r="AU334" i="41"/>
  <c r="AU338" i="41"/>
  <c r="AU342" i="41"/>
  <c r="AU346" i="41"/>
  <c r="AU350" i="41"/>
  <c r="AU354" i="41"/>
  <c r="AU358" i="41"/>
  <c r="AU362" i="41"/>
  <c r="AU366" i="41"/>
  <c r="AU370" i="41"/>
  <c r="AU374" i="41"/>
  <c r="AU378" i="41"/>
  <c r="AU382" i="41"/>
  <c r="AU386" i="41"/>
  <c r="AU390" i="41"/>
  <c r="AU394" i="41"/>
  <c r="AU398" i="41"/>
  <c r="AU402" i="41"/>
  <c r="AU406" i="41"/>
  <c r="AU410" i="41"/>
  <c r="AU414" i="41"/>
  <c r="AU418" i="41"/>
  <c r="AU422" i="41"/>
  <c r="AU426" i="41"/>
  <c r="AU430" i="41"/>
  <c r="AU434" i="41"/>
  <c r="AU438" i="41"/>
  <c r="AU442" i="41"/>
  <c r="AU446" i="41"/>
  <c r="AU450" i="41"/>
  <c r="AU454" i="41"/>
  <c r="AU458" i="41"/>
  <c r="AU462" i="41"/>
  <c r="AU466" i="41"/>
  <c r="AU470" i="41"/>
  <c r="AU474" i="41"/>
  <c r="AU478" i="41"/>
  <c r="AU482" i="41"/>
  <c r="AU486" i="41"/>
  <c r="AU257" i="41"/>
  <c r="AU263" i="41"/>
  <c r="AU268" i="41"/>
  <c r="AU273" i="41"/>
  <c r="AU279" i="41"/>
  <c r="AU284" i="41"/>
  <c r="AU289" i="41"/>
  <c r="AU295" i="41"/>
  <c r="AU300" i="41"/>
  <c r="AU305" i="41"/>
  <c r="AU311" i="41"/>
  <c r="AU316" i="41"/>
  <c r="AU321" i="41"/>
  <c r="AU327" i="41"/>
  <c r="AU332" i="41"/>
  <c r="AU337" i="41"/>
  <c r="AU343" i="41"/>
  <c r="AU348" i="41"/>
  <c r="AU353" i="41"/>
  <c r="AU359" i="41"/>
  <c r="AU364" i="41"/>
  <c r="AU369" i="41"/>
  <c r="AU375" i="41"/>
  <c r="AU380" i="41"/>
  <c r="AU385" i="41"/>
  <c r="AU391" i="41"/>
  <c r="AU396" i="41"/>
  <c r="AU401" i="41"/>
  <c r="AU407" i="41"/>
  <c r="AU412" i="41"/>
  <c r="AU417" i="41"/>
  <c r="AU423" i="41"/>
  <c r="AU428" i="41"/>
  <c r="AU433" i="41"/>
  <c r="AU439" i="41"/>
  <c r="AU444" i="41"/>
  <c r="AU449" i="41"/>
  <c r="AU455" i="41"/>
  <c r="AU460" i="41"/>
  <c r="AU465" i="41"/>
  <c r="AU471" i="41"/>
  <c r="AU476" i="41"/>
  <c r="AU481" i="41"/>
  <c r="AU256" i="41"/>
  <c r="AU261" i="41"/>
  <c r="AU269" i="41"/>
  <c r="AU276" i="41"/>
  <c r="AU283" i="41"/>
  <c r="AU291" i="41"/>
  <c r="AU297" i="41"/>
  <c r="AU304" i="41"/>
  <c r="AU312" i="41"/>
  <c r="AU319" i="41"/>
  <c r="AU325" i="41"/>
  <c r="AU333" i="41"/>
  <c r="AU340" i="41"/>
  <c r="AU347" i="41"/>
  <c r="AU355" i="41"/>
  <c r="AU361" i="41"/>
  <c r="AU368" i="41"/>
  <c r="AU376" i="41"/>
  <c r="AU383" i="41"/>
  <c r="AU389" i="41"/>
  <c r="AU397" i="41"/>
  <c r="AU404" i="41"/>
  <c r="AU411" i="41"/>
  <c r="AU419" i="41"/>
  <c r="AU425" i="41"/>
  <c r="AU432" i="41"/>
  <c r="AU440" i="41"/>
  <c r="AU447" i="41"/>
  <c r="AU453" i="41"/>
  <c r="AU461" i="41"/>
  <c r="AU468" i="41"/>
  <c r="AU475" i="41"/>
  <c r="AU483" i="41"/>
  <c r="AU264" i="41"/>
  <c r="AU271" i="41"/>
  <c r="AU277" i="41"/>
  <c r="AU285" i="41"/>
  <c r="AU292" i="41"/>
  <c r="AU299" i="41"/>
  <c r="AU307" i="41"/>
  <c r="AU313" i="41"/>
  <c r="AU320" i="41"/>
  <c r="AU328" i="41"/>
  <c r="AU335" i="41"/>
  <c r="AU341" i="41"/>
  <c r="AU349" i="41"/>
  <c r="AU356" i="41"/>
  <c r="AU363" i="41"/>
  <c r="AU371" i="41"/>
  <c r="AU377" i="41"/>
  <c r="AU384" i="41"/>
  <c r="AU392" i="41"/>
  <c r="AU399" i="41"/>
  <c r="AU405" i="41"/>
  <c r="AU413" i="41"/>
  <c r="AU420" i="41"/>
  <c r="AU427" i="41"/>
  <c r="AU435" i="41"/>
  <c r="AU441" i="41"/>
  <c r="AU448" i="41"/>
  <c r="AU456" i="41"/>
  <c r="AU463" i="41"/>
  <c r="AU469" i="41"/>
  <c r="AU477" i="41"/>
  <c r="AU484" i="41"/>
  <c r="AU259" i="41"/>
  <c r="AU265" i="41"/>
  <c r="AU272" i="41"/>
  <c r="AU280" i="41"/>
  <c r="AU287" i="41"/>
  <c r="AU293" i="41"/>
  <c r="AU301" i="41"/>
  <c r="AU308" i="41"/>
  <c r="AU315" i="41"/>
  <c r="AU323" i="41"/>
  <c r="AU329" i="41"/>
  <c r="AU336" i="41"/>
  <c r="AU344" i="41"/>
  <c r="AU351" i="41"/>
  <c r="AU357" i="41"/>
  <c r="AU365" i="41"/>
  <c r="AU372" i="41"/>
  <c r="AU379" i="41"/>
  <c r="AU387" i="41"/>
  <c r="AU393" i="41"/>
  <c r="AU400" i="41"/>
  <c r="AU408" i="41"/>
  <c r="AU415" i="41"/>
  <c r="AU421" i="41"/>
  <c r="AU429" i="41"/>
  <c r="AU436" i="41"/>
  <c r="AU443" i="41"/>
  <c r="AU451" i="41"/>
  <c r="AU457" i="41"/>
  <c r="AU464" i="41"/>
  <c r="AU472" i="41"/>
  <c r="AU479" i="41"/>
  <c r="AU485" i="41"/>
  <c r="AU267" i="41"/>
  <c r="AU296" i="41"/>
  <c r="AU324" i="41"/>
  <c r="AU352" i="41"/>
  <c r="AU381" i="41"/>
  <c r="AU409" i="41"/>
  <c r="AU437" i="41"/>
  <c r="AU467" i="41"/>
  <c r="AU275" i="41"/>
  <c r="AU303" i="41"/>
  <c r="AU331" i="41"/>
  <c r="AU360" i="41"/>
  <c r="AU388" i="41"/>
  <c r="AU416" i="41"/>
  <c r="AU445" i="41"/>
  <c r="AU473" i="41"/>
  <c r="AU281" i="41"/>
  <c r="AU309" i="41"/>
  <c r="AU339" i="41"/>
  <c r="AU367" i="41"/>
  <c r="AU395" i="41"/>
  <c r="AU424" i="41"/>
  <c r="AU452" i="41"/>
  <c r="AU480" i="41"/>
  <c r="AU260" i="41"/>
  <c r="AU288" i="41"/>
  <c r="AU317" i="41"/>
  <c r="AU345" i="41"/>
  <c r="AU373" i="41"/>
  <c r="AU403" i="41"/>
  <c r="AU431" i="41"/>
  <c r="AU459" i="41"/>
  <c r="AR259" i="41"/>
  <c r="AR263" i="41"/>
  <c r="AR267" i="41"/>
  <c r="AR271" i="41"/>
  <c r="AR275" i="41"/>
  <c r="AR279" i="41"/>
  <c r="AR283" i="41"/>
  <c r="AR287" i="41"/>
  <c r="AR291" i="41"/>
  <c r="AR295" i="41"/>
  <c r="AR299" i="41"/>
  <c r="AR303" i="41"/>
  <c r="AR307" i="41"/>
  <c r="AR311" i="41"/>
  <c r="AR261" i="41"/>
  <c r="AR266" i="41"/>
  <c r="AR272" i="41"/>
  <c r="AR277" i="41"/>
  <c r="AR282" i="41"/>
  <c r="AR288" i="41"/>
  <c r="AR293" i="41"/>
  <c r="AR298" i="41"/>
  <c r="AR304" i="41"/>
  <c r="AR309" i="41"/>
  <c r="AR314" i="41"/>
  <c r="AR318" i="41"/>
  <c r="AR322" i="41"/>
  <c r="AR326" i="41"/>
  <c r="AR330" i="41"/>
  <c r="AR334" i="41"/>
  <c r="AR338" i="41"/>
  <c r="AR342" i="41"/>
  <c r="AR346" i="41"/>
  <c r="AR350" i="41"/>
  <c r="AR354" i="41"/>
  <c r="AR358" i="41"/>
  <c r="AR257" i="41"/>
  <c r="AR262" i="41"/>
  <c r="AR268" i="41"/>
  <c r="AR273" i="41"/>
  <c r="AR278" i="41"/>
  <c r="AR284" i="41"/>
  <c r="AR289" i="41"/>
  <c r="AR294" i="41"/>
  <c r="AR300" i="41"/>
  <c r="AR305" i="41"/>
  <c r="AR310" i="41"/>
  <c r="AR315" i="41"/>
  <c r="AR319" i="41"/>
  <c r="AR323" i="41"/>
  <c r="AR327" i="41"/>
  <c r="AR331" i="41"/>
  <c r="AR335" i="41"/>
  <c r="AR339" i="41"/>
  <c r="AR343" i="41"/>
  <c r="AR347" i="41"/>
  <c r="AR351" i="41"/>
  <c r="AR355" i="41"/>
  <c r="AR359" i="41"/>
  <c r="AR363" i="41"/>
  <c r="AR367" i="41"/>
  <c r="AR258" i="41"/>
  <c r="AR264" i="41"/>
  <c r="AR269" i="41"/>
  <c r="AR274" i="41"/>
  <c r="AR280" i="41"/>
  <c r="AR285" i="41"/>
  <c r="AR290" i="41"/>
  <c r="AR296" i="41"/>
  <c r="AR301" i="41"/>
  <c r="AR306" i="41"/>
  <c r="AR312" i="41"/>
  <c r="AR316" i="41"/>
  <c r="AR320" i="41"/>
  <c r="AR324" i="41"/>
  <c r="AR328" i="41"/>
  <c r="AR332" i="41"/>
  <c r="AR336" i="41"/>
  <c r="AR340" i="41"/>
  <c r="AR344" i="41"/>
  <c r="AR348" i="41"/>
  <c r="AR352" i="41"/>
  <c r="AR356" i="41"/>
  <c r="AR360" i="41"/>
  <c r="AR364" i="41"/>
  <c r="AR368" i="41"/>
  <c r="AR372" i="41"/>
  <c r="AR376" i="41"/>
  <c r="AR380" i="41"/>
  <c r="AR384" i="41"/>
  <c r="AR388" i="41"/>
  <c r="AR392" i="41"/>
  <c r="AR396" i="41"/>
  <c r="AR400" i="41"/>
  <c r="AR404" i="41"/>
  <c r="AR408" i="41"/>
  <c r="AR412" i="41"/>
  <c r="AR416" i="41"/>
  <c r="AR420" i="41"/>
  <c r="AR424" i="41"/>
  <c r="AR428" i="41"/>
  <c r="AR432" i="41"/>
  <c r="AR436" i="41"/>
  <c r="AR440" i="41"/>
  <c r="AR444" i="41"/>
  <c r="AR448" i="41"/>
  <c r="AR452" i="41"/>
  <c r="AR456" i="41"/>
  <c r="AR460" i="41"/>
  <c r="AR464" i="41"/>
  <c r="AR468" i="41"/>
  <c r="AR472" i="41"/>
  <c r="AR476" i="41"/>
  <c r="AR480" i="41"/>
  <c r="AR484" i="41"/>
  <c r="AR276" i="41"/>
  <c r="AR297" i="41"/>
  <c r="AR317" i="41"/>
  <c r="AR333" i="41"/>
  <c r="AR349" i="41"/>
  <c r="AR362" i="41"/>
  <c r="AR370" i="41"/>
  <c r="AR375" i="41"/>
  <c r="AR381" i="41"/>
  <c r="AR386" i="41"/>
  <c r="AR391" i="41"/>
  <c r="AR397" i="41"/>
  <c r="AR402" i="41"/>
  <c r="AR407" i="41"/>
  <c r="AR413" i="41"/>
  <c r="AR418" i="41"/>
  <c r="AR423" i="41"/>
  <c r="AR429" i="41"/>
  <c r="AR434" i="41"/>
  <c r="AR439" i="41"/>
  <c r="AR450" i="41"/>
  <c r="AR455" i="41"/>
  <c r="AR466" i="41"/>
  <c r="AR256" i="41"/>
  <c r="AR260" i="41"/>
  <c r="AR281" i="41"/>
  <c r="AR302" i="41"/>
  <c r="AR321" i="41"/>
  <c r="AR337" i="41"/>
  <c r="AR353" i="41"/>
  <c r="AR365" i="41"/>
  <c r="AR371" i="41"/>
  <c r="AR377" i="41"/>
  <c r="AR382" i="41"/>
  <c r="AR387" i="41"/>
  <c r="AR393" i="41"/>
  <c r="AR398" i="41"/>
  <c r="AR403" i="41"/>
  <c r="AR409" i="41"/>
  <c r="AR414" i="41"/>
  <c r="AR419" i="41"/>
  <c r="AR425" i="41"/>
  <c r="AR430" i="41"/>
  <c r="AR435" i="41"/>
  <c r="AR441" i="41"/>
  <c r="AR446" i="41"/>
  <c r="AR451" i="41"/>
  <c r="AR457" i="41"/>
  <c r="AR462" i="41"/>
  <c r="AR467" i="41"/>
  <c r="AR473" i="41"/>
  <c r="AR478" i="41"/>
  <c r="AR483" i="41"/>
  <c r="AR265" i="41"/>
  <c r="AR286" i="41"/>
  <c r="AR308" i="41"/>
  <c r="AR325" i="41"/>
  <c r="AR341" i="41"/>
  <c r="AR357" i="41"/>
  <c r="AR366" i="41"/>
  <c r="AR373" i="41"/>
  <c r="AR378" i="41"/>
  <c r="AR383" i="41"/>
  <c r="AR389" i="41"/>
  <c r="AR394" i="41"/>
  <c r="AR399" i="41"/>
  <c r="AR405" i="41"/>
  <c r="AR410" i="41"/>
  <c r="AR415" i="41"/>
  <c r="AR421" i="41"/>
  <c r="AR426" i="41"/>
  <c r="AR431" i="41"/>
  <c r="AR437" i="41"/>
  <c r="AR442" i="41"/>
  <c r="AR447" i="41"/>
  <c r="AR453" i="41"/>
  <c r="AR458" i="41"/>
  <c r="AR463" i="41"/>
  <c r="AR469" i="41"/>
  <c r="AR474" i="41"/>
  <c r="AR479" i="41"/>
  <c r="AR485" i="41"/>
  <c r="AR270" i="41"/>
  <c r="AR292" i="41"/>
  <c r="AR313" i="41"/>
  <c r="AR329" i="41"/>
  <c r="AR345" i="41"/>
  <c r="AR361" i="41"/>
  <c r="AR369" i="41"/>
  <c r="AR374" i="41"/>
  <c r="AR379" i="41"/>
  <c r="AR385" i="41"/>
  <c r="AR390" i="41"/>
  <c r="AR395" i="41"/>
  <c r="AR401" i="41"/>
  <c r="AR406" i="41"/>
  <c r="AR411" i="41"/>
  <c r="AR417" i="41"/>
  <c r="AR422" i="41"/>
  <c r="AR427" i="41"/>
  <c r="AR433" i="41"/>
  <c r="AR438" i="41"/>
  <c r="AR443" i="41"/>
  <c r="AR449" i="41"/>
  <c r="AR454" i="41"/>
  <c r="AR459" i="41"/>
  <c r="AR465" i="41"/>
  <c r="AR470" i="41"/>
  <c r="AR475" i="41"/>
  <c r="AR481" i="41"/>
  <c r="AR486" i="41"/>
  <c r="AR445" i="41"/>
  <c r="AR461" i="41"/>
  <c r="AR471" i="41"/>
  <c r="AR477" i="41"/>
  <c r="AR482" i="41"/>
  <c r="AW260" i="41"/>
  <c r="AW264" i="41"/>
  <c r="AW268" i="41"/>
  <c r="AW272" i="41"/>
  <c r="AW276" i="41"/>
  <c r="AW280" i="41"/>
  <c r="AW284" i="41"/>
  <c r="AW288" i="41"/>
  <c r="AW292" i="41"/>
  <c r="AW296" i="41"/>
  <c r="AW300" i="41"/>
  <c r="AW304" i="41"/>
  <c r="AW308" i="41"/>
  <c r="AW312" i="41"/>
  <c r="AW316" i="41"/>
  <c r="AW320" i="41"/>
  <c r="AW324" i="41"/>
  <c r="AW328" i="41"/>
  <c r="AW332" i="41"/>
  <c r="AW336" i="41"/>
  <c r="AW340" i="41"/>
  <c r="AW344" i="41"/>
  <c r="AW348" i="41"/>
  <c r="AW352" i="41"/>
  <c r="AW356" i="41"/>
  <c r="AW360" i="41"/>
  <c r="AW364" i="41"/>
  <c r="AW368" i="41"/>
  <c r="AW372" i="41"/>
  <c r="AW376" i="41"/>
  <c r="AW380" i="41"/>
  <c r="AW384" i="41"/>
  <c r="AW388" i="41"/>
  <c r="AW392" i="41"/>
  <c r="AW396" i="41"/>
  <c r="AW400" i="41"/>
  <c r="AW404" i="41"/>
  <c r="AW408" i="41"/>
  <c r="AW412" i="41"/>
  <c r="AW416" i="41"/>
  <c r="AW420" i="41"/>
  <c r="AW424" i="41"/>
  <c r="AW428" i="41"/>
  <c r="AW432" i="41"/>
  <c r="AW436" i="41"/>
  <c r="AW440" i="41"/>
  <c r="AW444" i="41"/>
  <c r="AW448" i="41"/>
  <c r="AW452" i="41"/>
  <c r="AW456" i="41"/>
  <c r="AW460" i="41"/>
  <c r="AW464" i="41"/>
  <c r="AW468" i="41"/>
  <c r="AW472" i="41"/>
  <c r="AW476" i="41"/>
  <c r="AW480" i="41"/>
  <c r="AW484" i="41"/>
  <c r="AW258" i="41"/>
  <c r="AW263" i="41"/>
  <c r="AW269" i="41"/>
  <c r="AW274" i="41"/>
  <c r="Q21" i="40" s="1"/>
  <c r="AW279" i="41"/>
  <c r="AW285" i="41"/>
  <c r="AW290" i="41"/>
  <c r="AW295" i="41"/>
  <c r="AW301" i="41"/>
  <c r="AW306" i="41"/>
  <c r="AW311" i="41"/>
  <c r="AW317" i="41"/>
  <c r="AW322" i="41"/>
  <c r="AW327" i="41"/>
  <c r="AW333" i="41"/>
  <c r="AW338" i="41"/>
  <c r="AW343" i="41"/>
  <c r="AW349" i="41"/>
  <c r="AW354" i="41"/>
  <c r="AW259" i="41"/>
  <c r="AW265" i="41"/>
  <c r="AW270" i="41"/>
  <c r="AW275" i="41"/>
  <c r="AW281" i="41"/>
  <c r="AW286" i="41"/>
  <c r="AW291" i="41"/>
  <c r="AW297" i="41"/>
  <c r="AW302" i="41"/>
  <c r="AW307" i="41"/>
  <c r="AW313" i="41"/>
  <c r="AW318" i="41"/>
  <c r="AW323" i="41"/>
  <c r="AW329" i="41"/>
  <c r="AW334" i="41"/>
  <c r="AW339" i="41"/>
  <c r="AW345" i="41"/>
  <c r="Q56" i="40" s="1"/>
  <c r="AW350" i="41"/>
  <c r="AW355" i="41"/>
  <c r="AW361" i="41"/>
  <c r="AW366" i="41"/>
  <c r="AW261" i="41"/>
  <c r="AW266" i="41"/>
  <c r="AW271" i="41"/>
  <c r="AW277" i="41"/>
  <c r="AW282" i="41"/>
  <c r="AW287" i="41"/>
  <c r="AW293" i="41"/>
  <c r="AW298" i="41"/>
  <c r="AW303" i="41"/>
  <c r="AW309" i="41"/>
  <c r="AW314" i="41"/>
  <c r="AW319" i="41"/>
  <c r="AW325" i="41"/>
  <c r="AW330" i="41"/>
  <c r="AW335" i="41"/>
  <c r="AW341" i="41"/>
  <c r="AW346" i="41"/>
  <c r="AW351" i="41"/>
  <c r="AW357" i="41"/>
  <c r="AW362" i="41"/>
  <c r="AW367" i="41"/>
  <c r="AW373" i="41"/>
  <c r="AW378" i="41"/>
  <c r="AW383" i="41"/>
  <c r="AW389" i="41"/>
  <c r="AW394" i="41"/>
  <c r="AW399" i="41"/>
  <c r="AW405" i="41"/>
  <c r="AW410" i="41"/>
  <c r="AW415" i="41"/>
  <c r="AW421" i="41"/>
  <c r="AW426" i="41"/>
  <c r="AW431" i="41"/>
  <c r="AW437" i="41"/>
  <c r="AW442" i="41"/>
  <c r="AW447" i="41"/>
  <c r="AW453" i="41"/>
  <c r="AW458" i="41"/>
  <c r="AW463" i="41"/>
  <c r="AW469" i="41"/>
  <c r="AW474" i="41"/>
  <c r="AW479" i="41"/>
  <c r="AW485" i="41"/>
  <c r="AW273" i="41"/>
  <c r="AW294" i="41"/>
  <c r="AW315" i="41"/>
  <c r="AW337" i="41"/>
  <c r="AW358" i="41"/>
  <c r="AW369" i="41"/>
  <c r="AW375" i="41"/>
  <c r="AW382" i="41"/>
  <c r="AW390" i="41"/>
  <c r="AW397" i="41"/>
  <c r="AW403" i="41"/>
  <c r="AW411" i="41"/>
  <c r="AW418" i="41"/>
  <c r="AW425" i="41"/>
  <c r="AW433" i="41"/>
  <c r="AW439" i="41"/>
  <c r="AW446" i="41"/>
  <c r="AW454" i="41"/>
  <c r="AW461" i="41"/>
  <c r="AW467" i="41"/>
  <c r="AW475" i="41"/>
  <c r="AW482" i="41"/>
  <c r="AW257" i="41"/>
  <c r="AW278" i="41"/>
  <c r="AW299" i="41"/>
  <c r="AW321" i="41"/>
  <c r="AW342" i="41"/>
  <c r="AW359" i="41"/>
  <c r="AW370" i="41"/>
  <c r="AW377" i="41"/>
  <c r="AW385" i="41"/>
  <c r="AW391" i="41"/>
  <c r="AW398" i="41"/>
  <c r="AW406" i="41"/>
  <c r="AW413" i="41"/>
  <c r="AW419" i="41"/>
  <c r="AW427" i="41"/>
  <c r="AW434" i="41"/>
  <c r="AW441" i="41"/>
  <c r="AW449" i="41"/>
  <c r="AW455" i="41"/>
  <c r="AW462" i="41"/>
  <c r="AW470" i="41"/>
  <c r="AW477" i="41"/>
  <c r="AW483" i="41"/>
  <c r="AW262" i="41"/>
  <c r="AW283" i="41"/>
  <c r="AW305" i="41"/>
  <c r="AW326" i="41"/>
  <c r="AW347" i="41"/>
  <c r="AW363" i="41"/>
  <c r="AW371" i="41"/>
  <c r="AW379" i="41"/>
  <c r="AW386" i="41"/>
  <c r="AW393" i="41"/>
  <c r="AW401" i="41"/>
  <c r="AW407" i="41"/>
  <c r="AW414" i="41"/>
  <c r="AW422" i="41"/>
  <c r="AW429" i="41"/>
  <c r="AW435" i="41"/>
  <c r="AW443" i="41"/>
  <c r="AW450" i="41"/>
  <c r="AW457" i="41"/>
  <c r="AW465" i="41"/>
  <c r="AW471" i="41"/>
  <c r="AW478" i="41"/>
  <c r="AW486" i="41"/>
  <c r="AW267" i="41"/>
  <c r="AW353" i="41"/>
  <c r="AW387" i="41"/>
  <c r="AW417" i="41"/>
  <c r="AW445" i="41"/>
  <c r="AW473" i="41"/>
  <c r="AW289" i="41"/>
  <c r="AW365" i="41"/>
  <c r="AW395" i="41"/>
  <c r="AW423" i="41"/>
  <c r="AW451" i="41"/>
  <c r="AW481" i="41"/>
  <c r="AW310" i="41"/>
  <c r="AW374" i="41"/>
  <c r="AW402" i="41"/>
  <c r="AW430" i="41"/>
  <c r="AW459" i="41"/>
  <c r="AW256" i="41"/>
  <c r="AW331" i="41"/>
  <c r="AW381" i="41"/>
  <c r="AW409" i="41"/>
  <c r="AW438" i="41"/>
  <c r="AW466" i="41"/>
  <c r="AU38" i="41"/>
  <c r="AU57" i="41"/>
  <c r="AU73" i="41"/>
  <c r="AU89" i="41"/>
  <c r="AU105" i="41"/>
  <c r="AU121" i="41"/>
  <c r="O31" i="40" s="1"/>
  <c r="AU251" i="41"/>
  <c r="AU33" i="41"/>
  <c r="AU48" i="41"/>
  <c r="AU64" i="41"/>
  <c r="AU80" i="41"/>
  <c r="AU96" i="41"/>
  <c r="AU112" i="41"/>
  <c r="AU128" i="41"/>
  <c r="AR248" i="41"/>
  <c r="AU247" i="41"/>
  <c r="AU32" i="41"/>
  <c r="AU51" i="41"/>
  <c r="AU67" i="41"/>
  <c r="AU83" i="41"/>
  <c r="AU99" i="41"/>
  <c r="AU115" i="41"/>
  <c r="AU131" i="41"/>
  <c r="AR30" i="41"/>
  <c r="AR38" i="41"/>
  <c r="AR48" i="41"/>
  <c r="AR56" i="41"/>
  <c r="AU31" i="41"/>
  <c r="AU50" i="41"/>
  <c r="AU66" i="41"/>
  <c r="AU82" i="41"/>
  <c r="AU98" i="41"/>
  <c r="AU114" i="41"/>
  <c r="AU130" i="41"/>
  <c r="AV30" i="41"/>
  <c r="AV38" i="41"/>
  <c r="AV48" i="41"/>
  <c r="AV56" i="41"/>
  <c r="AV64" i="41"/>
  <c r="AV72" i="41"/>
  <c r="AV80" i="41"/>
  <c r="AV88" i="41"/>
  <c r="AV96" i="41"/>
  <c r="AV104" i="41"/>
  <c r="AV112" i="41"/>
  <c r="AV120" i="41"/>
  <c r="AV128" i="41"/>
  <c r="AU135" i="41"/>
  <c r="AU151" i="41"/>
  <c r="AU167" i="41"/>
  <c r="AU183" i="41"/>
  <c r="AU199" i="41"/>
  <c r="AU215" i="41"/>
  <c r="AU231" i="41"/>
  <c r="AV138" i="41"/>
  <c r="AV146" i="41"/>
  <c r="AV154" i="41"/>
  <c r="AV162" i="41"/>
  <c r="AV170" i="41"/>
  <c r="AV178" i="41"/>
  <c r="AV186" i="41"/>
  <c r="AV194" i="41"/>
  <c r="AV202" i="41"/>
  <c r="AV210" i="41"/>
  <c r="AV218" i="41"/>
  <c r="AV226" i="41"/>
  <c r="AV234" i="41"/>
  <c r="AV242" i="41"/>
  <c r="AR212" i="41"/>
  <c r="AV225" i="41"/>
  <c r="AR240" i="41"/>
  <c r="AV245" i="41"/>
  <c r="AR238" i="41"/>
  <c r="AV58" i="41"/>
  <c r="AV66" i="41"/>
  <c r="AV74" i="41"/>
  <c r="AV82" i="41"/>
  <c r="AV90" i="41"/>
  <c r="AV98" i="41"/>
  <c r="AV106" i="41"/>
  <c r="AV114" i="41"/>
  <c r="AV122" i="41"/>
  <c r="AV130" i="41"/>
  <c r="AX137" i="41"/>
  <c r="AX145" i="41"/>
  <c r="AX153" i="41"/>
  <c r="AX161" i="41"/>
  <c r="AX169" i="41"/>
  <c r="AX177" i="41"/>
  <c r="AX185" i="41"/>
  <c r="AX193" i="41"/>
  <c r="AX201" i="41"/>
  <c r="AX209" i="41"/>
  <c r="AX217" i="41"/>
  <c r="AX225" i="41"/>
  <c r="AX233" i="41"/>
  <c r="AX241" i="41"/>
  <c r="AU138" i="41"/>
  <c r="AU154" i="41"/>
  <c r="AU170" i="41"/>
  <c r="AU186" i="41"/>
  <c r="AU202" i="41"/>
  <c r="AU218" i="41"/>
  <c r="O14" i="40" s="1"/>
  <c r="AU234" i="41"/>
  <c r="AR136" i="41"/>
  <c r="AR144" i="41"/>
  <c r="AR152" i="41"/>
  <c r="AR160" i="41"/>
  <c r="AR168" i="41"/>
  <c r="AR176" i="41"/>
  <c r="AR184" i="41"/>
  <c r="AR192" i="41"/>
  <c r="AR200" i="41"/>
  <c r="AV213" i="41"/>
  <c r="AR232" i="41"/>
  <c r="AV246" i="41"/>
  <c r="AR235" i="41"/>
  <c r="AV211" i="41"/>
  <c r="AV235" i="41"/>
  <c r="AV61" i="41"/>
  <c r="AV69" i="41"/>
  <c r="AV77" i="41"/>
  <c r="AV85" i="41"/>
  <c r="AV93" i="41"/>
  <c r="AV101" i="41"/>
  <c r="AV109" i="41"/>
  <c r="AV117" i="41"/>
  <c r="AV125" i="41"/>
  <c r="AT175" i="41"/>
  <c r="AT183" i="41"/>
  <c r="AT191" i="41"/>
  <c r="AT199" i="41"/>
  <c r="AT207" i="41"/>
  <c r="AT215" i="41"/>
  <c r="AT223" i="41"/>
  <c r="AT231" i="41"/>
  <c r="AT239" i="41"/>
  <c r="AX131" i="41"/>
  <c r="AU145" i="41"/>
  <c r="AU161" i="41"/>
  <c r="AU177" i="41"/>
  <c r="AU193" i="41"/>
  <c r="AU209" i="41"/>
  <c r="AU225" i="41"/>
  <c r="AU241" i="41"/>
  <c r="AV136" i="41"/>
  <c r="AV144" i="41"/>
  <c r="AV152" i="41"/>
  <c r="AV160" i="41"/>
  <c r="AV168" i="41"/>
  <c r="AV176" i="41"/>
  <c r="AV184" i="41"/>
  <c r="AV192" i="41"/>
  <c r="AV200" i="41"/>
  <c r="AV208" i="41"/>
  <c r="AV216" i="41"/>
  <c r="AV224" i="41"/>
  <c r="AV232" i="41"/>
  <c r="AT22" i="41"/>
  <c r="AV227" i="41"/>
  <c r="AT134" i="41"/>
  <c r="AT142" i="41"/>
  <c r="AT150" i="41"/>
  <c r="AT158" i="41"/>
  <c r="AT166" i="41"/>
  <c r="AT174" i="41"/>
  <c r="AT182" i="41"/>
  <c r="AT190" i="41"/>
  <c r="AT198" i="41"/>
  <c r="AT206" i="41"/>
  <c r="AT214" i="41"/>
  <c r="AT222" i="41"/>
  <c r="AT230" i="41"/>
  <c r="AT238" i="41"/>
  <c r="AU132" i="41"/>
  <c r="AU148" i="41"/>
  <c r="AU164" i="41"/>
  <c r="AU180" i="41"/>
  <c r="AU196" i="41"/>
  <c r="AU212" i="41"/>
  <c r="AU228" i="41"/>
  <c r="AU244" i="41"/>
  <c r="AV139" i="41"/>
  <c r="AV147" i="41"/>
  <c r="AV155" i="41"/>
  <c r="AV163" i="41"/>
  <c r="AV171" i="41"/>
  <c r="AV179" i="41"/>
  <c r="AV187" i="41"/>
  <c r="AV195" i="41"/>
  <c r="AV203" i="41"/>
  <c r="AR234" i="41"/>
  <c r="AX260" i="41"/>
  <c r="AX264" i="41"/>
  <c r="AX268" i="41"/>
  <c r="AX272" i="41"/>
  <c r="AX276" i="41"/>
  <c r="AX280" i="41"/>
  <c r="AX284" i="41"/>
  <c r="AX288" i="41"/>
  <c r="AX292" i="41"/>
  <c r="AX296" i="41"/>
  <c r="AX300" i="41"/>
  <c r="AX304" i="41"/>
  <c r="AX258" i="41"/>
  <c r="AX263" i="41"/>
  <c r="AX269" i="41"/>
  <c r="AX274" i="41"/>
  <c r="AX279" i="41"/>
  <c r="AX285" i="41"/>
  <c r="AX290" i="41"/>
  <c r="AX295" i="41"/>
  <c r="AX301" i="41"/>
  <c r="AX306" i="41"/>
  <c r="AX310" i="41"/>
  <c r="AX314" i="41"/>
  <c r="AX318" i="41"/>
  <c r="AX322" i="41"/>
  <c r="AX326" i="41"/>
  <c r="AX330" i="41"/>
  <c r="AX334" i="41"/>
  <c r="AX338" i="41"/>
  <c r="AX342" i="41"/>
  <c r="AX346" i="41"/>
  <c r="AX350" i="41"/>
  <c r="AX354" i="41"/>
  <c r="AX358" i="41"/>
  <c r="AX362" i="41"/>
  <c r="AX366" i="41"/>
  <c r="AX370" i="41"/>
  <c r="AX374" i="41"/>
  <c r="AX378" i="41"/>
  <c r="AX382" i="41"/>
  <c r="AX386" i="41"/>
  <c r="AX390" i="41"/>
  <c r="AX394" i="41"/>
  <c r="AX398" i="41"/>
  <c r="AX402" i="41"/>
  <c r="AX406" i="41"/>
  <c r="AX410" i="41"/>
  <c r="AX414" i="41"/>
  <c r="AX418" i="41"/>
  <c r="AX422" i="41"/>
  <c r="AX426" i="41"/>
  <c r="AX430" i="41"/>
  <c r="AX434" i="41"/>
  <c r="AX438" i="41"/>
  <c r="AX442" i="41"/>
  <c r="AX446" i="41"/>
  <c r="AX450" i="41"/>
  <c r="AX454" i="41"/>
  <c r="AX458" i="41"/>
  <c r="AX462" i="41"/>
  <c r="AX466" i="41"/>
  <c r="AX470" i="41"/>
  <c r="AX474" i="41"/>
  <c r="AX478" i="41"/>
  <c r="AX259" i="41"/>
  <c r="AX265" i="41"/>
  <c r="AX270" i="41"/>
  <c r="AX275" i="41"/>
  <c r="AX281" i="41"/>
  <c r="AX286" i="41"/>
  <c r="AX291" i="41"/>
  <c r="AX297" i="41"/>
  <c r="AX302" i="41"/>
  <c r="AX307" i="41"/>
  <c r="AX311" i="41"/>
  <c r="AX315" i="41"/>
  <c r="AX319" i="41"/>
  <c r="AX323" i="41"/>
  <c r="AX327" i="41"/>
  <c r="AX331" i="41"/>
  <c r="AX335" i="41"/>
  <c r="AX339" i="41"/>
  <c r="AX343" i="41"/>
  <c r="AX347" i="41"/>
  <c r="AX351" i="41"/>
  <c r="AX355" i="41"/>
  <c r="AX359" i="41"/>
  <c r="AX363" i="41"/>
  <c r="AX367" i="41"/>
  <c r="AX371" i="41"/>
  <c r="AX375" i="41"/>
  <c r="AX379" i="41"/>
  <c r="AX383" i="41"/>
  <c r="AX387" i="41"/>
  <c r="AX391" i="41"/>
  <c r="AX395" i="41"/>
  <c r="AX399" i="41"/>
  <c r="AX403" i="41"/>
  <c r="AX407" i="41"/>
  <c r="AX411" i="41"/>
  <c r="AX415" i="41"/>
  <c r="AX419" i="41"/>
  <c r="AX423" i="41"/>
  <c r="AX427" i="41"/>
  <c r="AX431" i="41"/>
  <c r="AX435" i="41"/>
  <c r="AX439" i="41"/>
  <c r="AX443" i="41"/>
  <c r="AX447" i="41"/>
  <c r="AX451" i="41"/>
  <c r="AX455" i="41"/>
  <c r="AX459" i="41"/>
  <c r="AX463" i="41"/>
  <c r="AX467" i="41"/>
  <c r="AX471" i="41"/>
  <c r="AX475" i="41"/>
  <c r="AX479" i="41"/>
  <c r="AX483" i="41"/>
  <c r="AX256" i="41"/>
  <c r="AX257" i="41"/>
  <c r="AX267" i="41"/>
  <c r="AX278" i="41"/>
  <c r="AX289" i="41"/>
  <c r="AX299" i="41"/>
  <c r="AX309" i="41"/>
  <c r="AX317" i="41"/>
  <c r="AX325" i="41"/>
  <c r="AX333" i="41"/>
  <c r="AX341" i="41"/>
  <c r="AX349" i="41"/>
  <c r="AX357" i="41"/>
  <c r="AX365" i="41"/>
  <c r="AX373" i="41"/>
  <c r="AX381" i="41"/>
  <c r="AX389" i="41"/>
  <c r="AX397" i="41"/>
  <c r="AX405" i="41"/>
  <c r="AX413" i="41"/>
  <c r="AX421" i="41"/>
  <c r="AX429" i="41"/>
  <c r="AX437" i="41"/>
  <c r="AX445" i="41"/>
  <c r="AX453" i="41"/>
  <c r="AX461" i="41"/>
  <c r="AX469" i="41"/>
  <c r="AX477" i="41"/>
  <c r="AX484" i="41"/>
  <c r="AX261" i="41"/>
  <c r="AX271" i="41"/>
  <c r="AX282" i="41"/>
  <c r="AX293" i="41"/>
  <c r="AX303" i="41"/>
  <c r="AX312" i="41"/>
  <c r="AX320" i="41"/>
  <c r="AX328" i="41"/>
  <c r="AX336" i="41"/>
  <c r="AX344" i="41"/>
  <c r="AX352" i="41"/>
  <c r="AX360" i="41"/>
  <c r="AX368" i="41"/>
  <c r="AX376" i="41"/>
  <c r="AX384" i="41"/>
  <c r="AX392" i="41"/>
  <c r="AX400" i="41"/>
  <c r="AX408" i="41"/>
  <c r="AX416" i="41"/>
  <c r="AX424" i="41"/>
  <c r="AX432" i="41"/>
  <c r="AX440" i="41"/>
  <c r="AX448" i="41"/>
  <c r="AX456" i="41"/>
  <c r="AX464" i="41"/>
  <c r="AX472" i="41"/>
  <c r="AX480" i="41"/>
  <c r="AX485" i="41"/>
  <c r="AX262" i="41"/>
  <c r="AX273" i="41"/>
  <c r="AX283" i="41"/>
  <c r="AX294" i="41"/>
  <c r="AX305" i="41"/>
  <c r="AX313" i="41"/>
  <c r="AX321" i="41"/>
  <c r="AX329" i="41"/>
  <c r="AX337" i="41"/>
  <c r="AX345" i="41"/>
  <c r="AX353" i="41"/>
  <c r="AX361" i="41"/>
  <c r="AX369" i="41"/>
  <c r="AX377" i="41"/>
  <c r="AX385" i="41"/>
  <c r="AX393" i="41"/>
  <c r="AX401" i="41"/>
  <c r="AX409" i="41"/>
  <c r="AX417" i="41"/>
  <c r="AX425" i="41"/>
  <c r="AX433" i="41"/>
  <c r="AX441" i="41"/>
  <c r="AX449" i="41"/>
  <c r="AX457" i="41"/>
  <c r="AX465" i="41"/>
  <c r="AX473" i="41"/>
  <c r="AX481" i="41"/>
  <c r="AX486" i="41"/>
  <c r="AX287" i="41"/>
  <c r="AX324" i="41"/>
  <c r="AX356" i="41"/>
  <c r="AX388" i="41"/>
  <c r="AX420" i="41"/>
  <c r="AX452" i="41"/>
  <c r="AX482" i="41"/>
  <c r="AX298" i="41"/>
  <c r="AX332" i="41"/>
  <c r="AX364" i="41"/>
  <c r="AX396" i="41"/>
  <c r="AX428" i="41"/>
  <c r="AX460" i="41"/>
  <c r="AX266" i="41"/>
  <c r="AX308" i="41"/>
  <c r="AX340" i="41"/>
  <c r="AX372" i="41"/>
  <c r="AX404" i="41"/>
  <c r="AX436" i="41"/>
  <c r="AX468" i="41"/>
  <c r="AX380" i="41"/>
  <c r="AX277" i="41"/>
  <c r="AX412" i="41"/>
  <c r="AX316" i="41"/>
  <c r="AX444" i="41"/>
  <c r="AX348" i="41"/>
  <c r="AX476" i="41"/>
  <c r="AU26" i="41"/>
  <c r="AU45" i="41"/>
  <c r="AU61" i="41"/>
  <c r="AU77" i="41"/>
  <c r="AU93" i="41"/>
  <c r="AU109" i="41"/>
  <c r="AU125" i="41"/>
  <c r="AR28" i="41"/>
  <c r="AR36" i="41"/>
  <c r="AR46" i="41"/>
  <c r="AR54" i="41"/>
  <c r="AR62" i="41"/>
  <c r="AR70" i="41"/>
  <c r="AR78" i="41"/>
  <c r="AR86" i="41"/>
  <c r="AR94" i="41"/>
  <c r="AR102" i="41"/>
  <c r="AR110" i="41"/>
  <c r="AR118" i="41"/>
  <c r="AR126" i="41"/>
  <c r="AR43" i="41"/>
  <c r="AU37" i="41"/>
  <c r="AU52" i="41"/>
  <c r="AU68" i="41"/>
  <c r="AU84" i="41"/>
  <c r="AU100" i="41"/>
  <c r="AU116" i="41"/>
  <c r="AR23" i="41"/>
  <c r="AR31" i="41"/>
  <c r="AR39" i="41"/>
  <c r="AR49" i="41"/>
  <c r="AU36" i="41"/>
  <c r="AU55" i="41"/>
  <c r="AU71" i="41"/>
  <c r="AU87" i="41"/>
  <c r="AU103" i="41"/>
  <c r="AU119" i="41"/>
  <c r="AV23" i="41"/>
  <c r="AV31" i="41"/>
  <c r="AV39" i="41"/>
  <c r="AV49" i="41"/>
  <c r="AU250" i="41"/>
  <c r="AV250" i="41"/>
  <c r="AU249" i="41"/>
  <c r="AU35" i="41"/>
  <c r="AU54" i="41"/>
  <c r="AU70" i="41"/>
  <c r="AU86" i="41"/>
  <c r="AU102" i="41"/>
  <c r="AU118" i="41"/>
  <c r="AR25" i="41"/>
  <c r="AR33" i="41"/>
  <c r="AR41" i="41"/>
  <c r="AR51" i="41"/>
  <c r="AR59" i="41"/>
  <c r="AR67" i="41"/>
  <c r="AR75" i="41"/>
  <c r="AR83" i="41"/>
  <c r="AR91" i="41"/>
  <c r="AR99" i="41"/>
  <c r="AR107" i="41"/>
  <c r="AR115" i="41"/>
  <c r="AR123" i="41"/>
  <c r="AR131" i="41"/>
  <c r="AU139" i="41"/>
  <c r="AU155" i="41"/>
  <c r="AU171" i="41"/>
  <c r="AU187" i="41"/>
  <c r="AU203" i="41"/>
  <c r="AU219" i="41"/>
  <c r="AU235" i="41"/>
  <c r="AR133" i="41"/>
  <c r="AR141" i="41"/>
  <c r="AR149" i="41"/>
  <c r="AR157" i="41"/>
  <c r="AR165" i="41"/>
  <c r="AR173" i="41"/>
  <c r="AR181" i="41"/>
  <c r="AR189" i="41"/>
  <c r="AR197" i="41"/>
  <c r="AR205" i="41"/>
  <c r="AR213" i="41"/>
  <c r="AR221" i="41"/>
  <c r="AR229" i="41"/>
  <c r="AR237" i="41"/>
  <c r="AR245" i="41"/>
  <c r="AV217" i="41"/>
  <c r="AV229" i="41"/>
  <c r="AX22" i="41"/>
  <c r="AR214" i="41"/>
  <c r="AR61" i="41"/>
  <c r="AR69" i="41"/>
  <c r="AR77" i="41"/>
  <c r="AR85" i="41"/>
  <c r="AR93" i="41"/>
  <c r="AR101" i="41"/>
  <c r="AR109" i="41"/>
  <c r="AR117" i="41"/>
  <c r="AR125" i="41"/>
  <c r="AU142" i="41"/>
  <c r="AU158" i="41"/>
  <c r="AU174" i="41"/>
  <c r="AU190" i="41"/>
  <c r="AU206" i="41"/>
  <c r="AU222" i="41"/>
  <c r="AU238" i="41"/>
  <c r="AV137" i="41"/>
  <c r="AV145" i="41"/>
  <c r="AV153" i="41"/>
  <c r="AV161" i="41"/>
  <c r="AV169" i="41"/>
  <c r="AV177" i="41"/>
  <c r="AV185" i="41"/>
  <c r="AV193" i="41"/>
  <c r="AV201" i="41"/>
  <c r="AR216" i="41"/>
  <c r="AV237" i="41"/>
  <c r="AR239" i="41"/>
  <c r="AR218" i="41"/>
  <c r="L14" i="40" s="1"/>
  <c r="AR64" i="41"/>
  <c r="AR72" i="41"/>
  <c r="L19" i="40" s="1"/>
  <c r="AR80" i="41"/>
  <c r="AR88" i="41"/>
  <c r="AR96" i="41"/>
  <c r="AR104" i="41"/>
  <c r="L17" i="40" s="1"/>
  <c r="AR112" i="41"/>
  <c r="AR120" i="41"/>
  <c r="AR128" i="41"/>
  <c r="AX136" i="41"/>
  <c r="AX144" i="41"/>
  <c r="AX152" i="41"/>
  <c r="AX160" i="41"/>
  <c r="AX168" i="41"/>
  <c r="AX176" i="41"/>
  <c r="AX184" i="41"/>
  <c r="AX192" i="41"/>
  <c r="AX200" i="41"/>
  <c r="AX208" i="41"/>
  <c r="AX216" i="41"/>
  <c r="AX224" i="41"/>
  <c r="AX232" i="41"/>
  <c r="AX240" i="41"/>
  <c r="AU133" i="41"/>
  <c r="AU149" i="41"/>
  <c r="AU165" i="41"/>
  <c r="AU181" i="41"/>
  <c r="AU197" i="41"/>
  <c r="AU213" i="41"/>
  <c r="AU229" i="41"/>
  <c r="AU245" i="41"/>
  <c r="AR139" i="41"/>
  <c r="AR147" i="41"/>
  <c r="AR155" i="41"/>
  <c r="AR163" i="41"/>
  <c r="AR171" i="41"/>
  <c r="AR179" i="41"/>
  <c r="AR187" i="41"/>
  <c r="AR195" i="41"/>
  <c r="AR203" i="41"/>
  <c r="AR211" i="41"/>
  <c r="AR219" i="41"/>
  <c r="AR227" i="41"/>
  <c r="AV236" i="41"/>
  <c r="AV215" i="41"/>
  <c r="AV239" i="41"/>
  <c r="AX135" i="41"/>
  <c r="AX143" i="41"/>
  <c r="AX151" i="41"/>
  <c r="AX159" i="41"/>
  <c r="AX167" i="41"/>
  <c r="AX175" i="41"/>
  <c r="AX183" i="41"/>
  <c r="AX191" i="41"/>
  <c r="AX199" i="41"/>
  <c r="AX207" i="41"/>
  <c r="AX215" i="41"/>
  <c r="AX223" i="41"/>
  <c r="AX231" i="41"/>
  <c r="AX239" i="41"/>
  <c r="AU136" i="41"/>
  <c r="AU152" i="41"/>
  <c r="AU168" i="41"/>
  <c r="AU184" i="41"/>
  <c r="AU200" i="41"/>
  <c r="AU216" i="41"/>
  <c r="AU232" i="41"/>
  <c r="AR134" i="41"/>
  <c r="AR142" i="41"/>
  <c r="AR150" i="41"/>
  <c r="AR158" i="41"/>
  <c r="AR166" i="41"/>
  <c r="AR174" i="41"/>
  <c r="AR182" i="41"/>
  <c r="AR190" i="41"/>
  <c r="AR198" i="41"/>
  <c r="AR206" i="41"/>
  <c r="AR242" i="41"/>
  <c r="AT259" i="41"/>
  <c r="AT263" i="41"/>
  <c r="AT267" i="41"/>
  <c r="AT271" i="41"/>
  <c r="AT275" i="41"/>
  <c r="AT279" i="41"/>
  <c r="AT283" i="41"/>
  <c r="AT287" i="41"/>
  <c r="AT291" i="41"/>
  <c r="AT295" i="41"/>
  <c r="AT261" i="41"/>
  <c r="AT266" i="41"/>
  <c r="AT272" i="41"/>
  <c r="AT277" i="41"/>
  <c r="AT282" i="41"/>
  <c r="AT288" i="41"/>
  <c r="AT293" i="41"/>
  <c r="AT298" i="41"/>
  <c r="AT302" i="41"/>
  <c r="AT306" i="41"/>
  <c r="AT310" i="41"/>
  <c r="AT314" i="41"/>
  <c r="AT318" i="41"/>
  <c r="AT322" i="41"/>
  <c r="AT326" i="41"/>
  <c r="AT330" i="41"/>
  <c r="AT334" i="41"/>
  <c r="AT338" i="41"/>
  <c r="AT342" i="41"/>
  <c r="AT346" i="41"/>
  <c r="AT350" i="41"/>
  <c r="AT354" i="41"/>
  <c r="AT358" i="41"/>
  <c r="AT362" i="41"/>
  <c r="AT366" i="41"/>
  <c r="AT370" i="41"/>
  <c r="AT374" i="41"/>
  <c r="AT378" i="41"/>
  <c r="AT382" i="41"/>
  <c r="AT386" i="41"/>
  <c r="AT390" i="41"/>
  <c r="AT394" i="41"/>
  <c r="AT398" i="41"/>
  <c r="AT402" i="41"/>
  <c r="AT406" i="41"/>
  <c r="AT410" i="41"/>
  <c r="AT414" i="41"/>
  <c r="AT418" i="41"/>
  <c r="AT422" i="41"/>
  <c r="AT426" i="41"/>
  <c r="AT430" i="41"/>
  <c r="AT434" i="41"/>
  <c r="AT438" i="41"/>
  <c r="AT442" i="41"/>
  <c r="AT446" i="41"/>
  <c r="AT450" i="41"/>
  <c r="AT454" i="41"/>
  <c r="AT458" i="41"/>
  <c r="AT462" i="41"/>
  <c r="AT466" i="41"/>
  <c r="AT470" i="41"/>
  <c r="AT474" i="41"/>
  <c r="AT478" i="41"/>
  <c r="AT482" i="41"/>
  <c r="AT486" i="41"/>
  <c r="AT258" i="41"/>
  <c r="AT265" i="41"/>
  <c r="AT273" i="41"/>
  <c r="AT280" i="41"/>
  <c r="AT286" i="41"/>
  <c r="AT294" i="41"/>
  <c r="AT300" i="41"/>
  <c r="AT305" i="41"/>
  <c r="AT311" i="41"/>
  <c r="AT316" i="41"/>
  <c r="AT321" i="41"/>
  <c r="AT327" i="41"/>
  <c r="AT332" i="41"/>
  <c r="AT337" i="41"/>
  <c r="AT343" i="41"/>
  <c r="AT348" i="41"/>
  <c r="AT353" i="41"/>
  <c r="AT359" i="41"/>
  <c r="AT364" i="41"/>
  <c r="AT369" i="41"/>
  <c r="AT375" i="41"/>
  <c r="AT380" i="41"/>
  <c r="AT385" i="41"/>
  <c r="AT391" i="41"/>
  <c r="AT396" i="41"/>
  <c r="AT401" i="41"/>
  <c r="AT407" i="41"/>
  <c r="AT412" i="41"/>
  <c r="AT417" i="41"/>
  <c r="AT423" i="41"/>
  <c r="AT428" i="41"/>
  <c r="AT433" i="41"/>
  <c r="AT439" i="41"/>
  <c r="AT444" i="41"/>
  <c r="AT449" i="41"/>
  <c r="AT455" i="41"/>
  <c r="AT460" i="41"/>
  <c r="AT465" i="41"/>
  <c r="AT471" i="41"/>
  <c r="AT476" i="41"/>
  <c r="AT481" i="41"/>
  <c r="AT256" i="41"/>
  <c r="AT260" i="41"/>
  <c r="AT268" i="41"/>
  <c r="AT274" i="41"/>
  <c r="AT281" i="41"/>
  <c r="AT289" i="41"/>
  <c r="AT296" i="41"/>
  <c r="AT301" i="41"/>
  <c r="AT307" i="41"/>
  <c r="AT312" i="41"/>
  <c r="AT317" i="41"/>
  <c r="AT323" i="41"/>
  <c r="AT328" i="41"/>
  <c r="AT333" i="41"/>
  <c r="AT339" i="41"/>
  <c r="AT344" i="41"/>
  <c r="AT349" i="41"/>
  <c r="AT355" i="41"/>
  <c r="AT360" i="41"/>
  <c r="AT365" i="41"/>
  <c r="AT371" i="41"/>
  <c r="AT376" i="41"/>
  <c r="AT381" i="41"/>
  <c r="AT387" i="41"/>
  <c r="AT392" i="41"/>
  <c r="AT397" i="41"/>
  <c r="AT403" i="41"/>
  <c r="AT408" i="41"/>
  <c r="AT413" i="41"/>
  <c r="AT419" i="41"/>
  <c r="AT424" i="41"/>
  <c r="AT429" i="41"/>
  <c r="AT435" i="41"/>
  <c r="AT440" i="41"/>
  <c r="AT445" i="41"/>
  <c r="AT451" i="41"/>
  <c r="AT456" i="41"/>
  <c r="AT461" i="41"/>
  <c r="AT467" i="41"/>
  <c r="AT472" i="41"/>
  <c r="AT477" i="41"/>
  <c r="AT483" i="41"/>
  <c r="AT262" i="41"/>
  <c r="AT269" i="41"/>
  <c r="AT276" i="41"/>
  <c r="AT284" i="41"/>
  <c r="AT290" i="41"/>
  <c r="AT297" i="41"/>
  <c r="AT303" i="41"/>
  <c r="AT308" i="41"/>
  <c r="AT313" i="41"/>
  <c r="AT319" i="41"/>
  <c r="AT324" i="41"/>
  <c r="AT329" i="41"/>
  <c r="AT335" i="41"/>
  <c r="AT340" i="41"/>
  <c r="AT345" i="41"/>
  <c r="AT351" i="41"/>
  <c r="AT356" i="41"/>
  <c r="AT361" i="41"/>
  <c r="AT367" i="41"/>
  <c r="AT372" i="41"/>
  <c r="AT377" i="41"/>
  <c r="AT383" i="41"/>
  <c r="AT388" i="41"/>
  <c r="AT393" i="41"/>
  <c r="AT399" i="41"/>
  <c r="AT404" i="41"/>
  <c r="AT409" i="41"/>
  <c r="AT415" i="41"/>
  <c r="AT420" i="41"/>
  <c r="AT425" i="41"/>
  <c r="AT431" i="41"/>
  <c r="AT436" i="41"/>
  <c r="AT441" i="41"/>
  <c r="AT447" i="41"/>
  <c r="AT452" i="41"/>
  <c r="AT457" i="41"/>
  <c r="AT463" i="41"/>
  <c r="AT468" i="41"/>
  <c r="AT473" i="41"/>
  <c r="AT479" i="41"/>
  <c r="AT484" i="41"/>
  <c r="AT264" i="41"/>
  <c r="AT292" i="41"/>
  <c r="AT315" i="41"/>
  <c r="AT336" i="41"/>
  <c r="AT357" i="41"/>
  <c r="AT379" i="41"/>
  <c r="AT400" i="41"/>
  <c r="AT421" i="41"/>
  <c r="AT443" i="41"/>
  <c r="AT464" i="41"/>
  <c r="AT485" i="41"/>
  <c r="AT270" i="41"/>
  <c r="AT299" i="41"/>
  <c r="AT320" i="41"/>
  <c r="AT341" i="41"/>
  <c r="AT363" i="41"/>
  <c r="AT384" i="41"/>
  <c r="AT405" i="41"/>
  <c r="AT427" i="41"/>
  <c r="AT448" i="41"/>
  <c r="AT469" i="41"/>
  <c r="AT278" i="41"/>
  <c r="AT304" i="41"/>
  <c r="AT325" i="41"/>
  <c r="AT347" i="41"/>
  <c r="AT368" i="41"/>
  <c r="AT389" i="41"/>
  <c r="AT411" i="41"/>
  <c r="AT432" i="41"/>
  <c r="AT453" i="41"/>
  <c r="AT475" i="41"/>
  <c r="AT257" i="41"/>
  <c r="AT285" i="41"/>
  <c r="AT309" i="41"/>
  <c r="AT331" i="41"/>
  <c r="AT352" i="41"/>
  <c r="AT373" i="41"/>
  <c r="AT395" i="41"/>
  <c r="AT416" i="41"/>
  <c r="AT437" i="41"/>
  <c r="AT459" i="41"/>
  <c r="AT480" i="41"/>
  <c r="AU22" i="41"/>
  <c r="AU30" i="41"/>
  <c r="AU49" i="41"/>
  <c r="AU65" i="41"/>
  <c r="AU81" i="41"/>
  <c r="AU97" i="41"/>
  <c r="AU113" i="41"/>
  <c r="AU129" i="41"/>
  <c r="AU25" i="41"/>
  <c r="AU41" i="41"/>
  <c r="AU56" i="41"/>
  <c r="AU72" i="41"/>
  <c r="AU88" i="41"/>
  <c r="AU104" i="41"/>
  <c r="AU120" i="41"/>
  <c r="AU43" i="41"/>
  <c r="AU24" i="41"/>
  <c r="AU40" i="41"/>
  <c r="AU59" i="41"/>
  <c r="AU75" i="41"/>
  <c r="AU91" i="41"/>
  <c r="AU107" i="41"/>
  <c r="AU123" i="41"/>
  <c r="AR26" i="41"/>
  <c r="AR34" i="41"/>
  <c r="AR44" i="41"/>
  <c r="AR52" i="41"/>
  <c r="AU248" i="41"/>
  <c r="AR252" i="41"/>
  <c r="AU252" i="41"/>
  <c r="AU23" i="41"/>
  <c r="AU39" i="41"/>
  <c r="AU58" i="41"/>
  <c r="AU74" i="41"/>
  <c r="AU90" i="41"/>
  <c r="AU106" i="41"/>
  <c r="AU122" i="41"/>
  <c r="AV26" i="41"/>
  <c r="AV34" i="41"/>
  <c r="AV44" i="41"/>
  <c r="AV52" i="41"/>
  <c r="AV60" i="41"/>
  <c r="AV68" i="41"/>
  <c r="AV76" i="41"/>
  <c r="AV84" i="41"/>
  <c r="AV92" i="41"/>
  <c r="AV100" i="41"/>
  <c r="AV108" i="41"/>
  <c r="AV116" i="41"/>
  <c r="AV124" i="41"/>
  <c r="AR132" i="41"/>
  <c r="AU143" i="41"/>
  <c r="AU159" i="41"/>
  <c r="AU175" i="41"/>
  <c r="AU191" i="41"/>
  <c r="AU207" i="41"/>
  <c r="AU223" i="41"/>
  <c r="AU239" i="41"/>
  <c r="AV134" i="41"/>
  <c r="P48" i="40" s="1"/>
  <c r="AV142" i="41"/>
  <c r="AV150" i="41"/>
  <c r="AV158" i="41"/>
  <c r="AV166" i="41"/>
  <c r="AV174" i="41"/>
  <c r="AV182" i="41"/>
  <c r="AV190" i="41"/>
  <c r="AV198" i="41"/>
  <c r="AV206" i="41"/>
  <c r="AV214" i="41"/>
  <c r="AV222" i="41"/>
  <c r="AV230" i="41"/>
  <c r="AV238" i="41"/>
  <c r="AV205" i="41"/>
  <c r="AR220" i="41"/>
  <c r="AV233" i="41"/>
  <c r="AR226" i="41"/>
  <c r="AV62" i="41"/>
  <c r="AV70" i="41"/>
  <c r="AV78" i="41"/>
  <c r="AV86" i="41"/>
  <c r="AV94" i="41"/>
  <c r="AV102" i="41"/>
  <c r="AV110" i="41"/>
  <c r="AV118" i="41"/>
  <c r="AV126" i="41"/>
  <c r="AX133" i="41"/>
  <c r="AX141" i="41"/>
  <c r="AX149" i="41"/>
  <c r="AX157" i="41"/>
  <c r="AX165" i="41"/>
  <c r="AX173" i="41"/>
  <c r="AX181" i="41"/>
  <c r="AX189" i="41"/>
  <c r="AX197" i="41"/>
  <c r="AX205" i="41"/>
  <c r="AX213" i="41"/>
  <c r="AX221" i="41"/>
  <c r="AX229" i="41"/>
  <c r="AX237" i="41"/>
  <c r="AU146" i="41"/>
  <c r="AU162" i="41"/>
  <c r="AU178" i="41"/>
  <c r="AU194" i="41"/>
  <c r="AU210" i="41"/>
  <c r="AU226" i="41"/>
  <c r="AU242" i="41"/>
  <c r="AR140" i="41"/>
  <c r="AR148" i="41"/>
  <c r="AR156" i="41"/>
  <c r="AR164" i="41"/>
  <c r="AR172" i="41"/>
  <c r="AR180" i="41"/>
  <c r="AR188" i="41"/>
  <c r="AR196" i="41"/>
  <c r="AR204" i="41"/>
  <c r="AR224" i="41"/>
  <c r="AV241" i="41"/>
  <c r="AV244" i="41"/>
  <c r="AR222" i="41"/>
  <c r="AV57" i="41"/>
  <c r="AV65" i="41"/>
  <c r="AV73" i="41"/>
  <c r="AV81" i="41"/>
  <c r="AV89" i="41"/>
  <c r="AV97" i="41"/>
  <c r="AV105" i="41"/>
  <c r="AV113" i="41"/>
  <c r="AV121" i="41"/>
  <c r="AV129" i="41"/>
  <c r="AT179" i="41"/>
  <c r="AT187" i="41"/>
  <c r="AT195" i="41"/>
  <c r="AT203" i="41"/>
  <c r="AT211" i="41"/>
  <c r="AT219" i="41"/>
  <c r="AT227" i="41"/>
  <c r="AT235" i="41"/>
  <c r="AT243" i="41"/>
  <c r="AU137" i="41"/>
  <c r="AU153" i="41"/>
  <c r="AU169" i="41"/>
  <c r="AU185" i="41"/>
  <c r="AU201" i="41"/>
  <c r="AU217" i="41"/>
  <c r="AU233" i="41"/>
  <c r="AV132" i="41"/>
  <c r="AV140" i="41"/>
  <c r="AV148" i="41"/>
  <c r="AV156" i="41"/>
  <c r="AV164" i="41"/>
  <c r="AV172" i="41"/>
  <c r="AV180" i="41"/>
  <c r="AV188" i="41"/>
  <c r="AV196" i="41"/>
  <c r="AV204" i="41"/>
  <c r="AV212" i="41"/>
  <c r="AV220" i="41"/>
  <c r="AV228" i="41"/>
  <c r="AV240" i="41"/>
  <c r="AV247" i="41"/>
  <c r="AV219" i="41"/>
  <c r="AV243" i="41"/>
  <c r="AT138" i="41"/>
  <c r="AT146" i="41"/>
  <c r="AT154" i="41"/>
  <c r="AT162" i="41"/>
  <c r="AT170" i="41"/>
  <c r="AT178" i="41"/>
  <c r="AT186" i="41"/>
  <c r="AT194" i="41"/>
  <c r="AT202" i="41"/>
  <c r="AT210" i="41"/>
  <c r="AT218" i="41"/>
  <c r="N14" i="40" s="1"/>
  <c r="AT226" i="41"/>
  <c r="AT234" i="41"/>
  <c r="AU140" i="41"/>
  <c r="AU156" i="41"/>
  <c r="AU172" i="41"/>
  <c r="AU188" i="41"/>
  <c r="AU204" i="41"/>
  <c r="AU220" i="41"/>
  <c r="AU236" i="41"/>
  <c r="AV135" i="41"/>
  <c r="AV143" i="41"/>
  <c r="AV151" i="41"/>
  <c r="AV159" i="41"/>
  <c r="AV167" i="41"/>
  <c r="AV175" i="41"/>
  <c r="AV183" i="41"/>
  <c r="AV191" i="41"/>
  <c r="AV199" i="41"/>
  <c r="AV207" i="41"/>
  <c r="AV257" i="41"/>
  <c r="AV261" i="41"/>
  <c r="AV265" i="41"/>
  <c r="AV269" i="41"/>
  <c r="AV273" i="41"/>
  <c r="AV277" i="41"/>
  <c r="AV281" i="41"/>
  <c r="AV285" i="41"/>
  <c r="AV289" i="41"/>
  <c r="AV293" i="41"/>
  <c r="AV297" i="41"/>
  <c r="AV301" i="41"/>
  <c r="AV305" i="41"/>
  <c r="AV309" i="41"/>
  <c r="AV313" i="41"/>
  <c r="AV317" i="41"/>
  <c r="AV321" i="41"/>
  <c r="AV325" i="41"/>
  <c r="AV329" i="41"/>
  <c r="AV333" i="41"/>
  <c r="AV337" i="41"/>
  <c r="AV341" i="41"/>
  <c r="AV345" i="41"/>
  <c r="AV349" i="41"/>
  <c r="AV353" i="41"/>
  <c r="AV357" i="41"/>
  <c r="AV361" i="41"/>
  <c r="AV365" i="41"/>
  <c r="AV369" i="41"/>
  <c r="AV373" i="41"/>
  <c r="AV377" i="41"/>
  <c r="AV381" i="41"/>
  <c r="AV385" i="41"/>
  <c r="AV389" i="41"/>
  <c r="AV393" i="41"/>
  <c r="AV397" i="41"/>
  <c r="AV401" i="41"/>
  <c r="AV405" i="41"/>
  <c r="AV409" i="41"/>
  <c r="AV413" i="41"/>
  <c r="AV417" i="41"/>
  <c r="AV421" i="41"/>
  <c r="AV425" i="41"/>
  <c r="AV429" i="41"/>
  <c r="AV433" i="41"/>
  <c r="AV437" i="41"/>
  <c r="AV441" i="41"/>
  <c r="AV445" i="41"/>
  <c r="AV449" i="41"/>
  <c r="AV453" i="41"/>
  <c r="AV457" i="41"/>
  <c r="AV461" i="41"/>
  <c r="AV465" i="41"/>
  <c r="AV469" i="41"/>
  <c r="AV473" i="41"/>
  <c r="AV477" i="41"/>
  <c r="AV481" i="41"/>
  <c r="AV485" i="41"/>
  <c r="AV259" i="41"/>
  <c r="AV264" i="41"/>
  <c r="AV270" i="41"/>
  <c r="AV275" i="41"/>
  <c r="AV280" i="41"/>
  <c r="AV286" i="41"/>
  <c r="AV291" i="41"/>
  <c r="AV296" i="41"/>
  <c r="AV302" i="41"/>
  <c r="AV307" i="41"/>
  <c r="AV312" i="41"/>
  <c r="AV318" i="41"/>
  <c r="AV323" i="41"/>
  <c r="AV328" i="41"/>
  <c r="AV334" i="41"/>
  <c r="AV339" i="41"/>
  <c r="AV344" i="41"/>
  <c r="AV350" i="41"/>
  <c r="AV355" i="41"/>
  <c r="AV360" i="41"/>
  <c r="AV366" i="41"/>
  <c r="AV371" i="41"/>
  <c r="AV376" i="41"/>
  <c r="AV382" i="41"/>
  <c r="AV387" i="41"/>
  <c r="AV392" i="41"/>
  <c r="AV398" i="41"/>
  <c r="AV403" i="41"/>
  <c r="AV408" i="41"/>
  <c r="AV414" i="41"/>
  <c r="AV419" i="41"/>
  <c r="AV424" i="41"/>
  <c r="AV430" i="41"/>
  <c r="AV435" i="41"/>
  <c r="AV440" i="41"/>
  <c r="AV446" i="41"/>
  <c r="AV451" i="41"/>
  <c r="AV456" i="41"/>
  <c r="AV462" i="41"/>
  <c r="AV467" i="41"/>
  <c r="AV472" i="41"/>
  <c r="AV478" i="41"/>
  <c r="AV483" i="41"/>
  <c r="AV258" i="41"/>
  <c r="AV266" i="41"/>
  <c r="AV272" i="41"/>
  <c r="AV279" i="41"/>
  <c r="AV287" i="41"/>
  <c r="AV294" i="41"/>
  <c r="AV300" i="41"/>
  <c r="AV308" i="41"/>
  <c r="AV315" i="41"/>
  <c r="AV322" i="41"/>
  <c r="AV330" i="41"/>
  <c r="AV336" i="41"/>
  <c r="AV343" i="41"/>
  <c r="AV351" i="41"/>
  <c r="AV358" i="41"/>
  <c r="AV364" i="41"/>
  <c r="AV372" i="41"/>
  <c r="AV379" i="41"/>
  <c r="AV386" i="41"/>
  <c r="AV394" i="41"/>
  <c r="AV400" i="41"/>
  <c r="AV407" i="41"/>
  <c r="AV415" i="41"/>
  <c r="AV422" i="41"/>
  <c r="AV428" i="41"/>
  <c r="AV436" i="41"/>
  <c r="AV443" i="41"/>
  <c r="AV450" i="41"/>
  <c r="AV458" i="41"/>
  <c r="AV464" i="41"/>
  <c r="AV471" i="41"/>
  <c r="AV479" i="41"/>
  <c r="AV486" i="41"/>
  <c r="AV260" i="41"/>
  <c r="AV267" i="41"/>
  <c r="AV274" i="41"/>
  <c r="AV282" i="41"/>
  <c r="AV288" i="41"/>
  <c r="AV295" i="41"/>
  <c r="AV303" i="41"/>
  <c r="AV310" i="41"/>
  <c r="AV316" i="41"/>
  <c r="AV324" i="41"/>
  <c r="AV331" i="41"/>
  <c r="AV338" i="41"/>
  <c r="AV346" i="41"/>
  <c r="AV352" i="41"/>
  <c r="AV359" i="41"/>
  <c r="AV367" i="41"/>
  <c r="AV374" i="41"/>
  <c r="AV380" i="41"/>
  <c r="AV388" i="41"/>
  <c r="AV395" i="41"/>
  <c r="AV402" i="41"/>
  <c r="AV410" i="41"/>
  <c r="AV416" i="41"/>
  <c r="AV423" i="41"/>
  <c r="AV431" i="41"/>
  <c r="AV438" i="41"/>
  <c r="AV444" i="41"/>
  <c r="AV452" i="41"/>
  <c r="AV459" i="41"/>
  <c r="AV466" i="41"/>
  <c r="AV474" i="41"/>
  <c r="AV480" i="41"/>
  <c r="AV256" i="41"/>
  <c r="AV262" i="41"/>
  <c r="AV268" i="41"/>
  <c r="AV276" i="41"/>
  <c r="AV283" i="41"/>
  <c r="AV290" i="41"/>
  <c r="AV298" i="41"/>
  <c r="AV304" i="41"/>
  <c r="AV311" i="41"/>
  <c r="AV319" i="41"/>
  <c r="AV326" i="41"/>
  <c r="AV332" i="41"/>
  <c r="AV340" i="41"/>
  <c r="AV347" i="41"/>
  <c r="AV354" i="41"/>
  <c r="AV362" i="41"/>
  <c r="AV368" i="41"/>
  <c r="AV375" i="41"/>
  <c r="AV383" i="41"/>
  <c r="AV390" i="41"/>
  <c r="AV396" i="41"/>
  <c r="AV404" i="41"/>
  <c r="AV411" i="41"/>
  <c r="AV418" i="41"/>
  <c r="AV426" i="41"/>
  <c r="AV432" i="41"/>
  <c r="AV439" i="41"/>
  <c r="AV447" i="41"/>
  <c r="AV454" i="41"/>
  <c r="AV460" i="41"/>
  <c r="AV468" i="41"/>
  <c r="AV475" i="41"/>
  <c r="AV482" i="41"/>
  <c r="AV271" i="41"/>
  <c r="AV299" i="41"/>
  <c r="AV327" i="41"/>
  <c r="AV356" i="41"/>
  <c r="AV384" i="41"/>
  <c r="AV412" i="41"/>
  <c r="AV442" i="41"/>
  <c r="AV470" i="41"/>
  <c r="AV278" i="41"/>
  <c r="AV306" i="41"/>
  <c r="AV335" i="41"/>
  <c r="AV363" i="41"/>
  <c r="AV391" i="41"/>
  <c r="AV420" i="41"/>
  <c r="AV448" i="41"/>
  <c r="AV476" i="41"/>
  <c r="AV284" i="41"/>
  <c r="AV314" i="41"/>
  <c r="AV342" i="41"/>
  <c r="AV370" i="41"/>
  <c r="AV399" i="41"/>
  <c r="AV427" i="41"/>
  <c r="AV455" i="41"/>
  <c r="AV484" i="41"/>
  <c r="AV263" i="41"/>
  <c r="AV292" i="41"/>
  <c r="AV320" i="41"/>
  <c r="AV348" i="41"/>
  <c r="AV378" i="41"/>
  <c r="AV406" i="41"/>
  <c r="AV434" i="41"/>
  <c r="AV463" i="41"/>
  <c r="AU34" i="41"/>
  <c r="AU53" i="41"/>
  <c r="AU69" i="41"/>
  <c r="AU85" i="41"/>
  <c r="AU101" i="41"/>
  <c r="AU117" i="41"/>
  <c r="AR24" i="41"/>
  <c r="AR32" i="41"/>
  <c r="AR40" i="41"/>
  <c r="L21" i="40" s="1"/>
  <c r="AR50" i="41"/>
  <c r="AR58" i="41"/>
  <c r="AR66" i="41"/>
  <c r="AR74" i="41"/>
  <c r="AR82" i="41"/>
  <c r="AR90" i="41"/>
  <c r="AR98" i="41"/>
  <c r="AR106" i="41"/>
  <c r="AR114" i="41"/>
  <c r="AR122" i="41"/>
  <c r="AR130" i="41"/>
  <c r="AU246" i="41"/>
  <c r="AU29" i="41"/>
  <c r="AU44" i="41"/>
  <c r="AU60" i="41"/>
  <c r="AU76" i="41"/>
  <c r="AU92" i="41"/>
  <c r="AU108" i="41"/>
  <c r="AU124" i="41"/>
  <c r="AR27" i="41"/>
  <c r="AR35" i="41"/>
  <c r="AR45" i="41"/>
  <c r="AR53" i="41"/>
  <c r="AR250" i="41"/>
  <c r="AU28" i="41"/>
  <c r="AU47" i="41"/>
  <c r="AU63" i="41"/>
  <c r="AU79" i="41"/>
  <c r="AU95" i="41"/>
  <c r="AU111" i="41"/>
  <c r="AU127" i="41"/>
  <c r="AU27" i="41"/>
  <c r="AU46" i="41"/>
  <c r="AU62" i="41"/>
  <c r="AU78" i="41"/>
  <c r="AU94" i="41"/>
  <c r="AU110" i="41"/>
  <c r="AU126" i="41"/>
  <c r="AR29" i="41"/>
  <c r="AR37" i="41"/>
  <c r="AR47" i="41"/>
  <c r="AR55" i="41"/>
  <c r="AR63" i="41"/>
  <c r="AR71" i="41"/>
  <c r="AR79" i="41"/>
  <c r="AR87" i="41"/>
  <c r="AR95" i="41"/>
  <c r="AR103" i="41"/>
  <c r="AR111" i="41"/>
  <c r="AR119" i="41"/>
  <c r="AR127" i="41"/>
  <c r="AU147" i="41"/>
  <c r="AU163" i="41"/>
  <c r="AU179" i="41"/>
  <c r="AU195" i="41"/>
  <c r="AU211" i="41"/>
  <c r="AU227" i="41"/>
  <c r="AU243" i="41"/>
  <c r="AR137" i="41"/>
  <c r="AR145" i="41"/>
  <c r="AR153" i="41"/>
  <c r="AR161" i="41"/>
  <c r="AR169" i="41"/>
  <c r="AR177" i="41"/>
  <c r="AR185" i="41"/>
  <c r="AR193" i="41"/>
  <c r="AR201" i="41"/>
  <c r="AR209" i="41"/>
  <c r="AR217" i="41"/>
  <c r="AR225" i="41"/>
  <c r="AR233" i="41"/>
  <c r="AR241" i="41"/>
  <c r="AV209" i="41"/>
  <c r="AV221" i="41"/>
  <c r="AR236" i="41"/>
  <c r="AV231" i="41"/>
  <c r="AR57" i="41"/>
  <c r="AR65" i="41"/>
  <c r="AR73" i="41"/>
  <c r="AR81" i="41"/>
  <c r="AR89" i="41"/>
  <c r="AR97" i="41"/>
  <c r="AR105" i="41"/>
  <c r="AR113" i="41"/>
  <c r="AR121" i="41"/>
  <c r="AR129" i="41"/>
  <c r="AU134" i="41"/>
  <c r="O83" i="40" s="1"/>
  <c r="AU150" i="41"/>
  <c r="AU166" i="41"/>
  <c r="AU182" i="41"/>
  <c r="AU198" i="41"/>
  <c r="AU214" i="41"/>
  <c r="AU230" i="41"/>
  <c r="AV133" i="41"/>
  <c r="AV141" i="41"/>
  <c r="AV149" i="41"/>
  <c r="AV157" i="41"/>
  <c r="AV165" i="41"/>
  <c r="AV173" i="41"/>
  <c r="AV181" i="41"/>
  <c r="AV189" i="41"/>
  <c r="AV197" i="41"/>
  <c r="AR208" i="41"/>
  <c r="AR228" i="41"/>
  <c r="AR244" i="41"/>
  <c r="L12" i="40" s="1"/>
  <c r="AR246" i="41"/>
  <c r="AR230" i="41"/>
  <c r="AR60" i="41"/>
  <c r="AR68" i="41"/>
  <c r="AR76" i="41"/>
  <c r="AR84" i="41"/>
  <c r="AR92" i="41"/>
  <c r="AR100" i="41"/>
  <c r="AR108" i="41"/>
  <c r="AR116" i="41"/>
  <c r="AR124" i="41"/>
  <c r="AX132" i="41"/>
  <c r="AX140" i="41"/>
  <c r="AX148" i="41"/>
  <c r="AX156" i="41"/>
  <c r="AX164" i="41"/>
  <c r="AX172" i="41"/>
  <c r="AX180" i="41"/>
  <c r="AX188" i="41"/>
  <c r="AX196" i="41"/>
  <c r="AX204" i="41"/>
  <c r="AX212" i="41"/>
  <c r="AX220" i="41"/>
  <c r="AX228" i="41"/>
  <c r="AX236" i="41"/>
  <c r="AX244" i="41"/>
  <c r="AU141" i="41"/>
  <c r="AU157" i="41"/>
  <c r="AU173" i="41"/>
  <c r="AU189" i="41"/>
  <c r="AU205" i="41"/>
  <c r="AU221" i="41"/>
  <c r="AU237" i="41"/>
  <c r="AR135" i="41"/>
  <c r="AR143" i="41"/>
  <c r="AR151" i="41"/>
  <c r="AR159" i="41"/>
  <c r="AR167" i="41"/>
  <c r="AR175" i="41"/>
  <c r="AR183" i="41"/>
  <c r="AR191" i="41"/>
  <c r="AR199" i="41"/>
  <c r="AR207" i="41"/>
  <c r="AR215" i="41"/>
  <c r="L62" i="40" s="1"/>
  <c r="AR223" i="41"/>
  <c r="AR231" i="41"/>
  <c r="AR243" i="41"/>
  <c r="AR247" i="41"/>
  <c r="AX139" i="41"/>
  <c r="AX147" i="41"/>
  <c r="AX155" i="41"/>
  <c r="AX163" i="41"/>
  <c r="AX171" i="41"/>
  <c r="AX179" i="41"/>
  <c r="AX187" i="41"/>
  <c r="AX195" i="41"/>
  <c r="AX203" i="41"/>
  <c r="AX211" i="41"/>
  <c r="AX219" i="41"/>
  <c r="AX227" i="41"/>
  <c r="AX235" i="41"/>
  <c r="AU144" i="41"/>
  <c r="AU160" i="41"/>
  <c r="AU176" i="41"/>
  <c r="AU192" i="41"/>
  <c r="AU208" i="41"/>
  <c r="AU224" i="41"/>
  <c r="AR138" i="41"/>
  <c r="AR146" i="41"/>
  <c r="AR154" i="41"/>
  <c r="AR162" i="41"/>
  <c r="AR170" i="41"/>
  <c r="AR178" i="41"/>
  <c r="AR186" i="41"/>
  <c r="AR194" i="41"/>
  <c r="AR202" i="41"/>
  <c r="N46" i="40"/>
  <c r="P77" i="40"/>
  <c r="D34" i="38"/>
  <c r="N79" i="40"/>
  <c r="M77" i="40"/>
  <c r="M80" i="40"/>
  <c r="R80" i="40"/>
  <c r="BM98" i="40"/>
  <c r="BN98" i="40"/>
  <c r="BM123" i="40"/>
  <c r="BN123" i="40"/>
  <c r="BM81" i="40"/>
  <c r="BN81" i="40"/>
  <c r="BM104" i="40"/>
  <c r="BN104" i="40"/>
  <c r="BM72" i="40"/>
  <c r="BN72" i="40"/>
  <c r="BM87" i="40"/>
  <c r="BN87" i="40"/>
  <c r="BM109" i="40"/>
  <c r="BN109" i="40"/>
  <c r="BM78" i="40"/>
  <c r="BN78" i="40"/>
  <c r="BM103" i="40"/>
  <c r="BN103" i="40"/>
  <c r="BM115" i="40"/>
  <c r="BN115" i="40"/>
  <c r="BM76" i="40"/>
  <c r="BN76" i="40"/>
  <c r="BM93" i="40"/>
  <c r="BN93" i="40"/>
  <c r="BM121" i="40"/>
  <c r="BN121" i="40"/>
  <c r="BM90" i="40"/>
  <c r="BN90" i="40"/>
  <c r="BM114" i="40"/>
  <c r="BN114" i="40"/>
  <c r="BM73" i="40"/>
  <c r="BN73" i="40"/>
  <c r="BM96" i="40"/>
  <c r="BN96" i="40"/>
  <c r="BM120" i="40"/>
  <c r="BN120" i="40"/>
  <c r="BM79" i="40"/>
  <c r="BN79" i="40"/>
  <c r="BM102" i="40"/>
  <c r="BN102" i="40"/>
  <c r="BM70" i="40"/>
  <c r="BN70" i="40"/>
  <c r="BM95" i="40"/>
  <c r="BN95" i="40"/>
  <c r="BM108" i="40"/>
  <c r="BN108" i="40"/>
  <c r="BM71" i="40"/>
  <c r="BN71" i="40"/>
  <c r="BM83" i="40"/>
  <c r="BN83" i="40"/>
  <c r="BM113" i="40"/>
  <c r="BN113" i="40"/>
  <c r="BM82" i="40"/>
  <c r="BN82" i="40"/>
  <c r="BM107" i="40"/>
  <c r="BN107" i="40"/>
  <c r="BM91" i="40"/>
  <c r="BN91" i="40"/>
  <c r="BM88" i="40"/>
  <c r="BN88" i="40"/>
  <c r="BM105" i="40"/>
  <c r="BN105" i="40"/>
  <c r="BM122" i="40"/>
  <c r="BN122" i="40"/>
  <c r="BM94" i="40"/>
  <c r="BN94" i="40"/>
  <c r="BM118" i="40"/>
  <c r="BN118" i="40"/>
  <c r="BM85" i="40"/>
  <c r="BN85" i="40"/>
  <c r="BM92" i="40"/>
  <c r="BN92" i="40"/>
  <c r="BM116" i="40"/>
  <c r="BN116" i="40"/>
  <c r="BM75" i="40"/>
  <c r="BN75" i="40"/>
  <c r="BM106" i="40"/>
  <c r="BN106" i="40"/>
  <c r="BM74" i="40"/>
  <c r="BN74" i="40"/>
  <c r="BM89" i="40"/>
  <c r="BN89" i="40"/>
  <c r="BM119" i="40"/>
  <c r="BN119" i="40"/>
  <c r="BM80" i="40"/>
  <c r="BN80" i="40"/>
  <c r="BM97" i="40"/>
  <c r="BN97" i="40"/>
  <c r="BM117" i="40"/>
  <c r="BN117" i="40"/>
  <c r="BM86" i="40"/>
  <c r="BN86" i="40"/>
  <c r="BM110" i="40"/>
  <c r="BN110" i="40"/>
  <c r="BM77" i="40"/>
  <c r="BN77" i="40"/>
  <c r="BM84" i="40"/>
  <c r="BN84" i="40"/>
  <c r="BM101" i="40"/>
  <c r="BN101" i="40"/>
  <c r="AO259" i="41"/>
  <c r="AO263" i="41"/>
  <c r="AO267" i="41"/>
  <c r="AO271" i="41"/>
  <c r="AO275" i="41"/>
  <c r="AO280" i="41"/>
  <c r="AO284" i="41"/>
  <c r="AO288" i="41"/>
  <c r="AO292" i="41"/>
  <c r="AO296" i="41"/>
  <c r="AO300" i="41"/>
  <c r="AO304" i="41"/>
  <c r="AO308" i="41"/>
  <c r="AO312" i="41"/>
  <c r="AO316" i="41"/>
  <c r="AO320" i="41"/>
  <c r="AO324" i="41"/>
  <c r="AO328" i="41"/>
  <c r="AO332" i="41"/>
  <c r="AO336" i="41"/>
  <c r="AO340" i="41"/>
  <c r="AO344" i="41"/>
  <c r="AO348" i="41"/>
  <c r="AO352" i="41"/>
  <c r="AO356" i="41"/>
  <c r="AO360" i="41"/>
  <c r="AO364" i="41"/>
  <c r="I22" i="40" s="1"/>
  <c r="AO368" i="41"/>
  <c r="I83" i="40" s="1"/>
  <c r="AO372" i="41"/>
  <c r="AO376" i="41"/>
  <c r="AO380" i="41"/>
  <c r="AO384" i="41"/>
  <c r="AO388" i="41"/>
  <c r="AO392" i="41"/>
  <c r="AO396" i="41"/>
  <c r="I29" i="40" s="1"/>
  <c r="AO400" i="41"/>
  <c r="AO404" i="41"/>
  <c r="AO408" i="41"/>
  <c r="AO412" i="41"/>
  <c r="AO256" i="41"/>
  <c r="AO419" i="41"/>
  <c r="AO423" i="41"/>
  <c r="AO427" i="41"/>
  <c r="AO431" i="41"/>
  <c r="AO435" i="41"/>
  <c r="AO439" i="41"/>
  <c r="AO443" i="41"/>
  <c r="AO447" i="41"/>
  <c r="AO451" i="41"/>
  <c r="AO455" i="41"/>
  <c r="AO459" i="41"/>
  <c r="AO463" i="41"/>
  <c r="AO467" i="41"/>
  <c r="AO471" i="41"/>
  <c r="AO475" i="41"/>
  <c r="AO479" i="41"/>
  <c r="AO260" i="41"/>
  <c r="AO264" i="41"/>
  <c r="AO268" i="41"/>
  <c r="AO272" i="41"/>
  <c r="AO276" i="41"/>
  <c r="AO281" i="41"/>
  <c r="AO285" i="41"/>
  <c r="AO289" i="41"/>
  <c r="AO293" i="41"/>
  <c r="AO297" i="41"/>
  <c r="AO301" i="41"/>
  <c r="I28" i="40" s="1"/>
  <c r="AO305" i="41"/>
  <c r="AO309" i="41"/>
  <c r="AO313" i="41"/>
  <c r="AO317" i="41"/>
  <c r="AO321" i="41"/>
  <c r="AO325" i="41"/>
  <c r="AO329" i="41"/>
  <c r="AO333" i="41"/>
  <c r="AO337" i="41"/>
  <c r="AO341" i="41"/>
  <c r="AO345" i="41"/>
  <c r="AO349" i="41"/>
  <c r="AO353" i="41"/>
  <c r="AO357" i="41"/>
  <c r="AO361" i="41"/>
  <c r="AO365" i="41"/>
  <c r="I35" i="40" s="1"/>
  <c r="AO369" i="41"/>
  <c r="AO373" i="41"/>
  <c r="AO377" i="41"/>
  <c r="AO381" i="41"/>
  <c r="AO385" i="41"/>
  <c r="AO389" i="41"/>
  <c r="AO393" i="41"/>
  <c r="AO397" i="41"/>
  <c r="AO401" i="41"/>
  <c r="AO405" i="41"/>
  <c r="AO409" i="41"/>
  <c r="AO413" i="41"/>
  <c r="AO416" i="41"/>
  <c r="AO420" i="41"/>
  <c r="AO424" i="41"/>
  <c r="AO428" i="41"/>
  <c r="AO432" i="41"/>
  <c r="AO436" i="41"/>
  <c r="AO440" i="41"/>
  <c r="AO444" i="41"/>
  <c r="AO448" i="41"/>
  <c r="AO452" i="41"/>
  <c r="AO456" i="41"/>
  <c r="AO460" i="41"/>
  <c r="AO464" i="41"/>
  <c r="AO468" i="41"/>
  <c r="AO472" i="41"/>
  <c r="AO476" i="41"/>
  <c r="AO480" i="41"/>
  <c r="AO257" i="41"/>
  <c r="AO261" i="41"/>
  <c r="AO265" i="41"/>
  <c r="I16" i="40" s="1"/>
  <c r="AO269" i="41"/>
  <c r="AO273" i="41"/>
  <c r="AO278" i="41"/>
  <c r="AO282" i="41"/>
  <c r="AO286" i="41"/>
  <c r="AO290" i="41"/>
  <c r="AO294" i="41"/>
  <c r="AO298" i="41"/>
  <c r="AO302" i="41"/>
  <c r="AO306" i="41"/>
  <c r="AO310" i="41"/>
  <c r="AO314" i="41"/>
  <c r="AO318" i="41"/>
  <c r="AO322" i="41"/>
  <c r="AO326" i="41"/>
  <c r="AO330" i="41"/>
  <c r="AO334" i="41"/>
  <c r="AO338" i="41"/>
  <c r="AO342" i="41"/>
  <c r="AO346" i="41"/>
  <c r="AO350" i="41"/>
  <c r="AO354" i="41"/>
  <c r="AO358" i="41"/>
  <c r="AO362" i="41"/>
  <c r="AO366" i="41"/>
  <c r="AO370" i="41"/>
  <c r="AO374" i="41"/>
  <c r="AO378" i="41"/>
  <c r="AO382" i="41"/>
  <c r="AO386" i="41"/>
  <c r="AO390" i="41"/>
  <c r="AO394" i="41"/>
  <c r="AO398" i="41"/>
  <c r="AO402" i="41"/>
  <c r="AO406" i="41"/>
  <c r="AO410" i="41"/>
  <c r="AO414" i="41"/>
  <c r="AO417" i="41"/>
  <c r="AO421" i="41"/>
  <c r="AO425" i="41"/>
  <c r="AO429" i="41"/>
  <c r="AO433" i="41"/>
  <c r="AO437" i="41"/>
  <c r="AO441" i="41"/>
  <c r="AO445" i="41"/>
  <c r="AO449" i="41"/>
  <c r="AO453" i="41"/>
  <c r="AO457" i="41"/>
  <c r="AO461" i="41"/>
  <c r="AO465" i="41"/>
  <c r="AO469" i="41"/>
  <c r="AO473" i="41"/>
  <c r="AO477" i="41"/>
  <c r="AO481" i="41"/>
  <c r="AQ248" i="41"/>
  <c r="AQ226" i="41"/>
  <c r="AQ66" i="41"/>
  <c r="AQ130" i="41"/>
  <c r="AQ146" i="41"/>
  <c r="AQ159" i="41"/>
  <c r="AQ178" i="41"/>
  <c r="AQ191" i="41"/>
  <c r="AQ34" i="41"/>
  <c r="AQ179" i="41"/>
  <c r="AQ58" i="41"/>
  <c r="AQ138" i="41"/>
  <c r="AQ202" i="41"/>
  <c r="AQ46" i="41"/>
  <c r="AQ110" i="41"/>
  <c r="AQ174" i="41"/>
  <c r="AQ238" i="41"/>
  <c r="AQ42" i="41"/>
  <c r="AQ107" i="41"/>
  <c r="AQ171" i="41"/>
  <c r="AQ235" i="41"/>
  <c r="AQ72" i="41"/>
  <c r="K19" i="40" s="1"/>
  <c r="AQ136" i="41"/>
  <c r="AQ200" i="41"/>
  <c r="AQ36" i="41"/>
  <c r="AQ101" i="41"/>
  <c r="AQ165" i="41"/>
  <c r="AQ229" i="41"/>
  <c r="AQ60" i="41"/>
  <c r="AQ124" i="41"/>
  <c r="AQ188" i="41"/>
  <c r="AQ162" i="41"/>
  <c r="AQ143" i="41"/>
  <c r="AQ194" i="41"/>
  <c r="AQ47" i="41"/>
  <c r="AQ210" i="41"/>
  <c r="AQ223" i="41"/>
  <c r="AQ242" i="41"/>
  <c r="AQ37" i="41"/>
  <c r="AQ67" i="41"/>
  <c r="AQ227" i="41"/>
  <c r="AQ74" i="41"/>
  <c r="AQ154" i="41"/>
  <c r="AQ218" i="41"/>
  <c r="K14" i="40" s="1"/>
  <c r="AQ62" i="41"/>
  <c r="AQ126" i="41"/>
  <c r="AQ190" i="41"/>
  <c r="AQ59" i="41"/>
  <c r="AQ123" i="41"/>
  <c r="AQ187" i="41"/>
  <c r="AQ23" i="41"/>
  <c r="AQ88" i="41"/>
  <c r="AQ152" i="41"/>
  <c r="AQ216" i="41"/>
  <c r="AQ53" i="41"/>
  <c r="AQ117" i="41"/>
  <c r="AQ181" i="41"/>
  <c r="AQ245" i="41"/>
  <c r="AQ76" i="41"/>
  <c r="AQ140" i="41"/>
  <c r="AQ204" i="41"/>
  <c r="AQ57" i="41"/>
  <c r="AQ121" i="41"/>
  <c r="K31" i="40" s="1"/>
  <c r="AQ185" i="41"/>
  <c r="AQ79" i="41"/>
  <c r="AQ175" i="41"/>
  <c r="AQ50" i="41"/>
  <c r="AQ170" i="41"/>
  <c r="AQ78" i="41"/>
  <c r="AQ206" i="41"/>
  <c r="AQ26" i="41"/>
  <c r="AQ155" i="41"/>
  <c r="AQ56" i="41"/>
  <c r="AQ184" i="41"/>
  <c r="AQ85" i="41"/>
  <c r="AQ213" i="41"/>
  <c r="AQ108" i="41"/>
  <c r="AQ236" i="41"/>
  <c r="AQ24" i="41"/>
  <c r="AQ105" i="41"/>
  <c r="AQ201" i="41"/>
  <c r="AQ134" i="41"/>
  <c r="K48" i="40" s="1"/>
  <c r="AQ163" i="41"/>
  <c r="AQ48" i="41"/>
  <c r="K61" i="40" s="1"/>
  <c r="AQ112" i="41"/>
  <c r="AQ176" i="41"/>
  <c r="AQ240" i="41"/>
  <c r="AQ45" i="41"/>
  <c r="AQ109" i="41"/>
  <c r="AQ173" i="41"/>
  <c r="AQ237" i="41"/>
  <c r="AQ70" i="41"/>
  <c r="AQ166" i="41"/>
  <c r="AQ51" i="41"/>
  <c r="AQ87" i="41"/>
  <c r="AQ151" i="41"/>
  <c r="AQ215" i="41"/>
  <c r="K62" i="40" s="1"/>
  <c r="AQ52" i="41"/>
  <c r="AQ116" i="41"/>
  <c r="AQ180" i="41"/>
  <c r="AQ244" i="41"/>
  <c r="K12" i="40" s="1"/>
  <c r="AQ32" i="41"/>
  <c r="K53" i="40" s="1"/>
  <c r="AQ97" i="41"/>
  <c r="AQ161" i="41"/>
  <c r="AQ225" i="41"/>
  <c r="AQ207" i="41"/>
  <c r="AQ82" i="41"/>
  <c r="AQ114" i="41"/>
  <c r="AQ41" i="41"/>
  <c r="AQ186" i="41"/>
  <c r="AQ94" i="41"/>
  <c r="AQ222" i="41"/>
  <c r="K58" i="40" s="1"/>
  <c r="AQ75" i="41"/>
  <c r="AQ203" i="41"/>
  <c r="AQ104" i="41"/>
  <c r="K17" i="40" s="1"/>
  <c r="AQ232" i="41"/>
  <c r="AQ133" i="41"/>
  <c r="AQ27" i="41"/>
  <c r="AQ156" i="41"/>
  <c r="AQ40" i="41"/>
  <c r="K21" i="40" s="1"/>
  <c r="AQ137" i="41"/>
  <c r="AQ217" i="41"/>
  <c r="AQ182" i="41"/>
  <c r="AQ195" i="41"/>
  <c r="AQ64" i="41"/>
  <c r="AQ128" i="41"/>
  <c r="AQ192" i="41"/>
  <c r="AQ61" i="41"/>
  <c r="AQ125" i="41"/>
  <c r="AQ189" i="41"/>
  <c r="AQ86" i="41"/>
  <c r="AQ198" i="41"/>
  <c r="AQ83" i="41"/>
  <c r="AQ25" i="41"/>
  <c r="AQ38" i="41"/>
  <c r="K60" i="40" s="1"/>
  <c r="AQ103" i="41"/>
  <c r="AQ167" i="41"/>
  <c r="AQ231" i="41"/>
  <c r="AQ68" i="41"/>
  <c r="AQ132" i="41"/>
  <c r="AQ196" i="41"/>
  <c r="AQ49" i="41"/>
  <c r="AQ113" i="41"/>
  <c r="AQ177" i="41"/>
  <c r="AQ33" i="41"/>
  <c r="AQ111" i="41"/>
  <c r="AQ30" i="41"/>
  <c r="AQ63" i="41"/>
  <c r="AQ115" i="41"/>
  <c r="AQ90" i="41"/>
  <c r="AQ234" i="41"/>
  <c r="AQ142" i="41"/>
  <c r="AQ91" i="41"/>
  <c r="AQ219" i="41"/>
  <c r="AQ120" i="41"/>
  <c r="AQ22" i="41"/>
  <c r="AQ149" i="41"/>
  <c r="AQ44" i="41"/>
  <c r="AQ172" i="41"/>
  <c r="AQ73" i="41"/>
  <c r="AQ153" i="41"/>
  <c r="AQ233" i="41"/>
  <c r="K59" i="40" s="1"/>
  <c r="AQ54" i="41"/>
  <c r="AQ230" i="41"/>
  <c r="AQ243" i="41"/>
  <c r="AQ80" i="41"/>
  <c r="AQ144" i="41"/>
  <c r="AQ208" i="41"/>
  <c r="AQ77" i="41"/>
  <c r="AQ141" i="41"/>
  <c r="AQ205" i="41"/>
  <c r="AQ118" i="41"/>
  <c r="AQ214" i="41"/>
  <c r="AQ131" i="41"/>
  <c r="AQ106" i="41"/>
  <c r="AQ55" i="41"/>
  <c r="AQ119" i="41"/>
  <c r="AQ183" i="41"/>
  <c r="AQ247" i="41"/>
  <c r="AQ84" i="41"/>
  <c r="AQ148" i="41"/>
  <c r="AQ212" i="41"/>
  <c r="AQ65" i="41"/>
  <c r="AQ129" i="41"/>
  <c r="AQ193" i="41"/>
  <c r="AO407" i="41"/>
  <c r="I54" i="40" s="1"/>
  <c r="AO327" i="41"/>
  <c r="AO279" i="41"/>
  <c r="AO262" i="41"/>
  <c r="AQ211" i="41"/>
  <c r="AQ93" i="41"/>
  <c r="AQ224" i="41"/>
  <c r="AQ99" i="41"/>
  <c r="AQ197" i="41"/>
  <c r="AQ139" i="41"/>
  <c r="AQ29" i="41"/>
  <c r="AQ239" i="41"/>
  <c r="AL38" i="41"/>
  <c r="F60" i="40" s="1"/>
  <c r="AL55" i="41"/>
  <c r="AL71" i="41"/>
  <c r="AL87" i="41"/>
  <c r="AL103" i="41"/>
  <c r="AL119" i="41"/>
  <c r="AL135" i="41"/>
  <c r="AL151" i="41"/>
  <c r="AL167" i="41"/>
  <c r="AL183" i="41"/>
  <c r="AL199" i="41"/>
  <c r="AL215" i="41"/>
  <c r="F62" i="40" s="1"/>
  <c r="AL231" i="41"/>
  <c r="AL247" i="41"/>
  <c r="AL50" i="41"/>
  <c r="AL74" i="41"/>
  <c r="AL110" i="41"/>
  <c r="AL134" i="41"/>
  <c r="F48" i="40" s="1"/>
  <c r="AL150" i="41"/>
  <c r="AL166" i="41"/>
  <c r="AL182" i="41"/>
  <c r="AL36" i="41"/>
  <c r="AL53" i="41"/>
  <c r="AL69" i="41"/>
  <c r="AL85" i="41"/>
  <c r="AL101" i="41"/>
  <c r="AL117" i="41"/>
  <c r="AL133" i="41"/>
  <c r="F15" i="40" s="1"/>
  <c r="AL149" i="41"/>
  <c r="AL165" i="41"/>
  <c r="AL181" i="41"/>
  <c r="AL197" i="41"/>
  <c r="AL213" i="41"/>
  <c r="AL229" i="41"/>
  <c r="AL245" i="41"/>
  <c r="AL35" i="41"/>
  <c r="AL52" i="41"/>
  <c r="AL68" i="41"/>
  <c r="AL84" i="41"/>
  <c r="AL100" i="41"/>
  <c r="AL116" i="41"/>
  <c r="AL132" i="41"/>
  <c r="AL148" i="41"/>
  <c r="AL164" i="41"/>
  <c r="AL180" i="41"/>
  <c r="AL196" i="41"/>
  <c r="AL26" i="41"/>
  <c r="AL42" i="41"/>
  <c r="AL59" i="41"/>
  <c r="AL75" i="41"/>
  <c r="AL91" i="41"/>
  <c r="AL107" i="41"/>
  <c r="AL123" i="41"/>
  <c r="AL139" i="41"/>
  <c r="F55" i="40" s="1"/>
  <c r="AL155" i="41"/>
  <c r="AL171" i="41"/>
  <c r="AL187" i="41"/>
  <c r="AL203" i="41"/>
  <c r="AL219" i="41"/>
  <c r="AL235" i="41"/>
  <c r="AL25" i="41"/>
  <c r="AL58" i="41"/>
  <c r="AL82" i="41"/>
  <c r="AL114" i="41"/>
  <c r="AL138" i="41"/>
  <c r="AL154" i="41"/>
  <c r="AL170" i="41"/>
  <c r="AL24" i="41"/>
  <c r="AL40" i="41"/>
  <c r="F21" i="40" s="1"/>
  <c r="AL57" i="41"/>
  <c r="AL73" i="41"/>
  <c r="AL89" i="41"/>
  <c r="AL105" i="41"/>
  <c r="AL121" i="41"/>
  <c r="F31" i="40" s="1"/>
  <c r="AL137" i="41"/>
  <c r="AL153" i="41"/>
  <c r="AL169" i="41"/>
  <c r="AL185" i="41"/>
  <c r="AL201" i="41"/>
  <c r="AL217" i="41"/>
  <c r="AL233" i="41"/>
  <c r="F59" i="40" s="1"/>
  <c r="AL23" i="41"/>
  <c r="AL39" i="41"/>
  <c r="AL56" i="41"/>
  <c r="AL72" i="41"/>
  <c r="F19" i="40" s="1"/>
  <c r="AL88" i="41"/>
  <c r="AL104" i="41"/>
  <c r="F17" i="40" s="1"/>
  <c r="AL120" i="41"/>
  <c r="AL136" i="41"/>
  <c r="AL152" i="41"/>
  <c r="AL168" i="41"/>
  <c r="AL184" i="41"/>
  <c r="AL200" i="41"/>
  <c r="AL30" i="41"/>
  <c r="AL47" i="41"/>
  <c r="AL63" i="41"/>
  <c r="AL79" i="41"/>
  <c r="AL95" i="41"/>
  <c r="AL111" i="41"/>
  <c r="AL127" i="41"/>
  <c r="AL143" i="41"/>
  <c r="AL159" i="41"/>
  <c r="AL175" i="41"/>
  <c r="AL191" i="41"/>
  <c r="AL207" i="41"/>
  <c r="AL223" i="41"/>
  <c r="AL239" i="41"/>
  <c r="AL33" i="41"/>
  <c r="AL66" i="41"/>
  <c r="AL90" i="41"/>
  <c r="AL126" i="41"/>
  <c r="AL142" i="41"/>
  <c r="AL158" i="41"/>
  <c r="AL174" i="41"/>
  <c r="AL28" i="41"/>
  <c r="AL45" i="41"/>
  <c r="AL61" i="41"/>
  <c r="AL77" i="41"/>
  <c r="AL93" i="41"/>
  <c r="AL109" i="41"/>
  <c r="AL125" i="41"/>
  <c r="AL141" i="41"/>
  <c r="AL157" i="41"/>
  <c r="AL173" i="41"/>
  <c r="AL189" i="41"/>
  <c r="AL205" i="41"/>
  <c r="AL221" i="41"/>
  <c r="AL237" i="41"/>
  <c r="AL27" i="41"/>
  <c r="AL44" i="41"/>
  <c r="AL60" i="41"/>
  <c r="AL76" i="41"/>
  <c r="AL92" i="41"/>
  <c r="AL108" i="41"/>
  <c r="AL124" i="41"/>
  <c r="AL140" i="41"/>
  <c r="AL156" i="41"/>
  <c r="AL172" i="41"/>
  <c r="AL188" i="41"/>
  <c r="AL242" i="41"/>
  <c r="AL234" i="41"/>
  <c r="AL122" i="41"/>
  <c r="AL54" i="41"/>
  <c r="AL228" i="41"/>
  <c r="AL176" i="41"/>
  <c r="AL48" i="41"/>
  <c r="F61" i="40" s="1"/>
  <c r="AL81" i="41"/>
  <c r="AL98" i="41"/>
  <c r="AL163" i="41"/>
  <c r="AL34" i="41"/>
  <c r="AQ164" i="41"/>
  <c r="AO454" i="41"/>
  <c r="AO422" i="41"/>
  <c r="AO375" i="41"/>
  <c r="AO343" i="41"/>
  <c r="AO295" i="41"/>
  <c r="AL118" i="41"/>
  <c r="AL211" i="41"/>
  <c r="AQ209" i="41"/>
  <c r="AQ71" i="41"/>
  <c r="AO466" i="41"/>
  <c r="AO450" i="41"/>
  <c r="AO434" i="41"/>
  <c r="AO418" i="41"/>
  <c r="AO403" i="41"/>
  <c r="AO387" i="41"/>
  <c r="AO371" i="41"/>
  <c r="AO355" i="41"/>
  <c r="AO339" i="41"/>
  <c r="AO323" i="41"/>
  <c r="AO307" i="41"/>
  <c r="AO291" i="41"/>
  <c r="AO274" i="41"/>
  <c r="I21" i="40" s="1"/>
  <c r="AO258" i="41"/>
  <c r="AQ246" i="41"/>
  <c r="AQ28" i="41"/>
  <c r="AQ160" i="41"/>
  <c r="AQ102" i="41"/>
  <c r="AQ169" i="41"/>
  <c r="AQ69" i="41"/>
  <c r="AQ122" i="41"/>
  <c r="AQ98" i="41"/>
  <c r="AL238" i="41"/>
  <c r="AL246" i="41"/>
  <c r="AL94" i="41"/>
  <c r="AL244" i="41"/>
  <c r="F12" i="40" s="1"/>
  <c r="AL212" i="41"/>
  <c r="AL112" i="41"/>
  <c r="AL145" i="41"/>
  <c r="AL178" i="41"/>
  <c r="AL227" i="41"/>
  <c r="AL99" i="41"/>
  <c r="AQ135" i="41"/>
  <c r="AO470" i="41"/>
  <c r="AO438" i="41"/>
  <c r="AO391" i="41"/>
  <c r="AO359" i="41"/>
  <c r="AO311" i="41"/>
  <c r="AL226" i="41"/>
  <c r="AL222" i="41"/>
  <c r="AL218" i="41"/>
  <c r="F14" i="40" s="1"/>
  <c r="AL230" i="41"/>
  <c r="AL86" i="41"/>
  <c r="AL46" i="41"/>
  <c r="AL240" i="41"/>
  <c r="AL224" i="41"/>
  <c r="AL208" i="41"/>
  <c r="AL160" i="41"/>
  <c r="AL96" i="41"/>
  <c r="AL31" i="41"/>
  <c r="AL193" i="41"/>
  <c r="AL129" i="41"/>
  <c r="AL65" i="41"/>
  <c r="F88" i="40" s="1"/>
  <c r="AL162" i="41"/>
  <c r="AL70" i="41"/>
  <c r="AL147" i="41"/>
  <c r="AL83" i="41"/>
  <c r="AQ100" i="41"/>
  <c r="AL210" i="41"/>
  <c r="AL206" i="41"/>
  <c r="AL202" i="41"/>
  <c r="AL214" i="41"/>
  <c r="AL106" i="41"/>
  <c r="AL78" i="41"/>
  <c r="AL41" i="41"/>
  <c r="AL236" i="41"/>
  <c r="AL220" i="41"/>
  <c r="AL204" i="41"/>
  <c r="AL144" i="41"/>
  <c r="AL80" i="41"/>
  <c r="AL241" i="41"/>
  <c r="AL177" i="41"/>
  <c r="AL113" i="41"/>
  <c r="AL49" i="41"/>
  <c r="AL146" i="41"/>
  <c r="AL37" i="41"/>
  <c r="AL195" i="41"/>
  <c r="AL131" i="41"/>
  <c r="AL67" i="41"/>
  <c r="AQ145" i="41"/>
  <c r="AQ35" i="41"/>
  <c r="AO478" i="41"/>
  <c r="AO462" i="41"/>
  <c r="AO446" i="41"/>
  <c r="AO430" i="41"/>
  <c r="AO415" i="41"/>
  <c r="AO399" i="41"/>
  <c r="AO383" i="41"/>
  <c r="AO367" i="41"/>
  <c r="I15" i="40" s="1"/>
  <c r="AO351" i="41"/>
  <c r="AO335" i="41"/>
  <c r="AO319" i="41"/>
  <c r="AO303" i="41"/>
  <c r="AO287" i="41"/>
  <c r="AO270" i="41"/>
  <c r="AQ150" i="41"/>
  <c r="AQ221" i="41"/>
  <c r="AQ96" i="41"/>
  <c r="AQ89" i="41"/>
  <c r="AQ220" i="41"/>
  <c r="AQ168" i="41"/>
  <c r="AQ127" i="41"/>
  <c r="N77" i="40"/>
  <c r="R77" i="40"/>
  <c r="N80" i="40"/>
  <c r="K80" i="40"/>
  <c r="R79" i="40"/>
  <c r="P80" i="40"/>
  <c r="J83" i="40"/>
  <c r="G77" i="40"/>
  <c r="F79" i="40"/>
  <c r="G80" i="40"/>
  <c r="L79" i="40"/>
  <c r="P79" i="40"/>
  <c r="G79" i="40"/>
  <c r="H79" i="40"/>
  <c r="J77" i="40"/>
  <c r="J80" i="40"/>
  <c r="M90" i="40"/>
  <c r="M98" i="40"/>
  <c r="M88" i="40"/>
  <c r="M83" i="40"/>
  <c r="Q77" i="40"/>
  <c r="I75" i="40"/>
  <c r="I88" i="40"/>
  <c r="J79" i="40"/>
  <c r="I77" i="40"/>
  <c r="I79" i="40"/>
  <c r="M84" i="40"/>
  <c r="M89" i="40"/>
  <c r="H77" i="40"/>
  <c r="H80" i="40"/>
  <c r="M75" i="40"/>
  <c r="M45" i="40"/>
  <c r="M79" i="40"/>
  <c r="M74" i="40"/>
  <c r="Q79" i="40"/>
  <c r="O80" i="40"/>
  <c r="I80" i="40"/>
  <c r="L77" i="40"/>
  <c r="L80" i="40"/>
  <c r="M78" i="40"/>
  <c r="Q80" i="40"/>
  <c r="F42" i="38"/>
  <c r="AM154" i="41"/>
  <c r="AM120" i="41"/>
  <c r="AM138" i="41"/>
  <c r="AM61" i="41"/>
  <c r="AM116" i="41"/>
  <c r="AM187" i="41"/>
  <c r="AM69" i="41"/>
  <c r="AM124" i="41"/>
  <c r="AM171" i="41"/>
  <c r="AM44" i="41"/>
  <c r="AM112" i="41"/>
  <c r="AM159" i="41"/>
  <c r="AM27" i="41"/>
  <c r="AM65" i="41"/>
  <c r="AM108" i="41"/>
  <c r="AM151" i="41"/>
  <c r="AM219" i="41"/>
  <c r="AM46" i="41"/>
  <c r="AM82" i="41"/>
  <c r="AM113" i="41"/>
  <c r="AM142" i="41"/>
  <c r="AM179" i="41"/>
  <c r="AM245" i="41"/>
  <c r="AM182" i="41"/>
  <c r="AM198" i="41"/>
  <c r="AM214" i="41"/>
  <c r="AM230" i="41"/>
  <c r="AM25" i="41"/>
  <c r="AM40" i="41"/>
  <c r="G21" i="40" s="1"/>
  <c r="AM59" i="41"/>
  <c r="AM75" i="41"/>
  <c r="AM90" i="41"/>
  <c r="AM106" i="41"/>
  <c r="AM122" i="41"/>
  <c r="AM140" i="41"/>
  <c r="AM156" i="41"/>
  <c r="AM172" i="41"/>
  <c r="AM188" i="41"/>
  <c r="AM204" i="41"/>
  <c r="AM220" i="41"/>
  <c r="AM236" i="41"/>
  <c r="AM26" i="41"/>
  <c r="AM41" i="41"/>
  <c r="AM60" i="41"/>
  <c r="AM76" i="41"/>
  <c r="AM91" i="41"/>
  <c r="AM107" i="41"/>
  <c r="AM123" i="41"/>
  <c r="AM141" i="41"/>
  <c r="AM157" i="41"/>
  <c r="AM173" i="41"/>
  <c r="AM189" i="41"/>
  <c r="AM205" i="41"/>
  <c r="AM221" i="41"/>
  <c r="AM237" i="41"/>
  <c r="AM242" i="41"/>
  <c r="AM24" i="41"/>
  <c r="AM191" i="41"/>
  <c r="AM223" i="41"/>
  <c r="AM73" i="41"/>
  <c r="AM135" i="41"/>
  <c r="AM215" i="41"/>
  <c r="G62" i="40" s="1"/>
  <c r="AM81" i="41"/>
  <c r="AM127" i="41"/>
  <c r="AM203" i="41"/>
  <c r="AM57" i="41"/>
  <c r="AM125" i="41"/>
  <c r="AM183" i="41"/>
  <c r="AM35" i="41"/>
  <c r="AM77" i="41"/>
  <c r="AM117" i="41"/>
  <c r="AM162" i="41"/>
  <c r="AM239" i="41"/>
  <c r="AM58" i="41"/>
  <c r="AM89" i="41"/>
  <c r="AM121" i="41"/>
  <c r="G31" i="40" s="1"/>
  <c r="AM150" i="41"/>
  <c r="AM195" i="41"/>
  <c r="AM170" i="41"/>
  <c r="AM186" i="41"/>
  <c r="AM202" i="41"/>
  <c r="AM218" i="41"/>
  <c r="G14" i="40" s="1"/>
  <c r="AM234" i="41"/>
  <c r="AM28" i="41"/>
  <c r="AM48" i="41"/>
  <c r="G61" i="40" s="1"/>
  <c r="AM63" i="41"/>
  <c r="AM79" i="41"/>
  <c r="AM94" i="41"/>
  <c r="AM110" i="41"/>
  <c r="AM128" i="41"/>
  <c r="AM144" i="41"/>
  <c r="AM160" i="41"/>
  <c r="AM176" i="41"/>
  <c r="AM192" i="41"/>
  <c r="AM208" i="41"/>
  <c r="AM224" i="41"/>
  <c r="AM240" i="41"/>
  <c r="AM29" i="41"/>
  <c r="AM45" i="41"/>
  <c r="AM64" i="41"/>
  <c r="AM80" i="41"/>
  <c r="AM95" i="41"/>
  <c r="AM111" i="41"/>
  <c r="AM129" i="41"/>
  <c r="AM145" i="41"/>
  <c r="AM161" i="41"/>
  <c r="AM177" i="41"/>
  <c r="AM193" i="41"/>
  <c r="AM209" i="41"/>
  <c r="AM225" i="41"/>
  <c r="AM241" i="41"/>
  <c r="AM244" i="41"/>
  <c r="G12" i="40" s="1"/>
  <c r="AM78" i="41"/>
  <c r="AM51" i="41"/>
  <c r="AM34" i="41"/>
  <c r="AM88" i="41"/>
  <c r="AM147" i="41"/>
  <c r="AM42" i="41"/>
  <c r="AM93" i="41"/>
  <c r="AM143" i="41"/>
  <c r="AM231" i="41"/>
  <c r="AM70" i="41"/>
  <c r="AM131" i="41"/>
  <c r="AM207" i="41"/>
  <c r="AM47" i="41"/>
  <c r="AM85" i="41"/>
  <c r="AM130" i="41"/>
  <c r="AM175" i="41"/>
  <c r="AM30" i="41"/>
  <c r="AM66" i="41"/>
  <c r="AM97" i="41"/>
  <c r="AM126" i="41"/>
  <c r="AM158" i="41"/>
  <c r="AM211" i="41"/>
  <c r="AM174" i="41"/>
  <c r="AM190" i="41"/>
  <c r="AM206" i="41"/>
  <c r="AM222" i="41"/>
  <c r="G58" i="40" s="1"/>
  <c r="AM238" i="41"/>
  <c r="AM32" i="41"/>
  <c r="G53" i="40" s="1"/>
  <c r="AM52" i="41"/>
  <c r="AM67" i="41"/>
  <c r="AM83" i="41"/>
  <c r="AM98" i="41"/>
  <c r="AM114" i="41"/>
  <c r="AM132" i="41"/>
  <c r="AM148" i="41"/>
  <c r="AM164" i="41"/>
  <c r="AM180" i="41"/>
  <c r="AM196" i="41"/>
  <c r="AM212" i="41"/>
  <c r="AM228" i="41"/>
  <c r="AM246" i="41"/>
  <c r="AM33" i="41"/>
  <c r="AM49" i="41"/>
  <c r="AM68" i="41"/>
  <c r="AM84" i="41"/>
  <c r="AM99" i="41"/>
  <c r="AM115" i="41"/>
  <c r="AM133" i="41"/>
  <c r="AM149" i="41"/>
  <c r="AM165" i="41"/>
  <c r="AM181" i="41"/>
  <c r="AM197" i="41"/>
  <c r="AM213" i="41"/>
  <c r="AM229" i="41"/>
  <c r="AM247" i="41"/>
  <c r="AM39" i="41"/>
  <c r="AM163" i="41"/>
  <c r="AM31" i="41"/>
  <c r="AM54" i="41"/>
  <c r="AM38" i="41"/>
  <c r="G60" i="40" s="1"/>
  <c r="AM166" i="41"/>
  <c r="AM210" i="41"/>
  <c r="AM55" i="41"/>
  <c r="AM118" i="41"/>
  <c r="AM184" i="41"/>
  <c r="AM23" i="41"/>
  <c r="AM87" i="41"/>
  <c r="AM153" i="41"/>
  <c r="AM217" i="41"/>
  <c r="AM104" i="41"/>
  <c r="G17" i="40" s="1"/>
  <c r="AM53" i="41"/>
  <c r="AM100" i="41"/>
  <c r="AM96" i="41"/>
  <c r="AM74" i="41"/>
  <c r="AM227" i="41"/>
  <c r="AM226" i="41"/>
  <c r="AM71" i="41"/>
  <c r="AM136" i="41"/>
  <c r="AM200" i="41"/>
  <c r="AM37" i="41"/>
  <c r="AM103" i="41"/>
  <c r="AM169" i="41"/>
  <c r="AM233" i="41"/>
  <c r="G59" i="40" s="1"/>
  <c r="AM50" i="41"/>
  <c r="AM109" i="41"/>
  <c r="AM146" i="41"/>
  <c r="AM139" i="41"/>
  <c r="AM105" i="41"/>
  <c r="AM178" i="41"/>
  <c r="AM243" i="41"/>
  <c r="AM86" i="41"/>
  <c r="AM152" i="41"/>
  <c r="AM216" i="41"/>
  <c r="AM56" i="41"/>
  <c r="AM119" i="41"/>
  <c r="AM185" i="41"/>
  <c r="AP478" i="41"/>
  <c r="J12" i="40" s="1"/>
  <c r="AP474" i="41"/>
  <c r="AP470" i="41"/>
  <c r="AP466" i="41"/>
  <c r="AP462" i="41"/>
  <c r="AP458" i="41"/>
  <c r="AP454" i="41"/>
  <c r="AP450" i="41"/>
  <c r="AP446" i="41"/>
  <c r="AP442" i="41"/>
  <c r="AP438" i="41"/>
  <c r="AP434" i="41"/>
  <c r="AP430" i="41"/>
  <c r="AP426" i="41"/>
  <c r="AP422" i="41"/>
  <c r="AP418" i="41"/>
  <c r="AP415" i="41"/>
  <c r="AP411" i="41"/>
  <c r="AP407" i="41"/>
  <c r="AP403" i="41"/>
  <c r="AP399" i="41"/>
  <c r="AP395" i="41"/>
  <c r="AP391" i="41"/>
  <c r="AP387" i="41"/>
  <c r="AP383" i="41"/>
  <c r="AP379" i="41"/>
  <c r="AP375" i="41"/>
  <c r="AP371" i="41"/>
  <c r="AP367" i="41"/>
  <c r="J15" i="40" s="1"/>
  <c r="AP363" i="41"/>
  <c r="AP359" i="41"/>
  <c r="AP355" i="41"/>
  <c r="J31" i="40" s="1"/>
  <c r="AP351" i="41"/>
  <c r="AP347" i="41"/>
  <c r="AP343" i="41"/>
  <c r="AP339" i="41"/>
  <c r="AP334" i="41"/>
  <c r="J10" i="40" s="1"/>
  <c r="AP326" i="41"/>
  <c r="AP318" i="41"/>
  <c r="AP310" i="41"/>
  <c r="AP302" i="41"/>
  <c r="J18" i="40" s="1"/>
  <c r="AP294" i="41"/>
  <c r="AP286" i="41"/>
  <c r="J34" i="40" s="1"/>
  <c r="AP278" i="41"/>
  <c r="AP269" i="41"/>
  <c r="AN465" i="41"/>
  <c r="AN401" i="41"/>
  <c r="AN337" i="41"/>
  <c r="AN460" i="41"/>
  <c r="AN396" i="41"/>
  <c r="AN332" i="41"/>
  <c r="AN455" i="41"/>
  <c r="AN391" i="41"/>
  <c r="AN327" i="41"/>
  <c r="AN454" i="41"/>
  <c r="AN390" i="41"/>
  <c r="AM232" i="41"/>
  <c r="AM194" i="41"/>
  <c r="AM155" i="41"/>
  <c r="AP258" i="41"/>
  <c r="AP262" i="41"/>
  <c r="AP266" i="41"/>
  <c r="J53" i="40" s="1"/>
  <c r="AP270" i="41"/>
  <c r="AP274" i="41"/>
  <c r="J21" i="40" s="1"/>
  <c r="AP279" i="41"/>
  <c r="AP283" i="41"/>
  <c r="AP287" i="41"/>
  <c r="AP291" i="41"/>
  <c r="AP295" i="41"/>
  <c r="AP299" i="41"/>
  <c r="AP303" i="41"/>
  <c r="AP307" i="41"/>
  <c r="AP311" i="41"/>
  <c r="AP315" i="41"/>
  <c r="AP319" i="41"/>
  <c r="AP323" i="41"/>
  <c r="AP327" i="41"/>
  <c r="AP331" i="41"/>
  <c r="AP335" i="41"/>
  <c r="AP259" i="41"/>
  <c r="AP263" i="41"/>
  <c r="AP267" i="41"/>
  <c r="AP271" i="41"/>
  <c r="AP275" i="41"/>
  <c r="AP280" i="41"/>
  <c r="AP284" i="41"/>
  <c r="AP288" i="41"/>
  <c r="AP292" i="41"/>
  <c r="AP296" i="41"/>
  <c r="AP300" i="41"/>
  <c r="AP304" i="41"/>
  <c r="AP308" i="41"/>
  <c r="AP312" i="41"/>
  <c r="AP316" i="41"/>
  <c r="AP320" i="41"/>
  <c r="AP324" i="41"/>
  <c r="AP328" i="41"/>
  <c r="AP332" i="41"/>
  <c r="AN265" i="41"/>
  <c r="AN282" i="41"/>
  <c r="AN262" i="41"/>
  <c r="AN279" i="41"/>
  <c r="AN259" i="41"/>
  <c r="AN275" i="41"/>
  <c r="AN292" i="41"/>
  <c r="AN272" i="41"/>
  <c r="H60" i="40" s="1"/>
  <c r="AN289" i="41"/>
  <c r="AN302" i="41"/>
  <c r="AN318" i="41"/>
  <c r="AN269" i="41"/>
  <c r="AN286" i="41"/>
  <c r="AN266" i="41"/>
  <c r="AN283" i="41"/>
  <c r="AN263" i="41"/>
  <c r="AN280" i="41"/>
  <c r="AN260" i="41"/>
  <c r="AN276" i="41"/>
  <c r="AN293" i="41"/>
  <c r="AN306" i="41"/>
  <c r="H19" i="40" s="1"/>
  <c r="AN257" i="41"/>
  <c r="AN273" i="41"/>
  <c r="AN290" i="41"/>
  <c r="AN270" i="41"/>
  <c r="AN287" i="41"/>
  <c r="AN267" i="41"/>
  <c r="AN284" i="41"/>
  <c r="AN264" i="41"/>
  <c r="AN281" i="41"/>
  <c r="AN294" i="41"/>
  <c r="AN310" i="41"/>
  <c r="AN278" i="41"/>
  <c r="AN271" i="41"/>
  <c r="AN298" i="41"/>
  <c r="AN330" i="41"/>
  <c r="AN346" i="41"/>
  <c r="AN362" i="41"/>
  <c r="AN378" i="41"/>
  <c r="AN394" i="41"/>
  <c r="AN410" i="41"/>
  <c r="AN426" i="41"/>
  <c r="AN442" i="41"/>
  <c r="AN458" i="41"/>
  <c r="AN474" i="41"/>
  <c r="AN299" i="41"/>
  <c r="AN315" i="41"/>
  <c r="AN331" i="41"/>
  <c r="AN347" i="41"/>
  <c r="AN363" i="41"/>
  <c r="AN379" i="41"/>
  <c r="AN395" i="41"/>
  <c r="AN411" i="41"/>
  <c r="AN427" i="41"/>
  <c r="AN443" i="41"/>
  <c r="AN459" i="41"/>
  <c r="AN475" i="41"/>
  <c r="AN304" i="41"/>
  <c r="AN320" i="41"/>
  <c r="AN336" i="41"/>
  <c r="AN352" i="41"/>
  <c r="AN368" i="41"/>
  <c r="AN384" i="41"/>
  <c r="AN400" i="41"/>
  <c r="AN416" i="41"/>
  <c r="AN432" i="41"/>
  <c r="AN448" i="41"/>
  <c r="AN464" i="41"/>
  <c r="AN480" i="41"/>
  <c r="AN309" i="41"/>
  <c r="AN325" i="41"/>
  <c r="AN341" i="41"/>
  <c r="AN357" i="41"/>
  <c r="AN373" i="41"/>
  <c r="AN389" i="41"/>
  <c r="AN405" i="41"/>
  <c r="AN421" i="41"/>
  <c r="AN437" i="41"/>
  <c r="AN453" i="41"/>
  <c r="AN469" i="41"/>
  <c r="AN258" i="41"/>
  <c r="AN288" i="41"/>
  <c r="AN314" i="41"/>
  <c r="AN334" i="41"/>
  <c r="AN350" i="41"/>
  <c r="AN366" i="41"/>
  <c r="AN382" i="41"/>
  <c r="AN398" i="41"/>
  <c r="AN414" i="41"/>
  <c r="AN430" i="41"/>
  <c r="AN446" i="41"/>
  <c r="AN462" i="41"/>
  <c r="AN478" i="41"/>
  <c r="AN303" i="41"/>
  <c r="AN319" i="41"/>
  <c r="AN335" i="41"/>
  <c r="AN351" i="41"/>
  <c r="AN367" i="41"/>
  <c r="AN383" i="41"/>
  <c r="AN399" i="41"/>
  <c r="AN415" i="41"/>
  <c r="AN431" i="41"/>
  <c r="AN447" i="41"/>
  <c r="AN463" i="41"/>
  <c r="AN479" i="41"/>
  <c r="AN308" i="41"/>
  <c r="AN324" i="41"/>
  <c r="AN340" i="41"/>
  <c r="AN356" i="41"/>
  <c r="AN372" i="41"/>
  <c r="AN388" i="41"/>
  <c r="AN404" i="41"/>
  <c r="AN420" i="41"/>
  <c r="AN436" i="41"/>
  <c r="AN452" i="41"/>
  <c r="H14" i="40" s="1"/>
  <c r="AN468" i="41"/>
  <c r="AN297" i="41"/>
  <c r="AN313" i="41"/>
  <c r="AN329" i="41"/>
  <c r="AN345" i="41"/>
  <c r="AN361" i="41"/>
  <c r="AN377" i="41"/>
  <c r="AN393" i="41"/>
  <c r="AN409" i="41"/>
  <c r="AN425" i="41"/>
  <c r="AN441" i="41"/>
  <c r="AN457" i="41"/>
  <c r="AN473" i="41"/>
  <c r="AN274" i="41"/>
  <c r="AN268" i="41"/>
  <c r="AN322" i="41"/>
  <c r="AN338" i="41"/>
  <c r="AN354" i="41"/>
  <c r="AN370" i="41"/>
  <c r="AN386" i="41"/>
  <c r="AN402" i="41"/>
  <c r="AN418" i="41"/>
  <c r="AN434" i="41"/>
  <c r="AN450" i="41"/>
  <c r="AN466" i="41"/>
  <c r="AN256" i="41"/>
  <c r="AN307" i="41"/>
  <c r="AN323" i="41"/>
  <c r="AN339" i="41"/>
  <c r="AN355" i="41"/>
  <c r="H31" i="40" s="1"/>
  <c r="AN371" i="41"/>
  <c r="AN387" i="41"/>
  <c r="AN403" i="41"/>
  <c r="AN419" i="41"/>
  <c r="AN435" i="41"/>
  <c r="AN451" i="41"/>
  <c r="AN467" i="41"/>
  <c r="AN296" i="41"/>
  <c r="AN312" i="41"/>
  <c r="AN328" i="41"/>
  <c r="AN344" i="41"/>
  <c r="AN360" i="41"/>
  <c r="AN376" i="41"/>
  <c r="AN392" i="41"/>
  <c r="AN408" i="41"/>
  <c r="AN424" i="41"/>
  <c r="AN440" i="41"/>
  <c r="AN456" i="41"/>
  <c r="AN472" i="41"/>
  <c r="AN301" i="41"/>
  <c r="AN317" i="41"/>
  <c r="AN333" i="41"/>
  <c r="AN349" i="41"/>
  <c r="AN365" i="41"/>
  <c r="AN381" i="41"/>
  <c r="AN397" i="41"/>
  <c r="AN413" i="41"/>
  <c r="AN429" i="41"/>
  <c r="AN445" i="41"/>
  <c r="AN461" i="41"/>
  <c r="AN477" i="41"/>
  <c r="AP481" i="41"/>
  <c r="AP477" i="41"/>
  <c r="AP473" i="41"/>
  <c r="AP469" i="41"/>
  <c r="AP465" i="41"/>
  <c r="AP461" i="41"/>
  <c r="AP457" i="41"/>
  <c r="AP453" i="41"/>
  <c r="AP449" i="41"/>
  <c r="J62" i="40" s="1"/>
  <c r="AP445" i="41"/>
  <c r="AP441" i="41"/>
  <c r="AP437" i="41"/>
  <c r="AP433" i="41"/>
  <c r="AP429" i="41"/>
  <c r="AP425" i="41"/>
  <c r="AP421" i="41"/>
  <c r="AP417" i="41"/>
  <c r="AP414" i="41"/>
  <c r="AP410" i="41"/>
  <c r="AP406" i="41"/>
  <c r="AP402" i="41"/>
  <c r="AP398" i="41"/>
  <c r="AP394" i="41"/>
  <c r="AP390" i="41"/>
  <c r="AP386" i="41"/>
  <c r="AP382" i="41"/>
  <c r="AP378" i="41"/>
  <c r="AP374" i="41"/>
  <c r="AP370" i="41"/>
  <c r="AP366" i="41"/>
  <c r="AP362" i="41"/>
  <c r="AP358" i="41"/>
  <c r="AP354" i="41"/>
  <c r="AP350" i="41"/>
  <c r="AP346" i="41"/>
  <c r="AP342" i="41"/>
  <c r="AP338" i="41"/>
  <c r="J17" i="40" s="1"/>
  <c r="AP333" i="41"/>
  <c r="AP325" i="41"/>
  <c r="AP317" i="41"/>
  <c r="AP309" i="41"/>
  <c r="AP301" i="41"/>
  <c r="AP293" i="41"/>
  <c r="AP285" i="41"/>
  <c r="AP276" i="41"/>
  <c r="AP268" i="41"/>
  <c r="AP260" i="41"/>
  <c r="AN449" i="41"/>
  <c r="H62" i="40" s="1"/>
  <c r="AN385" i="41"/>
  <c r="AN321" i="41"/>
  <c r="AN444" i="41"/>
  <c r="AN380" i="41"/>
  <c r="AN316" i="41"/>
  <c r="AN439" i="41"/>
  <c r="AN375" i="41"/>
  <c r="AN311" i="41"/>
  <c r="AN438" i="41"/>
  <c r="AN374" i="41"/>
  <c r="AN285" i="41"/>
  <c r="AM201" i="41"/>
  <c r="AM168" i="41"/>
  <c r="AM134" i="41"/>
  <c r="G83" i="40" s="1"/>
  <c r="AM101" i="41"/>
  <c r="AP480" i="41"/>
  <c r="AP476" i="41"/>
  <c r="AP472" i="41"/>
  <c r="AP468" i="41"/>
  <c r="AP464" i="41"/>
  <c r="AP460" i="41"/>
  <c r="AP456" i="41"/>
  <c r="J58" i="40" s="1"/>
  <c r="AP452" i="41"/>
  <c r="J14" i="40" s="1"/>
  <c r="AP448" i="41"/>
  <c r="AP444" i="41"/>
  <c r="AP440" i="41"/>
  <c r="AP436" i="41"/>
  <c r="AP432" i="41"/>
  <c r="AP428" i="41"/>
  <c r="AP424" i="41"/>
  <c r="AP420" i="41"/>
  <c r="AP416" i="41"/>
  <c r="AP413" i="41"/>
  <c r="AP409" i="41"/>
  <c r="AP405" i="41"/>
  <c r="AP401" i="41"/>
  <c r="AP397" i="41"/>
  <c r="AP393" i="41"/>
  <c r="AP389" i="41"/>
  <c r="AP385" i="41"/>
  <c r="AP381" i="41"/>
  <c r="AP377" i="41"/>
  <c r="AP373" i="41"/>
  <c r="J55" i="40" s="1"/>
  <c r="AP369" i="41"/>
  <c r="AP365" i="41"/>
  <c r="AP361" i="41"/>
  <c r="AP357" i="41"/>
  <c r="AP353" i="41"/>
  <c r="AP349" i="41"/>
  <c r="AP345" i="41"/>
  <c r="J56" i="40" s="1"/>
  <c r="AP341" i="41"/>
  <c r="AP337" i="41"/>
  <c r="AP330" i="41"/>
  <c r="AP322" i="41"/>
  <c r="AP314" i="41"/>
  <c r="AP306" i="41"/>
  <c r="J19" i="40" s="1"/>
  <c r="AP298" i="41"/>
  <c r="AP290" i="41"/>
  <c r="AP282" i="41"/>
  <c r="AP273" i="41"/>
  <c r="AP265" i="41"/>
  <c r="AP257" i="41"/>
  <c r="AN433" i="41"/>
  <c r="AN369" i="41"/>
  <c r="AN305" i="41"/>
  <c r="AN428" i="41"/>
  <c r="AN364" i="41"/>
  <c r="AN300" i="41"/>
  <c r="AN423" i="41"/>
  <c r="AN359" i="41"/>
  <c r="AN295" i="41"/>
  <c r="AN422" i="41"/>
  <c r="AN358" i="41"/>
  <c r="AN291" i="41"/>
  <c r="AM137" i="41"/>
  <c r="AM102" i="41"/>
  <c r="AM199" i="41"/>
  <c r="AQ251" i="41"/>
  <c r="AM92" i="41"/>
  <c r="AM167" i="41"/>
  <c r="AM62" i="41"/>
  <c r="AQ250" i="41"/>
  <c r="AQ43" i="41"/>
  <c r="AQ249" i="41"/>
  <c r="AQ241" i="41"/>
  <c r="AQ252" i="41"/>
  <c r="G19" i="40"/>
  <c r="J60" i="40"/>
  <c r="AO277" i="41"/>
  <c r="AO483" i="41"/>
  <c r="AO485" i="41"/>
  <c r="AO482" i="41"/>
  <c r="AO484" i="41"/>
  <c r="AO486" i="41"/>
  <c r="J59" i="40"/>
  <c r="AL277" i="41"/>
  <c r="AL482" i="41"/>
  <c r="AL484" i="41"/>
  <c r="AL486" i="41"/>
  <c r="AL483" i="41"/>
  <c r="AL485" i="41"/>
  <c r="AP277" i="41"/>
  <c r="AP484" i="41"/>
  <c r="AP486" i="41"/>
  <c r="AP483" i="41"/>
  <c r="AP485" i="41"/>
  <c r="AP482" i="41"/>
  <c r="AN277" i="41"/>
  <c r="AN482" i="41"/>
  <c r="AN484" i="41"/>
  <c r="AN486" i="41"/>
  <c r="AN483" i="41"/>
  <c r="AN485" i="41"/>
  <c r="AL249" i="41"/>
  <c r="AL248" i="41"/>
  <c r="AL252" i="41"/>
  <c r="AL251" i="41"/>
  <c r="AL250" i="41"/>
  <c r="AO43" i="41"/>
  <c r="AO248" i="41"/>
  <c r="AO252" i="41"/>
  <c r="AO251" i="41"/>
  <c r="AO249" i="41"/>
  <c r="AO250" i="41"/>
  <c r="AN43" i="41"/>
  <c r="AN251" i="41"/>
  <c r="AN250" i="41"/>
  <c r="AN248" i="41"/>
  <c r="AN249" i="41"/>
  <c r="AN252" i="41"/>
  <c r="AM250" i="41"/>
  <c r="AM249" i="41"/>
  <c r="AM248" i="41"/>
  <c r="AM252" i="41"/>
  <c r="AM251" i="41"/>
  <c r="Q17" i="40"/>
  <c r="Q62" i="40"/>
  <c r="Q58" i="40"/>
  <c r="Q55" i="40"/>
  <c r="AO188" i="41"/>
  <c r="AO172" i="41"/>
  <c r="AO156" i="41"/>
  <c r="AO140" i="41"/>
  <c r="I24" i="40" s="1"/>
  <c r="AO124" i="41"/>
  <c r="AO108" i="41"/>
  <c r="AO92" i="41"/>
  <c r="I25" i="40" s="1"/>
  <c r="AO76" i="41"/>
  <c r="I57" i="40" s="1"/>
  <c r="AO60" i="41"/>
  <c r="AO44" i="41"/>
  <c r="AO27" i="41"/>
  <c r="AN77" i="41"/>
  <c r="AN61" i="41"/>
  <c r="AN45" i="41"/>
  <c r="AN28" i="41"/>
  <c r="AO180" i="41"/>
  <c r="AO164" i="41"/>
  <c r="I11" i="40" s="1"/>
  <c r="AO148" i="41"/>
  <c r="AO132" i="41"/>
  <c r="AO116" i="41"/>
  <c r="I52" i="40" s="1"/>
  <c r="AO100" i="41"/>
  <c r="I10" i="40" s="1"/>
  <c r="AO84" i="41"/>
  <c r="AO68" i="41"/>
  <c r="I18" i="40" s="1"/>
  <c r="AO52" i="41"/>
  <c r="I34" i="40" s="1"/>
  <c r="AO35" i="41"/>
  <c r="AN69" i="41"/>
  <c r="AN53" i="41"/>
  <c r="AN36" i="41"/>
  <c r="AN65" i="41"/>
  <c r="AN49" i="41"/>
  <c r="AN32" i="41"/>
  <c r="AL22" i="41"/>
  <c r="AL43" i="41"/>
  <c r="AM22" i="41"/>
  <c r="AM43" i="41"/>
  <c r="AO245" i="41"/>
  <c r="I61" i="40"/>
  <c r="AN242" i="41"/>
  <c r="I55" i="40"/>
  <c r="F43" i="40"/>
  <c r="F46" i="40"/>
  <c r="K45" i="40"/>
  <c r="R46" i="40"/>
  <c r="N45" i="40"/>
  <c r="M62" i="40"/>
  <c r="M55" i="40"/>
  <c r="M46" i="40"/>
  <c r="F53" i="40"/>
  <c r="M28" i="40"/>
  <c r="M59" i="40"/>
  <c r="M43" i="40"/>
  <c r="R43" i="40"/>
  <c r="M17" i="40"/>
  <c r="M58" i="40"/>
  <c r="F45" i="40"/>
  <c r="I59" i="40"/>
  <c r="I41" i="40"/>
  <c r="K46" i="40"/>
  <c r="M19" i="40"/>
  <c r="M56" i="40"/>
  <c r="K43" i="40"/>
  <c r="M12" i="40"/>
  <c r="J48" i="40"/>
  <c r="J16" i="40"/>
  <c r="M23" i="40"/>
  <c r="I58" i="40"/>
  <c r="M18" i="40"/>
  <c r="H43" i="40"/>
  <c r="H46" i="40"/>
  <c r="M35" i="40"/>
  <c r="AS8" i="41"/>
  <c r="M9" i="40"/>
  <c r="I53" i="40"/>
  <c r="M16" i="40"/>
  <c r="J43" i="40"/>
  <c r="J46" i="40"/>
  <c r="I46" i="40"/>
  <c r="M22" i="40"/>
  <c r="G45" i="40"/>
  <c r="M30" i="40"/>
  <c r="M34" i="40"/>
  <c r="M37" i="40"/>
  <c r="M15" i="40"/>
  <c r="I62" i="40"/>
  <c r="I31" i="40"/>
  <c r="I19" i="40"/>
  <c r="M32" i="40"/>
  <c r="M26" i="40"/>
  <c r="J45" i="40"/>
  <c r="M10" i="40"/>
  <c r="J57" i="40"/>
  <c r="M11" i="40"/>
  <c r="I48" i="40"/>
  <c r="I17" i="40"/>
  <c r="I26" i="40"/>
  <c r="M25" i="40"/>
  <c r="H45" i="40"/>
  <c r="I56" i="40"/>
  <c r="M14" i="40"/>
  <c r="M36" i="40"/>
  <c r="M13" i="40"/>
  <c r="I43" i="40"/>
  <c r="I45" i="40"/>
  <c r="J26" i="40"/>
  <c r="G43" i="40"/>
  <c r="G46" i="40"/>
  <c r="I14" i="40"/>
  <c r="I13" i="40"/>
  <c r="M24" i="40"/>
  <c r="I12" i="40"/>
  <c r="I60" i="40"/>
  <c r="M20" i="40"/>
  <c r="M27" i="40"/>
  <c r="M29" i="40"/>
  <c r="M54" i="40"/>
  <c r="M33" i="40"/>
  <c r="N43" i="40"/>
  <c r="Q45" i="40"/>
  <c r="R45" i="40"/>
  <c r="Q48" i="40"/>
  <c r="Q53" i="40"/>
  <c r="Q31" i="40"/>
  <c r="M40" i="40"/>
  <c r="Q46" i="40"/>
  <c r="Q43" i="40"/>
  <c r="O45" i="40"/>
  <c r="L45" i="40"/>
  <c r="L46" i="40"/>
  <c r="P45" i="40"/>
  <c r="M49" i="40"/>
  <c r="M41" i="40"/>
  <c r="M44" i="40"/>
  <c r="M57" i="40"/>
  <c r="Q60" i="40"/>
  <c r="Q59" i="40"/>
  <c r="O46" i="40"/>
  <c r="O43" i="40"/>
  <c r="P46" i="40"/>
  <c r="P43" i="40"/>
  <c r="M48" i="40"/>
  <c r="M52" i="40"/>
  <c r="M42" i="40"/>
  <c r="Q12" i="40"/>
  <c r="H55" i="40" l="1"/>
  <c r="H61" i="40"/>
  <c r="H21" i="40"/>
  <c r="H59" i="40"/>
  <c r="H83" i="40"/>
  <c r="H12" i="40"/>
  <c r="H17" i="40"/>
  <c r="H58" i="40"/>
  <c r="K16" i="40"/>
  <c r="Q14" i="40"/>
  <c r="Q23" i="40"/>
  <c r="K28" i="40"/>
  <c r="F58" i="40"/>
  <c r="I30" i="40"/>
  <c r="J24" i="40"/>
  <c r="O19" i="40"/>
  <c r="J23" i="40"/>
  <c r="I37" i="40"/>
  <c r="L83" i="40"/>
  <c r="H56" i="40"/>
  <c r="J52" i="40"/>
  <c r="I40" i="40"/>
  <c r="I84" i="40"/>
  <c r="J25" i="40"/>
  <c r="J28" i="40"/>
  <c r="J44" i="40"/>
  <c r="J11" i="40"/>
  <c r="J33" i="40"/>
  <c r="J30" i="40"/>
  <c r="J32" i="40"/>
  <c r="I78" i="40"/>
  <c r="L58" i="40"/>
  <c r="P19" i="40"/>
  <c r="F34" i="40"/>
  <c r="H16" i="40"/>
  <c r="O48" i="40"/>
  <c r="AR8" i="41"/>
  <c r="F83" i="40"/>
  <c r="L57" i="40"/>
  <c r="N16" i="40"/>
  <c r="F56" i="40"/>
  <c r="AL43" i="40"/>
  <c r="AU43" i="40" s="1"/>
  <c r="AL46" i="40"/>
  <c r="AU46" i="40" s="1"/>
  <c r="AL45" i="40"/>
  <c r="K52" i="40"/>
  <c r="J13" i="40"/>
  <c r="AJ79" i="40"/>
  <c r="AJ80" i="40"/>
  <c r="AJ77" i="40"/>
  <c r="P17" i="40"/>
  <c r="J20" i="40"/>
  <c r="J49" i="40"/>
  <c r="I9" i="40"/>
  <c r="K54" i="40"/>
  <c r="K24" i="40"/>
  <c r="K56" i="40"/>
  <c r="F57" i="40"/>
  <c r="F13" i="40"/>
  <c r="F28" i="40"/>
  <c r="F11" i="40"/>
  <c r="Q16" i="40"/>
  <c r="K88" i="40"/>
  <c r="P60" i="40"/>
  <c r="P21" i="40"/>
  <c r="N31" i="40"/>
  <c r="O17" i="40"/>
  <c r="O59" i="40"/>
  <c r="I74" i="40"/>
  <c r="I89" i="40"/>
  <c r="J88" i="40"/>
  <c r="H41" i="40"/>
  <c r="G41" i="40"/>
  <c r="F10" i="40"/>
  <c r="K84" i="40"/>
  <c r="K98" i="40"/>
  <c r="K34" i="40"/>
  <c r="K57" i="40"/>
  <c r="K90" i="40"/>
  <c r="K30" i="40"/>
  <c r="K44" i="40"/>
  <c r="F84" i="40"/>
  <c r="F30" i="40"/>
  <c r="K29" i="40"/>
  <c r="K11" i="40"/>
  <c r="K22" i="40"/>
  <c r="F44" i="40"/>
  <c r="K74" i="40"/>
  <c r="K37" i="40"/>
  <c r="F20" i="40"/>
  <c r="P18" i="40"/>
  <c r="P27" i="40"/>
  <c r="H53" i="40"/>
  <c r="P56" i="40"/>
  <c r="H49" i="40"/>
  <c r="H24" i="40"/>
  <c r="H18" i="40"/>
  <c r="I33" i="40"/>
  <c r="K18" i="40"/>
  <c r="H48" i="40"/>
  <c r="G48" i="40"/>
  <c r="P9" i="40"/>
  <c r="P57" i="40"/>
  <c r="F36" i="40"/>
  <c r="F18" i="40"/>
  <c r="F26" i="40"/>
  <c r="F98" i="40"/>
  <c r="K27" i="40"/>
  <c r="K89" i="40"/>
  <c r="P89" i="40"/>
  <c r="H34" i="40"/>
  <c r="G18" i="40"/>
  <c r="H15" i="40"/>
  <c r="H22" i="40"/>
  <c r="H26" i="40"/>
  <c r="H10" i="40"/>
  <c r="H40" i="40"/>
  <c r="H57" i="40"/>
  <c r="G57" i="40"/>
  <c r="G40" i="40"/>
  <c r="Q57" i="40"/>
  <c r="Q32" i="40"/>
  <c r="H29" i="40"/>
  <c r="F49" i="40"/>
  <c r="K78" i="40"/>
  <c r="I44" i="40"/>
  <c r="F40" i="40"/>
  <c r="N57" i="40"/>
  <c r="K9" i="40"/>
  <c r="G10" i="40"/>
  <c r="H37" i="40"/>
  <c r="H54" i="40"/>
  <c r="H28" i="40"/>
  <c r="G25" i="40"/>
  <c r="G49" i="40"/>
  <c r="G30" i="40"/>
  <c r="K10" i="40"/>
  <c r="F16" i="40"/>
  <c r="F24" i="40"/>
  <c r="F37" i="40"/>
  <c r="F54" i="40"/>
  <c r="F75" i="40"/>
  <c r="K25" i="40"/>
  <c r="K26" i="40"/>
  <c r="I20" i="40"/>
  <c r="Q15" i="40"/>
  <c r="H9" i="40"/>
  <c r="K13" i="40"/>
  <c r="K23" i="40"/>
  <c r="K15" i="40"/>
  <c r="P61" i="40"/>
  <c r="P29" i="40"/>
  <c r="P52" i="40"/>
  <c r="Q34" i="40"/>
  <c r="H52" i="40"/>
  <c r="H33" i="40"/>
  <c r="G54" i="40"/>
  <c r="G20" i="40"/>
  <c r="Q24" i="40"/>
  <c r="F35" i="40"/>
  <c r="Q9" i="40"/>
  <c r="F42" i="40"/>
  <c r="F33" i="40"/>
  <c r="F52" i="40"/>
  <c r="F29" i="40"/>
  <c r="F25" i="40"/>
  <c r="K35" i="40"/>
  <c r="K75" i="40"/>
  <c r="K32" i="40"/>
  <c r="K33" i="40"/>
  <c r="K20" i="40"/>
  <c r="K36" i="40"/>
  <c r="K40" i="40"/>
  <c r="F74" i="40"/>
  <c r="AN8" i="41"/>
  <c r="P24" i="40"/>
  <c r="Q25" i="40"/>
  <c r="Q52" i="40"/>
  <c r="H35" i="40"/>
  <c r="G33" i="40"/>
  <c r="G52" i="40"/>
  <c r="N18" i="40"/>
  <c r="L41" i="40"/>
  <c r="O53" i="40"/>
  <c r="Q75" i="40"/>
  <c r="K41" i="40"/>
  <c r="K83" i="40"/>
  <c r="F89" i="40"/>
  <c r="K49" i="40"/>
  <c r="F41" i="40"/>
  <c r="O12" i="40"/>
  <c r="H88" i="40"/>
  <c r="G32" i="40"/>
  <c r="F90" i="40"/>
  <c r="F78" i="40"/>
  <c r="K55" i="40"/>
  <c r="L59" i="40"/>
  <c r="L53" i="40"/>
  <c r="L15" i="40"/>
  <c r="K76" i="40"/>
  <c r="G84" i="40"/>
  <c r="G88" i="40"/>
  <c r="N88" i="40"/>
  <c r="N83" i="40"/>
  <c r="N89" i="40"/>
  <c r="H78" i="40"/>
  <c r="Q98" i="40"/>
  <c r="Q19" i="40"/>
  <c r="J76" i="40"/>
  <c r="H89" i="40"/>
  <c r="G55" i="40"/>
  <c r="N17" i="40"/>
  <c r="N53" i="40"/>
  <c r="L88" i="40"/>
  <c r="Q61" i="40"/>
  <c r="Q83" i="40"/>
  <c r="Q41" i="40"/>
  <c r="G89" i="40"/>
  <c r="L98" i="40"/>
  <c r="N78" i="40"/>
  <c r="J98" i="40"/>
  <c r="AL8" i="41"/>
  <c r="J75" i="40"/>
  <c r="N76" i="40"/>
  <c r="F76" i="40"/>
  <c r="N74" i="40"/>
  <c r="O76" i="40"/>
  <c r="H90" i="40"/>
  <c r="H76" i="40"/>
  <c r="I76" i="40"/>
  <c r="H98" i="40"/>
  <c r="H74" i="40"/>
  <c r="H75" i="40"/>
  <c r="G74" i="40"/>
  <c r="Q84" i="40"/>
  <c r="H84" i="40"/>
  <c r="L76" i="40"/>
  <c r="L90" i="40"/>
  <c r="L78" i="40"/>
  <c r="O98" i="40"/>
  <c r="O78" i="40"/>
  <c r="O75" i="40"/>
  <c r="P83" i="40"/>
  <c r="I90" i="40"/>
  <c r="O74" i="40"/>
  <c r="Q74" i="40"/>
  <c r="Q78" i="40"/>
  <c r="P78" i="40"/>
  <c r="N75" i="40"/>
  <c r="L75" i="40"/>
  <c r="L89" i="40"/>
  <c r="L84" i="40"/>
  <c r="O90" i="40"/>
  <c r="O84" i="40"/>
  <c r="O88" i="40"/>
  <c r="P98" i="40"/>
  <c r="J35" i="40"/>
  <c r="J41" i="40"/>
  <c r="J89" i="40"/>
  <c r="J36" i="40"/>
  <c r="J84" i="40"/>
  <c r="P90" i="40"/>
  <c r="P75" i="40"/>
  <c r="G76" i="40"/>
  <c r="G78" i="40"/>
  <c r="Q89" i="40"/>
  <c r="O89" i="40"/>
  <c r="N98" i="40"/>
  <c r="N90" i="40"/>
  <c r="N84" i="40"/>
  <c r="L74" i="40"/>
  <c r="Q90" i="40"/>
  <c r="Q76" i="40"/>
  <c r="J74" i="40"/>
  <c r="J78" i="40"/>
  <c r="J90" i="40"/>
  <c r="G90" i="40"/>
  <c r="G98" i="40"/>
  <c r="I49" i="40"/>
  <c r="I98" i="40"/>
  <c r="P74" i="40"/>
  <c r="P84" i="40"/>
  <c r="P76" i="40"/>
  <c r="P88" i="40"/>
  <c r="G75" i="40"/>
  <c r="Q88" i="40"/>
  <c r="H36" i="40"/>
  <c r="J54" i="40"/>
  <c r="N48" i="40"/>
  <c r="N28" i="40"/>
  <c r="F9" i="40"/>
  <c r="J29" i="40"/>
  <c r="G37" i="40"/>
  <c r="G13" i="40"/>
  <c r="G22" i="40"/>
  <c r="I36" i="40"/>
  <c r="G26" i="40"/>
  <c r="G24" i="40"/>
  <c r="G56" i="40"/>
  <c r="F32" i="40"/>
  <c r="H13" i="40"/>
  <c r="J22" i="40"/>
  <c r="G15" i="40"/>
  <c r="G35" i="40"/>
  <c r="J9" i="40"/>
  <c r="P59" i="40"/>
  <c r="P15" i="40"/>
  <c r="I23" i="40"/>
  <c r="N12" i="40"/>
  <c r="K42" i="40"/>
  <c r="H32" i="40"/>
  <c r="H11" i="40"/>
  <c r="H42" i="40"/>
  <c r="J37" i="40"/>
  <c r="J40" i="40"/>
  <c r="J27" i="40"/>
  <c r="AM8" i="41"/>
  <c r="G11" i="40"/>
  <c r="G42" i="40"/>
  <c r="G36" i="40"/>
  <c r="G44" i="40"/>
  <c r="G27" i="40"/>
  <c r="Q22" i="40"/>
  <c r="H23" i="40"/>
  <c r="F27" i="40"/>
  <c r="G34" i="40"/>
  <c r="G16" i="40"/>
  <c r="G29" i="40"/>
  <c r="Q11" i="40"/>
  <c r="Q30" i="40"/>
  <c r="L32" i="40"/>
  <c r="N58" i="40"/>
  <c r="L18" i="40"/>
  <c r="L52" i="40"/>
  <c r="AQ8" i="41"/>
  <c r="P62" i="40"/>
  <c r="P13" i="40"/>
  <c r="L28" i="40"/>
  <c r="H20" i="40"/>
  <c r="O62" i="40"/>
  <c r="O37" i="40"/>
  <c r="P31" i="40"/>
  <c r="P14" i="40"/>
  <c r="H25" i="40"/>
  <c r="P32" i="40"/>
  <c r="P12" i="40"/>
  <c r="Q42" i="40"/>
  <c r="Q13" i="40"/>
  <c r="Q26" i="40"/>
  <c r="Q35" i="40"/>
  <c r="O34" i="40"/>
  <c r="O11" i="40"/>
  <c r="N13" i="40"/>
  <c r="N26" i="40"/>
  <c r="N60" i="40"/>
  <c r="N19" i="40"/>
  <c r="N22" i="40"/>
  <c r="N9" i="40"/>
  <c r="N23" i="40"/>
  <c r="L60" i="40"/>
  <c r="L20" i="40"/>
  <c r="L34" i="40"/>
  <c r="L16" i="40"/>
  <c r="G9" i="40"/>
  <c r="P11" i="40"/>
  <c r="P20" i="40"/>
  <c r="P37" i="40"/>
  <c r="P34" i="40"/>
  <c r="P42" i="40"/>
  <c r="P22" i="40"/>
  <c r="H27" i="40"/>
  <c r="H44" i="40"/>
  <c r="I42" i="40"/>
  <c r="P28" i="40"/>
  <c r="J42" i="40"/>
  <c r="J61" i="40"/>
  <c r="L30" i="40"/>
  <c r="L48" i="40"/>
  <c r="N62" i="40"/>
  <c r="L31" i="40"/>
  <c r="G23" i="40"/>
  <c r="N56" i="40"/>
  <c r="H30" i="40"/>
  <c r="F23" i="40"/>
  <c r="G28" i="40"/>
  <c r="O60" i="40"/>
  <c r="Q20" i="40"/>
  <c r="Q27" i="40"/>
  <c r="Q49" i="40"/>
  <c r="Q29" i="40"/>
  <c r="Q28" i="40"/>
  <c r="Q37" i="40"/>
  <c r="Q54" i="40"/>
  <c r="Q40" i="40"/>
  <c r="Q10" i="40"/>
  <c r="Q18" i="40"/>
  <c r="Q36" i="40"/>
  <c r="I27" i="40"/>
  <c r="P16" i="40"/>
  <c r="P53" i="40"/>
  <c r="O54" i="40"/>
  <c r="O56" i="40"/>
  <c r="O57" i="40"/>
  <c r="O30" i="40"/>
  <c r="O58" i="40"/>
  <c r="N44" i="40"/>
  <c r="N35" i="40"/>
  <c r="L11" i="40"/>
  <c r="L24" i="40"/>
  <c r="L36" i="40"/>
  <c r="O23" i="40"/>
  <c r="O24" i="40"/>
  <c r="O33" i="40"/>
  <c r="O49" i="40"/>
  <c r="N42" i="40"/>
  <c r="N11" i="40"/>
  <c r="N41" i="40"/>
  <c r="N32" i="40"/>
  <c r="N36" i="40"/>
  <c r="L35" i="40"/>
  <c r="L26" i="40"/>
  <c r="L22" i="40"/>
  <c r="L42" i="40"/>
  <c r="L13" i="40"/>
  <c r="L40" i="40"/>
  <c r="L44" i="40"/>
  <c r="L49" i="40"/>
  <c r="L54" i="40"/>
  <c r="L9" i="40"/>
  <c r="L10" i="40"/>
  <c r="N24" i="40"/>
  <c r="N54" i="40"/>
  <c r="N55" i="40"/>
  <c r="O18" i="40"/>
  <c r="O35" i="40"/>
  <c r="O26" i="40"/>
  <c r="N52" i="40"/>
  <c r="O42" i="40"/>
  <c r="O40" i="40"/>
  <c r="AT8" i="41"/>
  <c r="O41" i="40"/>
  <c r="O36" i="40"/>
  <c r="N10" i="40"/>
  <c r="N33" i="40"/>
  <c r="N40" i="40"/>
  <c r="N37" i="40"/>
  <c r="L25" i="40"/>
  <c r="L27" i="40"/>
  <c r="N25" i="40"/>
  <c r="O22" i="40"/>
  <c r="O16" i="40"/>
  <c r="O29" i="40"/>
  <c r="O44" i="40"/>
  <c r="O27" i="40"/>
  <c r="O13" i="40"/>
  <c r="O32" i="40"/>
  <c r="O25" i="40"/>
  <c r="O20" i="40"/>
  <c r="O9" i="40"/>
  <c r="P40" i="40"/>
  <c r="P49" i="40"/>
  <c r="Q33" i="40"/>
  <c r="Q44" i="40"/>
  <c r="I32" i="40"/>
  <c r="P44" i="40"/>
  <c r="P54" i="40"/>
  <c r="P26" i="40"/>
  <c r="P33" i="40"/>
  <c r="P25" i="40"/>
  <c r="P10" i="40"/>
  <c r="P30" i="40"/>
  <c r="P35" i="40"/>
  <c r="P23" i="40"/>
  <c r="P41" i="40"/>
  <c r="P36" i="40"/>
  <c r="AW8" i="41"/>
  <c r="AV8" i="41"/>
  <c r="AO8" i="41"/>
  <c r="L37" i="40"/>
  <c r="AP8" i="41"/>
  <c r="O21" i="40"/>
  <c r="N49" i="40"/>
  <c r="N29" i="40"/>
  <c r="N61" i="40"/>
  <c r="L56" i="40"/>
  <c r="N15" i="40"/>
  <c r="N34" i="40"/>
  <c r="L23" i="40"/>
  <c r="O28" i="40"/>
  <c r="N21" i="40"/>
  <c r="N59" i="40"/>
  <c r="P58" i="40"/>
  <c r="O61" i="40"/>
  <c r="O55" i="40"/>
  <c r="P55" i="40"/>
  <c r="L55" i="40"/>
  <c r="L61" i="40"/>
  <c r="O10" i="40"/>
  <c r="N20" i="40"/>
  <c r="O15" i="40"/>
  <c r="N30" i="40"/>
  <c r="O52" i="40"/>
  <c r="AU8" i="41"/>
  <c r="L29" i="40"/>
  <c r="L33" i="40"/>
  <c r="N27" i="40"/>
  <c r="BY43" i="40"/>
  <c r="BY46" i="40"/>
  <c r="M7" i="40"/>
  <c r="AL9" i="40" l="1"/>
  <c r="BY45" i="40"/>
  <c r="AU45" i="40"/>
  <c r="K7" i="40"/>
  <c r="F7" i="40"/>
  <c r="I7" i="40"/>
  <c r="H7" i="40"/>
  <c r="G7" i="40"/>
  <c r="J7" i="40"/>
  <c r="P7" i="40"/>
  <c r="Q7" i="40"/>
  <c r="F40" i="38"/>
  <c r="F41" i="38"/>
  <c r="F38" i="38"/>
  <c r="O7" i="40"/>
  <c r="N7" i="40"/>
  <c r="L7" i="40"/>
  <c r="B57" i="39"/>
  <c r="B55" i="39"/>
  <c r="B54" i="39"/>
  <c r="B53" i="39"/>
  <c r="B52" i="39"/>
  <c r="B51" i="39"/>
  <c r="B50" i="39"/>
  <c r="B49" i="39"/>
  <c r="B48" i="39"/>
  <c r="B47" i="39"/>
  <c r="B44" i="39"/>
  <c r="B43" i="39"/>
  <c r="B42" i="39"/>
  <c r="B41" i="39"/>
  <c r="B40" i="39"/>
  <c r="B39" i="39"/>
  <c r="B38" i="39"/>
  <c r="B37" i="39"/>
  <c r="B36" i="39"/>
  <c r="B35" i="39"/>
  <c r="B32" i="39"/>
  <c r="B31" i="39"/>
  <c r="B30" i="39"/>
  <c r="B29" i="39"/>
  <c r="B28" i="39"/>
  <c r="B27" i="39"/>
  <c r="B26" i="39"/>
  <c r="B25" i="39"/>
  <c r="B24" i="39"/>
  <c r="B23" i="39"/>
  <c r="B22" i="39"/>
  <c r="B21" i="39"/>
  <c r="B20" i="39"/>
  <c r="B19" i="39"/>
  <c r="B18" i="39"/>
  <c r="B17" i="39"/>
  <c r="B16" i="39"/>
  <c r="B15" i="39"/>
  <c r="B14" i="39"/>
  <c r="B13" i="39"/>
  <c r="B12" i="39"/>
  <c r="B11" i="39"/>
  <c r="B10" i="39"/>
  <c r="B9" i="39"/>
  <c r="B8" i="39"/>
  <c r="B7" i="39"/>
  <c r="B6" i="39"/>
  <c r="B5" i="39"/>
  <c r="B4" i="39"/>
  <c r="B3" i="39"/>
  <c r="A29" i="30"/>
  <c r="A29" i="37" s="1"/>
  <c r="A28" i="30"/>
  <c r="A28" i="37" s="1"/>
  <c r="A73" i="39" l="1"/>
  <c r="A78" i="39"/>
  <c r="A83" i="39"/>
  <c r="A87" i="39"/>
  <c r="A91" i="39"/>
  <c r="A95" i="39"/>
  <c r="A99" i="39"/>
  <c r="A103" i="39"/>
  <c r="A109" i="39"/>
  <c r="A113" i="39"/>
  <c r="A117" i="39"/>
  <c r="A75" i="39"/>
  <c r="A79" i="39"/>
  <c r="A84" i="39"/>
  <c r="A88" i="39"/>
  <c r="A92" i="39"/>
  <c r="A96" i="39"/>
  <c r="A100" i="39"/>
  <c r="A105" i="39"/>
  <c r="A110" i="39"/>
  <c r="A114" i="39"/>
  <c r="A118" i="39"/>
  <c r="A70" i="39"/>
  <c r="A76" i="39"/>
  <c r="A81" i="39"/>
  <c r="A85" i="39"/>
  <c r="A89" i="39"/>
  <c r="A93" i="39"/>
  <c r="A97" i="39"/>
  <c r="A101" i="39"/>
  <c r="A106" i="39"/>
  <c r="A111" i="39"/>
  <c r="A115" i="39"/>
  <c r="A69" i="39"/>
  <c r="A71" i="39"/>
  <c r="A77" i="39"/>
  <c r="A82" i="39"/>
  <c r="A86" i="39"/>
  <c r="A90" i="39"/>
  <c r="A94" i="39"/>
  <c r="A98" i="39"/>
  <c r="A102" i="39"/>
  <c r="A107" i="39"/>
  <c r="A112" i="39"/>
  <c r="A116" i="39"/>
  <c r="A80" i="39"/>
  <c r="A74" i="39"/>
  <c r="A72" i="39"/>
  <c r="A108" i="39"/>
  <c r="A104" i="39"/>
  <c r="J35" i="39"/>
  <c r="BO101" i="40" s="1"/>
  <c r="J36" i="39"/>
  <c r="BO102" i="40" s="1"/>
  <c r="J40" i="39"/>
  <c r="J43" i="39"/>
  <c r="BO109" i="40" s="1"/>
  <c r="J37" i="39"/>
  <c r="BO103" i="40" s="1"/>
  <c r="J41" i="39"/>
  <c r="J44" i="39"/>
  <c r="BO110" i="40" s="1"/>
  <c r="J39" i="39"/>
  <c r="BO105" i="40" s="1"/>
  <c r="A20" i="30"/>
  <c r="A20" i="37" s="1"/>
  <c r="J38" i="39"/>
  <c r="J42" i="39"/>
  <c r="A5" i="30"/>
  <c r="A5" i="37" s="1"/>
  <c r="A9" i="30"/>
  <c r="A9" i="37" s="1"/>
  <c r="A17" i="30"/>
  <c r="A17" i="37" s="1"/>
  <c r="J5" i="39"/>
  <c r="J9" i="39"/>
  <c r="J13" i="39"/>
  <c r="J17" i="39"/>
  <c r="J21" i="39"/>
  <c r="J25" i="39"/>
  <c r="J29" i="39"/>
  <c r="J48" i="39"/>
  <c r="BO114" i="40" s="1"/>
  <c r="J52" i="39"/>
  <c r="BO118" i="40" s="1"/>
  <c r="J6" i="39"/>
  <c r="J10" i="39"/>
  <c r="J14" i="39"/>
  <c r="J18" i="39"/>
  <c r="J22" i="39"/>
  <c r="J26" i="39"/>
  <c r="J30" i="39"/>
  <c r="J49" i="39"/>
  <c r="BO115" i="40" s="1"/>
  <c r="J53" i="39"/>
  <c r="BO119" i="40" s="1"/>
  <c r="J50" i="39"/>
  <c r="BO116" i="40" s="1"/>
  <c r="J54" i="39"/>
  <c r="BO120" i="40" s="1"/>
  <c r="J57" i="39"/>
  <c r="BO123" i="40" s="1"/>
  <c r="J47" i="39"/>
  <c r="BO113" i="40" s="1"/>
  <c r="J51" i="39"/>
  <c r="BO117" i="40" s="1"/>
  <c r="J55" i="39"/>
  <c r="BO121" i="40" s="1"/>
  <c r="A12" i="30"/>
  <c r="A12" i="37" s="1"/>
  <c r="A21" i="30"/>
  <c r="A21" i="37" s="1"/>
  <c r="A4" i="30"/>
  <c r="A4" i="37" s="1"/>
  <c r="A13" i="30"/>
  <c r="A13" i="37" s="1"/>
  <c r="A25" i="30"/>
  <c r="A25" i="37" s="1"/>
  <c r="A8" i="30"/>
  <c r="A8" i="37" s="1"/>
  <c r="A16" i="30"/>
  <c r="A16" i="37" s="1"/>
  <c r="A24" i="30"/>
  <c r="A24" i="37" s="1"/>
  <c r="A6" i="30"/>
  <c r="A6" i="37" s="1"/>
  <c r="J7" i="39"/>
  <c r="A10" i="30"/>
  <c r="A10" i="37" s="1"/>
  <c r="J11" i="39"/>
  <c r="A14" i="30"/>
  <c r="A14" i="37" s="1"/>
  <c r="J15" i="39"/>
  <c r="A18" i="30"/>
  <c r="A18" i="37" s="1"/>
  <c r="J19" i="39"/>
  <c r="A22" i="30"/>
  <c r="A22" i="37" s="1"/>
  <c r="J23" i="39"/>
  <c r="A26" i="30"/>
  <c r="A26" i="37" s="1"/>
  <c r="J27" i="39"/>
  <c r="A30" i="30"/>
  <c r="A30" i="37" s="1"/>
  <c r="J31" i="39"/>
  <c r="A3" i="30"/>
  <c r="A3" i="37" s="1"/>
  <c r="A7" i="30"/>
  <c r="A7" i="37" s="1"/>
  <c r="J8" i="39"/>
  <c r="A11" i="30"/>
  <c r="A11" i="37" s="1"/>
  <c r="J12" i="39"/>
  <c r="A15" i="30"/>
  <c r="A15" i="37" s="1"/>
  <c r="J16" i="39"/>
  <c r="A19" i="30"/>
  <c r="A19" i="37" s="1"/>
  <c r="J20" i="39"/>
  <c r="A23" i="30"/>
  <c r="A23" i="37" s="1"/>
  <c r="J24" i="39"/>
  <c r="A27" i="30"/>
  <c r="A27" i="37" s="1"/>
  <c r="J28" i="39"/>
  <c r="A31" i="30"/>
  <c r="A31" i="37" s="1"/>
  <c r="J32" i="39"/>
  <c r="B2" i="30"/>
  <c r="AE35" i="39" l="1"/>
  <c r="AE36" i="39"/>
  <c r="BO74" i="40"/>
  <c r="C8" i="39"/>
  <c r="AA8" i="39" s="1"/>
  <c r="BO98" i="40"/>
  <c r="C32" i="39"/>
  <c r="AA32" i="39" s="1"/>
  <c r="BO82" i="40"/>
  <c r="C16" i="39"/>
  <c r="AA16" i="39" s="1"/>
  <c r="BO84" i="40"/>
  <c r="C18" i="39"/>
  <c r="AA18" i="39" s="1"/>
  <c r="BO87" i="40"/>
  <c r="C21" i="39"/>
  <c r="AA21" i="39" s="1"/>
  <c r="BO93" i="40"/>
  <c r="C27" i="39"/>
  <c r="AA27" i="39" s="1"/>
  <c r="BO85" i="40"/>
  <c r="C19" i="39"/>
  <c r="AA19" i="39" s="1"/>
  <c r="BO77" i="40"/>
  <c r="C11" i="39"/>
  <c r="AA11" i="39" s="1"/>
  <c r="BO96" i="40"/>
  <c r="C30" i="39"/>
  <c r="AA30" i="39" s="1"/>
  <c r="BO80" i="40"/>
  <c r="C14" i="39"/>
  <c r="AA14" i="39" s="1"/>
  <c r="BO83" i="40"/>
  <c r="C17" i="39"/>
  <c r="AA17" i="39" s="1"/>
  <c r="BO90" i="40"/>
  <c r="C24" i="39"/>
  <c r="AA24" i="39" s="1"/>
  <c r="BO71" i="40"/>
  <c r="C5" i="39"/>
  <c r="AA5" i="39" s="1"/>
  <c r="BO94" i="40"/>
  <c r="C28" i="39"/>
  <c r="AA28" i="39" s="1"/>
  <c r="BO86" i="40"/>
  <c r="C20" i="39"/>
  <c r="AA20" i="39" s="1"/>
  <c r="BO78" i="40"/>
  <c r="C12" i="39"/>
  <c r="AA12" i="39" s="1"/>
  <c r="BO92" i="40"/>
  <c r="C26" i="39"/>
  <c r="AA26" i="39" s="1"/>
  <c r="BO76" i="40"/>
  <c r="C10" i="39"/>
  <c r="AA10" i="39" s="1"/>
  <c r="BO95" i="40"/>
  <c r="C29" i="39"/>
  <c r="AA29" i="39" s="1"/>
  <c r="BO79" i="40"/>
  <c r="C13" i="39"/>
  <c r="AA13" i="39" s="1"/>
  <c r="BO70" i="40"/>
  <c r="AA4" i="39"/>
  <c r="BO97" i="40"/>
  <c r="C31" i="39"/>
  <c r="AA31" i="39" s="1"/>
  <c r="BO89" i="40"/>
  <c r="C23" i="39"/>
  <c r="AA23" i="39" s="1"/>
  <c r="BO81" i="40"/>
  <c r="C15" i="39"/>
  <c r="AA15" i="39" s="1"/>
  <c r="BO73" i="40"/>
  <c r="C7" i="39"/>
  <c r="AA7" i="39" s="1"/>
  <c r="BO88" i="40"/>
  <c r="C22" i="39"/>
  <c r="AA22" i="39" s="1"/>
  <c r="BO72" i="40"/>
  <c r="C6" i="39"/>
  <c r="AA6" i="39" s="1"/>
  <c r="BO91" i="40"/>
  <c r="C25" i="39"/>
  <c r="AA25" i="39" s="1"/>
  <c r="BO75" i="40"/>
  <c r="C9" i="39"/>
  <c r="AA9" i="39" s="1"/>
  <c r="F41" i="39"/>
  <c r="BO107" i="40"/>
  <c r="F42" i="39"/>
  <c r="BO108" i="40"/>
  <c r="F38" i="39"/>
  <c r="BO104" i="40"/>
  <c r="F40" i="39"/>
  <c r="BO106" i="40"/>
  <c r="M20" i="39"/>
  <c r="H19" i="30" s="1"/>
  <c r="M30" i="39"/>
  <c r="H29" i="30" s="1"/>
  <c r="M14" i="39"/>
  <c r="H13" i="30" s="1"/>
  <c r="M21" i="39"/>
  <c r="F20" i="37" s="1"/>
  <c r="M5" i="39"/>
  <c r="F4" i="37" s="1"/>
  <c r="E42" i="39"/>
  <c r="M12" i="39"/>
  <c r="H11" i="30" s="1"/>
  <c r="M27" i="39"/>
  <c r="H26" i="30" s="1"/>
  <c r="M19" i="39"/>
  <c r="H18" i="30" s="1"/>
  <c r="M11" i="39"/>
  <c r="H10" i="30" s="1"/>
  <c r="M26" i="39"/>
  <c r="F25" i="37" s="1"/>
  <c r="M10" i="39"/>
  <c r="F9" i="37" s="1"/>
  <c r="M17" i="39"/>
  <c r="F16" i="37" s="1"/>
  <c r="E40" i="39"/>
  <c r="M22" i="39"/>
  <c r="F21" i="37" s="1"/>
  <c r="M6" i="39"/>
  <c r="H5" i="30" s="1"/>
  <c r="M29" i="39"/>
  <c r="F28" i="37" s="1"/>
  <c r="M13" i="39"/>
  <c r="F12" i="37" s="1"/>
  <c r="E77" i="39"/>
  <c r="E38" i="39"/>
  <c r="M28" i="39"/>
  <c r="H27" i="30" s="1"/>
  <c r="M32" i="39"/>
  <c r="F31" i="37" s="1"/>
  <c r="M24" i="39"/>
  <c r="H23" i="30" s="1"/>
  <c r="M16" i="39"/>
  <c r="F15" i="37" s="1"/>
  <c r="M8" i="39"/>
  <c r="F7" i="37" s="1"/>
  <c r="M31" i="39"/>
  <c r="H30" i="30" s="1"/>
  <c r="M23" i="39"/>
  <c r="F22" i="37" s="1"/>
  <c r="M15" i="39"/>
  <c r="F14" i="37" s="1"/>
  <c r="M7" i="39"/>
  <c r="F6" i="37" s="1"/>
  <c r="M18" i="39"/>
  <c r="F17" i="37" s="1"/>
  <c r="M25" i="39"/>
  <c r="F24" i="37" s="1"/>
  <c r="M9" i="39"/>
  <c r="F8" i="37" s="1"/>
  <c r="E41" i="39"/>
  <c r="J3" i="39"/>
  <c r="X6" i="39" s="1"/>
  <c r="M4" i="39"/>
  <c r="E24" i="30"/>
  <c r="E20" i="30"/>
  <c r="E11" i="30"/>
  <c r="E75" i="39"/>
  <c r="E76" i="39"/>
  <c r="E74" i="39"/>
  <c r="E72" i="39"/>
  <c r="H4" i="30" l="1"/>
  <c r="AC36" i="39"/>
  <c r="AC39" i="39" s="1"/>
  <c r="AC35" i="39"/>
  <c r="AC38" i="39" s="1"/>
  <c r="H16" i="30"/>
  <c r="F5" i="37"/>
  <c r="F13" i="37"/>
  <c r="F26" i="37"/>
  <c r="F10" i="37"/>
  <c r="H25" i="30"/>
  <c r="H22" i="30"/>
  <c r="H28" i="30"/>
  <c r="F23" i="37"/>
  <c r="H12" i="30"/>
  <c r="F11" i="37"/>
  <c r="H14" i="30"/>
  <c r="H15" i="30"/>
  <c r="H7" i="30"/>
  <c r="F27" i="37"/>
  <c r="H24" i="30"/>
  <c r="H17" i="30"/>
  <c r="H8" i="30"/>
  <c r="F18" i="37"/>
  <c r="F19" i="37"/>
  <c r="H21" i="30"/>
  <c r="H31" i="30"/>
  <c r="H9" i="30"/>
  <c r="H6" i="30"/>
  <c r="F30" i="37"/>
  <c r="H20" i="30"/>
  <c r="F29" i="37"/>
  <c r="F3" i="37"/>
  <c r="H3" i="30"/>
  <c r="B34" i="37"/>
  <c r="F11" i="29" l="1"/>
  <c r="E11" i="29"/>
  <c r="D11" i="29"/>
  <c r="C11" i="29"/>
  <c r="C10" i="29"/>
  <c r="C6" i="29"/>
  <c r="A96" i="37"/>
  <c r="A95" i="37"/>
  <c r="A94" i="37"/>
  <c r="A93" i="37"/>
  <c r="A92" i="37"/>
  <c r="A91" i="37"/>
  <c r="A90" i="37"/>
  <c r="A89" i="37"/>
  <c r="A88" i="37"/>
  <c r="A87" i="37"/>
  <c r="A86" i="37"/>
  <c r="A85" i="37"/>
  <c r="A84" i="37"/>
  <c r="A83" i="37"/>
  <c r="A82" i="37"/>
  <c r="A81" i="37"/>
  <c r="A80" i="37"/>
  <c r="A79" i="37"/>
  <c r="A77" i="37"/>
  <c r="A76" i="37"/>
  <c r="A75" i="37"/>
  <c r="A74" i="37"/>
  <c r="A73" i="37"/>
  <c r="A72" i="37"/>
  <c r="A70" i="37"/>
  <c r="A69" i="37"/>
  <c r="A68" i="37"/>
  <c r="A56" i="37"/>
  <c r="A52" i="37"/>
  <c r="A43" i="37"/>
  <c r="A63" i="37"/>
  <c r="A60" i="37"/>
  <c r="A55" i="37"/>
  <c r="A54" i="37"/>
  <c r="A53" i="37"/>
  <c r="A51" i="37"/>
  <c r="A47" i="37"/>
  <c r="A42" i="37"/>
  <c r="A40" i="37"/>
  <c r="A39" i="37"/>
  <c r="A37" i="37"/>
  <c r="C4" i="29" l="1"/>
  <c r="C5" i="29"/>
  <c r="E9" i="28"/>
  <c r="E9" i="29" s="1"/>
  <c r="E7" i="28"/>
  <c r="E7" i="29" s="1"/>
  <c r="C56" i="39"/>
  <c r="C116" i="39" s="1"/>
  <c r="C8" i="29"/>
  <c r="E5" i="28"/>
  <c r="K5" i="28" s="1"/>
  <c r="C80" i="39"/>
  <c r="E6" i="30"/>
  <c r="C102" i="39"/>
  <c r="A62" i="37"/>
  <c r="A49" i="37"/>
  <c r="A50" i="37"/>
  <c r="A57" i="37"/>
  <c r="A44" i="37"/>
  <c r="A58" i="37"/>
  <c r="A46" i="37"/>
  <c r="A61" i="37"/>
  <c r="A59" i="37"/>
  <c r="A48" i="37"/>
  <c r="A36" i="37"/>
  <c r="A41" i="37"/>
  <c r="A35" i="37"/>
  <c r="C85" i="39"/>
  <c r="E13" i="30"/>
  <c r="C113" i="39"/>
  <c r="C101" i="39"/>
  <c r="C90" i="39"/>
  <c r="C79" i="39"/>
  <c r="C73" i="39"/>
  <c r="C71" i="39"/>
  <c r="C97" i="39"/>
  <c r="C111" i="39"/>
  <c r="C103" i="39"/>
  <c r="C100" i="39"/>
  <c r="C104" i="39"/>
  <c r="E30" i="30"/>
  <c r="E28" i="30"/>
  <c r="E26" i="30"/>
  <c r="C81" i="39"/>
  <c r="C99" i="39"/>
  <c r="E19" i="30"/>
  <c r="E17" i="30"/>
  <c r="C107" i="39"/>
  <c r="C78" i="39"/>
  <c r="C70" i="39"/>
  <c r="C96" i="39"/>
  <c r="C112" i="39"/>
  <c r="C115" i="39"/>
  <c r="C118" i="39"/>
  <c r="E22" i="30"/>
  <c r="C86" i="39"/>
  <c r="C117" i="39"/>
  <c r="E31" i="30"/>
  <c r="C110" i="39"/>
  <c r="C87" i="39"/>
  <c r="E16" i="30"/>
  <c r="E15" i="30"/>
  <c r="E12" i="30"/>
  <c r="C89" i="39"/>
  <c r="C105" i="39"/>
  <c r="C95" i="39"/>
  <c r="E4" i="30"/>
  <c r="C83" i="39"/>
  <c r="C91" i="39"/>
  <c r="E18" i="30"/>
  <c r="C92" i="39"/>
  <c r="E10" i="30"/>
  <c r="E8" i="30"/>
  <c r="E5" i="30"/>
  <c r="C106" i="39"/>
  <c r="E27" i="30"/>
  <c r="E25" i="30"/>
  <c r="E21" i="30"/>
  <c r="C94" i="39"/>
  <c r="E14" i="30"/>
  <c r="C82" i="39"/>
  <c r="C98" i="39"/>
  <c r="C114" i="39"/>
  <c r="C84" i="39"/>
  <c r="E7" i="30"/>
  <c r="E29" i="30"/>
  <c r="E23" i="30"/>
  <c r="C109" i="39"/>
  <c r="C93" i="39"/>
  <c r="E9" i="30"/>
  <c r="F5" i="28"/>
  <c r="D6" i="28"/>
  <c r="D6" i="29" s="1"/>
  <c r="F7" i="28"/>
  <c r="F7" i="29" s="1"/>
  <c r="D8" i="28"/>
  <c r="F9" i="28"/>
  <c r="F9" i="29" s="1"/>
  <c r="D10" i="28"/>
  <c r="D10" i="29" s="1"/>
  <c r="E6" i="28"/>
  <c r="E6" i="29" s="1"/>
  <c r="E8" i="28"/>
  <c r="E8" i="29" s="1"/>
  <c r="C9" i="29"/>
  <c r="E10" i="28"/>
  <c r="E10" i="29" s="1"/>
  <c r="F3" i="29"/>
  <c r="D5" i="28"/>
  <c r="F6" i="28"/>
  <c r="D7" i="28"/>
  <c r="D7" i="29" s="1"/>
  <c r="F8" i="28"/>
  <c r="D9" i="28"/>
  <c r="D9" i="29" s="1"/>
  <c r="F10" i="28"/>
  <c r="E3" i="29"/>
  <c r="D3" i="29"/>
  <c r="D8" i="29"/>
  <c r="C72" i="39" l="1"/>
  <c r="C74" i="39"/>
  <c r="AA44" i="37"/>
  <c r="AB44" i="37" s="1"/>
  <c r="C76" i="39"/>
  <c r="C75" i="39"/>
  <c r="C77" i="39"/>
  <c r="AA52" i="37"/>
  <c r="AB52" i="37" s="1"/>
  <c r="AH52" i="37"/>
  <c r="AA35" i="37"/>
  <c r="AB35" i="37" s="1"/>
  <c r="AH35" i="37"/>
  <c r="AA39" i="37"/>
  <c r="AB39" i="37" s="1"/>
  <c r="AH39" i="37"/>
  <c r="AA49" i="37"/>
  <c r="AB49" i="37" s="1"/>
  <c r="AH49" i="37"/>
  <c r="AA58" i="37"/>
  <c r="AB58" i="37" s="1"/>
  <c r="AH58" i="37"/>
  <c r="AA57" i="37"/>
  <c r="AB57" i="37" s="1"/>
  <c r="AH57" i="37"/>
  <c r="AA40" i="37"/>
  <c r="AB40" i="37" s="1"/>
  <c r="AH40" i="37"/>
  <c r="AA62" i="37"/>
  <c r="AB62" i="37" s="1"/>
  <c r="AH62" i="37"/>
  <c r="AA46" i="37"/>
  <c r="AB46" i="37" s="1"/>
  <c r="AH46" i="37"/>
  <c r="AA42" i="37"/>
  <c r="AB42" i="37" s="1"/>
  <c r="AH42" i="37"/>
  <c r="AA50" i="37"/>
  <c r="AB50" i="37" s="1"/>
  <c r="AH50" i="37"/>
  <c r="AA36" i="37"/>
  <c r="AB36" i="37" s="1"/>
  <c r="AH36" i="37"/>
  <c r="AA56" i="37"/>
  <c r="AB56" i="37" s="1"/>
  <c r="AH56" i="37"/>
  <c r="AH37" i="37"/>
  <c r="AA37" i="37"/>
  <c r="AB37" i="37" s="1"/>
  <c r="AA38" i="37"/>
  <c r="AB38" i="37" s="1"/>
  <c r="AH38" i="37"/>
  <c r="AA47" i="37"/>
  <c r="AB47" i="37" s="1"/>
  <c r="AH47" i="37"/>
  <c r="AA43" i="37"/>
  <c r="AB43" i="37" s="1"/>
  <c r="AH43" i="37"/>
  <c r="AA45" i="37"/>
  <c r="AB45" i="37" s="1"/>
  <c r="AH45" i="37"/>
  <c r="AA41" i="37"/>
  <c r="AB41" i="37" s="1"/>
  <c r="AH41" i="37"/>
  <c r="AH48" i="37"/>
  <c r="AA48" i="37"/>
  <c r="AB48" i="37" s="1"/>
  <c r="AA51" i="37"/>
  <c r="AB51" i="37" s="1"/>
  <c r="AH51" i="37"/>
  <c r="AA60" i="37"/>
  <c r="AB60" i="37" s="1"/>
  <c r="AH60" i="37"/>
  <c r="AA53" i="37"/>
  <c r="AB53" i="37" s="1"/>
  <c r="AH53" i="37"/>
  <c r="AA59" i="37"/>
  <c r="AB59" i="37" s="1"/>
  <c r="AH59" i="37"/>
  <c r="AA54" i="37"/>
  <c r="AB54" i="37" s="1"/>
  <c r="AH54" i="37"/>
  <c r="AA55" i="37"/>
  <c r="AB55" i="37" s="1"/>
  <c r="AH55" i="37"/>
  <c r="AA61" i="37"/>
  <c r="AB61" i="37" s="1"/>
  <c r="AH61" i="37"/>
  <c r="B7" i="30"/>
  <c r="N8" i="39"/>
  <c r="I7" i="30" s="1"/>
  <c r="B9" i="30"/>
  <c r="N10" i="39"/>
  <c r="I9" i="30" s="1"/>
  <c r="B15" i="30"/>
  <c r="N16" i="39"/>
  <c r="I15" i="30" s="1"/>
  <c r="B11" i="30"/>
  <c r="N12" i="39"/>
  <c r="I11" i="30" s="1"/>
  <c r="B19" i="30"/>
  <c r="N20" i="39"/>
  <c r="I19" i="30" s="1"/>
  <c r="B5" i="30"/>
  <c r="N6" i="39"/>
  <c r="I5" i="30" s="1"/>
  <c r="B25" i="30"/>
  <c r="N26" i="39"/>
  <c r="I25" i="30" s="1"/>
  <c r="B6" i="30"/>
  <c r="N7" i="39"/>
  <c r="I6" i="30" s="1"/>
  <c r="B21" i="30"/>
  <c r="N22" i="39"/>
  <c r="I21" i="30" s="1"/>
  <c r="B4" i="30"/>
  <c r="N5" i="39"/>
  <c r="I4" i="30" s="1"/>
  <c r="B8" i="30"/>
  <c r="N9" i="39"/>
  <c r="I8" i="30" s="1"/>
  <c r="B18" i="30"/>
  <c r="N19" i="39"/>
  <c r="I18" i="30" s="1"/>
  <c r="B27" i="30"/>
  <c r="N28" i="39"/>
  <c r="I27" i="30" s="1"/>
  <c r="B26" i="30"/>
  <c r="N27" i="39"/>
  <c r="I26" i="30" s="1"/>
  <c r="B16" i="30"/>
  <c r="N17" i="39"/>
  <c r="I16" i="30" s="1"/>
  <c r="B12" i="30"/>
  <c r="N13" i="39"/>
  <c r="I12" i="30" s="1"/>
  <c r="B14" i="30"/>
  <c r="N15" i="39"/>
  <c r="I14" i="30" s="1"/>
  <c r="B10" i="30"/>
  <c r="N11" i="39"/>
  <c r="I10" i="30" s="1"/>
  <c r="B17" i="30"/>
  <c r="N18" i="39"/>
  <c r="I17" i="30" s="1"/>
  <c r="B20" i="30"/>
  <c r="N21" i="39"/>
  <c r="I20" i="30" s="1"/>
  <c r="B29" i="30"/>
  <c r="N30" i="39"/>
  <c r="I29" i="30" s="1"/>
  <c r="B22" i="30"/>
  <c r="N23" i="39"/>
  <c r="I22" i="30" s="1"/>
  <c r="B28" i="30"/>
  <c r="N29" i="39"/>
  <c r="I28" i="30" s="1"/>
  <c r="B23" i="30"/>
  <c r="N24" i="39"/>
  <c r="I23" i="30" s="1"/>
  <c r="B31" i="30"/>
  <c r="N32" i="39"/>
  <c r="I31" i="30" s="1"/>
  <c r="B24" i="30"/>
  <c r="N25" i="39"/>
  <c r="I24" i="30" s="1"/>
  <c r="B30" i="30"/>
  <c r="N31" i="39"/>
  <c r="I30" i="30" s="1"/>
  <c r="B13" i="30"/>
  <c r="N14" i="39"/>
  <c r="I13" i="30" s="1"/>
  <c r="E3" i="30"/>
  <c r="C88" i="39"/>
  <c r="C108" i="39"/>
  <c r="F8" i="29"/>
  <c r="F10" i="29"/>
  <c r="F6" i="29"/>
  <c r="C7" i="29"/>
  <c r="N4" i="39" l="1"/>
  <c r="I3" i="30" s="1"/>
  <c r="AA34" i="37"/>
  <c r="AB34" i="37" s="1"/>
  <c r="AH34" i="37"/>
  <c r="B3" i="30"/>
  <c r="CB49" i="40" l="1"/>
  <c r="H77" i="39" l="1"/>
  <c r="CB48" i="40"/>
  <c r="CB46" i="40"/>
  <c r="AT46" i="40"/>
  <c r="BP107" i="40" s="1"/>
  <c r="BQ107" i="40" s="1"/>
  <c r="H41" i="38"/>
  <c r="G41" i="39" s="1"/>
  <c r="H75" i="39" s="1"/>
  <c r="AP46" i="40"/>
  <c r="CB43" i="40"/>
  <c r="AT43" i="40"/>
  <c r="BP104" i="40" s="1"/>
  <c r="BQ104" i="40" s="1"/>
  <c r="AP43" i="40"/>
  <c r="H38" i="38"/>
  <c r="G38" i="39" s="1"/>
  <c r="H72" i="39" s="1"/>
  <c r="CB47" i="40"/>
  <c r="AP47" i="40"/>
  <c r="AT47" i="40"/>
  <c r="BP108" i="40" s="1"/>
  <c r="BQ108" i="40" s="1"/>
  <c r="H42" i="38"/>
  <c r="G42" i="39" s="1"/>
  <c r="H76" i="39" s="1"/>
  <c r="CB41" i="40"/>
  <c r="CB45" i="40"/>
  <c r="AT45" i="40"/>
  <c r="BP106" i="40" s="1"/>
  <c r="BQ106" i="40" s="1"/>
  <c r="AP45" i="40"/>
  <c r="H40" i="38"/>
  <c r="G40" i="39" s="1"/>
  <c r="H74" i="39" s="1"/>
  <c r="CB44" i="40"/>
  <c r="CB42" i="40"/>
  <c r="CB40" i="40"/>
  <c r="D77" i="39"/>
  <c r="CC46" i="40" l="1"/>
  <c r="D41" i="38"/>
  <c r="D41" i="39" s="1"/>
  <c r="D40" i="38"/>
  <c r="D40" i="39" s="1"/>
  <c r="CC45" i="40"/>
  <c r="D38" i="38"/>
  <c r="D38" i="39" s="1"/>
  <c r="CC47" i="40"/>
  <c r="CC43" i="40"/>
  <c r="D42" i="38"/>
  <c r="D42" i="39" s="1"/>
  <c r="D74" i="39"/>
  <c r="AX7" i="41" l="1"/>
  <c r="D76" i="39"/>
  <c r="D75" i="39"/>
  <c r="D72" i="39"/>
  <c r="R21" i="40" l="1"/>
  <c r="AL21" i="40" s="1"/>
  <c r="R54" i="40"/>
  <c r="AL54" i="40" s="1"/>
  <c r="R28" i="40"/>
  <c r="AL28" i="40" s="1"/>
  <c r="R34" i="40"/>
  <c r="AL34" i="40" s="1"/>
  <c r="R62" i="40"/>
  <c r="AL62" i="40" s="1"/>
  <c r="R52" i="40"/>
  <c r="AL52" i="40" s="1"/>
  <c r="R33" i="40"/>
  <c r="AL33" i="40" s="1"/>
  <c r="R55" i="40"/>
  <c r="AL55" i="40" s="1"/>
  <c r="R17" i="40"/>
  <c r="AL17" i="40" s="1"/>
  <c r="R15" i="40"/>
  <c r="AL15" i="40" s="1"/>
  <c r="R16" i="40"/>
  <c r="AL16" i="40" s="1"/>
  <c r="R12" i="40"/>
  <c r="AL12" i="40" s="1"/>
  <c r="R31" i="40"/>
  <c r="AL31" i="40" s="1"/>
  <c r="R76" i="40"/>
  <c r="AJ76" i="40" s="1"/>
  <c r="R35" i="40"/>
  <c r="AL35" i="40" s="1"/>
  <c r="R22" i="40"/>
  <c r="AL22" i="40" s="1"/>
  <c r="R11" i="40"/>
  <c r="AL11" i="40" s="1"/>
  <c r="R60" i="40"/>
  <c r="AL60" i="40" s="1"/>
  <c r="R36" i="40"/>
  <c r="AL36" i="40" s="1"/>
  <c r="R61" i="40"/>
  <c r="AL61" i="40" s="1"/>
  <c r="R23" i="40"/>
  <c r="AL23" i="40" s="1"/>
  <c r="R59" i="40"/>
  <c r="AL59" i="40" s="1"/>
  <c r="R58" i="40"/>
  <c r="AL58" i="40" s="1"/>
  <c r="R32" i="40"/>
  <c r="AL32" i="40" s="1"/>
  <c r="R27" i="40"/>
  <c r="AL27" i="40" s="1"/>
  <c r="R19" i="40"/>
  <c r="AL19" i="40" s="1"/>
  <c r="R14" i="40"/>
  <c r="AL14" i="40" s="1"/>
  <c r="R84" i="40"/>
  <c r="AJ84" i="40" s="1"/>
  <c r="R53" i="40"/>
  <c r="AL53" i="40" s="1"/>
  <c r="R57" i="40"/>
  <c r="AL57" i="40" s="1"/>
  <c r="R89" i="40" l="1"/>
  <c r="AJ89" i="40" s="1"/>
  <c r="R29" i="40"/>
  <c r="R20" i="40"/>
  <c r="R56" i="40"/>
  <c r="AL56" i="40" s="1"/>
  <c r="R30" i="40"/>
  <c r="R37" i="40"/>
  <c r="R74" i="40"/>
  <c r="AJ74" i="40" s="1"/>
  <c r="R24" i="40"/>
  <c r="R18" i="40"/>
  <c r="R25" i="40"/>
  <c r="R13" i="40"/>
  <c r="R10" i="40"/>
  <c r="R26" i="40"/>
  <c r="R75" i="40"/>
  <c r="AJ75" i="40" s="1"/>
  <c r="R41" i="40"/>
  <c r="AL41" i="40" s="1"/>
  <c r="BY27" i="40"/>
  <c r="F22" i="38"/>
  <c r="E22" i="39" s="1"/>
  <c r="BY32" i="40"/>
  <c r="F27" i="38"/>
  <c r="E27" i="39" s="1"/>
  <c r="BY59" i="40"/>
  <c r="F54" i="38"/>
  <c r="E54" i="39" s="1"/>
  <c r="BY61" i="40"/>
  <c r="F56" i="38"/>
  <c r="E56" i="39" s="1"/>
  <c r="BY22" i="40"/>
  <c r="F17" i="38"/>
  <c r="E17" i="39" s="1"/>
  <c r="BY35" i="40"/>
  <c r="F30" i="38"/>
  <c r="E30" i="39" s="1"/>
  <c r="BY12" i="40"/>
  <c r="F7" i="38"/>
  <c r="E7" i="39" s="1"/>
  <c r="BY17" i="40"/>
  <c r="F12" i="38"/>
  <c r="E12" i="39" s="1"/>
  <c r="BY33" i="40"/>
  <c r="F28" i="38"/>
  <c r="E28" i="39" s="1"/>
  <c r="BY28" i="40"/>
  <c r="F23" i="38"/>
  <c r="E23" i="39" s="1"/>
  <c r="R98" i="40"/>
  <c r="AJ98" i="40" s="1"/>
  <c r="R49" i="40"/>
  <c r="AL49" i="40" s="1"/>
  <c r="BY14" i="40"/>
  <c r="F9" i="38"/>
  <c r="E9" i="39" s="1"/>
  <c r="R88" i="40"/>
  <c r="AJ88" i="40" s="1"/>
  <c r="R40" i="40"/>
  <c r="AL40" i="40" s="1"/>
  <c r="BY36" i="40"/>
  <c r="F31" i="38"/>
  <c r="E31" i="39" s="1"/>
  <c r="BY16" i="40"/>
  <c r="F11" i="38"/>
  <c r="E11" i="39" s="1"/>
  <c r="BY55" i="40"/>
  <c r="F50" i="38"/>
  <c r="E50" i="39" s="1"/>
  <c r="BY52" i="40"/>
  <c r="F47" i="38"/>
  <c r="E47" i="39" s="1"/>
  <c r="BY54" i="40"/>
  <c r="F49" i="38"/>
  <c r="E49" i="39" s="1"/>
  <c r="BY57" i="40"/>
  <c r="F52" i="38"/>
  <c r="E52" i="39" s="1"/>
  <c r="R90" i="40"/>
  <c r="AJ90" i="40" s="1"/>
  <c r="R42" i="40"/>
  <c r="AL42" i="40" s="1"/>
  <c r="R48" i="40"/>
  <c r="AL48" i="40" s="1"/>
  <c r="R83" i="40"/>
  <c r="AJ83" i="40" s="1"/>
  <c r="BY60" i="40"/>
  <c r="F55" i="38"/>
  <c r="E55" i="39" s="1"/>
  <c r="AX8" i="41"/>
  <c r="R9" i="40"/>
  <c r="BY62" i="40"/>
  <c r="F57" i="38"/>
  <c r="E57" i="39" s="1"/>
  <c r="F16" i="38"/>
  <c r="E16" i="39" s="1"/>
  <c r="BY21" i="40"/>
  <c r="BY53" i="40"/>
  <c r="F48" i="38"/>
  <c r="E48" i="39" s="1"/>
  <c r="R78" i="40"/>
  <c r="AJ78" i="40" s="1"/>
  <c r="R44" i="40"/>
  <c r="AL44" i="40" s="1"/>
  <c r="BY19" i="40"/>
  <c r="F14" i="38"/>
  <c r="E14" i="39" s="1"/>
  <c r="BY58" i="40"/>
  <c r="F53" i="38"/>
  <c r="E53" i="39" s="1"/>
  <c r="BY23" i="40"/>
  <c r="F18" i="38"/>
  <c r="E18" i="39" s="1"/>
  <c r="BY11" i="40"/>
  <c r="F6" i="38"/>
  <c r="E6" i="39" s="1"/>
  <c r="BY31" i="40"/>
  <c r="F26" i="38"/>
  <c r="E26" i="39" s="1"/>
  <c r="BY15" i="40"/>
  <c r="F10" i="38"/>
  <c r="E10" i="39" s="1"/>
  <c r="BY34" i="40"/>
  <c r="F29" i="38"/>
  <c r="E29" i="39" s="1"/>
  <c r="E98" i="39"/>
  <c r="E90" i="39"/>
  <c r="E103" i="39"/>
  <c r="E94" i="39"/>
  <c r="E113" i="39"/>
  <c r="E99" i="39"/>
  <c r="E82" i="39"/>
  <c r="E111" i="39"/>
  <c r="E116" i="39"/>
  <c r="E109" i="39"/>
  <c r="E105" i="39"/>
  <c r="E115" i="39"/>
  <c r="E100" i="39"/>
  <c r="E85" i="39"/>
  <c r="E112" i="39"/>
  <c r="E101" i="39"/>
  <c r="E108" i="39"/>
  <c r="E97" i="39"/>
  <c r="E80" i="39"/>
  <c r="E83" i="39"/>
  <c r="E104" i="39"/>
  <c r="E118" i="39"/>
  <c r="E87" i="39"/>
  <c r="E89" i="39"/>
  <c r="E102" i="39"/>
  <c r="E95" i="39"/>
  <c r="E93" i="39"/>
  <c r="AL10" i="40" l="1"/>
  <c r="AL24" i="40"/>
  <c r="F51" i="38"/>
  <c r="E51" i="39" s="1"/>
  <c r="AL13" i="40"/>
  <c r="AL20" i="40"/>
  <c r="AL25" i="40"/>
  <c r="AL37" i="40"/>
  <c r="AL29" i="40"/>
  <c r="AL26" i="40"/>
  <c r="AL18" i="40"/>
  <c r="AL30" i="40"/>
  <c r="R7" i="40"/>
  <c r="BY44" i="40"/>
  <c r="F39" i="38"/>
  <c r="E39" i="39" s="1"/>
  <c r="BY48" i="40"/>
  <c r="F43" i="38"/>
  <c r="E43" i="39" s="1"/>
  <c r="BY49" i="40"/>
  <c r="F44" i="38"/>
  <c r="E44" i="39" s="1"/>
  <c r="BY42" i="40"/>
  <c r="F37" i="38"/>
  <c r="E37" i="39" s="1"/>
  <c r="BY40" i="40"/>
  <c r="F35" i="38"/>
  <c r="E35" i="39" s="1"/>
  <c r="AJ85" i="40"/>
  <c r="AJ99" i="40"/>
  <c r="BY41" i="40"/>
  <c r="F36" i="38"/>
  <c r="E36" i="39" s="1"/>
  <c r="E70" i="39"/>
  <c r="E79" i="39"/>
  <c r="E78" i="39"/>
  <c r="E73" i="39"/>
  <c r="E107" i="39"/>
  <c r="E71" i="39"/>
  <c r="E69" i="39"/>
  <c r="BY29" i="40" l="1"/>
  <c r="F8" i="38"/>
  <c r="E8" i="39" s="1"/>
  <c r="F25" i="38"/>
  <c r="E25" i="39" s="1"/>
  <c r="BY37" i="40"/>
  <c r="BY18" i="40"/>
  <c r="BY25" i="40"/>
  <c r="BY24" i="40"/>
  <c r="F21" i="38"/>
  <c r="E21" i="39" s="1"/>
  <c r="F15" i="38"/>
  <c r="E15" i="39" s="1"/>
  <c r="BY10" i="40"/>
  <c r="BY13" i="40"/>
  <c r="F24" i="38"/>
  <c r="E24" i="39" s="1"/>
  <c r="F5" i="38"/>
  <c r="E5" i="39" s="1"/>
  <c r="F19" i="38"/>
  <c r="E19" i="39" s="1"/>
  <c r="F13" i="38"/>
  <c r="E13" i="39" s="1"/>
  <c r="BY56" i="40"/>
  <c r="BY20" i="40"/>
  <c r="F20" i="38"/>
  <c r="E20" i="39" s="1"/>
  <c r="BY30" i="40"/>
  <c r="F32" i="38"/>
  <c r="E32" i="39" s="1"/>
  <c r="BY26" i="40"/>
  <c r="AJ102" i="40"/>
  <c r="AL64" i="40"/>
  <c r="BY9" i="40"/>
  <c r="F4" i="38"/>
  <c r="E4" i="39" s="1"/>
  <c r="D14" i="25"/>
  <c r="E14" i="25" s="1"/>
  <c r="BH17" i="41" s="1"/>
  <c r="E91" i="39"/>
  <c r="E88" i="39"/>
  <c r="E81" i="39"/>
  <c r="E96" i="39"/>
  <c r="E114" i="39"/>
  <c r="E92" i="39"/>
  <c r="E106" i="39"/>
  <c r="E86" i="39"/>
  <c r="E110" i="39"/>
  <c r="E84" i="39"/>
  <c r="E117" i="39"/>
  <c r="BL128" i="41" l="1"/>
  <c r="BK122" i="41"/>
  <c r="BL216" i="41"/>
  <c r="BJ254" i="41"/>
  <c r="BJ170" i="41"/>
  <c r="BK230" i="41"/>
  <c r="BJ125" i="41"/>
  <c r="BK218" i="41"/>
  <c r="BJ166" i="41"/>
  <c r="BL122" i="41"/>
  <c r="BJ65" i="41"/>
  <c r="BK133" i="41"/>
  <c r="BJ250" i="41"/>
  <c r="BL192" i="41"/>
  <c r="BL64" i="41"/>
  <c r="BL146" i="41"/>
  <c r="BL70" i="41"/>
  <c r="BL83" i="41"/>
  <c r="BJ157" i="41"/>
  <c r="BJ76" i="41"/>
  <c r="BL221" i="41"/>
  <c r="BK205" i="41"/>
  <c r="BL88" i="41"/>
  <c r="BL93" i="41"/>
  <c r="BK211" i="41"/>
  <c r="BJ135" i="41"/>
  <c r="BK152" i="41"/>
  <c r="BK98" i="41"/>
  <c r="BK158" i="41"/>
  <c r="BJ160" i="41"/>
  <c r="BL147" i="41"/>
  <c r="BJ29" i="41"/>
  <c r="BL245" i="41"/>
  <c r="BK148" i="41"/>
  <c r="BL129" i="41"/>
  <c r="BL118" i="41"/>
  <c r="BJ156" i="41"/>
  <c r="BK171" i="41"/>
  <c r="BJ71" i="41"/>
  <c r="BL36" i="41"/>
  <c r="BJ247" i="41"/>
  <c r="BL226" i="41"/>
  <c r="BL136" i="41"/>
  <c r="BJ33" i="41"/>
  <c r="BK251" i="41"/>
  <c r="BJ245" i="41"/>
  <c r="BJ150" i="41"/>
  <c r="BK97" i="41"/>
  <c r="BJ82" i="41"/>
  <c r="BL47" i="41"/>
  <c r="BK217" i="41"/>
  <c r="BK164" i="41"/>
  <c r="BL230" i="41"/>
  <c r="BJ226" i="41"/>
  <c r="BJ155" i="41"/>
  <c r="BJ94" i="41"/>
  <c r="BL204" i="41"/>
  <c r="BL165" i="41"/>
  <c r="BK96" i="41"/>
  <c r="BJ78" i="41"/>
  <c r="BL107" i="41"/>
  <c r="BJ137" i="41"/>
  <c r="BL180" i="41"/>
  <c r="BL257" i="41"/>
  <c r="BK231" i="41"/>
  <c r="BJ199" i="41"/>
  <c r="BL94" i="41"/>
  <c r="BK222" i="41"/>
  <c r="BJ173" i="41"/>
  <c r="BK250" i="41"/>
  <c r="BL80" i="41"/>
  <c r="BJ132" i="41"/>
  <c r="BJ124" i="41"/>
  <c r="BK140" i="41"/>
  <c r="BK65" i="41"/>
  <c r="BJ149" i="41"/>
  <c r="BJ193" i="41"/>
  <c r="BK214" i="41"/>
  <c r="BK108" i="41"/>
  <c r="BK83" i="41"/>
  <c r="BK81" i="41"/>
  <c r="BK190" i="41"/>
  <c r="BJ68" i="41"/>
  <c r="BJ129" i="41"/>
  <c r="BJ253" i="41"/>
  <c r="BL247" i="41"/>
  <c r="BK245" i="41"/>
  <c r="BK194" i="41"/>
  <c r="BL38" i="41"/>
  <c r="BK213" i="41"/>
  <c r="BK150" i="41"/>
  <c r="BJ92" i="41"/>
  <c r="BL171" i="41"/>
  <c r="BK204" i="41"/>
  <c r="BJ110" i="41"/>
  <c r="BK236" i="41"/>
  <c r="BK157" i="41"/>
  <c r="BL187" i="41"/>
  <c r="BJ252" i="41"/>
  <c r="BL29" i="41"/>
  <c r="BJ230" i="41"/>
  <c r="BL206" i="41"/>
  <c r="BJ89" i="41"/>
  <c r="BJ136" i="41"/>
  <c r="BL151" i="41"/>
  <c r="BK175" i="41"/>
  <c r="BL212" i="41"/>
  <c r="BJ61" i="41"/>
  <c r="BL194" i="41"/>
  <c r="BJ190" i="41"/>
  <c r="BK82" i="41"/>
  <c r="BL103" i="41"/>
  <c r="BL202" i="41"/>
  <c r="BL81" i="41"/>
  <c r="BL96" i="41"/>
  <c r="BL48" i="41"/>
  <c r="BL175" i="41"/>
  <c r="BL34" i="41"/>
  <c r="BJ56" i="41"/>
  <c r="BJ204" i="41"/>
  <c r="BJ224" i="41"/>
  <c r="BK229" i="41"/>
  <c r="BJ47" i="41"/>
  <c r="BJ147" i="41"/>
  <c r="BK183" i="41"/>
  <c r="BK219" i="41"/>
  <c r="BK137" i="41"/>
  <c r="BL78" i="41"/>
  <c r="BL68" i="41"/>
  <c r="BK147" i="41"/>
  <c r="BK47" i="41"/>
  <c r="BJ195" i="41"/>
  <c r="BJ113" i="41"/>
  <c r="BL61" i="41"/>
  <c r="BL82" i="41"/>
  <c r="BL253" i="41"/>
  <c r="BL133" i="41"/>
  <c r="BK198" i="41"/>
  <c r="BK129" i="41"/>
  <c r="BK215" i="41"/>
  <c r="BJ205" i="41"/>
  <c r="BJ179" i="41"/>
  <c r="BL255" i="41"/>
  <c r="BL101" i="41"/>
  <c r="BK243" i="41"/>
  <c r="BJ151" i="41"/>
  <c r="BJ192" i="41"/>
  <c r="BK88" i="41"/>
  <c r="BL205" i="41"/>
  <c r="BK241" i="41"/>
  <c r="BK228" i="41"/>
  <c r="BJ214" i="41"/>
  <c r="BK131" i="41"/>
  <c r="BJ80" i="41"/>
  <c r="BK94" i="41"/>
  <c r="BJ128" i="41"/>
  <c r="BL152" i="41"/>
  <c r="BJ180" i="41"/>
  <c r="BL76" i="41"/>
  <c r="BL62" i="41"/>
  <c r="BL208" i="41"/>
  <c r="BL196" i="41"/>
  <c r="BJ58" i="41"/>
  <c r="BL102" i="41"/>
  <c r="BK110" i="41"/>
  <c r="BK34" i="41"/>
  <c r="BJ97" i="41"/>
  <c r="BJ203" i="41"/>
  <c r="BJ64" i="41"/>
  <c r="BJ236" i="41"/>
  <c r="BJ242" i="41"/>
  <c r="BK154" i="41"/>
  <c r="BJ148" i="41"/>
  <c r="BK80" i="41"/>
  <c r="BK246" i="41"/>
  <c r="BK252" i="41"/>
  <c r="BK124" i="41"/>
  <c r="BJ90" i="41"/>
  <c r="BJ167" i="41"/>
  <c r="BL177" i="41"/>
  <c r="BL148" i="41"/>
  <c r="BJ176" i="41"/>
  <c r="BK187" i="41"/>
  <c r="BK172" i="41"/>
  <c r="BK199" i="41"/>
  <c r="BJ87" i="41"/>
  <c r="BK93" i="41"/>
  <c r="BL100" i="41"/>
  <c r="BL149" i="41"/>
  <c r="BJ200" i="41"/>
  <c r="BL243" i="41"/>
  <c r="BJ36" i="41"/>
  <c r="BK42" i="41"/>
  <c r="BL237" i="41"/>
  <c r="BL160" i="41"/>
  <c r="BJ243" i="41"/>
  <c r="BL42" i="41"/>
  <c r="BL210" i="41"/>
  <c r="BJ112" i="41"/>
  <c r="BL201" i="41"/>
  <c r="BK105" i="41"/>
  <c r="BL229" i="41"/>
  <c r="BK111" i="41"/>
  <c r="BK134" i="41"/>
  <c r="BJ130" i="41"/>
  <c r="BL167" i="41"/>
  <c r="BK151" i="41"/>
  <c r="BL209" i="41"/>
  <c r="BJ70" i="41"/>
  <c r="BJ222" i="41"/>
  <c r="BK38" i="41"/>
  <c r="BK193" i="41"/>
  <c r="BJ60" i="41"/>
  <c r="BL193" i="41"/>
  <c r="BL252" i="41"/>
  <c r="BK191" i="41"/>
  <c r="BL86" i="41"/>
  <c r="BK167" i="41"/>
  <c r="BK125" i="41"/>
  <c r="BL235" i="41"/>
  <c r="BL166" i="41"/>
  <c r="BL215" i="41"/>
  <c r="BL134" i="41"/>
  <c r="BK36" i="41"/>
  <c r="BK234" i="41"/>
  <c r="BK180" i="41"/>
  <c r="BK127" i="41"/>
  <c r="BJ100" i="41"/>
  <c r="BL65" i="41"/>
  <c r="BJ86" i="41"/>
  <c r="BJ181" i="41"/>
  <c r="BK61" i="41"/>
  <c r="BK161" i="41"/>
  <c r="BJ256" i="41"/>
  <c r="BL195" i="41"/>
  <c r="BJ131" i="41"/>
  <c r="BL198" i="41"/>
  <c r="BL241" i="41"/>
  <c r="BL183" i="41"/>
  <c r="BJ206" i="41"/>
  <c r="BK60" i="41"/>
  <c r="BK71" i="41"/>
  <c r="BL164" i="41"/>
  <c r="BK163" i="41"/>
  <c r="BK145" i="41"/>
  <c r="BL156" i="41"/>
  <c r="BL123" i="41"/>
  <c r="BJ216" i="41"/>
  <c r="BK55" i="41"/>
  <c r="BK160" i="41"/>
  <c r="BL87" i="41"/>
  <c r="BL159" i="41"/>
  <c r="BK182" i="41"/>
  <c r="BK56" i="41"/>
  <c r="BL240" i="41"/>
  <c r="BK92" i="41"/>
  <c r="BL224" i="41"/>
  <c r="BJ81" i="41"/>
  <c r="BK166" i="41"/>
  <c r="BK181" i="41"/>
  <c r="BL211" i="41"/>
  <c r="BJ154" i="41"/>
  <c r="BL232" i="41"/>
  <c r="BJ191" i="41"/>
  <c r="BL140" i="41"/>
  <c r="BJ93" i="41"/>
  <c r="BK156" i="41"/>
  <c r="BJ172" i="41"/>
  <c r="BL214" i="41"/>
  <c r="BJ84" i="41"/>
  <c r="BK200" i="41"/>
  <c r="BK112" i="41"/>
  <c r="BK206" i="41"/>
  <c r="BJ111" i="41"/>
  <c r="BK197" i="41"/>
  <c r="BJ48" i="41"/>
  <c r="BJ257" i="41"/>
  <c r="BK253" i="41"/>
  <c r="BK142" i="41"/>
  <c r="BJ38" i="41"/>
  <c r="BJ221" i="41"/>
  <c r="BL33" i="41"/>
  <c r="BK84" i="41"/>
  <c r="BL170" i="41"/>
  <c r="BL242" i="41"/>
  <c r="BK100" i="41"/>
  <c r="BL92" i="41"/>
  <c r="BJ215" i="41"/>
  <c r="BL184" i="41"/>
  <c r="BK221" i="41"/>
  <c r="BL188" i="41"/>
  <c r="BK196" i="41"/>
  <c r="BJ233" i="41"/>
  <c r="BJ186" i="41"/>
  <c r="BJ211" i="41"/>
  <c r="BK212" i="41"/>
  <c r="BJ163" i="41"/>
  <c r="BJ83" i="41"/>
  <c r="BJ244" i="41"/>
  <c r="BI22" i="41"/>
  <c r="BK225" i="41"/>
  <c r="BK176" i="41"/>
  <c r="BJ178" i="41"/>
  <c r="BK48" i="41"/>
  <c r="BK168" i="41"/>
  <c r="BJ177" i="41"/>
  <c r="BK143" i="41"/>
  <c r="BJ184" i="41"/>
  <c r="BL124" i="41"/>
  <c r="BJ217" i="41"/>
  <c r="BK247" i="41"/>
  <c r="BK91" i="41"/>
  <c r="BL125" i="41"/>
  <c r="BK136" i="41"/>
  <c r="BJ140" i="41"/>
  <c r="BL217" i="41"/>
  <c r="BJ162" i="41"/>
  <c r="BJ133" i="41"/>
  <c r="BJ67" i="41"/>
  <c r="BJ185" i="41"/>
  <c r="BK149" i="41"/>
  <c r="BL150" i="41"/>
  <c r="BK195" i="41"/>
  <c r="BL197" i="41"/>
  <c r="BJ194" i="41"/>
  <c r="BL233" i="41"/>
  <c r="BL191" i="41"/>
  <c r="BL131" i="41"/>
  <c r="BJ55" i="41"/>
  <c r="BL248" i="41"/>
  <c r="BJ141" i="41"/>
  <c r="BJ232" i="41"/>
  <c r="BK239" i="41"/>
  <c r="BK86" i="41"/>
  <c r="BL71" i="41"/>
  <c r="BJ240" i="41"/>
  <c r="BK248" i="41"/>
  <c r="BL91" i="41"/>
  <c r="BL135" i="41"/>
  <c r="BJ175" i="41"/>
  <c r="BL142" i="41"/>
  <c r="BK255" i="41"/>
  <c r="BK257" i="41"/>
  <c r="BJ208" i="41"/>
  <c r="BK113" i="41"/>
  <c r="BK68" i="41"/>
  <c r="BK232" i="41"/>
  <c r="BL172" i="41"/>
  <c r="BJ196" i="41"/>
  <c r="BL158" i="41"/>
  <c r="BK256" i="41"/>
  <c r="BK103" i="41"/>
  <c r="BJ201" i="41"/>
  <c r="BJ116" i="41"/>
  <c r="BJ146" i="41"/>
  <c r="BL56" i="41"/>
  <c r="BK208" i="41"/>
  <c r="BJ44" i="41"/>
  <c r="BK87" i="41"/>
  <c r="BJ246" i="41"/>
  <c r="BK114" i="41"/>
  <c r="BJ234" i="41"/>
  <c r="BL239" i="41"/>
  <c r="BJ189" i="41"/>
  <c r="BL162" i="41"/>
  <c r="BK62" i="41"/>
  <c r="BK254" i="41"/>
  <c r="BJ239" i="41"/>
  <c r="BL251" i="41"/>
  <c r="BL200" i="41"/>
  <c r="BJ225" i="41"/>
  <c r="BK159" i="41"/>
  <c r="BL106" i="41"/>
  <c r="BJ183" i="41"/>
  <c r="BJ168" i="41"/>
  <c r="BL256" i="41"/>
  <c r="BL119" i="41"/>
  <c r="BL153" i="41"/>
  <c r="BK101" i="41"/>
  <c r="BK185" i="41"/>
  <c r="BJ209" i="41"/>
  <c r="BJ228" i="41"/>
  <c r="BK107" i="41"/>
  <c r="BK162" i="41"/>
  <c r="BK202" i="41"/>
  <c r="BK174" i="41"/>
  <c r="BJ197" i="41"/>
  <c r="BL154" i="41"/>
  <c r="BL117" i="41"/>
  <c r="BL130" i="41"/>
  <c r="BL168" i="41"/>
  <c r="BK189" i="41"/>
  <c r="BL114" i="41"/>
  <c r="BL155" i="41"/>
  <c r="BL67" i="41"/>
  <c r="BJ202" i="41"/>
  <c r="BL44" i="41"/>
  <c r="BJ143" i="41"/>
  <c r="BK89" i="41"/>
  <c r="BJ251" i="41"/>
  <c r="BL207" i="41"/>
  <c r="BJ127" i="41"/>
  <c r="BL231" i="41"/>
  <c r="BJ102" i="41"/>
  <c r="BJ34" i="41"/>
  <c r="BK224" i="41"/>
  <c r="BK233" i="41"/>
  <c r="BJ153" i="41"/>
  <c r="BJ101" i="41"/>
  <c r="BL112" i="41"/>
  <c r="BK33" i="41"/>
  <c r="BK186" i="41"/>
  <c r="BL222" i="41"/>
  <c r="BK242" i="41"/>
  <c r="BL190" i="41"/>
  <c r="BL218" i="41"/>
  <c r="BL178" i="41"/>
  <c r="BJ142" i="41"/>
  <c r="BJ210" i="41"/>
  <c r="BL145" i="41"/>
  <c r="BK179" i="41"/>
  <c r="BL141" i="41"/>
  <c r="BL199" i="41"/>
  <c r="BK116" i="41"/>
  <c r="BL90" i="41"/>
  <c r="BK184" i="41"/>
  <c r="BL234" i="41"/>
  <c r="BJ152" i="41"/>
  <c r="BK90" i="41"/>
  <c r="BJ159" i="41"/>
  <c r="BK123" i="41"/>
  <c r="BL157" i="41"/>
  <c r="BL225" i="41"/>
  <c r="BJ117" i="41"/>
  <c r="BJ182" i="41"/>
  <c r="BL163" i="41"/>
  <c r="BK44" i="41"/>
  <c r="BJ198" i="41"/>
  <c r="BJ119" i="41"/>
  <c r="BJ255" i="41"/>
  <c r="BL186" i="41"/>
  <c r="BL203" i="41"/>
  <c r="BL236" i="41"/>
  <c r="BJ123" i="41"/>
  <c r="BJ231" i="41"/>
  <c r="BJ161" i="41"/>
  <c r="BK130" i="41"/>
  <c r="BK146" i="41"/>
  <c r="BL244" i="41"/>
  <c r="BL137" i="41"/>
  <c r="BJ174" i="41"/>
  <c r="BL174" i="41"/>
  <c r="BK58" i="41"/>
  <c r="BJ235" i="41"/>
  <c r="BK178" i="41"/>
  <c r="BK70" i="41"/>
  <c r="BK201" i="41"/>
  <c r="BL98" i="41"/>
  <c r="BK67" i="41"/>
  <c r="BK141" i="41"/>
  <c r="BJ237" i="41"/>
  <c r="BK104" i="41"/>
  <c r="BJ241" i="41"/>
  <c r="BL182" i="41"/>
  <c r="BL254" i="41"/>
  <c r="BL143" i="41"/>
  <c r="BL181" i="41"/>
  <c r="BK192" i="41"/>
  <c r="BL84" i="41"/>
  <c r="BJ107" i="41"/>
  <c r="BJ219" i="41"/>
  <c r="BL116" i="41"/>
  <c r="BL110" i="41"/>
  <c r="BL111" i="41"/>
  <c r="BK117" i="41"/>
  <c r="BJ187" i="41"/>
  <c r="BJ212" i="41"/>
  <c r="BK210" i="41"/>
  <c r="BJ134" i="41"/>
  <c r="BJ188" i="41"/>
  <c r="BJ108" i="41"/>
  <c r="BJ145" i="41"/>
  <c r="BL189" i="41"/>
  <c r="BK216" i="41"/>
  <c r="BL105" i="41"/>
  <c r="BJ122" i="41"/>
  <c r="BK177" i="41"/>
  <c r="BK235" i="41"/>
  <c r="BJ106" i="41"/>
  <c r="BK170" i="41"/>
  <c r="BK118" i="41"/>
  <c r="BL132" i="41"/>
  <c r="BK102" i="41"/>
  <c r="BJ42" i="41"/>
  <c r="BJ96" i="41"/>
  <c r="BJ91" i="41"/>
  <c r="BK240" i="41"/>
  <c r="BL97" i="41"/>
  <c r="BK207" i="41"/>
  <c r="BJ158" i="41"/>
  <c r="BL89" i="41"/>
  <c r="BK226" i="41"/>
  <c r="BJ213" i="41"/>
  <c r="BK165" i="41"/>
  <c r="BL55" i="41"/>
  <c r="BL179" i="41"/>
  <c r="BL213" i="41"/>
  <c r="BJ218" i="41"/>
  <c r="BL250" i="41"/>
  <c r="BL161" i="41"/>
  <c r="BJ105" i="41"/>
  <c r="BK119" i="41"/>
  <c r="BJ118" i="41"/>
  <c r="BL228" i="41"/>
  <c r="BJ62" i="41"/>
  <c r="BJ114" i="41"/>
  <c r="BJ248" i="41"/>
  <c r="BJ165" i="41"/>
  <c r="BK153" i="41"/>
  <c r="BK173" i="41"/>
  <c r="BL246" i="41"/>
  <c r="BK128" i="41"/>
  <c r="BJ88" i="41"/>
  <c r="BL127" i="41"/>
  <c r="BL108" i="41"/>
  <c r="BK76" i="41"/>
  <c r="BK64" i="41"/>
  <c r="BK132" i="41"/>
  <c r="BJ171" i="41"/>
  <c r="BL54" i="41"/>
  <c r="BL58" i="41"/>
  <c r="BJ229" i="41"/>
  <c r="BL173" i="41"/>
  <c r="BK78" i="41"/>
  <c r="BL113" i="41"/>
  <c r="BK209" i="41"/>
  <c r="BK237" i="41"/>
  <c r="BJ98" i="41"/>
  <c r="BK155" i="41"/>
  <c r="BK135" i="41"/>
  <c r="BJ54" i="41"/>
  <c r="BK29" i="41"/>
  <c r="BK244" i="41"/>
  <c r="BK106" i="41"/>
  <c r="BK54" i="41"/>
  <c r="BL185" i="41"/>
  <c r="BL219" i="41"/>
  <c r="BK188" i="41"/>
  <c r="BL60" i="41"/>
  <c r="BL104" i="41"/>
  <c r="BL176" i="41"/>
  <c r="BK203" i="41"/>
  <c r="BL37" i="41"/>
  <c r="AY53" i="40" s="1"/>
  <c r="BJ103" i="41"/>
  <c r="AK84" i="40" s="1"/>
  <c r="BL79" i="41"/>
  <c r="AY57" i="40" s="1"/>
  <c r="BL220" i="41"/>
  <c r="AY62" i="40" s="1"/>
  <c r="BL126" i="41"/>
  <c r="AY31" i="40" s="1"/>
  <c r="BK53" i="41"/>
  <c r="AX61" i="40" s="1"/>
  <c r="BL53" i="41"/>
  <c r="AY61" i="40" s="1"/>
  <c r="BK50" i="41"/>
  <c r="AX54" i="40" s="1"/>
  <c r="BL227" i="41"/>
  <c r="AY58" i="40" s="1"/>
  <c r="BL121" i="41"/>
  <c r="AY52" i="40" s="1"/>
  <c r="BL32" i="41"/>
  <c r="BK139" i="41"/>
  <c r="AX48" i="40" s="1"/>
  <c r="BL144" i="41"/>
  <c r="AY55" i="40" s="1"/>
  <c r="BL43" i="41"/>
  <c r="AY60" i="40" s="1"/>
  <c r="BK220" i="41"/>
  <c r="AX62" i="40" s="1"/>
  <c r="BK144" i="41"/>
  <c r="AX55" i="40" s="1"/>
  <c r="BK37" i="41"/>
  <c r="AX53" i="40" s="1"/>
  <c r="BL49" i="41"/>
  <c r="BK31" i="41"/>
  <c r="BL39" i="41"/>
  <c r="AY37" i="40" s="1"/>
  <c r="BK227" i="41"/>
  <c r="AX58" i="40" s="1"/>
  <c r="BK69" i="41"/>
  <c r="BL41" i="41"/>
  <c r="AY26" i="40" s="1"/>
  <c r="BJ46" i="41"/>
  <c r="AM13" i="40" s="1"/>
  <c r="BL85" i="41"/>
  <c r="AY35" i="40" s="1"/>
  <c r="BL73" i="41"/>
  <c r="AY18" i="40" s="1"/>
  <c r="BK238" i="41"/>
  <c r="AX59" i="40" s="1"/>
  <c r="BL238" i="41"/>
  <c r="AY59" i="40" s="1"/>
  <c r="BK99" i="41"/>
  <c r="AX29" i="40" s="1"/>
  <c r="BL74" i="41"/>
  <c r="BK32" i="41"/>
  <c r="BL109" i="41"/>
  <c r="AY17" i="40" s="1"/>
  <c r="BJ53" i="41"/>
  <c r="AM61" i="40" s="1"/>
  <c r="BL69" i="41"/>
  <c r="AY40" i="40" s="1"/>
  <c r="BL120" i="41"/>
  <c r="BJ79" i="41"/>
  <c r="AM57" i="40" s="1"/>
  <c r="BL139" i="41"/>
  <c r="AY48" i="40" s="1"/>
  <c r="BL31" i="41"/>
  <c r="BL45" i="41"/>
  <c r="AY21" i="40" s="1"/>
  <c r="BL63" i="41"/>
  <c r="AY36" i="40" s="1"/>
  <c r="BJ104" i="41"/>
  <c r="AK76" i="40" s="1"/>
  <c r="BL59" i="41"/>
  <c r="AY10" i="40" s="1"/>
  <c r="BL115" i="41"/>
  <c r="BK223" i="41"/>
  <c r="AX14" i="40" s="1"/>
  <c r="BJ144" i="41"/>
  <c r="AM55" i="40" s="1"/>
  <c r="BK95" i="41"/>
  <c r="BJ41" i="41"/>
  <c r="BL46" i="41"/>
  <c r="AY13" i="40" s="1"/>
  <c r="BL28" i="41"/>
  <c r="BL99" i="41"/>
  <c r="AY29" i="40" s="1"/>
  <c r="BL35" i="41"/>
  <c r="BL50" i="41"/>
  <c r="AY54" i="40" s="1"/>
  <c r="BK79" i="41"/>
  <c r="AX57" i="40" s="1"/>
  <c r="BK85" i="41"/>
  <c r="AX35" i="40" s="1"/>
  <c r="BJ249" i="41"/>
  <c r="AM12" i="40" s="1"/>
  <c r="BK115" i="41"/>
  <c r="AX56" i="40" s="1"/>
  <c r="BL40" i="41"/>
  <c r="BL57" i="41"/>
  <c r="BL27" i="41"/>
  <c r="BK169" i="41"/>
  <c r="AX11" i="40" s="1"/>
  <c r="BK249" i="41"/>
  <c r="AX12" i="40" s="1"/>
  <c r="BJ45" i="41"/>
  <c r="AM21" i="40" s="1"/>
  <c r="BK57" i="41"/>
  <c r="BL52" i="41"/>
  <c r="AY24" i="40" s="1"/>
  <c r="BJ59" i="41"/>
  <c r="BK30" i="41"/>
  <c r="BJ115" i="41"/>
  <c r="AM56" i="40" s="1"/>
  <c r="BJ50" i="41"/>
  <c r="AM54" i="40" s="1"/>
  <c r="BJ52" i="41"/>
  <c r="AM24" i="40" s="1"/>
  <c r="BL30" i="41"/>
  <c r="BJ85" i="41"/>
  <c r="BJ138" i="41"/>
  <c r="AM15" i="40" s="1"/>
  <c r="BJ35" i="41"/>
  <c r="BJ120" i="41"/>
  <c r="AM22" i="40" s="1"/>
  <c r="BK27" i="41"/>
  <c r="BJ169" i="41"/>
  <c r="AM11" i="40" s="1"/>
  <c r="BK28" i="41"/>
  <c r="BL75" i="41"/>
  <c r="BJ139" i="41"/>
  <c r="BJ164" i="41"/>
  <c r="AK74" i="40" s="1"/>
  <c r="BK121" i="41"/>
  <c r="AX52" i="40" s="1"/>
  <c r="BK138" i="41"/>
  <c r="AX15" i="40" s="1"/>
  <c r="BJ51" i="41"/>
  <c r="AM23" i="40" s="1"/>
  <c r="BJ109" i="41"/>
  <c r="AM17" i="40" s="1"/>
  <c r="BJ69" i="41"/>
  <c r="BJ32" i="41"/>
  <c r="BJ40" i="41"/>
  <c r="BK59" i="41"/>
  <c r="AX10" i="40" s="1"/>
  <c r="BL223" i="41"/>
  <c r="AY14" i="40" s="1"/>
  <c r="BL77" i="41"/>
  <c r="AY19" i="40" s="1"/>
  <c r="BJ57" i="41"/>
  <c r="BK39" i="41"/>
  <c r="AX37" i="40" s="1"/>
  <c r="BJ31" i="41"/>
  <c r="BJ99" i="41"/>
  <c r="AM29" i="40" s="1"/>
  <c r="BK51" i="41"/>
  <c r="BJ74" i="41"/>
  <c r="AM30" i="40" s="1"/>
  <c r="BK75" i="41"/>
  <c r="BK63" i="41"/>
  <c r="BK66" i="41"/>
  <c r="BL51" i="41"/>
  <c r="AY23" i="40" s="1"/>
  <c r="BK126" i="41"/>
  <c r="AX31" i="40" s="1"/>
  <c r="BL169" i="41"/>
  <c r="BL95" i="41"/>
  <c r="BK72" i="41"/>
  <c r="AX28" i="40" s="1"/>
  <c r="BL249" i="41"/>
  <c r="AY12" i="40" s="1"/>
  <c r="BJ28" i="41"/>
  <c r="BK49" i="41"/>
  <c r="BK40" i="41"/>
  <c r="AX42" i="40" s="1"/>
  <c r="BJ95" i="41"/>
  <c r="BJ77" i="41"/>
  <c r="AM19" i="40" s="1"/>
  <c r="BJ43" i="41"/>
  <c r="AM60" i="40" s="1"/>
  <c r="BL66" i="41"/>
  <c r="AY20" i="40" s="1"/>
  <c r="BJ66" i="41"/>
  <c r="BK73" i="41"/>
  <c r="AX18" i="40" s="1"/>
  <c r="BK77" i="41"/>
  <c r="AX19" i="40" s="1"/>
  <c r="BJ72" i="41"/>
  <c r="AM28" i="40" s="1"/>
  <c r="BK41" i="41"/>
  <c r="BK74" i="41"/>
  <c r="BJ75" i="41"/>
  <c r="BJ39" i="41"/>
  <c r="AM37" i="40" s="1"/>
  <c r="BK52" i="41"/>
  <c r="AX24" i="40" s="1"/>
  <c r="BJ121" i="41"/>
  <c r="BJ207" i="41"/>
  <c r="AK89" i="40" s="1"/>
  <c r="BJ73" i="41"/>
  <c r="AM18" i="40" s="1"/>
  <c r="BJ126" i="41"/>
  <c r="AM31" i="40" s="1"/>
  <c r="BK45" i="41"/>
  <c r="AX21" i="40" s="1"/>
  <c r="BJ223" i="41"/>
  <c r="AM14" i="40" s="1"/>
  <c r="BJ227" i="41"/>
  <c r="AM58" i="40" s="1"/>
  <c r="BJ63" i="41"/>
  <c r="BK109" i="41"/>
  <c r="AX17" i="40" s="1"/>
  <c r="BK120" i="41"/>
  <c r="BJ49" i="41"/>
  <c r="AM27" i="40" s="1"/>
  <c r="BL72" i="41"/>
  <c r="AY28" i="40" s="1"/>
  <c r="BJ30" i="41"/>
  <c r="AM25" i="40" s="1"/>
  <c r="BJ238" i="41"/>
  <c r="AM59" i="40" s="1"/>
  <c r="BL138" i="41"/>
  <c r="AY15" i="40" s="1"/>
  <c r="BK43" i="41"/>
  <c r="AX60" i="40" s="1"/>
  <c r="BJ27" i="41"/>
  <c r="BJ220" i="41"/>
  <c r="AM62" i="40" s="1"/>
  <c r="BK35" i="41"/>
  <c r="AX16" i="40" s="1"/>
  <c r="BJ37" i="41"/>
  <c r="AM53" i="40" s="1"/>
  <c r="BK46" i="41"/>
  <c r="AX13" i="40" s="1"/>
  <c r="J14" i="25"/>
  <c r="AX22" i="40" l="1"/>
  <c r="AM32" i="40"/>
  <c r="AX27" i="40"/>
  <c r="AY41" i="40"/>
  <c r="AX20" i="40"/>
  <c r="AX23" i="40"/>
  <c r="AM34" i="40"/>
  <c r="AX9" i="40"/>
  <c r="AM35" i="40"/>
  <c r="AX34" i="40"/>
  <c r="AY9" i="40"/>
  <c r="AY16" i="40"/>
  <c r="AM26" i="40"/>
  <c r="AY56" i="40"/>
  <c r="AY22" i="40"/>
  <c r="AX49" i="40"/>
  <c r="AX44" i="40"/>
  <c r="AY49" i="40"/>
  <c r="AM52" i="40"/>
  <c r="AX30" i="40"/>
  <c r="AM33" i="40"/>
  <c r="AY11" i="40"/>
  <c r="AX36" i="40"/>
  <c r="AY32" i="40"/>
  <c r="AY25" i="40"/>
  <c r="AX25" i="40"/>
  <c r="AY34" i="40"/>
  <c r="AX41" i="40"/>
  <c r="AY44" i="40"/>
  <c r="AY30" i="40"/>
  <c r="AX40" i="40"/>
  <c r="AY27" i="40"/>
  <c r="AM36" i="40"/>
  <c r="AX26" i="40"/>
  <c r="AM20" i="40"/>
  <c r="AX32" i="40"/>
  <c r="AX33" i="40"/>
  <c r="AM16" i="40"/>
  <c r="AM10" i="40"/>
  <c r="AY42" i="40"/>
  <c r="AY33" i="40"/>
  <c r="AM9" i="40"/>
  <c r="BA15" i="40" s="1"/>
  <c r="BH22" i="41"/>
  <c r="BZ27" i="40"/>
  <c r="G22" i="38"/>
  <c r="F22" i="39" s="1"/>
  <c r="I25" i="43" s="1"/>
  <c r="BZ58" i="40"/>
  <c r="G53" i="38"/>
  <c r="F53" i="39" s="1"/>
  <c r="I42" i="43" s="1"/>
  <c r="BZ18" i="40"/>
  <c r="G13" i="38"/>
  <c r="F13" i="39" s="1"/>
  <c r="I16" i="43" s="1"/>
  <c r="BZ37" i="40"/>
  <c r="G32" i="38"/>
  <c r="F32" i="39" s="1"/>
  <c r="I35" i="43" s="1"/>
  <c r="BZ28" i="40"/>
  <c r="BA28" i="40"/>
  <c r="G23" i="38"/>
  <c r="F23" i="39" s="1"/>
  <c r="I26" i="43" s="1"/>
  <c r="BA30" i="40"/>
  <c r="BZ30" i="40"/>
  <c r="G25" i="38"/>
  <c r="F25" i="39" s="1"/>
  <c r="I28" i="43" s="1"/>
  <c r="BZ17" i="40"/>
  <c r="BA17" i="40"/>
  <c r="G12" i="38"/>
  <c r="F12" i="39" s="1"/>
  <c r="I15" i="43" s="1"/>
  <c r="BZ11" i="40"/>
  <c r="G6" i="38"/>
  <c r="F6" i="39" s="1"/>
  <c r="I9" i="43" s="1"/>
  <c r="BZ15" i="40"/>
  <c r="G10" i="38"/>
  <c r="F10" i="39" s="1"/>
  <c r="I13" i="43" s="1"/>
  <c r="BZ54" i="40"/>
  <c r="G49" i="38"/>
  <c r="F49" i="39" s="1"/>
  <c r="I38" i="43" s="1"/>
  <c r="BZ57" i="40"/>
  <c r="G52" i="38"/>
  <c r="F52" i="39" s="1"/>
  <c r="I41" i="43" s="1"/>
  <c r="BZ13" i="40"/>
  <c r="BA13" i="40"/>
  <c r="G8" i="38"/>
  <c r="F8" i="39" s="1"/>
  <c r="I11" i="43" s="1"/>
  <c r="BZ53" i="40"/>
  <c r="G48" i="38"/>
  <c r="F48" i="39" s="1"/>
  <c r="I37" i="43" s="1"/>
  <c r="BA62" i="40"/>
  <c r="BZ62" i="40"/>
  <c r="G57" i="38"/>
  <c r="F57" i="39" s="1"/>
  <c r="I46" i="43" s="1"/>
  <c r="BZ59" i="40"/>
  <c r="BA59" i="40"/>
  <c r="G54" i="38"/>
  <c r="F54" i="39" s="1"/>
  <c r="I43" i="43" s="1"/>
  <c r="BZ14" i="40"/>
  <c r="BA14" i="40"/>
  <c r="G9" i="38"/>
  <c r="F9" i="39" s="1"/>
  <c r="I12" i="43" s="1"/>
  <c r="BZ32" i="40"/>
  <c r="G27" i="38"/>
  <c r="F27" i="39" s="1"/>
  <c r="I30" i="43" s="1"/>
  <c r="BA60" i="40"/>
  <c r="BZ60" i="40"/>
  <c r="G55" i="38"/>
  <c r="F55" i="39" s="1"/>
  <c r="I44" i="43" s="1"/>
  <c r="BZ34" i="40"/>
  <c r="BA34" i="40"/>
  <c r="G29" i="38"/>
  <c r="F29" i="39" s="1"/>
  <c r="I32" i="43" s="1"/>
  <c r="AK90" i="40"/>
  <c r="AM42" i="40"/>
  <c r="AU42" i="40" s="1"/>
  <c r="BA23" i="40"/>
  <c r="BZ23" i="40"/>
  <c r="G18" i="38"/>
  <c r="F18" i="39" s="1"/>
  <c r="I21" i="43" s="1"/>
  <c r="AK83" i="40"/>
  <c r="AM48" i="40"/>
  <c r="AU48" i="40" s="1"/>
  <c r="AX64" i="40"/>
  <c r="BA35" i="40"/>
  <c r="BZ35" i="40"/>
  <c r="G30" i="38"/>
  <c r="F30" i="39" s="1"/>
  <c r="I33" i="43" s="1"/>
  <c r="BZ56" i="40"/>
  <c r="BA56" i="40"/>
  <c r="G51" i="38"/>
  <c r="F51" i="39" s="1"/>
  <c r="I40" i="43" s="1"/>
  <c r="BA12" i="40"/>
  <c r="BZ12" i="40"/>
  <c r="G7" i="38"/>
  <c r="F7" i="39" s="1"/>
  <c r="I10" i="43" s="1"/>
  <c r="BA26" i="40"/>
  <c r="BZ26" i="40"/>
  <c r="G21" i="38"/>
  <c r="F21" i="39" s="1"/>
  <c r="I24" i="43" s="1"/>
  <c r="BZ25" i="40"/>
  <c r="BA25" i="40"/>
  <c r="G20" i="38"/>
  <c r="F20" i="39" s="1"/>
  <c r="I23" i="43" s="1"/>
  <c r="BA52" i="40"/>
  <c r="BZ52" i="40"/>
  <c r="G47" i="38"/>
  <c r="F47" i="39" s="1"/>
  <c r="I36" i="43" s="1"/>
  <c r="BZ19" i="40"/>
  <c r="BA19" i="40"/>
  <c r="G14" i="38"/>
  <c r="F14" i="39" s="1"/>
  <c r="I17" i="43" s="1"/>
  <c r="BZ33" i="40"/>
  <c r="BA33" i="40"/>
  <c r="G28" i="38"/>
  <c r="F28" i="39" s="1"/>
  <c r="I31" i="43" s="1"/>
  <c r="BZ29" i="40"/>
  <c r="BA29" i="40"/>
  <c r="G24" i="38"/>
  <c r="F24" i="39" s="1"/>
  <c r="I27" i="43" s="1"/>
  <c r="AK98" i="40"/>
  <c r="AM49" i="40"/>
  <c r="AU49" i="40" s="1"/>
  <c r="BA22" i="40"/>
  <c r="BZ22" i="40"/>
  <c r="G17" i="38"/>
  <c r="F17" i="39" s="1"/>
  <c r="I20" i="43" s="1"/>
  <c r="BZ21" i="40"/>
  <c r="BA21" i="40"/>
  <c r="G16" i="38"/>
  <c r="F16" i="39" s="1"/>
  <c r="I19" i="43" s="1"/>
  <c r="BZ9" i="40"/>
  <c r="BA9" i="40"/>
  <c r="G4" i="38"/>
  <c r="F4" i="39" s="1"/>
  <c r="I7" i="43" s="1"/>
  <c r="BZ36" i="40"/>
  <c r="BA36" i="40"/>
  <c r="G31" i="38"/>
  <c r="F31" i="39" s="1"/>
  <c r="I34" i="43" s="1"/>
  <c r="BZ31" i="40"/>
  <c r="BA31" i="40"/>
  <c r="G26" i="38"/>
  <c r="F26" i="39" s="1"/>
  <c r="I29" i="43" s="1"/>
  <c r="BZ20" i="40"/>
  <c r="BA20" i="40"/>
  <c r="G15" i="38"/>
  <c r="F15" i="39" s="1"/>
  <c r="I18" i="43" s="1"/>
  <c r="AK75" i="40"/>
  <c r="AM41" i="40"/>
  <c r="AU41" i="40" s="1"/>
  <c r="AK78" i="40"/>
  <c r="AM44" i="40"/>
  <c r="AU44" i="40" s="1"/>
  <c r="AM40" i="40"/>
  <c r="AU40" i="40" s="1"/>
  <c r="AK88" i="40"/>
  <c r="BZ16" i="40"/>
  <c r="BA16" i="40"/>
  <c r="G11" i="38"/>
  <c r="F11" i="39" s="1"/>
  <c r="I14" i="43" s="1"/>
  <c r="BZ24" i="40"/>
  <c r="BA24" i="40"/>
  <c r="G19" i="38"/>
  <c r="F19" i="39" s="1"/>
  <c r="I22" i="43" s="1"/>
  <c r="BA10" i="40"/>
  <c r="BZ10" i="40"/>
  <c r="G5" i="38"/>
  <c r="F5" i="39" s="1"/>
  <c r="I8" i="43" s="1"/>
  <c r="BA55" i="40"/>
  <c r="BZ55" i="40"/>
  <c r="G50" i="38"/>
  <c r="F50" i="39" s="1"/>
  <c r="I39" i="43" s="1"/>
  <c r="BA61" i="40"/>
  <c r="BZ61" i="40"/>
  <c r="G56" i="38"/>
  <c r="F56" i="39" s="1"/>
  <c r="I45" i="43" s="1"/>
  <c r="BA11" i="40" l="1"/>
  <c r="BA32" i="40"/>
  <c r="BA53" i="40"/>
  <c r="BA54" i="40"/>
  <c r="BA57" i="40"/>
  <c r="BA27" i="40"/>
  <c r="AY64" i="40"/>
  <c r="AK85" i="40"/>
  <c r="BA37" i="40"/>
  <c r="BA18" i="40"/>
  <c r="AK99" i="40"/>
  <c r="AM85" i="40" s="1"/>
  <c r="BA58" i="40"/>
  <c r="BA47" i="40"/>
  <c r="BZ40" i="40"/>
  <c r="AP40" i="40"/>
  <c r="BA43" i="40"/>
  <c r="BA45" i="40"/>
  <c r="BA46" i="40"/>
  <c r="AT40" i="40"/>
  <c r="BA40" i="40"/>
  <c r="AZ43" i="40"/>
  <c r="AZ45" i="40"/>
  <c r="AZ40" i="40"/>
  <c r="H35" i="38"/>
  <c r="G35" i="39" s="1"/>
  <c r="H69" i="39" s="1"/>
  <c r="G35" i="38"/>
  <c r="F35" i="39" s="1"/>
  <c r="AZ47" i="40"/>
  <c r="AZ46" i="40"/>
  <c r="AP48" i="40"/>
  <c r="AT48" i="40"/>
  <c r="BA48" i="40"/>
  <c r="BZ48" i="40"/>
  <c r="H43" i="38"/>
  <c r="G43" i="39" s="1"/>
  <c r="H78" i="39" s="1"/>
  <c r="AZ48" i="40"/>
  <c r="G43" i="38"/>
  <c r="F43" i="39" s="1"/>
  <c r="AP42" i="40"/>
  <c r="BZ42" i="40"/>
  <c r="BA42" i="40"/>
  <c r="AT42" i="40"/>
  <c r="AZ42" i="40"/>
  <c r="H37" i="38"/>
  <c r="G37" i="39" s="1"/>
  <c r="H71" i="39" s="1"/>
  <c r="G37" i="38"/>
  <c r="F37" i="39" s="1"/>
  <c r="AT49" i="40"/>
  <c r="BA49" i="40"/>
  <c r="BZ49" i="40"/>
  <c r="AP49" i="40"/>
  <c r="AZ49" i="40"/>
  <c r="G44" i="38"/>
  <c r="F44" i="39" s="1"/>
  <c r="H44" i="38"/>
  <c r="G44" i="39" s="1"/>
  <c r="H79" i="39" s="1"/>
  <c r="AP44" i="40"/>
  <c r="BZ44" i="40"/>
  <c r="AT44" i="40"/>
  <c r="BA44" i="40"/>
  <c r="AZ44" i="40"/>
  <c r="G39" i="38"/>
  <c r="F39" i="39" s="1"/>
  <c r="H39" i="38"/>
  <c r="G39" i="39" s="1"/>
  <c r="H73" i="39" s="1"/>
  <c r="AM64" i="40"/>
  <c r="AP41" i="40"/>
  <c r="AT41" i="40"/>
  <c r="BZ41" i="40"/>
  <c r="BA41" i="40"/>
  <c r="G36" i="38"/>
  <c r="F36" i="39" s="1"/>
  <c r="AZ41" i="40"/>
  <c r="H36" i="38"/>
  <c r="G36" i="39" s="1"/>
  <c r="H70" i="39" s="1"/>
  <c r="AY66" i="40" l="1"/>
  <c r="AK102" i="40"/>
  <c r="AM99" i="40"/>
  <c r="CC49" i="40"/>
  <c r="D44" i="38"/>
  <c r="D44" i="39" s="1"/>
  <c r="BP110" i="40"/>
  <c r="BQ110" i="40" s="1"/>
  <c r="CC41" i="40"/>
  <c r="D36" i="38"/>
  <c r="D36" i="39" s="1"/>
  <c r="BP102" i="40"/>
  <c r="BQ102" i="40" s="1"/>
  <c r="CC44" i="40"/>
  <c r="BP105" i="40"/>
  <c r="BQ105" i="40" s="1"/>
  <c r="D39" i="38"/>
  <c r="D39" i="39" s="1"/>
  <c r="BP109" i="40"/>
  <c r="BQ109" i="40" s="1"/>
  <c r="CC48" i="40"/>
  <c r="D43" i="38"/>
  <c r="D43" i="39" s="1"/>
  <c r="AZ30" i="40"/>
  <c r="AQ30" i="40" s="1"/>
  <c r="AR30" i="40" s="1"/>
  <c r="AU30" i="40" s="1"/>
  <c r="AZ17" i="40"/>
  <c r="AQ17" i="40" s="1"/>
  <c r="AR17" i="40" s="1"/>
  <c r="AU17" i="40" s="1"/>
  <c r="AZ60" i="40"/>
  <c r="AQ60" i="40" s="1"/>
  <c r="AR60" i="40" s="1"/>
  <c r="AU60" i="40" s="1"/>
  <c r="AZ12" i="40"/>
  <c r="AQ12" i="40" s="1"/>
  <c r="AR12" i="40" s="1"/>
  <c r="AU12" i="40" s="1"/>
  <c r="AZ26" i="40"/>
  <c r="AQ26" i="40" s="1"/>
  <c r="AR26" i="40" s="1"/>
  <c r="AU26" i="40" s="1"/>
  <c r="AZ21" i="40"/>
  <c r="AQ21" i="40" s="1"/>
  <c r="AR21" i="40" s="1"/>
  <c r="AU21" i="40" s="1"/>
  <c r="AZ9" i="40"/>
  <c r="AQ9" i="40" s="1"/>
  <c r="AZ36" i="40"/>
  <c r="AQ36" i="40" s="1"/>
  <c r="AR36" i="40" s="1"/>
  <c r="AU36" i="40" s="1"/>
  <c r="AZ55" i="40"/>
  <c r="AQ55" i="40" s="1"/>
  <c r="AR55" i="40" s="1"/>
  <c r="AU55" i="40" s="1"/>
  <c r="AZ37" i="40"/>
  <c r="AQ37" i="40" s="1"/>
  <c r="AR37" i="40" s="1"/>
  <c r="AU37" i="40" s="1"/>
  <c r="AZ15" i="40"/>
  <c r="AQ15" i="40" s="1"/>
  <c r="AR15" i="40" s="1"/>
  <c r="AU15" i="40" s="1"/>
  <c r="AZ62" i="40"/>
  <c r="AQ62" i="40" s="1"/>
  <c r="AR62" i="40" s="1"/>
  <c r="AU62" i="40" s="1"/>
  <c r="AZ14" i="40"/>
  <c r="AQ14" i="40" s="1"/>
  <c r="AR14" i="40" s="1"/>
  <c r="AU14" i="40" s="1"/>
  <c r="AZ32" i="40"/>
  <c r="AQ32" i="40" s="1"/>
  <c r="AR32" i="40" s="1"/>
  <c r="AU32" i="40" s="1"/>
  <c r="AZ34" i="40"/>
  <c r="AQ34" i="40" s="1"/>
  <c r="AR34" i="40" s="1"/>
  <c r="AU34" i="40" s="1"/>
  <c r="AZ23" i="40"/>
  <c r="AQ23" i="40" s="1"/>
  <c r="AR23" i="40" s="1"/>
  <c r="AU23" i="40" s="1"/>
  <c r="AZ56" i="40"/>
  <c r="AQ56" i="40" s="1"/>
  <c r="AR56" i="40" s="1"/>
  <c r="AU56" i="40" s="1"/>
  <c r="AZ25" i="40"/>
  <c r="AQ25" i="40" s="1"/>
  <c r="AR25" i="40" s="1"/>
  <c r="AU25" i="40" s="1"/>
  <c r="AZ52" i="40"/>
  <c r="AQ52" i="40" s="1"/>
  <c r="AR52" i="40" s="1"/>
  <c r="AU52" i="40" s="1"/>
  <c r="AZ19" i="40"/>
  <c r="AQ19" i="40" s="1"/>
  <c r="AR19" i="40" s="1"/>
  <c r="AU19" i="40" s="1"/>
  <c r="AZ22" i="40"/>
  <c r="AQ22" i="40" s="1"/>
  <c r="AR22" i="40" s="1"/>
  <c r="AU22" i="40" s="1"/>
  <c r="AZ31" i="40"/>
  <c r="AQ31" i="40" s="1"/>
  <c r="AR31" i="40" s="1"/>
  <c r="AU31" i="40" s="1"/>
  <c r="AZ20" i="40"/>
  <c r="AQ20" i="40" s="1"/>
  <c r="AR20" i="40" s="1"/>
  <c r="AU20" i="40" s="1"/>
  <c r="AZ16" i="40"/>
  <c r="AQ16" i="40" s="1"/>
  <c r="AR16" i="40" s="1"/>
  <c r="AU16" i="40" s="1"/>
  <c r="AZ24" i="40"/>
  <c r="AQ24" i="40" s="1"/>
  <c r="AR24" i="40" s="1"/>
  <c r="AU24" i="40" s="1"/>
  <c r="AZ18" i="40"/>
  <c r="AQ18" i="40" s="1"/>
  <c r="AR18" i="40" s="1"/>
  <c r="AU18" i="40" s="1"/>
  <c r="AZ57" i="40"/>
  <c r="AQ57" i="40" s="1"/>
  <c r="AR57" i="40" s="1"/>
  <c r="AU57" i="40" s="1"/>
  <c r="AZ13" i="40"/>
  <c r="AQ13" i="40" s="1"/>
  <c r="AR13" i="40" s="1"/>
  <c r="AU13" i="40" s="1"/>
  <c r="AZ10" i="40"/>
  <c r="AQ10" i="40" s="1"/>
  <c r="AR10" i="40" s="1"/>
  <c r="AU10" i="40" s="1"/>
  <c r="AZ27" i="40"/>
  <c r="AQ27" i="40" s="1"/>
  <c r="AR27" i="40" s="1"/>
  <c r="AU27" i="40" s="1"/>
  <c r="AZ58" i="40"/>
  <c r="AQ58" i="40" s="1"/>
  <c r="AR58" i="40" s="1"/>
  <c r="AU58" i="40" s="1"/>
  <c r="AZ28" i="40"/>
  <c r="AQ28" i="40" s="1"/>
  <c r="AR28" i="40" s="1"/>
  <c r="AU28" i="40" s="1"/>
  <c r="AZ11" i="40"/>
  <c r="AQ11" i="40" s="1"/>
  <c r="AR11" i="40" s="1"/>
  <c r="AU11" i="40" s="1"/>
  <c r="AZ54" i="40"/>
  <c r="AQ54" i="40" s="1"/>
  <c r="AR54" i="40" s="1"/>
  <c r="AU54" i="40" s="1"/>
  <c r="AZ53" i="40"/>
  <c r="AQ53" i="40" s="1"/>
  <c r="AR53" i="40" s="1"/>
  <c r="AU53" i="40" s="1"/>
  <c r="AZ59" i="40"/>
  <c r="AQ59" i="40" s="1"/>
  <c r="AR59" i="40" s="1"/>
  <c r="AU59" i="40" s="1"/>
  <c r="AZ35" i="40"/>
  <c r="AQ35" i="40" s="1"/>
  <c r="AR35" i="40" s="1"/>
  <c r="AU35" i="40" s="1"/>
  <c r="AZ33" i="40"/>
  <c r="AQ33" i="40" s="1"/>
  <c r="AR33" i="40" s="1"/>
  <c r="AU33" i="40" s="1"/>
  <c r="AZ29" i="40"/>
  <c r="AQ29" i="40" s="1"/>
  <c r="AR29" i="40" s="1"/>
  <c r="AU29" i="40" s="1"/>
  <c r="AZ61" i="40"/>
  <c r="AQ61" i="40" s="1"/>
  <c r="AR61" i="40" s="1"/>
  <c r="AU61" i="40" s="1"/>
  <c r="CC42" i="40"/>
  <c r="BP103" i="40"/>
  <c r="BQ103" i="40" s="1"/>
  <c r="D37" i="38"/>
  <c r="D37" i="39" s="1"/>
  <c r="CC40" i="40"/>
  <c r="D35" i="38"/>
  <c r="BP101" i="40"/>
  <c r="BQ101" i="40" s="1"/>
  <c r="AX66" i="40"/>
  <c r="D71" i="39"/>
  <c r="D78" i="39"/>
  <c r="D73" i="39"/>
  <c r="D79" i="39"/>
  <c r="D70" i="39"/>
  <c r="AR9" i="40" l="1"/>
  <c r="AU9" i="40" s="1"/>
  <c r="AQ64" i="40"/>
  <c r="CB59" i="40"/>
  <c r="AT59" i="40"/>
  <c r="H54" i="38"/>
  <c r="G54" i="39" s="1"/>
  <c r="H104" i="39" s="1"/>
  <c r="AP59" i="40"/>
  <c r="CB28" i="40"/>
  <c r="AT28" i="40"/>
  <c r="AP28" i="40"/>
  <c r="J23" i="38"/>
  <c r="Q23" i="39" s="1"/>
  <c r="K23" i="38"/>
  <c r="R23" i="39" s="1"/>
  <c r="H23" i="38"/>
  <c r="G23" i="39" s="1"/>
  <c r="H99" i="39" s="1"/>
  <c r="AT13" i="40"/>
  <c r="CB13" i="40"/>
  <c r="H8" i="38"/>
  <c r="G8" i="39" s="1"/>
  <c r="H114" i="39" s="1"/>
  <c r="K8" i="38"/>
  <c r="R8" i="39" s="1"/>
  <c r="AP13" i="40"/>
  <c r="J8" i="38"/>
  <c r="Q8" i="39" s="1"/>
  <c r="AT16" i="40"/>
  <c r="CB16" i="40"/>
  <c r="J11" i="38"/>
  <c r="Q11" i="39" s="1"/>
  <c r="H11" i="38"/>
  <c r="G11" i="39" s="1"/>
  <c r="H89" i="39" s="1"/>
  <c r="K11" i="38"/>
  <c r="R11" i="39" s="1"/>
  <c r="AP16" i="40"/>
  <c r="CB19" i="40"/>
  <c r="AT19" i="40"/>
  <c r="AP19" i="40"/>
  <c r="H14" i="38"/>
  <c r="G14" i="39" s="1"/>
  <c r="H85" i="39" s="1"/>
  <c r="K14" i="38"/>
  <c r="R14" i="39" s="1"/>
  <c r="J14" i="38"/>
  <c r="Q14" i="39" s="1"/>
  <c r="AT23" i="40"/>
  <c r="CB23" i="40"/>
  <c r="K18" i="38"/>
  <c r="R18" i="39" s="1"/>
  <c r="AP23" i="40"/>
  <c r="J18" i="38"/>
  <c r="Q18" i="39" s="1"/>
  <c r="H18" i="38"/>
  <c r="G18" i="39" s="1"/>
  <c r="H87" i="39" s="1"/>
  <c r="CB62" i="40"/>
  <c r="AT62" i="40"/>
  <c r="H57" i="38"/>
  <c r="G57" i="39" s="1"/>
  <c r="H100" i="39" s="1"/>
  <c r="AP62" i="40"/>
  <c r="AT36" i="40"/>
  <c r="CB36" i="40"/>
  <c r="AP36" i="40"/>
  <c r="K31" i="38"/>
  <c r="R31" i="39" s="1"/>
  <c r="J31" i="38"/>
  <c r="Q31" i="39" s="1"/>
  <c r="H31" i="38"/>
  <c r="G31" i="39" s="1"/>
  <c r="H97" i="39" s="1"/>
  <c r="CB12" i="40"/>
  <c r="AT12" i="40"/>
  <c r="AP12" i="40"/>
  <c r="H7" i="38"/>
  <c r="G7" i="39" s="1"/>
  <c r="H102" i="39" s="1"/>
  <c r="K7" i="38"/>
  <c r="R7" i="39" s="1"/>
  <c r="J7" i="38"/>
  <c r="Q7" i="39" s="1"/>
  <c r="CB35" i="40"/>
  <c r="AT35" i="40"/>
  <c r="J30" i="38"/>
  <c r="Q30" i="39" s="1"/>
  <c r="H30" i="38"/>
  <c r="G30" i="39" s="1"/>
  <c r="H112" i="39" s="1"/>
  <c r="K30" i="38"/>
  <c r="R30" i="39" s="1"/>
  <c r="AP35" i="40"/>
  <c r="CB24" i="40"/>
  <c r="AT24" i="40"/>
  <c r="K19" i="38"/>
  <c r="R19" i="39" s="1"/>
  <c r="H19" i="38"/>
  <c r="G19" i="39" s="1"/>
  <c r="H117" i="39" s="1"/>
  <c r="J19" i="38"/>
  <c r="Q19" i="39" s="1"/>
  <c r="AP24" i="40"/>
  <c r="AT56" i="40"/>
  <c r="CB56" i="40"/>
  <c r="AP56" i="40"/>
  <c r="H51" i="38"/>
  <c r="G51" i="39" s="1"/>
  <c r="H107" i="39" s="1"/>
  <c r="AT14" i="40"/>
  <c r="CB14" i="40"/>
  <c r="J9" i="38"/>
  <c r="Q9" i="39" s="1"/>
  <c r="AP14" i="40"/>
  <c r="K9" i="38"/>
  <c r="R9" i="39" s="1"/>
  <c r="H9" i="38"/>
  <c r="G9" i="39" s="1"/>
  <c r="H105" i="39" s="1"/>
  <c r="AT30" i="40"/>
  <c r="CB30" i="40"/>
  <c r="AP30" i="40"/>
  <c r="J25" i="38"/>
  <c r="Q25" i="39" s="1"/>
  <c r="H25" i="38"/>
  <c r="G25" i="39" s="1"/>
  <c r="H81" i="39" s="1"/>
  <c r="K25" i="38"/>
  <c r="R25" i="39" s="1"/>
  <c r="AT61" i="40"/>
  <c r="CB61" i="40"/>
  <c r="H56" i="38"/>
  <c r="G56" i="39" s="1"/>
  <c r="H116" i="39" s="1"/>
  <c r="AP61" i="40"/>
  <c r="AT29" i="40"/>
  <c r="CB29" i="40"/>
  <c r="K24" i="38"/>
  <c r="R24" i="39" s="1"/>
  <c r="H24" i="38"/>
  <c r="G24" i="39" s="1"/>
  <c r="H110" i="39" s="1"/>
  <c r="J24" i="38"/>
  <c r="Q24" i="39" s="1"/>
  <c r="AP29" i="40"/>
  <c r="AT53" i="40"/>
  <c r="CB53" i="40"/>
  <c r="AP53" i="40"/>
  <c r="H48" i="38"/>
  <c r="G48" i="39" s="1"/>
  <c r="H90" i="39" s="1"/>
  <c r="CB58" i="40"/>
  <c r="AT58" i="40"/>
  <c r="AP58" i="40"/>
  <c r="H53" i="38"/>
  <c r="G53" i="39" s="1"/>
  <c r="H80" i="39" s="1"/>
  <c r="CB57" i="40"/>
  <c r="AT57" i="40"/>
  <c r="AP57" i="40"/>
  <c r="H52" i="38"/>
  <c r="G52" i="39" s="1"/>
  <c r="H113" i="39" s="1"/>
  <c r="AT20" i="40"/>
  <c r="CB20" i="40"/>
  <c r="K15" i="38"/>
  <c r="R15" i="39" s="1"/>
  <c r="H15" i="38"/>
  <c r="G15" i="39" s="1"/>
  <c r="H92" i="39" s="1"/>
  <c r="AP20" i="40"/>
  <c r="J15" i="38"/>
  <c r="Q15" i="39" s="1"/>
  <c r="CB52" i="40"/>
  <c r="AT52" i="40"/>
  <c r="AP52" i="40"/>
  <c r="H47" i="38"/>
  <c r="G47" i="39" s="1"/>
  <c r="H108" i="39" s="1"/>
  <c r="AT34" i="40"/>
  <c r="CB34" i="40"/>
  <c r="H29" i="38"/>
  <c r="G29" i="39" s="1"/>
  <c r="H111" i="39" s="1"/>
  <c r="AP34" i="40"/>
  <c r="J29" i="38"/>
  <c r="Q29" i="39" s="1"/>
  <c r="K29" i="38"/>
  <c r="R29" i="39" s="1"/>
  <c r="CB15" i="40"/>
  <c r="AT15" i="40"/>
  <c r="AP15" i="40"/>
  <c r="K10" i="38"/>
  <c r="R10" i="39" s="1"/>
  <c r="H10" i="38"/>
  <c r="G10" i="39" s="1"/>
  <c r="H98" i="39" s="1"/>
  <c r="J10" i="38"/>
  <c r="Q10" i="39" s="1"/>
  <c r="AT9" i="40"/>
  <c r="CB9" i="40"/>
  <c r="AR64" i="40"/>
  <c r="J4" i="38"/>
  <c r="Q4" i="39" s="1"/>
  <c r="H4" i="38"/>
  <c r="G4" i="39" s="1"/>
  <c r="H88" i="39" s="1"/>
  <c r="K4" i="38"/>
  <c r="R4" i="39" s="1"/>
  <c r="AP9" i="40"/>
  <c r="CB60" i="40"/>
  <c r="AT60" i="40"/>
  <c r="AP60" i="40"/>
  <c r="H55" i="38"/>
  <c r="G55" i="39" s="1"/>
  <c r="H83" i="39" s="1"/>
  <c r="G4" i="28"/>
  <c r="D35" i="39"/>
  <c r="G5" i="28"/>
  <c r="AT10" i="40"/>
  <c r="CB10" i="40"/>
  <c r="K5" i="38"/>
  <c r="R5" i="39" s="1"/>
  <c r="J5" i="38"/>
  <c r="Q5" i="39" s="1"/>
  <c r="AP10" i="40"/>
  <c r="H5" i="38"/>
  <c r="G5" i="39" s="1"/>
  <c r="H84" i="39" s="1"/>
  <c r="CB22" i="40"/>
  <c r="AT22" i="40"/>
  <c r="J17" i="38"/>
  <c r="Q17" i="39" s="1"/>
  <c r="H17" i="38"/>
  <c r="G17" i="39" s="1"/>
  <c r="H94" i="39" s="1"/>
  <c r="AP22" i="40"/>
  <c r="K17" i="38"/>
  <c r="R17" i="39" s="1"/>
  <c r="AT55" i="40"/>
  <c r="CB55" i="40"/>
  <c r="H50" i="38"/>
  <c r="G50" i="39" s="1"/>
  <c r="H101" i="39" s="1"/>
  <c r="AP55" i="40"/>
  <c r="AT33" i="40"/>
  <c r="CB33" i="40"/>
  <c r="AP33" i="40"/>
  <c r="J28" i="38"/>
  <c r="Q28" i="39" s="1"/>
  <c r="H28" i="38"/>
  <c r="G28" i="39" s="1"/>
  <c r="H115" i="39" s="1"/>
  <c r="K28" i="38"/>
  <c r="R28" i="39" s="1"/>
  <c r="AT54" i="40"/>
  <c r="CB54" i="40"/>
  <c r="H49" i="38"/>
  <c r="G49" i="39" s="1"/>
  <c r="AP54" i="40"/>
  <c r="CB27" i="40"/>
  <c r="AT27" i="40"/>
  <c r="H22" i="38"/>
  <c r="G22" i="39" s="1"/>
  <c r="H109" i="39" s="1"/>
  <c r="J22" i="38"/>
  <c r="Q22" i="39" s="1"/>
  <c r="K22" i="38"/>
  <c r="R22" i="39" s="1"/>
  <c r="AP27" i="40"/>
  <c r="CB18" i="40"/>
  <c r="AT18" i="40"/>
  <c r="K13" i="38"/>
  <c r="R13" i="39" s="1"/>
  <c r="AP18" i="40"/>
  <c r="H13" i="38"/>
  <c r="G13" i="39" s="1"/>
  <c r="H106" i="39" s="1"/>
  <c r="J13" i="38"/>
  <c r="Q13" i="39" s="1"/>
  <c r="CB31" i="40"/>
  <c r="AT31" i="40"/>
  <c r="H26" i="38"/>
  <c r="G26" i="39" s="1"/>
  <c r="H118" i="39" s="1"/>
  <c r="K26" i="38"/>
  <c r="R26" i="39" s="1"/>
  <c r="AP31" i="40"/>
  <c r="J26" i="38"/>
  <c r="Q26" i="39" s="1"/>
  <c r="AT25" i="40"/>
  <c r="CB25" i="40"/>
  <c r="AP25" i="40"/>
  <c r="H20" i="38"/>
  <c r="G20" i="39" s="1"/>
  <c r="H91" i="39" s="1"/>
  <c r="J20" i="38"/>
  <c r="Q20" i="39" s="1"/>
  <c r="K20" i="38"/>
  <c r="R20" i="39" s="1"/>
  <c r="AT32" i="40"/>
  <c r="CB32" i="40"/>
  <c r="AP32" i="40"/>
  <c r="K27" i="38"/>
  <c r="R27" i="39" s="1"/>
  <c r="H27" i="38"/>
  <c r="G27" i="39" s="1"/>
  <c r="H103" i="39" s="1"/>
  <c r="J27" i="38"/>
  <c r="Q27" i="39" s="1"/>
  <c r="AT37" i="40"/>
  <c r="CB37" i="40"/>
  <c r="H32" i="38"/>
  <c r="G32" i="39" s="1"/>
  <c r="H96" i="39" s="1"/>
  <c r="AP37" i="40"/>
  <c r="J32" i="38"/>
  <c r="Q32" i="39" s="1"/>
  <c r="K32" i="38"/>
  <c r="R32" i="39" s="1"/>
  <c r="CB21" i="40"/>
  <c r="AT21" i="40"/>
  <c r="H16" i="38"/>
  <c r="G16" i="39" s="1"/>
  <c r="H93" i="39" s="1"/>
  <c r="K16" i="38"/>
  <c r="R16" i="39" s="1"/>
  <c r="J16" i="38"/>
  <c r="Q16" i="39" s="1"/>
  <c r="AP21" i="40"/>
  <c r="AT17" i="40"/>
  <c r="CB17" i="40"/>
  <c r="AP17" i="40"/>
  <c r="K12" i="38"/>
  <c r="R12" i="39" s="1"/>
  <c r="J12" i="38"/>
  <c r="Q12" i="39" s="1"/>
  <c r="H12" i="38"/>
  <c r="G12" i="39" s="1"/>
  <c r="H82" i="39" s="1"/>
  <c r="AT11" i="40"/>
  <c r="CB11" i="40"/>
  <c r="AP11" i="40"/>
  <c r="K6" i="38"/>
  <c r="R6" i="39" s="1"/>
  <c r="J6" i="38"/>
  <c r="Q6" i="39" s="1"/>
  <c r="H6" i="38"/>
  <c r="G6" i="39" s="1"/>
  <c r="H95" i="39" s="1"/>
  <c r="CB26" i="40"/>
  <c r="AT26" i="40"/>
  <c r="J21" i="38"/>
  <c r="Q21" i="39" s="1"/>
  <c r="K21" i="38"/>
  <c r="R21" i="39" s="1"/>
  <c r="AP26" i="40"/>
  <c r="H21" i="38"/>
  <c r="G21" i="39" s="1"/>
  <c r="H86" i="39" s="1"/>
  <c r="D69" i="39"/>
  <c r="CC17" i="40" l="1"/>
  <c r="BP78" i="40"/>
  <c r="BQ78" i="40" s="1"/>
  <c r="D12" i="38"/>
  <c r="D12" i="39" s="1"/>
  <c r="CC27" i="40"/>
  <c r="BP88" i="40"/>
  <c r="BQ88" i="40" s="1"/>
  <c r="D22" i="38"/>
  <c r="D22" i="39" s="1"/>
  <c r="CC30" i="40"/>
  <c r="BP91" i="40"/>
  <c r="BQ91" i="40" s="1"/>
  <c r="D25" i="38"/>
  <c r="D25" i="39" s="1"/>
  <c r="CC56" i="40"/>
  <c r="BP117" i="40"/>
  <c r="BQ117" i="40" s="1"/>
  <c r="D51" i="38"/>
  <c r="D51" i="39" s="1"/>
  <c r="BP80" i="40"/>
  <c r="BQ80" i="40" s="1"/>
  <c r="CC19" i="40"/>
  <c r="D14" i="38"/>
  <c r="D14" i="39" s="1"/>
  <c r="CC21" i="40"/>
  <c r="D16" i="38"/>
  <c r="D16" i="39" s="1"/>
  <c r="BP82" i="40"/>
  <c r="BQ82" i="40" s="1"/>
  <c r="CC24" i="40"/>
  <c r="BP85" i="40"/>
  <c r="BQ85" i="40" s="1"/>
  <c r="D19" i="38"/>
  <c r="D19" i="39" s="1"/>
  <c r="CC25" i="40"/>
  <c r="BP86" i="40"/>
  <c r="BQ86" i="40" s="1"/>
  <c r="D20" i="38"/>
  <c r="D20" i="39" s="1"/>
  <c r="CC54" i="40"/>
  <c r="D49" i="38"/>
  <c r="D49" i="39" s="1"/>
  <c r="BP115" i="40"/>
  <c r="BQ115" i="40" s="1"/>
  <c r="BP116" i="40"/>
  <c r="BQ116" i="40" s="1"/>
  <c r="CC55" i="40"/>
  <c r="D50" i="38"/>
  <c r="D50" i="39" s="1"/>
  <c r="CC60" i="40"/>
  <c r="BP121" i="40"/>
  <c r="BQ121" i="40" s="1"/>
  <c r="D55" i="38"/>
  <c r="D55" i="39" s="1"/>
  <c r="BP118" i="40"/>
  <c r="BQ118" i="40" s="1"/>
  <c r="CC57" i="40"/>
  <c r="D52" i="38"/>
  <c r="D52" i="39" s="1"/>
  <c r="CC53" i="40"/>
  <c r="BP114" i="40"/>
  <c r="BQ114" i="40" s="1"/>
  <c r="D48" i="38"/>
  <c r="D48" i="39" s="1"/>
  <c r="CC61" i="40"/>
  <c r="D56" i="38"/>
  <c r="D56" i="39" s="1"/>
  <c r="BP122" i="40"/>
  <c r="BQ122" i="40" s="1"/>
  <c r="CC36" i="40"/>
  <c r="BP97" i="40"/>
  <c r="BQ97" i="40" s="1"/>
  <c r="D31" i="38"/>
  <c r="D31" i="39" s="1"/>
  <c r="CC31" i="40"/>
  <c r="BP92" i="40"/>
  <c r="BQ92" i="40" s="1"/>
  <c r="D26" i="38"/>
  <c r="D26" i="39" s="1"/>
  <c r="CC22" i="40"/>
  <c r="BP83" i="40"/>
  <c r="BQ83" i="40" s="1"/>
  <c r="D17" i="38"/>
  <c r="D17" i="39" s="1"/>
  <c r="CC16" i="40"/>
  <c r="BP77" i="40"/>
  <c r="BQ77" i="40" s="1"/>
  <c r="D11" i="38"/>
  <c r="D11" i="39" s="1"/>
  <c r="H4" i="28"/>
  <c r="G4" i="29"/>
  <c r="CC52" i="40"/>
  <c r="BP113" i="40"/>
  <c r="BQ113" i="40" s="1"/>
  <c r="D47" i="38"/>
  <c r="CC29" i="40"/>
  <c r="BP90" i="40"/>
  <c r="BQ90" i="40" s="1"/>
  <c r="D24" i="38"/>
  <c r="D24" i="39" s="1"/>
  <c r="CC14" i="40"/>
  <c r="BP75" i="40"/>
  <c r="BQ75" i="40" s="1"/>
  <c r="D9" i="38"/>
  <c r="D9" i="39" s="1"/>
  <c r="CC35" i="40"/>
  <c r="BP96" i="40"/>
  <c r="BQ96" i="40" s="1"/>
  <c r="D30" i="38"/>
  <c r="D30" i="39" s="1"/>
  <c r="CC62" i="40"/>
  <c r="D57" i="38"/>
  <c r="D57" i="39" s="1"/>
  <c r="BP123" i="40"/>
  <c r="BQ123" i="40" s="1"/>
  <c r="CC13" i="40"/>
  <c r="BP74" i="40"/>
  <c r="BQ74" i="40" s="1"/>
  <c r="D8" i="38"/>
  <c r="CC26" i="40"/>
  <c r="BP87" i="40"/>
  <c r="BQ87" i="40" s="1"/>
  <c r="D21" i="38"/>
  <c r="D21" i="39" s="1"/>
  <c r="CC18" i="40"/>
  <c r="BP79" i="40"/>
  <c r="BQ79" i="40" s="1"/>
  <c r="D13" i="38"/>
  <c r="D13" i="39" s="1"/>
  <c r="CC33" i="40"/>
  <c r="D28" i="38"/>
  <c r="D28" i="39" s="1"/>
  <c r="BP94" i="40"/>
  <c r="BQ94" i="40" s="1"/>
  <c r="D53" i="38"/>
  <c r="CC58" i="40"/>
  <c r="BP119" i="40"/>
  <c r="BQ119" i="40" s="1"/>
  <c r="CC59" i="40"/>
  <c r="BP120" i="40"/>
  <c r="BQ120" i="40" s="1"/>
  <c r="D54" i="38"/>
  <c r="D54" i="39" s="1"/>
  <c r="CC9" i="40"/>
  <c r="AU64" i="40"/>
  <c r="BP70" i="40"/>
  <c r="BQ70" i="40" s="1"/>
  <c r="D4" i="38"/>
  <c r="BP76" i="40"/>
  <c r="BQ76" i="40" s="1"/>
  <c r="CC15" i="40"/>
  <c r="D10" i="38"/>
  <c r="D10" i="39" s="1"/>
  <c r="CC11" i="40"/>
  <c r="BP72" i="40"/>
  <c r="BQ72" i="40" s="1"/>
  <c r="D6" i="38"/>
  <c r="D6" i="39" s="1"/>
  <c r="CC32" i="40"/>
  <c r="BP93" i="40"/>
  <c r="BQ93" i="40" s="1"/>
  <c r="D27" i="38"/>
  <c r="D27" i="39" s="1"/>
  <c r="H5" i="28"/>
  <c r="G5" i="29"/>
  <c r="H5" i="29" s="1"/>
  <c r="CC34" i="40"/>
  <c r="BP95" i="40"/>
  <c r="BQ95" i="40" s="1"/>
  <c r="D29" i="38"/>
  <c r="D29" i="39" s="1"/>
  <c r="CC37" i="40"/>
  <c r="D32" i="38"/>
  <c r="D32" i="39" s="1"/>
  <c r="BP98" i="40"/>
  <c r="BQ98" i="40" s="1"/>
  <c r="CC10" i="40"/>
  <c r="BP71" i="40"/>
  <c r="BQ71" i="40" s="1"/>
  <c r="D5" i="38"/>
  <c r="D5" i="39" s="1"/>
  <c r="BP81" i="40"/>
  <c r="BQ81" i="40" s="1"/>
  <c r="CC20" i="40"/>
  <c r="D15" i="38"/>
  <c r="D15" i="39" s="1"/>
  <c r="CC12" i="40"/>
  <c r="BP73" i="40"/>
  <c r="BQ73" i="40" s="1"/>
  <c r="D7" i="38"/>
  <c r="CC23" i="40"/>
  <c r="BP84" i="40"/>
  <c r="BQ84" i="40" s="1"/>
  <c r="D18" i="38"/>
  <c r="D18" i="39" s="1"/>
  <c r="CC28" i="40"/>
  <c r="BP89" i="40"/>
  <c r="BQ89" i="40" s="1"/>
  <c r="D23" i="38"/>
  <c r="D23" i="39" s="1"/>
  <c r="D113" i="39"/>
  <c r="D83" i="39"/>
  <c r="D90" i="39"/>
  <c r="D116" i="39"/>
  <c r="D104" i="39"/>
  <c r="D107" i="39"/>
  <c r="D100" i="39"/>
  <c r="D101" i="39"/>
  <c r="T5" i="39" l="1"/>
  <c r="U5" i="39" s="1"/>
  <c r="AB5" i="39"/>
  <c r="T32" i="39"/>
  <c r="U32" i="39" s="1"/>
  <c r="AB32" i="39"/>
  <c r="T21" i="39"/>
  <c r="U21" i="39" s="1"/>
  <c r="AB21" i="39"/>
  <c r="T9" i="39"/>
  <c r="U9" i="39" s="1"/>
  <c r="AB9" i="39"/>
  <c r="T31" i="39"/>
  <c r="U31" i="39" s="1"/>
  <c r="AB31" i="39"/>
  <c r="T15" i="39"/>
  <c r="U15" i="39" s="1"/>
  <c r="AB15" i="39"/>
  <c r="T13" i="39"/>
  <c r="U13" i="39" s="1"/>
  <c r="AB13" i="39"/>
  <c r="T20" i="39"/>
  <c r="U20" i="39" s="1"/>
  <c r="AB20" i="39"/>
  <c r="T10" i="39"/>
  <c r="U10" i="39" s="1"/>
  <c r="AB10" i="39"/>
  <c r="T30" i="39"/>
  <c r="U30" i="39" s="1"/>
  <c r="AB30" i="39"/>
  <c r="T26" i="39"/>
  <c r="U26" i="39" s="1"/>
  <c r="AB26" i="39"/>
  <c r="T29" i="39"/>
  <c r="U29" i="39" s="1"/>
  <c r="AB29" i="39"/>
  <c r="T6" i="39"/>
  <c r="U6" i="39" s="1"/>
  <c r="AB6" i="39"/>
  <c r="T17" i="39"/>
  <c r="U17" i="39" s="1"/>
  <c r="AB17" i="39"/>
  <c r="T14" i="39"/>
  <c r="U14" i="39" s="1"/>
  <c r="AB14" i="39"/>
  <c r="T12" i="39"/>
  <c r="U12" i="39" s="1"/>
  <c r="AB12" i="39"/>
  <c r="T18" i="39"/>
  <c r="U18" i="39" s="1"/>
  <c r="AB18" i="39"/>
  <c r="T27" i="39"/>
  <c r="U27" i="39" s="1"/>
  <c r="AB27" i="39"/>
  <c r="T28" i="39"/>
  <c r="U28" i="39" s="1"/>
  <c r="AB28" i="39"/>
  <c r="T24" i="39"/>
  <c r="U24" i="39" s="1"/>
  <c r="AB24" i="39"/>
  <c r="T11" i="39"/>
  <c r="U11" i="39" s="1"/>
  <c r="AB11" i="39"/>
  <c r="T22" i="39"/>
  <c r="U22" i="39" s="1"/>
  <c r="AB22" i="39"/>
  <c r="T23" i="39"/>
  <c r="U23" i="39" s="1"/>
  <c r="AB23" i="39"/>
  <c r="T19" i="39"/>
  <c r="U19" i="39" s="1"/>
  <c r="AB19" i="39"/>
  <c r="T16" i="39"/>
  <c r="U16" i="39" s="1"/>
  <c r="AB16" i="39"/>
  <c r="T25" i="39"/>
  <c r="U25" i="39" s="1"/>
  <c r="AB25" i="39"/>
  <c r="V25" i="39"/>
  <c r="W25" i="39" s="1"/>
  <c r="V17" i="39"/>
  <c r="W17" i="39" s="1"/>
  <c r="V29" i="39"/>
  <c r="W29" i="39" s="1"/>
  <c r="V14" i="39"/>
  <c r="W14" i="39" s="1"/>
  <c r="V6" i="39"/>
  <c r="W6" i="39" s="1"/>
  <c r="V15" i="39"/>
  <c r="W15" i="39" s="1"/>
  <c r="V13" i="39"/>
  <c r="W13" i="39" s="1"/>
  <c r="V18" i="39"/>
  <c r="W18" i="39" s="1"/>
  <c r="V12" i="39"/>
  <c r="W12" i="39" s="1"/>
  <c r="V28" i="39"/>
  <c r="W28" i="39" s="1"/>
  <c r="V23" i="39"/>
  <c r="W23" i="39" s="1"/>
  <c r="V10" i="39"/>
  <c r="W10" i="39" s="1"/>
  <c r="V27" i="39"/>
  <c r="W27" i="39" s="1"/>
  <c r="V30" i="39"/>
  <c r="W30" i="39" s="1"/>
  <c r="V21" i="39"/>
  <c r="W21" i="39" s="1"/>
  <c r="V26" i="39"/>
  <c r="W26" i="39" s="1"/>
  <c r="V11" i="39"/>
  <c r="W11" i="39" s="1"/>
  <c r="V5" i="39"/>
  <c r="W5" i="39" s="1"/>
  <c r="V32" i="39"/>
  <c r="W32" i="39" s="1"/>
  <c r="V31" i="39"/>
  <c r="W31" i="39" s="1"/>
  <c r="V19" i="39"/>
  <c r="W19" i="39" s="1"/>
  <c r="V9" i="39"/>
  <c r="W9" i="39" s="1"/>
  <c r="V20" i="39"/>
  <c r="W20" i="39" s="1"/>
  <c r="V22" i="39"/>
  <c r="W22" i="39" s="1"/>
  <c r="V16" i="39"/>
  <c r="W16" i="39" s="1"/>
  <c r="V24" i="39"/>
  <c r="W24" i="39" s="1"/>
  <c r="Y6" i="39"/>
  <c r="AJ30" i="37" s="1"/>
  <c r="D59" i="38"/>
  <c r="D7" i="39"/>
  <c r="G7" i="28"/>
  <c r="C22" i="30"/>
  <c r="F22" i="30"/>
  <c r="Y53" i="37"/>
  <c r="Z53" i="37" s="1"/>
  <c r="C22" i="37"/>
  <c r="C54" i="37" s="1"/>
  <c r="B22" i="37"/>
  <c r="B54" i="37" s="1"/>
  <c r="C26" i="30"/>
  <c r="Y57" i="37"/>
  <c r="Z57" i="37" s="1"/>
  <c r="C26" i="37"/>
  <c r="C58" i="37" s="1"/>
  <c r="F26" i="30"/>
  <c r="B26" i="37"/>
  <c r="B58" i="37" s="1"/>
  <c r="G9" i="28"/>
  <c r="D53" i="39"/>
  <c r="D47" i="39"/>
  <c r="G10" i="28"/>
  <c r="G10" i="29" s="1"/>
  <c r="C25" i="30"/>
  <c r="F25" i="30"/>
  <c r="Y56" i="37"/>
  <c r="Z56" i="37" s="1"/>
  <c r="B25" i="37"/>
  <c r="B57" i="37" s="1"/>
  <c r="C25" i="37"/>
  <c r="C57" i="37" s="1"/>
  <c r="C19" i="30"/>
  <c r="F19" i="30"/>
  <c r="B19" i="37"/>
  <c r="B51" i="37" s="1"/>
  <c r="Y50" i="37"/>
  <c r="Z50" i="37" s="1"/>
  <c r="C19" i="37"/>
  <c r="C51" i="37" s="1"/>
  <c r="C17" i="30"/>
  <c r="F17" i="30"/>
  <c r="B17" i="37"/>
  <c r="B49" i="37" s="1"/>
  <c r="Y48" i="37"/>
  <c r="Z48" i="37" s="1"/>
  <c r="C17" i="37"/>
  <c r="C49" i="37" s="1"/>
  <c r="C14" i="30"/>
  <c r="Y45" i="37"/>
  <c r="Z45" i="37" s="1"/>
  <c r="F14" i="30"/>
  <c r="B14" i="37"/>
  <c r="B46" i="37" s="1"/>
  <c r="C14" i="37"/>
  <c r="C46" i="37" s="1"/>
  <c r="C4" i="30"/>
  <c r="F4" i="30"/>
  <c r="Y35" i="37"/>
  <c r="Z35" i="37" s="1"/>
  <c r="B4" i="37"/>
  <c r="B36" i="37" s="1"/>
  <c r="C4" i="37"/>
  <c r="C36" i="37" s="1"/>
  <c r="C31" i="30"/>
  <c r="F31" i="30"/>
  <c r="C31" i="37"/>
  <c r="C63" i="37" s="1"/>
  <c r="Y62" i="37"/>
  <c r="Z62" i="37" s="1"/>
  <c r="B31" i="37"/>
  <c r="B63" i="37" s="1"/>
  <c r="C28" i="30"/>
  <c r="F28" i="30"/>
  <c r="Y59" i="37"/>
  <c r="Z59" i="37" s="1"/>
  <c r="B28" i="37"/>
  <c r="B60" i="37" s="1"/>
  <c r="C28" i="37"/>
  <c r="C60" i="37" s="1"/>
  <c r="C5" i="30"/>
  <c r="F5" i="30"/>
  <c r="C5" i="37"/>
  <c r="C37" i="37" s="1"/>
  <c r="B5" i="37"/>
  <c r="B37" i="37" s="1"/>
  <c r="Y36" i="37"/>
  <c r="Z36" i="37" s="1"/>
  <c r="G8" i="28"/>
  <c r="D4" i="39"/>
  <c r="C27" i="30"/>
  <c r="F27" i="30"/>
  <c r="C27" i="37"/>
  <c r="C59" i="37" s="1"/>
  <c r="B27" i="37"/>
  <c r="B59" i="37" s="1"/>
  <c r="Y58" i="37"/>
  <c r="Z58" i="37" s="1"/>
  <c r="C23" i="30"/>
  <c r="F23" i="30"/>
  <c r="B23" i="37"/>
  <c r="B55" i="37" s="1"/>
  <c r="C23" i="37"/>
  <c r="C55" i="37" s="1"/>
  <c r="Y54" i="37"/>
  <c r="Z54" i="37" s="1"/>
  <c r="C16" i="30"/>
  <c r="F16" i="30"/>
  <c r="Y47" i="37"/>
  <c r="Z47" i="37" s="1"/>
  <c r="C16" i="37"/>
  <c r="C48" i="37" s="1"/>
  <c r="B16" i="37"/>
  <c r="B48" i="37" s="1"/>
  <c r="C13" i="30"/>
  <c r="C13" i="37"/>
  <c r="C45" i="37" s="1"/>
  <c r="F13" i="30"/>
  <c r="Y44" i="37"/>
  <c r="Z44" i="37" s="1"/>
  <c r="B13" i="37"/>
  <c r="B45" i="37" s="1"/>
  <c r="C11" i="30"/>
  <c r="F11" i="30"/>
  <c r="Y42" i="37"/>
  <c r="Z42" i="37" s="1"/>
  <c r="C11" i="37"/>
  <c r="C43" i="37" s="1"/>
  <c r="B11" i="37"/>
  <c r="B43" i="37" s="1"/>
  <c r="C9" i="30"/>
  <c r="F9" i="30"/>
  <c r="Y40" i="37"/>
  <c r="Z40" i="37" s="1"/>
  <c r="B9" i="37"/>
  <c r="B41" i="37" s="1"/>
  <c r="C9" i="37"/>
  <c r="C41" i="37" s="1"/>
  <c r="G6" i="28"/>
  <c r="D8" i="39"/>
  <c r="C8" i="30"/>
  <c r="F8" i="30"/>
  <c r="Y39" i="37"/>
  <c r="Z39" i="37" s="1"/>
  <c r="B8" i="37"/>
  <c r="B40" i="37" s="1"/>
  <c r="C8" i="37"/>
  <c r="C40" i="37" s="1"/>
  <c r="C10" i="30"/>
  <c r="F10" i="30"/>
  <c r="B10" i="37"/>
  <c r="B42" i="37" s="1"/>
  <c r="Y41" i="37"/>
  <c r="Z41" i="37" s="1"/>
  <c r="C10" i="37"/>
  <c r="C42" i="37" s="1"/>
  <c r="C21" i="30"/>
  <c r="F21" i="30"/>
  <c r="B21" i="37"/>
  <c r="B53" i="37" s="1"/>
  <c r="C21" i="37"/>
  <c r="C53" i="37" s="1"/>
  <c r="Y52" i="37"/>
  <c r="Z52" i="37" s="1"/>
  <c r="C12" i="30"/>
  <c r="Y43" i="37"/>
  <c r="Z43" i="37" s="1"/>
  <c r="F12" i="30"/>
  <c r="B12" i="37"/>
  <c r="B44" i="37" s="1"/>
  <c r="C12" i="37"/>
  <c r="C44" i="37" s="1"/>
  <c r="C20" i="30"/>
  <c r="F20" i="30"/>
  <c r="C20" i="37"/>
  <c r="C52" i="37" s="1"/>
  <c r="B20" i="37"/>
  <c r="B52" i="37" s="1"/>
  <c r="Y51" i="37"/>
  <c r="Z51" i="37" s="1"/>
  <c r="C29" i="30"/>
  <c r="F29" i="30"/>
  <c r="B29" i="37"/>
  <c r="B61" i="37" s="1"/>
  <c r="Y60" i="37"/>
  <c r="Z60" i="37" s="1"/>
  <c r="C29" i="37"/>
  <c r="C61" i="37" s="1"/>
  <c r="C30" i="30"/>
  <c r="F30" i="30"/>
  <c r="B30" i="37"/>
  <c r="B62" i="37" s="1"/>
  <c r="C30" i="37"/>
  <c r="C62" i="37" s="1"/>
  <c r="Y61" i="37"/>
  <c r="Z61" i="37" s="1"/>
  <c r="C18" i="30"/>
  <c r="F18" i="30"/>
  <c r="Y49" i="37"/>
  <c r="Z49" i="37" s="1"/>
  <c r="C18" i="37"/>
  <c r="C50" i="37" s="1"/>
  <c r="B18" i="37"/>
  <c r="B50" i="37" s="1"/>
  <c r="C15" i="30"/>
  <c r="F15" i="30"/>
  <c r="C15" i="37"/>
  <c r="C47" i="37" s="1"/>
  <c r="Y46" i="37"/>
  <c r="Z46" i="37" s="1"/>
  <c r="B15" i="37"/>
  <c r="B47" i="37" s="1"/>
  <c r="F24" i="30"/>
  <c r="C24" i="30"/>
  <c r="Y55" i="37"/>
  <c r="Z55" i="37" s="1"/>
  <c r="C24" i="37"/>
  <c r="C56" i="37" s="1"/>
  <c r="B24" i="37"/>
  <c r="B56" i="37" s="1"/>
  <c r="D84" i="39"/>
  <c r="D94" i="39"/>
  <c r="D82" i="39"/>
  <c r="D98" i="39"/>
  <c r="D81" i="39"/>
  <c r="D103" i="39"/>
  <c r="D92" i="39"/>
  <c r="D108" i="39"/>
  <c r="D86" i="39"/>
  <c r="D89" i="39"/>
  <c r="D117" i="39"/>
  <c r="D118" i="39"/>
  <c r="D85" i="39"/>
  <c r="D110" i="39"/>
  <c r="D109" i="39"/>
  <c r="D93" i="39"/>
  <c r="D91" i="39"/>
  <c r="D105" i="39"/>
  <c r="D106" i="39"/>
  <c r="D111" i="39"/>
  <c r="D95" i="39"/>
  <c r="D112" i="39"/>
  <c r="D97" i="39"/>
  <c r="D87" i="39"/>
  <c r="D99" i="39"/>
  <c r="D96" i="39"/>
  <c r="D115" i="39"/>
  <c r="D80" i="39"/>
  <c r="V8" i="39" l="1"/>
  <c r="W8" i="39" s="1"/>
  <c r="AB8" i="39"/>
  <c r="V7" i="39"/>
  <c r="W7" i="39" s="1"/>
  <c r="AB7" i="39"/>
  <c r="V4" i="39"/>
  <c r="W4" i="39" s="1"/>
  <c r="AB4" i="39"/>
  <c r="AD35" i="39" s="1"/>
  <c r="AD38" i="39" s="1"/>
  <c r="T7" i="39"/>
  <c r="U7" i="39" s="1"/>
  <c r="T8" i="39"/>
  <c r="U8" i="39" s="1"/>
  <c r="T4" i="39"/>
  <c r="U4" i="39" s="1"/>
  <c r="C89" i="37"/>
  <c r="B89" i="37"/>
  <c r="B75" i="37"/>
  <c r="C75" i="37"/>
  <c r="C7" i="30"/>
  <c r="F7" i="30"/>
  <c r="B7" i="37"/>
  <c r="B39" i="37" s="1"/>
  <c r="C7" i="37"/>
  <c r="C39" i="37" s="1"/>
  <c r="Y38" i="37"/>
  <c r="Z38" i="37" s="1"/>
  <c r="I13" i="39"/>
  <c r="D12" i="30" s="1"/>
  <c r="I25" i="39"/>
  <c r="D24" i="30" s="1"/>
  <c r="I32" i="39"/>
  <c r="D31" i="30" s="1"/>
  <c r="I18" i="39"/>
  <c r="D17" i="30" s="1"/>
  <c r="I30" i="39"/>
  <c r="D29" i="30" s="1"/>
  <c r="I24" i="39"/>
  <c r="D23" i="30" s="1"/>
  <c r="I21" i="39"/>
  <c r="D20" i="30" s="1"/>
  <c r="I29" i="39"/>
  <c r="D28" i="30" s="1"/>
  <c r="I12" i="39"/>
  <c r="D11" i="30" s="1"/>
  <c r="I23" i="39"/>
  <c r="D22" i="30" s="1"/>
  <c r="I5" i="39"/>
  <c r="D4" i="30" s="1"/>
  <c r="I16" i="39"/>
  <c r="D15" i="30" s="1"/>
  <c r="I9" i="39"/>
  <c r="D8" i="30" s="1"/>
  <c r="I8" i="39"/>
  <c r="D7" i="30" s="1"/>
  <c r="I28" i="39"/>
  <c r="D27" i="30" s="1"/>
  <c r="I27" i="39"/>
  <c r="D26" i="30" s="1"/>
  <c r="I17" i="39"/>
  <c r="D16" i="30" s="1"/>
  <c r="I6" i="39"/>
  <c r="D5" i="30" s="1"/>
  <c r="I19" i="39"/>
  <c r="D18" i="30" s="1"/>
  <c r="I26" i="39"/>
  <c r="D25" i="30" s="1"/>
  <c r="I31" i="39"/>
  <c r="D30" i="30" s="1"/>
  <c r="I22" i="39"/>
  <c r="D21" i="30" s="1"/>
  <c r="I15" i="39"/>
  <c r="D14" i="30" s="1"/>
  <c r="I7" i="39"/>
  <c r="D6" i="30" s="1"/>
  <c r="I10" i="39"/>
  <c r="D9" i="30" s="1"/>
  <c r="I11" i="39"/>
  <c r="D10" i="30" s="1"/>
  <c r="I20" i="39"/>
  <c r="D19" i="30" s="1"/>
  <c r="I4" i="39"/>
  <c r="I14" i="39"/>
  <c r="D13" i="30" s="1"/>
  <c r="B96" i="37"/>
  <c r="C96" i="37"/>
  <c r="B95" i="37"/>
  <c r="C95" i="37"/>
  <c r="B94" i="37"/>
  <c r="C94" i="37"/>
  <c r="B85" i="37"/>
  <c r="C85" i="37"/>
  <c r="B86" i="37"/>
  <c r="C86" i="37"/>
  <c r="B73" i="37"/>
  <c r="C73" i="37"/>
  <c r="H6" i="28"/>
  <c r="G6" i="29"/>
  <c r="H6" i="29" s="1"/>
  <c r="B76" i="37"/>
  <c r="C76" i="37"/>
  <c r="C92" i="37"/>
  <c r="B92" i="37"/>
  <c r="F3" i="30"/>
  <c r="C3" i="30"/>
  <c r="Y34" i="37"/>
  <c r="Z34" i="37" s="1"/>
  <c r="C3" i="37"/>
  <c r="C35" i="37" s="1"/>
  <c r="B3" i="37"/>
  <c r="B35" i="37" s="1"/>
  <c r="C93" i="37"/>
  <c r="B93" i="37"/>
  <c r="C79" i="37"/>
  <c r="B79" i="37"/>
  <c r="C82" i="37"/>
  <c r="B82" i="37"/>
  <c r="B84" i="37"/>
  <c r="C84" i="37"/>
  <c r="C91" i="37"/>
  <c r="B91" i="37"/>
  <c r="C80" i="37"/>
  <c r="B80" i="37"/>
  <c r="C83" i="37"/>
  <c r="B83" i="37"/>
  <c r="C88" i="37"/>
  <c r="B88" i="37"/>
  <c r="H8" i="28"/>
  <c r="G8" i="29"/>
  <c r="H8" i="29" s="1"/>
  <c r="C87" i="37"/>
  <c r="B87" i="37"/>
  <c r="H7" i="28"/>
  <c r="G7" i="29"/>
  <c r="H7" i="29" s="1"/>
  <c r="C77" i="37"/>
  <c r="B77" i="37"/>
  <c r="C74" i="37"/>
  <c r="B74" i="37"/>
  <c r="B78" i="37"/>
  <c r="C78" i="37"/>
  <c r="B81" i="37"/>
  <c r="C81" i="37"/>
  <c r="C70" i="37"/>
  <c r="B70" i="37"/>
  <c r="C69" i="37"/>
  <c r="B69" i="37"/>
  <c r="C90" i="37"/>
  <c r="B90" i="37"/>
  <c r="H10" i="28"/>
  <c r="H10" i="29"/>
  <c r="G9" i="29"/>
  <c r="H9" i="29" s="1"/>
  <c r="H9" i="28"/>
  <c r="C6" i="30"/>
  <c r="F6" i="30"/>
  <c r="C6" i="37"/>
  <c r="C38" i="37" s="1"/>
  <c r="Y37" i="37"/>
  <c r="Z37" i="37" s="1"/>
  <c r="B6" i="37"/>
  <c r="B38" i="37" s="1"/>
  <c r="D102" i="39"/>
  <c r="D88" i="39"/>
  <c r="D114" i="39"/>
  <c r="AD36" i="39" l="1"/>
  <c r="AD39" i="39" s="1"/>
  <c r="W3" i="39"/>
  <c r="D3" i="30"/>
  <c r="U3" i="39"/>
  <c r="C68" i="37"/>
  <c r="B68" i="37"/>
  <c r="C72" i="37"/>
  <c r="B72" i="37"/>
  <c r="B71" i="37"/>
  <c r="C71" i="37"/>
</calcChain>
</file>

<file path=xl/comments1.xml><?xml version="1.0" encoding="utf-8"?>
<comments xmlns="http://schemas.openxmlformats.org/spreadsheetml/2006/main">
  <authors>
    <author>David Rohan</author>
  </authors>
  <commentList>
    <comment ref="F4" authorId="0">
      <text>
        <r>
          <rPr>
            <b/>
            <sz val="9"/>
            <color indexed="81"/>
            <rFont val="Tahoma"/>
            <family val="2"/>
          </rPr>
          <t>David Rohan:</t>
        </r>
        <r>
          <rPr>
            <sz val="9"/>
            <color indexed="81"/>
            <rFont val="Tahoma"/>
            <family val="2"/>
          </rPr>
          <t xml:space="preserve">
Estimated proprtions</t>
        </r>
      </text>
    </comment>
  </commentList>
</comments>
</file>

<file path=xl/comments2.xml><?xml version="1.0" encoding="utf-8"?>
<comments xmlns="http://schemas.openxmlformats.org/spreadsheetml/2006/main">
  <authors>
    <author>David Rohan</author>
  </authors>
  <commentList>
    <comment ref="BH17" authorId="0">
      <text>
        <r>
          <rPr>
            <b/>
            <sz val="9"/>
            <color indexed="81"/>
            <rFont val="Tahoma"/>
            <family val="2"/>
          </rPr>
          <t>David Rohan:</t>
        </r>
        <r>
          <rPr>
            <sz val="9"/>
            <color indexed="81"/>
            <rFont val="Tahoma"/>
            <family val="2"/>
          </rPr>
          <t xml:space="preserve">
Total revenue less Connection , AoB, and Post-FTR LCE
</t>
        </r>
      </text>
    </comment>
    <comment ref="L21" authorId="0">
      <text>
        <r>
          <rPr>
            <b/>
            <sz val="9"/>
            <color indexed="81"/>
            <rFont val="Tahoma"/>
            <family val="2"/>
          </rPr>
          <t>David Rohan:</t>
        </r>
        <r>
          <rPr>
            <sz val="9"/>
            <color indexed="81"/>
            <rFont val="Tahoma"/>
            <family val="2"/>
          </rPr>
          <t xml:space="preserve">
From TPM3 table using reconciliation data</t>
        </r>
      </text>
    </comment>
    <comment ref="AI21" authorId="0">
      <text>
        <r>
          <rPr>
            <b/>
            <sz val="9"/>
            <color indexed="81"/>
            <rFont val="Tahoma"/>
            <family val="2"/>
          </rPr>
          <t>David Rohan:</t>
        </r>
        <r>
          <rPr>
            <sz val="9"/>
            <color indexed="81"/>
            <rFont val="Tahoma"/>
            <family val="2"/>
          </rPr>
          <t xml:space="preserve">
From TPM3 table</t>
        </r>
      </text>
    </comment>
    <comment ref="AS22" authorId="0">
      <text>
        <r>
          <rPr>
            <b/>
            <sz val="9"/>
            <color indexed="81"/>
            <rFont val="Tahoma"/>
            <family val="2"/>
          </rPr>
          <t>David Rohan:</t>
        </r>
        <r>
          <rPr>
            <sz val="9"/>
            <color indexed="81"/>
            <rFont val="Tahoma"/>
            <family val="2"/>
          </rPr>
          <t xml:space="preserve">
Allocation is to Gen, not Load!</t>
        </r>
      </text>
    </comment>
    <comment ref="BH170" authorId="0">
      <text>
        <r>
          <rPr>
            <b/>
            <sz val="9"/>
            <color indexed="81"/>
            <rFont val="Tahoma"/>
            <family val="2"/>
          </rPr>
          <t>David Rohan:</t>
        </r>
        <r>
          <rPr>
            <sz val="9"/>
            <color indexed="81"/>
            <rFont val="Tahoma"/>
            <family val="2"/>
          </rPr>
          <t xml:space="preserve">
set to 3 (cf ComCom data) as two feeders are 100% out of phase and probably shouldn't be double counted (i.e., apears to be same load)</t>
        </r>
      </text>
    </comment>
    <comment ref="L255" authorId="0">
      <text>
        <r>
          <rPr>
            <b/>
            <sz val="9"/>
            <color indexed="81"/>
            <rFont val="Tahoma"/>
            <family val="2"/>
          </rPr>
          <t>David Rohan:</t>
        </r>
        <r>
          <rPr>
            <sz val="9"/>
            <color indexed="81"/>
            <rFont val="Tahoma"/>
            <family val="2"/>
          </rPr>
          <t xml:space="preserve">
From TPM3 table</t>
        </r>
      </text>
    </comment>
    <comment ref="AI255" authorId="0">
      <text>
        <r>
          <rPr>
            <b/>
            <sz val="9"/>
            <color indexed="81"/>
            <rFont val="Tahoma"/>
            <family val="2"/>
          </rPr>
          <t>David Rohan:</t>
        </r>
        <r>
          <rPr>
            <sz val="9"/>
            <color indexed="81"/>
            <rFont val="Tahoma"/>
            <family val="2"/>
          </rPr>
          <t xml:space="preserve">
From TPM3 table</t>
        </r>
      </text>
    </comment>
    <comment ref="J491" authorId="0">
      <text>
        <r>
          <rPr>
            <b/>
            <sz val="9"/>
            <color indexed="81"/>
            <rFont val="Tahoma"/>
            <family val="2"/>
          </rPr>
          <t>David Rohan:</t>
        </r>
        <r>
          <rPr>
            <sz val="9"/>
            <color indexed="81"/>
            <rFont val="Tahoma"/>
            <family val="2"/>
          </rPr>
          <t xml:space="preserve">
Columns 1 and 2 swapped position
</t>
        </r>
      </text>
    </comment>
    <comment ref="L491" authorId="0">
      <text>
        <r>
          <rPr>
            <b/>
            <sz val="9"/>
            <color indexed="81"/>
            <rFont val="Tahoma"/>
            <family val="2"/>
          </rPr>
          <t>David Rohan:</t>
        </r>
        <r>
          <rPr>
            <sz val="9"/>
            <color indexed="81"/>
            <rFont val="Tahoma"/>
            <family val="2"/>
          </rPr>
          <t xml:space="preserve">
From 'New AoB data dumps' sheet (from SQL script)</t>
        </r>
      </text>
    </comment>
    <comment ref="AG491" authorId="0">
      <text>
        <r>
          <rPr>
            <b/>
            <sz val="9"/>
            <color indexed="81"/>
            <rFont val="Tahoma"/>
            <family val="2"/>
          </rPr>
          <t>David Rohan:</t>
        </r>
        <r>
          <rPr>
            <sz val="9"/>
            <color indexed="81"/>
            <rFont val="Tahoma"/>
            <family val="2"/>
          </rPr>
          <t xml:space="preserve">
Columns 1 and 2 swapped position
</t>
        </r>
      </text>
    </comment>
    <comment ref="AI491" authorId="0">
      <text>
        <r>
          <rPr>
            <b/>
            <sz val="9"/>
            <color indexed="81"/>
            <rFont val="Tahoma"/>
            <family val="2"/>
          </rPr>
          <t>David Rohan:</t>
        </r>
        <r>
          <rPr>
            <sz val="9"/>
            <color indexed="81"/>
            <rFont val="Tahoma"/>
            <family val="2"/>
          </rPr>
          <t xml:space="preserve">
From 'New AoB data dumps' sheet (from SQL script)</t>
        </r>
      </text>
    </comment>
    <comment ref="J574" authorId="0">
      <text>
        <r>
          <rPr>
            <b/>
            <sz val="9"/>
            <color indexed="81"/>
            <rFont val="Tahoma"/>
            <family val="2"/>
          </rPr>
          <t>David Rohan:</t>
        </r>
        <r>
          <rPr>
            <sz val="9"/>
            <color indexed="81"/>
            <rFont val="Tahoma"/>
            <family val="2"/>
          </rPr>
          <t xml:space="preserve">
Columns 1 and 2 swapped position
</t>
        </r>
      </text>
    </comment>
    <comment ref="AG574" authorId="0">
      <text>
        <r>
          <rPr>
            <b/>
            <sz val="9"/>
            <color indexed="81"/>
            <rFont val="Tahoma"/>
            <family val="2"/>
          </rPr>
          <t>David Rohan:</t>
        </r>
        <r>
          <rPr>
            <sz val="9"/>
            <color indexed="81"/>
            <rFont val="Tahoma"/>
            <family val="2"/>
          </rPr>
          <t xml:space="preserve">
Columns 1 and 2 swapped position
</t>
        </r>
      </text>
    </comment>
  </commentList>
</comments>
</file>

<file path=xl/comments3.xml><?xml version="1.0" encoding="utf-8"?>
<comments xmlns="http://schemas.openxmlformats.org/spreadsheetml/2006/main">
  <authors>
    <author>David Rohan</author>
  </authors>
  <commentList>
    <comment ref="Y4" authorId="0">
      <text>
        <r>
          <rPr>
            <b/>
            <sz val="9"/>
            <color indexed="81"/>
            <rFont val="Tahoma"/>
            <family val="2"/>
          </rPr>
          <t>David Rohan:</t>
        </r>
        <r>
          <rPr>
            <sz val="9"/>
            <color indexed="81"/>
            <rFont val="Tahoma"/>
            <family val="2"/>
          </rPr>
          <t xml:space="preserve">
This asset has makeup revenue from old AoB allocation, as well as benefits from new allocation</t>
        </r>
      </text>
    </comment>
    <comment ref="Q5" authorId="0">
      <text>
        <r>
          <rPr>
            <b/>
            <sz val="9"/>
            <color indexed="81"/>
            <rFont val="Tahoma"/>
            <family val="2"/>
          </rPr>
          <t>David Rohan:</t>
        </r>
        <r>
          <rPr>
            <sz val="9"/>
            <color indexed="81"/>
            <rFont val="Tahoma"/>
            <family val="2"/>
          </rPr>
          <t xml:space="preserve">
removed on EA advice that these were outside the investment criteria</t>
        </r>
      </text>
    </comment>
    <comment ref="AR40" authorId="0">
      <text>
        <r>
          <rPr>
            <b/>
            <sz val="9"/>
            <color indexed="81"/>
            <rFont val="Tahoma"/>
            <family val="2"/>
          </rPr>
          <t>David Rohan:</t>
        </r>
        <r>
          <rPr>
            <sz val="9"/>
            <color indexed="81"/>
            <rFont val="Tahoma"/>
            <family val="2"/>
          </rPr>
          <t xml:space="preserve">
Gneretaion Overhead is alocated in the connection charges - it's excluded here to avoid double counting</t>
        </r>
      </text>
    </comment>
    <comment ref="AL73" authorId="0">
      <text>
        <r>
          <rPr>
            <b/>
            <sz val="9"/>
            <color indexed="81"/>
            <rFont val="Tahoma"/>
            <family val="2"/>
          </rPr>
          <t>David Rohan:</t>
        </r>
        <r>
          <rPr>
            <sz val="9"/>
            <color indexed="81"/>
            <rFont val="Tahoma"/>
            <family val="2"/>
          </rPr>
          <t xml:space="preserve">
This is too small to affect the allocation</t>
        </r>
      </text>
    </comment>
  </commentList>
</comments>
</file>

<file path=xl/comments4.xml><?xml version="1.0" encoding="utf-8"?>
<comments xmlns="http://schemas.openxmlformats.org/spreadsheetml/2006/main">
  <authors>
    <author>David Rohan</author>
  </authors>
  <commentList>
    <comment ref="K2" authorId="0">
      <text>
        <r>
          <rPr>
            <b/>
            <sz val="9"/>
            <color indexed="81"/>
            <rFont val="Tahoma"/>
            <family val="2"/>
          </rPr>
          <t>David Rohan:</t>
        </r>
        <r>
          <rPr>
            <sz val="9"/>
            <color indexed="81"/>
            <rFont val="Tahoma"/>
            <family val="2"/>
          </rPr>
          <t xml:space="preserve">
NB this is total reported ACOT, and includes allowances for issues other than DG (eg transmission line prchases etc)</t>
        </r>
      </text>
    </comment>
  </commentList>
</comments>
</file>

<file path=xl/comments5.xml><?xml version="1.0" encoding="utf-8"?>
<comments xmlns="http://schemas.openxmlformats.org/spreadsheetml/2006/main">
  <authors>
    <author>David Rohan</author>
  </authors>
  <commentList>
    <comment ref="X37" authorId="0">
      <text>
        <r>
          <rPr>
            <b/>
            <sz val="9"/>
            <color indexed="81"/>
            <rFont val="Tahoma"/>
            <family val="2"/>
          </rPr>
          <t>David Rohan:</t>
        </r>
        <r>
          <rPr>
            <sz val="9"/>
            <color indexed="81"/>
            <rFont val="Tahoma"/>
            <family val="2"/>
          </rPr>
          <t xml:space="preserve">
Mokai is MRP at WKM; this conection charge is subtracted from MRP</t>
        </r>
      </text>
    </comment>
  </commentList>
</comments>
</file>

<file path=xl/comments6.xml><?xml version="1.0" encoding="utf-8"?>
<comments xmlns="http://schemas.openxmlformats.org/spreadsheetml/2006/main">
  <authors>
    <author>David Rohan</author>
  </authors>
  <commentList>
    <comment ref="G13" authorId="0">
      <text>
        <r>
          <rPr>
            <b/>
            <sz val="9"/>
            <color indexed="81"/>
            <rFont val="Tahoma"/>
            <family val="2"/>
          </rPr>
          <t>David Rohan:</t>
        </r>
        <r>
          <rPr>
            <sz val="9"/>
            <color indexed="81"/>
            <rFont val="Tahoma"/>
            <family val="2"/>
          </rPr>
          <t xml:space="preserve">
Aurora;s Queenstown data is used as a proxy for Lakeland's typical demand</t>
        </r>
      </text>
    </comment>
  </commentList>
</comments>
</file>

<file path=xl/comments7.xml><?xml version="1.0" encoding="utf-8"?>
<comments xmlns="http://schemas.openxmlformats.org/spreadsheetml/2006/main">
  <authors>
    <author>David Rohan</author>
  </authors>
  <commentList>
    <comment ref="W44" authorId="0">
      <text>
        <r>
          <rPr>
            <b/>
            <sz val="9"/>
            <color indexed="81"/>
            <rFont val="Tahoma"/>
            <family val="2"/>
          </rPr>
          <t>David Rohan:</t>
        </r>
        <r>
          <rPr>
            <sz val="9"/>
            <color indexed="81"/>
            <rFont val="Tahoma"/>
            <family val="2"/>
          </rPr>
          <t xml:space="preserve">
Assume same as Aurora (no Lakeland data)</t>
        </r>
      </text>
    </comment>
  </commentList>
</comments>
</file>

<file path=xl/comments8.xml><?xml version="1.0" encoding="utf-8"?>
<comments xmlns="http://schemas.openxmlformats.org/spreadsheetml/2006/main">
  <authors>
    <author>David Rohan</author>
  </authors>
  <commentList>
    <comment ref="C12" authorId="0">
      <text>
        <r>
          <rPr>
            <b/>
            <sz val="9"/>
            <color indexed="81"/>
            <rFont val="Tahoma"/>
            <family val="2"/>
          </rPr>
          <t>David Rohan:</t>
        </r>
        <r>
          <rPr>
            <sz val="9"/>
            <color indexed="81"/>
            <rFont val="Tahoma"/>
            <family val="2"/>
          </rPr>
          <t xml:space="preserve">
'new option 3' is post 2017 status quo; TPM OP5 is old 'status quo'</t>
        </r>
      </text>
    </comment>
  </commentList>
</comments>
</file>

<file path=xl/sharedStrings.xml><?xml version="1.0" encoding="utf-8"?>
<sst xmlns="http://schemas.openxmlformats.org/spreadsheetml/2006/main" count="65431" uniqueCount="1723">
  <si>
    <t>Alpine Energy</t>
  </si>
  <si>
    <t>Aurora Energy</t>
  </si>
  <si>
    <t>Buller Electricity</t>
  </si>
  <si>
    <t>CHH</t>
  </si>
  <si>
    <t>Contact</t>
  </si>
  <si>
    <t>Counties Power</t>
  </si>
  <si>
    <t>Daiken MDF</t>
  </si>
  <si>
    <t>Eastland Network</t>
  </si>
  <si>
    <t>Electra</t>
  </si>
  <si>
    <t>Electricity Ashburton</t>
  </si>
  <si>
    <t>Genesis</t>
  </si>
  <si>
    <t>Horizon</t>
  </si>
  <si>
    <t>Mainpower</t>
  </si>
  <si>
    <t>Marlborough Lines</t>
  </si>
  <si>
    <t>Meridian</t>
  </si>
  <si>
    <t>Methanex</t>
  </si>
  <si>
    <t>Mokai JV</t>
  </si>
  <si>
    <t>MRP</t>
  </si>
  <si>
    <t>NAP JV</t>
  </si>
  <si>
    <t>Network Tasman</t>
  </si>
  <si>
    <t>Network Waitaki</t>
  </si>
  <si>
    <t>Ngatamariki</t>
  </si>
  <si>
    <t>Norske Skog</t>
  </si>
  <si>
    <t>Northpower</t>
  </si>
  <si>
    <t>NZ Steel</t>
  </si>
  <si>
    <t>Orion</t>
  </si>
  <si>
    <t>PanPac</t>
  </si>
  <si>
    <t>Pioneer</t>
  </si>
  <si>
    <t>Powerco</t>
  </si>
  <si>
    <t>Powernet</t>
  </si>
  <si>
    <t>Rayonier</t>
  </si>
  <si>
    <t>Scanpower</t>
  </si>
  <si>
    <t>The Lines Company</t>
  </si>
  <si>
    <t>Todd</t>
  </si>
  <si>
    <t>Top Energy</t>
  </si>
  <si>
    <t>Trustpower</t>
  </si>
  <si>
    <t>Unison</t>
  </si>
  <si>
    <t>Vector</t>
  </si>
  <si>
    <t>Waipa Power</t>
  </si>
  <si>
    <t>WEL</t>
  </si>
  <si>
    <t>Wellington Electricity</t>
  </si>
  <si>
    <t>Westpower</t>
  </si>
  <si>
    <t>Winstones</t>
  </si>
  <si>
    <t>Base option from TPM options paper</t>
  </si>
  <si>
    <t>NZAS</t>
  </si>
  <si>
    <t>Generators</t>
  </si>
  <si>
    <t>HVDC</t>
  </si>
  <si>
    <t>RCPD</t>
  </si>
  <si>
    <t>PowerNet</t>
  </si>
  <si>
    <t>Fonterra</t>
  </si>
  <si>
    <t>Pacific Steel</t>
  </si>
  <si>
    <t>Kiwirail</t>
  </si>
  <si>
    <t>customer</t>
  </si>
  <si>
    <t>Other</t>
  </si>
  <si>
    <t>Pacific Aluminium</t>
  </si>
  <si>
    <t>AoB</t>
  </si>
  <si>
    <t>Residual</t>
  </si>
  <si>
    <t>key</t>
  </si>
  <si>
    <t>TPM OP 2##</t>
  </si>
  <si>
    <t>New option 1 - Deeper connection</t>
  </si>
  <si>
    <t>1a</t>
  </si>
  <si>
    <t>Regions (1a)</t>
  </si>
  <si>
    <t>new option 1#RC#1a</t>
  </si>
  <si>
    <t>LNI MM load</t>
  </si>
  <si>
    <t xml:space="preserve">Other ind    </t>
  </si>
  <si>
    <t>SI MM load</t>
  </si>
  <si>
    <t>Tiwai</t>
  </si>
  <si>
    <t>UNI MM load</t>
  </si>
  <si>
    <t>NI gen</t>
  </si>
  <si>
    <t>SI gen</t>
  </si>
  <si>
    <t>Base option from TPM Options Paper - Application A</t>
  </si>
  <si>
    <t>Connection</t>
  </si>
  <si>
    <t>LCE</t>
  </si>
  <si>
    <t>Deltas vs status quo, in c/kWh terms</t>
  </si>
  <si>
    <t>Charges in $ per year terms, for a specified level of household consumption</t>
  </si>
  <si>
    <t>Household consumption (kWh per year)</t>
  </si>
  <si>
    <t>Base option from TPM Options Paper - Application B</t>
  </si>
  <si>
    <t>Application A</t>
  </si>
  <si>
    <t>Application B</t>
  </si>
  <si>
    <t>TPM OP App B 2##</t>
  </si>
  <si>
    <t>UNI mass-market load</t>
  </si>
  <si>
    <t>LNI mass-market load</t>
  </si>
  <si>
    <t>SI mass-market load</t>
  </si>
  <si>
    <t>Other major industrials</t>
  </si>
  <si>
    <t>Deltas vs status quo, as charges in $ per year terms, for a specified level of household consumption</t>
  </si>
  <si>
    <t>Note, this does not include connection charges, tax, or pass-through of charges on generators.</t>
  </si>
  <si>
    <t>Note, these figures do not include pass-through of charges on generators.</t>
  </si>
  <si>
    <t>EDBs</t>
  </si>
  <si>
    <t>Aggregate</t>
  </si>
  <si>
    <t>Major industrials</t>
  </si>
  <si>
    <t>Area-of-benefit</t>
  </si>
  <si>
    <t>generator</t>
  </si>
  <si>
    <t>injection_at_load_and_generation_nodes_annual_GWh</t>
  </si>
  <si>
    <t>island</t>
  </si>
  <si>
    <t>total_generation_including_injection_at_load_nodes_annual_GWh</t>
  </si>
  <si>
    <t>N</t>
  </si>
  <si>
    <t>S</t>
  </si>
  <si>
    <t>_group</t>
  </si>
  <si>
    <t>net_load_annual_GWh</t>
  </si>
  <si>
    <t>1ai</t>
  </si>
  <si>
    <t>Centralines</t>
  </si>
  <si>
    <t>Electricity Invercargill</t>
  </si>
  <si>
    <t>Lakeland Network</t>
  </si>
  <si>
    <t>OtagoNet JV</t>
  </si>
  <si>
    <t>Southern Generation</t>
  </si>
  <si>
    <t>The Power Company</t>
  </si>
  <si>
    <t>new option 3##</t>
  </si>
  <si>
    <t>Status quo (Post 2017)</t>
  </si>
  <si>
    <t>New AoB</t>
  </si>
  <si>
    <t>Investment</t>
  </si>
  <si>
    <t>NIGU</t>
  </si>
  <si>
    <t>Pole 3</t>
  </si>
  <si>
    <t>Pole 2</t>
  </si>
  <si>
    <t>NAaN</t>
  </si>
  <si>
    <t>LSI Renewables</t>
  </si>
  <si>
    <t>Wairakei Ring</t>
  </si>
  <si>
    <t>Otahuhu GIS</t>
  </si>
  <si>
    <t>BPE-HAY reconductoring</t>
  </si>
  <si>
    <t>USI reactive support (IGE 4)</t>
  </si>
  <si>
    <t>UNI dynamic reactive support</t>
  </si>
  <si>
    <t>LSI Reliability</t>
  </si>
  <si>
    <t>Wanganui-Stratford</t>
  </si>
  <si>
    <t>ISL-KIK new 220kV circuit</t>
  </si>
  <si>
    <t>Totals</t>
  </si>
  <si>
    <t>investment</t>
  </si>
  <si>
    <t>record_year</t>
  </si>
  <si>
    <t>pooled_node</t>
  </si>
  <si>
    <t>network</t>
  </si>
  <si>
    <t>category</t>
  </si>
  <si>
    <t>net_charge_uncapped</t>
  </si>
  <si>
    <t>ABY0111</t>
  </si>
  <si>
    <t>load_offtake</t>
  </si>
  <si>
    <t>ALB0331</t>
  </si>
  <si>
    <t>ALB1101</t>
  </si>
  <si>
    <t>APS0111</t>
  </si>
  <si>
    <t>ARA2201 ARA0</t>
  </si>
  <si>
    <t>generation</t>
  </si>
  <si>
    <t>ARG1101</t>
  </si>
  <si>
    <t>TrustPower</t>
  </si>
  <si>
    <t>ARG1101 BRR0</t>
  </si>
  <si>
    <t>ARI1101 ARI0</t>
  </si>
  <si>
    <t>ARI1102 ARI0</t>
  </si>
  <si>
    <t>ASB0331</t>
  </si>
  <si>
    <t>ASB0661</t>
  </si>
  <si>
    <t>ASB0661 HBK0</t>
  </si>
  <si>
    <t>load_injection</t>
  </si>
  <si>
    <t>ASY0111</t>
  </si>
  <si>
    <t>ATI2201 ATI0</t>
  </si>
  <si>
    <t>ATU1101</t>
  </si>
  <si>
    <t>AVI2201 AVI0</t>
  </si>
  <si>
    <t>BAL0331</t>
  </si>
  <si>
    <t>BDE0111</t>
  </si>
  <si>
    <t>BEN2202 BEN0</t>
  </si>
  <si>
    <t>BLN0331</t>
  </si>
  <si>
    <t>BOB0331</t>
  </si>
  <si>
    <t>BOB1101</t>
  </si>
  <si>
    <t>BPD1101</t>
  </si>
  <si>
    <t>BPE0331</t>
  </si>
  <si>
    <t>BPE0331e</t>
  </si>
  <si>
    <t>BPE0551</t>
  </si>
  <si>
    <t>BPT1101</t>
  </si>
  <si>
    <t>BRB0331</t>
  </si>
  <si>
    <t>BRK0331</t>
  </si>
  <si>
    <t>BRY0661</t>
  </si>
  <si>
    <t>BWK1101</t>
  </si>
  <si>
    <t>BWK1101 WPI0</t>
  </si>
  <si>
    <t>CBG0111</t>
  </si>
  <si>
    <t>CLH0111</t>
  </si>
  <si>
    <t>CML0331</t>
  </si>
  <si>
    <t>COL0111</t>
  </si>
  <si>
    <t>COL0661</t>
  </si>
  <si>
    <t>COL0661 COL0</t>
  </si>
  <si>
    <t>CPK0111</t>
  </si>
  <si>
    <t>CPK0331</t>
  </si>
  <si>
    <t>CST0331</t>
  </si>
  <si>
    <t>CUL0331</t>
  </si>
  <si>
    <t>CUL0661</t>
  </si>
  <si>
    <t>CYD0331</t>
  </si>
  <si>
    <t>CYD2201</t>
  </si>
  <si>
    <t>CYD2201 CYD0</t>
  </si>
  <si>
    <t>DOB0331</t>
  </si>
  <si>
    <t>DVK0111</t>
  </si>
  <si>
    <t>EDG0331</t>
  </si>
  <si>
    <t>EDN0331</t>
  </si>
  <si>
    <t>FHL0331</t>
  </si>
  <si>
    <t>FKN0331</t>
  </si>
  <si>
    <t>GFD0331</t>
  </si>
  <si>
    <t>GLN</t>
  </si>
  <si>
    <t>DC</t>
  </si>
  <si>
    <t>GOR0331</t>
  </si>
  <si>
    <t>GYM0661</t>
  </si>
  <si>
    <t>GYT0331</t>
  </si>
  <si>
    <t>HAM0111</t>
  </si>
  <si>
    <t>HAM0331</t>
  </si>
  <si>
    <t>HAM0551</t>
  </si>
  <si>
    <t>HAY0111</t>
  </si>
  <si>
    <t>HAY0331</t>
  </si>
  <si>
    <t>HEN0331</t>
  </si>
  <si>
    <t>HEP0331</t>
  </si>
  <si>
    <t>HIN0331</t>
  </si>
  <si>
    <t>HKK0661</t>
  </si>
  <si>
    <t>HLY0331</t>
  </si>
  <si>
    <t>HLY2201 HLY1</t>
  </si>
  <si>
    <t>HLY2201 HLY2</t>
  </si>
  <si>
    <t>HLY2201 HLY5</t>
  </si>
  <si>
    <t>HLY2201 HLY6</t>
  </si>
  <si>
    <t>HOB1101</t>
  </si>
  <si>
    <t>HOR0331</t>
  </si>
  <si>
    <t>HOR0661</t>
  </si>
  <si>
    <t>HTI0331</t>
  </si>
  <si>
    <t>HUI0331</t>
  </si>
  <si>
    <t>HWA0331</t>
  </si>
  <si>
    <t>HWA0332</t>
  </si>
  <si>
    <t>HWA1101</t>
  </si>
  <si>
    <t>HWA1101 PTA1</t>
  </si>
  <si>
    <t>HWA1101 PTA2</t>
  </si>
  <si>
    <t>HWA1101 PTA3</t>
  </si>
  <si>
    <t>HWA1102</t>
  </si>
  <si>
    <t>HWA1102 WAA0</t>
  </si>
  <si>
    <t>HWA1102 WAA1</t>
  </si>
  <si>
    <t>HWB0331</t>
  </si>
  <si>
    <t>HWB0331 WPI0</t>
  </si>
  <si>
    <t>HWB0332</t>
  </si>
  <si>
    <t>HWB1101</t>
  </si>
  <si>
    <t>INV0331</t>
  </si>
  <si>
    <t>ISL0331</t>
  </si>
  <si>
    <t>ISL0661</t>
  </si>
  <si>
    <t>KAI0111</t>
  </si>
  <si>
    <t>KAW</t>
  </si>
  <si>
    <t>KAW0111</t>
  </si>
  <si>
    <t>KBY0661</t>
  </si>
  <si>
    <t>KBY0662</t>
  </si>
  <si>
    <t>KIK0111</t>
  </si>
  <si>
    <t>KIN</t>
  </si>
  <si>
    <t>KIN0331</t>
  </si>
  <si>
    <t>KMO0331</t>
  </si>
  <si>
    <t>KOE1101</t>
  </si>
  <si>
    <t>KOE1101e</t>
  </si>
  <si>
    <t>KPA1101 KPI1</t>
  </si>
  <si>
    <t>KPO1101 KPO0</t>
  </si>
  <si>
    <t>KPU0661</t>
  </si>
  <si>
    <t>KUM0661</t>
  </si>
  <si>
    <t>KUM0661 KUM0</t>
  </si>
  <si>
    <t>KWA0111</t>
  </si>
  <si>
    <t>LFD1101</t>
  </si>
  <si>
    <t>LFD1102</t>
  </si>
  <si>
    <t>LTN0331</t>
  </si>
  <si>
    <t>LTN0331e</t>
  </si>
  <si>
    <t>MAN2201 MAN0</t>
  </si>
  <si>
    <t>MAT1101</t>
  </si>
  <si>
    <t>MAT1101 ANI0</t>
  </si>
  <si>
    <t>MAT1101 MAT0</t>
  </si>
  <si>
    <t>MAT1102 MAT0</t>
  </si>
  <si>
    <t>MCH0111</t>
  </si>
  <si>
    <t>MER0331</t>
  </si>
  <si>
    <t>MGM0331</t>
  </si>
  <si>
    <t>MHO0331</t>
  </si>
  <si>
    <t>MHO0331 MHO0</t>
  </si>
  <si>
    <t>MKE1101</t>
  </si>
  <si>
    <t>MKE1101 MKE1</t>
  </si>
  <si>
    <t>MLG0111</t>
  </si>
  <si>
    <t>MLG0331</t>
  </si>
  <si>
    <t>MNG0331</t>
  </si>
  <si>
    <t>MNG1101</t>
  </si>
  <si>
    <t>MNI0111</t>
  </si>
  <si>
    <t>MPE1101</t>
  </si>
  <si>
    <t>MST0331</t>
  </si>
  <si>
    <t>MTI2201 MTI0</t>
  </si>
  <si>
    <t>MTM0331</t>
  </si>
  <si>
    <t>MTN0331</t>
  </si>
  <si>
    <t>MTO0331</t>
  </si>
  <si>
    <t>MTR0331</t>
  </si>
  <si>
    <t>NAP2201</t>
  </si>
  <si>
    <t>NAP2201 NAP0</t>
  </si>
  <si>
    <t>NAP2202</t>
  </si>
  <si>
    <t>NAP2202 NTM0</t>
  </si>
  <si>
    <t>NMA0331</t>
  </si>
  <si>
    <t>NMA0331e</t>
  </si>
  <si>
    <t>NPK0331</t>
  </si>
  <si>
    <t>NPL0331</t>
  </si>
  <si>
    <t>NSY0331</t>
  </si>
  <si>
    <t>NSY0331 PAE0</t>
  </si>
  <si>
    <t>OAM0331</t>
  </si>
  <si>
    <t>OHA2201 OHA0</t>
  </si>
  <si>
    <t>OHB2201 OHB0</t>
  </si>
  <si>
    <t>OHC2201 OHC0</t>
  </si>
  <si>
    <t>OHK2201 OHK0</t>
  </si>
  <si>
    <t>OKI2201 OKI0</t>
  </si>
  <si>
    <t>OKN0111</t>
  </si>
  <si>
    <t>ONG0331</t>
  </si>
  <si>
    <t>OPK0331</t>
  </si>
  <si>
    <t>ORO1101</t>
  </si>
  <si>
    <t>ORO1102</t>
  </si>
  <si>
    <t>OTA0221</t>
  </si>
  <si>
    <t>OTI0111</t>
  </si>
  <si>
    <t>OWH0111</t>
  </si>
  <si>
    <t>PAK0331</t>
  </si>
  <si>
    <t>PAO1101</t>
  </si>
  <si>
    <t>PEN0221</t>
  </si>
  <si>
    <t>PEN0251</t>
  </si>
  <si>
    <t>PEN0331</t>
  </si>
  <si>
    <t>PEN1101</t>
  </si>
  <si>
    <t>PNI0331</t>
  </si>
  <si>
    <t>PPI2201</t>
  </si>
  <si>
    <t>PPI2201 PPI0</t>
  </si>
  <si>
    <t>PRM0331</t>
  </si>
  <si>
    <t>RDF0331</t>
  </si>
  <si>
    <t>RFN1101</t>
  </si>
  <si>
    <t>RFN1102</t>
  </si>
  <si>
    <t>ROS0221</t>
  </si>
  <si>
    <t>ROS1101</t>
  </si>
  <si>
    <t>ROT0111</t>
  </si>
  <si>
    <t>ROT0331</t>
  </si>
  <si>
    <t>ROT1101</t>
  </si>
  <si>
    <t>ROT1101 WHE0</t>
  </si>
  <si>
    <t>ROX1101 ROX0</t>
  </si>
  <si>
    <t>ROX2201 ROX0</t>
  </si>
  <si>
    <t>RPO2201 RPO0</t>
  </si>
  <si>
    <t>SBK0331</t>
  </si>
  <si>
    <t>SDN0331</t>
  </si>
  <si>
    <t>SFD0331</t>
  </si>
  <si>
    <t>SFD2201</t>
  </si>
  <si>
    <t>SFD2201 SFD21</t>
  </si>
  <si>
    <t>SFD2201 SFD22</t>
  </si>
  <si>
    <t>SFD2201 SPL0</t>
  </si>
  <si>
    <t>STK0331</t>
  </si>
  <si>
    <t>STK0661 COB0</t>
  </si>
  <si>
    <t>STU0111</t>
  </si>
  <si>
    <t>SVL0331</t>
  </si>
  <si>
    <t>SWN0251</t>
  </si>
  <si>
    <t>SWN2201</t>
  </si>
  <si>
    <t>SWN2201 SWN5</t>
  </si>
  <si>
    <t>TAK0331</t>
  </si>
  <si>
    <t>TGA0111</t>
  </si>
  <si>
    <t>TGA0331</t>
  </si>
  <si>
    <t>TGA0331 KMI0</t>
  </si>
  <si>
    <t>THI2201</t>
  </si>
  <si>
    <t>THI2201 THI1</t>
  </si>
  <si>
    <t>THI2201 THI2</t>
  </si>
  <si>
    <t>TIM0111</t>
  </si>
  <si>
    <t>TKA0111 TKA1</t>
  </si>
  <si>
    <t>TKB2201 TKB1</t>
  </si>
  <si>
    <t>TKH0111</t>
  </si>
  <si>
    <t>TKR0331</t>
  </si>
  <si>
    <t>TKU0331</t>
  </si>
  <si>
    <t>TKU2201 TKU0</t>
  </si>
  <si>
    <t>TMI0331</t>
  </si>
  <si>
    <t>TMK0331</t>
  </si>
  <si>
    <t>TMN0551</t>
  </si>
  <si>
    <t>TMU0111</t>
  </si>
  <si>
    <t>TNG0111</t>
  </si>
  <si>
    <t>TNG0551</t>
  </si>
  <si>
    <t>TRK0111</t>
  </si>
  <si>
    <t>TUI1101</t>
  </si>
  <si>
    <t>TUI1101 KTW0</t>
  </si>
  <si>
    <t>TUI1101 PRI0</t>
  </si>
  <si>
    <t>TUI1101 TUI0</t>
  </si>
  <si>
    <t>TWC2201</t>
  </si>
  <si>
    <t>TWH0331</t>
  </si>
  <si>
    <t>TWH0331 TRC1</t>
  </si>
  <si>
    <t>TWH0331e</t>
  </si>
  <si>
    <t>TWI2201</t>
  </si>
  <si>
    <t>TWZ0331</t>
  </si>
  <si>
    <t>UHT0331</t>
  </si>
  <si>
    <t>WAI0111</t>
  </si>
  <si>
    <t>WDV0111</t>
  </si>
  <si>
    <t>WDV1101</t>
  </si>
  <si>
    <t>WEL0331</t>
  </si>
  <si>
    <t>WGN0331</t>
  </si>
  <si>
    <t>WHI0111</t>
  </si>
  <si>
    <t>WHI2201</t>
  </si>
  <si>
    <t>WHI2201 WHI0</t>
  </si>
  <si>
    <t>WHU0331</t>
  </si>
  <si>
    <t>WIL0331</t>
  </si>
  <si>
    <t>WIR0331</t>
  </si>
  <si>
    <t>WKM2201</t>
  </si>
  <si>
    <t>WKM2201 MOK0</t>
  </si>
  <si>
    <t>WKM2201 WKM0</t>
  </si>
  <si>
    <t>WKO0331</t>
  </si>
  <si>
    <t>WPA2201 WPA0</t>
  </si>
  <si>
    <t>WPR0331</t>
  </si>
  <si>
    <t>WPR0661</t>
  </si>
  <si>
    <t>WPT0111</t>
  </si>
  <si>
    <t>WPW0331</t>
  </si>
  <si>
    <t>WRD0331</t>
  </si>
  <si>
    <t>WRK0331</t>
  </si>
  <si>
    <t>WRK0331 RKA0</t>
  </si>
  <si>
    <t>WRK0331 TAA0</t>
  </si>
  <si>
    <t>WRK2201 WRK0</t>
  </si>
  <si>
    <t>WTK0111</t>
  </si>
  <si>
    <t>WTK0111 WTK0</t>
  </si>
  <si>
    <t>WTU0331</t>
  </si>
  <si>
    <t>WVY0111</t>
  </si>
  <si>
    <t>WWD1102</t>
  </si>
  <si>
    <t>WWD1103</t>
  </si>
  <si>
    <t>Reveue requirement</t>
  </si>
  <si>
    <t>To be allocated by old AoB</t>
  </si>
  <si>
    <t>node</t>
  </si>
  <si>
    <t>ADD0111</t>
  </si>
  <si>
    <t>ADD0661</t>
  </si>
  <si>
    <t>BRY0111</t>
  </si>
  <si>
    <t>GIS0501</t>
  </si>
  <si>
    <t>GLN0331</t>
  </si>
  <si>
    <t>GLN0332</t>
  </si>
  <si>
    <t>KAW0112</t>
  </si>
  <si>
    <t>KAW0113</t>
  </si>
  <si>
    <t>KAW1101</t>
  </si>
  <si>
    <t>KEN0331</t>
  </si>
  <si>
    <t>KIN0111</t>
  </si>
  <si>
    <t>KIN0112</t>
  </si>
  <si>
    <t>KIN0113</t>
  </si>
  <si>
    <t>KPA1101</t>
  </si>
  <si>
    <t>MAN2201</t>
  </si>
  <si>
    <t>MLN0661</t>
  </si>
  <si>
    <t>MLN0664</t>
  </si>
  <si>
    <t>MOT0111</t>
  </si>
  <si>
    <t>MPI0661</t>
  </si>
  <si>
    <t>OTA1101</t>
  </si>
  <si>
    <t>OTA1102</t>
  </si>
  <si>
    <t>PAL0331</t>
  </si>
  <si>
    <t>SPN0331</t>
  </si>
  <si>
    <t>SPN0661</t>
  </si>
  <si>
    <t>TKA0331</t>
  </si>
  <si>
    <t>WRA0111</t>
  </si>
  <si>
    <t>gross_amd_mw</t>
  </si>
  <si>
    <t>Gross_AMD_on_node_and_customer_basis</t>
  </si>
  <si>
    <t>offer_code</t>
  </si>
  <si>
    <t>BEN0162 BEN0</t>
  </si>
  <si>
    <t>BEN0163 BEN0</t>
  </si>
  <si>
    <t>COB0661 COB0</t>
  </si>
  <si>
    <t>GLN0332 GLN0</t>
  </si>
  <si>
    <t>KAW0112 ONU0</t>
  </si>
  <si>
    <t>KAW1101 KAG0</t>
  </si>
  <si>
    <t>KIN0112 KIN0</t>
  </si>
  <si>
    <t>OTA2202 OTC0</t>
  </si>
  <si>
    <t>SWN2201 SWN0</t>
  </si>
  <si>
    <t>TKA0111 TKA0</t>
  </si>
  <si>
    <t>TKB2201 TKB0</t>
  </si>
  <si>
    <t>charge_group</t>
  </si>
  <si>
    <t>offtakes_at_load_nodes</t>
  </si>
  <si>
    <t>injections_at_load_nodes</t>
  </si>
  <si>
    <t>injections_at_generation_nodes</t>
  </si>
  <si>
    <t>All consumers</t>
  </si>
  <si>
    <t>Y</t>
  </si>
  <si>
    <t>All LSI generators</t>
  </si>
  <si>
    <t>All NI consumers</t>
  </si>
  <si>
    <t>All NI generators</t>
  </si>
  <si>
    <t>All SI consumers</t>
  </si>
  <si>
    <t>All SI generators</t>
  </si>
  <si>
    <t>CNI geothermals + Waikato hydro from Atiamuri + BOP generators</t>
  </si>
  <si>
    <t>Loads north of WKM</t>
  </si>
  <si>
    <t>Taranaki loads</t>
  </si>
  <si>
    <t>Wellington loads</t>
  </si>
  <si>
    <t>SI loads Christchurch and north</t>
  </si>
  <si>
    <t>SI loads Studholme and north</t>
  </si>
  <si>
    <t>Naseby</t>
  </si>
  <si>
    <t>Manapouri</t>
  </si>
  <si>
    <t>Tekapo B</t>
  </si>
  <si>
    <t>TCC</t>
  </si>
  <si>
    <t>Huntly</t>
  </si>
  <si>
    <t>Load at Woodville</t>
  </si>
  <si>
    <t>Blenheim load</t>
  </si>
  <si>
    <t>Culverden</t>
  </si>
  <si>
    <t>Otira and Arthurs Pass</t>
  </si>
  <si>
    <t>Load at Bunnythorpe</t>
  </si>
  <si>
    <t>Load at Haywards Melling Gracefield</t>
  </si>
  <si>
    <t>Paraparaumu</t>
  </si>
  <si>
    <t>Loads at Wiri Bombay</t>
  </si>
  <si>
    <t>Loads at Tauranga Mt Maunganui Kaitemako</t>
  </si>
  <si>
    <t>Loads at Takanini Drury Glenbrook</t>
  </si>
  <si>
    <t>Loads Wilton Central Park Kaiwharawhara</t>
  </si>
  <si>
    <t>West Coast load</t>
  </si>
  <si>
    <t>Loads in Nelson-Marlborough and West Coast</t>
  </si>
  <si>
    <t>Loads at Balclutha Berwick Waipori</t>
  </si>
  <si>
    <t>Load at Waverley Hawera and Whareroa</t>
  </si>
  <si>
    <t>Load at Redclyffe Whakatu</t>
  </si>
  <si>
    <t>Bay of Plenty load</t>
  </si>
  <si>
    <t>Load at Tiwai and Invercargill and in the Southland 110kV network</t>
  </si>
  <si>
    <t>Loads Bombay and north</t>
  </si>
  <si>
    <t>Loads Pakuranga and north</t>
  </si>
  <si>
    <t>Loads Penrose and north</t>
  </si>
  <si>
    <t>Loads Henderson and north</t>
  </si>
  <si>
    <t>Loads Hepburn and north</t>
  </si>
  <si>
    <t>Loads Albany and north</t>
  </si>
  <si>
    <t>Loads Marsden and north</t>
  </si>
  <si>
    <t>Taranaki generation</t>
  </si>
  <si>
    <t>Te Apiti</t>
  </si>
  <si>
    <t>West Wind</t>
  </si>
  <si>
    <t>Waipori</t>
  </si>
  <si>
    <t>Generation at Waverley Hawera and Whareroa</t>
  </si>
  <si>
    <t>Generation at Atiamuri Ohakuri and in the Bay of Plenty</t>
  </si>
  <si>
    <t>Rangipo</t>
  </si>
  <si>
    <t>Tokaanu</t>
  </si>
  <si>
    <t>Gore</t>
  </si>
  <si>
    <t>Tangiwai</t>
  </si>
  <si>
    <t>Load at Tarukenga Rotorua Mt Maunganui Tauranga</t>
  </si>
  <si>
    <t>Dunedin loads</t>
  </si>
  <si>
    <t>Southland loads</t>
  </si>
  <si>
    <t>Loads in Ongarue National Park Ohakune Mataroa</t>
  </si>
  <si>
    <t>aob_charge_group_definitions</t>
  </si>
  <si>
    <t>offer_node_to_participant</t>
  </si>
  <si>
    <t>.</t>
  </si>
  <si>
    <t>MRPL</t>
  </si>
  <si>
    <t>OKI</t>
  </si>
  <si>
    <t>CTCT</t>
  </si>
  <si>
    <t>PPI</t>
  </si>
  <si>
    <t>NAP</t>
  </si>
  <si>
    <t>WRK</t>
  </si>
  <si>
    <t>TRUS</t>
  </si>
  <si>
    <t>CYD</t>
  </si>
  <si>
    <t>ROX</t>
  </si>
  <si>
    <t>COB</t>
  </si>
  <si>
    <t>COL</t>
  </si>
  <si>
    <t>MAN</t>
  </si>
  <si>
    <t>MERI</t>
  </si>
  <si>
    <t>MHO</t>
  </si>
  <si>
    <t>MAT</t>
  </si>
  <si>
    <t>RPO</t>
  </si>
  <si>
    <t>GENE</t>
  </si>
  <si>
    <t>TKU</t>
  </si>
  <si>
    <t>TUI</t>
  </si>
  <si>
    <t>ARA</t>
  </si>
  <si>
    <t>ATI</t>
  </si>
  <si>
    <t>KPO</t>
  </si>
  <si>
    <t>MTI</t>
  </si>
  <si>
    <t>OHK</t>
  </si>
  <si>
    <t>WPA</t>
  </si>
  <si>
    <t>WKM</t>
  </si>
  <si>
    <t>AVI</t>
  </si>
  <si>
    <t>BEN</t>
  </si>
  <si>
    <t>OHA</t>
  </si>
  <si>
    <t>OHB</t>
  </si>
  <si>
    <t>OHC</t>
  </si>
  <si>
    <t>TKB</t>
  </si>
  <si>
    <t>TKA</t>
  </si>
  <si>
    <t>WTK</t>
  </si>
  <si>
    <t>HLY</t>
  </si>
  <si>
    <t>SWN</t>
  </si>
  <si>
    <t>SFD</t>
  </si>
  <si>
    <t>WHI</t>
  </si>
  <si>
    <t>WWD</t>
  </si>
  <si>
    <t>GWh/yr</t>
  </si>
  <si>
    <t>PROPORTIONS ALLOCATION</t>
  </si>
  <si>
    <t>Demand allocation 1</t>
  </si>
  <si>
    <t>Demand allocation 2</t>
  </si>
  <si>
    <t>Generation allocation 1</t>
  </si>
  <si>
    <t>Generation allocation 2</t>
  </si>
  <si>
    <t>Charges to party by investment</t>
  </si>
  <si>
    <t>MAKE-UP CHARGES FROM OLD AOB ALLOCATION</t>
  </si>
  <si>
    <t>Rev req</t>
  </si>
  <si>
    <t>Benefit</t>
  </si>
  <si>
    <t>vSPD ALLOCATION CHARGES</t>
  </si>
  <si>
    <t>noLSIren</t>
  </si>
  <si>
    <t>noNAaN</t>
  </si>
  <si>
    <t>noNIGU</t>
  </si>
  <si>
    <t>noWRK</t>
  </si>
  <si>
    <t>check</t>
  </si>
  <si>
    <t>FINAL OUTPUTS ($M/year)</t>
  </si>
  <si>
    <t>PART 1 - Calculate AMDs and GWH/yr allocaters for each investment and customer group (BY NODE BY CUSTOMER)</t>
  </si>
  <si>
    <t>Total reveue requirement</t>
  </si>
  <si>
    <t>MW</t>
  </si>
  <si>
    <t>Residual Charge</t>
  </si>
  <si>
    <t>AoB Charge</t>
  </si>
  <si>
    <t>noNIGU21</t>
  </si>
  <si>
    <t>Net Uncapped benefit ($m)</t>
  </si>
  <si>
    <t>Total AMD</t>
  </si>
  <si>
    <t>PART 2 - Allocate AoB Charges BY NODE BY CUSTOMER</t>
  </si>
  <si>
    <t xml:space="preserve">PART 3 - Residual Allocation </t>
  </si>
  <si>
    <t>EDB ave $/MWh</t>
  </si>
  <si>
    <t>status quo</t>
  </si>
  <si>
    <t>graphing</t>
  </si>
  <si>
    <t>KEY</t>
  </si>
  <si>
    <t>Key</t>
  </si>
  <si>
    <t>Electricity Distribution Business</t>
  </si>
  <si>
    <t>Electra Limited</t>
  </si>
  <si>
    <t>Horizon Energy Distribution</t>
  </si>
  <si>
    <t>Mainpower New Zealand</t>
  </si>
  <si>
    <t>Marlborough Lines Limited</t>
  </si>
  <si>
    <t>Nelson Electricity Limited</t>
  </si>
  <si>
    <t>Network Tasman Limited</t>
  </si>
  <si>
    <t>Network Waitaki Limited</t>
  </si>
  <si>
    <t>Northpower Limited</t>
  </si>
  <si>
    <t>Orion New Zealand</t>
  </si>
  <si>
    <t>OtagoNet Joint Venture</t>
  </si>
  <si>
    <t>Powerco Limited</t>
  </si>
  <si>
    <t>Scanpower Limited</t>
  </si>
  <si>
    <t>Top Energy Limited</t>
  </si>
  <si>
    <t>Unison Networks</t>
  </si>
  <si>
    <t>Vector Lines Limited</t>
  </si>
  <si>
    <t>Waipa Networks Limited</t>
  </si>
  <si>
    <t>WEL Networks</t>
  </si>
  <si>
    <t>Wellington Electricity Limited</t>
  </si>
  <si>
    <t>Westpower Limited</t>
  </si>
  <si>
    <t>Total</t>
  </si>
  <si>
    <t xml:space="preserve">Centralines </t>
  </si>
  <si>
    <t>ACOT allowance  ($m/yr)</t>
  </si>
  <si>
    <t>Ave 2013 &amp; 2014 ($m)</t>
  </si>
  <si>
    <t>Vector (Northern)</t>
  </si>
  <si>
    <t>Vector (Auckland)</t>
  </si>
  <si>
    <t>Powerco (Tauranga)</t>
  </si>
  <si>
    <t>Powerco (Thames Valley)</t>
  </si>
  <si>
    <t>Waipa Networks</t>
  </si>
  <si>
    <t>Horizon Energy (Urban)</t>
  </si>
  <si>
    <t>Unison (Rotorua)</t>
  </si>
  <si>
    <t>Unison (Taupo)</t>
  </si>
  <si>
    <t>Eastland (High Density)</t>
  </si>
  <si>
    <t>Powerco (Western A - Nth Taranaki)</t>
  </si>
  <si>
    <t>The Lines Company (Hangatiki GXP - LV High Density)</t>
  </si>
  <si>
    <t>The Lines Company (Ongarue GXP - LV High Density)</t>
  </si>
  <si>
    <t>Unison (Hawke's Bay)</t>
  </si>
  <si>
    <t>Powerco (Western B - Sth Taranaki)</t>
  </si>
  <si>
    <t>Powerco (Western A - Whanganui)</t>
  </si>
  <si>
    <t>Powerco (Western B - Wairarapa)</t>
  </si>
  <si>
    <t>Powerco (Western A - Manawatu)</t>
  </si>
  <si>
    <t xml:space="preserve">Wellington Electricity Lines </t>
  </si>
  <si>
    <t>Nelson Electricity</t>
  </si>
  <si>
    <t>Marlborough Lines (Non-remote)</t>
  </si>
  <si>
    <t>Mainpower (North Canterbury)</t>
  </si>
  <si>
    <t>Mainpower (Kaiapoi)</t>
  </si>
  <si>
    <t>Orion NZ</t>
  </si>
  <si>
    <t>EA Networks</t>
  </si>
  <si>
    <t>Aurora Energy (Dunedin)</t>
  </si>
  <si>
    <t>Aurora Energy (Queenstown)</t>
  </si>
  <si>
    <t>Aurora Energy (Clyde/Cromwell)</t>
  </si>
  <si>
    <t>The Power Company (Urban)</t>
  </si>
  <si>
    <t>MBIE Quarterly electricity price survey</t>
  </si>
  <si>
    <t xml:space="preserve">http://www.mbie.govt.nz/info-services/sectors-industries/energy/energy-data-modelling/statistics/prices/electricity-prices/QSDEP-report-15-feb-2016.xlsx </t>
  </si>
  <si>
    <t xml:space="preserve">ACOT + Status quo </t>
  </si>
  <si>
    <r>
      <t xml:space="preserve">Residual Charge with </t>
    </r>
    <r>
      <rPr>
        <b/>
        <sz val="11"/>
        <color theme="1"/>
        <rFont val="Calibri"/>
        <family val="2"/>
        <scheme val="minor"/>
      </rPr>
      <t>PDP</t>
    </r>
  </si>
  <si>
    <t>$m</t>
  </si>
  <si>
    <t>Deltas vs status quo, as % of EDB's retail tariff</t>
  </si>
  <si>
    <t>ACOT alone</t>
  </si>
  <si>
    <t>$/MWh</t>
  </si>
  <si>
    <t>ACOT only</t>
  </si>
  <si>
    <t>ACOT ($/yr)</t>
  </si>
  <si>
    <t>$/yr</t>
  </si>
  <si>
    <t>EDB retail tariffs (excl GST)</t>
  </si>
  <si>
    <t>AoB + Residual</t>
  </si>
  <si>
    <t>Status quo (Post 2017, Interconnection + HVDC)</t>
  </si>
  <si>
    <t>Customer Name</t>
  </si>
  <si>
    <t>Location Name</t>
  </si>
  <si>
    <t>ABY</t>
  </si>
  <si>
    <t>Albury</t>
  </si>
  <si>
    <t>BPD</t>
  </si>
  <si>
    <t>Bells Pond</t>
  </si>
  <si>
    <t>Tekapo A</t>
  </si>
  <si>
    <t>STU</t>
  </si>
  <si>
    <t>Studholme</t>
  </si>
  <si>
    <t>TWZ</t>
  </si>
  <si>
    <t>Twizel</t>
  </si>
  <si>
    <t>TMK</t>
  </si>
  <si>
    <t>Temuka</t>
  </si>
  <si>
    <t>TIM</t>
  </si>
  <si>
    <t>Timaru</t>
  </si>
  <si>
    <t>HWB</t>
  </si>
  <si>
    <t>Halfway Bush</t>
  </si>
  <si>
    <t>Clyde</t>
  </si>
  <si>
    <t>SDN</t>
  </si>
  <si>
    <t>FKN</t>
  </si>
  <si>
    <t>Frankton</t>
  </si>
  <si>
    <t>CML</t>
  </si>
  <si>
    <t>Cromwell</t>
  </si>
  <si>
    <t>ORO</t>
  </si>
  <si>
    <t>WPT</t>
  </si>
  <si>
    <t>Westport</t>
  </si>
  <si>
    <t>WPW</t>
  </si>
  <si>
    <t>Waipawa</t>
  </si>
  <si>
    <t>Glenbrook</t>
  </si>
  <si>
    <t>BOB</t>
  </si>
  <si>
    <t>Bombay</t>
  </si>
  <si>
    <t>Tuai</t>
  </si>
  <si>
    <t>WRA</t>
  </si>
  <si>
    <t>Wairoa</t>
  </si>
  <si>
    <t>GIS</t>
  </si>
  <si>
    <t>Gisborne</t>
  </si>
  <si>
    <t>Mangahao</t>
  </si>
  <si>
    <t>PRM</t>
  </si>
  <si>
    <t>ASB</t>
  </si>
  <si>
    <t>Ashburton</t>
  </si>
  <si>
    <t>WAI</t>
  </si>
  <si>
    <t>Waiotahi</t>
  </si>
  <si>
    <t>TKH</t>
  </si>
  <si>
    <t>Te Kaha</t>
  </si>
  <si>
    <t>Kawerau</t>
  </si>
  <si>
    <t>EDG</t>
  </si>
  <si>
    <t>Edgecumbe</t>
  </si>
  <si>
    <t>WPR</t>
  </si>
  <si>
    <t>Waipara</t>
  </si>
  <si>
    <t>ASY</t>
  </si>
  <si>
    <t>Ashley</t>
  </si>
  <si>
    <t>SBK</t>
  </si>
  <si>
    <t>Southbrook</t>
  </si>
  <si>
    <t>CUL</t>
  </si>
  <si>
    <t>KAI</t>
  </si>
  <si>
    <t>Kaiapoi</t>
  </si>
  <si>
    <t>BLN</t>
  </si>
  <si>
    <t>Blenheim</t>
  </si>
  <si>
    <t>STK</t>
  </si>
  <si>
    <t>Stoke</t>
  </si>
  <si>
    <t>MCH</t>
  </si>
  <si>
    <t>Murchison</t>
  </si>
  <si>
    <t>MOT</t>
  </si>
  <si>
    <t>Motueka</t>
  </si>
  <si>
    <t>MPI</t>
  </si>
  <si>
    <t>Motupipi</t>
  </si>
  <si>
    <t>KIK</t>
  </si>
  <si>
    <t>Kikiwa</t>
  </si>
  <si>
    <t>BPT</t>
  </si>
  <si>
    <t>Blackpoint</t>
  </si>
  <si>
    <t>OAM</t>
  </si>
  <si>
    <t>Oamaru</t>
  </si>
  <si>
    <t>Waitaki</t>
  </si>
  <si>
    <t>MPE</t>
  </si>
  <si>
    <t>Maungatapere</t>
  </si>
  <si>
    <t>MTO</t>
  </si>
  <si>
    <t>Maungaturoto</t>
  </si>
  <si>
    <t>BRB</t>
  </si>
  <si>
    <t>Bream Bay</t>
  </si>
  <si>
    <t>KEN</t>
  </si>
  <si>
    <t>Kensington</t>
  </si>
  <si>
    <t>SPN</t>
  </si>
  <si>
    <t>Springston</t>
  </si>
  <si>
    <t>Coleridge</t>
  </si>
  <si>
    <t>APS</t>
  </si>
  <si>
    <t>Arthurs Pass</t>
  </si>
  <si>
    <t>CLH</t>
  </si>
  <si>
    <t>Castle Hill</t>
  </si>
  <si>
    <t>HOR</t>
  </si>
  <si>
    <t>Hororata</t>
  </si>
  <si>
    <t>BRY</t>
  </si>
  <si>
    <t>Bromley</t>
  </si>
  <si>
    <t>ADD</t>
  </si>
  <si>
    <t>Addington</t>
  </si>
  <si>
    <t>ISL</t>
  </si>
  <si>
    <t>Islington</t>
  </si>
  <si>
    <t>MLN</t>
  </si>
  <si>
    <t>Middleton</t>
  </si>
  <si>
    <t>PAL</t>
  </si>
  <si>
    <t>Palmerston</t>
  </si>
  <si>
    <t>BAL</t>
  </si>
  <si>
    <t>Balclutha</t>
  </si>
  <si>
    <t>NSY</t>
  </si>
  <si>
    <t>WHU</t>
  </si>
  <si>
    <t>Waihou</t>
  </si>
  <si>
    <t>Kinleith</t>
  </si>
  <si>
    <t>GYT</t>
  </si>
  <si>
    <t>Greytown</t>
  </si>
  <si>
    <t>LTN</t>
  </si>
  <si>
    <t>Linton</t>
  </si>
  <si>
    <t>MTR</t>
  </si>
  <si>
    <t>Mataroa</t>
  </si>
  <si>
    <t>MGM</t>
  </si>
  <si>
    <t>Mangamaire</t>
  </si>
  <si>
    <t>OPK</t>
  </si>
  <si>
    <t>Opunake</t>
  </si>
  <si>
    <t>Stratford</t>
  </si>
  <si>
    <t>HIN</t>
  </si>
  <si>
    <t>Hinuera</t>
  </si>
  <si>
    <t>KPU</t>
  </si>
  <si>
    <t>Kopu</t>
  </si>
  <si>
    <t>WKO</t>
  </si>
  <si>
    <t>Waikino</t>
  </si>
  <si>
    <t>TMI</t>
  </si>
  <si>
    <t>Te Matai</t>
  </si>
  <si>
    <t>KMO</t>
  </si>
  <si>
    <t>Kaitimako</t>
  </si>
  <si>
    <t>MTN</t>
  </si>
  <si>
    <t>Marton</t>
  </si>
  <si>
    <t>BRK</t>
  </si>
  <si>
    <t>Brunswick</t>
  </si>
  <si>
    <t>BPE</t>
  </si>
  <si>
    <t>Bunnythorpe</t>
  </si>
  <si>
    <t>WGN</t>
  </si>
  <si>
    <t>Wanganui</t>
  </si>
  <si>
    <t>MST</t>
  </si>
  <si>
    <t>Masterton</t>
  </si>
  <si>
    <t>OKN</t>
  </si>
  <si>
    <t>Ohakune</t>
  </si>
  <si>
    <t>WVY</t>
  </si>
  <si>
    <t>Waverley</t>
  </si>
  <si>
    <t>TGA</t>
  </si>
  <si>
    <t>Tauranga</t>
  </si>
  <si>
    <t>CST</t>
  </si>
  <si>
    <t>MTM</t>
  </si>
  <si>
    <t>Mt Maunganui</t>
  </si>
  <si>
    <t>NPL</t>
  </si>
  <si>
    <t>New Plymouth</t>
  </si>
  <si>
    <t>HWA</t>
  </si>
  <si>
    <t>Hawera</t>
  </si>
  <si>
    <t>HUI</t>
  </si>
  <si>
    <t>Huirangi</t>
  </si>
  <si>
    <t>PowerNet Limited</t>
  </si>
  <si>
    <t>NMA</t>
  </si>
  <si>
    <t>North Makarewa</t>
  </si>
  <si>
    <t>EDN</t>
  </si>
  <si>
    <t>Edendale</t>
  </si>
  <si>
    <t>GOR</t>
  </si>
  <si>
    <t>INV</t>
  </si>
  <si>
    <t>Invercargill</t>
  </si>
  <si>
    <t>WDV</t>
  </si>
  <si>
    <t>Woodville</t>
  </si>
  <si>
    <t>DVK</t>
  </si>
  <si>
    <t>Dannevirke</t>
  </si>
  <si>
    <t>ONG</t>
  </si>
  <si>
    <t>Ongarue</t>
  </si>
  <si>
    <t>HTI</t>
  </si>
  <si>
    <t>Hangatiki</t>
  </si>
  <si>
    <t>NPK</t>
  </si>
  <si>
    <t>National Park</t>
  </si>
  <si>
    <t>KOE</t>
  </si>
  <si>
    <t>Kaikohe</t>
  </si>
  <si>
    <t>OWH</t>
  </si>
  <si>
    <t>Owhata</t>
  </si>
  <si>
    <t>Ohaaki</t>
  </si>
  <si>
    <t>TRK</t>
  </si>
  <si>
    <t>Tarukenga</t>
  </si>
  <si>
    <t>Wairakei</t>
  </si>
  <si>
    <t>FHL</t>
  </si>
  <si>
    <t>Fernhill</t>
  </si>
  <si>
    <t>WTU</t>
  </si>
  <si>
    <t>Whakatu</t>
  </si>
  <si>
    <t>RDF</t>
  </si>
  <si>
    <t>Redclyffe</t>
  </si>
  <si>
    <t>ROT</t>
  </si>
  <si>
    <t>Rotorua</t>
  </si>
  <si>
    <t>LFD</t>
  </si>
  <si>
    <t>Lichfield</t>
  </si>
  <si>
    <t>ALB</t>
  </si>
  <si>
    <t>Albany</t>
  </si>
  <si>
    <t>WIR</t>
  </si>
  <si>
    <t>Wiri</t>
  </si>
  <si>
    <t>MNG</t>
  </si>
  <si>
    <t>Mangere</t>
  </si>
  <si>
    <t>OTA</t>
  </si>
  <si>
    <t>HEN</t>
  </si>
  <si>
    <t>Henderson</t>
  </si>
  <si>
    <t>PAK</t>
  </si>
  <si>
    <t>Pakuranga</t>
  </si>
  <si>
    <t>HEP</t>
  </si>
  <si>
    <t>Hepburn Road</t>
  </si>
  <si>
    <t>ROS</t>
  </si>
  <si>
    <t>Mt Roskill</t>
  </si>
  <si>
    <t>Wellsford</t>
  </si>
  <si>
    <t>PEN</t>
  </si>
  <si>
    <t>Penrose</t>
  </si>
  <si>
    <t>TAK</t>
  </si>
  <si>
    <t>Takanini</t>
  </si>
  <si>
    <t>SVL</t>
  </si>
  <si>
    <t>Silverdale</t>
  </si>
  <si>
    <t>CBG</t>
  </si>
  <si>
    <t>Cambridge</t>
  </si>
  <si>
    <t>TMU</t>
  </si>
  <si>
    <t>Te Awamutu</t>
  </si>
  <si>
    <t>MER</t>
  </si>
  <si>
    <t>Meremere</t>
  </si>
  <si>
    <t>HAM</t>
  </si>
  <si>
    <t>Hamilton</t>
  </si>
  <si>
    <t>NGA</t>
  </si>
  <si>
    <t>Ngauranga</t>
  </si>
  <si>
    <t>KWA</t>
  </si>
  <si>
    <t>Kaiwharawhara</t>
  </si>
  <si>
    <t>PNI</t>
  </si>
  <si>
    <t>Pauatahanui</t>
  </si>
  <si>
    <t>MLG</t>
  </si>
  <si>
    <t>Melling</t>
  </si>
  <si>
    <t>HAY</t>
  </si>
  <si>
    <t>Haywards</t>
  </si>
  <si>
    <t>UHT</t>
  </si>
  <si>
    <t>Upper Hutt</t>
  </si>
  <si>
    <t>CPK</t>
  </si>
  <si>
    <t>Central Park</t>
  </si>
  <si>
    <t>TKR</t>
  </si>
  <si>
    <t>Takapu Road</t>
  </si>
  <si>
    <t>WIL</t>
  </si>
  <si>
    <t>Wilton</t>
  </si>
  <si>
    <t>GFD</t>
  </si>
  <si>
    <t>Gracefield</t>
  </si>
  <si>
    <t>GYM</t>
  </si>
  <si>
    <t>Greymouth</t>
  </si>
  <si>
    <t>HKK</t>
  </si>
  <si>
    <t>Hokitika</t>
  </si>
  <si>
    <t>DOB</t>
  </si>
  <si>
    <t>Dobson</t>
  </si>
  <si>
    <t>OTI</t>
  </si>
  <si>
    <t>Otira</t>
  </si>
  <si>
    <t>Residual charge only ($/MWh)</t>
  </si>
  <si>
    <t>Load Factor</t>
  </si>
  <si>
    <t>AoB component</t>
  </si>
  <si>
    <t>Difference</t>
  </si>
  <si>
    <t>All in $/MWh</t>
  </si>
  <si>
    <t>Retail</t>
  </si>
  <si>
    <t>Lines Comp</t>
  </si>
  <si>
    <t>c/kWh</t>
  </si>
  <si>
    <t>Retail excl GST</t>
  </si>
  <si>
    <t>Energy/Other</t>
  </si>
  <si>
    <t>MBIE DATA c/kWh</t>
  </si>
  <si>
    <t>Network Lines Cost excl GST</t>
  </si>
  <si>
    <t>Network Lines cost less status quo tx</t>
  </si>
  <si>
    <t>Comcom data (PWC compendium)</t>
  </si>
  <si>
    <t>line revenue</t>
  </si>
  <si>
    <t>TPM Proposal</t>
  </si>
  <si>
    <t>Less status quo tx</t>
  </si>
  <si>
    <t>Network Lines Cost less transmission (ComCom data)</t>
  </si>
  <si>
    <t>Network Lines Cost (ComCom data)</t>
  </si>
  <si>
    <t>Refinery</t>
  </si>
  <si>
    <t>`</t>
  </si>
  <si>
    <t>ESTIMATE OF RAW BENEFIT FROM INVESTMENTS</t>
  </si>
  <si>
    <t>Raw Benefit</t>
  </si>
  <si>
    <t>AoB charge (vSPD only)</t>
  </si>
  <si>
    <t>Proposal</t>
  </si>
  <si>
    <t>Live data</t>
  </si>
  <si>
    <t>GRAPHING</t>
  </si>
  <si>
    <t>Proportions</t>
  </si>
  <si>
    <t>NIGU 1900MW constraint</t>
  </si>
  <si>
    <t>NIGU 2100MW constraint</t>
  </si>
  <si>
    <t>poc</t>
  </si>
  <si>
    <t>OKI2201</t>
  </si>
  <si>
    <t>WRK2201</t>
  </si>
  <si>
    <t>HLY2201</t>
  </si>
  <si>
    <t>TKA0111</t>
  </si>
  <si>
    <t>TKB2201</t>
  </si>
  <si>
    <t>TKU2201</t>
  </si>
  <si>
    <t>AVI2201</t>
  </si>
  <si>
    <t>BEN2202</t>
  </si>
  <si>
    <t>OHA2201</t>
  </si>
  <si>
    <t>OHB2201</t>
  </si>
  <si>
    <t>OHC2201</t>
  </si>
  <si>
    <t>ARA2201</t>
  </si>
  <si>
    <t>ARI1101</t>
  </si>
  <si>
    <t>ARI1102</t>
  </si>
  <si>
    <t>ATI2201</t>
  </si>
  <si>
    <t>MTI2201</t>
  </si>
  <si>
    <t>OHK2201</t>
  </si>
  <si>
    <t>WPA2201</t>
  </si>
  <si>
    <t>COB0661</t>
  </si>
  <si>
    <t>MAT1102</t>
  </si>
  <si>
    <t>Gross MW</t>
  </si>
  <si>
    <t>Net MW</t>
  </si>
  <si>
    <t>$mPDP</t>
  </si>
  <si>
    <t>Gross_AMD_on_node_and_customer_basis (DW)</t>
  </si>
  <si>
    <t>Average of Proposed Lines Co. charges (volume weighted)</t>
  </si>
  <si>
    <t>Old</t>
  </si>
  <si>
    <t>Updated from vSPD scenario</t>
  </si>
  <si>
    <t>$m/year</t>
  </si>
  <si>
    <t>HVAC</t>
  </si>
  <si>
    <t>total charge</t>
  </si>
  <si>
    <t>O/H to load</t>
  </si>
  <si>
    <t>O/H</t>
  </si>
  <si>
    <t>Gen share</t>
  </si>
  <si>
    <t>Load share</t>
  </si>
  <si>
    <t>O/H Load</t>
  </si>
  <si>
    <t>O/H Gen</t>
  </si>
  <si>
    <t xml:space="preserve">O/H </t>
  </si>
  <si>
    <t>Residual Component + Overhead</t>
  </si>
  <si>
    <t>AoB Component</t>
  </si>
  <si>
    <t xml:space="preserve">Residual component </t>
  </si>
  <si>
    <t>Customer Code</t>
  </si>
  <si>
    <t>Location</t>
  </si>
  <si>
    <t>Load Type</t>
  </si>
  <si>
    <t>Asset Type</t>
  </si>
  <si>
    <t>Asset ID</t>
  </si>
  <si>
    <t>Physical Location</t>
  </si>
  <si>
    <t>Asset Recovery</t>
  </si>
  <si>
    <t>Maint Recovery</t>
  </si>
  <si>
    <t>Oper Recovery</t>
  </si>
  <si>
    <t>Asset Value</t>
  </si>
  <si>
    <t>Asset Component</t>
  </si>
  <si>
    <t>Maintenance Component</t>
  </si>
  <si>
    <t>Operating Component</t>
  </si>
  <si>
    <t>Customer Allocation</t>
  </si>
  <si>
    <t>Connection Charge</t>
  </si>
  <si>
    <t>ALPE</t>
  </si>
  <si>
    <t>Alpine Energy Limited</t>
  </si>
  <si>
    <t>GEN</t>
  </si>
  <si>
    <t>Line</t>
  </si>
  <si>
    <t>TKA_TIMA</t>
  </si>
  <si>
    <t>TPM</t>
  </si>
  <si>
    <t>OFT</t>
  </si>
  <si>
    <t>ASH_TIMA</t>
  </si>
  <si>
    <t>ASH_TIMB</t>
  </si>
  <si>
    <t>BUEL</t>
  </si>
  <si>
    <t>Buller Electricity Limited</t>
  </si>
  <si>
    <t>Orowaiti</t>
  </si>
  <si>
    <t>IGH_WMGA</t>
  </si>
  <si>
    <t>IGH_WPTB</t>
  </si>
  <si>
    <t>WMG_WPTA</t>
  </si>
  <si>
    <t>COBB</t>
  </si>
  <si>
    <t>Cobb Power Limited</t>
  </si>
  <si>
    <t>Cobb</t>
  </si>
  <si>
    <t>COB_UTKA</t>
  </si>
  <si>
    <t>COB_UTKB</t>
  </si>
  <si>
    <t>STK_UTKA</t>
  </si>
  <si>
    <t>STK_UTKB</t>
  </si>
  <si>
    <t>COUP</t>
  </si>
  <si>
    <t>Counties Power Limited</t>
  </si>
  <si>
    <t>GLN_DEVA</t>
  </si>
  <si>
    <t>Contact Energy Limited</t>
  </si>
  <si>
    <t>OKI_WRKA</t>
  </si>
  <si>
    <t>DUNE</t>
  </si>
  <si>
    <t>Aurora Energy Limited</t>
  </si>
  <si>
    <t>CML_FKNA</t>
  </si>
  <si>
    <t>South Dunedin</t>
  </si>
  <si>
    <t>HWB_SDNA</t>
  </si>
  <si>
    <t>EAST</t>
  </si>
  <si>
    <t>Eastland Network Limited</t>
  </si>
  <si>
    <t>GIS_TUIA</t>
  </si>
  <si>
    <t>TUI_WRAA</t>
  </si>
  <si>
    <t>ESLL</t>
  </si>
  <si>
    <t>Electricity Southland Limited</t>
  </si>
  <si>
    <t>Genesis Power Limited trading as Genesis Energy</t>
  </si>
  <si>
    <t>RPO_DEVA</t>
  </si>
  <si>
    <t>TKB_DEVA</t>
  </si>
  <si>
    <t>BPE_WKMA1</t>
  </si>
  <si>
    <t>BPE_WKMB</t>
  </si>
  <si>
    <t>WTOM</t>
  </si>
  <si>
    <t>The Lines Company Limited</t>
  </si>
  <si>
    <t>NPK_RTRA</t>
  </si>
  <si>
    <t>RTO_HTIA</t>
  </si>
  <si>
    <t>HAWK</t>
  </si>
  <si>
    <t>Unison Networks Limited</t>
  </si>
  <si>
    <t>OWH_DEVA</t>
  </si>
  <si>
    <t>ROT_TRKA</t>
  </si>
  <si>
    <t>RDF_WTUA</t>
  </si>
  <si>
    <t>HRZE</t>
  </si>
  <si>
    <t>Horizon Energy Distribution Limited</t>
  </si>
  <si>
    <t>EDG_WAIB</t>
  </si>
  <si>
    <t>TKH_WAIA</t>
  </si>
  <si>
    <t>WPOW</t>
  </si>
  <si>
    <t>AHA_OTIA</t>
  </si>
  <si>
    <t>MELW</t>
  </si>
  <si>
    <t>MEL(Westwind) Limited</t>
  </si>
  <si>
    <t>CPK_WILB</t>
  </si>
  <si>
    <t>Meridian Energy Limited</t>
  </si>
  <si>
    <t>INV_MANA</t>
  </si>
  <si>
    <t>MAN_TWIA</t>
  </si>
  <si>
    <t>Ohau A</t>
  </si>
  <si>
    <t>OHA_TWZA</t>
  </si>
  <si>
    <t>MPOW</t>
  </si>
  <si>
    <t>MainPower New Zealand Limited</t>
  </si>
  <si>
    <t>ASY_DEVA</t>
  </si>
  <si>
    <t>ASY_DEVB</t>
  </si>
  <si>
    <t>NIS</t>
  </si>
  <si>
    <t>SBK_WPRA</t>
  </si>
  <si>
    <t>ISL_KIKB</t>
  </si>
  <si>
    <t>KAI_SBKA</t>
  </si>
  <si>
    <t>WNST</t>
  </si>
  <si>
    <t>Winstone Pulp International Limited</t>
  </si>
  <si>
    <t>TNG</t>
  </si>
  <si>
    <t>TNG_TEEA</t>
  </si>
  <si>
    <t>Mighty River Power Limited</t>
  </si>
  <si>
    <t>Aratiatia</t>
  </si>
  <si>
    <t>ARA_WRKA</t>
  </si>
  <si>
    <t>Karapiro</t>
  </si>
  <si>
    <t>CBG_KPO</t>
  </si>
  <si>
    <t>HAM_CBG</t>
  </si>
  <si>
    <t>Maraetai</t>
  </si>
  <si>
    <t>MTI_WKMA</t>
  </si>
  <si>
    <t>MTI_WKMB</t>
  </si>
  <si>
    <t>Waipapa</t>
  </si>
  <si>
    <t>MTI_WPAA</t>
  </si>
  <si>
    <t>NAPA</t>
  </si>
  <si>
    <t>Nga Awa Purua Joint Venture</t>
  </si>
  <si>
    <t>Nga Awa Purua</t>
  </si>
  <si>
    <t>Cable_NAP</t>
  </si>
  <si>
    <t>NPOW</t>
  </si>
  <si>
    <t>BRB_DEVA</t>
  </si>
  <si>
    <t>KEN_MPEA</t>
  </si>
  <si>
    <t>NTRG</t>
  </si>
  <si>
    <t>Ngatamariki Geothermal Limited</t>
  </si>
  <si>
    <t>NZST</t>
  </si>
  <si>
    <t>New Zealand Steel Limited</t>
  </si>
  <si>
    <t>ORON</t>
  </si>
  <si>
    <t>Orion New Zealand Limited</t>
  </si>
  <si>
    <t>ADD_ISLA</t>
  </si>
  <si>
    <t>ADD_ISLB</t>
  </si>
  <si>
    <t>Cable_MLN</t>
  </si>
  <si>
    <t>BRY_ISLA</t>
  </si>
  <si>
    <t>ISL_SPNA</t>
  </si>
  <si>
    <t>OTNT</t>
  </si>
  <si>
    <t>Last Tango Ltd, Pylon Ltd and Southern Lines Ltd trading as OtagoNet</t>
  </si>
  <si>
    <t>BAL_DEVA</t>
  </si>
  <si>
    <t>HWB_OAMA</t>
  </si>
  <si>
    <t>HWB_OAMB</t>
  </si>
  <si>
    <t>POCO</t>
  </si>
  <si>
    <t>HIN_KPOA</t>
  </si>
  <si>
    <t>HAM_WHUA</t>
  </si>
  <si>
    <t>KPU_WKOA</t>
  </si>
  <si>
    <t>WHU_WKOA</t>
  </si>
  <si>
    <t>KPA_SFD</t>
  </si>
  <si>
    <t>OPK_KPA</t>
  </si>
  <si>
    <t>HAI_TGAA</t>
  </si>
  <si>
    <t>WELE</t>
  </si>
  <si>
    <t>WEL Networks Limited</t>
  </si>
  <si>
    <t>BOB_MERA</t>
  </si>
  <si>
    <t>WATA</t>
  </si>
  <si>
    <t>BPT_TEEA</t>
  </si>
  <si>
    <t>NEA</t>
  </si>
  <si>
    <t>TASM</t>
  </si>
  <si>
    <t>MPI_UTKA</t>
  </si>
  <si>
    <t>TBOP</t>
  </si>
  <si>
    <t>Bay of Plenty Electricity Limited</t>
  </si>
  <si>
    <t>KPA</t>
  </si>
  <si>
    <t>Kaponga</t>
  </si>
  <si>
    <t>Matahina</t>
  </si>
  <si>
    <t>KAW_MATA</t>
  </si>
  <si>
    <t>TOPE</t>
  </si>
  <si>
    <t>KOE_MPEA</t>
  </si>
  <si>
    <t>MPE_KTAP</t>
  </si>
  <si>
    <t>TRNZ</t>
  </si>
  <si>
    <t>New Zealand Railways Corporation (trading as KIWIRAIL)</t>
  </si>
  <si>
    <t>TrustPower Limited</t>
  </si>
  <si>
    <t>VECT</t>
  </si>
  <si>
    <t>Vector Limited</t>
  </si>
  <si>
    <t>ALB_SVLA</t>
  </si>
  <si>
    <t>HLY_OTAA</t>
  </si>
  <si>
    <t>BOB_OTAA</t>
  </si>
  <si>
    <t>WAIP</t>
  </si>
  <si>
    <t>KPO_TMUA</t>
  </si>
  <si>
    <t>VWEN</t>
  </si>
  <si>
    <t>Wellington Electricity LInes Limited</t>
  </si>
  <si>
    <t>CPK_WILA</t>
  </si>
  <si>
    <t>GFD_HAYA</t>
  </si>
  <si>
    <t>KWA_WIL</t>
  </si>
  <si>
    <t>HAY_MLGA</t>
  </si>
  <si>
    <t>KHD_TKRA</t>
  </si>
  <si>
    <t>BZ1P41</t>
  </si>
  <si>
    <t>BZPP43</t>
  </si>
  <si>
    <t>BZ1P42</t>
  </si>
  <si>
    <t>BZ3P44</t>
  </si>
  <si>
    <t>BZ2P41</t>
  </si>
  <si>
    <t>Otahuhu</t>
  </si>
  <si>
    <t>BZ4P43</t>
  </si>
  <si>
    <t>C1</t>
  </si>
  <si>
    <t>R1</t>
  </si>
  <si>
    <t>CABL</t>
  </si>
  <si>
    <t>BZ2P42</t>
  </si>
  <si>
    <t>BZ3P42</t>
  </si>
  <si>
    <t>Cable</t>
  </si>
  <si>
    <t>BZ1P43</t>
  </si>
  <si>
    <t>BZ1P44</t>
  </si>
  <si>
    <t>R5</t>
  </si>
  <si>
    <t>R6</t>
  </si>
  <si>
    <t>R7</t>
  </si>
  <si>
    <t>ATC</t>
  </si>
  <si>
    <t>R2</t>
  </si>
  <si>
    <t>R3</t>
  </si>
  <si>
    <t>R4</t>
  </si>
  <si>
    <t>PANP</t>
  </si>
  <si>
    <t>Pan Pac Forest Products Limited</t>
  </si>
  <si>
    <t>Whirinaki</t>
  </si>
  <si>
    <t>BZ6P42</t>
  </si>
  <si>
    <t>POWN</t>
  </si>
  <si>
    <t>BZPP42</t>
  </si>
  <si>
    <t>SCAN</t>
  </si>
  <si>
    <t>SCGL</t>
  </si>
  <si>
    <t>Southdown Cogeneration Limited</t>
  </si>
  <si>
    <t>Southdown</t>
  </si>
  <si>
    <t>BZPP41</t>
  </si>
  <si>
    <t>R34</t>
  </si>
  <si>
    <t>BZ3P41</t>
  </si>
  <si>
    <t>Substation</t>
  </si>
  <si>
    <t>COA</t>
  </si>
  <si>
    <t>CHBP</t>
  </si>
  <si>
    <t>Centralines Limited</t>
  </si>
  <si>
    <t>CHHE</t>
  </si>
  <si>
    <t>Carter Holt Harvey Limited</t>
  </si>
  <si>
    <t>Upper Takaka</t>
  </si>
  <si>
    <t>UTK</t>
  </si>
  <si>
    <t>Poihipi</t>
  </si>
  <si>
    <t>Roxburgh</t>
  </si>
  <si>
    <t>Three Mile Hill</t>
  </si>
  <si>
    <t>TMH</t>
  </si>
  <si>
    <t>EASH</t>
  </si>
  <si>
    <t>Electricity Ashburton Limited</t>
  </si>
  <si>
    <t>HORO</t>
  </si>
  <si>
    <t>KIWI</t>
  </si>
  <si>
    <t>Whareroa Co-Generation Limited and Todd Energy Limited trading as Fonterra Todd Cogeneration Joint Venture</t>
  </si>
  <si>
    <t>KUPE</t>
  </si>
  <si>
    <t>Origin Energy Resources Ltd</t>
  </si>
  <si>
    <t>MARL</t>
  </si>
  <si>
    <t>MELT</t>
  </si>
  <si>
    <t>MEL (Te Apiti) Limited</t>
  </si>
  <si>
    <t>Aviemore</t>
  </si>
  <si>
    <t>Benmore</t>
  </si>
  <si>
    <t>Ohau B</t>
  </si>
  <si>
    <t>Ohau C</t>
  </si>
  <si>
    <t>METH</t>
  </si>
  <si>
    <t>Methanex New Zealand Limited</t>
  </si>
  <si>
    <t>MNI</t>
  </si>
  <si>
    <t>Motunui</t>
  </si>
  <si>
    <t>WIND</t>
  </si>
  <si>
    <t>Tararua Wind Power Limited</t>
  </si>
  <si>
    <t>TWC</t>
  </si>
  <si>
    <t>Tararua Windfarm</t>
  </si>
  <si>
    <t>ARI</t>
  </si>
  <si>
    <t>Arapuni</t>
  </si>
  <si>
    <t>Atiamuri</t>
  </si>
  <si>
    <t>Whakamaru</t>
  </si>
  <si>
    <t>Ohakuri</t>
  </si>
  <si>
    <t>New Zealand Aluminium Smelter Limited</t>
  </si>
  <si>
    <t>TWI</t>
  </si>
  <si>
    <t>Carrington</t>
  </si>
  <si>
    <t>SHPK</t>
  </si>
  <si>
    <t>Southpark Utilities Limited</t>
  </si>
  <si>
    <t>TAPP</t>
  </si>
  <si>
    <t>Norske Skog Tasman Limited</t>
  </si>
  <si>
    <t>TMN</t>
  </si>
  <si>
    <t>Taumarunui</t>
  </si>
  <si>
    <t>ARG</t>
  </si>
  <si>
    <t>Argyle</t>
  </si>
  <si>
    <t>BWK</t>
  </si>
  <si>
    <t>Berwick</t>
  </si>
  <si>
    <t>Switchgear</t>
  </si>
  <si>
    <t>RM2712</t>
  </si>
  <si>
    <t>VT62</t>
  </si>
  <si>
    <t>VT3</t>
  </si>
  <si>
    <t>RM2772</t>
  </si>
  <si>
    <t>RM2812</t>
  </si>
  <si>
    <t>TRC5</t>
  </si>
  <si>
    <t>TRC6</t>
  </si>
  <si>
    <t>RM1042</t>
  </si>
  <si>
    <t>RM1232</t>
  </si>
  <si>
    <t>RM1252</t>
  </si>
  <si>
    <t>VT112</t>
  </si>
  <si>
    <t>VT132</t>
  </si>
  <si>
    <t>TRC22</t>
  </si>
  <si>
    <t>RM1102</t>
  </si>
  <si>
    <t>RM1062</t>
  </si>
  <si>
    <t>RM2752</t>
  </si>
  <si>
    <t>RM2842</t>
  </si>
  <si>
    <t>RM2962</t>
  </si>
  <si>
    <t>6327-6347</t>
  </si>
  <si>
    <t>RM6312</t>
  </si>
  <si>
    <t>1077-1097</t>
  </si>
  <si>
    <t>97-107</t>
  </si>
  <si>
    <t>LTB1</t>
  </si>
  <si>
    <t>LTB2</t>
  </si>
  <si>
    <t>RM38</t>
  </si>
  <si>
    <t>RM39</t>
  </si>
  <si>
    <t>VT107</t>
  </si>
  <si>
    <t>VT87</t>
  </si>
  <si>
    <t>247-267</t>
  </si>
  <si>
    <t>RM232</t>
  </si>
  <si>
    <t>RM292</t>
  </si>
  <si>
    <t>RM2222</t>
  </si>
  <si>
    <t>VT10</t>
  </si>
  <si>
    <t>97-77</t>
  </si>
  <si>
    <t>LTB3</t>
  </si>
  <si>
    <t>LTB4</t>
  </si>
  <si>
    <t>VT1</t>
  </si>
  <si>
    <t>VT2</t>
  </si>
  <si>
    <t>TRC3</t>
  </si>
  <si>
    <t>VT8</t>
  </si>
  <si>
    <t>VT9</t>
  </si>
  <si>
    <t>87-107</t>
  </si>
  <si>
    <t>RM192</t>
  </si>
  <si>
    <t>RM72</t>
  </si>
  <si>
    <t>BZP3</t>
  </si>
  <si>
    <t>RM1482</t>
  </si>
  <si>
    <t>RM1492</t>
  </si>
  <si>
    <t>RM1562</t>
  </si>
  <si>
    <t>RM1572</t>
  </si>
  <si>
    <t>RM1632</t>
  </si>
  <si>
    <t>RM1652</t>
  </si>
  <si>
    <t>RM1662</t>
  </si>
  <si>
    <t>RM1672</t>
  </si>
  <si>
    <t>RM1692</t>
  </si>
  <si>
    <t>VT21</t>
  </si>
  <si>
    <t>VT22</t>
  </si>
  <si>
    <t>1067-1077</t>
  </si>
  <si>
    <t>RM2662</t>
  </si>
  <si>
    <t>RM2672</t>
  </si>
  <si>
    <t>RM2832</t>
  </si>
  <si>
    <t>RM2852</t>
  </si>
  <si>
    <t>TRC1</t>
  </si>
  <si>
    <t>RM162</t>
  </si>
  <si>
    <t>177-167</t>
  </si>
  <si>
    <t>RM222</t>
  </si>
  <si>
    <t>RM2042</t>
  </si>
  <si>
    <t>RM2082</t>
  </si>
  <si>
    <t>RM1082</t>
  </si>
  <si>
    <t>VT7</t>
  </si>
  <si>
    <t>RM352</t>
  </si>
  <si>
    <t>RM322</t>
  </si>
  <si>
    <t>337-347</t>
  </si>
  <si>
    <t>107-127</t>
  </si>
  <si>
    <t>TRC2</t>
  </si>
  <si>
    <t>TRC4</t>
  </si>
  <si>
    <t>VT4</t>
  </si>
  <si>
    <t>RM2542</t>
  </si>
  <si>
    <t>RM2582</t>
  </si>
  <si>
    <t>LSA</t>
  </si>
  <si>
    <t>1037-1057</t>
  </si>
  <si>
    <t>407-417</t>
  </si>
  <si>
    <t>427-437</t>
  </si>
  <si>
    <t>RM1032</t>
  </si>
  <si>
    <t>RM1092</t>
  </si>
  <si>
    <t>VT11</t>
  </si>
  <si>
    <t>VT16</t>
  </si>
  <si>
    <t>RM1182</t>
  </si>
  <si>
    <t>137-127</t>
  </si>
  <si>
    <t>207-197</t>
  </si>
  <si>
    <t>217-227</t>
  </si>
  <si>
    <t>247-237</t>
  </si>
  <si>
    <t>RM122</t>
  </si>
  <si>
    <t>RM132</t>
  </si>
  <si>
    <t>VT122</t>
  </si>
  <si>
    <t>VT262</t>
  </si>
  <si>
    <t>VT292</t>
  </si>
  <si>
    <t>RM37</t>
  </si>
  <si>
    <t>SPR</t>
  </si>
  <si>
    <t>VT192</t>
  </si>
  <si>
    <t>567-667</t>
  </si>
  <si>
    <t>VT31</t>
  </si>
  <si>
    <t>207-307</t>
  </si>
  <si>
    <t>VT23</t>
  </si>
  <si>
    <t>VT33</t>
  </si>
  <si>
    <t>267-257</t>
  </si>
  <si>
    <t>RM202</t>
  </si>
  <si>
    <t>RM312</t>
  </si>
  <si>
    <t>227-247</t>
  </si>
  <si>
    <t>357-367</t>
  </si>
  <si>
    <t>RM2292</t>
  </si>
  <si>
    <t>RM2312</t>
  </si>
  <si>
    <t>RM2742</t>
  </si>
  <si>
    <t>RM2792</t>
  </si>
  <si>
    <t>RM2022</t>
  </si>
  <si>
    <t>RM2052</t>
  </si>
  <si>
    <t>RM1352</t>
  </si>
  <si>
    <t>RM1332</t>
  </si>
  <si>
    <t>RM1022</t>
  </si>
  <si>
    <t>337-317</t>
  </si>
  <si>
    <t>RM332</t>
  </si>
  <si>
    <t>RM2162</t>
  </si>
  <si>
    <t>RM2242</t>
  </si>
  <si>
    <t>167-157</t>
  </si>
  <si>
    <t>67-57</t>
  </si>
  <si>
    <t>77-97</t>
  </si>
  <si>
    <t>RM1</t>
  </si>
  <si>
    <t>RM2722</t>
  </si>
  <si>
    <t>RM34</t>
  </si>
  <si>
    <t>RM32</t>
  </si>
  <si>
    <t>RM2092</t>
  </si>
  <si>
    <t>RM2112</t>
  </si>
  <si>
    <t>VT206</t>
  </si>
  <si>
    <t>VT214</t>
  </si>
  <si>
    <t>VT202</t>
  </si>
  <si>
    <t>VT222</t>
  </si>
  <si>
    <t>VT252</t>
  </si>
  <si>
    <t>VT272</t>
  </si>
  <si>
    <t>VT12</t>
  </si>
  <si>
    <t>VT42</t>
  </si>
  <si>
    <t>VT72</t>
  </si>
  <si>
    <t>RM6332</t>
  </si>
  <si>
    <t>RM6392</t>
  </si>
  <si>
    <t>RM6412</t>
  </si>
  <si>
    <t>137-147</t>
  </si>
  <si>
    <t>157-167</t>
  </si>
  <si>
    <t>RM2632</t>
  </si>
  <si>
    <t>VT5</t>
  </si>
  <si>
    <t>117-127</t>
  </si>
  <si>
    <t>1237-1247</t>
  </si>
  <si>
    <t>RM1222</t>
  </si>
  <si>
    <t>RM1242</t>
  </si>
  <si>
    <t>87-67</t>
  </si>
  <si>
    <t>RM36</t>
  </si>
  <si>
    <t>RM1262</t>
  </si>
  <si>
    <t>RM82</t>
  </si>
  <si>
    <t>1167-1147</t>
  </si>
  <si>
    <t>RM1122</t>
  </si>
  <si>
    <t>107-187</t>
  </si>
  <si>
    <t>VT102</t>
  </si>
  <si>
    <t>VT92</t>
  </si>
  <si>
    <t>RM52</t>
  </si>
  <si>
    <t>RM2872</t>
  </si>
  <si>
    <t>RM3422</t>
  </si>
  <si>
    <t>RM3462</t>
  </si>
  <si>
    <t>VT13</t>
  </si>
  <si>
    <t>RM22</t>
  </si>
  <si>
    <t>RM42</t>
  </si>
  <si>
    <t>RM1292</t>
  </si>
  <si>
    <t>VT6</t>
  </si>
  <si>
    <t>RM1702</t>
  </si>
  <si>
    <t>127-117</t>
  </si>
  <si>
    <t>147-137</t>
  </si>
  <si>
    <t>87-77</t>
  </si>
  <si>
    <t>RM142</t>
  </si>
  <si>
    <t>RM172</t>
  </si>
  <si>
    <t>RM28</t>
  </si>
  <si>
    <t>RM29</t>
  </si>
  <si>
    <t>RM30</t>
  </si>
  <si>
    <t>RM62</t>
  </si>
  <si>
    <t>VT124</t>
  </si>
  <si>
    <t>VT144</t>
  </si>
  <si>
    <t>VT174</t>
  </si>
  <si>
    <t>VT44</t>
  </si>
  <si>
    <t>VT64</t>
  </si>
  <si>
    <t>RM622</t>
  </si>
  <si>
    <t>487-517</t>
  </si>
  <si>
    <t>807-817</t>
  </si>
  <si>
    <t>827-847</t>
  </si>
  <si>
    <t>RM2732</t>
  </si>
  <si>
    <t>RM492</t>
  </si>
  <si>
    <t>RM532</t>
  </si>
  <si>
    <t>VT97</t>
  </si>
  <si>
    <t>RM642</t>
  </si>
  <si>
    <t>1217-1227</t>
  </si>
  <si>
    <t>1257-1267</t>
  </si>
  <si>
    <t>RM1212</t>
  </si>
  <si>
    <t>RM1272</t>
  </si>
  <si>
    <t>VT154</t>
  </si>
  <si>
    <t>VT54</t>
  </si>
  <si>
    <t>RM242</t>
  </si>
  <si>
    <t>RM982</t>
  </si>
  <si>
    <t>1147-1167</t>
  </si>
  <si>
    <t>1187-1207</t>
  </si>
  <si>
    <t>RM1132</t>
  </si>
  <si>
    <t>67-87</t>
  </si>
  <si>
    <t>RM282</t>
  </si>
  <si>
    <t>VT67</t>
  </si>
  <si>
    <t>RM23</t>
  </si>
  <si>
    <t>RM24</t>
  </si>
  <si>
    <t>RM2862</t>
  </si>
  <si>
    <t>RM31</t>
  </si>
  <si>
    <t>RM1002</t>
  </si>
  <si>
    <t>RM1322</t>
  </si>
  <si>
    <t>RM1362</t>
  </si>
  <si>
    <t>RM382</t>
  </si>
  <si>
    <t>237-227</t>
  </si>
  <si>
    <t>RM212</t>
  </si>
  <si>
    <t>RM2202</t>
  </si>
  <si>
    <t>RM71</t>
  </si>
  <si>
    <t>RM74</t>
  </si>
  <si>
    <t>RM77</t>
  </si>
  <si>
    <t>RM78</t>
  </si>
  <si>
    <t>RM81</t>
  </si>
  <si>
    <t>1087-1097</t>
  </si>
  <si>
    <t>107-87</t>
  </si>
  <si>
    <t>147-127</t>
  </si>
  <si>
    <t>537-547</t>
  </si>
  <si>
    <t>1197-1217</t>
  </si>
  <si>
    <t>RM1172</t>
  </si>
  <si>
    <t>1307-1337</t>
  </si>
  <si>
    <t>RM1282</t>
  </si>
  <si>
    <t>1087-1107</t>
  </si>
  <si>
    <t>1117-1097</t>
  </si>
  <si>
    <t>1137-1147</t>
  </si>
  <si>
    <t>67-77</t>
  </si>
  <si>
    <t>RM1112</t>
  </si>
  <si>
    <t>227-217</t>
  </si>
  <si>
    <t>277-287</t>
  </si>
  <si>
    <t>RM1162</t>
  </si>
  <si>
    <t>1097-1107</t>
  </si>
  <si>
    <t>377-357</t>
  </si>
  <si>
    <t>RM302</t>
  </si>
  <si>
    <t>VT147</t>
  </si>
  <si>
    <t>267-287</t>
  </si>
  <si>
    <t>RM272</t>
  </si>
  <si>
    <t>RM2072</t>
  </si>
  <si>
    <t>267-247</t>
  </si>
  <si>
    <t>RM6372</t>
  </si>
  <si>
    <t>RM252</t>
  </si>
  <si>
    <t>317-337</t>
  </si>
  <si>
    <t>RM342</t>
  </si>
  <si>
    <t>RM2762</t>
  </si>
  <si>
    <t>1097-1127</t>
  </si>
  <si>
    <t>47-57</t>
  </si>
  <si>
    <t>RM2572</t>
  </si>
  <si>
    <t>1417-1437</t>
  </si>
  <si>
    <t>1457-1467</t>
  </si>
  <si>
    <t>RM1392</t>
  </si>
  <si>
    <t>RM1452</t>
  </si>
  <si>
    <t>RM1592</t>
  </si>
  <si>
    <t>RM1722</t>
  </si>
  <si>
    <t>RM1792</t>
  </si>
  <si>
    <t>RM7002</t>
  </si>
  <si>
    <t>VT242</t>
  </si>
  <si>
    <t>RM26</t>
  </si>
  <si>
    <t>RM27</t>
  </si>
  <si>
    <t>RM6</t>
  </si>
  <si>
    <t>RM7</t>
  </si>
  <si>
    <t>RM8</t>
  </si>
  <si>
    <t>RM9</t>
  </si>
  <si>
    <t>RM3</t>
  </si>
  <si>
    <t>477-457</t>
  </si>
  <si>
    <t>RM432</t>
  </si>
  <si>
    <t>RM512</t>
  </si>
  <si>
    <t>87-97</t>
  </si>
  <si>
    <t>RM92</t>
  </si>
  <si>
    <t>RM1582</t>
  </si>
  <si>
    <t>RM1522</t>
  </si>
  <si>
    <t>RM1532</t>
  </si>
  <si>
    <t>RM1542</t>
  </si>
  <si>
    <t>RM1552</t>
  </si>
  <si>
    <t>VT15</t>
  </si>
  <si>
    <t>RM182</t>
  </si>
  <si>
    <t>1177-1197</t>
  </si>
  <si>
    <t>1257-1277</t>
  </si>
  <si>
    <t>RM262</t>
  </si>
  <si>
    <t>1807-1787</t>
  </si>
  <si>
    <t>1847-1827</t>
  </si>
  <si>
    <t>RM1752</t>
  </si>
  <si>
    <t>RM1872</t>
  </si>
  <si>
    <t>1157-1167</t>
  </si>
  <si>
    <t>1107-1087</t>
  </si>
  <si>
    <t>RM482</t>
  </si>
  <si>
    <t>1107-1127</t>
  </si>
  <si>
    <t>RM1152</t>
  </si>
  <si>
    <t>RM2132</t>
  </si>
  <si>
    <t>RM2252</t>
  </si>
  <si>
    <t>RM2342</t>
  </si>
  <si>
    <t>1177-1157</t>
  </si>
  <si>
    <t>RM372</t>
  </si>
  <si>
    <t>RM1422</t>
  </si>
  <si>
    <t>RM152</t>
  </si>
  <si>
    <t>RM1622</t>
  </si>
  <si>
    <t>RM1772</t>
  </si>
  <si>
    <t>VT94</t>
  </si>
  <si>
    <t>VT84</t>
  </si>
  <si>
    <t>257-237</t>
  </si>
  <si>
    <t>VT57</t>
  </si>
  <si>
    <t>RM2062</t>
  </si>
  <si>
    <t>1337-1357</t>
  </si>
  <si>
    <t>1377-1397</t>
  </si>
  <si>
    <t>RM1412</t>
  </si>
  <si>
    <t>TRC8</t>
  </si>
  <si>
    <t>1047-1067</t>
  </si>
  <si>
    <t>2097-2117</t>
  </si>
  <si>
    <t>2137-2157</t>
  </si>
  <si>
    <t>697-717</t>
  </si>
  <si>
    <t>RM2142</t>
  </si>
  <si>
    <t>RM2182</t>
  </si>
  <si>
    <t>RM2362</t>
  </si>
  <si>
    <t>RM4022</t>
  </si>
  <si>
    <t>RM4042</t>
  </si>
  <si>
    <t>VT82</t>
  </si>
  <si>
    <t>RM35</t>
  </si>
  <si>
    <t>Transformer</t>
  </si>
  <si>
    <t>T22</t>
  </si>
  <si>
    <t>T21</t>
  </si>
  <si>
    <t>T1</t>
  </si>
  <si>
    <t>T2</t>
  </si>
  <si>
    <t>T5</t>
  </si>
  <si>
    <t>T6</t>
  </si>
  <si>
    <t>T3</t>
  </si>
  <si>
    <t>T4</t>
  </si>
  <si>
    <t>T18</t>
  </si>
  <si>
    <t>T19</t>
  </si>
  <si>
    <t>T7</t>
  </si>
  <si>
    <t>T11</t>
  </si>
  <si>
    <t>T12</t>
  </si>
  <si>
    <t>T8</t>
  </si>
  <si>
    <t>T5AB</t>
  </si>
  <si>
    <t>T2AB</t>
  </si>
  <si>
    <t>T15</t>
  </si>
  <si>
    <t>T29</t>
  </si>
  <si>
    <t>T30</t>
  </si>
  <si>
    <t>T23</t>
  </si>
  <si>
    <t>T28</t>
  </si>
  <si>
    <t>T10</t>
  </si>
  <si>
    <t>T9</t>
  </si>
  <si>
    <t>T1A</t>
  </si>
  <si>
    <t>T3A</t>
  </si>
  <si>
    <t>T3B</t>
  </si>
  <si>
    <t>T16</t>
  </si>
  <si>
    <t>AoB as % of (AoB + Res +OH)</t>
  </si>
  <si>
    <t>Load or Gen share of OH</t>
  </si>
  <si>
    <t>Mapping name</t>
  </si>
  <si>
    <t>EDB</t>
  </si>
  <si>
    <t>Status quo (Post 2017 TPM)</t>
  </si>
  <si>
    <t>Residual Charge +O/H</t>
  </si>
  <si>
    <t>O/H allocated as share of TOTAL CHARGES</t>
  </si>
  <si>
    <t>O/H allocated as share of RESIDUAL</t>
  </si>
  <si>
    <t>_Top Energy</t>
  </si>
  <si>
    <t>OVERHEAD OPTIONS</t>
  </si>
  <si>
    <t>O/H Option</t>
  </si>
  <si>
    <t>Charges as $m/year by charge component</t>
  </si>
  <si>
    <t>NORTH ISLAND</t>
  </si>
  <si>
    <t>SOUTH ISLAND</t>
  </si>
  <si>
    <t>GXP</t>
  </si>
  <si>
    <t>Island</t>
  </si>
  <si>
    <t>ISLAND</t>
  </si>
  <si>
    <t>ATU</t>
  </si>
  <si>
    <t>BDE</t>
  </si>
  <si>
    <t>HOB</t>
  </si>
  <si>
    <t>KBY</t>
  </si>
  <si>
    <t>KUM</t>
  </si>
  <si>
    <t>MKE</t>
  </si>
  <si>
    <t>PAO</t>
  </si>
  <si>
    <t>RFN</t>
  </si>
  <si>
    <t>THI</t>
  </si>
  <si>
    <t>TWH</t>
  </si>
  <si>
    <t>WRD</t>
  </si>
  <si>
    <t>&gt; $5m projectAoB</t>
  </si>
  <si>
    <t>NI</t>
  </si>
  <si>
    <t>SI</t>
  </si>
  <si>
    <t>$&gt;5m projects</t>
  </si>
  <si>
    <t>SI Generation</t>
  </si>
  <si>
    <t>NI Generation</t>
  </si>
  <si>
    <t>Interconn.</t>
  </si>
  <si>
    <t>Conn.</t>
  </si>
  <si>
    <t>Update Rev Req (May 2016)</t>
  </si>
  <si>
    <t>Proposal (May 2016)</t>
  </si>
  <si>
    <t xml:space="preserve">Status quo </t>
  </si>
  <si>
    <t>Status quo (May 2016 update)</t>
  </si>
  <si>
    <t>A</t>
  </si>
  <si>
    <t>B</t>
  </si>
  <si>
    <t>C</t>
  </si>
  <si>
    <t>Sum subsiduaries</t>
  </si>
  <si>
    <t>under</t>
  </si>
  <si>
    <t>794 ish?</t>
  </si>
  <si>
    <t>Graphing</t>
  </si>
  <si>
    <t>Data Lookup</t>
  </si>
  <si>
    <t>Mercury</t>
  </si>
  <si>
    <t>Nga Awa Purua JV</t>
  </si>
  <si>
    <t>Pan Pac</t>
  </si>
  <si>
    <t>Refining NZ</t>
  </si>
  <si>
    <t>NZ Aluminium Smelter</t>
  </si>
  <si>
    <t>%</t>
  </si>
  <si>
    <t>Delta charge (proposal minus SQ) $m</t>
  </si>
  <si>
    <t>Tuaropaki</t>
  </si>
  <si>
    <t>charge_less_rebate_m</t>
  </si>
  <si>
    <t>Interconnection</t>
  </si>
  <si>
    <t>New Total</t>
  </si>
  <si>
    <t>old</t>
  </si>
  <si>
    <t>new</t>
  </si>
  <si>
    <t>SQL data dump</t>
  </si>
  <si>
    <t>tpm3.rcpd_charges_by_customer_May_2016</t>
  </si>
  <si>
    <t>tpm3.volumetric_hvdc_charge_May_2016.</t>
  </si>
  <si>
    <t>DATA SORTED GEOGRAPHICALLY</t>
  </si>
  <si>
    <t>Proposal with PDP ($30m)</t>
  </si>
  <si>
    <t>Residual 'EXIT'</t>
  </si>
  <si>
    <t>Residual 'PDP'</t>
  </si>
  <si>
    <t xml:space="preserve"> GWh/yr</t>
  </si>
  <si>
    <t>Surcharge Overhead Allocation Option</t>
  </si>
  <si>
    <t>Residual Overhead Allocation Option</t>
  </si>
  <si>
    <t>Proposal assuming ACOT discontinued</t>
  </si>
  <si>
    <t>Proposal assuming continuation of ACOT</t>
  </si>
  <si>
    <t>Fully variabilised generation charges</t>
  </si>
  <si>
    <t>CHECK O/H ALLOCATION METHOD (1 vs 2)</t>
  </si>
  <si>
    <t>AoB + Residual ($30m PDP)</t>
  </si>
  <si>
    <r>
      <t xml:space="preserve">Residual Charge with </t>
    </r>
    <r>
      <rPr>
        <b/>
        <sz val="11"/>
        <color theme="1"/>
        <rFont val="Calibri"/>
        <family val="2"/>
        <scheme val="minor"/>
      </rPr>
      <t>EXIT</t>
    </r>
  </si>
  <si>
    <t>Average tx cost across EDBs</t>
  </si>
  <si>
    <t>Proposal if parties exit</t>
  </si>
  <si>
    <t>Old format</t>
  </si>
  <si>
    <t>New format</t>
  </si>
  <si>
    <t>New</t>
  </si>
  <si>
    <t>Net benefit of the six largest investments (price reduction and reliability benefits, $/MWh)</t>
  </si>
  <si>
    <t>Area-of-benefit charge ($/MWh)</t>
  </si>
  <si>
    <t xml:space="preserve"> Information from Transpower regarding investment revenue requirements</t>
  </si>
  <si>
    <t>Allocation as per vSPD</t>
  </si>
  <si>
    <t>Allocation based on regional beneficiary approach</t>
  </si>
  <si>
    <t>Total ($m)</t>
  </si>
  <si>
    <t>Residual charge</t>
  </si>
  <si>
    <t xml:space="preserve">Total Residual Revenue </t>
  </si>
  <si>
    <t xml:space="preserve"> Rev Req ($m)</t>
  </si>
  <si>
    <t>Modelling approach</t>
  </si>
  <si>
    <t xml:space="preserve">Amount recovered  $m per year) </t>
  </si>
  <si>
    <t>2014 Gross AMD data (from SQL)</t>
  </si>
  <si>
    <t>index</t>
  </si>
  <si>
    <t>To be allocated by vSPD</t>
  </si>
  <si>
    <t>ComCom Disclosure Data</t>
  </si>
  <si>
    <t>AoB + Residual (IF EXIT $50m)</t>
  </si>
  <si>
    <t>Residual component + Overhead</t>
  </si>
  <si>
    <t>Residual + O/H</t>
  </si>
  <si>
    <t>Total Charges Under the Two O/H Options</t>
  </si>
  <si>
    <t>This table maps GXPs/GIPs to regions for the 'make up' allocation (i.e. where vSPD isn't used for AoB charge)</t>
  </si>
  <si>
    <t>GRAPHING Names</t>
  </si>
  <si>
    <t>Working names</t>
  </si>
  <si>
    <t>Data from table "SPD_working_4a"</t>
  </si>
  <si>
    <t>Connection charge data</t>
  </si>
  <si>
    <t>Carter Holt Harvey</t>
  </si>
  <si>
    <t>s</t>
  </si>
  <si>
    <t>n</t>
  </si>
  <si>
    <t>tariff x GWh</t>
  </si>
  <si>
    <t>sq</t>
  </si>
  <si>
    <t>prop</t>
  </si>
  <si>
    <t>SQ</t>
  </si>
  <si>
    <t>Prop</t>
  </si>
  <si>
    <t>GWh</t>
  </si>
  <si>
    <t>This spreadsheet takes the results of vSPD and SQL post-processing (see cells B5:G1988, 'Rev Adequacy' tab), and allocates these amongst parties to provide indcative TPM charges.</t>
  </si>
  <si>
    <t>Recovery Amounts</t>
  </si>
  <si>
    <t>Tab</t>
  </si>
  <si>
    <t>Description</t>
  </si>
  <si>
    <t>Mapping A</t>
  </si>
  <si>
    <t>Mapping B</t>
  </si>
  <si>
    <t xml:space="preserve">This is a  mapping table for parties to nodes </t>
  </si>
  <si>
    <t>Rev Adequacy</t>
  </si>
  <si>
    <t xml:space="preserve">Beneficiary graphs </t>
  </si>
  <si>
    <t>This tab charts the net bnefits by customer by investment, for the six large investments modelled  in vSPD</t>
  </si>
  <si>
    <t xml:space="preserve">Charges to party by investment </t>
  </si>
  <si>
    <t>Charges as $M/year</t>
  </si>
  <si>
    <t>Charges as $/MWh</t>
  </si>
  <si>
    <t>ACOT</t>
  </si>
  <si>
    <t>Commerce Commission disclosure data</t>
  </si>
  <si>
    <t>GRAPHING (paste values from table to the left, &amp; sort this data)</t>
  </si>
  <si>
    <t>Charges as residential impact</t>
  </si>
  <si>
    <t>Deltas</t>
  </si>
  <si>
    <t>This shet stores the indicative network-specific average residential offtake data</t>
  </si>
  <si>
    <t>This sheet charts the differences between the status quo and the proposal for various comparison metrics (eg c/kWh, proportion of retail charge, and estimated $/year household impact)</t>
  </si>
  <si>
    <t>$M by option and group</t>
  </si>
  <si>
    <t>$/MWh by option and group</t>
  </si>
  <si>
    <t>Volumes</t>
  </si>
  <si>
    <t>Summary volume data (GWh.year) used in the analysis</t>
  </si>
  <si>
    <t>Load Factors</t>
  </si>
  <si>
    <t>This sheet charts the customer load factor along with residual charge (as $/MWh) to show the inverse relationship.</t>
  </si>
  <si>
    <t>Charts the output as the tab describes</t>
  </si>
  <si>
    <t>Brief descriptions of each tab in the worksheet are outlined below:</t>
  </si>
  <si>
    <t>Additional AoB charge for &gt;$5m projects (totals 5.51m)</t>
  </si>
  <si>
    <t>Minor investments (&gt;$5m)</t>
  </si>
  <si>
    <t>Large investments</t>
  </si>
  <si>
    <t>Approximate Split of Generator Charges NORTH and SOUTH  (Part 1)</t>
  </si>
  <si>
    <t>Approximate Split of Generator Charges NORTH and SOUTH  (Part 2)</t>
  </si>
  <si>
    <t>Approximate Split of Generator Charges NORTH and SOUTH  (Part 3)</t>
  </si>
  <si>
    <t>This sheet has three key parts; PART 1 Calculate AMDs and GWH/yr allocators for each investment and customer group (by node and by customer); PART 2 Allocates AoB Charges for the regional method (i.e. not the vSPD method) by node and by customer; PART 3, the Residual allocation to offtake. Note that the results of vSPD modelling and SQL post-processing are an input to this process, and are 'pasted' into cells B5:G1988of this tab.</t>
  </si>
  <si>
    <t xml:space="preserve">It should be noted that the 'Area of Benefit' charge has been modelled using two methods. The six largest investments use the 'vSPD method'  to identify the net benefits to offtake and injection at each node. For the smaller investments, and where the vSPD benefits are less than the total investment revenue requirement, the prescriptive 'regional area of benefit' method is used. The 'regional area of benefit' method allocates the investment's revenue requirement to nodes in specific regions where they are subsequently shared by capacity (for offtake) or GWh/year (for generation). </t>
  </si>
  <si>
    <t>This sheet summarises the overall TPM revenue requirements for the analysis, and also the investment specific revenue requirements usefd in the Area of Benefit Charge allocation</t>
  </si>
  <si>
    <t xml:space="preserve">The TPM modelling in this spreadsheet provides  indicative transmission charges only.  </t>
  </si>
  <si>
    <t xml:space="preserve">This sheet summarises all of the charge components by customer (it first also collates area of benefit charges, from the two methods used, by investment). Note that cell AQ7 allows the method of overhead allocation for offtake to be chosen (i.e in proportion to the residual charge only, or as a surcharge). </t>
  </si>
  <si>
    <t>The status quo charges calculated from SQL are pasted below</t>
  </si>
  <si>
    <t>This table is used to map groups of parties to nodes. It is used in the Are of Benefit calculation when the vSPD method is not used (i.e. when vSPD net benefits are less than the investment's revenue requiremnet, or for the smaller investments where vSPD wasn't used at all).</t>
  </si>
  <si>
    <t>Offered</t>
  </si>
  <si>
    <t>Non-offered</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</si>
</sst>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6" formatCode="&quot;$&quot;#,##0;[Red]\-&quot;$&quot;#,##0"/>
    <numFmt numFmtId="44" formatCode="_-&quot;$&quot;* #,##0.00_-;\-&quot;$&quot;* #,##0.00_-;_-&quot;$&quot;* &quot;-&quot;??_-;_-@_-"/>
    <numFmt numFmtId="43" formatCode="_-* #,##0.00_-;\-* #,##0.00_-;_-* &quot;-&quot;??_-;_-@_-"/>
    <numFmt numFmtId="164" formatCode="0.0"/>
    <numFmt numFmtId="165" formatCode="0.000"/>
    <numFmt numFmtId="166" formatCode="0.0%"/>
    <numFmt numFmtId="167" formatCode="_-* #,##0_-;\-* #,##0_-;_-* &quot;-&quot;??_-;_-@_-"/>
    <numFmt numFmtId="168" formatCode="_-* #,##0.0_-;\-* #,##0.0_-;_-* &quot;-&quot;??_-;_-@_-"/>
    <numFmt numFmtId="169" formatCode="0.0000"/>
    <numFmt numFmtId="170" formatCode="_-* #,##0.000_-;\-* #,##0.000_-;_-* &quot;-&quot;??_-;_-@_-"/>
    <numFmt numFmtId="171" formatCode="mmm\-yyyy"/>
    <numFmt numFmtId="172" formatCode="&quot;$&quot;#,##0"/>
    <numFmt numFmtId="173" formatCode="&quot;$&quot;#,##0.0"/>
    <numFmt numFmtId="174" formatCode="_-&quot;$&quot;* #,##0.0_-;\-&quot;$&quot;* #,##0.0_-;_-&quot;$&quot;* &quot;-&quot;??_-;_-@_-"/>
    <numFmt numFmtId="175" formatCode="0.00000000%"/>
  </numFmts>
  <fonts count="75" x14ac:knownFonts="1">
    <font>
      <sz val="11"/>
      <color theme="1"/>
      <name val="Calibri"/>
      <family val="2"/>
      <scheme val="minor"/>
    </font>
    <font>
      <b/>
      <sz val="11"/>
      <color theme="1"/>
      <name val="Calibri"/>
      <family val="2"/>
      <scheme val="minor"/>
    </font>
    <font>
      <sz val="11"/>
      <color theme="1"/>
      <name val="Calibri"/>
      <family val="2"/>
      <scheme val="minor"/>
    </font>
    <font>
      <i/>
      <sz val="11"/>
      <color theme="1"/>
      <name val="Calibri"/>
      <family val="2"/>
      <scheme val="minor"/>
    </font>
    <font>
      <sz val="11"/>
      <color rgb="FFFF0000"/>
      <name val="Calibri"/>
      <family val="2"/>
      <scheme val="minor"/>
    </font>
    <font>
      <sz val="8"/>
      <color theme="1"/>
      <name val="Calibri"/>
      <family val="2"/>
      <scheme val="minor"/>
    </font>
    <font>
      <sz val="8"/>
      <color rgb="FFFF0000"/>
      <name val="Calibri"/>
      <family val="2"/>
      <scheme val="minor"/>
    </font>
    <font>
      <sz val="11"/>
      <name val="Calibri"/>
      <family val="2"/>
      <scheme val="minor"/>
    </font>
    <font>
      <b/>
      <sz val="11"/>
      <name val="Calibri"/>
      <family val="2"/>
      <scheme val="minor"/>
    </font>
    <font>
      <sz val="8"/>
      <color theme="0" tint="-0.249977111117893"/>
      <name val="Calibri"/>
      <family val="2"/>
      <scheme val="minor"/>
    </font>
    <font>
      <i/>
      <sz val="11"/>
      <color theme="0" tint="-0.14999847407452621"/>
      <name val="Calibri"/>
      <family val="2"/>
      <scheme val="minor"/>
    </font>
    <font>
      <i/>
      <sz val="11"/>
      <color rgb="FFFF0000"/>
      <name val="Calibri"/>
      <family val="2"/>
      <scheme val="minor"/>
    </font>
    <font>
      <sz val="9"/>
      <color indexed="81"/>
      <name val="Tahoma"/>
      <family val="2"/>
    </font>
    <font>
      <b/>
      <sz val="9"/>
      <color indexed="81"/>
      <name val="Tahoma"/>
      <family val="2"/>
    </font>
    <font>
      <sz val="11"/>
      <color theme="0" tint="-0.249977111117893"/>
      <name val="Calibri"/>
      <family val="2"/>
      <scheme val="minor"/>
    </font>
    <font>
      <sz val="11"/>
      <color theme="3" tint="0.39997558519241921"/>
      <name val="Calibri"/>
      <family val="2"/>
      <scheme val="minor"/>
    </font>
    <font>
      <sz val="8"/>
      <color theme="0" tint="-0.34998626667073579"/>
      <name val="Calibri"/>
      <family val="2"/>
      <scheme val="minor"/>
    </font>
    <font>
      <sz val="11"/>
      <color theme="0" tint="-0.34998626667073579"/>
      <name val="Calibri"/>
      <family val="2"/>
      <scheme val="minor"/>
    </font>
    <font>
      <i/>
      <sz val="11"/>
      <color theme="0" tint="-0.499984740745262"/>
      <name val="Calibri"/>
      <family val="2"/>
      <scheme val="minor"/>
    </font>
    <font>
      <i/>
      <sz val="11"/>
      <color theme="0" tint="-0.249977111117893"/>
      <name val="Calibri"/>
      <family val="2"/>
      <scheme val="minor"/>
    </font>
    <font>
      <b/>
      <sz val="11"/>
      <color theme="3" tint="0.39997558519241921"/>
      <name val="Calibri"/>
      <family val="2"/>
      <scheme val="minor"/>
    </font>
    <font>
      <b/>
      <sz val="11"/>
      <color rgb="FFC00000"/>
      <name val="Calibri"/>
      <family val="2"/>
      <scheme val="minor"/>
    </font>
    <font>
      <sz val="11"/>
      <color theme="4" tint="-0.249977111117893"/>
      <name val="Calibri"/>
      <family val="2"/>
      <scheme val="minor"/>
    </font>
    <font>
      <sz val="11"/>
      <color rgb="FFC00000"/>
      <name val="Calibri"/>
      <family val="2"/>
      <scheme val="minor"/>
    </font>
    <font>
      <sz val="18"/>
      <color theme="1"/>
      <name val="Calibri"/>
      <family val="2"/>
      <scheme val="minor"/>
    </font>
    <font>
      <sz val="11"/>
      <color theme="9" tint="-0.249977111117893"/>
      <name val="Calibri"/>
      <family val="2"/>
      <scheme val="minor"/>
    </font>
    <font>
      <sz val="16"/>
      <color rgb="FFFF0000"/>
      <name val="Calibri"/>
      <family val="2"/>
      <scheme val="minor"/>
    </font>
    <font>
      <sz val="11"/>
      <color theme="6" tint="-0.499984740745262"/>
      <name val="Calibri"/>
      <family val="2"/>
      <scheme val="minor"/>
    </font>
    <font>
      <sz val="11"/>
      <color theme="6" tint="-0.249977111117893"/>
      <name val="Calibri"/>
      <family val="2"/>
      <scheme val="minor"/>
    </font>
    <font>
      <b/>
      <sz val="11"/>
      <color theme="6" tint="-0.249977111117893"/>
      <name val="Calibri"/>
      <family val="2"/>
      <scheme val="minor"/>
    </font>
    <font>
      <b/>
      <sz val="14"/>
      <color theme="1"/>
      <name val="Calibri"/>
      <family val="2"/>
      <scheme val="minor"/>
    </font>
    <font>
      <b/>
      <sz val="12"/>
      <color rgb="FF000000"/>
      <name val="Calibri"/>
      <family val="2"/>
    </font>
    <font>
      <sz val="12"/>
      <color theme="1"/>
      <name val="Calibri"/>
      <family val="2"/>
    </font>
    <font>
      <sz val="12"/>
      <name val="Calibri"/>
      <family val="2"/>
    </font>
    <font>
      <i/>
      <sz val="12"/>
      <color rgb="FF000000"/>
      <name val="Calibri"/>
      <family val="2"/>
    </font>
    <font>
      <b/>
      <i/>
      <sz val="11"/>
      <color theme="1"/>
      <name val="Calibri"/>
      <family val="2"/>
      <scheme val="minor"/>
    </font>
    <font>
      <sz val="11"/>
      <color theme="1"/>
      <name val="Arial"/>
      <family val="2"/>
    </font>
    <font>
      <sz val="10"/>
      <name val="Arial"/>
      <family val="2"/>
    </font>
    <font>
      <sz val="12"/>
      <color theme="1"/>
      <name val="Calibri"/>
      <family val="2"/>
      <scheme val="minor"/>
    </font>
    <font>
      <i/>
      <sz val="8"/>
      <color theme="1"/>
      <name val="Calibri"/>
      <family val="2"/>
      <scheme val="minor"/>
    </font>
    <font>
      <u/>
      <sz val="10"/>
      <color indexed="12"/>
      <name val="Arial"/>
      <family val="2"/>
    </font>
    <font>
      <u/>
      <sz val="11"/>
      <color theme="10"/>
      <name val="Calibri"/>
      <family val="2"/>
      <scheme val="minor"/>
    </font>
    <font>
      <sz val="16"/>
      <color theme="1"/>
      <name val="Calibri"/>
      <family val="2"/>
      <scheme val="minor"/>
    </font>
    <font>
      <sz val="10"/>
      <name val="MS Sans Serif"/>
      <family val="2"/>
    </font>
    <font>
      <b/>
      <sz val="10"/>
      <name val="MS Sans Serif"/>
      <family val="2"/>
    </font>
    <font>
      <sz val="10"/>
      <name val="MS Sans Serif"/>
      <family val="2"/>
    </font>
    <font>
      <b/>
      <sz val="10"/>
      <name val="MS Sans Serif"/>
      <family val="2"/>
    </font>
    <font>
      <sz val="10"/>
      <color indexed="8"/>
      <name val="Arial"/>
      <family val="2"/>
    </font>
    <font>
      <sz val="12"/>
      <color indexed="8"/>
      <name val="Calibri"/>
      <family val="2"/>
    </font>
    <font>
      <sz val="11"/>
      <color theme="8" tint="-0.249977111117893"/>
      <name val="Calibri"/>
      <family val="2"/>
      <scheme val="minor"/>
    </font>
    <font>
      <sz val="11"/>
      <color theme="1" tint="0.499984740745262"/>
      <name val="Calibri"/>
      <family val="2"/>
      <scheme val="minor"/>
    </font>
    <font>
      <sz val="10"/>
      <color theme="1"/>
      <name val="Times New Roman"/>
      <family val="1"/>
    </font>
    <font>
      <sz val="11"/>
      <color rgb="FF000000"/>
      <name val="Calibri"/>
      <family val="2"/>
    </font>
    <font>
      <b/>
      <sz val="11"/>
      <color rgb="FFFF0000"/>
      <name val="Calibri"/>
      <family val="2"/>
      <scheme val="minor"/>
    </font>
    <font>
      <b/>
      <sz val="11"/>
      <color theme="4" tint="-0.249977111117893"/>
      <name val="Calibri"/>
      <family val="2"/>
      <scheme val="minor"/>
    </font>
    <font>
      <b/>
      <sz val="11"/>
      <color theme="0" tint="-0.249977111117893"/>
      <name val="Calibri"/>
      <family val="2"/>
      <scheme val="minor"/>
    </font>
    <font>
      <b/>
      <sz val="11"/>
      <color theme="8" tint="-0.249977111117893"/>
      <name val="Calibri"/>
      <family val="2"/>
      <scheme val="minor"/>
    </font>
    <font>
      <b/>
      <sz val="11"/>
      <color theme="3"/>
      <name val="Calibri"/>
      <family val="2"/>
      <scheme val="minor"/>
    </font>
    <font>
      <sz val="11"/>
      <color theme="3"/>
      <name val="Calibri"/>
      <family val="2"/>
      <scheme val="minor"/>
    </font>
    <font>
      <b/>
      <sz val="11"/>
      <color rgb="FF0070C0"/>
      <name val="Calibri"/>
      <family val="2"/>
      <scheme val="minor"/>
    </font>
    <font>
      <b/>
      <sz val="11"/>
      <color theme="0" tint="-0.499984740745262"/>
      <name val="Calibri"/>
      <family val="2"/>
      <scheme val="minor"/>
    </font>
    <font>
      <sz val="11"/>
      <color theme="0" tint="-0.499984740745262"/>
      <name val="Calibri"/>
      <family val="2"/>
      <scheme val="minor"/>
    </font>
    <font>
      <sz val="8"/>
      <color theme="0" tint="-0.499984740745262"/>
      <name val="Calibri"/>
      <family val="2"/>
      <scheme val="minor"/>
    </font>
    <font>
      <sz val="12"/>
      <color rgb="FFC00000"/>
      <name val="Calibri"/>
      <family val="2"/>
    </font>
    <font>
      <i/>
      <sz val="11"/>
      <color rgb="FFC00000"/>
      <name val="Calibri"/>
      <family val="2"/>
      <scheme val="minor"/>
    </font>
    <font>
      <sz val="10"/>
      <color theme="0" tint="-0.249977111117893"/>
      <name val="Calibri"/>
      <family val="2"/>
      <scheme val="minor"/>
    </font>
    <font>
      <i/>
      <sz val="11"/>
      <color theme="0" tint="-0.34998626667073579"/>
      <name val="Calibri"/>
      <family val="2"/>
      <scheme val="minor"/>
    </font>
    <font>
      <sz val="11"/>
      <name val="Calibri"/>
      <family val="2"/>
    </font>
    <font>
      <sz val="16"/>
      <name val="Calibri"/>
      <family val="2"/>
      <scheme val="minor"/>
    </font>
    <font>
      <sz val="11"/>
      <color rgb="FF00B050"/>
      <name val="Calibri"/>
      <family val="2"/>
      <scheme val="minor"/>
    </font>
    <font>
      <b/>
      <i/>
      <sz val="11"/>
      <name val="Calibri"/>
      <family val="2"/>
      <scheme val="minor"/>
    </font>
    <font>
      <sz val="11"/>
      <color rgb="FF92D050"/>
      <name val="Calibri"/>
      <family val="2"/>
      <scheme val="minor"/>
    </font>
    <font>
      <b/>
      <sz val="11"/>
      <color theme="0"/>
      <name val="Calibri"/>
      <family val="2"/>
      <scheme val="minor"/>
    </font>
    <font>
      <sz val="11"/>
      <color theme="0"/>
      <name val="Calibri"/>
      <family val="2"/>
      <scheme val="minor"/>
    </font>
    <font>
      <i/>
      <sz val="11"/>
      <color theme="0"/>
      <name val="Calibri"/>
      <family val="2"/>
      <scheme val="minor"/>
    </font>
  </fonts>
  <fills count="22">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6" tint="0.79998168889431442"/>
        <bgColor indexed="64"/>
      </patternFill>
    </fill>
    <fill>
      <patternFill patternType="mediumGray">
        <fgColor indexed="22"/>
      </patternFill>
    </fill>
    <fill>
      <patternFill patternType="solid">
        <fgColor theme="0" tint="-0.249977111117893"/>
        <bgColor indexed="64"/>
      </patternFill>
    </fill>
    <fill>
      <patternFill patternType="solid">
        <fgColor theme="2"/>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2" tint="-9.9978637043366805E-2"/>
        <bgColor rgb="FF000000"/>
      </patternFill>
    </fill>
    <fill>
      <patternFill patternType="solid">
        <fgColor theme="1" tint="0.499984740745262"/>
        <bgColor indexed="64"/>
      </patternFill>
    </fill>
  </fills>
  <borders count="27">
    <border>
      <left/>
      <right/>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4" tint="0.39997558519241921"/>
      </top>
      <bottom style="thin">
        <color theme="4" tint="0.39997558519241921"/>
      </bottom>
      <diagonal/>
    </border>
    <border>
      <left/>
      <right style="thin">
        <color theme="0" tint="-0.34998626667073579"/>
      </right>
      <top style="thin">
        <color theme="0" tint="-0.34998626667073579"/>
      </top>
      <bottom style="thin">
        <color theme="0" tint="-0.34998626667073579"/>
      </bottom>
      <diagonal/>
    </border>
    <border>
      <left/>
      <right/>
      <top style="thin">
        <color theme="1" tint="0.499984740745262"/>
      </top>
      <bottom style="double">
        <color theme="1" tint="0.499984740745262"/>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theme="0" tint="-0.34998626667073579"/>
      </right>
      <top style="thin">
        <color theme="0" tint="-0.34998626667073579"/>
      </top>
      <bottom style="thin">
        <color theme="0" tint="-0.34998626667073579"/>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5">
    <xf numFmtId="0" fontId="0"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6" fillId="0" borderId="0"/>
    <xf numFmtId="0" fontId="37" fillId="0" borderId="0"/>
    <xf numFmtId="0" fontId="37" fillId="0" borderId="0"/>
    <xf numFmtId="0" fontId="36"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6" fillId="0" borderId="0" applyFont="0" applyFill="0" applyBorder="0" applyAlignment="0" applyProtection="0"/>
    <xf numFmtId="0" fontId="41" fillId="0" borderId="0" applyNumberFormat="0" applyFill="0" applyBorder="0" applyAlignment="0" applyProtection="0"/>
    <xf numFmtId="44" fontId="2" fillId="0" borderId="0" applyFont="0" applyFill="0" applyBorder="0" applyAlignment="0" applyProtection="0"/>
    <xf numFmtId="0" fontId="43" fillId="0" borderId="0"/>
    <xf numFmtId="0" fontId="43" fillId="0" borderId="0" applyNumberFormat="0" applyFont="0" applyFill="0" applyBorder="0" applyAlignment="0" applyProtection="0">
      <alignment horizontal="left"/>
    </xf>
    <xf numFmtId="15" fontId="43" fillId="0" borderId="0" applyFont="0" applyFill="0" applyBorder="0" applyAlignment="0" applyProtection="0"/>
    <xf numFmtId="4" fontId="43" fillId="0" borderId="0" applyFont="0" applyFill="0" applyBorder="0" applyAlignment="0" applyProtection="0"/>
    <xf numFmtId="0" fontId="44" fillId="0" borderId="6">
      <alignment horizontal="center"/>
    </xf>
    <xf numFmtId="3" fontId="43" fillId="0" borderId="0" applyFont="0" applyFill="0" applyBorder="0" applyAlignment="0" applyProtection="0"/>
    <xf numFmtId="0" fontId="43" fillId="13" borderId="0" applyNumberFormat="0" applyFont="0" applyBorder="0" applyAlignment="0" applyProtection="0"/>
    <xf numFmtId="44" fontId="4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45" fillId="0" borderId="0"/>
    <xf numFmtId="0" fontId="45" fillId="0" borderId="0" applyNumberFormat="0" applyFont="0" applyFill="0" applyBorder="0" applyAlignment="0" applyProtection="0">
      <alignment horizontal="left"/>
    </xf>
    <xf numFmtId="15" fontId="45" fillId="0" borderId="0" applyFont="0" applyFill="0" applyBorder="0" applyAlignment="0" applyProtection="0"/>
    <xf numFmtId="4" fontId="45" fillId="0" borderId="0" applyFont="0" applyFill="0" applyBorder="0" applyAlignment="0" applyProtection="0"/>
    <xf numFmtId="0" fontId="46" fillId="0" borderId="6">
      <alignment horizontal="center"/>
    </xf>
    <xf numFmtId="3" fontId="45" fillId="0" borderId="0" applyFont="0" applyFill="0" applyBorder="0" applyAlignment="0" applyProtection="0"/>
    <xf numFmtId="0" fontId="45" fillId="13" borderId="0" applyNumberFormat="0" applyFont="0" applyBorder="0" applyAlignment="0" applyProtection="0"/>
    <xf numFmtId="44" fontId="45" fillId="0" borderId="0" applyFont="0" applyFill="0" applyBorder="0" applyAlignment="0" applyProtection="0"/>
    <xf numFmtId="0" fontId="47" fillId="0" borderId="0"/>
    <xf numFmtId="44" fontId="2" fillId="0" borderId="0" applyFont="0" applyFill="0" applyBorder="0" applyAlignment="0" applyProtection="0"/>
  </cellStyleXfs>
  <cellXfs count="560">
    <xf numFmtId="0" fontId="0" fillId="0" borderId="0" xfId="0"/>
    <xf numFmtId="164" fontId="1" fillId="0" borderId="0" xfId="0" applyNumberFormat="1" applyFont="1" applyAlignment="1">
      <alignment horizontal="right"/>
    </xf>
    <xf numFmtId="9" fontId="1" fillId="0" borderId="0" xfId="1" applyFont="1" applyAlignment="1">
      <alignment horizontal="right"/>
    </xf>
    <xf numFmtId="0" fontId="8" fillId="0" borderId="0" xfId="0" applyFont="1"/>
    <xf numFmtId="0" fontId="7" fillId="0" borderId="0" xfId="0" applyFont="1"/>
    <xf numFmtId="0" fontId="7" fillId="0" borderId="0" xfId="0" applyFont="1" applyFill="1" applyBorder="1"/>
    <xf numFmtId="2" fontId="0" fillId="0" borderId="0" xfId="0" applyNumberFormat="1" applyFont="1" applyBorder="1" applyAlignment="1">
      <alignment horizontal="right"/>
    </xf>
    <xf numFmtId="0" fontId="0" fillId="0" borderId="0" xfId="0" applyFont="1"/>
    <xf numFmtId="165" fontId="0" fillId="0" borderId="0" xfId="0" applyNumberFormat="1" applyFont="1" applyBorder="1" applyAlignment="1">
      <alignment horizontal="right"/>
    </xf>
    <xf numFmtId="164" fontId="0" fillId="0" borderId="0" xfId="0" applyNumberFormat="1" applyFont="1" applyBorder="1" applyAlignment="1">
      <alignment horizontal="right"/>
    </xf>
    <xf numFmtId="9" fontId="1" fillId="0" borderId="0" xfId="1" applyFont="1" applyBorder="1" applyAlignment="1">
      <alignment horizontal="right"/>
    </xf>
    <xf numFmtId="164" fontId="1" fillId="0" borderId="0" xfId="0" applyNumberFormat="1" applyFont="1" applyBorder="1" applyAlignment="1">
      <alignment horizontal="right"/>
    </xf>
    <xf numFmtId="2" fontId="5" fillId="0" borderId="0" xfId="0" applyNumberFormat="1" applyFont="1" applyBorder="1" applyAlignment="1">
      <alignment horizontal="right"/>
    </xf>
    <xf numFmtId="0" fontId="0" fillId="0" borderId="0" xfId="0" applyFont="1" applyBorder="1"/>
    <xf numFmtId="0" fontId="5" fillId="0" borderId="0" xfId="0" applyFont="1" applyBorder="1"/>
    <xf numFmtId="0" fontId="0" fillId="0" borderId="0" xfId="0"/>
    <xf numFmtId="0" fontId="1" fillId="0" borderId="0" xfId="0" applyFont="1"/>
    <xf numFmtId="0" fontId="3" fillId="0" borderId="0" xfId="0" applyFont="1"/>
    <xf numFmtId="164" fontId="0" fillId="0" borderId="0" xfId="0" applyNumberFormat="1" applyBorder="1" applyAlignment="1">
      <alignment horizontal="right"/>
    </xf>
    <xf numFmtId="0" fontId="0" fillId="0" borderId="0" xfId="0" applyBorder="1"/>
    <xf numFmtId="0" fontId="0" fillId="0" borderId="0" xfId="0" applyFill="1"/>
    <xf numFmtId="0" fontId="1" fillId="0" borderId="0" xfId="0" applyFont="1" applyFill="1"/>
    <xf numFmtId="0" fontId="9" fillId="0" borderId="0" xfId="0" applyFont="1"/>
    <xf numFmtId="2" fontId="9" fillId="0" borderId="0" xfId="0" applyNumberFormat="1" applyFont="1" applyBorder="1" applyAlignment="1">
      <alignment horizontal="right"/>
    </xf>
    <xf numFmtId="164" fontId="9" fillId="0" borderId="0" xfId="0" applyNumberFormat="1" applyFont="1" applyAlignment="1">
      <alignment horizontal="right"/>
    </xf>
    <xf numFmtId="0" fontId="10" fillId="0" borderId="0" xfId="0" applyFont="1"/>
    <xf numFmtId="0" fontId="11" fillId="0" borderId="0" xfId="0" applyFont="1"/>
    <xf numFmtId="0" fontId="0" fillId="0" borderId="0" xfId="0" applyFill="1" applyBorder="1"/>
    <xf numFmtId="0" fontId="0" fillId="0" borderId="0" xfId="0" applyAlignment="1">
      <alignment horizontal="right"/>
    </xf>
    <xf numFmtId="1" fontId="0" fillId="0" borderId="0" xfId="0" applyNumberFormat="1"/>
    <xf numFmtId="1" fontId="0" fillId="2" borderId="0" xfId="0" applyNumberFormat="1" applyFill="1"/>
    <xf numFmtId="1" fontId="0" fillId="0" borderId="0" xfId="0" applyNumberFormat="1" applyFill="1" applyBorder="1"/>
    <xf numFmtId="166" fontId="0" fillId="0" borderId="0" xfId="1" applyNumberFormat="1" applyFont="1" applyFill="1" applyBorder="1"/>
    <xf numFmtId="1" fontId="0" fillId="0" borderId="0" xfId="0" applyNumberFormat="1" applyBorder="1"/>
    <xf numFmtId="1" fontId="0" fillId="0" borderId="0" xfId="0" applyNumberFormat="1" applyBorder="1" applyAlignment="1">
      <alignment horizontal="right"/>
    </xf>
    <xf numFmtId="0" fontId="9" fillId="0" borderId="0" xfId="0" applyFont="1" applyAlignment="1">
      <alignment horizontal="right"/>
    </xf>
    <xf numFmtId="0" fontId="14" fillId="0" borderId="0" xfId="0" applyFont="1" applyFill="1"/>
    <xf numFmtId="0" fontId="0" fillId="0" borderId="0" xfId="0" applyBorder="1" applyAlignment="1">
      <alignment horizontal="right"/>
    </xf>
    <xf numFmtId="2" fontId="0" fillId="0" borderId="0" xfId="0" applyNumberFormat="1" applyFill="1" applyBorder="1"/>
    <xf numFmtId="1" fontId="0" fillId="0" borderId="0" xfId="1" applyNumberFormat="1" applyFont="1" applyFill="1" applyBorder="1"/>
    <xf numFmtId="0" fontId="7" fillId="0" borderId="0" xfId="0" applyFont="1" applyFill="1"/>
    <xf numFmtId="2" fontId="15" fillId="0" borderId="0" xfId="0" applyNumberFormat="1" applyFont="1" applyBorder="1" applyAlignment="1">
      <alignment horizontal="right"/>
    </xf>
    <xf numFmtId="2" fontId="0" fillId="0" borderId="0" xfId="0" applyNumberFormat="1" applyFont="1" applyBorder="1" applyAlignment="1">
      <alignment horizontal="right" wrapText="1"/>
    </xf>
    <xf numFmtId="0" fontId="0" fillId="2" borderId="0" xfId="0" applyFill="1" applyAlignment="1">
      <alignment wrapText="1"/>
    </xf>
    <xf numFmtId="2" fontId="0" fillId="0" borderId="0" xfId="0" applyNumberFormat="1" applyBorder="1" applyAlignment="1">
      <alignment horizontal="right"/>
    </xf>
    <xf numFmtId="0" fontId="0" fillId="0" borderId="0" xfId="0" applyBorder="1" applyAlignment="1">
      <alignment horizontal="right" wrapText="1"/>
    </xf>
    <xf numFmtId="0" fontId="9" fillId="0" borderId="0" xfId="0" applyFont="1" applyBorder="1"/>
    <xf numFmtId="0" fontId="0" fillId="0" borderId="0" xfId="0" applyFont="1" applyFill="1"/>
    <xf numFmtId="2" fontId="0" fillId="0" borderId="0" xfId="0" applyNumberFormat="1" applyFont="1" applyFill="1" applyBorder="1" applyAlignment="1">
      <alignment horizontal="right"/>
    </xf>
    <xf numFmtId="0" fontId="4" fillId="0" borderId="0" xfId="0" applyFont="1" applyFill="1" applyBorder="1" applyAlignment="1">
      <alignment horizontal="center" wrapText="1"/>
    </xf>
    <xf numFmtId="9" fontId="0" fillId="0" borderId="0" xfId="1" applyFont="1"/>
    <xf numFmtId="166" fontId="0" fillId="0" borderId="0" xfId="1" applyNumberFormat="1" applyFont="1"/>
    <xf numFmtId="0" fontId="1" fillId="0" borderId="0" xfId="0" applyFont="1" applyBorder="1" applyAlignment="1"/>
    <xf numFmtId="165" fontId="0" fillId="0" borderId="0" xfId="0" applyNumberFormat="1" applyFont="1" applyBorder="1" applyAlignment="1">
      <alignment horizontal="right" wrapText="1"/>
    </xf>
    <xf numFmtId="0" fontId="0" fillId="0" borderId="0" xfId="0" applyFill="1" applyBorder="1" applyAlignment="1">
      <alignment wrapText="1"/>
    </xf>
    <xf numFmtId="0" fontId="1" fillId="0" borderId="0" xfId="0" applyFont="1" applyFill="1" applyBorder="1" applyAlignment="1">
      <alignment horizontal="right" wrapText="1"/>
    </xf>
    <xf numFmtId="0" fontId="0" fillId="0" borderId="0" xfId="0" applyFont="1" applyFill="1" applyBorder="1"/>
    <xf numFmtId="2" fontId="1" fillId="0" borderId="0" xfId="0" applyNumberFormat="1" applyFont="1" applyFill="1" applyBorder="1" applyAlignment="1">
      <alignment horizontal="right" wrapText="1"/>
    </xf>
    <xf numFmtId="0" fontId="1" fillId="0" borderId="0" xfId="0" applyFont="1" applyBorder="1" applyAlignment="1">
      <alignment horizontal="center"/>
    </xf>
    <xf numFmtId="0" fontId="1" fillId="0" borderId="0" xfId="0" applyFont="1" applyBorder="1"/>
    <xf numFmtId="165" fontId="0" fillId="0" borderId="0" xfId="0" applyNumberFormat="1" applyFont="1" applyBorder="1" applyAlignment="1">
      <alignment horizontal="right" vertical="center" wrapText="1"/>
    </xf>
    <xf numFmtId="0" fontId="15" fillId="0" borderId="0" xfId="0" applyFont="1" applyBorder="1"/>
    <xf numFmtId="164" fontId="9" fillId="0" borderId="0" xfId="0" applyNumberFormat="1" applyFont="1" applyBorder="1" applyAlignment="1">
      <alignment horizontal="right"/>
    </xf>
    <xf numFmtId="2" fontId="1" fillId="0" borderId="0" xfId="0" applyNumberFormat="1" applyFont="1" applyBorder="1" applyAlignment="1">
      <alignment horizontal="right" wrapText="1"/>
    </xf>
    <xf numFmtId="2" fontId="20" fillId="0" borderId="0" xfId="0" applyNumberFormat="1" applyFont="1" applyBorder="1" applyAlignment="1">
      <alignment horizontal="right"/>
    </xf>
    <xf numFmtId="0" fontId="20" fillId="0" borderId="0" xfId="0" applyFont="1" applyBorder="1"/>
    <xf numFmtId="0" fontId="20" fillId="0" borderId="0" xfId="0" applyFont="1"/>
    <xf numFmtId="2" fontId="1" fillId="0" borderId="0" xfId="0" applyNumberFormat="1" applyFont="1" applyBorder="1" applyAlignment="1"/>
    <xf numFmtId="0" fontId="0" fillId="0" borderId="0" xfId="0" applyBorder="1" applyAlignment="1"/>
    <xf numFmtId="0" fontId="11" fillId="0" borderId="0" xfId="0" applyFont="1" applyBorder="1"/>
    <xf numFmtId="0" fontId="0" fillId="0" borderId="0" xfId="0" applyBorder="1" applyAlignment="1">
      <alignment wrapText="1"/>
    </xf>
    <xf numFmtId="2" fontId="1" fillId="3" borderId="0" xfId="0" applyNumberFormat="1" applyFont="1" applyFill="1" applyBorder="1" applyAlignment="1">
      <alignment horizontal="right"/>
    </xf>
    <xf numFmtId="2" fontId="1" fillId="3" borderId="0" xfId="0" applyNumberFormat="1" applyFont="1" applyFill="1" applyBorder="1" applyAlignment="1">
      <alignment horizontal="center" wrapText="1"/>
    </xf>
    <xf numFmtId="2" fontId="1" fillId="0" borderId="0" xfId="0" applyNumberFormat="1" applyFont="1" applyBorder="1" applyAlignment="1">
      <alignment horizontal="right"/>
    </xf>
    <xf numFmtId="0" fontId="17" fillId="0" borderId="0" xfId="0" applyFont="1" applyBorder="1"/>
    <xf numFmtId="0" fontId="16" fillId="0" borderId="0" xfId="0" applyFont="1" applyBorder="1" applyAlignment="1">
      <alignment horizontal="right"/>
    </xf>
    <xf numFmtId="0" fontId="17" fillId="0" borderId="0" xfId="0" applyFont="1" applyBorder="1" applyAlignment="1">
      <alignment horizontal="right"/>
    </xf>
    <xf numFmtId="0" fontId="9" fillId="0" borderId="0" xfId="0" applyFont="1" applyBorder="1" applyAlignment="1">
      <alignment horizontal="right"/>
    </xf>
    <xf numFmtId="0" fontId="6" fillId="0" borderId="0" xfId="0" applyFont="1" applyBorder="1" applyAlignment="1">
      <alignment horizontal="right"/>
    </xf>
    <xf numFmtId="0" fontId="14" fillId="0" borderId="0" xfId="0" applyFont="1" applyBorder="1"/>
    <xf numFmtId="0" fontId="0" fillId="0" borderId="0" xfId="0" applyBorder="1" applyAlignment="1">
      <alignment horizontal="center" vertical="center"/>
    </xf>
    <xf numFmtId="0" fontId="0" fillId="0" borderId="0" xfId="0" applyBorder="1" applyAlignment="1">
      <alignment horizontal="center" vertical="center" wrapText="1"/>
    </xf>
    <xf numFmtId="0" fontId="0" fillId="0" borderId="0" xfId="0" applyFill="1" applyAlignment="1">
      <alignment horizontal="right"/>
    </xf>
    <xf numFmtId="1" fontId="0" fillId="0" borderId="0" xfId="0" applyNumberFormat="1" applyFill="1"/>
    <xf numFmtId="0" fontId="21" fillId="0" borderId="0" xfId="0" applyFont="1" applyAlignment="1">
      <alignment horizontal="right"/>
    </xf>
    <xf numFmtId="0" fontId="0" fillId="0" borderId="0" xfId="0" applyBorder="1" applyAlignment="1">
      <alignment horizontal="center" wrapText="1"/>
    </xf>
    <xf numFmtId="0" fontId="22" fillId="0" borderId="0" xfId="0" applyFont="1" applyBorder="1" applyAlignment="1">
      <alignment wrapText="1"/>
    </xf>
    <xf numFmtId="0" fontId="0" fillId="0" borderId="0" xfId="0" applyAlignment="1">
      <alignment wrapText="1"/>
    </xf>
    <xf numFmtId="2" fontId="22" fillId="0" borderId="0" xfId="0" applyNumberFormat="1" applyFont="1"/>
    <xf numFmtId="164" fontId="23" fillId="0" borderId="0" xfId="0" applyNumberFormat="1" applyFont="1"/>
    <xf numFmtId="0" fontId="0" fillId="8" borderId="0" xfId="0" applyFill="1"/>
    <xf numFmtId="0" fontId="22" fillId="0" borderId="0" xfId="0" applyFont="1"/>
    <xf numFmtId="0" fontId="0" fillId="7" borderId="0" xfId="0" applyFill="1"/>
    <xf numFmtId="9" fontId="0" fillId="0" borderId="0" xfId="0" applyNumberFormat="1" applyFill="1"/>
    <xf numFmtId="0" fontId="17" fillId="0" borderId="0" xfId="0" applyFont="1"/>
    <xf numFmtId="164" fontId="0" fillId="0" borderId="0" xfId="0" applyNumberFormat="1" applyFill="1"/>
    <xf numFmtId="0" fontId="22" fillId="0" borderId="0" xfId="0" applyFont="1" applyFill="1"/>
    <xf numFmtId="2" fontId="0" fillId="0" borderId="0" xfId="0" applyNumberFormat="1" applyFill="1"/>
    <xf numFmtId="0" fontId="23" fillId="0" borderId="0" xfId="0" applyFont="1" applyFill="1"/>
    <xf numFmtId="0" fontId="23" fillId="4" borderId="0" xfId="0" applyFont="1" applyFill="1"/>
    <xf numFmtId="2" fontId="1" fillId="0" borderId="0" xfId="0" applyNumberFormat="1" applyFont="1"/>
    <xf numFmtId="164" fontId="1" fillId="0" borderId="0" xfId="0" applyNumberFormat="1" applyFont="1"/>
    <xf numFmtId="0" fontId="3" fillId="0" borderId="0" xfId="0" applyFont="1" applyFill="1" applyBorder="1"/>
    <xf numFmtId="0" fontId="20" fillId="0" borderId="0" xfId="0" applyFont="1" applyFill="1" applyBorder="1"/>
    <xf numFmtId="0" fontId="15" fillId="0" borderId="0" xfId="0" applyFont="1" applyFill="1" applyBorder="1"/>
    <xf numFmtId="0" fontId="1" fillId="8" borderId="0" xfId="0" applyFont="1" applyFill="1"/>
    <xf numFmtId="2" fontId="17" fillId="0" borderId="0" xfId="0" applyNumberFormat="1" applyFont="1"/>
    <xf numFmtId="0" fontId="4" fillId="0" borderId="0" xfId="0" applyFont="1"/>
    <xf numFmtId="0" fontId="4" fillId="0" borderId="0" xfId="0" applyFont="1" applyAlignment="1">
      <alignment horizontal="right"/>
    </xf>
    <xf numFmtId="2" fontId="4" fillId="0" borderId="0" xfId="0" applyNumberFormat="1" applyFont="1"/>
    <xf numFmtId="0" fontId="22" fillId="4" borderId="0" xfId="0" applyFont="1" applyFill="1" applyBorder="1" applyAlignment="1">
      <alignment wrapText="1"/>
    </xf>
    <xf numFmtId="0" fontId="0" fillId="9" borderId="0" xfId="0" applyFill="1"/>
    <xf numFmtId="0" fontId="22" fillId="9" borderId="0" xfId="0" applyFont="1" applyFill="1" applyBorder="1" applyAlignment="1">
      <alignment wrapText="1"/>
    </xf>
    <xf numFmtId="0" fontId="1" fillId="0" borderId="5" xfId="0" applyFont="1" applyBorder="1"/>
    <xf numFmtId="0" fontId="0" fillId="0" borderId="5" xfId="0" applyFont="1" applyBorder="1"/>
    <xf numFmtId="0" fontId="0" fillId="0" borderId="5" xfId="0" applyBorder="1"/>
    <xf numFmtId="2" fontId="1" fillId="0" borderId="5" xfId="0" applyNumberFormat="1" applyFont="1" applyFill="1" applyBorder="1" applyAlignment="1">
      <alignment horizontal="right" wrapText="1"/>
    </xf>
    <xf numFmtId="0" fontId="0" fillId="0" borderId="5" xfId="0" applyFill="1" applyBorder="1"/>
    <xf numFmtId="1" fontId="0" fillId="0" borderId="5" xfId="1" applyNumberFormat="1" applyFont="1" applyFill="1" applyBorder="1"/>
    <xf numFmtId="1" fontId="0" fillId="0" borderId="5" xfId="0" applyNumberFormat="1" applyBorder="1"/>
    <xf numFmtId="0" fontId="0" fillId="0" borderId="5" xfId="0" applyFill="1" applyBorder="1" applyAlignment="1">
      <alignment wrapText="1"/>
    </xf>
    <xf numFmtId="2" fontId="0" fillId="0" borderId="5" xfId="0" applyNumberFormat="1" applyFont="1" applyBorder="1" applyAlignment="1">
      <alignment horizontal="right"/>
    </xf>
    <xf numFmtId="2" fontId="0" fillId="0" borderId="5" xfId="0" applyNumberFormat="1" applyFill="1" applyBorder="1"/>
    <xf numFmtId="166" fontId="0" fillId="0" borderId="5" xfId="1" applyNumberFormat="1" applyFont="1" applyFill="1" applyBorder="1"/>
    <xf numFmtId="0" fontId="3" fillId="6" borderId="5" xfId="0" applyFont="1" applyFill="1" applyBorder="1"/>
    <xf numFmtId="2" fontId="0" fillId="6" borderId="5" xfId="0" applyNumberFormat="1" applyFont="1" applyFill="1" applyBorder="1" applyAlignment="1">
      <alignment horizontal="right"/>
    </xf>
    <xf numFmtId="0" fontId="7" fillId="0" borderId="5" xfId="0" applyFont="1" applyBorder="1"/>
    <xf numFmtId="0" fontId="7" fillId="0" borderId="5" xfId="0" applyFont="1" applyFill="1" applyBorder="1"/>
    <xf numFmtId="0" fontId="20" fillId="0" borderId="5" xfId="0" applyFont="1" applyBorder="1"/>
    <xf numFmtId="2" fontId="0" fillId="0" borderId="0" xfId="0" applyNumberFormat="1"/>
    <xf numFmtId="164" fontId="0" fillId="0" borderId="0" xfId="0" applyNumberFormat="1"/>
    <xf numFmtId="0" fontId="1" fillId="0" borderId="0" xfId="0" applyFont="1" applyAlignment="1">
      <alignment horizontal="right"/>
    </xf>
    <xf numFmtId="0" fontId="1" fillId="0" borderId="0" xfId="0" applyFont="1" applyFill="1" applyAlignment="1">
      <alignment horizontal="right"/>
    </xf>
    <xf numFmtId="2" fontId="22" fillId="0" borderId="0" xfId="0" applyNumberFormat="1" applyFont="1" applyFill="1"/>
    <xf numFmtId="167" fontId="0" fillId="0" borderId="0" xfId="2" applyNumberFormat="1" applyFont="1" applyFill="1"/>
    <xf numFmtId="164" fontId="23" fillId="0" borderId="0" xfId="0" applyNumberFormat="1" applyFont="1" applyFill="1"/>
    <xf numFmtId="0" fontId="24" fillId="0" borderId="0" xfId="0" applyFont="1"/>
    <xf numFmtId="1" fontId="1" fillId="0" borderId="0" xfId="0" applyNumberFormat="1" applyFont="1"/>
    <xf numFmtId="0" fontId="22" fillId="0" borderId="0" xfId="0" applyFont="1" applyBorder="1" applyAlignment="1">
      <alignment horizontal="right" wrapText="1"/>
    </xf>
    <xf numFmtId="0" fontId="3" fillId="8" borderId="0" xfId="0" applyFont="1" applyFill="1" applyAlignment="1">
      <alignment horizontal="right"/>
    </xf>
    <xf numFmtId="1" fontId="3" fillId="8" borderId="0" xfId="0" applyNumberFormat="1" applyFont="1" applyFill="1"/>
    <xf numFmtId="1" fontId="3" fillId="8" borderId="0" xfId="0" applyNumberFormat="1" applyFont="1" applyFill="1" applyAlignment="1"/>
    <xf numFmtId="9" fontId="0" fillId="0" borderId="0" xfId="1" applyFont="1" applyFill="1"/>
    <xf numFmtId="0" fontId="4" fillId="0" borderId="0" xfId="0" applyFont="1" applyFill="1"/>
    <xf numFmtId="0" fontId="25" fillId="0" borderId="0" xfId="0" applyFont="1" applyFill="1"/>
    <xf numFmtId="0" fontId="25" fillId="0" borderId="0" xfId="0" applyFont="1"/>
    <xf numFmtId="0" fontId="26" fillId="0" borderId="0" xfId="0" applyFont="1" applyFill="1"/>
    <xf numFmtId="168" fontId="0" fillId="0" borderId="0" xfId="2" applyNumberFormat="1" applyFont="1" applyFill="1"/>
    <xf numFmtId="2" fontId="23" fillId="0" borderId="0" xfId="0" applyNumberFormat="1" applyFont="1" applyBorder="1" applyAlignment="1">
      <alignment horizontal="right"/>
    </xf>
    <xf numFmtId="165" fontId="27" fillId="0" borderId="0" xfId="0" applyNumberFormat="1" applyFont="1" applyFill="1" applyAlignment="1">
      <alignment horizontal="right"/>
    </xf>
    <xf numFmtId="2" fontId="28" fillId="0" borderId="0" xfId="0" applyNumberFormat="1" applyFont="1" applyBorder="1" applyAlignment="1">
      <alignment horizontal="right" wrapText="1"/>
    </xf>
    <xf numFmtId="2" fontId="28" fillId="0" borderId="0" xfId="0" applyNumberFormat="1" applyFont="1" applyBorder="1" applyAlignment="1">
      <alignment horizontal="right"/>
    </xf>
    <xf numFmtId="2" fontId="28" fillId="0" borderId="0" xfId="0" applyNumberFormat="1" applyFont="1" applyFill="1" applyBorder="1" applyAlignment="1">
      <alignment horizontal="right"/>
    </xf>
    <xf numFmtId="164" fontId="28" fillId="0" borderId="0" xfId="0" applyNumberFormat="1" applyFont="1" applyBorder="1" applyAlignment="1">
      <alignment horizontal="right"/>
    </xf>
    <xf numFmtId="164" fontId="29" fillId="0" borderId="0" xfId="0" applyNumberFormat="1" applyFont="1" applyBorder="1" applyAlignment="1">
      <alignment horizontal="right"/>
    </xf>
    <xf numFmtId="0" fontId="14" fillId="0" borderId="0" xfId="0" applyFont="1"/>
    <xf numFmtId="0" fontId="30" fillId="0" borderId="0" xfId="0" applyFont="1" applyFill="1" applyAlignment="1">
      <alignment vertical="center"/>
    </xf>
    <xf numFmtId="0" fontId="0" fillId="0" borderId="0" xfId="0" applyFont="1" applyFill="1" applyAlignment="1">
      <alignment horizontal="right"/>
    </xf>
    <xf numFmtId="9" fontId="0" fillId="0" borderId="0" xfId="1" applyNumberFormat="1" applyFont="1" applyFill="1"/>
    <xf numFmtId="167" fontId="0" fillId="0" borderId="0" xfId="0" applyNumberFormat="1"/>
    <xf numFmtId="0" fontId="31" fillId="0" borderId="0" xfId="0" applyFont="1" applyFill="1" applyBorder="1"/>
    <xf numFmtId="0" fontId="32" fillId="0" borderId="0" xfId="0" applyFont="1" applyFill="1" applyBorder="1"/>
    <xf numFmtId="167" fontId="32" fillId="0" borderId="0" xfId="2" applyNumberFormat="1" applyFont="1" applyFill="1" applyBorder="1"/>
    <xf numFmtId="0" fontId="32" fillId="0" borderId="7" xfId="0" applyFont="1" applyFill="1" applyBorder="1"/>
    <xf numFmtId="167" fontId="32" fillId="0" borderId="7" xfId="2" applyNumberFormat="1" applyFont="1" applyFill="1" applyBorder="1"/>
    <xf numFmtId="0" fontId="34" fillId="0" borderId="0" xfId="0" applyFont="1" applyFill="1" applyBorder="1"/>
    <xf numFmtId="43" fontId="0" fillId="0" borderId="0" xfId="0" applyNumberFormat="1"/>
    <xf numFmtId="2" fontId="0" fillId="0" borderId="0" xfId="0" applyNumberFormat="1" applyAlignment="1">
      <alignment horizontal="center" wrapText="1"/>
    </xf>
    <xf numFmtId="2" fontId="21" fillId="0" borderId="0" xfId="0" applyNumberFormat="1" applyFont="1" applyFill="1" applyBorder="1" applyAlignment="1">
      <alignment horizontal="right" wrapText="1"/>
    </xf>
    <xf numFmtId="2" fontId="23" fillId="0" borderId="0" xfId="0" applyNumberFormat="1" applyFont="1" applyFill="1" applyBorder="1"/>
    <xf numFmtId="0" fontId="23" fillId="0" borderId="0" xfId="0" applyFont="1" applyBorder="1"/>
    <xf numFmtId="166" fontId="23" fillId="0" borderId="0" xfId="1" applyNumberFormat="1" applyFont="1" applyFill="1" applyBorder="1"/>
    <xf numFmtId="2" fontId="23" fillId="0" borderId="0" xfId="1" applyNumberFormat="1" applyFont="1" applyFill="1" applyBorder="1"/>
    <xf numFmtId="0" fontId="0" fillId="10" borderId="0" xfId="0" applyFill="1" applyBorder="1" applyAlignment="1">
      <alignment horizontal="center"/>
    </xf>
    <xf numFmtId="0" fontId="38" fillId="10" borderId="0" xfId="0" applyFont="1" applyFill="1" applyBorder="1"/>
    <xf numFmtId="0" fontId="39" fillId="10" borderId="0" xfId="0" applyFont="1" applyFill="1" applyBorder="1" applyAlignment="1">
      <alignment horizontal="left"/>
    </xf>
    <xf numFmtId="168" fontId="38" fillId="6" borderId="0" xfId="3" applyNumberFormat="1" applyFont="1" applyFill="1" applyBorder="1"/>
    <xf numFmtId="0" fontId="38" fillId="10" borderId="0" xfId="0" applyFont="1" applyFill="1" applyBorder="1" applyAlignment="1">
      <alignment horizontal="right"/>
    </xf>
    <xf numFmtId="0" fontId="41" fillId="0" borderId="0" xfId="32" applyBorder="1"/>
    <xf numFmtId="164" fontId="0" fillId="8" borderId="0" xfId="0" applyNumberFormat="1" applyFont="1" applyFill="1" applyBorder="1" applyAlignment="1">
      <alignment horizontal="right"/>
    </xf>
    <xf numFmtId="164" fontId="14" fillId="0" borderId="0" xfId="0" applyNumberFormat="1" applyFont="1" applyBorder="1" applyAlignment="1">
      <alignment horizontal="right" wrapText="1"/>
    </xf>
    <xf numFmtId="164" fontId="14" fillId="0" borderId="0" xfId="0" applyNumberFormat="1" applyFont="1" applyFill="1" applyAlignment="1">
      <alignment horizontal="right"/>
    </xf>
    <xf numFmtId="165" fontId="0" fillId="0" borderId="0" xfId="0" applyNumberFormat="1" applyBorder="1"/>
    <xf numFmtId="2" fontId="0" fillId="12" borderId="0" xfId="0" applyNumberFormat="1" applyFill="1" applyBorder="1"/>
    <xf numFmtId="2" fontId="42" fillId="0" borderId="0" xfId="0" applyNumberFormat="1" applyFont="1" applyBorder="1" applyAlignment="1">
      <alignment horizontal="right" vertical="center" wrapText="1"/>
    </xf>
    <xf numFmtId="0" fontId="0" fillId="0" borderId="0" xfId="0" applyAlignment="1">
      <alignment horizontal="center" wrapText="1"/>
    </xf>
    <xf numFmtId="2" fontId="0" fillId="0" borderId="5" xfId="0" applyNumberFormat="1" applyFont="1" applyBorder="1" applyAlignment="1">
      <alignment horizontal="center" vertical="center" wrapText="1"/>
    </xf>
    <xf numFmtId="2" fontId="23" fillId="0" borderId="5" xfId="0" applyNumberFormat="1" applyFont="1" applyFill="1" applyBorder="1"/>
    <xf numFmtId="2" fontId="21" fillId="0" borderId="5" xfId="0" applyNumberFormat="1" applyFont="1" applyFill="1" applyBorder="1" applyAlignment="1">
      <alignment horizontal="right" wrapText="1"/>
    </xf>
    <xf numFmtId="166" fontId="23" fillId="0" borderId="5" xfId="1" applyNumberFormat="1" applyFont="1" applyFill="1" applyBorder="1"/>
    <xf numFmtId="0" fontId="0" fillId="0" borderId="0" xfId="0"/>
    <xf numFmtId="1" fontId="23" fillId="0" borderId="5" xfId="1" applyNumberFormat="1" applyFont="1" applyFill="1" applyBorder="1"/>
    <xf numFmtId="164" fontId="0" fillId="0" borderId="5" xfId="0" applyNumberFormat="1" applyFont="1" applyBorder="1" applyAlignment="1">
      <alignment horizontal="right"/>
    </xf>
    <xf numFmtId="164" fontId="20" fillId="0" borderId="5" xfId="0" applyNumberFormat="1" applyFont="1" applyBorder="1" applyAlignment="1">
      <alignment horizontal="right"/>
    </xf>
    <xf numFmtId="164" fontId="0" fillId="6" borderId="5" xfId="0" applyNumberFormat="1" applyFont="1" applyFill="1" applyBorder="1" applyAlignment="1">
      <alignment horizontal="right"/>
    </xf>
    <xf numFmtId="2" fontId="0" fillId="0" borderId="0" xfId="0" applyNumberFormat="1" applyBorder="1"/>
    <xf numFmtId="168" fontId="0" fillId="0" borderId="0" xfId="2" applyNumberFormat="1" applyFont="1"/>
    <xf numFmtId="167" fontId="0" fillId="0" borderId="0" xfId="2" applyNumberFormat="1" applyFont="1"/>
    <xf numFmtId="0" fontId="23" fillId="0" borderId="0" xfId="0" applyFont="1"/>
    <xf numFmtId="170" fontId="0" fillId="0" borderId="0" xfId="2" applyNumberFormat="1" applyFont="1"/>
    <xf numFmtId="2" fontId="0" fillId="0" borderId="0" xfId="0" applyNumberFormat="1" applyFont="1" applyBorder="1" applyAlignment="1">
      <alignment horizontal="left"/>
    </xf>
    <xf numFmtId="0" fontId="1" fillId="0" borderId="0" xfId="0" applyFont="1" applyBorder="1" applyAlignment="1">
      <alignment horizontal="right" wrapText="1"/>
    </xf>
    <xf numFmtId="1" fontId="0" fillId="0" borderId="5" xfId="0" applyNumberFormat="1" applyBorder="1" applyAlignment="1">
      <alignment horizontal="right"/>
    </xf>
    <xf numFmtId="1" fontId="3" fillId="0" borderId="5" xfId="0" applyNumberFormat="1" applyFont="1" applyFill="1" applyBorder="1" applyAlignment="1">
      <alignment horizontal="right"/>
    </xf>
    <xf numFmtId="1" fontId="0" fillId="0" borderId="5" xfId="0" applyNumberFormat="1" applyBorder="1" applyAlignment="1">
      <alignment horizontal="right" wrapText="1"/>
    </xf>
    <xf numFmtId="164" fontId="0" fillId="0" borderId="5" xfId="0" applyNumberFormat="1" applyBorder="1" applyAlignment="1">
      <alignment horizontal="right"/>
    </xf>
    <xf numFmtId="164" fontId="0" fillId="0" borderId="5" xfId="0" applyNumberFormat="1" applyBorder="1" applyAlignment="1">
      <alignment horizontal="center" vertical="center" wrapText="1"/>
    </xf>
    <xf numFmtId="164" fontId="0" fillId="0" borderId="5" xfId="0" applyNumberFormat="1" applyBorder="1" applyAlignment="1">
      <alignment horizontal="center" vertical="center"/>
    </xf>
    <xf numFmtId="0" fontId="3" fillId="0" borderId="5" xfId="0" applyFont="1" applyBorder="1"/>
    <xf numFmtId="2" fontId="0" fillId="0" borderId="5" xfId="0" applyNumberFormat="1" applyFont="1" applyBorder="1" applyAlignment="1">
      <alignment horizontal="center"/>
    </xf>
    <xf numFmtId="2" fontId="5" fillId="0" borderId="0" xfId="0" applyNumberFormat="1" applyFont="1" applyBorder="1" applyAlignment="1">
      <alignment horizontal="center"/>
    </xf>
    <xf numFmtId="0" fontId="5" fillId="0" borderId="0" xfId="0" applyFont="1" applyBorder="1" applyAlignment="1">
      <alignment horizontal="center"/>
    </xf>
    <xf numFmtId="2" fontId="0" fillId="0" borderId="0" xfId="0" applyNumberFormat="1" applyFont="1" applyBorder="1"/>
    <xf numFmtId="164" fontId="0" fillId="0" borderId="0" xfId="0" applyNumberFormat="1" applyFont="1" applyBorder="1"/>
    <xf numFmtId="0" fontId="0" fillId="0" borderId="0" xfId="0" applyBorder="1" applyAlignment="1">
      <alignment horizontal="center"/>
    </xf>
    <xf numFmtId="0" fontId="0" fillId="0" borderId="8" xfId="0" applyBorder="1"/>
    <xf numFmtId="2" fontId="0" fillId="0" borderId="8" xfId="0" applyNumberFormat="1" applyBorder="1"/>
    <xf numFmtId="9" fontId="0" fillId="0" borderId="8" xfId="1" applyFont="1" applyBorder="1"/>
    <xf numFmtId="0" fontId="23" fillId="0" borderId="8" xfId="0" applyFont="1" applyBorder="1"/>
    <xf numFmtId="165" fontId="0" fillId="0" borderId="8" xfId="0" applyNumberFormat="1" applyBorder="1"/>
    <xf numFmtId="1" fontId="0" fillId="0" borderId="8" xfId="0" applyNumberFormat="1" applyBorder="1"/>
    <xf numFmtId="43" fontId="0" fillId="0" borderId="8" xfId="2" applyFont="1" applyBorder="1"/>
    <xf numFmtId="168" fontId="38" fillId="3" borderId="1" xfId="2" applyNumberFormat="1" applyFont="1" applyFill="1" applyBorder="1"/>
    <xf numFmtId="171" fontId="48" fillId="14" borderId="5" xfId="53" applyNumberFormat="1" applyFont="1" applyFill="1" applyBorder="1" applyAlignment="1">
      <alignment horizontal="center" vertical="center" wrapText="1"/>
    </xf>
    <xf numFmtId="0" fontId="0" fillId="10" borderId="0" xfId="0" applyFill="1" applyBorder="1" applyAlignment="1">
      <alignment horizontal="right"/>
    </xf>
    <xf numFmtId="168" fontId="38" fillId="3" borderId="2" xfId="2" applyNumberFormat="1" applyFont="1" applyFill="1" applyBorder="1"/>
    <xf numFmtId="168" fontId="38" fillId="3" borderId="0" xfId="2" applyNumberFormat="1" applyFont="1" applyFill="1" applyBorder="1"/>
    <xf numFmtId="0" fontId="38" fillId="10" borderId="1" xfId="0" applyFont="1" applyFill="1" applyBorder="1"/>
    <xf numFmtId="0" fontId="38" fillId="10" borderId="2" xfId="0" applyFont="1" applyFill="1" applyBorder="1"/>
    <xf numFmtId="171" fontId="48" fillId="0" borderId="0" xfId="53" applyNumberFormat="1" applyFont="1" applyFill="1" applyBorder="1" applyAlignment="1">
      <alignment horizontal="center" vertical="center" wrapText="1"/>
    </xf>
    <xf numFmtId="0" fontId="0" fillId="0" borderId="0" xfId="0" applyFill="1" applyBorder="1" applyAlignment="1">
      <alignment horizontal="center"/>
    </xf>
    <xf numFmtId="0" fontId="0" fillId="0" borderId="0" xfId="0" applyFill="1" applyBorder="1" applyAlignment="1">
      <alignment horizontal="right"/>
    </xf>
    <xf numFmtId="168" fontId="38" fillId="0" borderId="0" xfId="2" applyNumberFormat="1" applyFont="1" applyFill="1" applyBorder="1"/>
    <xf numFmtId="0" fontId="38" fillId="0" borderId="0" xfId="0" applyFont="1" applyFill="1" applyBorder="1"/>
    <xf numFmtId="0" fontId="39" fillId="0" borderId="0" xfId="0" applyFont="1" applyFill="1" applyBorder="1" applyAlignment="1">
      <alignment horizontal="left"/>
    </xf>
    <xf numFmtId="0" fontId="38" fillId="0" borderId="0" xfId="0" applyFont="1" applyFill="1" applyBorder="1" applyAlignment="1">
      <alignment horizontal="right"/>
    </xf>
    <xf numFmtId="0" fontId="0" fillId="0" borderId="0" xfId="0" applyFill="1" applyBorder="1" applyAlignment="1">
      <alignment horizontal="center" wrapText="1"/>
    </xf>
    <xf numFmtId="168" fontId="0" fillId="0" borderId="0" xfId="2" applyNumberFormat="1" applyFont="1" applyBorder="1"/>
    <xf numFmtId="167" fontId="0" fillId="0" borderId="0" xfId="2" applyNumberFormat="1" applyFont="1" applyFill="1" applyBorder="1"/>
    <xf numFmtId="167" fontId="0" fillId="0" borderId="0" xfId="2" applyNumberFormat="1" applyFont="1" applyBorder="1"/>
    <xf numFmtId="167" fontId="38" fillId="0" borderId="0" xfId="2" applyNumberFormat="1" applyFont="1" applyFill="1" applyBorder="1"/>
    <xf numFmtId="0" fontId="7" fillId="15" borderId="0" xfId="0" applyFont="1" applyFill="1" applyBorder="1"/>
    <xf numFmtId="0" fontId="0" fillId="15" borderId="0" xfId="0" applyFill="1" applyBorder="1"/>
    <xf numFmtId="167" fontId="38" fillId="15" borderId="0" xfId="2" applyNumberFormat="1" applyFont="1" applyFill="1" applyBorder="1"/>
    <xf numFmtId="43" fontId="0" fillId="15" borderId="0" xfId="2" applyNumberFormat="1" applyFont="1" applyFill="1" applyBorder="1"/>
    <xf numFmtId="0" fontId="0" fillId="15" borderId="0" xfId="0" applyFill="1" applyBorder="1" applyAlignment="1">
      <alignment horizontal="center" wrapText="1"/>
    </xf>
    <xf numFmtId="168" fontId="0" fillId="15" borderId="0" xfId="0" applyNumberFormat="1" applyFill="1" applyBorder="1"/>
    <xf numFmtId="168" fontId="38" fillId="15" borderId="0" xfId="2" applyNumberFormat="1" applyFont="1" applyFill="1" applyBorder="1"/>
    <xf numFmtId="167" fontId="23" fillId="0" borderId="0" xfId="2" applyNumberFormat="1" applyFont="1" applyFill="1"/>
    <xf numFmtId="167" fontId="23" fillId="0" borderId="0" xfId="0" applyNumberFormat="1" applyFont="1" applyFill="1"/>
    <xf numFmtId="0" fontId="49" fillId="16" borderId="0" xfId="0" applyFont="1" applyFill="1"/>
    <xf numFmtId="43" fontId="49" fillId="16" borderId="8" xfId="2" applyFont="1" applyFill="1" applyBorder="1"/>
    <xf numFmtId="0" fontId="49" fillId="16" borderId="8" xfId="0" applyFont="1" applyFill="1" applyBorder="1"/>
    <xf numFmtId="2" fontId="49" fillId="16" borderId="8" xfId="0" applyNumberFormat="1" applyFont="1" applyFill="1" applyBorder="1"/>
    <xf numFmtId="0" fontId="49" fillId="16" borderId="9" xfId="0" applyFont="1" applyFill="1" applyBorder="1"/>
    <xf numFmtId="0" fontId="22" fillId="0" borderId="0" xfId="0" applyFont="1" applyFill="1" applyBorder="1" applyAlignment="1">
      <alignment wrapText="1"/>
    </xf>
    <xf numFmtId="0" fontId="38" fillId="0" borderId="0" xfId="0" applyFont="1"/>
    <xf numFmtId="165" fontId="0" fillId="0" borderId="0" xfId="0" applyNumberFormat="1"/>
    <xf numFmtId="2" fontId="1" fillId="0" borderId="3" xfId="0" applyNumberFormat="1" applyFont="1" applyFill="1" applyBorder="1" applyAlignment="1">
      <alignment horizontal="center" wrapText="1"/>
    </xf>
    <xf numFmtId="164" fontId="4" fillId="0" borderId="0" xfId="0" applyNumberFormat="1" applyFont="1" applyFill="1"/>
    <xf numFmtId="2" fontId="49" fillId="16" borderId="0" xfId="0" applyNumberFormat="1" applyFont="1" applyFill="1"/>
    <xf numFmtId="9" fontId="0" fillId="0" borderId="0" xfId="0" applyNumberFormat="1"/>
    <xf numFmtId="9" fontId="0" fillId="0" borderId="0" xfId="1" applyNumberFormat="1" applyFont="1"/>
    <xf numFmtId="0" fontId="1" fillId="0" borderId="0" xfId="0" applyFont="1" applyFill="1" applyBorder="1"/>
    <xf numFmtId="0" fontId="5" fillId="0" borderId="0" xfId="0" applyFont="1" applyFill="1" applyBorder="1"/>
    <xf numFmtId="10" fontId="0" fillId="0" borderId="0" xfId="1" applyNumberFormat="1" applyFont="1" applyBorder="1"/>
    <xf numFmtId="0" fontId="14" fillId="0" borderId="0" xfId="0" applyFont="1" applyFill="1" applyBorder="1"/>
    <xf numFmtId="10" fontId="14" fillId="0" borderId="0" xfId="1" applyNumberFormat="1" applyFont="1" applyFill="1" applyBorder="1"/>
    <xf numFmtId="2" fontId="14" fillId="0" borderId="0" xfId="0" applyNumberFormat="1" applyFont="1" applyFill="1" applyBorder="1"/>
    <xf numFmtId="2" fontId="0" fillId="0" borderId="5" xfId="0" applyNumberFormat="1" applyBorder="1" applyAlignment="1">
      <alignment horizontal="right"/>
    </xf>
    <xf numFmtId="1" fontId="14" fillId="0" borderId="0" xfId="0" applyNumberFormat="1" applyFont="1" applyBorder="1" applyAlignment="1">
      <alignment horizontal="center"/>
    </xf>
    <xf numFmtId="0" fontId="0" fillId="0" borderId="0" xfId="0" applyBorder="1" applyAlignment="1">
      <alignment horizontal="center"/>
    </xf>
    <xf numFmtId="0" fontId="0" fillId="0" borderId="0" xfId="0" applyBorder="1" applyAlignment="1">
      <alignment horizontal="center"/>
    </xf>
    <xf numFmtId="0" fontId="1" fillId="0" borderId="0" xfId="0" applyFont="1" applyFill="1" applyBorder="1" applyAlignment="1"/>
    <xf numFmtId="2" fontId="0" fillId="0" borderId="8" xfId="1" applyNumberFormat="1" applyFont="1" applyBorder="1"/>
    <xf numFmtId="0" fontId="23" fillId="8" borderId="0" xfId="0" applyFont="1" applyFill="1" applyAlignment="1">
      <alignment wrapText="1"/>
    </xf>
    <xf numFmtId="0" fontId="23" fillId="8" borderId="0" xfId="0" applyFont="1" applyFill="1" applyAlignment="1">
      <alignment horizontal="center" vertical="center"/>
    </xf>
    <xf numFmtId="172" fontId="0" fillId="0" borderId="8" xfId="2" applyNumberFormat="1" applyFont="1" applyBorder="1"/>
    <xf numFmtId="2" fontId="0" fillId="0" borderId="0" xfId="0" applyNumberFormat="1" applyBorder="1" applyAlignment="1">
      <alignment wrapText="1"/>
    </xf>
    <xf numFmtId="9" fontId="0" fillId="8" borderId="8" xfId="1" applyFont="1" applyFill="1" applyBorder="1"/>
    <xf numFmtId="9" fontId="0" fillId="8" borderId="0" xfId="1" applyFont="1" applyFill="1"/>
    <xf numFmtId="0" fontId="23" fillId="0" borderId="0" xfId="0" applyFont="1" applyFill="1" applyAlignment="1">
      <alignment vertical="center"/>
    </xf>
    <xf numFmtId="2" fontId="38" fillId="0" borderId="5" xfId="0" applyNumberFormat="1" applyFont="1" applyBorder="1" applyAlignment="1">
      <alignment horizontal="center" vertical="center" wrapText="1"/>
    </xf>
    <xf numFmtId="165" fontId="23" fillId="0" borderId="0" xfId="0" applyNumberFormat="1" applyFont="1" applyFill="1" applyBorder="1"/>
    <xf numFmtId="1" fontId="23" fillId="0" borderId="0" xfId="1" applyNumberFormat="1" applyFont="1" applyFill="1" applyBorder="1"/>
    <xf numFmtId="2" fontId="8" fillId="0" borderId="0" xfId="0" applyNumberFormat="1" applyFont="1" applyFill="1" applyBorder="1" applyAlignment="1">
      <alignment horizontal="right" wrapText="1"/>
    </xf>
    <xf numFmtId="164" fontId="0" fillId="0" borderId="5" xfId="0" applyNumberFormat="1" applyBorder="1"/>
    <xf numFmtId="0" fontId="1" fillId="0" borderId="5" xfId="0" applyFont="1" applyBorder="1" applyAlignment="1">
      <alignment horizontal="center" vertical="center" wrapText="1"/>
    </xf>
    <xf numFmtId="2" fontId="1" fillId="0" borderId="5" xfId="0" applyNumberFormat="1" applyFont="1" applyBorder="1" applyAlignment="1">
      <alignment horizontal="center" vertical="center" wrapText="1"/>
    </xf>
    <xf numFmtId="2" fontId="0" fillId="0" borderId="5" xfId="0" applyNumberFormat="1" applyBorder="1"/>
    <xf numFmtId="0" fontId="0" fillId="8" borderId="0" xfId="0" applyFill="1" applyAlignment="1">
      <alignment horizontal="center"/>
    </xf>
    <xf numFmtId="0" fontId="0" fillId="16" borderId="0" xfId="0" applyFill="1"/>
    <xf numFmtId="0" fontId="22" fillId="0" borderId="0" xfId="0" applyFont="1" applyAlignment="1">
      <alignment horizontal="center"/>
    </xf>
    <xf numFmtId="0" fontId="49" fillId="0" borderId="0" xfId="0" applyFont="1" applyFill="1"/>
    <xf numFmtId="0" fontId="49" fillId="0" borderId="0" xfId="0" applyFont="1" applyFill="1" applyAlignment="1">
      <alignment horizontal="left"/>
    </xf>
    <xf numFmtId="0" fontId="49" fillId="0" borderId="0" xfId="0" applyFont="1" applyFill="1" applyAlignment="1">
      <alignment horizontal="right"/>
    </xf>
    <xf numFmtId="43" fontId="49" fillId="0" borderId="0" xfId="2" applyFont="1" applyFill="1" applyBorder="1"/>
    <xf numFmtId="2" fontId="49" fillId="0" borderId="0" xfId="0" applyNumberFormat="1" applyFont="1" applyFill="1"/>
    <xf numFmtId="165" fontId="0" fillId="0" borderId="0" xfId="0" applyNumberFormat="1" applyFill="1" applyBorder="1"/>
    <xf numFmtId="0" fontId="54" fillId="0" borderId="0" xfId="0" applyFont="1" applyAlignment="1">
      <alignment horizontal="center"/>
    </xf>
    <xf numFmtId="0" fontId="49" fillId="8" borderId="0" xfId="0" applyFont="1" applyFill="1"/>
    <xf numFmtId="43" fontId="49" fillId="8" borderId="0" xfId="2" applyFont="1" applyFill="1" applyBorder="1"/>
    <xf numFmtId="0" fontId="0" fillId="8" borderId="0" xfId="0" applyFill="1" applyAlignment="1">
      <alignment horizontal="right"/>
    </xf>
    <xf numFmtId="0" fontId="3" fillId="8" borderId="0" xfId="0" applyFont="1" applyFill="1" applyBorder="1"/>
    <xf numFmtId="43" fontId="0" fillId="8" borderId="8" xfId="2" applyFont="1" applyFill="1" applyBorder="1"/>
    <xf numFmtId="0" fontId="0" fillId="8" borderId="0" xfId="0" applyFill="1" applyBorder="1" applyAlignment="1">
      <alignment horizontal="center"/>
    </xf>
    <xf numFmtId="0" fontId="0" fillId="8" borderId="0" xfId="0" applyFont="1" applyFill="1" applyBorder="1"/>
    <xf numFmtId="43" fontId="0" fillId="8" borderId="0" xfId="0" applyNumberFormat="1" applyFill="1"/>
    <xf numFmtId="2" fontId="0" fillId="8" borderId="0" xfId="0" applyNumberFormat="1" applyFill="1"/>
    <xf numFmtId="9" fontId="0" fillId="8" borderId="0" xfId="1" applyFont="1" applyFill="1" applyAlignment="1">
      <alignment horizontal="center"/>
    </xf>
    <xf numFmtId="0" fontId="55" fillId="0" borderId="0" xfId="0" applyFont="1"/>
    <xf numFmtId="0" fontId="56" fillId="8" borderId="0" xfId="0" applyFont="1" applyFill="1"/>
    <xf numFmtId="0" fontId="56" fillId="0" borderId="0" xfId="0" applyFont="1" applyFill="1"/>
    <xf numFmtId="0" fontId="56" fillId="16" borderId="0" xfId="0" applyFont="1" applyFill="1"/>
    <xf numFmtId="0" fontId="1" fillId="16" borderId="0" xfId="0" applyFont="1" applyFill="1"/>
    <xf numFmtId="0" fontId="56" fillId="16" borderId="0" xfId="0" applyFont="1" applyFill="1" applyAlignment="1">
      <alignment horizontal="left"/>
    </xf>
    <xf numFmtId="0" fontId="53" fillId="0" borderId="0" xfId="0" applyFont="1" applyFill="1"/>
    <xf numFmtId="0" fontId="3" fillId="0" borderId="0" xfId="0" applyFont="1" applyAlignment="1">
      <alignment horizontal="right"/>
    </xf>
    <xf numFmtId="0" fontId="0" fillId="0" borderId="0" xfId="0" applyBorder="1" applyAlignment="1">
      <alignment horizontal="left"/>
    </xf>
    <xf numFmtId="164" fontId="0" fillId="0" borderId="0" xfId="0" applyNumberFormat="1" applyBorder="1" applyAlignment="1">
      <alignment horizontal="left" vertical="center"/>
    </xf>
    <xf numFmtId="164" fontId="0" fillId="0" borderId="0" xfId="0" applyNumberFormat="1" applyBorder="1" applyAlignment="1">
      <alignment horizontal="left"/>
    </xf>
    <xf numFmtId="1" fontId="0" fillId="0" borderId="0" xfId="0" applyNumberFormat="1" applyFont="1"/>
    <xf numFmtId="1" fontId="0" fillId="0" borderId="0" xfId="0" applyNumberFormat="1" applyFont="1" applyFill="1"/>
    <xf numFmtId="1" fontId="1" fillId="0" borderId="0" xfId="0" applyNumberFormat="1" applyFont="1" applyFill="1"/>
    <xf numFmtId="0" fontId="23" fillId="0" borderId="0" xfId="0" applyFont="1" applyAlignment="1">
      <alignment horizontal="right"/>
    </xf>
    <xf numFmtId="164" fontId="0" fillId="0" borderId="5" xfId="0" applyNumberFormat="1" applyFill="1" applyBorder="1" applyAlignment="1">
      <alignment horizontal="right"/>
    </xf>
    <xf numFmtId="164" fontId="0" fillId="0" borderId="5" xfId="0" applyNumberFormat="1" applyFill="1" applyBorder="1" applyAlignment="1">
      <alignment horizontal="center" vertical="center"/>
    </xf>
    <xf numFmtId="0" fontId="61" fillId="0" borderId="5" xfId="0" applyFont="1" applyFill="1" applyBorder="1"/>
    <xf numFmtId="0" fontId="61" fillId="0" borderId="0" xfId="0" applyFont="1" applyBorder="1"/>
    <xf numFmtId="0" fontId="60" fillId="0" borderId="0" xfId="0" applyFont="1" applyFill="1"/>
    <xf numFmtId="0" fontId="60" fillId="0" borderId="5" xfId="0" applyFont="1" applyFill="1" applyBorder="1"/>
    <xf numFmtId="0" fontId="18" fillId="0" borderId="5" xfId="0" applyFont="1" applyFill="1" applyBorder="1"/>
    <xf numFmtId="0" fontId="61" fillId="0" borderId="0" xfId="0" applyFont="1" applyFill="1" applyBorder="1"/>
    <xf numFmtId="0" fontId="60" fillId="0" borderId="0" xfId="0" applyFont="1" applyBorder="1"/>
    <xf numFmtId="0" fontId="62" fillId="0" borderId="0" xfId="0" applyFont="1" applyBorder="1"/>
    <xf numFmtId="0" fontId="56" fillId="16" borderId="0" xfId="0" applyFont="1" applyFill="1" applyAlignment="1">
      <alignment horizontal="center"/>
    </xf>
    <xf numFmtId="0" fontId="63" fillId="0" borderId="0" xfId="0" applyFont="1" applyAlignment="1">
      <alignment horizontal="left" vertical="center" indent="1"/>
    </xf>
    <xf numFmtId="0" fontId="0" fillId="4" borderId="0" xfId="0" applyFont="1" applyFill="1" applyBorder="1"/>
    <xf numFmtId="0" fontId="23" fillId="4" borderId="0" xfId="0" applyFont="1" applyFill="1" applyBorder="1"/>
    <xf numFmtId="0" fontId="0" fillId="18" borderId="0" xfId="0" applyFill="1"/>
    <xf numFmtId="0" fontId="0" fillId="0" borderId="0" xfId="0" applyFill="1" applyAlignment="1">
      <alignment horizontal="center" vertical="center"/>
    </xf>
    <xf numFmtId="0" fontId="0" fillId="0" borderId="0" xfId="0" applyFill="1" applyAlignment="1">
      <alignment horizontal="right" vertical="center"/>
    </xf>
    <xf numFmtId="2" fontId="0" fillId="0" borderId="0" xfId="0" applyNumberFormat="1" applyAlignment="1">
      <alignment horizontal="right"/>
    </xf>
    <xf numFmtId="0" fontId="0" fillId="18" borderId="0" xfId="0" applyFill="1" applyAlignment="1">
      <alignment horizontal="right"/>
    </xf>
    <xf numFmtId="0" fontId="0" fillId="18" borderId="0" xfId="0" applyFill="1" applyAlignment="1">
      <alignment horizontal="center"/>
    </xf>
    <xf numFmtId="164" fontId="42" fillId="0" borderId="0" xfId="0" applyNumberFormat="1" applyFont="1" applyBorder="1" applyAlignment="1">
      <alignment horizontal="center" vertical="center" wrapText="1"/>
    </xf>
    <xf numFmtId="2" fontId="7" fillId="0" borderId="0" xfId="0" applyNumberFormat="1" applyFont="1" applyBorder="1" applyAlignment="1">
      <alignment horizontal="right"/>
    </xf>
    <xf numFmtId="9" fontId="0" fillId="0" borderId="0" xfId="1" applyFont="1" applyBorder="1" applyAlignment="1">
      <alignment horizontal="right"/>
    </xf>
    <xf numFmtId="0" fontId="0" fillId="0" borderId="0" xfId="0" applyFill="1" applyAlignment="1">
      <alignment horizontal="center" vertical="center"/>
    </xf>
    <xf numFmtId="0" fontId="1" fillId="19" borderId="0" xfId="0" applyFont="1" applyFill="1" applyBorder="1" applyAlignment="1">
      <alignment horizontal="center" vertical="center"/>
    </xf>
    <xf numFmtId="0" fontId="1" fillId="19" borderId="0" xfId="0" applyFont="1" applyFill="1" applyBorder="1" applyAlignment="1">
      <alignment horizontal="center" vertical="center" wrapText="1"/>
    </xf>
    <xf numFmtId="2" fontId="0" fillId="19" borderId="0" xfId="0" applyNumberFormat="1" applyFill="1" applyBorder="1" applyAlignment="1">
      <alignment horizontal="center" vertical="center"/>
    </xf>
    <xf numFmtId="1" fontId="0" fillId="0" borderId="0" xfId="0" applyNumberFormat="1" applyFill="1" applyBorder="1" applyAlignment="1">
      <alignment vertical="center"/>
    </xf>
    <xf numFmtId="1" fontId="7" fillId="0" borderId="0" xfId="0" applyNumberFormat="1" applyFont="1" applyFill="1" applyBorder="1" applyAlignment="1">
      <alignment horizontal="center" vertical="center"/>
    </xf>
    <xf numFmtId="0" fontId="7" fillId="0" borderId="0" xfId="0" applyFont="1" applyFill="1" applyBorder="1" applyAlignment="1">
      <alignment horizontal="center" vertical="center"/>
    </xf>
    <xf numFmtId="2" fontId="7" fillId="0" borderId="0" xfId="0" applyNumberFormat="1" applyFont="1" applyFill="1" applyBorder="1" applyAlignment="1">
      <alignment horizontal="right" vertical="center"/>
    </xf>
    <xf numFmtId="0" fontId="7" fillId="0" borderId="0" xfId="0" applyFont="1" applyFill="1" applyBorder="1" applyAlignment="1">
      <alignment horizontal="right" vertical="center"/>
    </xf>
    <xf numFmtId="0" fontId="1" fillId="5" borderId="0" xfId="0" applyFont="1" applyFill="1" applyBorder="1" applyAlignment="1">
      <alignment horizontal="center" vertical="center" wrapText="1"/>
    </xf>
    <xf numFmtId="0" fontId="64" fillId="0" borderId="0" xfId="0" applyFont="1" applyAlignment="1">
      <alignment horizontal="center"/>
    </xf>
    <xf numFmtId="2" fontId="42" fillId="0" borderId="0" xfId="0" applyNumberFormat="1" applyFont="1" applyFill="1" applyBorder="1" applyAlignment="1">
      <alignment vertical="center" wrapText="1"/>
    </xf>
    <xf numFmtId="166" fontId="0" fillId="0" borderId="0" xfId="1" applyNumberFormat="1" applyFont="1" applyFill="1" applyBorder="1" applyAlignment="1">
      <alignment horizontal="right"/>
    </xf>
    <xf numFmtId="164" fontId="0" fillId="0" borderId="0" xfId="0" applyNumberFormat="1" applyFont="1" applyFill="1" applyBorder="1" applyAlignment="1">
      <alignment horizontal="right"/>
    </xf>
    <xf numFmtId="2" fontId="65" fillId="0" borderId="0" xfId="0" applyNumberFormat="1" applyFont="1" applyFill="1" applyBorder="1" applyAlignment="1">
      <alignment vertical="center" wrapText="1"/>
    </xf>
    <xf numFmtId="2" fontId="0" fillId="0" borderId="0" xfId="0" applyNumberFormat="1" applyFont="1" applyBorder="1" applyAlignment="1">
      <alignment horizontal="right" vertical="center" wrapText="1"/>
    </xf>
    <xf numFmtId="0" fontId="0" fillId="8" borderId="0" xfId="0" applyFill="1" applyBorder="1" applyAlignment="1"/>
    <xf numFmtId="164" fontId="1" fillId="0" borderId="0" xfId="0" applyNumberFormat="1" applyFont="1" applyFill="1"/>
    <xf numFmtId="0" fontId="0" fillId="0" borderId="0" xfId="0" applyAlignment="1">
      <alignment horizontal="center" vertical="center" wrapText="1"/>
    </xf>
    <xf numFmtId="0" fontId="0" fillId="0" borderId="0" xfId="0" applyFill="1" applyBorder="1" applyAlignment="1">
      <alignment vertical="center"/>
    </xf>
    <xf numFmtId="0" fontId="0" fillId="0" borderId="0" xfId="0" applyFill="1" applyAlignment="1">
      <alignment horizontal="center" vertical="center" wrapText="1"/>
    </xf>
    <xf numFmtId="164" fontId="0" fillId="0" borderId="0" xfId="0" applyNumberFormat="1" applyFill="1" applyBorder="1"/>
    <xf numFmtId="2" fontId="42" fillId="0" borderId="0" xfId="0" applyNumberFormat="1" applyFont="1" applyBorder="1" applyAlignment="1">
      <alignment horizontal="center" vertical="center" wrapText="1"/>
    </xf>
    <xf numFmtId="0" fontId="0" fillId="0" borderId="0" xfId="0" applyFill="1" applyBorder="1" applyAlignment="1">
      <alignment horizontal="center" vertical="center"/>
    </xf>
    <xf numFmtId="1" fontId="1" fillId="0" borderId="0" xfId="0" applyNumberFormat="1" applyFont="1" applyFill="1" applyBorder="1"/>
    <xf numFmtId="9" fontId="0" fillId="0" borderId="0" xfId="1" applyFont="1" applyFill="1" applyBorder="1"/>
    <xf numFmtId="1" fontId="0" fillId="0" borderId="0" xfId="0" applyNumberFormat="1" applyFont="1" applyFill="1" applyBorder="1"/>
    <xf numFmtId="1" fontId="3" fillId="0" borderId="0" xfId="0" applyNumberFormat="1" applyFont="1" applyFill="1" applyBorder="1"/>
    <xf numFmtId="0" fontId="18" fillId="0" borderId="0" xfId="0" applyFont="1" applyFill="1" applyBorder="1" applyAlignment="1">
      <alignment horizontal="center" wrapText="1"/>
    </xf>
    <xf numFmtId="1" fontId="14" fillId="0" borderId="0" xfId="0" applyNumberFormat="1" applyFont="1" applyFill="1" applyBorder="1"/>
    <xf numFmtId="9" fontId="19" fillId="0" borderId="0" xfId="1" applyFont="1" applyFill="1" applyBorder="1"/>
    <xf numFmtId="0" fontId="18" fillId="0" borderId="0" xfId="0" applyFont="1" applyFill="1" applyBorder="1"/>
    <xf numFmtId="164" fontId="19" fillId="0" borderId="0" xfId="0" applyNumberFormat="1" applyFont="1" applyFill="1" applyBorder="1"/>
    <xf numFmtId="164" fontId="18" fillId="0" borderId="0" xfId="0" applyNumberFormat="1" applyFont="1" applyFill="1" applyBorder="1"/>
    <xf numFmtId="9" fontId="18" fillId="0" borderId="0" xfId="1" applyFont="1" applyFill="1" applyBorder="1"/>
    <xf numFmtId="0" fontId="19" fillId="0" borderId="0" xfId="0" applyFont="1" applyFill="1" applyBorder="1"/>
    <xf numFmtId="0" fontId="0" fillId="0" borderId="0" xfId="0" applyFont="1" applyFill="1" applyBorder="1" applyAlignment="1">
      <alignment vertical="center" textRotation="90"/>
    </xf>
    <xf numFmtId="0" fontId="0" fillId="0" borderId="0" xfId="0" applyFill="1" applyBorder="1" applyAlignment="1">
      <alignment vertical="center" textRotation="90"/>
    </xf>
    <xf numFmtId="0" fontId="66" fillId="0" borderId="0" xfId="0" applyFont="1" applyFill="1" applyAlignment="1">
      <alignment horizontal="right"/>
    </xf>
    <xf numFmtId="165" fontId="17" fillId="0" borderId="0" xfId="0" applyNumberFormat="1" applyFont="1" applyFill="1"/>
    <xf numFmtId="164" fontId="0" fillId="11" borderId="0" xfId="0" applyNumberFormat="1" applyFont="1" applyFill="1" applyBorder="1"/>
    <xf numFmtId="164" fontId="0" fillId="19" borderId="0" xfId="0" applyNumberFormat="1" applyFill="1" applyBorder="1"/>
    <xf numFmtId="0" fontId="17" fillId="18" borderId="0" xfId="0" applyFont="1" applyFill="1"/>
    <xf numFmtId="0" fontId="38" fillId="18" borderId="0" xfId="0" applyFont="1" applyFill="1"/>
    <xf numFmtId="10" fontId="0" fillId="0" borderId="0" xfId="1" applyNumberFormat="1" applyFont="1"/>
    <xf numFmtId="43" fontId="2" fillId="0" borderId="8" xfId="2" applyFont="1" applyFill="1" applyBorder="1"/>
    <xf numFmtId="170" fontId="2" fillId="0" borderId="8" xfId="2" applyNumberFormat="1" applyFont="1" applyFill="1" applyBorder="1"/>
    <xf numFmtId="2" fontId="23" fillId="0" borderId="0" xfId="0" applyNumberFormat="1" applyFont="1" applyFill="1" applyAlignment="1">
      <alignment horizontal="right"/>
    </xf>
    <xf numFmtId="164" fontId="23" fillId="0" borderId="0" xfId="0" applyNumberFormat="1" applyFont="1" applyFill="1" applyAlignment="1">
      <alignment horizontal="right"/>
    </xf>
    <xf numFmtId="0" fontId="54" fillId="9" borderId="0" xfId="0" applyFont="1" applyFill="1" applyBorder="1" applyAlignment="1">
      <alignment wrapText="1"/>
    </xf>
    <xf numFmtId="0" fontId="54" fillId="4" borderId="0" xfId="0" applyFont="1" applyFill="1" applyBorder="1" applyAlignment="1">
      <alignment wrapText="1"/>
    </xf>
    <xf numFmtId="0" fontId="7" fillId="8" borderId="0" xfId="0" applyFont="1" applyFill="1"/>
    <xf numFmtId="0" fontId="8" fillId="8" borderId="0" xfId="0" applyFont="1" applyFill="1" applyAlignment="1">
      <alignment horizontal="right"/>
    </xf>
    <xf numFmtId="0" fontId="7" fillId="8" borderId="0" xfId="0" applyFont="1" applyFill="1" applyAlignment="1">
      <alignment horizontal="right"/>
    </xf>
    <xf numFmtId="43" fontId="7" fillId="8" borderId="8" xfId="2" applyFont="1" applyFill="1" applyBorder="1"/>
    <xf numFmtId="43" fontId="7" fillId="8" borderId="9" xfId="2" applyFont="1" applyFill="1" applyBorder="1"/>
    <xf numFmtId="43" fontId="7" fillId="8" borderId="14" xfId="2" applyFont="1" applyFill="1" applyBorder="1"/>
    <xf numFmtId="43" fontId="7" fillId="8" borderId="0" xfId="2" applyFont="1" applyFill="1" applyBorder="1"/>
    <xf numFmtId="43" fontId="7" fillId="8" borderId="15" xfId="2" applyFont="1" applyFill="1" applyBorder="1"/>
    <xf numFmtId="43" fontId="7" fillId="8" borderId="13" xfId="2" applyFont="1" applyFill="1" applyBorder="1"/>
    <xf numFmtId="43" fontId="8" fillId="8" borderId="12" xfId="0" applyNumberFormat="1" applyFont="1" applyFill="1" applyBorder="1"/>
    <xf numFmtId="165" fontId="0" fillId="0" borderId="0" xfId="0" applyNumberFormat="1" applyBorder="1" applyAlignment="1">
      <alignment horizontal="right"/>
    </xf>
    <xf numFmtId="43" fontId="0" fillId="8" borderId="0" xfId="0" applyNumberFormat="1" applyFill="1" applyBorder="1"/>
    <xf numFmtId="43" fontId="0" fillId="0" borderId="0" xfId="0" applyNumberFormat="1" applyFill="1"/>
    <xf numFmtId="166" fontId="0" fillId="0" borderId="0" xfId="1" applyNumberFormat="1" applyFont="1" applyFill="1"/>
    <xf numFmtId="175" fontId="0" fillId="0" borderId="0" xfId="1" applyNumberFormat="1" applyFont="1" applyFill="1"/>
    <xf numFmtId="164" fontId="7" fillId="0" borderId="0" xfId="0" applyNumberFormat="1" applyFont="1" applyFill="1"/>
    <xf numFmtId="0" fontId="8" fillId="5" borderId="0" xfId="0" applyFont="1" applyFill="1" applyAlignment="1">
      <alignment horizontal="center"/>
    </xf>
    <xf numFmtId="0" fontId="8" fillId="5" borderId="0" xfId="0" applyFont="1" applyFill="1" applyAlignment="1">
      <alignment horizontal="center" vertical="center"/>
    </xf>
    <xf numFmtId="0" fontId="33" fillId="0" borderId="0" xfId="0" applyFont="1" applyFill="1" applyBorder="1"/>
    <xf numFmtId="167" fontId="33" fillId="0" borderId="0" xfId="2" applyNumberFormat="1" applyFont="1" applyFill="1" applyBorder="1"/>
    <xf numFmtId="0" fontId="4" fillId="0" borderId="0" xfId="0" applyFont="1" applyFill="1" applyBorder="1" applyAlignment="1">
      <alignment horizontal="center" vertical="center" wrapText="1"/>
    </xf>
    <xf numFmtId="0" fontId="0" fillId="0" borderId="0" xfId="0" applyFill="1" applyAlignment="1">
      <alignment vertical="center"/>
    </xf>
    <xf numFmtId="0" fontId="52" fillId="0" borderId="0" xfId="0" applyFont="1" applyFill="1" applyAlignment="1">
      <alignment vertical="center"/>
    </xf>
    <xf numFmtId="0" fontId="52" fillId="0" borderId="0" xfId="0" applyFont="1" applyFill="1" applyAlignment="1">
      <alignment horizontal="right" vertical="center"/>
    </xf>
    <xf numFmtId="0" fontId="67" fillId="0" borderId="0" xfId="0" applyFont="1" applyFill="1" applyAlignment="1">
      <alignment vertical="center"/>
    </xf>
    <xf numFmtId="0" fontId="67" fillId="0" borderId="0" xfId="0" applyFont="1" applyFill="1" applyAlignment="1">
      <alignment horizontal="right" vertical="center"/>
    </xf>
    <xf numFmtId="0" fontId="51" fillId="0" borderId="0" xfId="0" applyFont="1" applyFill="1"/>
    <xf numFmtId="2" fontId="42" fillId="8" borderId="0" xfId="0" applyNumberFormat="1" applyFont="1" applyFill="1" applyBorder="1" applyAlignment="1">
      <alignment horizontal="center" vertical="center" wrapText="1"/>
    </xf>
    <xf numFmtId="2" fontId="42" fillId="8" borderId="0" xfId="0" applyNumberFormat="1" applyFont="1" applyFill="1" applyBorder="1" applyAlignment="1">
      <alignment vertical="center" wrapText="1"/>
    </xf>
    <xf numFmtId="2" fontId="35" fillId="8" borderId="0" xfId="0" applyNumberFormat="1" applyFont="1" applyFill="1" applyBorder="1" applyAlignment="1">
      <alignment horizontal="center"/>
    </xf>
    <xf numFmtId="2" fontId="0" fillId="8" borderId="0" xfId="0" applyNumberFormat="1" applyFont="1" applyFill="1" applyBorder="1" applyAlignment="1">
      <alignment horizontal="right"/>
    </xf>
    <xf numFmtId="2" fontId="0" fillId="8" borderId="0" xfId="0" applyNumberFormat="1" applyFont="1" applyFill="1" applyBorder="1" applyAlignment="1">
      <alignment horizontal="right" wrapText="1"/>
    </xf>
    <xf numFmtId="164" fontId="0" fillId="8" borderId="0" xfId="0" applyNumberFormat="1" applyFont="1" applyFill="1" applyBorder="1" applyAlignment="1">
      <alignment horizontal="center"/>
    </xf>
    <xf numFmtId="0" fontId="32" fillId="8" borderId="0" xfId="0" applyFont="1" applyFill="1" applyBorder="1"/>
    <xf numFmtId="165" fontId="0" fillId="8" borderId="0" xfId="0" applyNumberFormat="1" applyFont="1" applyFill="1" applyBorder="1" applyAlignment="1">
      <alignment horizontal="right"/>
    </xf>
    <xf numFmtId="0" fontId="33" fillId="20" borderId="0" xfId="0" applyFont="1" applyFill="1" applyBorder="1"/>
    <xf numFmtId="0" fontId="32" fillId="20" borderId="0" xfId="0" applyFont="1" applyFill="1" applyBorder="1"/>
    <xf numFmtId="2" fontId="0" fillId="8" borderId="0" xfId="0" applyNumberFormat="1" applyFont="1" applyFill="1" applyBorder="1" applyAlignment="1">
      <alignment horizontal="center"/>
    </xf>
    <xf numFmtId="2" fontId="0" fillId="8" borderId="0" xfId="0" applyNumberFormat="1" applyFont="1" applyFill="1" applyBorder="1" applyAlignment="1">
      <alignment horizontal="left"/>
    </xf>
    <xf numFmtId="6" fontId="0" fillId="8" borderId="0" xfId="0" applyNumberFormat="1" applyFill="1" applyBorder="1"/>
    <xf numFmtId="6" fontId="14" fillId="8" borderId="0" xfId="0" applyNumberFormat="1" applyFont="1" applyFill="1" applyBorder="1"/>
    <xf numFmtId="2" fontId="0" fillId="8" borderId="0" xfId="0" applyNumberFormat="1" applyFill="1" applyBorder="1"/>
    <xf numFmtId="164" fontId="0" fillId="0" borderId="0" xfId="0" applyNumberFormat="1" applyFont="1" applyFill="1" applyBorder="1" applyAlignment="1">
      <alignment horizontal="center"/>
    </xf>
    <xf numFmtId="165" fontId="0" fillId="0" borderId="0" xfId="0" applyNumberFormat="1" applyFont="1" applyFill="1" applyBorder="1" applyAlignment="1">
      <alignment horizontal="right"/>
    </xf>
    <xf numFmtId="2" fontId="7" fillId="8" borderId="0" xfId="0" applyNumberFormat="1" applyFont="1" applyFill="1" applyBorder="1" applyAlignment="1">
      <alignment horizontal="right"/>
    </xf>
    <xf numFmtId="164" fontId="8" fillId="8" borderId="0" xfId="0" applyNumberFormat="1" applyFont="1" applyFill="1" applyBorder="1" applyAlignment="1">
      <alignment horizontal="right"/>
    </xf>
    <xf numFmtId="2" fontId="68" fillId="0" borderId="0" xfId="0" applyNumberFormat="1" applyFont="1" applyBorder="1" applyAlignment="1">
      <alignment horizontal="right" vertical="center" wrapText="1"/>
    </xf>
    <xf numFmtId="2" fontId="7" fillId="0" borderId="0" xfId="0" applyNumberFormat="1" applyFont="1" applyBorder="1" applyAlignment="1">
      <alignment horizontal="right" wrapText="1"/>
    </xf>
    <xf numFmtId="0" fontId="0" fillId="0" borderId="0" xfId="0" applyFill="1" applyBorder="1" applyAlignment="1">
      <alignment horizontal="right" wrapText="1"/>
    </xf>
    <xf numFmtId="1" fontId="0" fillId="0" borderId="0" xfId="0" applyNumberFormat="1" applyFont="1" applyFill="1" applyBorder="1" applyAlignment="1">
      <alignment horizontal="right"/>
    </xf>
    <xf numFmtId="2" fontId="7" fillId="0" borderId="0" xfId="0" applyNumberFormat="1" applyFont="1" applyFill="1" applyBorder="1" applyAlignment="1">
      <alignment horizontal="right"/>
    </xf>
    <xf numFmtId="169" fontId="21" fillId="0" borderId="0" xfId="0" applyNumberFormat="1" applyFont="1" applyFill="1" applyBorder="1" applyAlignment="1">
      <alignment horizontal="right"/>
    </xf>
    <xf numFmtId="2" fontId="20" fillId="0" borderId="0" xfId="0" applyNumberFormat="1" applyFont="1" applyFill="1" applyBorder="1" applyAlignment="1">
      <alignment horizontal="right"/>
    </xf>
    <xf numFmtId="2" fontId="15" fillId="0" borderId="0" xfId="0" applyNumberFormat="1" applyFont="1" applyFill="1" applyBorder="1" applyAlignment="1">
      <alignment horizontal="right"/>
    </xf>
    <xf numFmtId="9" fontId="1" fillId="0" borderId="0" xfId="1" applyFont="1" applyFill="1" applyBorder="1" applyAlignment="1">
      <alignment horizontal="right"/>
    </xf>
    <xf numFmtId="164" fontId="1" fillId="0" borderId="0" xfId="0" applyNumberFormat="1" applyFont="1" applyFill="1" applyBorder="1" applyAlignment="1">
      <alignment horizontal="right"/>
    </xf>
    <xf numFmtId="2" fontId="9" fillId="0" borderId="0" xfId="0" applyNumberFormat="1" applyFont="1" applyFill="1" applyBorder="1" applyAlignment="1">
      <alignment horizontal="right"/>
    </xf>
    <xf numFmtId="0" fontId="59" fillId="0" borderId="0" xfId="0" applyFont="1" applyFill="1"/>
    <xf numFmtId="165" fontId="14" fillId="0" borderId="0" xfId="0" applyNumberFormat="1" applyFont="1" applyFill="1" applyBorder="1"/>
    <xf numFmtId="164" fontId="0" fillId="0" borderId="0" xfId="0" applyNumberFormat="1" applyFont="1" applyFill="1" applyBorder="1"/>
    <xf numFmtId="43" fontId="0" fillId="0" borderId="0" xfId="0" applyNumberFormat="1" applyBorder="1"/>
    <xf numFmtId="9" fontId="0" fillId="0" borderId="0" xfId="1" applyFont="1" applyBorder="1"/>
    <xf numFmtId="0" fontId="38" fillId="0" borderId="0" xfId="0" applyFont="1" applyFill="1" applyBorder="1" applyAlignment="1">
      <alignment horizontal="right" vertical="center"/>
    </xf>
    <xf numFmtId="2" fontId="69" fillId="0" borderId="0" xfId="0" applyNumberFormat="1" applyFont="1" applyFill="1" applyBorder="1"/>
    <xf numFmtId="2" fontId="69" fillId="0" borderId="0" xfId="0" applyNumberFormat="1" applyFont="1" applyBorder="1"/>
    <xf numFmtId="0" fontId="7" fillId="0" borderId="0" xfId="0" applyFont="1" applyFill="1" applyBorder="1" applyAlignment="1">
      <alignment horizontal="center"/>
    </xf>
    <xf numFmtId="0" fontId="8" fillId="0" borderId="0" xfId="0" applyFont="1" applyFill="1" applyBorder="1"/>
    <xf numFmtId="0" fontId="8" fillId="0" borderId="0" xfId="0" applyFont="1" applyFill="1" applyBorder="1" applyAlignment="1">
      <alignment horizontal="center"/>
    </xf>
    <xf numFmtId="0" fontId="0" fillId="0" borderId="0" xfId="0" applyFont="1" applyFill="1" applyBorder="1" applyAlignment="1">
      <alignment horizontal="center" wrapText="1"/>
    </xf>
    <xf numFmtId="0" fontId="7" fillId="0" borderId="0" xfId="0" applyFont="1" applyFill="1" applyBorder="1" applyAlignment="1">
      <alignment horizontal="left" vertical="center"/>
    </xf>
    <xf numFmtId="0" fontId="7" fillId="0" borderId="0" xfId="0" applyFont="1" applyFill="1" applyBorder="1" applyAlignment="1">
      <alignment horizontal="left" vertical="center" wrapText="1"/>
    </xf>
    <xf numFmtId="0" fontId="0" fillId="0" borderId="0" xfId="0" applyFont="1" applyFill="1" applyBorder="1" applyAlignment="1">
      <alignment horizontal="left" vertical="center" wrapText="1"/>
    </xf>
    <xf numFmtId="0" fontId="7" fillId="0" borderId="0" xfId="0" applyFont="1" applyAlignment="1">
      <alignment horizontal="left" vertical="center"/>
    </xf>
    <xf numFmtId="0" fontId="70" fillId="0" borderId="0" xfId="0" applyFont="1" applyFill="1" applyBorder="1" applyAlignment="1">
      <alignment horizontal="left" vertical="center"/>
    </xf>
    <xf numFmtId="0" fontId="70" fillId="0" borderId="0" xfId="0" applyFont="1" applyAlignment="1">
      <alignment horizontal="left" vertical="center"/>
    </xf>
    <xf numFmtId="0" fontId="35" fillId="0" borderId="0" xfId="0" applyFont="1" applyAlignment="1">
      <alignment horizontal="left" vertical="center"/>
    </xf>
    <xf numFmtId="0" fontId="7" fillId="0" borderId="0" xfId="0" applyFont="1" applyAlignment="1">
      <alignment horizontal="left" vertical="center" wrapText="1"/>
    </xf>
    <xf numFmtId="0" fontId="70" fillId="0" borderId="0" xfId="0" applyFont="1"/>
    <xf numFmtId="0" fontId="7" fillId="0" borderId="0" xfId="0" applyFont="1" applyAlignment="1">
      <alignment wrapText="1"/>
    </xf>
    <xf numFmtId="0" fontId="58" fillId="0" borderId="5" xfId="0" applyFont="1" applyBorder="1"/>
    <xf numFmtId="0" fontId="23" fillId="0" borderId="5" xfId="0" applyFont="1" applyBorder="1"/>
    <xf numFmtId="1" fontId="23" fillId="0" borderId="5" xfId="0" applyNumberFormat="1" applyFont="1" applyBorder="1"/>
    <xf numFmtId="0" fontId="0" fillId="21" borderId="5" xfId="0" applyFill="1" applyBorder="1"/>
    <xf numFmtId="0" fontId="58" fillId="21" borderId="5" xfId="0" applyFont="1" applyFill="1" applyBorder="1"/>
    <xf numFmtId="0" fontId="0" fillId="0" borderId="5" xfId="0" applyBorder="1" applyAlignment="1">
      <alignment wrapText="1"/>
    </xf>
    <xf numFmtId="0" fontId="0" fillId="0" borderId="5" xfId="0" applyFill="1" applyBorder="1" applyAlignment="1">
      <alignment horizontal="center" wrapText="1"/>
    </xf>
    <xf numFmtId="0" fontId="0" fillId="0" borderId="5" xfId="0" applyFont="1" applyBorder="1" applyAlignment="1">
      <alignment horizontal="right"/>
    </xf>
    <xf numFmtId="1" fontId="0" fillId="0" borderId="5" xfId="0" applyNumberFormat="1" applyFont="1" applyBorder="1"/>
    <xf numFmtId="1" fontId="0" fillId="0" borderId="5" xfId="0" applyNumberFormat="1" applyFont="1" applyFill="1" applyBorder="1"/>
    <xf numFmtId="164" fontId="1" fillId="0" borderId="5" xfId="0" applyNumberFormat="1" applyFont="1" applyBorder="1"/>
    <xf numFmtId="1" fontId="0" fillId="21" borderId="5" xfId="0" applyNumberFormat="1" applyFont="1" applyFill="1" applyBorder="1"/>
    <xf numFmtId="0" fontId="57" fillId="0" borderId="5" xfId="0" applyFont="1" applyBorder="1"/>
    <xf numFmtId="0" fontId="21" fillId="0" borderId="5" xfId="0" applyFont="1" applyBorder="1"/>
    <xf numFmtId="0" fontId="0" fillId="0" borderId="19" xfId="0" applyFont="1" applyBorder="1" applyAlignment="1">
      <alignment vertical="center"/>
    </xf>
    <xf numFmtId="0" fontId="0" fillId="0" borderId="0" xfId="0" applyBorder="1" applyAlignment="1">
      <alignment vertical="center"/>
    </xf>
    <xf numFmtId="0" fontId="0" fillId="0" borderId="20" xfId="0" applyBorder="1" applyAlignment="1">
      <alignment vertical="center"/>
    </xf>
    <xf numFmtId="0" fontId="0" fillId="0" borderId="19" xfId="0" applyFont="1" applyBorder="1"/>
    <xf numFmtId="0" fontId="0" fillId="0" borderId="20" xfId="0" applyBorder="1"/>
    <xf numFmtId="0" fontId="0" fillId="0" borderId="19" xfId="0" applyFont="1" applyBorder="1" applyAlignment="1">
      <alignment horizontal="center" vertical="center"/>
    </xf>
    <xf numFmtId="0" fontId="0" fillId="0" borderId="20" xfId="0" applyFont="1" applyBorder="1" applyAlignment="1">
      <alignment horizontal="center" vertical="center"/>
    </xf>
    <xf numFmtId="0" fontId="0" fillId="0" borderId="21" xfId="0" applyFont="1" applyBorder="1"/>
    <xf numFmtId="2" fontId="0" fillId="0" borderId="20" xfId="0" applyNumberFormat="1" applyFont="1" applyBorder="1" applyAlignment="1">
      <alignment vertical="center" wrapText="1"/>
    </xf>
    <xf numFmtId="0" fontId="0" fillId="0" borderId="20" xfId="0" applyFont="1" applyBorder="1"/>
    <xf numFmtId="0" fontId="0" fillId="0" borderId="22" xfId="0" applyFont="1" applyFill="1" applyBorder="1"/>
    <xf numFmtId="2" fontId="0" fillId="0" borderId="6" xfId="0" applyNumberFormat="1" applyBorder="1"/>
    <xf numFmtId="2" fontId="1" fillId="0" borderId="23" xfId="0" applyNumberFormat="1" applyFont="1" applyBorder="1"/>
    <xf numFmtId="0" fontId="0" fillId="0" borderId="19" xfId="0" applyFill="1" applyBorder="1" applyAlignment="1">
      <alignment vertical="center"/>
    </xf>
    <xf numFmtId="0" fontId="0" fillId="0" borderId="20" xfId="0" applyFill="1" applyBorder="1" applyAlignment="1">
      <alignment horizontal="center" vertical="center" wrapText="1"/>
    </xf>
    <xf numFmtId="0" fontId="0" fillId="11" borderId="19" xfId="0" applyFont="1" applyFill="1" applyBorder="1"/>
    <xf numFmtId="0" fontId="0" fillId="19" borderId="19" xfId="0" applyFill="1" applyBorder="1"/>
    <xf numFmtId="0" fontId="0" fillId="0" borderId="19" xfId="0" applyFill="1" applyBorder="1"/>
    <xf numFmtId="0" fontId="0" fillId="0" borderId="20" xfId="0" applyFill="1" applyBorder="1"/>
    <xf numFmtId="0" fontId="0" fillId="0" borderId="19" xfId="0" applyFill="1" applyBorder="1" applyAlignment="1">
      <alignment horizontal="right"/>
    </xf>
    <xf numFmtId="0" fontId="0" fillId="0" borderId="22" xfId="0" applyBorder="1"/>
    <xf numFmtId="0" fontId="0" fillId="0" borderId="6" xfId="0" applyBorder="1"/>
    <xf numFmtId="0" fontId="0" fillId="0" borderId="23" xfId="0" applyFill="1" applyBorder="1"/>
    <xf numFmtId="0" fontId="0" fillId="0" borderId="3" xfId="0" applyBorder="1" applyAlignment="1"/>
    <xf numFmtId="0" fontId="0" fillId="0" borderId="4" xfId="0" applyBorder="1" applyAlignment="1"/>
    <xf numFmtId="2" fontId="71" fillId="0" borderId="0" xfId="0" applyNumberFormat="1" applyFont="1" applyBorder="1" applyAlignment="1">
      <alignment horizontal="right"/>
    </xf>
    <xf numFmtId="0" fontId="7" fillId="0" borderId="0" xfId="0" applyFont="1" applyFill="1" applyBorder="1" applyAlignment="1">
      <alignment horizontal="left" wrapText="1"/>
    </xf>
    <xf numFmtId="0" fontId="7" fillId="0" borderId="0" xfId="0" applyFont="1" applyFill="1" applyBorder="1" applyAlignment="1">
      <alignment horizontal="left" vertical="center" wrapText="1"/>
    </xf>
    <xf numFmtId="0" fontId="0" fillId="11" borderId="20" xfId="0" applyFont="1" applyFill="1" applyBorder="1" applyAlignment="1">
      <alignment horizontal="center" vertical="center" wrapText="1"/>
    </xf>
    <xf numFmtId="0" fontId="0" fillId="19" borderId="20" xfId="0" applyFill="1" applyBorder="1" applyAlignment="1">
      <alignment horizontal="center" vertical="center" wrapText="1"/>
    </xf>
    <xf numFmtId="0" fontId="0" fillId="4" borderId="24" xfId="0" applyFill="1" applyBorder="1" applyAlignment="1">
      <alignment horizontal="center"/>
    </xf>
    <xf numFmtId="0" fontId="0" fillId="4" borderId="25" xfId="0" applyFill="1" applyBorder="1" applyAlignment="1">
      <alignment horizontal="center"/>
    </xf>
    <xf numFmtId="0" fontId="0" fillId="4" borderId="26" xfId="0" applyFill="1" applyBorder="1" applyAlignment="1">
      <alignment horizontal="center"/>
    </xf>
    <xf numFmtId="0" fontId="0" fillId="4" borderId="16" xfId="0" applyFill="1" applyBorder="1" applyAlignment="1">
      <alignment horizontal="center"/>
    </xf>
    <xf numFmtId="0" fontId="0" fillId="4" borderId="17" xfId="0" applyFill="1" applyBorder="1" applyAlignment="1">
      <alignment horizontal="center"/>
    </xf>
    <xf numFmtId="0" fontId="0" fillId="4" borderId="18" xfId="0" applyFill="1" applyBorder="1" applyAlignment="1">
      <alignment horizontal="center"/>
    </xf>
    <xf numFmtId="9" fontId="0" fillId="4" borderId="19" xfId="0" applyNumberFormat="1" applyFill="1" applyBorder="1" applyAlignment="1">
      <alignment horizontal="center"/>
    </xf>
    <xf numFmtId="9" fontId="0" fillId="4" borderId="0" xfId="0" applyNumberFormat="1" applyFill="1" applyBorder="1" applyAlignment="1">
      <alignment horizontal="center"/>
    </xf>
    <xf numFmtId="9" fontId="0" fillId="4" borderId="20" xfId="0" applyNumberFormat="1" applyFill="1" applyBorder="1" applyAlignment="1">
      <alignment horizontal="center"/>
    </xf>
    <xf numFmtId="0" fontId="1" fillId="18" borderId="0" xfId="0" applyFont="1" applyFill="1" applyAlignment="1">
      <alignment horizontal="center"/>
    </xf>
    <xf numFmtId="0" fontId="0" fillId="0" borderId="0" xfId="0" applyFill="1" applyAlignment="1">
      <alignment horizontal="center" vertical="center"/>
    </xf>
    <xf numFmtId="0" fontId="0" fillId="18" borderId="0" xfId="0" applyFill="1" applyAlignment="1">
      <alignment horizontal="center"/>
    </xf>
    <xf numFmtId="0" fontId="0" fillId="0" borderId="0" xfId="0" applyAlignment="1">
      <alignment horizontal="center"/>
    </xf>
    <xf numFmtId="0" fontId="1" fillId="4" borderId="0" xfId="0" applyFont="1" applyFill="1" applyAlignment="1">
      <alignment horizontal="center"/>
    </xf>
    <xf numFmtId="0" fontId="1" fillId="9" borderId="0" xfId="0" applyFont="1" applyFill="1" applyAlignment="1">
      <alignment horizontal="center"/>
    </xf>
    <xf numFmtId="0" fontId="0" fillId="8" borderId="0" xfId="0" applyFill="1" applyAlignment="1">
      <alignment horizontal="center"/>
    </xf>
    <xf numFmtId="0" fontId="30" fillId="0" borderId="0" xfId="0" applyFont="1" applyAlignment="1">
      <alignment horizontal="center"/>
    </xf>
    <xf numFmtId="2" fontId="1" fillId="0" borderId="0" xfId="0" applyNumberFormat="1" applyFont="1" applyBorder="1" applyAlignment="1">
      <alignment horizontal="center"/>
    </xf>
    <xf numFmtId="0" fontId="0" fillId="0" borderId="0" xfId="0" applyBorder="1" applyAlignment="1">
      <alignment horizontal="center"/>
    </xf>
    <xf numFmtId="0" fontId="1" fillId="0" borderId="0" xfId="0" applyFont="1" applyBorder="1" applyAlignment="1">
      <alignment horizontal="center"/>
    </xf>
    <xf numFmtId="0" fontId="1" fillId="0" borderId="0" xfId="0" applyFont="1" applyFill="1" applyBorder="1" applyAlignment="1">
      <alignment horizontal="center"/>
    </xf>
    <xf numFmtId="2" fontId="0" fillId="4" borderId="0" xfId="0" applyNumberFormat="1" applyFont="1" applyFill="1" applyBorder="1" applyAlignment="1">
      <alignment horizontal="center"/>
    </xf>
    <xf numFmtId="0" fontId="0" fillId="15" borderId="0" xfId="0" applyFill="1" applyBorder="1" applyAlignment="1">
      <alignment horizontal="center"/>
    </xf>
    <xf numFmtId="1" fontId="0" fillId="19" borderId="0" xfId="0" applyNumberFormat="1" applyFill="1" applyBorder="1" applyAlignment="1">
      <alignment horizontal="center" vertical="center"/>
    </xf>
    <xf numFmtId="0" fontId="0" fillId="17" borderId="0" xfId="0" applyFill="1" applyAlignment="1">
      <alignment horizontal="center"/>
    </xf>
    <xf numFmtId="0" fontId="50" fillId="4" borderId="0" xfId="0" applyFont="1" applyFill="1" applyAlignment="1">
      <alignment horizontal="center"/>
    </xf>
    <xf numFmtId="0" fontId="72" fillId="10" borderId="0" xfId="0" applyFont="1" applyFill="1"/>
    <xf numFmtId="0" fontId="73" fillId="10" borderId="0" xfId="0" applyFont="1" applyFill="1"/>
    <xf numFmtId="0" fontId="73" fillId="10" borderId="0" xfId="0" applyFont="1" applyFill="1" applyBorder="1"/>
    <xf numFmtId="0" fontId="74" fillId="10" borderId="0" xfId="0" applyFont="1" applyFill="1" applyAlignment="1">
      <alignment horizontal="center"/>
    </xf>
    <xf numFmtId="172" fontId="73" fillId="10" borderId="0" xfId="0" applyNumberFormat="1" applyFont="1" applyFill="1"/>
    <xf numFmtId="0" fontId="74" fillId="10" borderId="0" xfId="0" applyFont="1" applyFill="1"/>
    <xf numFmtId="0" fontId="73" fillId="10" borderId="11" xfId="0" applyFont="1" applyFill="1" applyBorder="1"/>
    <xf numFmtId="0" fontId="73" fillId="10" borderId="0" xfId="0" applyFont="1" applyFill="1" applyAlignment="1">
      <alignment horizontal="center"/>
    </xf>
    <xf numFmtId="174" fontId="73" fillId="10" borderId="0" xfId="54" applyNumberFormat="1" applyFont="1" applyFill="1"/>
    <xf numFmtId="173" fontId="73" fillId="10" borderId="0" xfId="0" applyNumberFormat="1" applyFont="1" applyFill="1"/>
    <xf numFmtId="173" fontId="73" fillId="10" borderId="0" xfId="0" applyNumberFormat="1" applyFont="1" applyFill="1" applyAlignment="1">
      <alignment horizontal="right"/>
    </xf>
    <xf numFmtId="0" fontId="73" fillId="10" borderId="10" xfId="0" applyFont="1" applyFill="1" applyBorder="1"/>
  </cellXfs>
  <cellStyles count="55">
    <cellStyle name="Comma" xfId="2" builtinId="3"/>
    <cellStyle name="Comma 10" xfId="3"/>
    <cellStyle name="Comma 2" xfId="6"/>
    <cellStyle name="Comma 2 2" xfId="7"/>
    <cellStyle name="Comma 3" xfId="8"/>
    <cellStyle name="Comma 3 2" xfId="9"/>
    <cellStyle name="Comma 4" xfId="10"/>
    <cellStyle name="Comma 4 2" xfId="11"/>
    <cellStyle name="Comma 5" xfId="12"/>
    <cellStyle name="Comma 5 2" xfId="13"/>
    <cellStyle name="Comma 6" xfId="14"/>
    <cellStyle name="Comma 7" xfId="15"/>
    <cellStyle name="Comma 8" xfId="16"/>
    <cellStyle name="Comma 9" xfId="17"/>
    <cellStyle name="Currency" xfId="54" builtinId="4"/>
    <cellStyle name="Currency 2" xfId="4"/>
    <cellStyle name="Currency 2 2" xfId="43"/>
    <cellStyle name="Currency 3" xfId="41"/>
    <cellStyle name="Currency 4" xfId="52"/>
    <cellStyle name="Currency 5" xfId="33"/>
    <cellStyle name="Hyperlink" xfId="32" builtinId="8"/>
    <cellStyle name="Hyperlink 2" xfId="18"/>
    <cellStyle name="Hyperlink 2 2" xfId="19"/>
    <cellStyle name="Hyperlink 2 3" xfId="20"/>
    <cellStyle name="Normal" xfId="0" builtinId="0"/>
    <cellStyle name="Normal 18" xfId="21"/>
    <cellStyle name="Normal 2" xfId="5"/>
    <cellStyle name="Normal 2 2" xfId="22"/>
    <cellStyle name="Normal 2 3" xfId="42"/>
    <cellStyle name="Normal 3" xfId="23"/>
    <cellStyle name="Normal 3 2" xfId="34"/>
    <cellStyle name="Normal 4" xfId="24"/>
    <cellStyle name="Normal 4 2" xfId="45"/>
    <cellStyle name="Normal 5" xfId="25"/>
    <cellStyle name="Normal_RawData_1" xfId="53"/>
    <cellStyle name="Percent" xfId="1" builtinId="5"/>
    <cellStyle name="Percent 2" xfId="26"/>
    <cellStyle name="Percent 2 2" xfId="27"/>
    <cellStyle name="Percent 2 3" xfId="44"/>
    <cellStyle name="Percent 3" xfId="28"/>
    <cellStyle name="Percent 3 2" xfId="29"/>
    <cellStyle name="Percent 4" xfId="30"/>
    <cellStyle name="Percent 5" xfId="31"/>
    <cellStyle name="PSChar" xfId="35"/>
    <cellStyle name="PSChar 2" xfId="46"/>
    <cellStyle name="PSDate" xfId="36"/>
    <cellStyle name="PSDate 2" xfId="47"/>
    <cellStyle name="PSDec" xfId="37"/>
    <cellStyle name="PSDec 2" xfId="48"/>
    <cellStyle name="PSHeading" xfId="38"/>
    <cellStyle name="PSHeading 2" xfId="49"/>
    <cellStyle name="PSInt" xfId="39"/>
    <cellStyle name="PSInt 2" xfId="50"/>
    <cellStyle name="PSSpacer" xfId="40"/>
    <cellStyle name="PSSpacer 2" xfId="51"/>
  </cellStyles>
  <dxfs count="19">
    <dxf>
      <font>
        <strike val="0"/>
        <outline val="0"/>
        <shadow val="0"/>
        <u val="none"/>
        <vertAlign val="baseline"/>
        <sz val="11"/>
        <color theme="0"/>
        <name val="Calibri"/>
        <scheme val="minor"/>
      </font>
      <fill>
        <patternFill patternType="solid">
          <fgColor indexed="64"/>
          <bgColor theme="0"/>
        </patternFill>
      </fill>
    </dxf>
    <dxf>
      <font>
        <strike val="0"/>
        <outline val="0"/>
        <shadow val="0"/>
        <u val="none"/>
        <vertAlign val="baseline"/>
        <sz val="11"/>
        <color theme="0"/>
        <name val="Calibri"/>
        <scheme val="minor"/>
      </font>
      <fill>
        <patternFill patternType="solid">
          <fgColor indexed="64"/>
          <bgColor theme="0"/>
        </patternFill>
      </fill>
    </dxf>
    <dxf>
      <font>
        <strike val="0"/>
        <outline val="0"/>
        <shadow val="0"/>
        <u val="none"/>
        <vertAlign val="baseline"/>
        <sz val="11"/>
        <color theme="0"/>
        <name val="Calibri"/>
        <scheme val="minor"/>
      </font>
      <fill>
        <patternFill patternType="solid">
          <fgColor indexed="64"/>
          <bgColor theme="0"/>
        </patternFill>
      </fill>
    </dxf>
    <dxf>
      <font>
        <strike val="0"/>
        <outline val="0"/>
        <shadow val="0"/>
        <u val="none"/>
        <vertAlign val="baseline"/>
        <sz val="11"/>
        <color theme="0"/>
        <name val="Calibri"/>
        <scheme val="minor"/>
      </font>
      <fill>
        <patternFill patternType="solid">
          <fgColor indexed="64"/>
          <bgColor theme="0"/>
        </patternFill>
      </fill>
    </dxf>
    <dxf>
      <font>
        <strike val="0"/>
        <outline val="0"/>
        <shadow val="0"/>
        <u val="none"/>
        <vertAlign val="baseline"/>
        <sz val="11"/>
        <color theme="0"/>
        <name val="Calibri"/>
        <scheme val="minor"/>
      </font>
      <fill>
        <patternFill patternType="solid">
          <fgColor indexed="64"/>
          <bgColor theme="0"/>
        </patternFill>
      </fill>
    </dxf>
    <dxf>
      <font>
        <strike val="0"/>
        <outline val="0"/>
        <shadow val="0"/>
        <u val="none"/>
        <vertAlign val="baseline"/>
        <sz val="11"/>
        <color theme="0"/>
        <name val="Calibri"/>
        <scheme val="minor"/>
      </font>
      <fill>
        <patternFill patternType="solid">
          <fgColor indexed="64"/>
          <bgColor theme="0"/>
        </patternFill>
      </fill>
    </dxf>
    <dxf>
      <font>
        <strike val="0"/>
        <outline val="0"/>
        <shadow val="0"/>
        <u val="none"/>
        <vertAlign val="baseline"/>
        <sz val="11"/>
        <color theme="0"/>
        <name val="Calibri"/>
        <scheme val="minor"/>
      </font>
      <fill>
        <patternFill patternType="solid">
          <fgColor indexed="64"/>
          <bgColor theme="0"/>
        </patternFill>
      </fill>
    </dxf>
    <dxf>
      <font>
        <strike val="0"/>
        <outline val="0"/>
        <shadow val="0"/>
        <u val="none"/>
        <vertAlign val="baseline"/>
        <sz val="11"/>
        <color theme="0"/>
        <name val="Calibri"/>
        <scheme val="minor"/>
      </font>
      <fill>
        <patternFill patternType="solid">
          <fgColor indexed="64"/>
          <bgColor theme="0"/>
        </patternFill>
      </fill>
    </dxf>
    <dxf>
      <font>
        <strike val="0"/>
        <outline val="0"/>
        <shadow val="0"/>
        <u val="none"/>
        <vertAlign val="baseline"/>
        <sz val="11"/>
        <color theme="0"/>
        <name val="Calibri"/>
        <scheme val="minor"/>
      </font>
      <fill>
        <patternFill patternType="solid">
          <fgColor indexed="64"/>
          <bgColor theme="0"/>
        </patternFill>
      </fill>
    </dxf>
    <dxf>
      <font>
        <strike val="0"/>
        <outline val="0"/>
        <shadow val="0"/>
        <u val="none"/>
        <vertAlign val="baseline"/>
        <sz val="11"/>
        <color theme="0"/>
        <name val="Calibri"/>
        <scheme val="minor"/>
      </font>
      <fill>
        <patternFill patternType="solid">
          <fgColor indexed="64"/>
          <bgColor theme="0"/>
        </patternFill>
      </fill>
    </dxf>
    <dxf>
      <font>
        <strike val="0"/>
        <outline val="0"/>
        <shadow val="0"/>
        <u val="none"/>
        <vertAlign val="baseline"/>
        <sz val="11"/>
        <color theme="0"/>
        <name val="Calibri"/>
        <scheme val="minor"/>
      </font>
      <fill>
        <patternFill patternType="solid">
          <fgColor indexed="64"/>
          <bgColor theme="0"/>
        </patternFill>
      </fill>
    </dxf>
    <dxf>
      <font>
        <strike val="0"/>
        <outline val="0"/>
        <shadow val="0"/>
        <u val="none"/>
        <vertAlign val="baseline"/>
        <sz val="11"/>
        <color theme="0"/>
        <name val="Calibri"/>
        <scheme val="minor"/>
      </font>
      <fill>
        <patternFill patternType="solid">
          <fgColor indexed="64"/>
          <bgColor theme="0"/>
        </patternFill>
      </fill>
    </dxf>
    <dxf>
      <font>
        <strike val="0"/>
        <outline val="0"/>
        <shadow val="0"/>
        <u val="none"/>
        <vertAlign val="baseline"/>
        <sz val="11"/>
        <color theme="0"/>
        <name val="Calibri"/>
        <scheme val="minor"/>
      </font>
      <fill>
        <patternFill patternType="solid">
          <fgColor indexed="64"/>
          <bgColor theme="0"/>
        </patternFill>
      </fill>
    </dxf>
    <dxf>
      <font>
        <strike val="0"/>
        <outline val="0"/>
        <shadow val="0"/>
        <u val="none"/>
        <vertAlign val="baseline"/>
        <sz val="11"/>
        <color theme="0"/>
        <name val="Calibri"/>
        <scheme val="minor"/>
      </font>
      <fill>
        <patternFill patternType="solid">
          <fgColor indexed="64"/>
          <bgColor theme="0"/>
        </patternFill>
      </fill>
    </dxf>
    <dxf>
      <font>
        <strike val="0"/>
        <outline val="0"/>
        <shadow val="0"/>
        <u val="none"/>
        <vertAlign val="baseline"/>
        <sz val="11"/>
        <color theme="0"/>
        <name val="Calibri"/>
        <scheme val="minor"/>
      </font>
      <fill>
        <patternFill patternType="solid">
          <fgColor indexed="64"/>
          <bgColor theme="0"/>
        </patternFill>
      </fill>
    </dxf>
    <dxf>
      <font>
        <strike val="0"/>
        <outline val="0"/>
        <shadow val="0"/>
        <u val="none"/>
        <vertAlign val="baseline"/>
        <sz val="11"/>
        <color theme="0"/>
        <name val="Calibri"/>
        <scheme val="minor"/>
      </font>
      <fill>
        <patternFill patternType="solid">
          <fgColor indexed="64"/>
          <bgColor theme="0"/>
        </patternFill>
      </fill>
    </dxf>
    <dxf>
      <font>
        <strike val="0"/>
        <outline val="0"/>
        <shadow val="0"/>
        <u val="none"/>
        <vertAlign val="baseline"/>
        <sz val="11"/>
        <color theme="0"/>
        <name val="Calibri"/>
        <scheme val="minor"/>
      </font>
      <fill>
        <patternFill patternType="solid">
          <fgColor indexed="64"/>
          <bgColor theme="0"/>
        </patternFill>
      </fill>
    </dxf>
    <dxf>
      <font>
        <strike val="0"/>
        <outline val="0"/>
        <shadow val="0"/>
        <u val="none"/>
        <vertAlign val="baseline"/>
        <sz val="11"/>
        <color theme="0"/>
        <name val="Calibri"/>
        <scheme val="minor"/>
      </font>
      <fill>
        <patternFill patternType="solid">
          <fgColor indexed="64"/>
          <bgColor theme="0"/>
        </patternFill>
      </fill>
    </dxf>
    <dxf>
      <font>
        <strike val="0"/>
        <outline val="0"/>
        <shadow val="0"/>
        <u val="none"/>
        <vertAlign val="baseline"/>
        <sz val="11"/>
        <color theme="0"/>
        <name val="Calibri"/>
        <scheme val="minor"/>
      </font>
      <fill>
        <patternFill patternType="solid">
          <fgColor indexed="64"/>
          <bgColor theme="0"/>
        </patternFill>
      </fill>
    </dxf>
  </dxfs>
  <tableStyles count="0" defaultTableStyle="TableStyleMedium2" defaultPivotStyle="PivotStyleLight16"/>
  <colors>
    <mruColors>
      <color rgb="FFFFFFFF"/>
      <color rgb="FFD0CD3F"/>
      <color rgb="FFD5D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1.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tx1">
                    <a:lumMod val="65000"/>
                    <a:lumOff val="35000"/>
                  </a:schemeClr>
                </a:solidFill>
              </a:defRPr>
            </a:pPr>
            <a:r>
              <a:rPr lang="en-US">
                <a:solidFill>
                  <a:schemeClr val="tx1">
                    <a:lumMod val="65000"/>
                    <a:lumOff val="35000"/>
                  </a:schemeClr>
                </a:solidFill>
              </a:rPr>
              <a:t>TPM Revenue </a:t>
            </a:r>
          </a:p>
        </c:rich>
      </c:tx>
      <c:layout>
        <c:manualLayout>
          <c:xMode val="edge"/>
          <c:yMode val="edge"/>
          <c:x val="0.42754506361575489"/>
          <c:y val="2.1904093530134429E-2"/>
        </c:manualLayout>
      </c:layout>
      <c:overlay val="0"/>
    </c:title>
    <c:autoTitleDeleted val="0"/>
    <c:plotArea>
      <c:layout>
        <c:manualLayout>
          <c:layoutTarget val="inner"/>
          <c:xMode val="edge"/>
          <c:yMode val="edge"/>
          <c:x val="0.14918869843451771"/>
          <c:y val="0.14048016327206031"/>
          <c:w val="0.81442446947618008"/>
          <c:h val="0.61378931836672779"/>
        </c:manualLayout>
      </c:layout>
      <c:barChart>
        <c:barDir val="col"/>
        <c:grouping val="stacked"/>
        <c:varyColors val="0"/>
        <c:ser>
          <c:idx val="0"/>
          <c:order val="0"/>
          <c:tx>
            <c:strRef>
              <c:f>'Recovery amounts'!$G$12</c:f>
              <c:strCache>
                <c:ptCount val="1"/>
                <c:pt idx="0">
                  <c:v>RCPD</c:v>
                </c:pt>
              </c:strCache>
            </c:strRef>
          </c:tx>
          <c:spPr>
            <a:solidFill>
              <a:schemeClr val="accent3">
                <a:lumMod val="75000"/>
              </a:schemeClr>
            </a:solidFill>
            <a:ln>
              <a:noFill/>
            </a:ln>
          </c:spPr>
          <c:invertIfNegative val="0"/>
          <c:val>
            <c:numRef>
              <c:f>'Recovery amounts'!$G$13:$G$14</c:f>
              <c:numCache>
                <c:formatCode>0</c:formatCode>
                <c:ptCount val="2"/>
                <c:pt idx="0">
                  <c:v>655.61298767000005</c:v>
                </c:pt>
              </c:numCache>
            </c:numRef>
          </c:val>
          <c:extLst xmlns:c16r2="http://schemas.microsoft.com/office/drawing/2015/06/chart">
            <c:ext xmlns:c15="http://schemas.microsoft.com/office/drawing/2012/chart" uri="{02D57815-91ED-43cb-92C2-25804820EDAC}">
              <c15:filteredCategoryTitle>
                <c15:cat>
                  <c:multiLvlStrRef>
                    <c:extLst>
                      <c:ext uri="{02D57815-91ED-43cb-92C2-25804820EDAC}">
                        <c15:formulaRef>
                          <c15:sqref>'Recovery amounts'!#REF!</c15:sqref>
                        </c15:formulaRef>
                      </c:ext>
                    </c:extLst>
                  </c:multiLvlStrRef>
                </c15:cat>
              </c15:filteredCategoryTitle>
            </c:ext>
            <c:ext xmlns:c16="http://schemas.microsoft.com/office/drawing/2014/chart" uri="{C3380CC4-5D6E-409C-BE32-E72D297353CC}">
              <c16:uniqueId val="{00000000-6588-479D-A457-38AAC86A8AF6}"/>
            </c:ext>
          </c:extLst>
        </c:ser>
        <c:ser>
          <c:idx val="11"/>
          <c:order val="1"/>
          <c:tx>
            <c:strRef>
              <c:f>'Recovery amounts'!$E$12</c:f>
              <c:strCache>
                <c:ptCount val="1"/>
                <c:pt idx="0">
                  <c:v>Residual charge</c:v>
                </c:pt>
              </c:strCache>
            </c:strRef>
          </c:tx>
          <c:spPr>
            <a:solidFill>
              <a:srgbClr val="D0CD3F"/>
            </a:solidFill>
          </c:spPr>
          <c:invertIfNegative val="0"/>
          <c:dPt>
            <c:idx val="2"/>
            <c:invertIfNegative val="0"/>
            <c:bubble3D val="0"/>
            <c:extLst xmlns:c16r2="http://schemas.microsoft.com/office/drawing/2015/06/chart">
              <c:ext xmlns:c16="http://schemas.microsoft.com/office/drawing/2014/chart" uri="{C3380CC4-5D6E-409C-BE32-E72D297353CC}">
                <c16:uniqueId val="{00000003-2F83-4CE7-8E6E-0CC055217017}"/>
              </c:ext>
            </c:extLst>
          </c:dPt>
          <c:dPt>
            <c:idx val="3"/>
            <c:invertIfNegative val="0"/>
            <c:bubble3D val="0"/>
            <c:extLst xmlns:c16r2="http://schemas.microsoft.com/office/drawing/2015/06/chart">
              <c:ext xmlns:c16="http://schemas.microsoft.com/office/drawing/2014/chart" uri="{C3380CC4-5D6E-409C-BE32-E72D297353CC}">
                <c16:uniqueId val="{00000004-2F83-4CE7-8E6E-0CC055217017}"/>
              </c:ext>
            </c:extLst>
          </c:dPt>
          <c:dPt>
            <c:idx val="4"/>
            <c:invertIfNegative val="0"/>
            <c:bubble3D val="0"/>
            <c:extLst xmlns:c16r2="http://schemas.microsoft.com/office/drawing/2015/06/chart">
              <c:ext xmlns:c16="http://schemas.microsoft.com/office/drawing/2014/chart" uri="{C3380CC4-5D6E-409C-BE32-E72D297353CC}">
                <c16:uniqueId val="{00000002-2B74-4A98-A95F-7FAA4C19C695}"/>
              </c:ext>
            </c:extLst>
          </c:dPt>
          <c:val>
            <c:numRef>
              <c:f>'Recovery amounts'!$E$13:$E$14</c:f>
              <c:numCache>
                <c:formatCode>0</c:formatCode>
                <c:ptCount val="2"/>
                <c:pt idx="1">
                  <c:v>499.69677013337639</c:v>
                </c:pt>
              </c:numCache>
            </c:numRef>
          </c:val>
          <c:extLst xmlns:c16r2="http://schemas.microsoft.com/office/drawing/2015/06/chart">
            <c:ext xmlns:c15="http://schemas.microsoft.com/office/drawing/2012/chart" uri="{02D57815-91ED-43cb-92C2-25804820EDAC}">
              <c15:filteredCategoryTitle>
                <c15:cat>
                  <c:multiLvlStrRef>
                    <c:extLst>
                      <c:ext uri="{02D57815-91ED-43cb-92C2-25804820EDAC}">
                        <c15:formulaRef>
                          <c15:sqref>'Recovery amounts'!#REF!</c15:sqref>
                        </c15:formulaRef>
                      </c:ext>
                    </c:extLst>
                  </c:multiLvlStrRef>
                </c15:cat>
              </c15:filteredCategoryTitle>
            </c:ext>
            <c:ext xmlns:c16="http://schemas.microsoft.com/office/drawing/2014/chart" uri="{C3380CC4-5D6E-409C-BE32-E72D297353CC}">
              <c16:uniqueId val="{00000002-6588-479D-A457-38AAC86A8AF6}"/>
            </c:ext>
          </c:extLst>
        </c:ser>
        <c:ser>
          <c:idx val="7"/>
          <c:order val="2"/>
          <c:tx>
            <c:strRef>
              <c:f>'Recovery amounts'!$F$12</c:f>
              <c:strCache>
                <c:ptCount val="1"/>
                <c:pt idx="0">
                  <c:v>HVDC</c:v>
                </c:pt>
              </c:strCache>
            </c:strRef>
          </c:tx>
          <c:spPr>
            <a:solidFill>
              <a:schemeClr val="accent1"/>
            </a:solidFill>
            <a:ln>
              <a:noFill/>
            </a:ln>
          </c:spPr>
          <c:invertIfNegative val="0"/>
          <c:dPt>
            <c:idx val="3"/>
            <c:invertIfNegative val="0"/>
            <c:bubble3D val="0"/>
            <c:spPr>
              <a:solidFill>
                <a:schemeClr val="accent1">
                  <a:alpha val="35000"/>
                </a:schemeClr>
              </a:solidFill>
              <a:ln>
                <a:noFill/>
              </a:ln>
            </c:spPr>
            <c:extLst xmlns:c16r2="http://schemas.microsoft.com/office/drawing/2015/06/chart">
              <c:ext xmlns:c16="http://schemas.microsoft.com/office/drawing/2014/chart" uri="{C3380CC4-5D6E-409C-BE32-E72D297353CC}">
                <c16:uniqueId val="{00000019-EE7D-42D1-B341-AF74BA845349}"/>
              </c:ext>
            </c:extLst>
          </c:dPt>
          <c:val>
            <c:numRef>
              <c:f>'Recovery amounts'!$F$13:$F$14</c:f>
              <c:numCache>
                <c:formatCode>0</c:formatCode>
                <c:ptCount val="2"/>
                <c:pt idx="0">
                  <c:v>139.69999999999999</c:v>
                </c:pt>
              </c:numCache>
            </c:numRef>
          </c:val>
          <c:extLst xmlns:c16r2="http://schemas.microsoft.com/office/drawing/2015/06/chart">
            <c:ext xmlns:c15="http://schemas.microsoft.com/office/drawing/2012/chart" uri="{02D57815-91ED-43cb-92C2-25804820EDAC}">
              <c15:filteredCategoryTitle>
                <c15:cat>
                  <c:multiLvlStrRef>
                    <c:extLst>
                      <c:ext uri="{02D57815-91ED-43cb-92C2-25804820EDAC}">
                        <c15:formulaRef>
                          <c15:sqref>'Recovery amounts'!#REF!</c15:sqref>
                        </c15:formulaRef>
                      </c:ext>
                    </c:extLst>
                  </c:multiLvlStrRef>
                </c15:cat>
              </c15:filteredCategoryTitle>
            </c:ext>
            <c:ext xmlns:c16="http://schemas.microsoft.com/office/drawing/2014/chart" uri="{C3380CC4-5D6E-409C-BE32-E72D297353CC}">
              <c16:uniqueId val="{00000001-6588-479D-A457-38AAC86A8AF6}"/>
            </c:ext>
          </c:extLst>
        </c:ser>
        <c:ser>
          <c:idx val="5"/>
          <c:order val="3"/>
          <c:tx>
            <c:strRef>
              <c:f>'Recovery amounts'!#REF!</c:f>
              <c:strCache>
                <c:ptCount val="1"/>
                <c:pt idx="0">
                  <c:v>#REF!</c:v>
                </c:pt>
              </c:strCache>
            </c:strRef>
          </c:tx>
          <c:spPr>
            <a:solidFill>
              <a:srgbClr val="D0CD3F"/>
            </a:solidFill>
          </c:spPr>
          <c:invertIfNegative val="0"/>
          <c:val>
            <c:numRef>
              <c:f>'Recovery amounts'!#REF!</c:f>
              <c:numCache>
                <c:formatCode>General</c:formatCode>
                <c:ptCount val="1"/>
                <c:pt idx="0">
                  <c:v>1</c:v>
                </c:pt>
              </c:numCache>
            </c:numRef>
          </c:val>
          <c:extLst xmlns:c16r2="http://schemas.microsoft.com/office/drawing/2015/06/chart">
            <c:ext xmlns:c15="http://schemas.microsoft.com/office/drawing/2012/chart" uri="{02D57815-91ED-43cb-92C2-25804820EDAC}">
              <c15:filteredCategoryTitle>
                <c15:cat>
                  <c:multiLvlStrRef>
                    <c:extLst>
                      <c:ext uri="{02D57815-91ED-43cb-92C2-25804820EDAC}">
                        <c15:formulaRef>
                          <c15:sqref>'Recovery amounts'!#REF!</c15:sqref>
                        </c15:formulaRef>
                      </c:ext>
                    </c:extLst>
                  </c:multiLvlStrRef>
                </c15:cat>
              </c15:filteredCategoryTitle>
            </c:ext>
            <c:ext xmlns:c16="http://schemas.microsoft.com/office/drawing/2014/chart" uri="{C3380CC4-5D6E-409C-BE32-E72D297353CC}">
              <c16:uniqueId val="{00000010-A8F5-4CDC-A214-F252F6303145}"/>
            </c:ext>
          </c:extLst>
        </c:ser>
        <c:ser>
          <c:idx val="2"/>
          <c:order val="4"/>
          <c:tx>
            <c:strRef>
              <c:f>'Recovery amounts'!$D$12</c:f>
              <c:strCache>
                <c:ptCount val="1"/>
                <c:pt idx="0">
                  <c:v>Area-of-benefit</c:v>
                </c:pt>
              </c:strCache>
            </c:strRef>
          </c:tx>
          <c:spPr>
            <a:solidFill>
              <a:schemeClr val="accent2"/>
            </a:solidFill>
            <a:ln>
              <a:noFill/>
            </a:ln>
          </c:spPr>
          <c:invertIfNegative val="0"/>
          <c:dPt>
            <c:idx val="2"/>
            <c:invertIfNegative val="0"/>
            <c:bubble3D val="0"/>
            <c:spPr>
              <a:solidFill>
                <a:schemeClr val="accent2">
                  <a:alpha val="50000"/>
                </a:schemeClr>
              </a:solidFill>
              <a:ln>
                <a:noFill/>
              </a:ln>
            </c:spPr>
            <c:extLst xmlns:c16r2="http://schemas.microsoft.com/office/drawing/2015/06/chart">
              <c:ext xmlns:c16="http://schemas.microsoft.com/office/drawing/2014/chart" uri="{C3380CC4-5D6E-409C-BE32-E72D297353CC}">
                <c16:uniqueId val="{00000000-2F83-4CE7-8E6E-0CC055217017}"/>
              </c:ext>
            </c:extLst>
          </c:dPt>
          <c:dPt>
            <c:idx val="3"/>
            <c:invertIfNegative val="0"/>
            <c:bubble3D val="0"/>
            <c:spPr>
              <a:solidFill>
                <a:schemeClr val="accent2">
                  <a:alpha val="50000"/>
                </a:schemeClr>
              </a:solidFill>
              <a:ln>
                <a:noFill/>
              </a:ln>
            </c:spPr>
            <c:extLst xmlns:c16r2="http://schemas.microsoft.com/office/drawing/2015/06/chart">
              <c:ext xmlns:c16="http://schemas.microsoft.com/office/drawing/2014/chart" uri="{C3380CC4-5D6E-409C-BE32-E72D297353CC}">
                <c16:uniqueId val="{00000001-2F83-4CE7-8E6E-0CC055217017}"/>
              </c:ext>
            </c:extLst>
          </c:dPt>
          <c:val>
            <c:numRef>
              <c:f>'Recovery amounts'!$D$13:$D$14</c:f>
              <c:numCache>
                <c:formatCode>0</c:formatCode>
                <c:ptCount val="2"/>
                <c:pt idx="1">
                  <c:v>295.61621753662359</c:v>
                </c:pt>
              </c:numCache>
            </c:numRef>
          </c:val>
          <c:extLst xmlns:c16r2="http://schemas.microsoft.com/office/drawing/2015/06/chart">
            <c:ext xmlns:c15="http://schemas.microsoft.com/office/drawing/2012/chart" uri="{02D57815-91ED-43cb-92C2-25804820EDAC}">
              <c15:filteredCategoryTitle>
                <c15:cat>
                  <c:multiLvlStrRef>
                    <c:extLst>
                      <c:ext uri="{02D57815-91ED-43cb-92C2-25804820EDAC}">
                        <c15:formulaRef>
                          <c15:sqref>'Recovery amounts'!#REF!</c15:sqref>
                        </c15:formulaRef>
                      </c:ext>
                    </c:extLst>
                  </c:multiLvlStrRef>
                </c15:cat>
              </c15:filteredCategoryTitle>
            </c:ext>
            <c:ext xmlns:c16="http://schemas.microsoft.com/office/drawing/2014/chart" uri="{C3380CC4-5D6E-409C-BE32-E72D297353CC}">
              <c16:uniqueId val="{00000003-6588-479D-A457-38AAC86A8AF6}"/>
            </c:ext>
          </c:extLst>
        </c:ser>
        <c:ser>
          <c:idx val="3"/>
          <c:order val="5"/>
          <c:tx>
            <c:strRef>
              <c:f>'Recovery amounts'!$H$12</c:f>
              <c:strCache>
                <c:ptCount val="1"/>
                <c:pt idx="0">
                  <c:v>Connection</c:v>
                </c:pt>
              </c:strCache>
            </c:strRef>
          </c:tx>
          <c:spPr>
            <a:solidFill>
              <a:schemeClr val="bg1">
                <a:lumMod val="75000"/>
              </a:schemeClr>
            </a:solidFill>
          </c:spPr>
          <c:invertIfNegative val="0"/>
          <c:dPt>
            <c:idx val="2"/>
            <c:invertIfNegative val="0"/>
            <c:bubble3D val="0"/>
            <c:spPr>
              <a:solidFill>
                <a:schemeClr val="bg1">
                  <a:lumMod val="75000"/>
                  <a:alpha val="50000"/>
                </a:schemeClr>
              </a:solidFill>
            </c:spPr>
            <c:extLst xmlns:c16r2="http://schemas.microsoft.com/office/drawing/2015/06/chart">
              <c:ext xmlns:c16="http://schemas.microsoft.com/office/drawing/2014/chart" uri="{C3380CC4-5D6E-409C-BE32-E72D297353CC}">
                <c16:uniqueId val="{00000008-2F83-4CE7-8E6E-0CC055217017}"/>
              </c:ext>
            </c:extLst>
          </c:dPt>
          <c:dPt>
            <c:idx val="3"/>
            <c:invertIfNegative val="0"/>
            <c:bubble3D val="0"/>
            <c:spPr>
              <a:solidFill>
                <a:schemeClr val="bg1">
                  <a:lumMod val="75000"/>
                  <a:alpha val="50000"/>
                </a:schemeClr>
              </a:solidFill>
            </c:spPr>
            <c:extLst xmlns:c16r2="http://schemas.microsoft.com/office/drawing/2015/06/chart">
              <c:ext xmlns:c16="http://schemas.microsoft.com/office/drawing/2014/chart" uri="{C3380CC4-5D6E-409C-BE32-E72D297353CC}">
                <c16:uniqueId val="{00000009-2F83-4CE7-8E6E-0CC055217017}"/>
              </c:ext>
            </c:extLst>
          </c:dPt>
          <c:dPt>
            <c:idx val="4"/>
            <c:invertIfNegative val="0"/>
            <c:bubble3D val="0"/>
            <c:spPr>
              <a:solidFill>
                <a:schemeClr val="bg1">
                  <a:lumMod val="75000"/>
                  <a:alpha val="50000"/>
                </a:schemeClr>
              </a:solidFill>
            </c:spPr>
            <c:extLst xmlns:c16r2="http://schemas.microsoft.com/office/drawing/2015/06/chart">
              <c:ext xmlns:c16="http://schemas.microsoft.com/office/drawing/2014/chart" uri="{C3380CC4-5D6E-409C-BE32-E72D297353CC}">
                <c16:uniqueId val="{0000000E-2B74-4A98-A95F-7FAA4C19C695}"/>
              </c:ext>
            </c:extLst>
          </c:dPt>
          <c:val>
            <c:numRef>
              <c:f>'Recovery amounts'!$H$13:$H$14</c:f>
              <c:numCache>
                <c:formatCode>0</c:formatCode>
                <c:ptCount val="2"/>
                <c:pt idx="0">
                  <c:v>125.28701232999994</c:v>
                </c:pt>
                <c:pt idx="1">
                  <c:v>125.28701232999994</c:v>
                </c:pt>
              </c:numCache>
            </c:numRef>
          </c:val>
          <c:extLst xmlns:c16r2="http://schemas.microsoft.com/office/drawing/2015/06/chart">
            <c:ext xmlns:c15="http://schemas.microsoft.com/office/drawing/2012/chart" uri="{02D57815-91ED-43cb-92C2-25804820EDAC}">
              <c15:filteredCategoryTitle>
                <c15:cat>
                  <c:multiLvlStrRef>
                    <c:extLst>
                      <c:ext uri="{02D57815-91ED-43cb-92C2-25804820EDAC}">
                        <c15:formulaRef>
                          <c15:sqref>'Recovery amounts'!#REF!</c15:sqref>
                        </c15:formulaRef>
                      </c:ext>
                    </c:extLst>
                  </c:multiLvlStrRef>
                </c15:cat>
              </c15:filteredCategoryTitle>
            </c:ext>
            <c:ext xmlns:c16="http://schemas.microsoft.com/office/drawing/2014/chart" uri="{C3380CC4-5D6E-409C-BE32-E72D297353CC}">
              <c16:uniqueId val="{00000005-6588-479D-A457-38AAC86A8AF6}"/>
            </c:ext>
          </c:extLst>
        </c:ser>
        <c:dLbls>
          <c:showLegendKey val="0"/>
          <c:showVal val="0"/>
          <c:showCatName val="0"/>
          <c:showSerName val="0"/>
          <c:showPercent val="0"/>
          <c:showBubbleSize val="0"/>
        </c:dLbls>
        <c:gapWidth val="150"/>
        <c:overlap val="100"/>
        <c:axId val="48910336"/>
        <c:axId val="48913792"/>
      </c:barChart>
      <c:catAx>
        <c:axId val="48910336"/>
        <c:scaling>
          <c:orientation val="minMax"/>
        </c:scaling>
        <c:delete val="0"/>
        <c:axPos val="b"/>
        <c:numFmt formatCode="General" sourceLinked="1"/>
        <c:majorTickMark val="out"/>
        <c:minorTickMark val="none"/>
        <c:tickLblPos val="nextTo"/>
        <c:txPr>
          <a:bodyPr rot="0" vert="horz"/>
          <a:lstStyle/>
          <a:p>
            <a:pPr>
              <a:defRPr>
                <a:solidFill>
                  <a:schemeClr val="tx1">
                    <a:lumMod val="65000"/>
                    <a:lumOff val="35000"/>
                  </a:schemeClr>
                </a:solidFill>
              </a:defRPr>
            </a:pPr>
            <a:endParaRPr lang="en-US"/>
          </a:p>
        </c:txPr>
        <c:crossAx val="48913792"/>
        <c:crosses val="autoZero"/>
        <c:auto val="1"/>
        <c:lblAlgn val="ctr"/>
        <c:lblOffset val="100"/>
        <c:tickLblSkip val="1"/>
        <c:noMultiLvlLbl val="0"/>
      </c:catAx>
      <c:valAx>
        <c:axId val="48913792"/>
        <c:scaling>
          <c:orientation val="minMax"/>
          <c:max val="1000"/>
          <c:min val="0"/>
        </c:scaling>
        <c:delete val="0"/>
        <c:axPos val="l"/>
        <c:majorGridlines>
          <c:spPr>
            <a:ln>
              <a:solidFill>
                <a:schemeClr val="tx1">
                  <a:lumMod val="65000"/>
                  <a:lumOff val="35000"/>
                  <a:alpha val="57000"/>
                </a:schemeClr>
              </a:solidFill>
            </a:ln>
          </c:spPr>
        </c:majorGridlines>
        <c:title>
          <c:tx>
            <c:rich>
              <a:bodyPr rot="-5400000" vert="horz"/>
              <a:lstStyle/>
              <a:p>
                <a:pPr>
                  <a:defRPr>
                    <a:solidFill>
                      <a:schemeClr val="tx1">
                        <a:lumMod val="65000"/>
                        <a:lumOff val="35000"/>
                      </a:schemeClr>
                    </a:solidFill>
                  </a:defRPr>
                </a:pPr>
                <a:r>
                  <a:rPr lang="en-NZ">
                    <a:solidFill>
                      <a:schemeClr val="tx1">
                        <a:lumMod val="65000"/>
                        <a:lumOff val="35000"/>
                      </a:schemeClr>
                    </a:solidFill>
                  </a:rPr>
                  <a:t>Revenue ($M</a:t>
                </a:r>
                <a:r>
                  <a:rPr lang="en-NZ" baseline="0">
                    <a:solidFill>
                      <a:schemeClr val="tx1">
                        <a:lumMod val="65000"/>
                        <a:lumOff val="35000"/>
                      </a:schemeClr>
                    </a:solidFill>
                  </a:rPr>
                  <a:t> per year)</a:t>
                </a:r>
                <a:endParaRPr lang="en-NZ">
                  <a:solidFill>
                    <a:schemeClr val="tx1">
                      <a:lumMod val="65000"/>
                      <a:lumOff val="35000"/>
                    </a:schemeClr>
                  </a:solidFill>
                </a:endParaRPr>
              </a:p>
            </c:rich>
          </c:tx>
          <c:layout>
            <c:manualLayout>
              <c:xMode val="edge"/>
              <c:yMode val="edge"/>
              <c:x val="7.0343838599122481E-3"/>
              <c:y val="0.30016681248177318"/>
            </c:manualLayout>
          </c:layout>
          <c:overlay val="0"/>
        </c:title>
        <c:numFmt formatCode="0" sourceLinked="1"/>
        <c:majorTickMark val="out"/>
        <c:minorTickMark val="none"/>
        <c:tickLblPos val="nextTo"/>
        <c:txPr>
          <a:bodyPr/>
          <a:lstStyle/>
          <a:p>
            <a:pPr>
              <a:defRPr>
                <a:solidFill>
                  <a:schemeClr val="tx1">
                    <a:lumMod val="65000"/>
                    <a:lumOff val="35000"/>
                  </a:schemeClr>
                </a:solidFill>
              </a:defRPr>
            </a:pPr>
            <a:endParaRPr lang="en-US"/>
          </a:p>
        </c:txPr>
        <c:crossAx val="48910336"/>
        <c:crosses val="autoZero"/>
        <c:crossBetween val="between"/>
        <c:majorUnit val="100"/>
      </c:valAx>
    </c:plotArea>
    <c:legend>
      <c:legendPos val="r"/>
      <c:legendEntry>
        <c:idx val="2"/>
        <c:delete val="1"/>
      </c:legendEntry>
      <c:layout>
        <c:manualLayout>
          <c:xMode val="edge"/>
          <c:yMode val="edge"/>
          <c:x val="0.18514258153683347"/>
          <c:y val="0.85237279111445785"/>
          <c:w val="0.75811000545560214"/>
          <c:h val="0.12232888007104906"/>
        </c:manualLayout>
      </c:layout>
      <c:overlay val="1"/>
      <c:txPr>
        <a:bodyPr/>
        <a:lstStyle/>
        <a:p>
          <a:pPr>
            <a:defRPr>
              <a:solidFill>
                <a:schemeClr val="tx1">
                  <a:lumMod val="65000"/>
                  <a:lumOff val="35000"/>
                </a:schemeClr>
              </a:solidFill>
            </a:defRPr>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0233" l="0.70000000000000062" r="0.70000000000000062" t="0.75000000000000233"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NZ" sz="1800"/>
              <a:t>Indicative Charges by Customer and Charge Type</a:t>
            </a:r>
          </a:p>
        </c:rich>
      </c:tx>
      <c:overlay val="0"/>
      <c:spPr>
        <a:noFill/>
        <a:ln>
          <a:noFill/>
        </a:ln>
        <a:effectLst/>
      </c:spPr>
    </c:title>
    <c:autoTitleDeleted val="0"/>
    <c:plotArea>
      <c:layout>
        <c:manualLayout>
          <c:layoutTarget val="inner"/>
          <c:xMode val="edge"/>
          <c:yMode val="edge"/>
          <c:x val="9.1397531199228096E-2"/>
          <c:y val="0.10641874642479209"/>
          <c:w val="0.8931159275695465"/>
          <c:h val="0.60704183795282574"/>
        </c:manualLayout>
      </c:layout>
      <c:barChart>
        <c:barDir val="col"/>
        <c:grouping val="stacked"/>
        <c:varyColors val="0"/>
        <c:ser>
          <c:idx val="1"/>
          <c:order val="0"/>
          <c:tx>
            <c:strRef>
              <c:f>'Charges to party by investment'!$AM$8</c:f>
              <c:strCache>
                <c:ptCount val="1"/>
                <c:pt idx="0">
                  <c:v>Residual Charge</c:v>
                </c:pt>
              </c:strCache>
            </c:strRef>
          </c:tx>
          <c:spPr>
            <a:solidFill>
              <a:srgbClr val="D0CD3F">
                <a:alpha val="76000"/>
              </a:srgbClr>
            </a:solidFill>
            <a:ln>
              <a:noFill/>
            </a:ln>
            <a:effectLst/>
          </c:spPr>
          <c:invertIfNegative val="0"/>
          <c:cat>
            <c:strRef>
              <c:f>'Charges to party by investment'!$AJ$9:$AJ$62</c:f>
              <c:strCache>
                <c:ptCount val="54"/>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1">
                  <c:v>Contact</c:v>
                </c:pt>
                <c:pt idx="32">
                  <c:v>Genesis</c:v>
                </c:pt>
                <c:pt idx="33">
                  <c:v>Meridian</c:v>
                </c:pt>
                <c:pt idx="34">
                  <c:v>Tuaropaki</c:v>
                </c:pt>
                <c:pt idx="35">
                  <c:v>Mercury</c:v>
                </c:pt>
                <c:pt idx="36">
                  <c:v>Nga Awa Purua JV</c:v>
                </c:pt>
                <c:pt idx="37">
                  <c:v>Ngatamariki</c:v>
                </c:pt>
                <c:pt idx="38">
                  <c:v>Pioneer</c:v>
                </c:pt>
                <c:pt idx="39">
                  <c:v>Todd</c:v>
                </c:pt>
                <c:pt idx="40">
                  <c:v>Trustpower</c:v>
                </c:pt>
                <c:pt idx="43">
                  <c:v>Carter Holt Harvey</c:v>
                </c:pt>
                <c:pt idx="44">
                  <c:v>Daiken MDF</c:v>
                </c:pt>
                <c:pt idx="45">
                  <c:v>Kiwirail</c:v>
                </c:pt>
                <c:pt idx="46">
                  <c:v>Methanex</c:v>
                </c:pt>
                <c:pt idx="47">
                  <c:v>Norske Skog</c:v>
                </c:pt>
                <c:pt idx="48">
                  <c:v>NZ Steel</c:v>
                </c:pt>
                <c:pt idx="49">
                  <c:v>NZ Aluminium Smelter</c:v>
                </c:pt>
                <c:pt idx="50">
                  <c:v>Pan Pac</c:v>
                </c:pt>
                <c:pt idx="51">
                  <c:v>Rayonier</c:v>
                </c:pt>
                <c:pt idx="52">
                  <c:v>Refining NZ</c:v>
                </c:pt>
                <c:pt idx="53">
                  <c:v>Winstones</c:v>
                </c:pt>
              </c:strCache>
            </c:strRef>
          </c:cat>
          <c:val>
            <c:numRef>
              <c:f>'Charges to party by investment'!$AT$9:$AT$62</c:f>
              <c:numCache>
                <c:formatCode>"$"#,##0</c:formatCode>
                <c:ptCount val="54"/>
                <c:pt idx="0">
                  <c:v>9.1119553678956464</c:v>
                </c:pt>
                <c:pt idx="1">
                  <c:v>18.247906701148878</c:v>
                </c:pt>
                <c:pt idx="2">
                  <c:v>1.6331726372016337</c:v>
                </c:pt>
                <c:pt idx="3">
                  <c:v>1.1729083167498739</c:v>
                </c:pt>
                <c:pt idx="4">
                  <c:v>7.3102080594884704</c:v>
                </c:pt>
                <c:pt idx="5">
                  <c:v>3.3368861775901366</c:v>
                </c:pt>
                <c:pt idx="6">
                  <c:v>5.5562115163154813</c:v>
                </c:pt>
                <c:pt idx="7">
                  <c:v>11.32332224574863</c:v>
                </c:pt>
                <c:pt idx="8">
                  <c:v>3.1906882177984492</c:v>
                </c:pt>
                <c:pt idx="9">
                  <c:v>5.4490134600195379</c:v>
                </c:pt>
                <c:pt idx="10">
                  <c:v>0.15989271389023668</c:v>
                </c:pt>
                <c:pt idx="11">
                  <c:v>7.3111727214123938</c:v>
                </c:pt>
                <c:pt idx="12">
                  <c:v>4.3790828036484442</c:v>
                </c:pt>
                <c:pt idx="13">
                  <c:v>9.2260266403995423</c:v>
                </c:pt>
                <c:pt idx="14">
                  <c:v>3.6669211383122917</c:v>
                </c:pt>
                <c:pt idx="15">
                  <c:v>7.9330179141212547</c:v>
                </c:pt>
                <c:pt idx="16">
                  <c:v>42.175622227615868</c:v>
                </c:pt>
                <c:pt idx="17">
                  <c:v>4.2082170603735838</c:v>
                </c:pt>
                <c:pt idx="18">
                  <c:v>56.511342496295043</c:v>
                </c:pt>
                <c:pt idx="19">
                  <c:v>0.88266566038954219</c:v>
                </c:pt>
                <c:pt idx="20">
                  <c:v>4.3766711488386374</c:v>
                </c:pt>
                <c:pt idx="21">
                  <c:v>8.9558466552427038</c:v>
                </c:pt>
                <c:pt idx="22">
                  <c:v>4.1514225896026167</c:v>
                </c:pt>
                <c:pt idx="23">
                  <c:v>19.771951958206721</c:v>
                </c:pt>
                <c:pt idx="24">
                  <c:v>125.81771958602371</c:v>
                </c:pt>
                <c:pt idx="25">
                  <c:v>4.4499854550567841</c:v>
                </c:pt>
                <c:pt idx="26">
                  <c:v>16.534425958780655</c:v>
                </c:pt>
                <c:pt idx="27">
                  <c:v>33.85601604748247</c:v>
                </c:pt>
                <c:pt idx="28">
                  <c:v>4.274175819421818</c:v>
                </c:pt>
                <c:pt idx="29">
                  <c:v>0</c:v>
                </c:pt>
                <c:pt idx="30">
                  <c:v>0</c:v>
                </c:pt>
                <c:pt idx="31">
                  <c:v>1.4546209947385698</c:v>
                </c:pt>
                <c:pt idx="32">
                  <c:v>0.91586971563915975</c:v>
                </c:pt>
                <c:pt idx="33">
                  <c:v>1.2948528596380662</c:v>
                </c:pt>
                <c:pt idx="34">
                  <c:v>0</c:v>
                </c:pt>
                <c:pt idx="35">
                  <c:v>1.8924543061484456</c:v>
                </c:pt>
                <c:pt idx="36">
                  <c:v>0</c:v>
                </c:pt>
                <c:pt idx="37">
                  <c:v>0</c:v>
                </c:pt>
                <c:pt idx="38">
                  <c:v>0</c:v>
                </c:pt>
                <c:pt idx="39">
                  <c:v>3.087955552362669E-2</c:v>
                </c:pt>
                <c:pt idx="40">
                  <c:v>0.2928336593858899</c:v>
                </c:pt>
                <c:pt idx="41">
                  <c:v>0</c:v>
                </c:pt>
                <c:pt idx="42">
                  <c:v>0</c:v>
                </c:pt>
                <c:pt idx="43">
                  <c:v>5.1083959756234494</c:v>
                </c:pt>
                <c:pt idx="44">
                  <c:v>0.65307612249586888</c:v>
                </c:pt>
                <c:pt idx="45">
                  <c:v>2.1375702406728707</c:v>
                </c:pt>
                <c:pt idx="46">
                  <c:v>0.54563690071894499</c:v>
                </c:pt>
                <c:pt idx="47">
                  <c:v>6.5441975874704728</c:v>
                </c:pt>
                <c:pt idx="48">
                  <c:v>9.7864952181988016</c:v>
                </c:pt>
                <c:pt idx="49">
                  <c:v>33.430933177077605</c:v>
                </c:pt>
                <c:pt idx="50">
                  <c:v>4.8887860477012577</c:v>
                </c:pt>
                <c:pt idx="51">
                  <c:v>0.52357025920920652</c:v>
                </c:pt>
                <c:pt idx="52">
                  <c:v>2.0441186167928298</c:v>
                </c:pt>
                <c:pt idx="53">
                  <c:v>2.2387391599442945</c:v>
                </c:pt>
              </c:numCache>
            </c:numRef>
          </c:val>
          <c:extLst xmlns:c16r2="http://schemas.microsoft.com/office/drawing/2015/06/chart">
            <c:ext xmlns:c16="http://schemas.microsoft.com/office/drawing/2014/chart" uri="{C3380CC4-5D6E-409C-BE32-E72D297353CC}">
              <c16:uniqueId val="{00000001-C365-41EB-A09A-C77CFE527646}"/>
            </c:ext>
          </c:extLst>
        </c:ser>
        <c:ser>
          <c:idx val="0"/>
          <c:order val="1"/>
          <c:tx>
            <c:strRef>
              <c:f>'Charges to party by investment'!$AL$8</c:f>
              <c:strCache>
                <c:ptCount val="1"/>
                <c:pt idx="0">
                  <c:v>AoB Charge</c:v>
                </c:pt>
              </c:strCache>
            </c:strRef>
          </c:tx>
          <c:spPr>
            <a:solidFill>
              <a:srgbClr val="C00000">
                <a:alpha val="60000"/>
              </a:srgbClr>
            </a:solidFill>
            <a:ln>
              <a:noFill/>
            </a:ln>
            <a:effectLst/>
          </c:spPr>
          <c:invertIfNegative val="0"/>
          <c:cat>
            <c:strRef>
              <c:f>'Charges to party by investment'!$AJ$9:$AJ$62</c:f>
              <c:strCache>
                <c:ptCount val="54"/>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1">
                  <c:v>Contact</c:v>
                </c:pt>
                <c:pt idx="32">
                  <c:v>Genesis</c:v>
                </c:pt>
                <c:pt idx="33">
                  <c:v>Meridian</c:v>
                </c:pt>
                <c:pt idx="34">
                  <c:v>Tuaropaki</c:v>
                </c:pt>
                <c:pt idx="35">
                  <c:v>Mercury</c:v>
                </c:pt>
                <c:pt idx="36">
                  <c:v>Nga Awa Purua JV</c:v>
                </c:pt>
                <c:pt idx="37">
                  <c:v>Ngatamariki</c:v>
                </c:pt>
                <c:pt idx="38">
                  <c:v>Pioneer</c:v>
                </c:pt>
                <c:pt idx="39">
                  <c:v>Todd</c:v>
                </c:pt>
                <c:pt idx="40">
                  <c:v>Trustpower</c:v>
                </c:pt>
                <c:pt idx="43">
                  <c:v>Carter Holt Harvey</c:v>
                </c:pt>
                <c:pt idx="44">
                  <c:v>Daiken MDF</c:v>
                </c:pt>
                <c:pt idx="45">
                  <c:v>Kiwirail</c:v>
                </c:pt>
                <c:pt idx="46">
                  <c:v>Methanex</c:v>
                </c:pt>
                <c:pt idx="47">
                  <c:v>Norske Skog</c:v>
                </c:pt>
                <c:pt idx="48">
                  <c:v>NZ Steel</c:v>
                </c:pt>
                <c:pt idx="49">
                  <c:v>NZ Aluminium Smelter</c:v>
                </c:pt>
                <c:pt idx="50">
                  <c:v>Pan Pac</c:v>
                </c:pt>
                <c:pt idx="51">
                  <c:v>Rayonier</c:v>
                </c:pt>
                <c:pt idx="52">
                  <c:v>Refining NZ</c:v>
                </c:pt>
                <c:pt idx="53">
                  <c:v>Winstones</c:v>
                </c:pt>
              </c:strCache>
            </c:strRef>
          </c:cat>
          <c:val>
            <c:numRef>
              <c:f>'Charges to party by investment'!$AL$9:$AL$62</c:f>
              <c:numCache>
                <c:formatCode>0.00</c:formatCode>
                <c:ptCount val="54"/>
                <c:pt idx="0">
                  <c:v>0.62472711124657732</c:v>
                </c:pt>
                <c:pt idx="1">
                  <c:v>1.0587023770171544</c:v>
                </c:pt>
                <c:pt idx="2">
                  <c:v>0.16097793792378845</c:v>
                </c:pt>
                <c:pt idx="3">
                  <c:v>0.39892925315867384</c:v>
                </c:pt>
                <c:pt idx="4">
                  <c:v>5.0654113728930303</c:v>
                </c:pt>
                <c:pt idx="5">
                  <c:v>0.81153122579854353</c:v>
                </c:pt>
                <c:pt idx="6">
                  <c:v>1.7098057321251541</c:v>
                </c:pt>
                <c:pt idx="7">
                  <c:v>0.46935118826985156</c:v>
                </c:pt>
                <c:pt idx="8">
                  <c:v>0.40035257079322711</c:v>
                </c:pt>
                <c:pt idx="9">
                  <c:v>1.386591698599102</c:v>
                </c:pt>
                <c:pt idx="10">
                  <c:v>6.3554600652362099E-3</c:v>
                </c:pt>
                <c:pt idx="11">
                  <c:v>0.8000453177155451</c:v>
                </c:pt>
                <c:pt idx="12">
                  <c:v>0.55788539687452299</c:v>
                </c:pt>
                <c:pt idx="13">
                  <c:v>1.078447527756309</c:v>
                </c:pt>
                <c:pt idx="14">
                  <c:v>0.2708650006500738</c:v>
                </c:pt>
                <c:pt idx="15">
                  <c:v>12.496480636356447</c:v>
                </c:pt>
                <c:pt idx="16">
                  <c:v>4.4746619358793138</c:v>
                </c:pt>
                <c:pt idx="17">
                  <c:v>0.51126592424830153</c:v>
                </c:pt>
                <c:pt idx="18">
                  <c:v>15.604174552350369</c:v>
                </c:pt>
                <c:pt idx="19">
                  <c:v>0.29606618424947007</c:v>
                </c:pt>
                <c:pt idx="20">
                  <c:v>0.77550106167061228</c:v>
                </c:pt>
                <c:pt idx="21">
                  <c:v>1.1045665203547872</c:v>
                </c:pt>
                <c:pt idx="22">
                  <c:v>5.2191220049173808</c:v>
                </c:pt>
                <c:pt idx="23">
                  <c:v>4.9340059990655689</c:v>
                </c:pt>
                <c:pt idx="24">
                  <c:v>129.1428844576063</c:v>
                </c:pt>
                <c:pt idx="25">
                  <c:v>1.4879680527165906</c:v>
                </c:pt>
                <c:pt idx="26">
                  <c:v>5.4485451273311725</c:v>
                </c:pt>
                <c:pt idx="27">
                  <c:v>9.1835813008701574</c:v>
                </c:pt>
                <c:pt idx="28">
                  <c:v>0.38563026710442838</c:v>
                </c:pt>
                <c:pt idx="31">
                  <c:v>15.056693382505546</c:v>
                </c:pt>
                <c:pt idx="32">
                  <c:v>4.4648951449733527</c:v>
                </c:pt>
                <c:pt idx="33">
                  <c:v>37.689344023619206</c:v>
                </c:pt>
                <c:pt idx="34">
                  <c:v>0.18568578724632673</c:v>
                </c:pt>
                <c:pt idx="35">
                  <c:v>2.1424875513444643</c:v>
                </c:pt>
                <c:pt idx="36">
                  <c:v>0.54491105964166731</c:v>
                </c:pt>
                <c:pt idx="37">
                  <c:v>0.32789589470360458</c:v>
                </c:pt>
                <c:pt idx="38">
                  <c:v>9.8252834376390666E-2</c:v>
                </c:pt>
                <c:pt idx="39">
                  <c:v>9.4039809217492235E-2</c:v>
                </c:pt>
                <c:pt idx="40">
                  <c:v>2.7081073461681657</c:v>
                </c:pt>
                <c:pt idx="43">
                  <c:v>0.9572332374676209</c:v>
                </c:pt>
                <c:pt idx="44">
                  <c:v>8.4478162389828873E-2</c:v>
                </c:pt>
                <c:pt idx="45">
                  <c:v>0.13176694436202366</c:v>
                </c:pt>
                <c:pt idx="46">
                  <c:v>0.15770501677593859</c:v>
                </c:pt>
                <c:pt idx="47">
                  <c:v>0.24375561041088242</c:v>
                </c:pt>
                <c:pt idx="48">
                  <c:v>6.7150109029064211</c:v>
                </c:pt>
                <c:pt idx="49">
                  <c:v>6.5448038181690391</c:v>
                </c:pt>
                <c:pt idx="50">
                  <c:v>1.2421588521290323</c:v>
                </c:pt>
                <c:pt idx="51">
                  <c:v>8.1274262329650931E-2</c:v>
                </c:pt>
                <c:pt idx="52">
                  <c:v>3.7778175550209534</c:v>
                </c:pt>
                <c:pt idx="53">
                  <c:v>0.51069933969801617</c:v>
                </c:pt>
              </c:numCache>
            </c:numRef>
          </c:val>
          <c:extLst xmlns:c16r2="http://schemas.microsoft.com/office/drawing/2015/06/chart">
            <c:ext xmlns:c16="http://schemas.microsoft.com/office/drawing/2014/chart" uri="{C3380CC4-5D6E-409C-BE32-E72D297353CC}">
              <c16:uniqueId val="{00000000-C365-41EB-A09A-C77CFE527646}"/>
            </c:ext>
          </c:extLst>
        </c:ser>
        <c:dLbls>
          <c:showLegendKey val="0"/>
          <c:showVal val="0"/>
          <c:showCatName val="0"/>
          <c:showSerName val="0"/>
          <c:showPercent val="0"/>
          <c:showBubbleSize val="0"/>
        </c:dLbls>
        <c:gapWidth val="94"/>
        <c:overlap val="100"/>
        <c:axId val="261061248"/>
        <c:axId val="263139712"/>
      </c:barChart>
      <c:catAx>
        <c:axId val="26106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63139712"/>
        <c:crosses val="autoZero"/>
        <c:auto val="1"/>
        <c:lblAlgn val="ctr"/>
        <c:lblOffset val="100"/>
        <c:noMultiLvlLbl val="0"/>
      </c:catAx>
      <c:valAx>
        <c:axId val="263139712"/>
        <c:scaling>
          <c:orientation val="minMax"/>
          <c:max val="25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NZ" sz="1600" baseline="0"/>
                  <a:t>indicative </a:t>
                </a:r>
                <a:r>
                  <a:rPr lang="en-NZ" sz="1600"/>
                  <a:t>Charges ($m/yr)</a:t>
                </a:r>
              </a:p>
            </c:rich>
          </c:tx>
          <c:layout>
            <c:manualLayout>
              <c:xMode val="edge"/>
              <c:yMode val="edge"/>
              <c:x val="1.3515526892705885E-3"/>
              <c:y val="0.20574559068986489"/>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61061248"/>
        <c:crosses val="autoZero"/>
        <c:crossBetween val="between"/>
      </c:valAx>
      <c:spPr>
        <a:noFill/>
        <a:ln>
          <a:noFill/>
        </a:ln>
        <a:effectLst/>
      </c:spPr>
    </c:plotArea>
    <c:legend>
      <c:legendPos val="l"/>
      <c:layout>
        <c:manualLayout>
          <c:xMode val="edge"/>
          <c:yMode val="edge"/>
          <c:x val="0.110110569451602"/>
          <c:y val="0.12525291913184686"/>
          <c:w val="0.15209574861547642"/>
          <c:h val="0.2087352100482658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Area of Benefit Charge as a Proportion of Net Benefits </a:t>
            </a:r>
          </a:p>
          <a:p>
            <a:pPr>
              <a:defRPr sz="1800" b="0" i="0" u="none" strike="noStrike" kern="1200" spc="0" baseline="0">
                <a:solidFill>
                  <a:schemeClr val="tx1">
                    <a:lumMod val="65000"/>
                    <a:lumOff val="35000"/>
                  </a:schemeClr>
                </a:solidFill>
                <a:latin typeface="+mn-lt"/>
                <a:ea typeface="+mn-ea"/>
                <a:cs typeface="+mn-cs"/>
              </a:defRPr>
            </a:pPr>
            <a:r>
              <a:rPr lang="en-US" sz="1800"/>
              <a:t>(for the six large investments only)</a:t>
            </a:r>
          </a:p>
        </c:rich>
      </c:tx>
      <c:layout>
        <c:manualLayout>
          <c:xMode val="edge"/>
          <c:yMode val="edge"/>
          <c:x val="0.30315081423383605"/>
          <c:y val="0"/>
        </c:manualLayout>
      </c:layout>
      <c:overlay val="0"/>
      <c:spPr>
        <a:noFill/>
        <a:ln>
          <a:noFill/>
        </a:ln>
        <a:effectLst/>
      </c:spPr>
    </c:title>
    <c:autoTitleDeleted val="0"/>
    <c:plotArea>
      <c:layout>
        <c:manualLayout>
          <c:layoutTarget val="inner"/>
          <c:xMode val="edge"/>
          <c:yMode val="edge"/>
          <c:x val="8.7131733156883509E-2"/>
          <c:y val="0.11497434485438227"/>
          <c:w val="0.90713479787979856"/>
          <c:h val="0.59983961654038409"/>
        </c:manualLayout>
      </c:layout>
      <c:barChart>
        <c:barDir val="col"/>
        <c:grouping val="clustered"/>
        <c:varyColors val="0"/>
        <c:ser>
          <c:idx val="0"/>
          <c:order val="0"/>
          <c:spPr>
            <a:solidFill>
              <a:schemeClr val="accent1">
                <a:alpha val="80000"/>
              </a:schemeClr>
            </a:solidFill>
            <a:ln>
              <a:noFill/>
            </a:ln>
            <a:effectLst/>
          </c:spPr>
          <c:invertIfNegative val="0"/>
          <c:cat>
            <c:strRef>
              <c:f>'Charges to party by investment'!$BI$70:$BI$123</c:f>
              <c:strCache>
                <c:ptCount val="54"/>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1">
                  <c:v>Contact</c:v>
                </c:pt>
                <c:pt idx="32">
                  <c:v>Genesis</c:v>
                </c:pt>
                <c:pt idx="33">
                  <c:v>Meridian</c:v>
                </c:pt>
                <c:pt idx="34">
                  <c:v>Tuaropaki</c:v>
                </c:pt>
                <c:pt idx="35">
                  <c:v>Mercury</c:v>
                </c:pt>
                <c:pt idx="36">
                  <c:v>Nga Awa Purua JV</c:v>
                </c:pt>
                <c:pt idx="37">
                  <c:v>Ngatamariki</c:v>
                </c:pt>
                <c:pt idx="38">
                  <c:v>Pioneer</c:v>
                </c:pt>
                <c:pt idx="39">
                  <c:v>Todd</c:v>
                </c:pt>
                <c:pt idx="40">
                  <c:v>Trustpower</c:v>
                </c:pt>
                <c:pt idx="43">
                  <c:v>Carter Holt Harvey</c:v>
                </c:pt>
                <c:pt idx="44">
                  <c:v>Daiken MDF</c:v>
                </c:pt>
                <c:pt idx="45">
                  <c:v>Kiwirail</c:v>
                </c:pt>
                <c:pt idx="46">
                  <c:v>Methanex</c:v>
                </c:pt>
                <c:pt idx="47">
                  <c:v>Norske Skog</c:v>
                </c:pt>
                <c:pt idx="48">
                  <c:v>NZ Steel</c:v>
                </c:pt>
                <c:pt idx="49">
                  <c:v>NZ Aluminium Smelter</c:v>
                </c:pt>
                <c:pt idx="50">
                  <c:v>Pan Pac</c:v>
                </c:pt>
                <c:pt idx="51">
                  <c:v>Rayonier</c:v>
                </c:pt>
                <c:pt idx="52">
                  <c:v>Refining NZ</c:v>
                </c:pt>
                <c:pt idx="53">
                  <c:v>Winstones</c:v>
                </c:pt>
              </c:strCache>
            </c:strRef>
          </c:cat>
          <c:val>
            <c:numRef>
              <c:f>'Charges to party by investment'!$BM$70:$BM$123</c:f>
              <c:numCache>
                <c:formatCode>0.00</c:formatCode>
                <c:ptCount val="54"/>
                <c:pt idx="0">
                  <c:v>0.42804143055380173</c:v>
                </c:pt>
                <c:pt idx="1">
                  <c:v>0.6210939476447721</c:v>
                </c:pt>
                <c:pt idx="2">
                  <c:v>0.4664250643827324</c:v>
                </c:pt>
                <c:pt idx="3">
                  <c:v>6.2920654569161322E-2</c:v>
                </c:pt>
                <c:pt idx="4">
                  <c:v>0.13329179827307783</c:v>
                </c:pt>
                <c:pt idx="5">
                  <c:v>6.0660726225295551E-2</c:v>
                </c:pt>
                <c:pt idx="6">
                  <c:v>4.563624441495797E-2</c:v>
                </c:pt>
                <c:pt idx="7">
                  <c:v>0.39100113053052798</c:v>
                </c:pt>
                <c:pt idx="8">
                  <c:v>0.6132750254597561</c:v>
                </c:pt>
                <c:pt idx="9">
                  <c:v>6.4210374145214424E-2</c:v>
                </c:pt>
                <c:pt idx="10">
                  <c:v>0.53306581692123733</c:v>
                </c:pt>
                <c:pt idx="11">
                  <c:v>0.50550427710369139</c:v>
                </c:pt>
                <c:pt idx="12">
                  <c:v>0.50507589157099808</c:v>
                </c:pt>
                <c:pt idx="13">
                  <c:v>0.53302383765333794</c:v>
                </c:pt>
                <c:pt idx="14">
                  <c:v>0.4663460868903313</c:v>
                </c:pt>
                <c:pt idx="15">
                  <c:v>0.14119801996945119</c:v>
                </c:pt>
                <c:pt idx="16">
                  <c:v>0.53818216153243559</c:v>
                </c:pt>
                <c:pt idx="17">
                  <c:v>0.52051504138739935</c:v>
                </c:pt>
                <c:pt idx="18">
                  <c:v>6.4376282866531395E-2</c:v>
                </c:pt>
                <c:pt idx="19">
                  <c:v>6.3275752393056856E-2</c:v>
                </c:pt>
                <c:pt idx="20">
                  <c:v>6.8336192058514864E-2</c:v>
                </c:pt>
                <c:pt idx="21">
                  <c:v>0.54103604254300508</c:v>
                </c:pt>
                <c:pt idx="22">
                  <c:v>0.14036971148679778</c:v>
                </c:pt>
                <c:pt idx="23">
                  <c:v>6.195904921342929E-2</c:v>
                </c:pt>
                <c:pt idx="24">
                  <c:v>0.14069549576775137</c:v>
                </c:pt>
                <c:pt idx="25">
                  <c:v>7.3945408269411372E-2</c:v>
                </c:pt>
                <c:pt idx="26">
                  <c:v>7.3275841665445901E-2</c:v>
                </c:pt>
                <c:pt idx="27">
                  <c:v>6.1531360231104393E-2</c:v>
                </c:pt>
                <c:pt idx="28">
                  <c:v>0.44281361433614763</c:v>
                </c:pt>
                <c:pt idx="31" formatCode="General">
                  <c:v>8.4799319498136211E-2</c:v>
                </c:pt>
                <c:pt idx="32" formatCode="General">
                  <c:v>0.10363524392070785</c:v>
                </c:pt>
                <c:pt idx="33" formatCode="General">
                  <c:v>8.0933566017000691E-2</c:v>
                </c:pt>
                <c:pt idx="34" formatCode="General">
                  <c:v>0.25438969684105334</c:v>
                </c:pt>
                <c:pt idx="35" formatCode="General">
                  <c:v>0.25929803557624348</c:v>
                </c:pt>
                <c:pt idx="36" formatCode="General">
                  <c:v>0.29309706657658863</c:v>
                </c:pt>
                <c:pt idx="37" formatCode="General">
                  <c:v>0.29238314092171808</c:v>
                </c:pt>
                <c:pt idx="38" formatCode="General">
                  <c:v>8.0875280590350443E-2</c:v>
                </c:pt>
                <c:pt idx="39" formatCode="General">
                  <c:v>0.21187901115129434</c:v>
                </c:pt>
                <c:pt idx="40" formatCode="General">
                  <c:v>9.426108894081929E-2</c:v>
                </c:pt>
                <c:pt idx="43" formatCode="General">
                  <c:v>6.5345180441399739E-2</c:v>
                </c:pt>
                <c:pt idx="44" formatCode="General">
                  <c:v>0.4605527802314327</c:v>
                </c:pt>
                <c:pt idx="45" formatCode="General">
                  <c:v>7.9513653385676175E-2</c:v>
                </c:pt>
                <c:pt idx="46" formatCode="General">
                  <c:v>6.8640059234016351E-2</c:v>
                </c:pt>
                <c:pt idx="47" formatCode="General">
                  <c:v>8.5793777594511442E-2</c:v>
                </c:pt>
                <c:pt idx="48" formatCode="General">
                  <c:v>0.12697005235991407</c:v>
                </c:pt>
                <c:pt idx="49" formatCode="General">
                  <c:v>0.53839264777897422</c:v>
                </c:pt>
                <c:pt idx="50" formatCode="General">
                  <c:v>5.9462973513331976E-2</c:v>
                </c:pt>
                <c:pt idx="51" formatCode="General">
                  <c:v>0.53677035239818116</c:v>
                </c:pt>
                <c:pt idx="52" formatCode="General">
                  <c:v>0.13654186120181827</c:v>
                </c:pt>
                <c:pt idx="53" formatCode="General">
                  <c:v>4.3572666602381675E-2</c:v>
                </c:pt>
              </c:numCache>
            </c:numRef>
          </c:val>
          <c:extLst xmlns:c16r2="http://schemas.microsoft.com/office/drawing/2015/06/chart">
            <c:ext xmlns:c16="http://schemas.microsoft.com/office/drawing/2014/chart" uri="{C3380CC4-5D6E-409C-BE32-E72D297353CC}">
              <c16:uniqueId val="{00000000-F55D-40B5-892A-0A56B73FB499}"/>
            </c:ext>
          </c:extLst>
        </c:ser>
        <c:dLbls>
          <c:showLegendKey val="0"/>
          <c:showVal val="0"/>
          <c:showCatName val="0"/>
          <c:showSerName val="0"/>
          <c:showPercent val="0"/>
          <c:showBubbleSize val="0"/>
        </c:dLbls>
        <c:gapWidth val="176"/>
        <c:overlap val="-27"/>
        <c:axId val="263863680"/>
        <c:axId val="273384576"/>
      </c:barChart>
      <c:catAx>
        <c:axId val="263863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73384576"/>
        <c:crosses val="autoZero"/>
        <c:auto val="1"/>
        <c:lblAlgn val="ctr"/>
        <c:lblOffset val="100"/>
        <c:noMultiLvlLbl val="0"/>
      </c:catAx>
      <c:valAx>
        <c:axId val="27338457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Area of Benefit Charges as a Proportion of Net Benefits (%)</a:t>
                </a:r>
              </a:p>
            </c:rich>
          </c:tx>
          <c:layout>
            <c:manualLayout>
              <c:xMode val="edge"/>
              <c:yMode val="edge"/>
              <c:x val="9.4452393607569463E-3"/>
              <c:y val="8.8116323721568399E-2"/>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63863680"/>
        <c:crosses val="autoZero"/>
        <c:crossBetween val="between"/>
        <c:majorUnit val="0.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Area-of</a:t>
            </a:r>
            <a:r>
              <a:rPr lang="en-US" sz="1800" baseline="0"/>
              <a:t>-Benefit Charge Compared to Indicative Net Benefits </a:t>
            </a:r>
            <a:endParaRPr lang="en-US" sz="1800"/>
          </a:p>
          <a:p>
            <a:pPr>
              <a:defRPr sz="1800" b="0" i="0" u="none" strike="noStrike" kern="1200" spc="0" baseline="0">
                <a:solidFill>
                  <a:schemeClr val="tx1">
                    <a:lumMod val="65000"/>
                    <a:lumOff val="35000"/>
                  </a:schemeClr>
                </a:solidFill>
                <a:latin typeface="+mn-lt"/>
                <a:ea typeface="+mn-ea"/>
                <a:cs typeface="+mn-cs"/>
              </a:defRPr>
            </a:pPr>
            <a:r>
              <a:rPr lang="en-US" sz="1800"/>
              <a:t>for the Six Large Investments</a:t>
            </a:r>
            <a:r>
              <a:rPr lang="en-US" sz="1800" baseline="0"/>
              <a:t> (as $/MWh)</a:t>
            </a:r>
            <a:endParaRPr lang="en-US" sz="1800"/>
          </a:p>
        </c:rich>
      </c:tx>
      <c:layout>
        <c:manualLayout>
          <c:xMode val="edge"/>
          <c:yMode val="edge"/>
          <c:x val="0.33625663843461073"/>
          <c:y val="0"/>
        </c:manualLayout>
      </c:layout>
      <c:overlay val="0"/>
      <c:spPr>
        <a:noFill/>
        <a:ln>
          <a:noFill/>
        </a:ln>
        <a:effectLst/>
      </c:spPr>
    </c:title>
    <c:autoTitleDeleted val="0"/>
    <c:plotArea>
      <c:layout>
        <c:manualLayout>
          <c:layoutTarget val="inner"/>
          <c:xMode val="edge"/>
          <c:yMode val="edge"/>
          <c:x val="8.7131733156883509E-2"/>
          <c:y val="0.14430466613218784"/>
          <c:w val="0.90713479787979856"/>
          <c:h val="0.570509305540434"/>
        </c:manualLayout>
      </c:layout>
      <c:barChart>
        <c:barDir val="col"/>
        <c:grouping val="clustered"/>
        <c:varyColors val="0"/>
        <c:ser>
          <c:idx val="0"/>
          <c:order val="0"/>
          <c:tx>
            <c:strRef>
              <c:f>'Charges to party by investment'!$BN$69</c:f>
              <c:strCache>
                <c:ptCount val="1"/>
                <c:pt idx="0">
                  <c:v>Area-of-benefit charge ($/MWh)</c:v>
                </c:pt>
              </c:strCache>
            </c:strRef>
          </c:tx>
          <c:spPr>
            <a:solidFill>
              <a:srgbClr val="C00000">
                <a:alpha val="74000"/>
              </a:srgbClr>
            </a:solidFill>
            <a:ln>
              <a:noFill/>
            </a:ln>
            <a:effectLst/>
          </c:spPr>
          <c:invertIfNegative val="0"/>
          <c:cat>
            <c:strRef>
              <c:f>'Charges to party by investment'!$BI$70:$BI$123</c:f>
              <c:strCache>
                <c:ptCount val="54"/>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1">
                  <c:v>Contact</c:v>
                </c:pt>
                <c:pt idx="32">
                  <c:v>Genesis</c:v>
                </c:pt>
                <c:pt idx="33">
                  <c:v>Meridian</c:v>
                </c:pt>
                <c:pt idx="34">
                  <c:v>Tuaropaki</c:v>
                </c:pt>
                <c:pt idx="35">
                  <c:v>Mercury</c:v>
                </c:pt>
                <c:pt idx="36">
                  <c:v>Nga Awa Purua JV</c:v>
                </c:pt>
                <c:pt idx="37">
                  <c:v>Ngatamariki</c:v>
                </c:pt>
                <c:pt idx="38">
                  <c:v>Pioneer</c:v>
                </c:pt>
                <c:pt idx="39">
                  <c:v>Todd</c:v>
                </c:pt>
                <c:pt idx="40">
                  <c:v>Trustpower</c:v>
                </c:pt>
                <c:pt idx="43">
                  <c:v>Carter Holt Harvey</c:v>
                </c:pt>
                <c:pt idx="44">
                  <c:v>Daiken MDF</c:v>
                </c:pt>
                <c:pt idx="45">
                  <c:v>Kiwirail</c:v>
                </c:pt>
                <c:pt idx="46">
                  <c:v>Methanex</c:v>
                </c:pt>
                <c:pt idx="47">
                  <c:v>Norske Skog</c:v>
                </c:pt>
                <c:pt idx="48">
                  <c:v>NZ Steel</c:v>
                </c:pt>
                <c:pt idx="49">
                  <c:v>NZ Aluminium Smelter</c:v>
                </c:pt>
                <c:pt idx="50">
                  <c:v>Pan Pac</c:v>
                </c:pt>
                <c:pt idx="51">
                  <c:v>Rayonier</c:v>
                </c:pt>
                <c:pt idx="52">
                  <c:v>Refining NZ</c:v>
                </c:pt>
                <c:pt idx="53">
                  <c:v>Winstones</c:v>
                </c:pt>
              </c:strCache>
            </c:strRef>
          </c:cat>
          <c:val>
            <c:numRef>
              <c:f>'Charges to party by investment'!$BN$70:$BN$123</c:f>
              <c:numCache>
                <c:formatCode>General</c:formatCode>
                <c:ptCount val="54"/>
                <c:pt idx="0">
                  <c:v>0.7870492505486899</c:v>
                </c:pt>
                <c:pt idx="1">
                  <c:v>0.78403813689877555</c:v>
                </c:pt>
                <c:pt idx="2">
                  <c:v>0.74525142760454233</c:v>
                </c:pt>
                <c:pt idx="3">
                  <c:v>3.5231514142677947</c:v>
                </c:pt>
                <c:pt idx="4">
                  <c:v>7.5059932211956504</c:v>
                </c:pt>
                <c:pt idx="5">
                  <c:v>2.6836172571561816</c:v>
                </c:pt>
                <c:pt idx="6">
                  <c:v>3.9465464536485562</c:v>
                </c:pt>
                <c:pt idx="7">
                  <c:v>0.74837324823120088</c:v>
                </c:pt>
                <c:pt idx="8">
                  <c:v>0.97198335149833803</c:v>
                </c:pt>
                <c:pt idx="9">
                  <c:v>2.7809422260087686</c:v>
                </c:pt>
                <c:pt idx="10">
                  <c:v>0.57095141786362036</c:v>
                </c:pt>
                <c:pt idx="11">
                  <c:v>0.79743050555875716</c:v>
                </c:pt>
                <c:pt idx="12">
                  <c:v>0.86833454842664826</c:v>
                </c:pt>
                <c:pt idx="13">
                  <c:v>0.84935165263031132</c:v>
                </c:pt>
                <c:pt idx="14">
                  <c:v>1.0070263033644147</c:v>
                </c:pt>
                <c:pt idx="15">
                  <c:v>11.366690464213704</c:v>
                </c:pt>
                <c:pt idx="16">
                  <c:v>0.73374329185182963</c:v>
                </c:pt>
                <c:pt idx="17">
                  <c:v>1.0194279608377759</c:v>
                </c:pt>
                <c:pt idx="18">
                  <c:v>3.5600065779421159</c:v>
                </c:pt>
                <c:pt idx="19">
                  <c:v>3.5500627926809516</c:v>
                </c:pt>
                <c:pt idx="20">
                  <c:v>2.6626828739445845</c:v>
                </c:pt>
                <c:pt idx="21">
                  <c:v>1.0967840284088584</c:v>
                </c:pt>
                <c:pt idx="22">
                  <c:v>8.9103911769014665</c:v>
                </c:pt>
                <c:pt idx="23">
                  <c:v>3.0267134428888385</c:v>
                </c:pt>
                <c:pt idx="24">
                  <c:v>12.079206804425356</c:v>
                </c:pt>
                <c:pt idx="25">
                  <c:v>3.9487166732743382</c:v>
                </c:pt>
                <c:pt idx="26">
                  <c:v>4.377455103270945</c:v>
                </c:pt>
                <c:pt idx="27">
                  <c:v>3.7264071240231762</c:v>
                </c:pt>
                <c:pt idx="28">
                  <c:v>0.61115710146564006</c:v>
                </c:pt>
                <c:pt idx="31">
                  <c:v>1.2787682686852733</c:v>
                </c:pt>
                <c:pt idx="32">
                  <c:v>0.47091472142334195</c:v>
                </c:pt>
                <c:pt idx="33">
                  <c:v>2.6671451229078684</c:v>
                </c:pt>
                <c:pt idx="34">
                  <c:v>7.6406658311612377E-2</c:v>
                </c:pt>
                <c:pt idx="35">
                  <c:v>0.32640401970708416</c:v>
                </c:pt>
                <c:pt idx="36">
                  <c:v>0.3730268685378908</c:v>
                </c:pt>
                <c:pt idx="37">
                  <c:v>0.37390408977523087</c:v>
                </c:pt>
                <c:pt idx="38">
                  <c:v>2.0693833452416146</c:v>
                </c:pt>
                <c:pt idx="39">
                  <c:v>3.2933720364669343E-2</c:v>
                </c:pt>
                <c:pt idx="40">
                  <c:v>1.2127765701367224</c:v>
                </c:pt>
                <c:pt idx="43">
                  <c:v>1.5750379544954807</c:v>
                </c:pt>
                <c:pt idx="44">
                  <c:v>0.76373055754742214</c:v>
                </c:pt>
                <c:pt idx="45">
                  <c:v>3.2986796053915559</c:v>
                </c:pt>
                <c:pt idx="46">
                  <c:v>2.9371008621977079</c:v>
                </c:pt>
                <c:pt idx="47">
                  <c:v>0.51170482985945165</c:v>
                </c:pt>
                <c:pt idx="48">
                  <c:v>5.2607478438049693</c:v>
                </c:pt>
                <c:pt idx="49">
                  <c:v>0.99835680622508294</c:v>
                </c:pt>
                <c:pt idx="50">
                  <c:v>2.3484899687286789</c:v>
                </c:pt>
                <c:pt idx="51">
                  <c:v>1.0591750667326134</c:v>
                </c:pt>
                <c:pt idx="52">
                  <c:v>10.601231603213368</c:v>
                </c:pt>
                <c:pt idx="53">
                  <c:v>2.1673727423264051</c:v>
                </c:pt>
              </c:numCache>
            </c:numRef>
          </c:val>
          <c:extLst xmlns:c16r2="http://schemas.microsoft.com/office/drawing/2015/06/chart">
            <c:ext xmlns:c16="http://schemas.microsoft.com/office/drawing/2014/chart" uri="{C3380CC4-5D6E-409C-BE32-E72D297353CC}">
              <c16:uniqueId val="{00000000-C6E8-4C44-829F-8EB5C0F861F3}"/>
            </c:ext>
          </c:extLst>
        </c:ser>
        <c:ser>
          <c:idx val="1"/>
          <c:order val="1"/>
          <c:tx>
            <c:strRef>
              <c:f>'Charges to party by investment'!$BO$69</c:f>
              <c:strCache>
                <c:ptCount val="1"/>
                <c:pt idx="0">
                  <c:v>Net benefit of the six largest investments (price reduction and reliability benefits, $/MWh)</c:v>
                </c:pt>
              </c:strCache>
            </c:strRef>
          </c:tx>
          <c:spPr>
            <a:solidFill>
              <a:schemeClr val="accent1">
                <a:lumMod val="75000"/>
                <a:alpha val="74000"/>
              </a:schemeClr>
            </a:solidFill>
            <a:ln>
              <a:noFill/>
            </a:ln>
            <a:effectLst/>
          </c:spPr>
          <c:invertIfNegative val="0"/>
          <c:cat>
            <c:strRef>
              <c:f>'Charges to party by investment'!$BI$70:$BI$123</c:f>
              <c:strCache>
                <c:ptCount val="54"/>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1">
                  <c:v>Contact</c:v>
                </c:pt>
                <c:pt idx="32">
                  <c:v>Genesis</c:v>
                </c:pt>
                <c:pt idx="33">
                  <c:v>Meridian</c:v>
                </c:pt>
                <c:pt idx="34">
                  <c:v>Tuaropaki</c:v>
                </c:pt>
                <c:pt idx="35">
                  <c:v>Mercury</c:v>
                </c:pt>
                <c:pt idx="36">
                  <c:v>Nga Awa Purua JV</c:v>
                </c:pt>
                <c:pt idx="37">
                  <c:v>Ngatamariki</c:v>
                </c:pt>
                <c:pt idx="38">
                  <c:v>Pioneer</c:v>
                </c:pt>
                <c:pt idx="39">
                  <c:v>Todd</c:v>
                </c:pt>
                <c:pt idx="40">
                  <c:v>Trustpower</c:v>
                </c:pt>
                <c:pt idx="43">
                  <c:v>Carter Holt Harvey</c:v>
                </c:pt>
                <c:pt idx="44">
                  <c:v>Daiken MDF</c:v>
                </c:pt>
                <c:pt idx="45">
                  <c:v>Kiwirail</c:v>
                </c:pt>
                <c:pt idx="46">
                  <c:v>Methanex</c:v>
                </c:pt>
                <c:pt idx="47">
                  <c:v>Norske Skog</c:v>
                </c:pt>
                <c:pt idx="48">
                  <c:v>NZ Steel</c:v>
                </c:pt>
                <c:pt idx="49">
                  <c:v>NZ Aluminium Smelter</c:v>
                </c:pt>
                <c:pt idx="50">
                  <c:v>Pan Pac</c:v>
                </c:pt>
                <c:pt idx="51">
                  <c:v>Rayonier</c:v>
                </c:pt>
                <c:pt idx="52">
                  <c:v>Refining NZ</c:v>
                </c:pt>
                <c:pt idx="53">
                  <c:v>Winstones</c:v>
                </c:pt>
              </c:strCache>
            </c:strRef>
          </c:cat>
          <c:val>
            <c:numRef>
              <c:f>'Charges to party by investment'!$BO$70:$BO$123</c:f>
              <c:numCache>
                <c:formatCode>General</c:formatCode>
                <c:ptCount val="54"/>
                <c:pt idx="0">
                  <c:v>1.8387221291415703</c:v>
                </c:pt>
                <c:pt idx="1">
                  <c:v>1.2623503092759125</c:v>
                </c:pt>
                <c:pt idx="2">
                  <c:v>1.5977945537528289</c:v>
                </c:pt>
                <c:pt idx="3">
                  <c:v>55.993559482049044</c:v>
                </c:pt>
                <c:pt idx="4">
                  <c:v>56.31249122933999</c:v>
                </c:pt>
                <c:pt idx="5">
                  <c:v>44.239781224991525</c:v>
                </c:pt>
                <c:pt idx="6">
                  <c:v>86.478335459940169</c:v>
                </c:pt>
                <c:pt idx="7">
                  <c:v>1.9139925432332492</c:v>
                </c:pt>
                <c:pt idx="8">
                  <c:v>1.5849061369646804</c:v>
                </c:pt>
                <c:pt idx="9">
                  <c:v>43.309858617542893</c:v>
                </c:pt>
                <c:pt idx="10">
                  <c:v>1.0710711505779795</c:v>
                </c:pt>
                <c:pt idx="11">
                  <c:v>1.5774950711152629</c:v>
                </c:pt>
                <c:pt idx="12">
                  <c:v>1.7192159889591305</c:v>
                </c:pt>
                <c:pt idx="13">
                  <c:v>1.5934590399739368</c:v>
                </c:pt>
                <c:pt idx="14">
                  <c:v>2.1593969193124871</c:v>
                </c:pt>
                <c:pt idx="15">
                  <c:v>80.50176954799322</c:v>
                </c:pt>
                <c:pt idx="16">
                  <c:v>1.3633734900513008</c:v>
                </c:pt>
                <c:pt idx="17">
                  <c:v>1.9584985635007903</c:v>
                </c:pt>
                <c:pt idx="18">
                  <c:v>55.299971036273185</c:v>
                </c:pt>
                <c:pt idx="19">
                  <c:v>56.104631844259096</c:v>
                </c:pt>
                <c:pt idx="20">
                  <c:v>38.964460759894031</c:v>
                </c:pt>
                <c:pt idx="21">
                  <c:v>2.0271921686653229</c:v>
                </c:pt>
                <c:pt idx="22">
                  <c:v>63.478018744375042</c:v>
                </c:pt>
                <c:pt idx="23">
                  <c:v>48.850224161167638</c:v>
                </c:pt>
                <c:pt idx="24">
                  <c:v>85.853543061284086</c:v>
                </c:pt>
                <c:pt idx="25">
                  <c:v>53.400431016455485</c:v>
                </c:pt>
                <c:pt idx="26">
                  <c:v>59.739403926017076</c:v>
                </c:pt>
                <c:pt idx="27">
                  <c:v>60.561104289377631</c:v>
                </c:pt>
                <c:pt idx="28">
                  <c:v>1.3801678215830553</c:v>
                </c:pt>
                <c:pt idx="31">
                  <c:v>15.079935502470386</c:v>
                </c:pt>
                <c:pt idx="32">
                  <c:v>4.5439630728677844</c:v>
                </c:pt>
                <c:pt idx="33">
                  <c:v>32.954746147570155</c:v>
                </c:pt>
                <c:pt idx="34">
                  <c:v>0.30035280225736677</c:v>
                </c:pt>
                <c:pt idx="35">
                  <c:v>1.2587986599347336</c:v>
                </c:pt>
                <c:pt idx="36">
                  <c:v>1.2727076149034602</c:v>
                </c:pt>
                <c:pt idx="37">
                  <c:v>1.278815490511948</c:v>
                </c:pt>
                <c:pt idx="38">
                  <c:v>25.587340533919843</c:v>
                </c:pt>
                <c:pt idx="39">
                  <c:v>0.15543644547761595</c:v>
                </c:pt>
                <c:pt idx="40">
                  <c:v>12.866142156475085</c:v>
                </c:pt>
                <c:pt idx="43">
                  <c:v>24.103353053067831</c:v>
                </c:pt>
                <c:pt idx="44">
                  <c:v>1.6582910587655977</c:v>
                </c:pt>
                <c:pt idx="45">
                  <c:v>41.485700441803495</c:v>
                </c:pt>
                <c:pt idx="46">
                  <c:v>42.789894049831361</c:v>
                </c:pt>
                <c:pt idx="47">
                  <c:v>5.9643583043741319</c:v>
                </c:pt>
                <c:pt idx="48">
                  <c:v>41.432981604927257</c:v>
                </c:pt>
                <c:pt idx="49">
                  <c:v>1.8543284540448208</c:v>
                </c:pt>
                <c:pt idx="50">
                  <c:v>39.494997138044781</c:v>
                </c:pt>
                <c:pt idx="51">
                  <c:v>1.9732369010330655</c:v>
                </c:pt>
                <c:pt idx="52">
                  <c:v>77.640889833367766</c:v>
                </c:pt>
                <c:pt idx="53">
                  <c:v>49.741567623220398</c:v>
                </c:pt>
              </c:numCache>
            </c:numRef>
          </c:val>
          <c:extLst xmlns:c16r2="http://schemas.microsoft.com/office/drawing/2015/06/chart">
            <c:ext xmlns:c16="http://schemas.microsoft.com/office/drawing/2014/chart" uri="{C3380CC4-5D6E-409C-BE32-E72D297353CC}">
              <c16:uniqueId val="{00000001-C6E8-4C44-829F-8EB5C0F861F3}"/>
            </c:ext>
          </c:extLst>
        </c:ser>
        <c:dLbls>
          <c:showLegendKey val="0"/>
          <c:showVal val="0"/>
          <c:showCatName val="0"/>
          <c:showSerName val="0"/>
          <c:showPercent val="0"/>
          <c:showBubbleSize val="0"/>
        </c:dLbls>
        <c:gapWidth val="176"/>
        <c:overlap val="-27"/>
        <c:axId val="311128064"/>
        <c:axId val="311129600"/>
      </c:barChart>
      <c:catAx>
        <c:axId val="311128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311129600"/>
        <c:crosses val="autoZero"/>
        <c:auto val="1"/>
        <c:lblAlgn val="ctr"/>
        <c:lblOffset val="100"/>
        <c:noMultiLvlLbl val="0"/>
      </c:catAx>
      <c:valAx>
        <c:axId val="311129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 $/MWh</a:t>
                </a:r>
              </a:p>
            </c:rich>
          </c:tx>
          <c:layout>
            <c:manualLayout>
              <c:xMode val="edge"/>
              <c:yMode val="edge"/>
              <c:x val="8.3417118873977941E-3"/>
              <c:y val="0.34935730569879808"/>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11128064"/>
        <c:crosses val="autoZero"/>
        <c:crossBetween val="between"/>
      </c:valAx>
      <c:spPr>
        <a:noFill/>
        <a:ln>
          <a:noFill/>
        </a:ln>
        <a:effectLst/>
      </c:spPr>
    </c:plotArea>
    <c:legend>
      <c:legendPos val="l"/>
      <c:layout>
        <c:manualLayout>
          <c:xMode val="edge"/>
          <c:yMode val="edge"/>
          <c:x val="0.10814569238919694"/>
          <c:y val="0.14933668537342587"/>
          <c:w val="0.86214917275844249"/>
          <c:h val="3.893724082899838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Change in Charges as a Proportion of Raw Benefits </a:t>
            </a:r>
          </a:p>
          <a:p>
            <a:pPr>
              <a:defRPr sz="1800" b="0" i="0" u="none" strike="noStrike" kern="1200" spc="0" baseline="0">
                <a:solidFill>
                  <a:schemeClr val="tx1">
                    <a:lumMod val="65000"/>
                    <a:lumOff val="35000"/>
                  </a:schemeClr>
                </a:solidFill>
                <a:latin typeface="+mn-lt"/>
                <a:ea typeface="+mn-ea"/>
                <a:cs typeface="+mn-cs"/>
              </a:defRPr>
            </a:pPr>
            <a:r>
              <a:rPr lang="en-US" sz="1800"/>
              <a:t>(for the six large investments only)</a:t>
            </a:r>
          </a:p>
        </c:rich>
      </c:tx>
      <c:layout>
        <c:manualLayout>
          <c:xMode val="edge"/>
          <c:yMode val="edge"/>
          <c:x val="0.33515311096125155"/>
          <c:y val="6.9221276985397037E-3"/>
        </c:manualLayout>
      </c:layout>
      <c:overlay val="0"/>
      <c:spPr>
        <a:noFill/>
        <a:ln>
          <a:noFill/>
        </a:ln>
        <a:effectLst/>
      </c:spPr>
    </c:title>
    <c:autoTitleDeleted val="0"/>
    <c:plotArea>
      <c:layout>
        <c:manualLayout>
          <c:layoutTarget val="inner"/>
          <c:xMode val="edge"/>
          <c:yMode val="edge"/>
          <c:x val="8.7131733156883509E-2"/>
          <c:y val="0.11497434485438227"/>
          <c:w val="0.90713479787979856"/>
          <c:h val="0.59983961654038409"/>
        </c:manualLayout>
      </c:layout>
      <c:barChart>
        <c:barDir val="col"/>
        <c:grouping val="clustered"/>
        <c:varyColors val="0"/>
        <c:ser>
          <c:idx val="0"/>
          <c:order val="0"/>
          <c:spPr>
            <a:solidFill>
              <a:schemeClr val="accent1">
                <a:alpha val="80000"/>
              </a:schemeClr>
            </a:solidFill>
            <a:ln>
              <a:noFill/>
            </a:ln>
            <a:effectLst/>
          </c:spPr>
          <c:invertIfNegative val="0"/>
          <c:cat>
            <c:strRef>
              <c:f>'Charges to party by investment'!$BJ$70:$BJ$123</c:f>
              <c:strCache>
                <c:ptCount val="54"/>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c:v>
                </c:pt>
                <c:pt idx="27">
                  <c:v>Wellington Electricity</c:v>
                </c:pt>
                <c:pt idx="28">
                  <c:v>Westpower</c:v>
                </c:pt>
                <c:pt idx="31">
                  <c:v>Contact</c:v>
                </c:pt>
                <c:pt idx="32">
                  <c:v>Genesis</c:v>
                </c:pt>
                <c:pt idx="33">
                  <c:v>Meridian</c:v>
                </c:pt>
                <c:pt idx="34">
                  <c:v>Mokai JV</c:v>
                </c:pt>
                <c:pt idx="35">
                  <c:v>MRP</c:v>
                </c:pt>
                <c:pt idx="36">
                  <c:v>NAP JV</c:v>
                </c:pt>
                <c:pt idx="37">
                  <c:v>Ngatamariki</c:v>
                </c:pt>
                <c:pt idx="38">
                  <c:v>Pioneer</c:v>
                </c:pt>
                <c:pt idx="39">
                  <c:v>Todd</c:v>
                </c:pt>
                <c:pt idx="40">
                  <c:v>Trustpower</c:v>
                </c:pt>
                <c:pt idx="43">
                  <c:v>CHH</c:v>
                </c:pt>
                <c:pt idx="44">
                  <c:v>Daiken MDF</c:v>
                </c:pt>
                <c:pt idx="45">
                  <c:v>Kiwirail</c:v>
                </c:pt>
                <c:pt idx="46">
                  <c:v>Methanex</c:v>
                </c:pt>
                <c:pt idx="47">
                  <c:v>Norske Skog</c:v>
                </c:pt>
                <c:pt idx="48">
                  <c:v>NZ Steel</c:v>
                </c:pt>
                <c:pt idx="49">
                  <c:v>NZAS</c:v>
                </c:pt>
                <c:pt idx="50">
                  <c:v>PanPac</c:v>
                </c:pt>
                <c:pt idx="51">
                  <c:v>Rayonier</c:v>
                </c:pt>
                <c:pt idx="52">
                  <c:v>Refinery</c:v>
                </c:pt>
                <c:pt idx="53">
                  <c:v>Winstones</c:v>
                </c:pt>
              </c:strCache>
            </c:strRef>
          </c:cat>
          <c:val>
            <c:numRef>
              <c:f>'Charges to party by investment'!$BR$70:$BR$123</c:f>
              <c:numCache>
                <c:formatCode>General</c:formatCode>
                <c:ptCount val="54"/>
                <c:pt idx="0">
                  <c:v>793.7586</c:v>
                </c:pt>
                <c:pt idx="1">
                  <c:v>1350.32</c:v>
                </c:pt>
                <c:pt idx="2">
                  <c:v>107.0976</c:v>
                </c:pt>
                <c:pt idx="3">
                  <c:v>113.2308</c:v>
                </c:pt>
                <c:pt idx="4">
                  <c:v>566.40549999999996</c:v>
                </c:pt>
                <c:pt idx="5">
                  <c:v>302.40199999999999</c:v>
                </c:pt>
                <c:pt idx="6">
                  <c:v>433.24099999999999</c:v>
                </c:pt>
                <c:pt idx="7">
                  <c:v>627.16189999999995</c:v>
                </c:pt>
                <c:pt idx="8">
                  <c:v>257.96260000000001</c:v>
                </c:pt>
                <c:pt idx="9">
                  <c:v>498.60500000000002</c:v>
                </c:pt>
                <c:pt idx="10">
                  <c:v>11.131349999999999</c:v>
                </c:pt>
                <c:pt idx="11">
                  <c:v>547.63909999999998</c:v>
                </c:pt>
                <c:pt idx="12">
                  <c:v>391.85289999999998</c:v>
                </c:pt>
                <c:pt idx="13">
                  <c:v>729.90309999999999</c:v>
                </c:pt>
                <c:pt idx="14">
                  <c:v>268.9751</c:v>
                </c:pt>
                <c:pt idx="15">
                  <c:v>758.77530000000002</c:v>
                </c:pt>
                <c:pt idx="16">
                  <c:v>3241.8319999999999</c:v>
                </c:pt>
                <c:pt idx="17">
                  <c:v>424.68549999999999</c:v>
                </c:pt>
                <c:pt idx="18">
                  <c:v>4383.1869999999999</c:v>
                </c:pt>
                <c:pt idx="19">
                  <c:v>83.397450000000006</c:v>
                </c:pt>
                <c:pt idx="20">
                  <c:v>291.24799999999999</c:v>
                </c:pt>
                <c:pt idx="21">
                  <c:v>773.01859999999999</c:v>
                </c:pt>
                <c:pt idx="22">
                  <c:v>358.34750000000003</c:v>
                </c:pt>
                <c:pt idx="23">
                  <c:v>1630.153</c:v>
                </c:pt>
                <c:pt idx="24">
                  <c:v>8414.0769999999993</c:v>
                </c:pt>
                <c:pt idx="25">
                  <c:v>376.82319999999999</c:v>
                </c:pt>
                <c:pt idx="26">
                  <c:v>1244.671</c:v>
                </c:pt>
                <c:pt idx="27">
                  <c:v>2464.46</c:v>
                </c:pt>
                <c:pt idx="28">
                  <c:v>283.42599999999999</c:v>
                </c:pt>
                <c:pt idx="31">
                  <c:v>10651.012025451901</c:v>
                </c:pt>
                <c:pt idx="32">
                  <c:v>7423.6117405591003</c:v>
                </c:pt>
                <c:pt idx="33">
                  <c:v>13468.672578574731</c:v>
                </c:pt>
                <c:pt idx="34">
                  <c:v>915.048</c:v>
                </c:pt>
                <c:pt idx="35">
                  <c:v>4421.4036502775998</c:v>
                </c:pt>
                <c:pt idx="36">
                  <c:v>1078.7414304141901</c:v>
                </c:pt>
                <c:pt idx="37">
                  <c:v>655.45440152937101</c:v>
                </c:pt>
                <c:pt idx="38">
                  <c:v>47.479281498189003</c:v>
                </c:pt>
                <c:pt idx="39">
                  <c:v>971.44171391737405</c:v>
                </c:pt>
                <c:pt idx="40">
                  <c:v>2034.631217783146</c:v>
                </c:pt>
                <c:pt idx="43">
                  <c:v>585.33579999999995</c:v>
                </c:pt>
                <c:pt idx="44">
                  <c:v>68.116209999999995</c:v>
                </c:pt>
                <c:pt idx="45">
                  <c:v>39.945360000000001</c:v>
                </c:pt>
                <c:pt idx="46">
                  <c:v>53.694110000000002</c:v>
                </c:pt>
                <c:pt idx="47">
                  <c:v>476.35980000000001</c:v>
                </c:pt>
                <c:pt idx="48">
                  <c:v>1065.394</c:v>
                </c:pt>
                <c:pt idx="49">
                  <c:v>4985.3580000000002</c:v>
                </c:pt>
                <c:pt idx="50">
                  <c:v>528.91809999999998</c:v>
                </c:pt>
                <c:pt idx="51">
                  <c:v>53.554029999999997</c:v>
                </c:pt>
                <c:pt idx="52">
                  <c:v>262.25099999999998</c:v>
                </c:pt>
                <c:pt idx="53">
                  <c:v>235.63059999999999</c:v>
                </c:pt>
              </c:numCache>
            </c:numRef>
          </c:val>
          <c:extLst xmlns:c16r2="http://schemas.microsoft.com/office/drawing/2015/06/chart">
            <c:ext xmlns:c16="http://schemas.microsoft.com/office/drawing/2014/chart" uri="{C3380CC4-5D6E-409C-BE32-E72D297353CC}">
              <c16:uniqueId val="{00000000-A5A7-4A80-880F-9B2EC4D205F9}"/>
            </c:ext>
          </c:extLst>
        </c:ser>
        <c:dLbls>
          <c:showLegendKey val="0"/>
          <c:showVal val="0"/>
          <c:showCatName val="0"/>
          <c:showSerName val="0"/>
          <c:showPercent val="0"/>
          <c:showBubbleSize val="0"/>
        </c:dLbls>
        <c:gapWidth val="176"/>
        <c:overlap val="-27"/>
        <c:axId val="324388352"/>
        <c:axId val="324390272"/>
      </c:barChart>
      <c:catAx>
        <c:axId val="32438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324390272"/>
        <c:crosses val="autoZero"/>
        <c:auto val="1"/>
        <c:lblAlgn val="ctr"/>
        <c:lblOffset val="100"/>
        <c:noMultiLvlLbl val="0"/>
      </c:catAx>
      <c:valAx>
        <c:axId val="3243902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Charges as a Proportion of Net Benefits (%)</a:t>
                </a:r>
              </a:p>
            </c:rich>
          </c:tx>
          <c:layout>
            <c:manualLayout>
              <c:xMode val="edge"/>
              <c:yMode val="edge"/>
              <c:x val="6.1704238278863688E-4"/>
              <c:y val="8.1194126430514921E-2"/>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243883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2000" b="0" i="0" u="none" strike="noStrike" kern="1200" spc="0" baseline="0">
                <a:solidFill>
                  <a:sysClr val="windowText" lastClr="000000">
                    <a:lumMod val="65000"/>
                    <a:lumOff val="35000"/>
                  </a:sysClr>
                </a:solidFill>
                <a:latin typeface="+mn-lt"/>
                <a:ea typeface="+mn-ea"/>
                <a:cs typeface="+mn-cs"/>
              </a:defRPr>
            </a:pPr>
            <a:r>
              <a:rPr lang="en-US" sz="2000"/>
              <a:t> Indicative Charges as $m/year </a:t>
            </a:r>
          </a:p>
          <a:p>
            <a:pPr marL="0" marR="0" indent="0" algn="ctr" defTabSz="914400" rtl="0" eaLnBrk="1" fontAlgn="auto" latinLnBrk="0" hangingPunct="1">
              <a:lnSpc>
                <a:spcPct val="100000"/>
              </a:lnSpc>
              <a:spcBef>
                <a:spcPts val="0"/>
              </a:spcBef>
              <a:spcAft>
                <a:spcPts val="0"/>
              </a:spcAft>
              <a:buClrTx/>
              <a:buSzTx/>
              <a:buFontTx/>
              <a:buNone/>
              <a:tabLst/>
              <a:defRPr sz="2000" b="0" i="0" u="none" strike="noStrike" kern="1200" spc="0" baseline="0">
                <a:solidFill>
                  <a:sysClr val="windowText" lastClr="000000">
                    <a:lumMod val="65000"/>
                    <a:lumOff val="35000"/>
                  </a:sysClr>
                </a:solidFill>
                <a:latin typeface="+mn-lt"/>
                <a:ea typeface="+mn-ea"/>
                <a:cs typeface="+mn-cs"/>
              </a:defRPr>
            </a:pPr>
            <a:endParaRPr lang="en-US" sz="2000"/>
          </a:p>
        </c:rich>
      </c:tx>
      <c:layout>
        <c:manualLayout>
          <c:xMode val="edge"/>
          <c:yMode val="edge"/>
          <c:x val="0.35622564274574503"/>
          <c:y val="0"/>
        </c:manualLayout>
      </c:layout>
      <c:overlay val="0"/>
      <c:spPr>
        <a:noFill/>
        <a:ln>
          <a:noFill/>
        </a:ln>
        <a:effectLst/>
      </c:spPr>
    </c:title>
    <c:autoTitleDeleted val="0"/>
    <c:plotArea>
      <c:layout>
        <c:manualLayout>
          <c:layoutTarget val="inner"/>
          <c:xMode val="edge"/>
          <c:yMode val="edge"/>
          <c:x val="9.431392863483419E-2"/>
          <c:y val="8.3290332386104435E-2"/>
          <c:w val="0.90043965408808102"/>
          <c:h val="0.69333783879712862"/>
        </c:manualLayout>
      </c:layout>
      <c:barChart>
        <c:barDir val="col"/>
        <c:grouping val="clustered"/>
        <c:varyColors val="0"/>
        <c:ser>
          <c:idx val="0"/>
          <c:order val="0"/>
          <c:tx>
            <c:strRef>
              <c:f>'Charges as $M per year'!$C$2</c:f>
              <c:strCache>
                <c:ptCount val="1"/>
                <c:pt idx="0">
                  <c:v>Status quo (Post 2017 TPM)</c:v>
                </c:pt>
              </c:strCache>
            </c:strRef>
          </c:tx>
          <c:spPr>
            <a:solidFill>
              <a:schemeClr val="bg1">
                <a:lumMod val="50000"/>
              </a:schemeClr>
            </a:solidFill>
            <a:ln>
              <a:noFill/>
            </a:ln>
            <a:effectLst/>
          </c:spPr>
          <c:invertIfNegative val="0"/>
          <c:cat>
            <c:strRef>
              <c:f>'Charges as $M per year'!$A$4:$A$57</c:f>
              <c:strCache>
                <c:ptCount val="54"/>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1">
                  <c:v>Contact</c:v>
                </c:pt>
                <c:pt idx="32">
                  <c:v>Genesis</c:v>
                </c:pt>
                <c:pt idx="33">
                  <c:v>Meridian</c:v>
                </c:pt>
                <c:pt idx="34">
                  <c:v>Tuaropaki</c:v>
                </c:pt>
                <c:pt idx="35">
                  <c:v>Mercury</c:v>
                </c:pt>
                <c:pt idx="36">
                  <c:v>Nga Awa Purua JV</c:v>
                </c:pt>
                <c:pt idx="37">
                  <c:v>Ngatamariki</c:v>
                </c:pt>
                <c:pt idx="38">
                  <c:v>Pioneer</c:v>
                </c:pt>
                <c:pt idx="39">
                  <c:v>Todd</c:v>
                </c:pt>
                <c:pt idx="40">
                  <c:v>Trustpower</c:v>
                </c:pt>
                <c:pt idx="43">
                  <c:v>Carter Holt Harvey</c:v>
                </c:pt>
                <c:pt idx="44">
                  <c:v>Daiken MDF</c:v>
                </c:pt>
                <c:pt idx="45">
                  <c:v>Kiwirail</c:v>
                </c:pt>
                <c:pt idx="46">
                  <c:v>Methanex</c:v>
                </c:pt>
                <c:pt idx="47">
                  <c:v>Norske Skog</c:v>
                </c:pt>
                <c:pt idx="48">
                  <c:v>NZ Steel</c:v>
                </c:pt>
                <c:pt idx="49">
                  <c:v>NZ Aluminium Smelter</c:v>
                </c:pt>
                <c:pt idx="50">
                  <c:v>Pan Pac</c:v>
                </c:pt>
                <c:pt idx="51">
                  <c:v>Rayonier</c:v>
                </c:pt>
                <c:pt idx="52">
                  <c:v>Refining NZ</c:v>
                </c:pt>
                <c:pt idx="53">
                  <c:v>Winstones</c:v>
                </c:pt>
              </c:strCache>
            </c:strRef>
          </c:cat>
          <c:val>
            <c:numRef>
              <c:f>'Charges as $M per year'!$C$4:$C$57</c:f>
              <c:numCache>
                <c:formatCode>0.0</c:formatCode>
                <c:ptCount val="54"/>
                <c:pt idx="0">
                  <c:v>10.520382771990599</c:v>
                </c:pt>
                <c:pt idx="1">
                  <c:v>21.554936096804902</c:v>
                </c:pt>
                <c:pt idx="2">
                  <c:v>1.27681536780783</c:v>
                </c:pt>
                <c:pt idx="3">
                  <c:v>2.04903385831319</c:v>
                </c:pt>
                <c:pt idx="4">
                  <c:v>10.1765632169326</c:v>
                </c:pt>
                <c:pt idx="5">
                  <c:v>5.3143687415473497</c:v>
                </c:pt>
                <c:pt idx="6">
                  <c:v>6.3585744350769398</c:v>
                </c:pt>
                <c:pt idx="7">
                  <c:v>3.6332748872742102</c:v>
                </c:pt>
                <c:pt idx="8">
                  <c:v>5.5337714214649196</c:v>
                </c:pt>
                <c:pt idx="9">
                  <c:v>3.2476380401893401</c:v>
                </c:pt>
                <c:pt idx="10">
                  <c:v>0.20640741469308699</c:v>
                </c:pt>
                <c:pt idx="11">
                  <c:v>9.4519035472375297</c:v>
                </c:pt>
                <c:pt idx="12">
                  <c:v>6.6040579369931098</c:v>
                </c:pt>
                <c:pt idx="13">
                  <c:v>10.727643804966</c:v>
                </c:pt>
                <c:pt idx="14">
                  <c:v>3.2029211145830998</c:v>
                </c:pt>
                <c:pt idx="15">
                  <c:v>13.0271770053639</c:v>
                </c:pt>
                <c:pt idx="16">
                  <c:v>63.9112827295871</c:v>
                </c:pt>
                <c:pt idx="17">
                  <c:v>3.9733324683553399</c:v>
                </c:pt>
                <c:pt idx="18">
                  <c:v>74.224521678971897</c:v>
                </c:pt>
                <c:pt idx="19">
                  <c:v>1.5144688012252701</c:v>
                </c:pt>
                <c:pt idx="20">
                  <c:v>3.6831699708093302</c:v>
                </c:pt>
                <c:pt idx="21">
                  <c:v>9.7015014463208793</c:v>
                </c:pt>
                <c:pt idx="22">
                  <c:v>4.2899040604009198</c:v>
                </c:pt>
                <c:pt idx="23">
                  <c:v>30.533498779887701</c:v>
                </c:pt>
                <c:pt idx="24">
                  <c:v>178.79932141221201</c:v>
                </c:pt>
                <c:pt idx="25">
                  <c:v>6.4477400565579899</c:v>
                </c:pt>
                <c:pt idx="26">
                  <c:v>19.7154639366371</c:v>
                </c:pt>
                <c:pt idx="27">
                  <c:v>55.243123664533599</c:v>
                </c:pt>
                <c:pt idx="28">
                  <c:v>1.60316629528984</c:v>
                </c:pt>
                <c:pt idx="31">
                  <c:v>32.633689604366353</c:v>
                </c:pt>
                <c:pt idx="32">
                  <c:v>6.8211952010486119</c:v>
                </c:pt>
                <c:pt idx="33">
                  <c:v>96.671854352502805</c:v>
                </c:pt>
                <c:pt idx="34">
                  <c:v>0</c:v>
                </c:pt>
                <c:pt idx="35">
                  <c:v>0</c:v>
                </c:pt>
                <c:pt idx="36">
                  <c:v>0</c:v>
                </c:pt>
                <c:pt idx="37">
                  <c:v>0</c:v>
                </c:pt>
                <c:pt idx="38">
                  <c:v>0.38253490700876602</c:v>
                </c:pt>
                <c:pt idx="39">
                  <c:v>0</c:v>
                </c:pt>
                <c:pt idx="40">
                  <c:v>3.6590118583837001</c:v>
                </c:pt>
                <c:pt idx="43">
                  <c:v>4.0652026313854099</c:v>
                </c:pt>
                <c:pt idx="44">
                  <c:v>0.885456565309233</c:v>
                </c:pt>
                <c:pt idx="45">
                  <c:v>0.54555788504299096</c:v>
                </c:pt>
                <c:pt idx="46">
                  <c:v>0.66503186341368803</c:v>
                </c:pt>
                <c:pt idx="47">
                  <c:v>0</c:v>
                </c:pt>
                <c:pt idx="48">
                  <c:v>4.6071233586564801</c:v>
                </c:pt>
                <c:pt idx="49">
                  <c:v>60.844865743536097</c:v>
                </c:pt>
                <c:pt idx="50">
                  <c:v>4.2536832649312801</c:v>
                </c:pt>
                <c:pt idx="51">
                  <c:v>0.74426647291580394</c:v>
                </c:pt>
                <c:pt idx="52">
                  <c:v>3.20120186496698</c:v>
                </c:pt>
                <c:pt idx="53">
                  <c:v>3.1605549518476299</c:v>
                </c:pt>
              </c:numCache>
            </c:numRef>
          </c:val>
          <c:extLst xmlns:c16r2="http://schemas.microsoft.com/office/drawing/2015/06/chart">
            <c:ext xmlns:c16="http://schemas.microsoft.com/office/drawing/2014/chart" uri="{C3380CC4-5D6E-409C-BE32-E72D297353CC}">
              <c16:uniqueId val="{00000000-DD66-44C4-875B-7C5AF1A2B62E}"/>
            </c:ext>
          </c:extLst>
        </c:ser>
        <c:ser>
          <c:idx val="1"/>
          <c:order val="1"/>
          <c:tx>
            <c:strRef>
              <c:f>'Charges as $M per year'!$D$2</c:f>
              <c:strCache>
                <c:ptCount val="1"/>
                <c:pt idx="0">
                  <c:v>Proposal</c:v>
                </c:pt>
              </c:strCache>
            </c:strRef>
          </c:tx>
          <c:spPr>
            <a:solidFill>
              <a:schemeClr val="accent6">
                <a:lumMod val="75000"/>
                <a:alpha val="64000"/>
              </a:schemeClr>
            </a:solidFill>
            <a:ln>
              <a:noFill/>
            </a:ln>
            <a:effectLst/>
          </c:spPr>
          <c:invertIfNegative val="0"/>
          <c:cat>
            <c:strRef>
              <c:f>'Charges as $M per year'!$A$4:$A$57</c:f>
              <c:strCache>
                <c:ptCount val="54"/>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1">
                  <c:v>Contact</c:v>
                </c:pt>
                <c:pt idx="32">
                  <c:v>Genesis</c:v>
                </c:pt>
                <c:pt idx="33">
                  <c:v>Meridian</c:v>
                </c:pt>
                <c:pt idx="34">
                  <c:v>Tuaropaki</c:v>
                </c:pt>
                <c:pt idx="35">
                  <c:v>Mercury</c:v>
                </c:pt>
                <c:pt idx="36">
                  <c:v>Nga Awa Purua JV</c:v>
                </c:pt>
                <c:pt idx="37">
                  <c:v>Ngatamariki</c:v>
                </c:pt>
                <c:pt idx="38">
                  <c:v>Pioneer</c:v>
                </c:pt>
                <c:pt idx="39">
                  <c:v>Todd</c:v>
                </c:pt>
                <c:pt idx="40">
                  <c:v>Trustpower</c:v>
                </c:pt>
                <c:pt idx="43">
                  <c:v>Carter Holt Harvey</c:v>
                </c:pt>
                <c:pt idx="44">
                  <c:v>Daiken MDF</c:v>
                </c:pt>
                <c:pt idx="45">
                  <c:v>Kiwirail</c:v>
                </c:pt>
                <c:pt idx="46">
                  <c:v>Methanex</c:v>
                </c:pt>
                <c:pt idx="47">
                  <c:v>Norske Skog</c:v>
                </c:pt>
                <c:pt idx="48">
                  <c:v>NZ Steel</c:v>
                </c:pt>
                <c:pt idx="49">
                  <c:v>NZ Aluminium Smelter</c:v>
                </c:pt>
                <c:pt idx="50">
                  <c:v>Pan Pac</c:v>
                </c:pt>
                <c:pt idx="51">
                  <c:v>Rayonier</c:v>
                </c:pt>
                <c:pt idx="52">
                  <c:v>Refining NZ</c:v>
                </c:pt>
                <c:pt idx="53">
                  <c:v>Winstones</c:v>
                </c:pt>
              </c:strCache>
            </c:strRef>
          </c:cat>
          <c:val>
            <c:numRef>
              <c:f>'Charges as $M per year'!$D$4:$D$57</c:f>
              <c:numCache>
                <c:formatCode>0.0</c:formatCode>
                <c:ptCount val="54"/>
                <c:pt idx="0">
                  <c:v>9.9250540884727805</c:v>
                </c:pt>
                <c:pt idx="1">
                  <c:v>19.306609078166034</c:v>
                </c:pt>
                <c:pt idx="2">
                  <c:v>1.7941505751254221</c:v>
                </c:pt>
                <c:pt idx="3">
                  <c:v>1.5836037439095052</c:v>
                </c:pt>
                <c:pt idx="4">
                  <c:v>12.480754185376027</c:v>
                </c:pt>
                <c:pt idx="5">
                  <c:v>4.1613402327277855</c:v>
                </c:pt>
                <c:pt idx="6">
                  <c:v>7.3194535136094796</c:v>
                </c:pt>
                <c:pt idx="7">
                  <c:v>12.043838254461853</c:v>
                </c:pt>
                <c:pt idx="8">
                  <c:v>3.591040788591676</c:v>
                </c:pt>
                <c:pt idx="9">
                  <c:v>6.8562260791197884</c:v>
                </c:pt>
                <c:pt idx="10">
                  <c:v>0.16624817395547289</c:v>
                </c:pt>
                <c:pt idx="11">
                  <c:v>8.2733885880137539</c:v>
                </c:pt>
                <c:pt idx="12">
                  <c:v>4.9369682005229674</c:v>
                </c:pt>
                <c:pt idx="13">
                  <c:v>10.304474168155853</c:v>
                </c:pt>
                <c:pt idx="14">
                  <c:v>3.9584934286686919</c:v>
                </c:pt>
                <c:pt idx="15">
                  <c:v>20.558996316188146</c:v>
                </c:pt>
                <c:pt idx="16">
                  <c:v>47.58453277599471</c:v>
                </c:pt>
                <c:pt idx="17">
                  <c:v>4.7194829846218855</c:v>
                </c:pt>
                <c:pt idx="18">
                  <c:v>72.543360826895437</c:v>
                </c:pt>
                <c:pt idx="19">
                  <c:v>1.1874848912420872</c:v>
                </c:pt>
                <c:pt idx="20">
                  <c:v>5.1839118258592398</c:v>
                </c:pt>
                <c:pt idx="21">
                  <c:v>10.060413175597491</c:v>
                </c:pt>
                <c:pt idx="22">
                  <c:v>9.4330050195027919</c:v>
                </c:pt>
                <c:pt idx="23">
                  <c:v>24.79537082073757</c:v>
                </c:pt>
                <c:pt idx="24">
                  <c:v>256.86484353257987</c:v>
                </c:pt>
                <c:pt idx="25">
                  <c:v>5.9776486724398508</c:v>
                </c:pt>
                <c:pt idx="26">
                  <c:v>22.131287011137399</c:v>
                </c:pt>
                <c:pt idx="27">
                  <c:v>43.184614107682812</c:v>
                </c:pt>
                <c:pt idx="28">
                  <c:v>4.6598060865262463</c:v>
                </c:pt>
                <c:pt idx="30">
                  <c:v>0</c:v>
                </c:pt>
                <c:pt idx="31">
                  <c:v>16.619200671705972</c:v>
                </c:pt>
                <c:pt idx="32">
                  <c:v>5.4043528811153898</c:v>
                </c:pt>
                <c:pt idx="33">
                  <c:v>39.285634233131958</c:v>
                </c:pt>
                <c:pt idx="34">
                  <c:v>0.18568578724632673</c:v>
                </c:pt>
                <c:pt idx="35">
                  <c:v>4.0512740855603653</c:v>
                </c:pt>
                <c:pt idx="36">
                  <c:v>0.54491105964166731</c:v>
                </c:pt>
                <c:pt idx="37">
                  <c:v>0.32789589470360458</c:v>
                </c:pt>
                <c:pt idx="38">
                  <c:v>9.8980591858104927E-2</c:v>
                </c:pt>
                <c:pt idx="39">
                  <c:v>0.12520561198631469</c:v>
                </c:pt>
                <c:pt idx="40">
                  <c:v>3.0146474118327347</c:v>
                </c:pt>
                <c:pt idx="43">
                  <c:v>6.1036506859030553</c:v>
                </c:pt>
                <c:pt idx="44">
                  <c:v>0.75204029380451254</c:v>
                </c:pt>
                <c:pt idx="45">
                  <c:v>2.2829323807711197</c:v>
                </c:pt>
                <c:pt idx="46">
                  <c:v>0.70812382822333286</c:v>
                </c:pt>
                <c:pt idx="47">
                  <c:v>6.7902954119436645</c:v>
                </c:pt>
                <c:pt idx="48">
                  <c:v>16.644311607403363</c:v>
                </c:pt>
                <c:pt idx="49">
                  <c:v>39.975736995246649</c:v>
                </c:pt>
                <c:pt idx="50">
                  <c:v>6.1514081931756097</c:v>
                </c:pt>
                <c:pt idx="51">
                  <c:v>0.61755180536242227</c:v>
                </c:pt>
                <c:pt idx="52">
                  <c:v>5.8458193037384154</c:v>
                </c:pt>
                <c:pt idx="53">
                  <c:v>2.7739731554495881</c:v>
                </c:pt>
              </c:numCache>
            </c:numRef>
          </c:val>
          <c:extLst xmlns:c16r2="http://schemas.microsoft.com/office/drawing/2015/06/chart">
            <c:ext xmlns:c16="http://schemas.microsoft.com/office/drawing/2014/chart" uri="{C3380CC4-5D6E-409C-BE32-E72D297353CC}">
              <c16:uniqueId val="{00000002-DD66-44C4-875B-7C5AF1A2B62E}"/>
            </c:ext>
          </c:extLst>
        </c:ser>
        <c:dLbls>
          <c:showLegendKey val="0"/>
          <c:showVal val="0"/>
          <c:showCatName val="0"/>
          <c:showSerName val="0"/>
          <c:showPercent val="0"/>
          <c:showBubbleSize val="0"/>
        </c:dLbls>
        <c:gapWidth val="90"/>
        <c:overlap val="-5"/>
        <c:axId val="333733888"/>
        <c:axId val="333735808"/>
      </c:barChart>
      <c:catAx>
        <c:axId val="333733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33735808"/>
        <c:crosses val="autoZero"/>
        <c:auto val="1"/>
        <c:lblAlgn val="ctr"/>
        <c:lblOffset val="50"/>
        <c:noMultiLvlLbl val="0"/>
      </c:catAx>
      <c:valAx>
        <c:axId val="333735808"/>
        <c:scaling>
          <c:orientation val="minMax"/>
          <c:max val="26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a:t>Indicative Annual Charges ($m/year)</a:t>
                </a:r>
              </a:p>
            </c:rich>
          </c:tx>
          <c:layout>
            <c:manualLayout>
              <c:xMode val="edge"/>
              <c:yMode val="edge"/>
              <c:x val="2.0867011932546621E-3"/>
              <c:y val="0.20772638718754707"/>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33733888"/>
        <c:crosses val="autoZero"/>
        <c:crossBetween val="between"/>
      </c:valAx>
      <c:spPr>
        <a:noFill/>
        <a:ln>
          <a:noFill/>
        </a:ln>
        <a:effectLst/>
      </c:spPr>
    </c:plotArea>
    <c:legend>
      <c:legendPos val="t"/>
      <c:layout>
        <c:manualLayout>
          <c:xMode val="edge"/>
          <c:yMode val="edge"/>
          <c:x val="7.1634057069601284E-2"/>
          <c:y val="0.12005829950496273"/>
          <c:w val="0.36751312433099442"/>
          <c:h val="6.246740413147348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2000" b="0" i="0" u="none" strike="noStrike" kern="1200" spc="0" baseline="0">
                <a:solidFill>
                  <a:sysClr val="windowText" lastClr="000000">
                    <a:lumMod val="65000"/>
                    <a:lumOff val="35000"/>
                  </a:sysClr>
                </a:solidFill>
                <a:latin typeface="+mn-lt"/>
                <a:ea typeface="+mn-ea"/>
                <a:cs typeface="+mn-cs"/>
              </a:defRPr>
            </a:pPr>
            <a:r>
              <a:rPr lang="en-US" sz="2000"/>
              <a:t> Indicative Charges as $m/year for Two Overhead Allocation Options </a:t>
            </a:r>
          </a:p>
          <a:p>
            <a:pPr marL="0" marR="0" indent="0" algn="ctr" defTabSz="914400" rtl="0" eaLnBrk="1" fontAlgn="auto" latinLnBrk="0" hangingPunct="1">
              <a:lnSpc>
                <a:spcPct val="100000"/>
              </a:lnSpc>
              <a:spcBef>
                <a:spcPts val="0"/>
              </a:spcBef>
              <a:spcAft>
                <a:spcPts val="0"/>
              </a:spcAft>
              <a:buClrTx/>
              <a:buSzTx/>
              <a:buFontTx/>
              <a:buNone/>
              <a:tabLst/>
              <a:defRPr sz="2000" b="0" i="0" u="none" strike="noStrike" kern="1200" spc="0" baseline="0">
                <a:solidFill>
                  <a:sysClr val="windowText" lastClr="000000">
                    <a:lumMod val="65000"/>
                    <a:lumOff val="35000"/>
                  </a:sysClr>
                </a:solidFill>
                <a:latin typeface="+mn-lt"/>
                <a:ea typeface="+mn-ea"/>
                <a:cs typeface="+mn-cs"/>
              </a:defRPr>
            </a:pPr>
            <a:endParaRPr lang="en-US" sz="2000"/>
          </a:p>
        </c:rich>
      </c:tx>
      <c:layout>
        <c:manualLayout>
          <c:xMode val="edge"/>
          <c:yMode val="edge"/>
          <c:x val="0.35622564274574503"/>
          <c:y val="0"/>
        </c:manualLayout>
      </c:layout>
      <c:overlay val="0"/>
      <c:spPr>
        <a:noFill/>
        <a:ln>
          <a:noFill/>
        </a:ln>
        <a:effectLst/>
      </c:spPr>
    </c:title>
    <c:autoTitleDeleted val="0"/>
    <c:plotArea>
      <c:layout>
        <c:manualLayout>
          <c:layoutTarget val="inner"/>
          <c:xMode val="edge"/>
          <c:yMode val="edge"/>
          <c:x val="9.4313941667870202E-2"/>
          <c:y val="7.7310202224546529E-2"/>
          <c:w val="0.90043965408808102"/>
          <c:h val="0.69333783879712862"/>
        </c:manualLayout>
      </c:layout>
      <c:barChart>
        <c:barDir val="col"/>
        <c:grouping val="clustered"/>
        <c:varyColors val="0"/>
        <c:ser>
          <c:idx val="0"/>
          <c:order val="0"/>
          <c:tx>
            <c:strRef>
              <c:f>'Charges as $M per year'!$L$2</c:f>
              <c:strCache>
                <c:ptCount val="1"/>
                <c:pt idx="0">
                  <c:v>Residual Overhead Allocation Option</c:v>
                </c:pt>
              </c:strCache>
            </c:strRef>
          </c:tx>
          <c:spPr>
            <a:solidFill>
              <a:schemeClr val="bg1">
                <a:lumMod val="50000"/>
              </a:schemeClr>
            </a:solidFill>
            <a:ln>
              <a:noFill/>
            </a:ln>
            <a:effectLst/>
          </c:spPr>
          <c:invertIfNegative val="0"/>
          <c:cat>
            <c:strRef>
              <c:f>'Charges as $M per year'!$A$4:$A$57</c:f>
              <c:strCache>
                <c:ptCount val="54"/>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1">
                  <c:v>Contact</c:v>
                </c:pt>
                <c:pt idx="32">
                  <c:v>Genesis</c:v>
                </c:pt>
                <c:pt idx="33">
                  <c:v>Meridian</c:v>
                </c:pt>
                <c:pt idx="34">
                  <c:v>Tuaropaki</c:v>
                </c:pt>
                <c:pt idx="35">
                  <c:v>Mercury</c:v>
                </c:pt>
                <c:pt idx="36">
                  <c:v>Nga Awa Purua JV</c:v>
                </c:pt>
                <c:pt idx="37">
                  <c:v>Ngatamariki</c:v>
                </c:pt>
                <c:pt idx="38">
                  <c:v>Pioneer</c:v>
                </c:pt>
                <c:pt idx="39">
                  <c:v>Todd</c:v>
                </c:pt>
                <c:pt idx="40">
                  <c:v>Trustpower</c:v>
                </c:pt>
                <c:pt idx="43">
                  <c:v>Carter Holt Harvey</c:v>
                </c:pt>
                <c:pt idx="44">
                  <c:v>Daiken MDF</c:v>
                </c:pt>
                <c:pt idx="45">
                  <c:v>Kiwirail</c:v>
                </c:pt>
                <c:pt idx="46">
                  <c:v>Methanex</c:v>
                </c:pt>
                <c:pt idx="47">
                  <c:v>Norske Skog</c:v>
                </c:pt>
                <c:pt idx="48">
                  <c:v>NZ Steel</c:v>
                </c:pt>
                <c:pt idx="49">
                  <c:v>NZ Aluminium Smelter</c:v>
                </c:pt>
                <c:pt idx="50">
                  <c:v>Pan Pac</c:v>
                </c:pt>
                <c:pt idx="51">
                  <c:v>Rayonier</c:v>
                </c:pt>
                <c:pt idx="52">
                  <c:v>Refining NZ</c:v>
                </c:pt>
                <c:pt idx="53">
                  <c:v>Winstones</c:v>
                </c:pt>
              </c:strCache>
            </c:strRef>
          </c:cat>
          <c:val>
            <c:numRef>
              <c:f>'Charges as $M per year'!$L$4:$L$57</c:f>
              <c:numCache>
                <c:formatCode>0.00</c:formatCode>
                <c:ptCount val="54"/>
                <c:pt idx="0">
                  <c:v>9.9250632004281503</c:v>
                </c:pt>
                <c:pt idx="1">
                  <c:v>19.306627326072743</c:v>
                </c:pt>
                <c:pt idx="2">
                  <c:v>1.7941522082980597</c:v>
                </c:pt>
                <c:pt idx="3">
                  <c:v>1.5836049168178221</c:v>
                </c:pt>
                <c:pt idx="4">
                  <c:v>12.515117064014852</c:v>
                </c:pt>
                <c:pt idx="5">
                  <c:v>4.1613435696139636</c:v>
                </c:pt>
                <c:pt idx="6">
                  <c:v>7.3194590698209971</c:v>
                </c:pt>
                <c:pt idx="7">
                  <c:v>12.043849577784099</c:v>
                </c:pt>
                <c:pt idx="8">
                  <c:v>3.5910439792798945</c:v>
                </c:pt>
                <c:pt idx="9">
                  <c:v>6.8562315281332502</c:v>
                </c:pt>
                <c:pt idx="10">
                  <c:v>0.16624833384818688</c:v>
                </c:pt>
                <c:pt idx="11">
                  <c:v>8.2733958991864771</c:v>
                </c:pt>
                <c:pt idx="12">
                  <c:v>4.9369725796057731</c:v>
                </c:pt>
                <c:pt idx="13">
                  <c:v>10.304483394182492</c:v>
                </c:pt>
                <c:pt idx="14">
                  <c:v>3.9584970955898311</c:v>
                </c:pt>
                <c:pt idx="15">
                  <c:v>20.596286818675111</c:v>
                </c:pt>
                <c:pt idx="16">
                  <c:v>47.584574951616943</c:v>
                </c:pt>
                <c:pt idx="17">
                  <c:v>4.7194871928389466</c:v>
                </c:pt>
                <c:pt idx="18">
                  <c:v>72.54341733823793</c:v>
                </c:pt>
                <c:pt idx="19">
                  <c:v>1.1874857739077478</c:v>
                </c:pt>
                <c:pt idx="20">
                  <c:v>5.1839162025303898</c:v>
                </c:pt>
                <c:pt idx="21">
                  <c:v>10.060422131444147</c:v>
                </c:pt>
                <c:pt idx="22">
                  <c:v>9.4525194887852102</c:v>
                </c:pt>
                <c:pt idx="23">
                  <c:v>24.795390592689536</c:v>
                </c:pt>
                <c:pt idx="24">
                  <c:v>256.71557669072331</c:v>
                </c:pt>
                <c:pt idx="25">
                  <c:v>5.9776531224253064</c:v>
                </c:pt>
                <c:pt idx="26">
                  <c:v>22.131305812359908</c:v>
                </c:pt>
                <c:pt idx="27">
                  <c:v>43.184647963698872</c:v>
                </c:pt>
                <c:pt idx="28">
                  <c:v>4.6598103607020667</c:v>
                </c:pt>
                <c:pt idx="30">
                  <c:v>0</c:v>
                </c:pt>
                <c:pt idx="31">
                  <c:v>16.620835353237393</c:v>
                </c:pt>
                <c:pt idx="32">
                  <c:v>5.4043537969851068</c:v>
                </c:pt>
                <c:pt idx="33">
                  <c:v>39.285635527984823</c:v>
                </c:pt>
                <c:pt idx="34">
                  <c:v>0.18568578724632673</c:v>
                </c:pt>
                <c:pt idx="35">
                  <c:v>4.052284702477043</c:v>
                </c:pt>
                <c:pt idx="36">
                  <c:v>0.54491105964166731</c:v>
                </c:pt>
                <c:pt idx="37">
                  <c:v>0.32789589470360458</c:v>
                </c:pt>
                <c:pt idx="38">
                  <c:v>9.8980591858104927E-2</c:v>
                </c:pt>
                <c:pt idx="39">
                  <c:v>0.12520564286587021</c:v>
                </c:pt>
                <c:pt idx="40">
                  <c:v>3.0146477046663946</c:v>
                </c:pt>
                <c:pt idx="43">
                  <c:v>6.1036557942990326</c:v>
                </c:pt>
                <c:pt idx="44">
                  <c:v>0.75204094688063516</c:v>
                </c:pt>
                <c:pt idx="45">
                  <c:v>2.282934518341361</c:v>
                </c:pt>
                <c:pt idx="46">
                  <c:v>0.70812437386023386</c:v>
                </c:pt>
                <c:pt idx="47">
                  <c:v>6.7903019561412536</c:v>
                </c:pt>
                <c:pt idx="48">
                  <c:v>16.690314695789599</c:v>
                </c:pt>
                <c:pt idx="49">
                  <c:v>39.975770426179828</c:v>
                </c:pt>
                <c:pt idx="50">
                  <c:v>6.1514130819616595</c:v>
                </c:pt>
                <c:pt idx="51">
                  <c:v>0.61755232893268175</c:v>
                </c:pt>
                <c:pt idx="52">
                  <c:v>5.855428031613271</c:v>
                </c:pt>
                <c:pt idx="53">
                  <c:v>2.7739753941887484</c:v>
                </c:pt>
              </c:numCache>
            </c:numRef>
          </c:val>
          <c:extLst xmlns:c16r2="http://schemas.microsoft.com/office/drawing/2015/06/chart">
            <c:ext xmlns:c16="http://schemas.microsoft.com/office/drawing/2014/chart" uri="{C3380CC4-5D6E-409C-BE32-E72D297353CC}">
              <c16:uniqueId val="{00000000-DD66-44C4-875B-7C5AF1A2B62E}"/>
            </c:ext>
          </c:extLst>
        </c:ser>
        <c:ser>
          <c:idx val="1"/>
          <c:order val="1"/>
          <c:tx>
            <c:strRef>
              <c:f>'Charges as $M per year'!$M$2</c:f>
              <c:strCache>
                <c:ptCount val="1"/>
                <c:pt idx="0">
                  <c:v>Surcharge Overhead Allocation Option</c:v>
                </c:pt>
              </c:strCache>
            </c:strRef>
          </c:tx>
          <c:spPr>
            <a:solidFill>
              <a:schemeClr val="accent6">
                <a:lumMod val="75000"/>
                <a:alpha val="64000"/>
              </a:schemeClr>
            </a:solidFill>
            <a:ln>
              <a:noFill/>
            </a:ln>
            <a:effectLst/>
          </c:spPr>
          <c:invertIfNegative val="0"/>
          <c:cat>
            <c:strRef>
              <c:f>'Charges as $M per year'!$A$4:$A$57</c:f>
              <c:strCache>
                <c:ptCount val="54"/>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1">
                  <c:v>Contact</c:v>
                </c:pt>
                <c:pt idx="32">
                  <c:v>Genesis</c:v>
                </c:pt>
                <c:pt idx="33">
                  <c:v>Meridian</c:v>
                </c:pt>
                <c:pt idx="34">
                  <c:v>Tuaropaki</c:v>
                </c:pt>
                <c:pt idx="35">
                  <c:v>Mercury</c:v>
                </c:pt>
                <c:pt idx="36">
                  <c:v>Nga Awa Purua JV</c:v>
                </c:pt>
                <c:pt idx="37">
                  <c:v>Ngatamariki</c:v>
                </c:pt>
                <c:pt idx="38">
                  <c:v>Pioneer</c:v>
                </c:pt>
                <c:pt idx="39">
                  <c:v>Todd</c:v>
                </c:pt>
                <c:pt idx="40">
                  <c:v>Trustpower</c:v>
                </c:pt>
                <c:pt idx="43">
                  <c:v>Carter Holt Harvey</c:v>
                </c:pt>
                <c:pt idx="44">
                  <c:v>Daiken MDF</c:v>
                </c:pt>
                <c:pt idx="45">
                  <c:v>Kiwirail</c:v>
                </c:pt>
                <c:pt idx="46">
                  <c:v>Methanex</c:v>
                </c:pt>
                <c:pt idx="47">
                  <c:v>Norske Skog</c:v>
                </c:pt>
                <c:pt idx="48">
                  <c:v>NZ Steel</c:v>
                </c:pt>
                <c:pt idx="49">
                  <c:v>NZ Aluminium Smelter</c:v>
                </c:pt>
                <c:pt idx="50">
                  <c:v>Pan Pac</c:v>
                </c:pt>
                <c:pt idx="51">
                  <c:v>Rayonier</c:v>
                </c:pt>
                <c:pt idx="52">
                  <c:v>Refining NZ</c:v>
                </c:pt>
                <c:pt idx="53">
                  <c:v>Winstones</c:v>
                </c:pt>
              </c:strCache>
            </c:strRef>
          </c:cat>
          <c:val>
            <c:numRef>
              <c:f>'Charges as $M per year'!$M$4:$M$57</c:f>
              <c:numCache>
                <c:formatCode>0.00</c:formatCode>
                <c:ptCount val="54"/>
                <c:pt idx="0">
                  <c:v>9.2562029605224598</c:v>
                </c:pt>
                <c:pt idx="1">
                  <c:v>17.277511503629697</c:v>
                </c:pt>
                <c:pt idx="2">
                  <c:v>1.9625484332606873</c:v>
                </c:pt>
                <c:pt idx="3">
                  <c:v>1.688096367066936</c:v>
                </c:pt>
                <c:pt idx="4">
                  <c:v>12.880901589638984</c:v>
                </c:pt>
                <c:pt idx="5">
                  <c:v>4.7435090427781708</c:v>
                </c:pt>
                <c:pt idx="6">
                  <c:v>7.0706577723959088</c:v>
                </c:pt>
                <c:pt idx="7">
                  <c:v>10.225052139941575</c:v>
                </c:pt>
                <c:pt idx="8">
                  <c:v>3.3586653585111814</c:v>
                </c:pt>
                <c:pt idx="9">
                  <c:v>6.8824081518909397</c:v>
                </c:pt>
                <c:pt idx="10">
                  <c:v>0.15369497304574145</c:v>
                </c:pt>
                <c:pt idx="11">
                  <c:v>7.9464462685352029</c:v>
                </c:pt>
                <c:pt idx="12">
                  <c:v>4.3793510257562094</c:v>
                </c:pt>
                <c:pt idx="13">
                  <c:v>9.7010733260303397</c:v>
                </c:pt>
                <c:pt idx="14">
                  <c:v>3.5136709253289906</c:v>
                </c:pt>
                <c:pt idx="15">
                  <c:v>23.699753920822889</c:v>
                </c:pt>
                <c:pt idx="16">
                  <c:v>43.437073013487961</c:v>
                </c:pt>
                <c:pt idx="17">
                  <c:v>4.8141360623766127</c:v>
                </c:pt>
                <c:pt idx="18">
                  <c:v>70.994788640633402</c:v>
                </c:pt>
                <c:pt idx="19">
                  <c:v>1.266470940320142</c:v>
                </c:pt>
                <c:pt idx="20">
                  <c:v>5.0538561944785849</c:v>
                </c:pt>
                <c:pt idx="21">
                  <c:v>8.8982635304885189</c:v>
                </c:pt>
                <c:pt idx="22">
                  <c:v>10.519051906241463</c:v>
                </c:pt>
                <c:pt idx="23">
                  <c:v>24.018555046131873</c:v>
                </c:pt>
                <c:pt idx="24">
                  <c:v>273.81620045725174</c:v>
                </c:pt>
                <c:pt idx="25">
                  <c:v>6.0537769254769911</c:v>
                </c:pt>
                <c:pt idx="26">
                  <c:v>20.935360989566345</c:v>
                </c:pt>
                <c:pt idx="27">
                  <c:v>41.605672796828131</c:v>
                </c:pt>
                <c:pt idx="28">
                  <c:v>4.1063598156538204</c:v>
                </c:pt>
                <c:pt idx="30">
                  <c:v>0</c:v>
                </c:pt>
                <c:pt idx="31">
                  <c:v>16.620835353237393</c:v>
                </c:pt>
                <c:pt idx="32">
                  <c:v>5.4043537969851068</c:v>
                </c:pt>
                <c:pt idx="33">
                  <c:v>39.285635527984823</c:v>
                </c:pt>
                <c:pt idx="34">
                  <c:v>0.18568578724632673</c:v>
                </c:pt>
                <c:pt idx="35">
                  <c:v>4.052284702477043</c:v>
                </c:pt>
                <c:pt idx="36">
                  <c:v>0.54491105964166731</c:v>
                </c:pt>
                <c:pt idx="37">
                  <c:v>0.32789589470360458</c:v>
                </c:pt>
                <c:pt idx="38">
                  <c:v>9.8980591858104927E-2</c:v>
                </c:pt>
                <c:pt idx="39">
                  <c:v>0.12520564286587021</c:v>
                </c:pt>
                <c:pt idx="40">
                  <c:v>3.0146477046663946</c:v>
                </c:pt>
                <c:pt idx="43">
                  <c:v>5.4256035211152236</c:v>
                </c:pt>
                <c:pt idx="44">
                  <c:v>0.65241967080058505</c:v>
                </c:pt>
                <c:pt idx="45">
                  <c:v>2.4026444311890152</c:v>
                </c:pt>
                <c:pt idx="46">
                  <c:v>0.78987229898794598</c:v>
                </c:pt>
                <c:pt idx="47">
                  <c:v>5.7418256075022835</c:v>
                </c:pt>
                <c:pt idx="48">
                  <c:v>17.477726609850567</c:v>
                </c:pt>
                <c:pt idx="49">
                  <c:v>35.689164528147231</c:v>
                </c:pt>
                <c:pt idx="50">
                  <c:v>5.8551294936131857</c:v>
                </c:pt>
                <c:pt idx="51">
                  <c:v>0.54203808868107628</c:v>
                </c:pt>
                <c:pt idx="52">
                  <c:v>6.5843647621012735</c:v>
                </c:pt>
                <c:pt idx="53">
                  <c:v>2.8101966414203794</c:v>
                </c:pt>
              </c:numCache>
            </c:numRef>
          </c:val>
          <c:extLst xmlns:c16r2="http://schemas.microsoft.com/office/drawing/2015/06/chart">
            <c:ext xmlns:c16="http://schemas.microsoft.com/office/drawing/2014/chart" uri="{C3380CC4-5D6E-409C-BE32-E72D297353CC}">
              <c16:uniqueId val="{00000002-DD66-44C4-875B-7C5AF1A2B62E}"/>
            </c:ext>
          </c:extLst>
        </c:ser>
        <c:dLbls>
          <c:showLegendKey val="0"/>
          <c:showVal val="0"/>
          <c:showCatName val="0"/>
          <c:showSerName val="0"/>
          <c:showPercent val="0"/>
          <c:showBubbleSize val="0"/>
        </c:dLbls>
        <c:gapWidth val="90"/>
        <c:overlap val="-5"/>
        <c:axId val="336784384"/>
        <c:axId val="336888960"/>
      </c:barChart>
      <c:catAx>
        <c:axId val="336784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36888960"/>
        <c:crosses val="autoZero"/>
        <c:auto val="1"/>
        <c:lblAlgn val="ctr"/>
        <c:lblOffset val="50"/>
        <c:noMultiLvlLbl val="0"/>
      </c:catAx>
      <c:valAx>
        <c:axId val="33688896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a:t>Indicative Annual Charges ($m/year)</a:t>
                </a:r>
              </a:p>
            </c:rich>
          </c:tx>
          <c:layout>
            <c:manualLayout>
              <c:xMode val="edge"/>
              <c:yMode val="edge"/>
              <c:x val="2.0867011932546621E-3"/>
              <c:y val="0.20772638718754707"/>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36784384"/>
        <c:crosses val="autoZero"/>
        <c:crossBetween val="between"/>
      </c:valAx>
      <c:spPr>
        <a:noFill/>
        <a:ln>
          <a:noFill/>
        </a:ln>
        <a:effectLst/>
      </c:spPr>
    </c:plotArea>
    <c:legend>
      <c:legendPos val="t"/>
      <c:layout>
        <c:manualLayout>
          <c:xMode val="edge"/>
          <c:yMode val="edge"/>
          <c:x val="7.2594877297107716E-2"/>
          <c:y val="9.1659013534721182E-2"/>
          <c:w val="0.36751312433099442"/>
          <c:h val="8.788306680643902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r>
              <a:rPr lang="en-US" sz="2400"/>
              <a:t>Indicative Charges as $/MWh </a:t>
            </a:r>
          </a:p>
          <a:p>
            <a:pPr marL="0" marR="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endParaRPr lang="en-US" sz="2400"/>
          </a:p>
        </c:rich>
      </c:tx>
      <c:layout>
        <c:manualLayout>
          <c:xMode val="edge"/>
          <c:yMode val="edge"/>
          <c:x val="0.35557737884636792"/>
          <c:y val="1.7842665327637244E-2"/>
        </c:manualLayout>
      </c:layout>
      <c:overlay val="0"/>
      <c:spPr>
        <a:noFill/>
        <a:ln>
          <a:noFill/>
        </a:ln>
        <a:effectLst/>
      </c:spPr>
    </c:title>
    <c:autoTitleDeleted val="0"/>
    <c:plotArea>
      <c:layout>
        <c:manualLayout>
          <c:layoutTarget val="inner"/>
          <c:xMode val="edge"/>
          <c:yMode val="edge"/>
          <c:x val="7.2405093761257325E-2"/>
          <c:y val="0.13013055423505657"/>
          <c:w val="0.92234849752991999"/>
          <c:h val="0.64649759266076434"/>
        </c:manualLayout>
      </c:layout>
      <c:barChart>
        <c:barDir val="col"/>
        <c:grouping val="clustered"/>
        <c:varyColors val="0"/>
        <c:ser>
          <c:idx val="0"/>
          <c:order val="0"/>
          <c:tx>
            <c:strRef>
              <c:f>'Charges as $ per MWh'!$C$2</c:f>
              <c:strCache>
                <c:ptCount val="1"/>
                <c:pt idx="0">
                  <c:v>Status quo </c:v>
                </c:pt>
              </c:strCache>
            </c:strRef>
          </c:tx>
          <c:spPr>
            <a:solidFill>
              <a:schemeClr val="bg1">
                <a:lumMod val="50000"/>
              </a:schemeClr>
            </a:solidFill>
            <a:ln>
              <a:noFill/>
            </a:ln>
            <a:effectLst/>
          </c:spPr>
          <c:invertIfNegative val="0"/>
          <c:cat>
            <c:strRef>
              <c:f>'Charges as $ per MWh'!$A$4:$A$57</c:f>
              <c:strCache>
                <c:ptCount val="54"/>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1">
                  <c:v>Contact</c:v>
                </c:pt>
                <c:pt idx="32">
                  <c:v>Genesis</c:v>
                </c:pt>
                <c:pt idx="33">
                  <c:v>Meridian</c:v>
                </c:pt>
                <c:pt idx="34">
                  <c:v>Tuaropaki</c:v>
                </c:pt>
                <c:pt idx="35">
                  <c:v>Mercury</c:v>
                </c:pt>
                <c:pt idx="36">
                  <c:v>Nga Awa Purua JV</c:v>
                </c:pt>
                <c:pt idx="37">
                  <c:v>Ngatamariki</c:v>
                </c:pt>
                <c:pt idx="38">
                  <c:v>Pioneer</c:v>
                </c:pt>
                <c:pt idx="39">
                  <c:v>Todd</c:v>
                </c:pt>
                <c:pt idx="40">
                  <c:v>Trustpower</c:v>
                </c:pt>
                <c:pt idx="43">
                  <c:v>Carter Holt Harvey</c:v>
                </c:pt>
                <c:pt idx="44">
                  <c:v>Daiken MDF</c:v>
                </c:pt>
                <c:pt idx="45">
                  <c:v>Kiwirail</c:v>
                </c:pt>
                <c:pt idx="46">
                  <c:v>Methanex</c:v>
                </c:pt>
                <c:pt idx="47">
                  <c:v>Norske Skog</c:v>
                </c:pt>
                <c:pt idx="48">
                  <c:v>NZ Steel</c:v>
                </c:pt>
                <c:pt idx="49">
                  <c:v>NZ Aluminium Smelter</c:v>
                </c:pt>
                <c:pt idx="50">
                  <c:v>Pan Pac</c:v>
                </c:pt>
                <c:pt idx="51">
                  <c:v>Rayonier</c:v>
                </c:pt>
                <c:pt idx="52">
                  <c:v>Refining NZ</c:v>
                </c:pt>
                <c:pt idx="53">
                  <c:v>Winstones</c:v>
                </c:pt>
              </c:strCache>
            </c:strRef>
          </c:cat>
          <c:val>
            <c:numRef>
              <c:f>'Charges as $ per MWh'!$C$4:$C$57</c:f>
              <c:numCache>
                <c:formatCode>0.0</c:formatCode>
                <c:ptCount val="54"/>
                <c:pt idx="0">
                  <c:v>13.25388193840117</c:v>
                </c:pt>
                <c:pt idx="1">
                  <c:v>15.962835547725652</c:v>
                </c:pt>
                <c:pt idx="2">
                  <c:v>11.92197927691965</c:v>
                </c:pt>
                <c:pt idx="3">
                  <c:v>18.096082146493618</c:v>
                </c:pt>
                <c:pt idx="4">
                  <c:v>17.96692160816341</c:v>
                </c:pt>
                <c:pt idx="5">
                  <c:v>17.573854476978823</c:v>
                </c:pt>
                <c:pt idx="6">
                  <c:v>14.67676059070342</c:v>
                </c:pt>
                <c:pt idx="7">
                  <c:v>5.7932009059769269</c:v>
                </c:pt>
                <c:pt idx="8">
                  <c:v>21.451836124558053</c:v>
                </c:pt>
                <c:pt idx="9">
                  <c:v>6.5134486019781992</c:v>
                </c:pt>
                <c:pt idx="10">
                  <c:v>18.542891445609651</c:v>
                </c:pt>
                <c:pt idx="11">
                  <c:v>17.259365788961251</c:v>
                </c:pt>
                <c:pt idx="12">
                  <c:v>16.853410902389928</c:v>
                </c:pt>
                <c:pt idx="13">
                  <c:v>14.697353395219174</c:v>
                </c:pt>
                <c:pt idx="14">
                  <c:v>11.907872195541893</c:v>
                </c:pt>
                <c:pt idx="15">
                  <c:v>17.168688813887194</c:v>
                </c:pt>
                <c:pt idx="16">
                  <c:v>19.714557302656988</c:v>
                </c:pt>
                <c:pt idx="17">
                  <c:v>9.3559409689177997</c:v>
                </c:pt>
                <c:pt idx="18">
                  <c:v>16.933916275753671</c:v>
                </c:pt>
                <c:pt idx="19">
                  <c:v>18.15965357724091</c:v>
                </c:pt>
                <c:pt idx="20">
                  <c:v>12.646163993604523</c:v>
                </c:pt>
                <c:pt idx="21">
                  <c:v>12.550152669445314</c:v>
                </c:pt>
                <c:pt idx="22">
                  <c:v>11.971351998830519</c:v>
                </c:pt>
                <c:pt idx="23">
                  <c:v>18.730449706185677</c:v>
                </c:pt>
                <c:pt idx="24">
                  <c:v>21.250022006241686</c:v>
                </c:pt>
                <c:pt idx="25">
                  <c:v>17.110783137975556</c:v>
                </c:pt>
                <c:pt idx="26">
                  <c:v>15.839899810180441</c:v>
                </c:pt>
                <c:pt idx="27">
                  <c:v>22.415914100668541</c:v>
                </c:pt>
                <c:pt idx="28">
                  <c:v>5.6563840130751597</c:v>
                </c:pt>
                <c:pt idx="31">
                  <c:v>2.9604771388227418</c:v>
                </c:pt>
                <c:pt idx="32">
                  <c:v>0.94181281083698498</c:v>
                </c:pt>
                <c:pt idx="33">
                  <c:v>7.3664921985804241</c:v>
                </c:pt>
                <c:pt idx="34">
                  <c:v>0</c:v>
                </c:pt>
                <c:pt idx="35">
                  <c:v>0</c:v>
                </c:pt>
                <c:pt idx="36">
                  <c:v>0</c:v>
                </c:pt>
                <c:pt idx="37">
                  <c:v>0</c:v>
                </c:pt>
                <c:pt idx="38">
                  <c:v>7.4552943431958223</c:v>
                </c:pt>
                <c:pt idx="39">
                  <c:v>0</c:v>
                </c:pt>
                <c:pt idx="40">
                  <c:v>1.8508727784343857</c:v>
                </c:pt>
                <c:pt idx="43">
                  <c:v>6.8001809722452364</c:v>
                </c:pt>
                <c:pt idx="44">
                  <c:v>12.679639171557145</c:v>
                </c:pt>
                <c:pt idx="45">
                  <c:v>14.291574881176242</c:v>
                </c:pt>
                <c:pt idx="46">
                  <c:v>12.930062628414241</c:v>
                </c:pt>
                <c:pt idx="47">
                  <c:v>0.12266607928491202</c:v>
                </c:pt>
                <c:pt idx="48">
                  <c:v>5.170932278318384</c:v>
                </c:pt>
                <c:pt idx="49">
                  <c:v>12.737814231932109</c:v>
                </c:pt>
                <c:pt idx="50">
                  <c:v>6.7314131197370193</c:v>
                </c:pt>
                <c:pt idx="51">
                  <c:v>13.766576392240696</c:v>
                </c:pt>
                <c:pt idx="52">
                  <c:v>12.206633587543919</c:v>
                </c:pt>
                <c:pt idx="53">
                  <c:v>13.817470075746938</c:v>
                </c:pt>
              </c:numCache>
            </c:numRef>
          </c:val>
          <c:extLst xmlns:c16r2="http://schemas.microsoft.com/office/drawing/2015/06/chart">
            <c:ext xmlns:c16="http://schemas.microsoft.com/office/drawing/2014/chart" uri="{C3380CC4-5D6E-409C-BE32-E72D297353CC}">
              <c16:uniqueId val="{00000000-63F1-4B83-8060-1C9C523C2CD0}"/>
            </c:ext>
          </c:extLst>
        </c:ser>
        <c:ser>
          <c:idx val="1"/>
          <c:order val="1"/>
          <c:tx>
            <c:strRef>
              <c:f>'Charges as $ per MWh'!$D$2</c:f>
              <c:strCache>
                <c:ptCount val="1"/>
                <c:pt idx="0">
                  <c:v>Proposal</c:v>
                </c:pt>
              </c:strCache>
            </c:strRef>
          </c:tx>
          <c:spPr>
            <a:solidFill>
              <a:schemeClr val="accent6">
                <a:lumMod val="75000"/>
                <a:alpha val="64000"/>
              </a:schemeClr>
            </a:solidFill>
            <a:ln>
              <a:noFill/>
            </a:ln>
            <a:effectLst/>
          </c:spPr>
          <c:invertIfNegative val="0"/>
          <c:dLbls>
            <c:dLbl>
              <c:idx val="43"/>
              <c:numFmt formatCode="#,##0" sourceLinked="0"/>
              <c:spPr>
                <a:noFill/>
                <a:ln>
                  <a:noFill/>
                </a:ln>
                <a:effectLst/>
              </c:spPr>
              <c:txPr>
                <a:bodyPr rot="0" spcFirstLastPara="1" vertOverflow="ellipsis" vert="horz" wrap="square" lIns="38100" tIns="19050" rIns="38100" bIns="19050" anchor="ctr" anchorCtr="0">
                  <a:spAutoFit/>
                </a:bodyPr>
                <a:lstStyle/>
                <a:p>
                  <a:pPr algn="ctr">
                    <a:defRPr lang="en-US" sz="1600" b="0" i="0" u="none" strike="noStrike" kern="1200" baseline="0">
                      <a:solidFill>
                        <a:schemeClr val="accent6">
                          <a:lumMod val="50000"/>
                        </a:schemeClr>
                      </a:solidFill>
                      <a:latin typeface="+mn-lt"/>
                      <a:ea typeface="+mn-ea"/>
                      <a:cs typeface="+mn-cs"/>
                    </a:defRPr>
                  </a:pPr>
                  <a:endParaRPr lang="en-US"/>
                </a:p>
              </c:txPr>
              <c:dLblPos val="ctr"/>
              <c:showLegendKey val="0"/>
              <c:showVal val="0"/>
              <c:showCatName val="0"/>
              <c:showSerName val="0"/>
              <c:showPercent val="0"/>
              <c:showBubbleSize val="0"/>
            </c:dLbl>
            <c:dLbl>
              <c:idx val="4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2A8-4222-A8AB-E2AE748C126F}"/>
                </c:ext>
              </c:extLst>
            </c:dLbl>
            <c:dLbl>
              <c:idx val="45"/>
              <c:numFmt formatCode="#,##0" sourceLinked="0"/>
              <c:spPr>
                <a:solidFill>
                  <a:srgbClr val="FFFFFF">
                    <a:alpha val="67843"/>
                  </a:srgbClr>
                </a:solidFill>
                <a:ln>
                  <a:noFill/>
                </a:ln>
                <a:effectLst/>
              </c:spPr>
              <c:txPr>
                <a:bodyPr rot="0" spcFirstLastPara="1" vertOverflow="ellipsis" vert="horz" wrap="square" lIns="38100" tIns="19050" rIns="38100" bIns="19050" anchor="ctr" anchorCtr="0">
                  <a:spAutoFit/>
                </a:bodyPr>
                <a:lstStyle/>
                <a:p>
                  <a:pPr algn="ctr" rtl="0">
                    <a:defRPr lang="en-US" sz="1600" b="0" i="0" u="none" strike="noStrike" kern="1200" baseline="0">
                      <a:solidFill>
                        <a:srgbClr val="F79646">
                          <a:lumMod val="50000"/>
                        </a:srgbClr>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5D1-4362-819E-E5F52D3BD6EC}"/>
                </c:ext>
              </c:extLst>
            </c:dLbl>
            <c:numFmt formatCode="#,##0" sourceLinked="0"/>
            <c:spPr>
              <a:solidFill>
                <a:schemeClr val="bg1">
                  <a:alpha val="50000"/>
                </a:schemeClr>
              </a:solidFill>
              <a:ln>
                <a:solidFill>
                  <a:schemeClr val="accent1"/>
                </a:solidFill>
              </a:ln>
              <a:effectLst/>
            </c:spPr>
            <c:txPr>
              <a:bodyPr rot="0" spcFirstLastPara="1" vertOverflow="overflow" horzOverflow="overflow" vert="horz" wrap="square" lIns="0" tIns="19050" rIns="0" bIns="19050" anchor="ctr" anchorCtr="0">
                <a:spAutoFit/>
              </a:bodyPr>
              <a:lstStyle/>
              <a:p>
                <a:pPr>
                  <a:defRPr sz="1600" b="0" i="0" u="none" strike="noStrike" kern="1200" baseline="0">
                    <a:solidFill>
                      <a:schemeClr val="accent6">
                        <a:lumMod val="50000"/>
                      </a:schemeClr>
                    </a:solidFill>
                    <a:latin typeface="+mn-lt"/>
                    <a:ea typeface="+mn-ea"/>
                    <a:cs typeface="+mn-cs"/>
                  </a:defRPr>
                </a:pPr>
                <a:endParaRPr lang="en-US"/>
              </a:p>
            </c:tx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'Charges as $ per MWh'!$A$4:$A$57</c:f>
              <c:strCache>
                <c:ptCount val="54"/>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1">
                  <c:v>Contact</c:v>
                </c:pt>
                <c:pt idx="32">
                  <c:v>Genesis</c:v>
                </c:pt>
                <c:pt idx="33">
                  <c:v>Meridian</c:v>
                </c:pt>
                <c:pt idx="34">
                  <c:v>Tuaropaki</c:v>
                </c:pt>
                <c:pt idx="35">
                  <c:v>Mercury</c:v>
                </c:pt>
                <c:pt idx="36">
                  <c:v>Nga Awa Purua JV</c:v>
                </c:pt>
                <c:pt idx="37">
                  <c:v>Ngatamariki</c:v>
                </c:pt>
                <c:pt idx="38">
                  <c:v>Pioneer</c:v>
                </c:pt>
                <c:pt idx="39">
                  <c:v>Todd</c:v>
                </c:pt>
                <c:pt idx="40">
                  <c:v>Trustpower</c:v>
                </c:pt>
                <c:pt idx="43">
                  <c:v>Carter Holt Harvey</c:v>
                </c:pt>
                <c:pt idx="44">
                  <c:v>Daiken MDF</c:v>
                </c:pt>
                <c:pt idx="45">
                  <c:v>Kiwirail</c:v>
                </c:pt>
                <c:pt idx="46">
                  <c:v>Methanex</c:v>
                </c:pt>
                <c:pt idx="47">
                  <c:v>Norske Skog</c:v>
                </c:pt>
                <c:pt idx="48">
                  <c:v>NZ Steel</c:v>
                </c:pt>
                <c:pt idx="49">
                  <c:v>NZ Aluminium Smelter</c:v>
                </c:pt>
                <c:pt idx="50">
                  <c:v>Pan Pac</c:v>
                </c:pt>
                <c:pt idx="51">
                  <c:v>Rayonier</c:v>
                </c:pt>
                <c:pt idx="52">
                  <c:v>Refining NZ</c:v>
                </c:pt>
                <c:pt idx="53">
                  <c:v>Winstones</c:v>
                </c:pt>
              </c:strCache>
            </c:strRef>
          </c:cat>
          <c:val>
            <c:numRef>
              <c:f>'Charges as $ per MWh'!$D$4:$D$57</c:f>
              <c:numCache>
                <c:formatCode>0.0</c:formatCode>
                <c:ptCount val="54"/>
                <c:pt idx="0">
                  <c:v>12.503869675834416</c:v>
                </c:pt>
                <c:pt idx="1">
                  <c:v>14.297802800940545</c:v>
                </c:pt>
                <c:pt idx="2">
                  <c:v>16.752481616071901</c:v>
                </c:pt>
                <c:pt idx="3">
                  <c:v>13.985627090062998</c:v>
                </c:pt>
                <c:pt idx="4">
                  <c:v>22.035015877098701</c:v>
                </c:pt>
                <c:pt idx="5">
                  <c:v>13.760954731542071</c:v>
                </c:pt>
                <c:pt idx="6">
                  <c:v>16.894646429145624</c:v>
                </c:pt>
                <c:pt idx="7">
                  <c:v>19.203714789533379</c:v>
                </c:pt>
                <c:pt idx="8">
                  <c:v>13.920780720118637</c:v>
                </c:pt>
                <c:pt idx="9">
                  <c:v>13.750816937495188</c:v>
                </c:pt>
                <c:pt idx="10">
                  <c:v>14.935131314303559</c:v>
                </c:pt>
                <c:pt idx="11">
                  <c:v>15.10737379418992</c:v>
                </c:pt>
                <c:pt idx="12">
                  <c:v>12.599034485958805</c:v>
                </c:pt>
                <c:pt idx="13">
                  <c:v>14.117592003864422</c:v>
                </c:pt>
                <c:pt idx="14">
                  <c:v>14.71695122956992</c:v>
                </c:pt>
                <c:pt idx="15">
                  <c:v>27.094973065396495</c:v>
                </c:pt>
                <c:pt idx="16">
                  <c:v>14.678284616844646</c:v>
                </c:pt>
                <c:pt idx="17">
                  <c:v>11.112889384313535</c:v>
                </c:pt>
                <c:pt idx="18">
                  <c:v>16.550368676238417</c:v>
                </c:pt>
                <c:pt idx="19">
                  <c:v>14.238863313471661</c:v>
                </c:pt>
                <c:pt idx="20">
                  <c:v>17.798961111696013</c:v>
                </c:pt>
                <c:pt idx="21">
                  <c:v>13.014451625869663</c:v>
                </c:pt>
                <c:pt idx="22">
                  <c:v>26.323624469272961</c:v>
                </c:pt>
                <c:pt idx="23">
                  <c:v>15.210456209164153</c:v>
                </c:pt>
                <c:pt idx="24">
                  <c:v>30.527988219335274</c:v>
                </c:pt>
                <c:pt idx="25">
                  <c:v>15.863271349640497</c:v>
                </c:pt>
                <c:pt idx="26">
                  <c:v>17.780832855539657</c:v>
                </c:pt>
                <c:pt idx="27">
                  <c:v>17.522951927676981</c:v>
                </c:pt>
                <c:pt idx="28">
                  <c:v>16.440997249815634</c:v>
                </c:pt>
                <c:pt idx="31">
                  <c:v>1.5603400533200367</c:v>
                </c:pt>
                <c:pt idx="32">
                  <c:v>0.72799508783420941</c:v>
                </c:pt>
                <c:pt idx="33">
                  <c:v>2.9168155958906832</c:v>
                </c:pt>
                <c:pt idx="34">
                  <c:v>0.20292464138091851</c:v>
                </c:pt>
                <c:pt idx="35">
                  <c:v>0.91628686408353699</c:v>
                </c:pt>
                <c:pt idx="36">
                  <c:v>0.50513593367081955</c:v>
                </c:pt>
                <c:pt idx="37">
                  <c:v>0.50025736945014865</c:v>
                </c:pt>
                <c:pt idx="38">
                  <c:v>2.0847112410890283</c:v>
                </c:pt>
                <c:pt idx="39">
                  <c:v>0.1288863862777917</c:v>
                </c:pt>
                <c:pt idx="40">
                  <c:v>1.481667727047546</c:v>
                </c:pt>
                <c:pt idx="43">
                  <c:v>7.1803760410464408</c:v>
                </c:pt>
                <c:pt idx="44">
                  <c:v>11.040548113356756</c:v>
                </c:pt>
                <c:pt idx="45">
                  <c:v>57.15137830203858</c:v>
                </c:pt>
                <c:pt idx="46">
                  <c:v>13.188109984937508</c:v>
                </c:pt>
                <c:pt idx="47">
                  <c:v>14.254551731576981</c:v>
                </c:pt>
                <c:pt idx="48">
                  <c:v>11.185557975376215</c:v>
                </c:pt>
                <c:pt idx="49" formatCode="0.00">
                  <c:v>8.0186291526599778</c:v>
                </c:pt>
                <c:pt idx="50">
                  <c:v>11.630171463550992</c:v>
                </c:pt>
                <c:pt idx="51">
                  <c:v>11.531378784424295</c:v>
                </c:pt>
                <c:pt idx="52">
                  <c:v>22.290932365323357</c:v>
                </c:pt>
                <c:pt idx="53">
                  <c:v>11.772550574711383</c:v>
                </c:pt>
              </c:numCache>
            </c:numRef>
          </c:val>
          <c:extLst xmlns:c16r2="http://schemas.microsoft.com/office/drawing/2015/06/chart">
            <c:ext xmlns:c16="http://schemas.microsoft.com/office/drawing/2014/chart" uri="{C3380CC4-5D6E-409C-BE32-E72D297353CC}">
              <c16:uniqueId val="{00000000-CCC9-481E-861C-68DED657B2E3}"/>
            </c:ext>
          </c:extLst>
        </c:ser>
        <c:dLbls>
          <c:showLegendKey val="0"/>
          <c:showVal val="0"/>
          <c:showCatName val="0"/>
          <c:showSerName val="0"/>
          <c:showPercent val="0"/>
          <c:showBubbleSize val="0"/>
        </c:dLbls>
        <c:gapWidth val="167"/>
        <c:overlap val="-5"/>
        <c:axId val="338057472"/>
        <c:axId val="341516288"/>
      </c:barChart>
      <c:lineChart>
        <c:grouping val="standard"/>
        <c:varyColors val="0"/>
        <c:ser>
          <c:idx val="2"/>
          <c:order val="2"/>
          <c:tx>
            <c:strRef>
              <c:f>'Charges as $ per MWh'!$I$2</c:f>
              <c:strCache>
                <c:ptCount val="1"/>
                <c:pt idx="0">
                  <c:v>Average of Proposed Lines Co. charges (volume weighted)</c:v>
                </c:pt>
              </c:strCache>
            </c:strRef>
          </c:tx>
          <c:spPr>
            <a:ln w="9525" cap="rnd">
              <a:solidFill>
                <a:srgbClr val="C00000">
                  <a:alpha val="79000"/>
                </a:srgbClr>
              </a:solidFill>
              <a:prstDash val="lgDash"/>
              <a:round/>
            </a:ln>
            <a:effectLst/>
          </c:spPr>
          <c:marker>
            <c:symbol val="none"/>
          </c:marker>
          <c:cat>
            <c:strRef>
              <c:f>'Charges as $ per MWh'!$B$4:$B$32</c:f>
              <c:strCache>
                <c:ptCount val="29"/>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c:v>
                </c:pt>
                <c:pt idx="27">
                  <c:v>Wellington Electricity</c:v>
                </c:pt>
                <c:pt idx="28">
                  <c:v>Westpower</c:v>
                </c:pt>
              </c:strCache>
            </c:strRef>
          </c:cat>
          <c:val>
            <c:numRef>
              <c:f>'Charges as $ per MWh'!$I$4:$I$32</c:f>
              <c:numCache>
                <c:formatCode>0.0</c:formatCode>
                <c:ptCount val="29"/>
                <c:pt idx="0">
                  <c:v>20.032483800718612</c:v>
                </c:pt>
                <c:pt idx="1">
                  <c:v>20.032483800718612</c:v>
                </c:pt>
                <c:pt idx="2">
                  <c:v>20.032483800718612</c:v>
                </c:pt>
                <c:pt idx="3">
                  <c:v>20.032483800718612</c:v>
                </c:pt>
                <c:pt idx="4">
                  <c:v>20.032483800718612</c:v>
                </c:pt>
                <c:pt idx="5">
                  <c:v>20.032483800718612</c:v>
                </c:pt>
                <c:pt idx="6">
                  <c:v>20.032483800718612</c:v>
                </c:pt>
                <c:pt idx="7">
                  <c:v>20.032483800718612</c:v>
                </c:pt>
                <c:pt idx="8">
                  <c:v>20.032483800718612</c:v>
                </c:pt>
                <c:pt idx="9">
                  <c:v>20.032483800718612</c:v>
                </c:pt>
                <c:pt idx="10">
                  <c:v>20.032483800718612</c:v>
                </c:pt>
                <c:pt idx="11">
                  <c:v>20.032483800718612</c:v>
                </c:pt>
                <c:pt idx="12">
                  <c:v>20.032483800718612</c:v>
                </c:pt>
                <c:pt idx="13">
                  <c:v>20.032483800718612</c:v>
                </c:pt>
                <c:pt idx="14">
                  <c:v>20.032483800718612</c:v>
                </c:pt>
                <c:pt idx="15">
                  <c:v>20.032483800718612</c:v>
                </c:pt>
                <c:pt idx="16">
                  <c:v>20.032483800718612</c:v>
                </c:pt>
                <c:pt idx="17">
                  <c:v>20.032483800718612</c:v>
                </c:pt>
                <c:pt idx="18">
                  <c:v>20.032483800718612</c:v>
                </c:pt>
                <c:pt idx="19">
                  <c:v>20.032483800718612</c:v>
                </c:pt>
                <c:pt idx="20">
                  <c:v>20.032483800718612</c:v>
                </c:pt>
                <c:pt idx="21">
                  <c:v>20.032483800718612</c:v>
                </c:pt>
                <c:pt idx="22">
                  <c:v>20.032483800718612</c:v>
                </c:pt>
                <c:pt idx="23">
                  <c:v>20.032483800718612</c:v>
                </c:pt>
                <c:pt idx="24">
                  <c:v>20.032483800718612</c:v>
                </c:pt>
                <c:pt idx="25">
                  <c:v>20.032483800718612</c:v>
                </c:pt>
                <c:pt idx="26">
                  <c:v>20.032483800718612</c:v>
                </c:pt>
                <c:pt idx="27">
                  <c:v>20.032483800718612</c:v>
                </c:pt>
                <c:pt idx="28">
                  <c:v>20.032483800718612</c:v>
                </c:pt>
              </c:numCache>
            </c:numRef>
          </c:val>
          <c:smooth val="0"/>
          <c:extLst xmlns:c16r2="http://schemas.microsoft.com/office/drawing/2015/06/chart">
            <c:ext xmlns:c16="http://schemas.microsoft.com/office/drawing/2014/chart" uri="{C3380CC4-5D6E-409C-BE32-E72D297353CC}">
              <c16:uniqueId val="{00000000-0486-45BF-A4E1-292001E7D3F1}"/>
            </c:ext>
          </c:extLst>
        </c:ser>
        <c:dLbls>
          <c:showLegendKey val="0"/>
          <c:showVal val="0"/>
          <c:showCatName val="0"/>
          <c:showSerName val="0"/>
          <c:showPercent val="0"/>
          <c:showBubbleSize val="0"/>
        </c:dLbls>
        <c:marker val="1"/>
        <c:smooth val="0"/>
        <c:axId val="338057472"/>
        <c:axId val="341516288"/>
      </c:lineChart>
      <c:catAx>
        <c:axId val="33805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41516288"/>
        <c:crosses val="autoZero"/>
        <c:auto val="1"/>
        <c:lblAlgn val="ctr"/>
        <c:lblOffset val="50"/>
        <c:noMultiLvlLbl val="0"/>
      </c:catAx>
      <c:valAx>
        <c:axId val="341516288"/>
        <c:scaling>
          <c:orientation val="minMax"/>
          <c:max val="3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sz="1800"/>
                  <a:t>Indicative Charges  $/MWh</a:t>
                </a:r>
              </a:p>
            </c:rich>
          </c:tx>
          <c:layout>
            <c:manualLayout>
              <c:xMode val="edge"/>
              <c:yMode val="edge"/>
              <c:x val="9.4235684718841836E-4"/>
              <c:y val="0.28253241180959549"/>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38057472"/>
        <c:crosses val="autoZero"/>
        <c:crossBetween val="between"/>
      </c:valAx>
      <c:spPr>
        <a:noFill/>
        <a:ln>
          <a:noFill/>
        </a:ln>
        <a:effectLst/>
      </c:spPr>
    </c:plotArea>
    <c:legend>
      <c:legendPos val="t"/>
      <c:layout>
        <c:manualLayout>
          <c:xMode val="edge"/>
          <c:yMode val="edge"/>
          <c:x val="7.3090856793585748E-2"/>
          <c:y val="8.7388017637705692E-2"/>
          <c:w val="0.41190220400532118"/>
          <c:h val="9.7211153859352778E-2"/>
        </c:manualLayout>
      </c:layout>
      <c:overlay val="0"/>
      <c:spPr>
        <a:solidFill>
          <a:schemeClr val="bg1"/>
        </a:solid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800" b="0" i="0" u="none" strike="noStrike" kern="1200" spc="0" baseline="0">
                <a:solidFill>
                  <a:sysClr val="windowText" lastClr="000000">
                    <a:lumMod val="65000"/>
                    <a:lumOff val="35000"/>
                  </a:sysClr>
                </a:solidFill>
                <a:latin typeface="+mn-lt"/>
                <a:ea typeface="+mn-ea"/>
                <a:cs typeface="+mn-cs"/>
              </a:defRPr>
            </a:pPr>
            <a:r>
              <a:rPr lang="en-US" sz="1800"/>
              <a:t>Indicative Charges as $/MWh </a:t>
            </a:r>
          </a:p>
          <a:p>
            <a:pPr marL="0" marR="0" indent="0" algn="ctr" defTabSz="914400" rtl="0" eaLnBrk="1" fontAlgn="auto" latinLnBrk="0" hangingPunct="1">
              <a:lnSpc>
                <a:spcPct val="100000"/>
              </a:lnSpc>
              <a:spcBef>
                <a:spcPts val="0"/>
              </a:spcBef>
              <a:spcAft>
                <a:spcPts val="0"/>
              </a:spcAft>
              <a:buClrTx/>
              <a:buSzTx/>
              <a:buFontTx/>
              <a:buNone/>
              <a:tabLst/>
              <a:defRPr sz="1800" b="0" i="0" u="none" strike="noStrike" kern="1200" spc="0" baseline="0">
                <a:solidFill>
                  <a:sysClr val="windowText" lastClr="000000">
                    <a:lumMod val="65000"/>
                    <a:lumOff val="35000"/>
                  </a:sysClr>
                </a:solidFill>
                <a:latin typeface="+mn-lt"/>
                <a:ea typeface="+mn-ea"/>
                <a:cs typeface="+mn-cs"/>
              </a:defRPr>
            </a:pPr>
            <a:r>
              <a:rPr lang="en-US" sz="1800"/>
              <a:t>(</a:t>
            </a:r>
            <a:r>
              <a:rPr lang="en-US" sz="1800" baseline="0"/>
              <a:t>showing the impact of $30m PDP, and the cost of parties exiting)</a:t>
            </a:r>
            <a:endParaRPr lang="en-US" sz="1800"/>
          </a:p>
          <a:p>
            <a:pPr marL="0" marR="0" indent="0" algn="ctr" defTabSz="914400" rtl="0" eaLnBrk="1" fontAlgn="auto" latinLnBrk="0" hangingPunct="1">
              <a:lnSpc>
                <a:spcPct val="100000"/>
              </a:lnSpc>
              <a:spcBef>
                <a:spcPts val="0"/>
              </a:spcBef>
              <a:spcAft>
                <a:spcPts val="0"/>
              </a:spcAft>
              <a:buClrTx/>
              <a:buSzTx/>
              <a:buFontTx/>
              <a:buNone/>
              <a:tabLst/>
              <a:defRPr sz="1800" b="0" i="0" u="none" strike="noStrike" kern="1200" spc="0" baseline="0">
                <a:solidFill>
                  <a:sysClr val="windowText" lastClr="000000">
                    <a:lumMod val="65000"/>
                    <a:lumOff val="35000"/>
                  </a:sysClr>
                </a:solidFill>
                <a:latin typeface="+mn-lt"/>
                <a:ea typeface="+mn-ea"/>
                <a:cs typeface="+mn-cs"/>
              </a:defRPr>
            </a:pPr>
            <a:endParaRPr lang="en-US" sz="1800"/>
          </a:p>
        </c:rich>
      </c:tx>
      <c:layout>
        <c:manualLayout>
          <c:xMode val="edge"/>
          <c:yMode val="edge"/>
          <c:x val="0.32042256631305582"/>
          <c:y val="1.7914523936409623E-3"/>
        </c:manualLayout>
      </c:layout>
      <c:overlay val="0"/>
      <c:spPr>
        <a:noFill/>
        <a:ln>
          <a:noFill/>
        </a:ln>
        <a:effectLst/>
      </c:spPr>
    </c:title>
    <c:autoTitleDeleted val="0"/>
    <c:plotArea>
      <c:layout>
        <c:manualLayout>
          <c:layoutTarget val="inner"/>
          <c:xMode val="edge"/>
          <c:yMode val="edge"/>
          <c:x val="7.2405093761257325E-2"/>
          <c:y val="0.11590809696707985"/>
          <c:w val="0.92234849752991999"/>
          <c:h val="0.66272202712716644"/>
        </c:manualLayout>
      </c:layout>
      <c:barChart>
        <c:barDir val="col"/>
        <c:grouping val="clustered"/>
        <c:varyColors val="0"/>
        <c:ser>
          <c:idx val="1"/>
          <c:order val="0"/>
          <c:tx>
            <c:strRef>
              <c:f>'Charges as $ per MWh'!$D$2</c:f>
              <c:strCache>
                <c:ptCount val="1"/>
                <c:pt idx="0">
                  <c:v>Proposal</c:v>
                </c:pt>
              </c:strCache>
            </c:strRef>
          </c:tx>
          <c:spPr>
            <a:solidFill>
              <a:schemeClr val="accent6">
                <a:lumMod val="75000"/>
                <a:alpha val="64000"/>
              </a:schemeClr>
            </a:solidFill>
            <a:ln>
              <a:noFill/>
            </a:ln>
            <a:effectLst/>
          </c:spPr>
          <c:invertIfNegative val="0"/>
          <c:cat>
            <c:strRef>
              <c:f>'Charges as $ per MWh'!$B$4:$B$32</c:f>
              <c:strCache>
                <c:ptCount val="29"/>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c:v>
                </c:pt>
                <c:pt idx="27">
                  <c:v>Wellington Electricity</c:v>
                </c:pt>
                <c:pt idx="28">
                  <c:v>Westpower</c:v>
                </c:pt>
              </c:strCache>
            </c:strRef>
          </c:cat>
          <c:val>
            <c:numRef>
              <c:f>'Charges as $ per MWh'!$D$4:$D$32</c:f>
              <c:numCache>
                <c:formatCode>0.0</c:formatCode>
                <c:ptCount val="29"/>
                <c:pt idx="0">
                  <c:v>12.503869675834416</c:v>
                </c:pt>
                <c:pt idx="1">
                  <c:v>14.297802800940545</c:v>
                </c:pt>
                <c:pt idx="2">
                  <c:v>16.752481616071901</c:v>
                </c:pt>
                <c:pt idx="3">
                  <c:v>13.985627090062998</c:v>
                </c:pt>
                <c:pt idx="4">
                  <c:v>22.035015877098701</c:v>
                </c:pt>
                <c:pt idx="5">
                  <c:v>13.760954731542071</c:v>
                </c:pt>
                <c:pt idx="6">
                  <c:v>16.894646429145624</c:v>
                </c:pt>
                <c:pt idx="7">
                  <c:v>19.203714789533379</c:v>
                </c:pt>
                <c:pt idx="8">
                  <c:v>13.920780720118637</c:v>
                </c:pt>
                <c:pt idx="9">
                  <c:v>13.750816937495188</c:v>
                </c:pt>
                <c:pt idx="10">
                  <c:v>14.935131314303559</c:v>
                </c:pt>
                <c:pt idx="11">
                  <c:v>15.10737379418992</c:v>
                </c:pt>
                <c:pt idx="12">
                  <c:v>12.599034485958805</c:v>
                </c:pt>
                <c:pt idx="13">
                  <c:v>14.117592003864422</c:v>
                </c:pt>
                <c:pt idx="14">
                  <c:v>14.71695122956992</c:v>
                </c:pt>
                <c:pt idx="15">
                  <c:v>27.094973065396495</c:v>
                </c:pt>
                <c:pt idx="16">
                  <c:v>14.678284616844646</c:v>
                </c:pt>
                <c:pt idx="17">
                  <c:v>11.112889384313535</c:v>
                </c:pt>
                <c:pt idx="18">
                  <c:v>16.550368676238417</c:v>
                </c:pt>
                <c:pt idx="19">
                  <c:v>14.238863313471661</c:v>
                </c:pt>
                <c:pt idx="20">
                  <c:v>17.798961111696013</c:v>
                </c:pt>
                <c:pt idx="21">
                  <c:v>13.014451625869663</c:v>
                </c:pt>
                <c:pt idx="22">
                  <c:v>26.323624469272961</c:v>
                </c:pt>
                <c:pt idx="23">
                  <c:v>15.210456209164153</c:v>
                </c:pt>
                <c:pt idx="24">
                  <c:v>30.527988219335274</c:v>
                </c:pt>
                <c:pt idx="25">
                  <c:v>15.863271349640497</c:v>
                </c:pt>
                <c:pt idx="26">
                  <c:v>17.780832855539657</c:v>
                </c:pt>
                <c:pt idx="27">
                  <c:v>17.522951927676981</c:v>
                </c:pt>
                <c:pt idx="28">
                  <c:v>16.440997249815634</c:v>
                </c:pt>
              </c:numCache>
            </c:numRef>
          </c:val>
          <c:extLst xmlns:c16r2="http://schemas.microsoft.com/office/drawing/2015/06/chart">
            <c:ext xmlns:c16="http://schemas.microsoft.com/office/drawing/2014/chart" uri="{C3380CC4-5D6E-409C-BE32-E72D297353CC}">
              <c16:uniqueId val="{00000002-E42B-4A12-B203-BAA9FE61DE6B}"/>
            </c:ext>
          </c:extLst>
        </c:ser>
        <c:ser>
          <c:idx val="0"/>
          <c:order val="1"/>
          <c:tx>
            <c:strRef>
              <c:f>'Charges as $ per MWh'!$Q$2</c:f>
              <c:strCache>
                <c:ptCount val="1"/>
                <c:pt idx="0">
                  <c:v>Proposal with PDP ($30m)</c:v>
                </c:pt>
              </c:strCache>
            </c:strRef>
          </c:tx>
          <c:spPr>
            <a:solidFill>
              <a:schemeClr val="tx2">
                <a:lumMod val="60000"/>
                <a:lumOff val="40000"/>
                <a:alpha val="73000"/>
              </a:schemeClr>
            </a:solidFill>
            <a:ln>
              <a:noFill/>
            </a:ln>
            <a:effectLst/>
          </c:spPr>
          <c:invertIfNegative val="0"/>
          <c:dLbls>
            <c:dLbl>
              <c:idx val="4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E07-40EC-818A-4F6FD7DA9849}"/>
                </c:ext>
              </c:extLst>
            </c:dLbl>
            <c:numFmt formatCode="#,##0" sourceLinked="0"/>
            <c:spPr>
              <a:solidFill>
                <a:schemeClr val="bg1">
                  <a:alpha val="71000"/>
                </a:schemeClr>
              </a:solidFill>
              <a:ln>
                <a:noFill/>
              </a:ln>
              <a:effectLst/>
            </c:spPr>
            <c:txPr>
              <a:bodyPr rot="0" spcFirstLastPara="1" vertOverflow="ellipsis" vert="horz" wrap="square" lIns="38100" tIns="19050" rIns="38100" bIns="19050" anchor="ctr" anchorCtr="0">
                <a:spAutoFit/>
              </a:bodyPr>
              <a:lstStyle/>
              <a:p>
                <a:pPr algn="ctr">
                  <a:defRPr lang="en-NZ" sz="1600" b="0" i="0" u="none" strike="noStrike" kern="1200" baseline="0">
                    <a:solidFill>
                      <a:schemeClr val="accent6">
                        <a:lumMod val="50000"/>
                      </a:schemeClr>
                    </a:solidFill>
                    <a:latin typeface="+mn-lt"/>
                    <a:ea typeface="+mn-ea"/>
                    <a:cs typeface="+mn-cs"/>
                  </a:defRPr>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'Charges as $ per MWh'!$B$4:$B$32</c:f>
              <c:strCache>
                <c:ptCount val="29"/>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c:v>
                </c:pt>
                <c:pt idx="27">
                  <c:v>Wellington Electricity</c:v>
                </c:pt>
                <c:pt idx="28">
                  <c:v>Westpower</c:v>
                </c:pt>
              </c:strCache>
            </c:strRef>
          </c:cat>
          <c:val>
            <c:numRef>
              <c:f>'Charges as $ per MWh'!$Q$4:$Q$32</c:f>
              <c:numCache>
                <c:formatCode>0.00</c:formatCode>
                <c:ptCount val="29"/>
                <c:pt idx="0">
                  <c:v>13.18730534660218</c:v>
                </c:pt>
                <c:pt idx="1">
                  <c:v>15.102348752484149</c:v>
                </c:pt>
                <c:pt idx="2">
                  <c:v>17.660358291316353</c:v>
                </c:pt>
                <c:pt idx="3">
                  <c:v>14.60232715228384</c:v>
                </c:pt>
                <c:pt idx="4">
                  <c:v>22.803397161536328</c:v>
                </c:pt>
                <c:pt idx="5">
                  <c:v>14.417903096419028</c:v>
                </c:pt>
                <c:pt idx="6">
                  <c:v>17.658172240023614</c:v>
                </c:pt>
                <c:pt idx="7">
                  <c:v>20.278616371256348</c:v>
                </c:pt>
                <c:pt idx="8">
                  <c:v>14.657160958670763</c:v>
                </c:pt>
                <c:pt idx="9">
                  <c:v>14.401449438250184</c:v>
                </c:pt>
                <c:pt idx="10">
                  <c:v>15.790306986681175</c:v>
                </c:pt>
                <c:pt idx="11">
                  <c:v>15.902190703781903</c:v>
                </c:pt>
                <c:pt idx="12">
                  <c:v>13.264360637465641</c:v>
                </c:pt>
                <c:pt idx="13">
                  <c:v>14.870122316391653</c:v>
                </c:pt>
                <c:pt idx="14">
                  <c:v>15.528592261893797</c:v>
                </c:pt>
                <c:pt idx="15">
                  <c:v>27.717416301712159</c:v>
                </c:pt>
                <c:pt idx="16">
                  <c:v>15.452827550139549</c:v>
                </c:pt>
                <c:pt idx="17">
                  <c:v>11.702825795288756</c:v>
                </c:pt>
                <c:pt idx="18">
                  <c:v>17.317942449979455</c:v>
                </c:pt>
                <c:pt idx="19">
                  <c:v>14.86897561959432</c:v>
                </c:pt>
                <c:pt idx="20">
                  <c:v>18.693615850392248</c:v>
                </c:pt>
                <c:pt idx="21">
                  <c:v>13.704200828701138</c:v>
                </c:pt>
                <c:pt idx="22">
                  <c:v>27.013335334150092</c:v>
                </c:pt>
                <c:pt idx="23">
                  <c:v>15.932553442766755</c:v>
                </c:pt>
                <c:pt idx="24">
                  <c:v>31.418233806430568</c:v>
                </c:pt>
                <c:pt idx="25">
                  <c:v>16.566336320445615</c:v>
                </c:pt>
                <c:pt idx="26">
                  <c:v>18.571710050900229</c:v>
                </c:pt>
                <c:pt idx="27">
                  <c:v>18.340830029617827</c:v>
                </c:pt>
                <c:pt idx="28">
                  <c:v>17.338812953989699</c:v>
                </c:pt>
              </c:numCache>
            </c:numRef>
          </c:val>
          <c:extLst xmlns:c16r2="http://schemas.microsoft.com/office/drawing/2015/06/chart">
            <c:ext xmlns:c16="http://schemas.microsoft.com/office/drawing/2014/chart" uri="{C3380CC4-5D6E-409C-BE32-E72D297353CC}">
              <c16:uniqueId val="{00000000-E42B-4A12-B203-BAA9FE61DE6B}"/>
            </c:ext>
          </c:extLst>
        </c:ser>
        <c:ser>
          <c:idx val="2"/>
          <c:order val="2"/>
          <c:tx>
            <c:strRef>
              <c:f>'Charges as $ per MWh'!$R$2</c:f>
              <c:strCache>
                <c:ptCount val="1"/>
                <c:pt idx="0">
                  <c:v>Proposal if parties exit</c:v>
                </c:pt>
              </c:strCache>
            </c:strRef>
          </c:tx>
          <c:spPr>
            <a:solidFill>
              <a:schemeClr val="tx1">
                <a:lumMod val="50000"/>
                <a:lumOff val="50000"/>
              </a:schemeClr>
            </a:solidFill>
            <a:ln>
              <a:noFill/>
            </a:ln>
            <a:effectLst/>
          </c:spPr>
          <c:invertIfNegative val="0"/>
          <c:cat>
            <c:strRef>
              <c:f>'Charges as $ per MWh'!$B$4:$B$32</c:f>
              <c:strCache>
                <c:ptCount val="29"/>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c:v>
                </c:pt>
                <c:pt idx="27">
                  <c:v>Wellington Electricity</c:v>
                </c:pt>
                <c:pt idx="28">
                  <c:v>Westpower</c:v>
                </c:pt>
              </c:strCache>
            </c:strRef>
          </c:cat>
          <c:val>
            <c:numRef>
              <c:f>'Charges as $ per MWh'!$R$4:$R$32</c:f>
              <c:numCache>
                <c:formatCode>0.00</c:formatCode>
                <c:ptCount val="29"/>
                <c:pt idx="0">
                  <c:v>13.642929127114021</c:v>
                </c:pt>
                <c:pt idx="1">
                  <c:v>15.638712720179884</c:v>
                </c:pt>
                <c:pt idx="2">
                  <c:v>18.265609408145988</c:v>
                </c:pt>
                <c:pt idx="3">
                  <c:v>15.013460527097736</c:v>
                </c:pt>
                <c:pt idx="4">
                  <c:v>23.31565135116141</c:v>
                </c:pt>
                <c:pt idx="5">
                  <c:v>14.855868673003661</c:v>
                </c:pt>
                <c:pt idx="6">
                  <c:v>18.167189447275604</c:v>
                </c:pt>
                <c:pt idx="7">
                  <c:v>20.995217425738328</c:v>
                </c:pt>
                <c:pt idx="8">
                  <c:v>15.148081117705521</c:v>
                </c:pt>
                <c:pt idx="9">
                  <c:v>14.835204438753516</c:v>
                </c:pt>
                <c:pt idx="10">
                  <c:v>16.360424101599584</c:v>
                </c:pt>
                <c:pt idx="11">
                  <c:v>16.432068643509886</c:v>
                </c:pt>
                <c:pt idx="12">
                  <c:v>13.707911405136862</c:v>
                </c:pt>
                <c:pt idx="13">
                  <c:v>15.371809191409806</c:v>
                </c:pt>
                <c:pt idx="14">
                  <c:v>16.069686283443044</c:v>
                </c:pt>
                <c:pt idx="15">
                  <c:v>28.132378459255932</c:v>
                </c:pt>
                <c:pt idx="16">
                  <c:v>15.969189505669485</c:v>
                </c:pt>
                <c:pt idx="17">
                  <c:v>12.096116735938907</c:v>
                </c:pt>
                <c:pt idx="18">
                  <c:v>17.829658299140149</c:v>
                </c:pt>
                <c:pt idx="19">
                  <c:v>15.28905049034276</c:v>
                </c:pt>
                <c:pt idx="20">
                  <c:v>19.290052342856409</c:v>
                </c:pt>
                <c:pt idx="21">
                  <c:v>14.164033630588783</c:v>
                </c:pt>
                <c:pt idx="22">
                  <c:v>27.473142577401514</c:v>
                </c:pt>
                <c:pt idx="23">
                  <c:v>16.413951598501825</c:v>
                </c:pt>
                <c:pt idx="24">
                  <c:v>32.011730864494091</c:v>
                </c:pt>
                <c:pt idx="25">
                  <c:v>17.035046300982359</c:v>
                </c:pt>
                <c:pt idx="26">
                  <c:v>19.098961514473945</c:v>
                </c:pt>
                <c:pt idx="27">
                  <c:v>18.886082097578392</c:v>
                </c:pt>
                <c:pt idx="28">
                  <c:v>17.937356756772409</c:v>
                </c:pt>
              </c:numCache>
            </c:numRef>
          </c:val>
          <c:extLst xmlns:c16r2="http://schemas.microsoft.com/office/drawing/2015/06/chart">
            <c:ext xmlns:c16="http://schemas.microsoft.com/office/drawing/2014/chart" uri="{C3380CC4-5D6E-409C-BE32-E72D297353CC}">
              <c16:uniqueId val="{00000000-9A9F-4137-8A30-78F68F75CCBD}"/>
            </c:ext>
          </c:extLst>
        </c:ser>
        <c:dLbls>
          <c:showLegendKey val="0"/>
          <c:showVal val="0"/>
          <c:showCatName val="0"/>
          <c:showSerName val="0"/>
          <c:showPercent val="0"/>
          <c:showBubbleSize val="0"/>
        </c:dLbls>
        <c:gapWidth val="167"/>
        <c:overlap val="-5"/>
        <c:axId val="346383104"/>
        <c:axId val="346385408"/>
      </c:barChart>
      <c:catAx>
        <c:axId val="346383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46385408"/>
        <c:crosses val="autoZero"/>
        <c:auto val="1"/>
        <c:lblAlgn val="ctr"/>
        <c:lblOffset val="50"/>
        <c:noMultiLvlLbl val="0"/>
      </c:catAx>
      <c:valAx>
        <c:axId val="346385408"/>
        <c:scaling>
          <c:orientation val="minMax"/>
          <c:max val="3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sz="1800"/>
                  <a:t>Indicative Charges  $/MWh</a:t>
                </a:r>
              </a:p>
            </c:rich>
          </c:tx>
          <c:layout>
            <c:manualLayout>
              <c:xMode val="edge"/>
              <c:yMode val="edge"/>
              <c:x val="3.9452615165031539E-3"/>
              <c:y val="0.20823414359552839"/>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46383104"/>
        <c:crosses val="autoZero"/>
        <c:crossBetween val="between"/>
      </c:valAx>
      <c:spPr>
        <a:noFill/>
        <a:ln>
          <a:noFill/>
        </a:ln>
        <a:effectLst/>
      </c:spPr>
    </c:plotArea>
    <c:legend>
      <c:legendPos val="t"/>
      <c:layout>
        <c:manualLayout>
          <c:xMode val="edge"/>
          <c:yMode val="edge"/>
          <c:x val="7.8775000384927796E-2"/>
          <c:y val="0.14441262311606184"/>
          <c:w val="0.43867523763725558"/>
          <c:h val="3.8044816853374977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00" b="0" i="0" u="none" strike="noStrike" kern="1200" spc="0" baseline="0">
                <a:solidFill>
                  <a:schemeClr val="tx1">
                    <a:lumMod val="65000"/>
                    <a:lumOff val="35000"/>
                  </a:schemeClr>
                </a:solidFill>
                <a:latin typeface="+mn-lt"/>
                <a:ea typeface="+mn-ea"/>
                <a:cs typeface="+mn-cs"/>
              </a:defRPr>
            </a:pPr>
            <a:r>
              <a:rPr lang="en-NZ" sz="1900"/>
              <a:t>Indicative Charges by Component ($/MWh) </a:t>
            </a:r>
            <a:endParaRPr lang="en-NZ" sz="1900">
              <a:solidFill>
                <a:srgbClr val="C00000"/>
              </a:solidFill>
            </a:endParaRPr>
          </a:p>
          <a:p>
            <a:pPr>
              <a:defRPr sz="1900" b="0" i="0" u="none" strike="noStrike" kern="1200" spc="0" baseline="0">
                <a:solidFill>
                  <a:schemeClr val="tx1">
                    <a:lumMod val="65000"/>
                    <a:lumOff val="35000"/>
                  </a:schemeClr>
                </a:solidFill>
                <a:latin typeface="+mn-lt"/>
                <a:ea typeface="+mn-ea"/>
                <a:cs typeface="+mn-cs"/>
              </a:defRPr>
            </a:pPr>
            <a:r>
              <a:rPr lang="en-NZ" sz="1900"/>
              <a:t>(load sorted</a:t>
            </a:r>
            <a:r>
              <a:rPr lang="en-NZ" sz="1900" baseline="0"/>
              <a:t> geographically from south to north)</a:t>
            </a:r>
            <a:endParaRPr lang="en-NZ" sz="1900"/>
          </a:p>
        </c:rich>
      </c:tx>
      <c:layout>
        <c:manualLayout>
          <c:xMode val="edge"/>
          <c:yMode val="edge"/>
          <c:x val="0.33006638948638317"/>
          <c:y val="5.9882781840390484E-3"/>
        </c:manualLayout>
      </c:layout>
      <c:overlay val="0"/>
      <c:spPr>
        <a:noFill/>
        <a:ln>
          <a:noFill/>
        </a:ln>
        <a:effectLst/>
      </c:spPr>
    </c:title>
    <c:autoTitleDeleted val="0"/>
    <c:plotArea>
      <c:layout>
        <c:manualLayout>
          <c:layoutTarget val="inner"/>
          <c:xMode val="edge"/>
          <c:yMode val="edge"/>
          <c:x val="7.8849272110484939E-2"/>
          <c:y val="8.4238294246210751E-2"/>
          <c:w val="0.90699762875890577"/>
          <c:h val="0.65708230001730206"/>
        </c:manualLayout>
      </c:layout>
      <c:barChart>
        <c:barDir val="col"/>
        <c:grouping val="stacked"/>
        <c:varyColors val="0"/>
        <c:ser>
          <c:idx val="1"/>
          <c:order val="0"/>
          <c:tx>
            <c:strRef>
              <c:f>'Charges as $ per MWh'!$H$65</c:f>
              <c:strCache>
                <c:ptCount val="1"/>
                <c:pt idx="0">
                  <c:v>Residual Component + Overhead</c:v>
                </c:pt>
              </c:strCache>
            </c:strRef>
          </c:tx>
          <c:spPr>
            <a:solidFill>
              <a:schemeClr val="accent1">
                <a:alpha val="62000"/>
              </a:schemeClr>
            </a:solidFill>
            <a:ln>
              <a:noFill/>
            </a:ln>
            <a:effectLst/>
          </c:spPr>
          <c:invertIfNegative val="0"/>
          <c:cat>
            <c:strRef>
              <c:f>'Charges as $ per MWh'!$A$69:$A$118</c:f>
              <c:strCache>
                <c:ptCount val="49"/>
                <c:pt idx="0">
                  <c:v>Contact</c:v>
                </c:pt>
                <c:pt idx="1">
                  <c:v>Genesis</c:v>
                </c:pt>
                <c:pt idx="2">
                  <c:v>Meridian</c:v>
                </c:pt>
                <c:pt idx="3">
                  <c:v>Tuaropaki</c:v>
                </c:pt>
                <c:pt idx="4">
                  <c:v>Mercury</c:v>
                </c:pt>
                <c:pt idx="5">
                  <c:v>Nga Awa Purua JV</c:v>
                </c:pt>
                <c:pt idx="6">
                  <c:v>Ngatamariki</c:v>
                </c:pt>
                <c:pt idx="7">
                  <c:v>Pioneer</c:v>
                </c:pt>
                <c:pt idx="8">
                  <c:v>Todd</c:v>
                </c:pt>
                <c:pt idx="9">
                  <c:v>Trustpower</c:v>
                </c:pt>
                <c:pt idx="10">
                  <c:v>NZ Aluminium Smelter</c:v>
                </c:pt>
                <c:pt idx="11">
                  <c:v>The Power Company</c:v>
                </c:pt>
                <c:pt idx="12">
                  <c:v>Electricity Invercargill</c:v>
                </c:pt>
                <c:pt idx="13">
                  <c:v>Rayonier</c:v>
                </c:pt>
                <c:pt idx="14">
                  <c:v>Aurora Energy</c:v>
                </c:pt>
                <c:pt idx="15">
                  <c:v>Lakeland Network</c:v>
                </c:pt>
                <c:pt idx="16">
                  <c:v>OtagoNet JV</c:v>
                </c:pt>
                <c:pt idx="17">
                  <c:v>Network Waitaki</c:v>
                </c:pt>
                <c:pt idx="18">
                  <c:v>Alpine Energy</c:v>
                </c:pt>
                <c:pt idx="19">
                  <c:v>Electricity Ashburton</c:v>
                </c:pt>
                <c:pt idx="20">
                  <c:v>Daiken MDF</c:v>
                </c:pt>
                <c:pt idx="21">
                  <c:v>Orion</c:v>
                </c:pt>
                <c:pt idx="22">
                  <c:v>Mainpower</c:v>
                </c:pt>
                <c:pt idx="23">
                  <c:v>Marlborough Lines</c:v>
                </c:pt>
                <c:pt idx="24">
                  <c:v>Network Tasman</c:v>
                </c:pt>
                <c:pt idx="25">
                  <c:v>Buller Electricity</c:v>
                </c:pt>
                <c:pt idx="26">
                  <c:v>Westpower</c:v>
                </c:pt>
                <c:pt idx="27">
                  <c:v>Wellington Electricity</c:v>
                </c:pt>
                <c:pt idx="28">
                  <c:v>Electra</c:v>
                </c:pt>
                <c:pt idx="29">
                  <c:v>Scanpower</c:v>
                </c:pt>
                <c:pt idx="30">
                  <c:v>Winstones</c:v>
                </c:pt>
                <c:pt idx="31">
                  <c:v>Methanex</c:v>
                </c:pt>
                <c:pt idx="32">
                  <c:v>Centralines</c:v>
                </c:pt>
                <c:pt idx="33">
                  <c:v>Unison</c:v>
                </c:pt>
                <c:pt idx="34">
                  <c:v>Pan Pac</c:v>
                </c:pt>
                <c:pt idx="35">
                  <c:v>Eastland Network</c:v>
                </c:pt>
                <c:pt idx="36">
                  <c:v>Horizon</c:v>
                </c:pt>
                <c:pt idx="37">
                  <c:v>Norske Skog</c:v>
                </c:pt>
                <c:pt idx="38">
                  <c:v>Carter Holt Harvey</c:v>
                </c:pt>
                <c:pt idx="39">
                  <c:v>Powerco</c:v>
                </c:pt>
                <c:pt idx="40">
                  <c:v>The Lines Company</c:v>
                </c:pt>
                <c:pt idx="41">
                  <c:v>Waipa Power</c:v>
                </c:pt>
                <c:pt idx="42">
                  <c:v>WEL Networks</c:v>
                </c:pt>
                <c:pt idx="43">
                  <c:v>NZ Steel</c:v>
                </c:pt>
                <c:pt idx="44">
                  <c:v>Counties Power</c:v>
                </c:pt>
                <c:pt idx="45">
                  <c:v>Vector</c:v>
                </c:pt>
                <c:pt idx="46">
                  <c:v>Refining NZ</c:v>
                </c:pt>
                <c:pt idx="47">
                  <c:v>Northpower</c:v>
                </c:pt>
                <c:pt idx="48">
                  <c:v>Top Energy</c:v>
                </c:pt>
              </c:strCache>
            </c:strRef>
          </c:cat>
          <c:val>
            <c:numRef>
              <c:f>'Charges as $ per MWh'!$H$69:$H$118</c:f>
              <c:numCache>
                <c:formatCode>0.00</c:formatCode>
                <c:ptCount val="49"/>
                <c:pt idx="0">
                  <c:v>0.1365711531695368</c:v>
                </c:pt>
                <c:pt idx="1">
                  <c:v>0.12337252373198361</c:v>
                </c:pt>
                <c:pt idx="2">
                  <c:v>9.6138119928600177E-2</c:v>
                </c:pt>
                <c:pt idx="3">
                  <c:v>0</c:v>
                </c:pt>
                <c:pt idx="4">
                  <c:v>0.4280211570435617</c:v>
                </c:pt>
                <c:pt idx="5">
                  <c:v>0</c:v>
                </c:pt>
                <c:pt idx="6">
                  <c:v>0</c:v>
                </c:pt>
                <c:pt idx="7">
                  <c:v>0</c:v>
                </c:pt>
                <c:pt idx="8">
                  <c:v>3.1787347692846912E-2</c:v>
                </c:pt>
                <c:pt idx="9">
                  <c:v>0.14392468611827844</c:v>
                </c:pt>
                <c:pt idx="10">
                  <c:v>6.7058239703302354</c:v>
                </c:pt>
                <c:pt idx="11">
                  <c:v>11.585551311757186</c:v>
                </c:pt>
                <c:pt idx="12">
                  <c:v>12.368801592938082</c:v>
                </c:pt>
                <c:pt idx="13">
                  <c:v>9.7764866473952843</c:v>
                </c:pt>
                <c:pt idx="14">
                  <c:v>13.513764664041766</c:v>
                </c:pt>
                <c:pt idx="15">
                  <c:v>14.364179896439936</c:v>
                </c:pt>
                <c:pt idx="16">
                  <c:v>9.9090198755869565</c:v>
                </c:pt>
                <c:pt idx="17">
                  <c:v>13.632939027859052</c:v>
                </c:pt>
                <c:pt idx="18">
                  <c:v>11.479504433584275</c:v>
                </c:pt>
                <c:pt idx="19">
                  <c:v>18.054863099541969</c:v>
                </c:pt>
                <c:pt idx="20">
                  <c:v>9.5876755693816325</c:v>
                </c:pt>
                <c:pt idx="21">
                  <c:v>13.009811189357087</c:v>
                </c:pt>
                <c:pt idx="22">
                  <c:v>13.35034828852139</c:v>
                </c:pt>
                <c:pt idx="23">
                  <c:v>11.175323198191068</c:v>
                </c:pt>
                <c:pt idx="24">
                  <c:v>12.640070497576382</c:v>
                </c:pt>
                <c:pt idx="25">
                  <c:v>15.2493859545091</c:v>
                </c:pt>
                <c:pt idx="26">
                  <c:v>15.080394245488481</c:v>
                </c:pt>
                <c:pt idx="27">
                  <c:v>13.737701584721389</c:v>
                </c:pt>
                <c:pt idx="28">
                  <c:v>12.824759236349934</c:v>
                </c:pt>
                <c:pt idx="29">
                  <c:v>10.58384471455113</c:v>
                </c:pt>
                <c:pt idx="30">
                  <c:v>9.5010544468515317</c:v>
                </c:pt>
                <c:pt idx="31">
                  <c:v>10.161950737593843</c:v>
                </c:pt>
                <c:pt idx="32">
                  <c:v>10.358562482556636</c:v>
                </c:pt>
                <c:pt idx="33">
                  <c:v>12.128893397249659</c:v>
                </c:pt>
                <c:pt idx="34">
                  <c:v>9.242992530793062</c:v>
                </c:pt>
                <c:pt idx="35">
                  <c:v>11.034603533012799</c:v>
                </c:pt>
                <c:pt idx="36">
                  <c:v>10.928517483818931</c:v>
                </c:pt>
                <c:pt idx="37">
                  <c:v>13.737930000538402</c:v>
                </c:pt>
                <c:pt idx="38">
                  <c:v>8.7272911986990191</c:v>
                </c:pt>
                <c:pt idx="39">
                  <c:v>12.892751894065904</c:v>
                </c:pt>
                <c:pt idx="40">
                  <c:v>15.02730026931906</c:v>
                </c:pt>
                <c:pt idx="41">
                  <c:v>11.809213060811501</c:v>
                </c:pt>
                <c:pt idx="42">
                  <c:v>13.284173857011737</c:v>
                </c:pt>
                <c:pt idx="43">
                  <c:v>9.1857990735810429</c:v>
                </c:pt>
                <c:pt idx="44">
                  <c:v>12.906315456838731</c:v>
                </c:pt>
                <c:pt idx="45">
                  <c:v>14.953240811324132</c:v>
                </c:pt>
                <c:pt idx="46">
                  <c:v>7.7945121917278861</c:v>
                </c:pt>
                <c:pt idx="47">
                  <c:v>10.455029195232441</c:v>
                </c:pt>
                <c:pt idx="48">
                  <c:v>11.584907358367552</c:v>
                </c:pt>
              </c:numCache>
            </c:numRef>
          </c:val>
          <c:extLst xmlns:c16r2="http://schemas.microsoft.com/office/drawing/2015/06/chart">
            <c:ext xmlns:c16="http://schemas.microsoft.com/office/drawing/2014/chart" uri="{C3380CC4-5D6E-409C-BE32-E72D297353CC}">
              <c16:uniqueId val="{00000000-FC40-4AE3-8E2C-89D3CAAF5F56}"/>
            </c:ext>
          </c:extLst>
        </c:ser>
        <c:ser>
          <c:idx val="0"/>
          <c:order val="1"/>
          <c:tx>
            <c:strRef>
              <c:f>'Charges as $ per MWh'!$E$65</c:f>
              <c:strCache>
                <c:ptCount val="1"/>
                <c:pt idx="0">
                  <c:v>AoB Component</c:v>
                </c:pt>
              </c:strCache>
            </c:strRef>
          </c:tx>
          <c:spPr>
            <a:solidFill>
              <a:schemeClr val="accent6">
                <a:lumMod val="75000"/>
                <a:alpha val="71000"/>
              </a:schemeClr>
            </a:solidFill>
            <a:ln>
              <a:noFill/>
            </a:ln>
            <a:effectLst/>
          </c:spPr>
          <c:invertIfNegative val="0"/>
          <c:cat>
            <c:strRef>
              <c:f>'Charges as $ per MWh'!$A$69:$A$118</c:f>
              <c:strCache>
                <c:ptCount val="49"/>
                <c:pt idx="0">
                  <c:v>Contact</c:v>
                </c:pt>
                <c:pt idx="1">
                  <c:v>Genesis</c:v>
                </c:pt>
                <c:pt idx="2">
                  <c:v>Meridian</c:v>
                </c:pt>
                <c:pt idx="3">
                  <c:v>Tuaropaki</c:v>
                </c:pt>
                <c:pt idx="4">
                  <c:v>Mercury</c:v>
                </c:pt>
                <c:pt idx="5">
                  <c:v>Nga Awa Purua JV</c:v>
                </c:pt>
                <c:pt idx="6">
                  <c:v>Ngatamariki</c:v>
                </c:pt>
                <c:pt idx="7">
                  <c:v>Pioneer</c:v>
                </c:pt>
                <c:pt idx="8">
                  <c:v>Todd</c:v>
                </c:pt>
                <c:pt idx="9">
                  <c:v>Trustpower</c:v>
                </c:pt>
                <c:pt idx="10">
                  <c:v>NZ Aluminium Smelter</c:v>
                </c:pt>
                <c:pt idx="11">
                  <c:v>The Power Company</c:v>
                </c:pt>
                <c:pt idx="12">
                  <c:v>Electricity Invercargill</c:v>
                </c:pt>
                <c:pt idx="13">
                  <c:v>Rayonier</c:v>
                </c:pt>
                <c:pt idx="14">
                  <c:v>Aurora Energy</c:v>
                </c:pt>
                <c:pt idx="15">
                  <c:v>Lakeland Network</c:v>
                </c:pt>
                <c:pt idx="16">
                  <c:v>OtagoNet JV</c:v>
                </c:pt>
                <c:pt idx="17">
                  <c:v>Network Waitaki</c:v>
                </c:pt>
                <c:pt idx="18">
                  <c:v>Alpine Energy</c:v>
                </c:pt>
                <c:pt idx="19">
                  <c:v>Electricity Ashburton</c:v>
                </c:pt>
                <c:pt idx="20">
                  <c:v>Daiken MDF</c:v>
                </c:pt>
                <c:pt idx="21">
                  <c:v>Orion</c:v>
                </c:pt>
                <c:pt idx="22">
                  <c:v>Mainpower</c:v>
                </c:pt>
                <c:pt idx="23">
                  <c:v>Marlborough Lines</c:v>
                </c:pt>
                <c:pt idx="24">
                  <c:v>Network Tasman</c:v>
                </c:pt>
                <c:pt idx="25">
                  <c:v>Buller Electricity</c:v>
                </c:pt>
                <c:pt idx="26">
                  <c:v>Westpower</c:v>
                </c:pt>
                <c:pt idx="27">
                  <c:v>Wellington Electricity</c:v>
                </c:pt>
                <c:pt idx="28">
                  <c:v>Electra</c:v>
                </c:pt>
                <c:pt idx="29">
                  <c:v>Scanpower</c:v>
                </c:pt>
                <c:pt idx="30">
                  <c:v>Winstones</c:v>
                </c:pt>
                <c:pt idx="31">
                  <c:v>Methanex</c:v>
                </c:pt>
                <c:pt idx="32">
                  <c:v>Centralines</c:v>
                </c:pt>
                <c:pt idx="33">
                  <c:v>Unison</c:v>
                </c:pt>
                <c:pt idx="34">
                  <c:v>Pan Pac</c:v>
                </c:pt>
                <c:pt idx="35">
                  <c:v>Eastland Network</c:v>
                </c:pt>
                <c:pt idx="36">
                  <c:v>Horizon</c:v>
                </c:pt>
                <c:pt idx="37">
                  <c:v>Norske Skog</c:v>
                </c:pt>
                <c:pt idx="38">
                  <c:v>Carter Holt Harvey</c:v>
                </c:pt>
                <c:pt idx="39">
                  <c:v>Powerco</c:v>
                </c:pt>
                <c:pt idx="40">
                  <c:v>The Lines Company</c:v>
                </c:pt>
                <c:pt idx="41">
                  <c:v>Waipa Power</c:v>
                </c:pt>
                <c:pt idx="42">
                  <c:v>WEL Networks</c:v>
                </c:pt>
                <c:pt idx="43">
                  <c:v>NZ Steel</c:v>
                </c:pt>
                <c:pt idx="44">
                  <c:v>Counties Power</c:v>
                </c:pt>
                <c:pt idx="45">
                  <c:v>Vector</c:v>
                </c:pt>
                <c:pt idx="46">
                  <c:v>Refining NZ</c:v>
                </c:pt>
                <c:pt idx="47">
                  <c:v>Northpower</c:v>
                </c:pt>
                <c:pt idx="48">
                  <c:v>Top Energy</c:v>
                </c:pt>
              </c:strCache>
            </c:strRef>
          </c:cat>
          <c:val>
            <c:numRef>
              <c:f>'Charges as $ per MWh'!$E$69:$E$118</c:f>
              <c:numCache>
                <c:formatCode>0.00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extLst xmlns:c16r2="http://schemas.microsoft.com/office/drawing/2015/06/chart">
            <c:ext xmlns:c16="http://schemas.microsoft.com/office/drawing/2014/chart" uri="{C3380CC4-5D6E-409C-BE32-E72D297353CC}">
              <c16:uniqueId val="{00000001-FC40-4AE3-8E2C-89D3CAAF5F56}"/>
            </c:ext>
          </c:extLst>
        </c:ser>
        <c:dLbls>
          <c:showLegendKey val="0"/>
          <c:showVal val="0"/>
          <c:showCatName val="0"/>
          <c:showSerName val="0"/>
          <c:showPercent val="0"/>
          <c:showBubbleSize val="0"/>
        </c:dLbls>
        <c:gapWidth val="121"/>
        <c:overlap val="100"/>
        <c:axId val="450159360"/>
        <c:axId val="450160896"/>
      </c:barChart>
      <c:catAx>
        <c:axId val="450159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450160896"/>
        <c:crosses val="autoZero"/>
        <c:auto val="1"/>
        <c:lblAlgn val="ctr"/>
        <c:lblOffset val="100"/>
        <c:noMultiLvlLbl val="0"/>
      </c:catAx>
      <c:valAx>
        <c:axId val="450160896"/>
        <c:scaling>
          <c:orientation val="minMax"/>
          <c:max val="3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sz="1800"/>
                  <a:t>Indicative Charge ($/MWh)</a:t>
                </a:r>
              </a:p>
            </c:rich>
          </c:tx>
          <c:layout>
            <c:manualLayout>
              <c:xMode val="edge"/>
              <c:yMode val="edge"/>
              <c:x val="5.2155729984907067E-4"/>
              <c:y val="0.21398219246827549"/>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450159360"/>
        <c:crosses val="autoZero"/>
        <c:crossBetween val="between"/>
      </c:valAx>
      <c:spPr>
        <a:noFill/>
        <a:ln>
          <a:noFill/>
        </a:ln>
        <a:effectLst/>
      </c:spPr>
    </c:plotArea>
    <c:legend>
      <c:legendPos val="l"/>
      <c:layout>
        <c:manualLayout>
          <c:xMode val="edge"/>
          <c:yMode val="edge"/>
          <c:x val="9.1796102511848665E-2"/>
          <c:y val="0.13662138825005485"/>
          <c:w val="0.26675264713035785"/>
          <c:h val="0.18037850116204956"/>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NZ" sz="1400" b="0" i="0" u="none" strike="noStrike" baseline="0">
                <a:effectLst/>
              </a:rPr>
              <a:t>Difference Between the Proposal and the Status Quo (c/kWh)</a:t>
            </a:r>
            <a:endParaRPr lang="en-NZ" sz="1400" i="1">
              <a:effectLst/>
            </a:endParaRPr>
          </a:p>
        </c:rich>
      </c:tx>
      <c:layout>
        <c:manualLayout>
          <c:xMode val="edge"/>
          <c:yMode val="edge"/>
          <c:x val="0.15662453774294524"/>
          <c:y val="1.4544831522749949E-2"/>
        </c:manualLayout>
      </c:layout>
      <c:overlay val="0"/>
      <c:spPr>
        <a:noFill/>
        <a:ln>
          <a:noFill/>
        </a:ln>
        <a:effectLst/>
      </c:spPr>
    </c:title>
    <c:autoTitleDeleted val="0"/>
    <c:plotArea>
      <c:layout>
        <c:manualLayout>
          <c:layoutTarget val="inner"/>
          <c:xMode val="edge"/>
          <c:yMode val="edge"/>
          <c:x val="0.14491793375338846"/>
          <c:y val="0.14707312286898719"/>
          <c:w val="0.83438100286255357"/>
          <c:h val="0.56128510805308218"/>
        </c:manualLayout>
      </c:layout>
      <c:barChart>
        <c:barDir val="col"/>
        <c:grouping val="clustered"/>
        <c:varyColors val="0"/>
        <c:ser>
          <c:idx val="0"/>
          <c:order val="0"/>
          <c:tx>
            <c:strRef>
              <c:f>Deltas!$B$2</c:f>
              <c:strCache>
                <c:ptCount val="1"/>
                <c:pt idx="0">
                  <c:v>Proposal assuming continuation of ACOT</c:v>
                </c:pt>
              </c:strCache>
            </c:strRef>
          </c:tx>
          <c:spPr>
            <a:solidFill>
              <a:schemeClr val="accent1"/>
            </a:solidFill>
            <a:ln>
              <a:noFill/>
            </a:ln>
            <a:effectLst/>
          </c:spPr>
          <c:invertIfNegative val="0"/>
          <c:cat>
            <c:strRef>
              <c:f>Deltas!$A$3:$A$31</c:f>
              <c:strCache>
                <c:ptCount val="29"/>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c:v>
                </c:pt>
                <c:pt idx="27">
                  <c:v>Wellington Electricity</c:v>
                </c:pt>
                <c:pt idx="28">
                  <c:v>Westpower</c:v>
                </c:pt>
              </c:strCache>
            </c:strRef>
          </c:cat>
          <c:val>
            <c:numRef>
              <c:f>Deltas!$B$3:$B$31</c:f>
              <c:numCache>
                <c:formatCode>0.00</c:formatCode>
                <c:ptCount val="29"/>
                <c:pt idx="0">
                  <c:v>-7.5001226256675407E-2</c:v>
                </c:pt>
                <c:pt idx="1">
                  <c:v>-0.16650327467851067</c:v>
                </c:pt>
                <c:pt idx="2">
                  <c:v>0.48305023391522506</c:v>
                </c:pt>
                <c:pt idx="3">
                  <c:v>-0.41104550564306203</c:v>
                </c:pt>
                <c:pt idx="4">
                  <c:v>0.40680942689352906</c:v>
                </c:pt>
                <c:pt idx="5">
                  <c:v>-0.38128997454367519</c:v>
                </c:pt>
                <c:pt idx="6">
                  <c:v>0.22178858384422034</c:v>
                </c:pt>
                <c:pt idx="7">
                  <c:v>1.3410513883556452</c:v>
                </c:pt>
                <c:pt idx="8">
                  <c:v>-0.75310554044394151</c:v>
                </c:pt>
                <c:pt idx="9">
                  <c:v>0.72373683355169882</c:v>
                </c:pt>
                <c:pt idx="10">
                  <c:v>-0.3607760131306092</c:v>
                </c:pt>
                <c:pt idx="11">
                  <c:v>-0.21519919947713309</c:v>
                </c:pt>
                <c:pt idx="12">
                  <c:v>-0.42543764164311232</c:v>
                </c:pt>
                <c:pt idx="13">
                  <c:v>-5.7976139135475259E-2</c:v>
                </c:pt>
                <c:pt idx="14">
                  <c:v>0.28090790340280269</c:v>
                </c:pt>
                <c:pt idx="15">
                  <c:v>0.99262842515093008</c:v>
                </c:pt>
                <c:pt idx="16">
                  <c:v>-0.50362726858123419</c:v>
                </c:pt>
                <c:pt idx="17">
                  <c:v>0.17569484153957352</c:v>
                </c:pt>
                <c:pt idx="18">
                  <c:v>-3.8354759951525354E-2</c:v>
                </c:pt>
                <c:pt idx="19">
                  <c:v>-0.39207902637692482</c:v>
                </c:pt>
                <c:pt idx="20">
                  <c:v>0.515279711809149</c:v>
                </c:pt>
                <c:pt idx="21">
                  <c:v>4.6429895642434896E-2</c:v>
                </c:pt>
                <c:pt idx="22">
                  <c:v>1.4352272470442442</c:v>
                </c:pt>
                <c:pt idx="23">
                  <c:v>-0.35199934970215241</c:v>
                </c:pt>
                <c:pt idx="24">
                  <c:v>0.9277966213093588</c:v>
                </c:pt>
                <c:pt idx="25">
                  <c:v>-0.12475117883350588</c:v>
                </c:pt>
                <c:pt idx="26">
                  <c:v>0.19409330453592161</c:v>
                </c:pt>
                <c:pt idx="27">
                  <c:v>-0.48929621729915596</c:v>
                </c:pt>
                <c:pt idx="28">
                  <c:v>1.0784613236740475</c:v>
                </c:pt>
              </c:numCache>
            </c:numRef>
          </c:val>
          <c:extLst xmlns:c16r2="http://schemas.microsoft.com/office/drawing/2015/06/chart">
            <c:ext xmlns:c16="http://schemas.microsoft.com/office/drawing/2014/chart" uri="{C3380CC4-5D6E-409C-BE32-E72D297353CC}">
              <c16:uniqueId val="{00000000-9648-44A5-84A4-A6E9398D1485}"/>
            </c:ext>
          </c:extLst>
        </c:ser>
        <c:ser>
          <c:idx val="1"/>
          <c:order val="1"/>
          <c:tx>
            <c:strRef>
              <c:f>Deltas!$C$2</c:f>
              <c:strCache>
                <c:ptCount val="1"/>
                <c:pt idx="0">
                  <c:v>Proposal assuming ACOT discontinued</c:v>
                </c:pt>
              </c:strCache>
            </c:strRef>
          </c:tx>
          <c:spPr>
            <a:solidFill>
              <a:schemeClr val="accent2"/>
            </a:solidFill>
            <a:ln>
              <a:noFill/>
            </a:ln>
            <a:effectLst/>
          </c:spPr>
          <c:invertIfNegative val="0"/>
          <c:cat>
            <c:strRef>
              <c:f>Deltas!$A$3:$A$31</c:f>
              <c:strCache>
                <c:ptCount val="29"/>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c:v>
                </c:pt>
                <c:pt idx="27">
                  <c:v>Wellington Electricity</c:v>
                </c:pt>
                <c:pt idx="28">
                  <c:v>Westpower</c:v>
                </c:pt>
              </c:strCache>
            </c:strRef>
          </c:cat>
          <c:val>
            <c:numRef>
              <c:f>Deltas!$C$3:$C$31</c:f>
              <c:numCache>
                <c:formatCode>0.00</c:formatCode>
                <c:ptCount val="29"/>
                <c:pt idx="0">
                  <c:v>-7.5001226256675407E-2</c:v>
                </c:pt>
                <c:pt idx="1">
                  <c:v>-0.696710929160411</c:v>
                </c:pt>
                <c:pt idx="2">
                  <c:v>0.48305023391522506</c:v>
                </c:pt>
                <c:pt idx="3">
                  <c:v>-0.41104550564306203</c:v>
                </c:pt>
                <c:pt idx="4">
                  <c:v>0.40680942689352906</c:v>
                </c:pt>
                <c:pt idx="5">
                  <c:v>-1.2561206205050113</c:v>
                </c:pt>
                <c:pt idx="6">
                  <c:v>-9.7069857531365142E-2</c:v>
                </c:pt>
                <c:pt idx="7">
                  <c:v>1.1668539442825918</c:v>
                </c:pt>
                <c:pt idx="8">
                  <c:v>-0.75310554044394151</c:v>
                </c:pt>
                <c:pt idx="9">
                  <c:v>4.2845743410204126E-2</c:v>
                </c:pt>
                <c:pt idx="10">
                  <c:v>-0.3607760131306092</c:v>
                </c:pt>
                <c:pt idx="11">
                  <c:v>-0.38218873692980948</c:v>
                </c:pt>
                <c:pt idx="12">
                  <c:v>-0.46521736510566658</c:v>
                </c:pt>
                <c:pt idx="13">
                  <c:v>-6.7977466708957296E-2</c:v>
                </c:pt>
                <c:pt idx="14">
                  <c:v>0.28090790340280269</c:v>
                </c:pt>
                <c:pt idx="15">
                  <c:v>0.55798064470789266</c:v>
                </c:pt>
                <c:pt idx="16">
                  <c:v>-0.54143969994720254</c:v>
                </c:pt>
                <c:pt idx="17">
                  <c:v>-6.3889156501329758E-2</c:v>
                </c:pt>
                <c:pt idx="18">
                  <c:v>-0.24836848489641133</c:v>
                </c:pt>
                <c:pt idx="19">
                  <c:v>-0.39207902637692482</c:v>
                </c:pt>
                <c:pt idx="20">
                  <c:v>5.1579408287751607E-2</c:v>
                </c:pt>
                <c:pt idx="21">
                  <c:v>-0.23051835631424514</c:v>
                </c:pt>
                <c:pt idx="22">
                  <c:v>0.33380579766782892</c:v>
                </c:pt>
                <c:pt idx="23">
                  <c:v>-0.71988685259298502</c:v>
                </c:pt>
                <c:pt idx="24">
                  <c:v>0.81519365844129865</c:v>
                </c:pt>
                <c:pt idx="25">
                  <c:v>-0.12475117883350588</c:v>
                </c:pt>
                <c:pt idx="26">
                  <c:v>-0.1050135064205481</c:v>
                </c:pt>
                <c:pt idx="27">
                  <c:v>-0.49642127532403785</c:v>
                </c:pt>
                <c:pt idx="28">
                  <c:v>0.79020266003697814</c:v>
                </c:pt>
              </c:numCache>
            </c:numRef>
          </c:val>
          <c:extLst xmlns:c16r2="http://schemas.microsoft.com/office/drawing/2015/06/chart">
            <c:ext xmlns:c16="http://schemas.microsoft.com/office/drawing/2014/chart" uri="{C3380CC4-5D6E-409C-BE32-E72D297353CC}">
              <c16:uniqueId val="{00000000-A601-4363-8E1C-0A6A6BD0C410}"/>
            </c:ext>
          </c:extLst>
        </c:ser>
        <c:dLbls>
          <c:showLegendKey val="0"/>
          <c:showVal val="0"/>
          <c:showCatName val="0"/>
          <c:showSerName val="0"/>
          <c:showPercent val="0"/>
          <c:showBubbleSize val="0"/>
        </c:dLbls>
        <c:gapWidth val="219"/>
        <c:overlap val="-27"/>
        <c:axId val="116554368"/>
        <c:axId val="116556160"/>
      </c:barChart>
      <c:catAx>
        <c:axId val="1165543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6556160"/>
        <c:crosses val="autoZero"/>
        <c:auto val="1"/>
        <c:lblAlgn val="ctr"/>
        <c:lblOffset val="100"/>
        <c:noMultiLvlLbl val="0"/>
      </c:catAx>
      <c:valAx>
        <c:axId val="116556160"/>
        <c:scaling>
          <c:orientation val="minMax"/>
          <c:max val="1.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NZ" sz="1200" b="0" i="0" u="none" strike="noStrike" baseline="0">
                    <a:effectLst/>
                  </a:rPr>
                  <a:t>Difference Between the Proposal and Status Quo </a:t>
                </a:r>
                <a:r>
                  <a:rPr lang="en-NZ" sz="1200" baseline="0"/>
                  <a:t>(</a:t>
                </a:r>
                <a:r>
                  <a:rPr lang="en-NZ" sz="1200"/>
                  <a:t>c/kWh)</a:t>
                </a:r>
              </a:p>
            </c:rich>
          </c:tx>
          <c:layout>
            <c:manualLayout>
              <c:xMode val="edge"/>
              <c:yMode val="edge"/>
              <c:x val="8.1910575277373936E-3"/>
              <c:y val="0.12579446847459305"/>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6554368"/>
        <c:crosses val="autoZero"/>
        <c:crossBetween val="between"/>
      </c:valAx>
      <c:spPr>
        <a:noFill/>
        <a:ln>
          <a:noFill/>
        </a:ln>
        <a:effectLst/>
      </c:spPr>
    </c:plotArea>
    <c:legend>
      <c:legendPos val="t"/>
      <c:layout>
        <c:manualLayout>
          <c:xMode val="edge"/>
          <c:yMode val="edge"/>
          <c:x val="8.4717308534030283E-2"/>
          <c:y val="8.4578080778558495E-2"/>
          <c:w val="0.91333505646719537"/>
          <c:h val="7.353133850014613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Indicative Net Benefits of NIGU</a:t>
            </a:r>
          </a:p>
        </c:rich>
      </c:tx>
      <c:overlay val="0"/>
      <c:spPr>
        <a:noFill/>
        <a:ln>
          <a:noFill/>
        </a:ln>
        <a:effectLst/>
      </c:spPr>
    </c:title>
    <c:autoTitleDeleted val="0"/>
    <c:plotArea>
      <c:layout>
        <c:manualLayout>
          <c:layoutTarget val="inner"/>
          <c:xMode val="edge"/>
          <c:yMode val="edge"/>
          <c:x val="7.3850987604651613E-2"/>
          <c:y val="0.12301824212271974"/>
          <c:w val="0.90830635221692169"/>
          <c:h val="0.57667045350674451"/>
        </c:manualLayout>
      </c:layout>
      <c:barChart>
        <c:barDir val="col"/>
        <c:grouping val="clustered"/>
        <c:varyColors val="0"/>
        <c:ser>
          <c:idx val="0"/>
          <c:order val="0"/>
          <c:tx>
            <c:strRef>
              <c:f>'Beneficiary graphs'!$M$4</c:f>
              <c:strCache>
                <c:ptCount val="1"/>
                <c:pt idx="0">
                  <c:v>NIGU 1900MW constraint</c:v>
                </c:pt>
              </c:strCache>
            </c:strRef>
          </c:tx>
          <c:spPr>
            <a:solidFill>
              <a:schemeClr val="accent1"/>
            </a:solidFill>
            <a:ln>
              <a:noFill/>
            </a:ln>
            <a:effectLst/>
          </c:spPr>
          <c:invertIfNegative val="0"/>
          <c:cat>
            <c:strRef>
              <c:f>'Beneficiary graphs'!$B$5:$B$58</c:f>
              <c:strCache>
                <c:ptCount val="54"/>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1">
                  <c:v>Contact</c:v>
                </c:pt>
                <c:pt idx="32">
                  <c:v>Genesis</c:v>
                </c:pt>
                <c:pt idx="33">
                  <c:v>Meridian</c:v>
                </c:pt>
                <c:pt idx="34">
                  <c:v>Tuaropaki</c:v>
                </c:pt>
                <c:pt idx="35">
                  <c:v>Mercury</c:v>
                </c:pt>
                <c:pt idx="36">
                  <c:v>Nga Awa Purua JV</c:v>
                </c:pt>
                <c:pt idx="37">
                  <c:v>Ngatamariki</c:v>
                </c:pt>
                <c:pt idx="38">
                  <c:v>Pioneer</c:v>
                </c:pt>
                <c:pt idx="39">
                  <c:v>Todd</c:v>
                </c:pt>
                <c:pt idx="40">
                  <c:v>Trustpower</c:v>
                </c:pt>
                <c:pt idx="43">
                  <c:v>Carter Holt Harvey</c:v>
                </c:pt>
                <c:pt idx="44">
                  <c:v>Daiken MDF</c:v>
                </c:pt>
                <c:pt idx="45">
                  <c:v>Kiwirail</c:v>
                </c:pt>
                <c:pt idx="46">
                  <c:v>Methanex</c:v>
                </c:pt>
                <c:pt idx="47">
                  <c:v>Norske Skog</c:v>
                </c:pt>
                <c:pt idx="48">
                  <c:v>NZ Steel</c:v>
                </c:pt>
                <c:pt idx="49">
                  <c:v>NZ Aluminium Smelter</c:v>
                </c:pt>
                <c:pt idx="50">
                  <c:v>Pan Pac</c:v>
                </c:pt>
                <c:pt idx="51">
                  <c:v>Rayonier</c:v>
                </c:pt>
                <c:pt idx="52">
                  <c:v>Refining NZ</c:v>
                </c:pt>
                <c:pt idx="53">
                  <c:v>Winstones</c:v>
                </c:pt>
              </c:strCache>
            </c:strRef>
          </c:cat>
          <c:val>
            <c:numRef>
              <c:f>'Beneficiary graphs'!$E$5:$E$58</c:f>
              <c:numCache>
                <c:formatCode>_-* #,##0.000_-;\-* #,##0.000_-;_-* "-"??_-;_-@_-</c:formatCode>
                <c:ptCount val="54"/>
                <c:pt idx="0">
                  <c:v>0.49142554484129575</c:v>
                </c:pt>
                <c:pt idx="1">
                  <c:v>2.1924765900572053E-2</c:v>
                </c:pt>
                <c:pt idx="2">
                  <c:v>4.6979894999999605E-2</c:v>
                </c:pt>
                <c:pt idx="3">
                  <c:v>3.40265750000001E-2</c:v>
                </c:pt>
                <c:pt idx="4">
                  <c:v>11.305138140000009</c:v>
                </c:pt>
                <c:pt idx="5">
                  <c:v>0</c:v>
                </c:pt>
                <c:pt idx="6">
                  <c:v>2.1971503000000298E-2</c:v>
                </c:pt>
                <c:pt idx="7">
                  <c:v>0.4842130669999975</c:v>
                </c:pt>
                <c:pt idx="8">
                  <c:v>2.9895879887864203E-2</c:v>
                </c:pt>
                <c:pt idx="9">
                  <c:v>0</c:v>
                </c:pt>
                <c:pt idx="10">
                  <c:v>0</c:v>
                </c:pt>
                <c:pt idx="11">
                  <c:v>0.13241015500000008</c:v>
                </c:pt>
                <c:pt idx="12">
                  <c:v>0.11147588800000099</c:v>
                </c:pt>
                <c:pt idx="13">
                  <c:v>7.3216267999996698E-2</c:v>
                </c:pt>
                <c:pt idx="14">
                  <c:v>0.18062680049978155</c:v>
                </c:pt>
                <c:pt idx="15">
                  <c:v>21.4914526862262</c:v>
                </c:pt>
                <c:pt idx="16">
                  <c:v>0.39327584399999932</c:v>
                </c:pt>
                <c:pt idx="17">
                  <c:v>0.25735856767335069</c:v>
                </c:pt>
                <c:pt idx="18">
                  <c:v>2.530330567323849</c:v>
                </c:pt>
                <c:pt idx="19">
                  <c:v>2.6643053999999583E-2</c:v>
                </c:pt>
                <c:pt idx="20">
                  <c:v>0.15483659569044778</c:v>
                </c:pt>
                <c:pt idx="21">
                  <c:v>0.39893250211213716</c:v>
                </c:pt>
                <c:pt idx="22">
                  <c:v>7.8736709520000305</c:v>
                </c:pt>
                <c:pt idx="23">
                  <c:v>0</c:v>
                </c:pt>
                <c:pt idx="24">
                  <c:v>252.09784151361617</c:v>
                </c:pt>
                <c:pt idx="25">
                  <c:v>0.58038774799999804</c:v>
                </c:pt>
                <c:pt idx="26">
                  <c:v>2.7857109840000009</c:v>
                </c:pt>
                <c:pt idx="27">
                  <c:v>3.8466724999999598E-2</c:v>
                </c:pt>
                <c:pt idx="28">
                  <c:v>0.13603421900000029</c:v>
                </c:pt>
                <c:pt idx="29">
                  <c:v>0</c:v>
                </c:pt>
                <c:pt idx="30">
                  <c:v>0</c:v>
                </c:pt>
                <c:pt idx="31">
                  <c:v>0.94592563366766391</c:v>
                </c:pt>
                <c:pt idx="32">
                  <c:v>2.1279011458069017</c:v>
                </c:pt>
                <c:pt idx="33">
                  <c:v>4.7188306658923915E-2</c:v>
                </c:pt>
                <c:pt idx="34">
                  <c:v>0.27483723099999896</c:v>
                </c:pt>
                <c:pt idx="35">
                  <c:v>4.629667245999987</c:v>
                </c:pt>
                <c:pt idx="36">
                  <c:v>0.19193210600000099</c:v>
                </c:pt>
                <c:pt idx="37">
                  <c:v>0.13047832299999901</c:v>
                </c:pt>
                <c:pt idx="38">
                  <c:v>0</c:v>
                </c:pt>
                <c:pt idx="39">
                  <c:v>9.7782881999999988E-2</c:v>
                </c:pt>
                <c:pt idx="40">
                  <c:v>0.8723745509999955</c:v>
                </c:pt>
                <c:pt idx="41">
                  <c:v>0</c:v>
                </c:pt>
                <c:pt idx="42">
                  <c:v>0</c:v>
                </c:pt>
                <c:pt idx="43">
                  <c:v>0.17564438500000001</c:v>
                </c:pt>
                <c:pt idx="44">
                  <c:v>3.5465893999999998E-2</c:v>
                </c:pt>
                <c:pt idx="45">
                  <c:v>0.10688440499999947</c:v>
                </c:pt>
                <c:pt idx="46">
                  <c:v>6.1859466000000099E-2</c:v>
                </c:pt>
                <c:pt idx="47">
                  <c:v>0.256660524</c:v>
                </c:pt>
                <c:pt idx="48">
                  <c:v>14.0987070719999</c:v>
                </c:pt>
                <c:pt idx="49">
                  <c:v>2.6413110389999903</c:v>
                </c:pt>
                <c:pt idx="50">
                  <c:v>0.15041548020522799</c:v>
                </c:pt>
                <c:pt idx="51">
                  <c:v>3.0024577006224899E-2</c:v>
                </c:pt>
                <c:pt idx="52">
                  <c:v>6.7309604467738904</c:v>
                </c:pt>
                <c:pt idx="53">
                  <c:v>1.5882495000000101E-2</c:v>
                </c:pt>
              </c:numCache>
            </c:numRef>
          </c:val>
          <c:extLst xmlns:c16r2="http://schemas.microsoft.com/office/drawing/2015/06/chart">
            <c:ext xmlns:c16="http://schemas.microsoft.com/office/drawing/2014/chart" uri="{C3380CC4-5D6E-409C-BE32-E72D297353CC}">
              <c16:uniqueId val="{00000000-D07E-47A0-86D0-718D78035042}"/>
            </c:ext>
          </c:extLst>
        </c:ser>
        <c:ser>
          <c:idx val="1"/>
          <c:order val="1"/>
          <c:tx>
            <c:strRef>
              <c:f>'Beneficiary graphs'!$N$4</c:f>
              <c:strCache>
                <c:ptCount val="1"/>
                <c:pt idx="0">
                  <c:v>NIGU 2100MW constraint</c:v>
                </c:pt>
              </c:strCache>
            </c:strRef>
          </c:tx>
          <c:spPr>
            <a:solidFill>
              <a:schemeClr val="accent6">
                <a:lumMod val="75000"/>
              </a:schemeClr>
            </a:solidFill>
            <a:ln>
              <a:noFill/>
            </a:ln>
            <a:effectLst/>
          </c:spPr>
          <c:invertIfNegative val="0"/>
          <c:cat>
            <c:strRef>
              <c:f>'Beneficiary graphs'!$B$5:$B$58</c:f>
              <c:strCache>
                <c:ptCount val="54"/>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1">
                  <c:v>Contact</c:v>
                </c:pt>
                <c:pt idx="32">
                  <c:v>Genesis</c:v>
                </c:pt>
                <c:pt idx="33">
                  <c:v>Meridian</c:v>
                </c:pt>
                <c:pt idx="34">
                  <c:v>Tuaropaki</c:v>
                </c:pt>
                <c:pt idx="35">
                  <c:v>Mercury</c:v>
                </c:pt>
                <c:pt idx="36">
                  <c:v>Nga Awa Purua JV</c:v>
                </c:pt>
                <c:pt idx="37">
                  <c:v>Ngatamariki</c:v>
                </c:pt>
                <c:pt idx="38">
                  <c:v>Pioneer</c:v>
                </c:pt>
                <c:pt idx="39">
                  <c:v>Todd</c:v>
                </c:pt>
                <c:pt idx="40">
                  <c:v>Trustpower</c:v>
                </c:pt>
                <c:pt idx="43">
                  <c:v>Carter Holt Harvey</c:v>
                </c:pt>
                <c:pt idx="44">
                  <c:v>Daiken MDF</c:v>
                </c:pt>
                <c:pt idx="45">
                  <c:v>Kiwirail</c:v>
                </c:pt>
                <c:pt idx="46">
                  <c:v>Methanex</c:v>
                </c:pt>
                <c:pt idx="47">
                  <c:v>Norske Skog</c:v>
                </c:pt>
                <c:pt idx="48">
                  <c:v>NZ Steel</c:v>
                </c:pt>
                <c:pt idx="49">
                  <c:v>NZ Aluminium Smelter</c:v>
                </c:pt>
                <c:pt idx="50">
                  <c:v>Pan Pac</c:v>
                </c:pt>
                <c:pt idx="51">
                  <c:v>Rayonier</c:v>
                </c:pt>
                <c:pt idx="52">
                  <c:v>Refining NZ</c:v>
                </c:pt>
                <c:pt idx="53">
                  <c:v>Winstones</c:v>
                </c:pt>
              </c:strCache>
            </c:strRef>
          </c:cat>
          <c:val>
            <c:numRef>
              <c:f>'Beneficiary graphs'!$F$5:$F$58</c:f>
              <c:numCache>
                <c:formatCode>_-* #,##0.000_-;\-* #,##0.000_-;_-* "-"??_-;_-@_-</c:formatCode>
                <c:ptCount val="54"/>
                <c:pt idx="0">
                  <c:v>1.4376900028132344</c:v>
                </c:pt>
                <c:pt idx="1">
                  <c:v>2.1001643870075331</c:v>
                </c:pt>
                <c:pt idx="2">
                  <c:v>0.1903966290000004</c:v>
                </c:pt>
                <c:pt idx="3">
                  <c:v>0.23049540199999999</c:v>
                </c:pt>
                <c:pt idx="4">
                  <c:v>3.0132452779999972</c:v>
                </c:pt>
                <c:pt idx="5">
                  <c:v>0.37095763199999704</c:v>
                </c:pt>
                <c:pt idx="6">
                  <c:v>0.86152644600000106</c:v>
                </c:pt>
                <c:pt idx="7">
                  <c:v>1.0657195169999991</c:v>
                </c:pt>
                <c:pt idx="8">
                  <c:v>0.441719088779227</c:v>
                </c:pt>
                <c:pt idx="9">
                  <c:v>0.59336204299999584</c:v>
                </c:pt>
                <c:pt idx="10">
                  <c:v>1.8026814152399099E-2</c:v>
                </c:pt>
                <c:pt idx="11">
                  <c:v>1.0703157019999967</c:v>
                </c:pt>
                <c:pt idx="12">
                  <c:v>0.82963113199999994</c:v>
                </c:pt>
                <c:pt idx="13">
                  <c:v>1.6125571049999898</c:v>
                </c:pt>
                <c:pt idx="14">
                  <c:v>0.48888696272073806</c:v>
                </c:pt>
                <c:pt idx="15">
                  <c:v>6.2739478982688164</c:v>
                </c:pt>
                <c:pt idx="16">
                  <c:v>6.1410044969999946</c:v>
                </c:pt>
                <c:pt idx="17">
                  <c:v>0.71438283867335273</c:v>
                </c:pt>
                <c:pt idx="18">
                  <c:v>9.59433522993446</c:v>
                </c:pt>
                <c:pt idx="19">
                  <c:v>0.17002055499999891</c:v>
                </c:pt>
                <c:pt idx="20">
                  <c:v>0.52898527009434904</c:v>
                </c:pt>
                <c:pt idx="21">
                  <c:v>1.377814335220769</c:v>
                </c:pt>
                <c:pt idx="22">
                  <c:v>2.4471092099999701</c:v>
                </c:pt>
                <c:pt idx="23">
                  <c:v>2.0786117799999952</c:v>
                </c:pt>
                <c:pt idx="24">
                  <c:v>71.466911617566339</c:v>
                </c:pt>
                <c:pt idx="25">
                  <c:v>1.2619625220000033</c:v>
                </c:pt>
                <c:pt idx="26">
                  <c:v>5.1359655659999799</c:v>
                </c:pt>
                <c:pt idx="27">
                  <c:v>4.8661868309999869</c:v>
                </c:pt>
                <c:pt idx="28">
                  <c:v>0.37738692799999896</c:v>
                </c:pt>
                <c:pt idx="29">
                  <c:v>0</c:v>
                </c:pt>
                <c:pt idx="30">
                  <c:v>0</c:v>
                </c:pt>
                <c:pt idx="31">
                  <c:v>0.11270865997508965</c:v>
                </c:pt>
                <c:pt idx="32">
                  <c:v>1.4069614692762654E-3</c:v>
                </c:pt>
                <c:pt idx="33">
                  <c:v>1.0363706466023657E-2</c:v>
                </c:pt>
                <c:pt idx="34">
                  <c:v>0</c:v>
                </c:pt>
                <c:pt idx="35">
                  <c:v>2.1819101000000004E-2</c:v>
                </c:pt>
                <c:pt idx="36">
                  <c:v>0</c:v>
                </c:pt>
                <c:pt idx="37">
                  <c:v>0</c:v>
                </c:pt>
                <c:pt idx="38">
                  <c:v>0</c:v>
                </c:pt>
                <c:pt idx="39">
                  <c:v>2.0109439999999898E-3</c:v>
                </c:pt>
                <c:pt idx="40">
                  <c:v>1.1902899999999971E-3</c:v>
                </c:pt>
                <c:pt idx="41">
                  <c:v>0</c:v>
                </c:pt>
                <c:pt idx="42">
                  <c:v>0</c:v>
                </c:pt>
                <c:pt idx="43">
                  <c:v>0.66941740099999991</c:v>
                </c:pt>
                <c:pt idx="44">
                  <c:v>0.12518469599999998</c:v>
                </c:pt>
                <c:pt idx="45">
                  <c:v>9.7245210999999401E-2</c:v>
                </c:pt>
                <c:pt idx="46">
                  <c:v>0.118555174999999</c:v>
                </c:pt>
                <c:pt idx="47">
                  <c:v>0.16011023700000102</c:v>
                </c:pt>
                <c:pt idx="48">
                  <c:v>4.2790205699999699</c:v>
                </c:pt>
                <c:pt idx="49">
                  <c:v>8.0584275650000308</c:v>
                </c:pt>
                <c:pt idx="50">
                  <c:v>0.64135122835980296</c:v>
                </c:pt>
                <c:pt idx="51">
                  <c:v>8.9843470486268798E-2</c:v>
                </c:pt>
                <c:pt idx="52">
                  <c:v>2.0133298687311698</c:v>
                </c:pt>
                <c:pt idx="53">
                  <c:v>0.34316040799999903</c:v>
                </c:pt>
              </c:numCache>
            </c:numRef>
          </c:val>
          <c:extLst xmlns:c16r2="http://schemas.microsoft.com/office/drawing/2015/06/chart">
            <c:ext xmlns:c16="http://schemas.microsoft.com/office/drawing/2014/chart" uri="{C3380CC4-5D6E-409C-BE32-E72D297353CC}">
              <c16:uniqueId val="{00000001-D07E-47A0-86D0-718D78035042}"/>
            </c:ext>
          </c:extLst>
        </c:ser>
        <c:dLbls>
          <c:showLegendKey val="0"/>
          <c:showVal val="0"/>
          <c:showCatName val="0"/>
          <c:showSerName val="0"/>
          <c:showPercent val="0"/>
          <c:showBubbleSize val="0"/>
        </c:dLbls>
        <c:gapWidth val="219"/>
        <c:overlap val="-27"/>
        <c:axId val="67468672"/>
        <c:axId val="97972992"/>
      </c:barChart>
      <c:catAx>
        <c:axId val="67468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972992"/>
        <c:crosses val="autoZero"/>
        <c:auto val="1"/>
        <c:lblAlgn val="ctr"/>
        <c:lblOffset val="100"/>
        <c:noMultiLvlLbl val="0"/>
      </c:catAx>
      <c:valAx>
        <c:axId val="97972992"/>
        <c:scaling>
          <c:orientation val="minMax"/>
          <c:max val="25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Indicative Net Benefit ($m/year)</a:t>
                </a:r>
              </a:p>
            </c:rich>
          </c:tx>
          <c:layout>
            <c:manualLayout>
              <c:xMode val="edge"/>
              <c:yMode val="edge"/>
              <c:x val="1.2894738522648171E-3"/>
              <c:y val="0.18724879539311318"/>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67468672"/>
        <c:crosses val="autoZero"/>
        <c:crossBetween val="between"/>
      </c:valAx>
      <c:spPr>
        <a:noFill/>
        <a:ln>
          <a:noFill/>
        </a:ln>
        <a:effectLst/>
      </c:spPr>
    </c:plotArea>
    <c:legend>
      <c:legendPos val="r"/>
      <c:layout>
        <c:manualLayout>
          <c:xMode val="edge"/>
          <c:yMode val="edge"/>
          <c:x val="0.65429414412518017"/>
          <c:y val="0.14567111946827543"/>
          <c:w val="0.26978569757830084"/>
          <c:h val="0.209242825689442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NZ" sz="1400" b="0" i="0" u="none" strike="noStrike" baseline="0">
                <a:effectLst/>
              </a:rPr>
              <a:t>Difference Between the Proposal and the Status Quo </a:t>
            </a:r>
          </a:p>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NZ" sz="1400" b="0" i="0" u="none" strike="noStrike" baseline="0">
                <a:effectLst/>
              </a:rPr>
              <a:t>(</a:t>
            </a:r>
            <a:r>
              <a:rPr lang="en-NZ" sz="1400" b="0" i="0" baseline="0">
                <a:effectLst/>
              </a:rPr>
              <a:t>as a proportion of the </a:t>
            </a:r>
            <a:r>
              <a:rPr lang="en-NZ" sz="1400" b="0" i="0" u="none" strike="noStrike" baseline="0">
                <a:effectLst/>
              </a:rPr>
              <a:t> retail tariff)</a:t>
            </a:r>
            <a:endParaRPr lang="en-NZ" sz="1400" i="0">
              <a:effectLst/>
            </a:endParaRPr>
          </a:p>
        </c:rich>
      </c:tx>
      <c:layout>
        <c:manualLayout>
          <c:xMode val="edge"/>
          <c:yMode val="edge"/>
          <c:x val="0.24343870674103762"/>
          <c:y val="1.4755341853438792E-4"/>
        </c:manualLayout>
      </c:layout>
      <c:overlay val="0"/>
      <c:spPr>
        <a:noFill/>
        <a:ln>
          <a:noFill/>
        </a:ln>
        <a:effectLst/>
      </c:spPr>
    </c:title>
    <c:autoTitleDeleted val="0"/>
    <c:plotArea>
      <c:layout>
        <c:manualLayout>
          <c:layoutTarget val="inner"/>
          <c:xMode val="edge"/>
          <c:yMode val="edge"/>
          <c:x val="0.15056826160124259"/>
          <c:y val="0.23403695108692532"/>
          <c:w val="0.82873070291492712"/>
          <c:h val="0.51359523623346481"/>
        </c:manualLayout>
      </c:layout>
      <c:barChart>
        <c:barDir val="col"/>
        <c:grouping val="clustered"/>
        <c:varyColors val="0"/>
        <c:ser>
          <c:idx val="0"/>
          <c:order val="0"/>
          <c:tx>
            <c:strRef>
              <c:f>Deltas!$B$34</c:f>
              <c:strCache>
                <c:ptCount val="1"/>
                <c:pt idx="0">
                  <c:v>Proposal assuming continuation of ACOT</c:v>
                </c:pt>
              </c:strCache>
            </c:strRef>
          </c:tx>
          <c:spPr>
            <a:solidFill>
              <a:schemeClr val="accent1"/>
            </a:solidFill>
            <a:ln>
              <a:noFill/>
            </a:ln>
            <a:effectLst/>
          </c:spPr>
          <c:invertIfNegative val="0"/>
          <c:cat>
            <c:strRef>
              <c:f>Deltas!$A$35:$A$63</c:f>
              <c:strCache>
                <c:ptCount val="29"/>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c:v>
                </c:pt>
                <c:pt idx="27">
                  <c:v>Wellington Electricity</c:v>
                </c:pt>
                <c:pt idx="28">
                  <c:v>Westpower</c:v>
                </c:pt>
              </c:strCache>
            </c:strRef>
          </c:cat>
          <c:val>
            <c:numRef>
              <c:f>Deltas!$B$35:$B$63</c:f>
              <c:numCache>
                <c:formatCode>0.0%</c:formatCode>
                <c:ptCount val="29"/>
                <c:pt idx="0">
                  <c:v>-3.3436330503635206E-3</c:v>
                </c:pt>
                <c:pt idx="1">
                  <c:v>-6.9167954439450681E-3</c:v>
                </c:pt>
                <c:pt idx="2">
                  <c:v>1.5423297154715505E-2</c:v>
                </c:pt>
                <c:pt idx="3">
                  <c:v>-1.4459218350244125E-2</c:v>
                </c:pt>
                <c:pt idx="4">
                  <c:v>1.6366773343508997E-2</c:v>
                </c:pt>
                <c:pt idx="5">
                  <c:v>-1.3603827010600797E-2</c:v>
                </c:pt>
                <c:pt idx="6">
                  <c:v>9.5742705257116697E-3</c:v>
                </c:pt>
                <c:pt idx="7">
                  <c:v>5.7575460593642561E-2</c:v>
                </c:pt>
                <c:pt idx="8">
                  <c:v>-3.3526577961479169E-2</c:v>
                </c:pt>
                <c:pt idx="9">
                  <c:v>2.8866473961581849E-2</c:v>
                </c:pt>
                <c:pt idx="10">
                  <c:v>-1.4987176010349833E-2</c:v>
                </c:pt>
                <c:pt idx="11">
                  <c:v>-9.0573282240985816E-3</c:v>
                </c:pt>
                <c:pt idx="12">
                  <c:v>-1.4822984274816825E-2</c:v>
                </c:pt>
                <c:pt idx="13">
                  <c:v>-2.4812644853576932E-3</c:v>
                </c:pt>
                <c:pt idx="14">
                  <c:v>1.2460749063249666E-2</c:v>
                </c:pt>
                <c:pt idx="15">
                  <c:v>4.023269242097903E-2</c:v>
                </c:pt>
                <c:pt idx="16">
                  <c:v>-2.1443047484207105E-2</c:v>
                </c:pt>
                <c:pt idx="17">
                  <c:v>5.1940960788627501E-3</c:v>
                </c:pt>
                <c:pt idx="18">
                  <c:v>-1.462322306175524E-3</c:v>
                </c:pt>
                <c:pt idx="19">
                  <c:v>-1.5559290196730169E-2</c:v>
                </c:pt>
                <c:pt idx="20">
                  <c:v>1.9246872002928926E-2</c:v>
                </c:pt>
                <c:pt idx="21">
                  <c:v>1.7937784252501623E-3</c:v>
                </c:pt>
                <c:pt idx="22">
                  <c:v>4.3790654488508066E-2</c:v>
                </c:pt>
                <c:pt idx="23">
                  <c:v>-1.3315700978551019E-2</c:v>
                </c:pt>
                <c:pt idx="24">
                  <c:v>3.8825121530571022E-2</c:v>
                </c:pt>
                <c:pt idx="25">
                  <c:v>-5.6622767425169949E-3</c:v>
                </c:pt>
                <c:pt idx="26">
                  <c:v>7.8155007656281073E-3</c:v>
                </c:pt>
                <c:pt idx="27">
                  <c:v>-2.0879527414256235E-2</c:v>
                </c:pt>
                <c:pt idx="28">
                  <c:v>3.7520621942183321E-2</c:v>
                </c:pt>
              </c:numCache>
            </c:numRef>
          </c:val>
          <c:extLst xmlns:c16r2="http://schemas.microsoft.com/office/drawing/2015/06/chart">
            <c:ext xmlns:c16="http://schemas.microsoft.com/office/drawing/2014/chart" uri="{C3380CC4-5D6E-409C-BE32-E72D297353CC}">
              <c16:uniqueId val="{00000000-1690-45D6-A9DD-FA7662F1045F}"/>
            </c:ext>
          </c:extLst>
        </c:ser>
        <c:ser>
          <c:idx val="1"/>
          <c:order val="1"/>
          <c:tx>
            <c:strRef>
              <c:f>Deltas!$C$34</c:f>
              <c:strCache>
                <c:ptCount val="1"/>
                <c:pt idx="0">
                  <c:v>Proposal assuming ACOT discontinued</c:v>
                </c:pt>
              </c:strCache>
            </c:strRef>
          </c:tx>
          <c:spPr>
            <a:solidFill>
              <a:schemeClr val="accent2"/>
            </a:solidFill>
            <a:ln>
              <a:noFill/>
            </a:ln>
            <a:effectLst/>
          </c:spPr>
          <c:invertIfNegative val="0"/>
          <c:cat>
            <c:strRef>
              <c:f>Deltas!$A$35:$A$63</c:f>
              <c:strCache>
                <c:ptCount val="29"/>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c:v>
                </c:pt>
                <c:pt idx="27">
                  <c:v>Wellington Electricity</c:v>
                </c:pt>
                <c:pt idx="28">
                  <c:v>Westpower</c:v>
                </c:pt>
              </c:strCache>
            </c:strRef>
          </c:cat>
          <c:val>
            <c:numRef>
              <c:f>Deltas!$C$35:$C$63</c:f>
              <c:numCache>
                <c:formatCode>0.0%</c:formatCode>
                <c:ptCount val="29"/>
                <c:pt idx="0">
                  <c:v>-3.3436330503635206E-3</c:v>
                </c:pt>
                <c:pt idx="1">
                  <c:v>-2.8942415636377988E-2</c:v>
                </c:pt>
                <c:pt idx="2">
                  <c:v>1.5423297154715505E-2</c:v>
                </c:pt>
                <c:pt idx="3">
                  <c:v>-1.4459218350244125E-2</c:v>
                </c:pt>
                <c:pt idx="4">
                  <c:v>1.6366773343508997E-2</c:v>
                </c:pt>
                <c:pt idx="5">
                  <c:v>-4.4816409469589508E-2</c:v>
                </c:pt>
                <c:pt idx="6">
                  <c:v>-4.1903557874302154E-3</c:v>
                </c:pt>
                <c:pt idx="7">
                  <c:v>5.009662856391759E-2</c:v>
                </c:pt>
                <c:pt idx="8">
                  <c:v>-3.3526577961479169E-2</c:v>
                </c:pt>
                <c:pt idx="9">
                  <c:v>1.7089161131204544E-3</c:v>
                </c:pt>
                <c:pt idx="10">
                  <c:v>-1.4987176010349833E-2</c:v>
                </c:pt>
                <c:pt idx="11">
                  <c:v>-1.6085602745445061E-2</c:v>
                </c:pt>
                <c:pt idx="12">
                  <c:v>-1.6208978737047901E-2</c:v>
                </c:pt>
                <c:pt idx="13">
                  <c:v>-2.9093015931154413E-3</c:v>
                </c:pt>
                <c:pt idx="14">
                  <c:v>1.2460749063249666E-2</c:v>
                </c:pt>
                <c:pt idx="15">
                  <c:v>2.2615777552389582E-2</c:v>
                </c:pt>
                <c:pt idx="16">
                  <c:v>-2.3052995578475153E-2</c:v>
                </c:pt>
                <c:pt idx="17">
                  <c:v>-1.8887658530979715E-3</c:v>
                </c:pt>
                <c:pt idx="18">
                  <c:v>-9.4693533755409922E-3</c:v>
                </c:pt>
                <c:pt idx="19">
                  <c:v>-1.5559290196730169E-2</c:v>
                </c:pt>
                <c:pt idx="20">
                  <c:v>1.9266084935027712E-3</c:v>
                </c:pt>
                <c:pt idx="21">
                  <c:v>-8.9058751577874018E-3</c:v>
                </c:pt>
                <c:pt idx="22">
                  <c:v>1.0184850087006541E-2</c:v>
                </c:pt>
                <c:pt idx="23">
                  <c:v>-2.7232431183834678E-2</c:v>
                </c:pt>
                <c:pt idx="24">
                  <c:v>3.4113071909302684E-2</c:v>
                </c:pt>
                <c:pt idx="25">
                  <c:v>-5.6622767425169949E-3</c:v>
                </c:pt>
                <c:pt idx="26">
                  <c:v>-4.2285494689961838E-3</c:v>
                </c:pt>
                <c:pt idx="27">
                  <c:v>-2.1183571956394462E-2</c:v>
                </c:pt>
                <c:pt idx="28">
                  <c:v>2.7491848445662114E-2</c:v>
                </c:pt>
              </c:numCache>
            </c:numRef>
          </c:val>
          <c:extLst xmlns:c16r2="http://schemas.microsoft.com/office/drawing/2015/06/chart">
            <c:ext xmlns:c16="http://schemas.microsoft.com/office/drawing/2014/chart" uri="{C3380CC4-5D6E-409C-BE32-E72D297353CC}">
              <c16:uniqueId val="{00000001-DCFB-4B63-8917-75FEFCF8565E}"/>
            </c:ext>
          </c:extLst>
        </c:ser>
        <c:dLbls>
          <c:showLegendKey val="0"/>
          <c:showVal val="0"/>
          <c:showCatName val="0"/>
          <c:showSerName val="0"/>
          <c:showPercent val="0"/>
          <c:showBubbleSize val="0"/>
        </c:dLbls>
        <c:gapWidth val="219"/>
        <c:overlap val="-27"/>
        <c:axId val="116582656"/>
        <c:axId val="116588544"/>
      </c:barChart>
      <c:catAx>
        <c:axId val="1165826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6588544"/>
        <c:crosses val="autoZero"/>
        <c:auto val="1"/>
        <c:lblAlgn val="ctr"/>
        <c:lblOffset val="100"/>
        <c:noMultiLvlLbl val="0"/>
      </c:catAx>
      <c:valAx>
        <c:axId val="116588544"/>
        <c:scaling>
          <c:orientation val="minMax"/>
          <c:max val="6.0000000000000012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NZ" sz="1200" b="0" i="0" baseline="0">
                    <a:effectLst/>
                  </a:rPr>
                  <a:t>Difference Between the Proposal and the Status Quo </a:t>
                </a:r>
                <a:endParaRPr lang="en-NZ" sz="1200">
                  <a:effectLst/>
                </a:endParaRPr>
              </a:p>
              <a:p>
                <a:pPr>
                  <a:defRPr sz="1200" b="0" i="0" u="none" strike="noStrike" kern="1200" baseline="0">
                    <a:solidFill>
                      <a:schemeClr val="tx1">
                        <a:lumMod val="65000"/>
                        <a:lumOff val="35000"/>
                      </a:schemeClr>
                    </a:solidFill>
                    <a:latin typeface="+mn-lt"/>
                    <a:ea typeface="+mn-ea"/>
                    <a:cs typeface="+mn-cs"/>
                  </a:defRPr>
                </a:pPr>
                <a:r>
                  <a:rPr lang="en-NZ" sz="1200" b="0" i="0" baseline="0">
                    <a:effectLst/>
                  </a:rPr>
                  <a:t>(as a proportion of the  retail tariff)</a:t>
                </a:r>
                <a:endParaRPr lang="en-NZ" sz="1200">
                  <a:effectLst/>
                </a:endParaRPr>
              </a:p>
            </c:rich>
          </c:tx>
          <c:layout>
            <c:manualLayout>
              <c:xMode val="edge"/>
              <c:yMode val="edge"/>
              <c:x val="8.1206486207149979E-3"/>
              <c:y val="0.14323814370731056"/>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6582656"/>
        <c:crosses val="autoZero"/>
        <c:crossBetween val="between"/>
      </c:valAx>
      <c:spPr>
        <a:noFill/>
        <a:ln>
          <a:noFill/>
        </a:ln>
        <a:effectLst/>
      </c:spPr>
    </c:plotArea>
    <c:legend>
      <c:legendPos val="t"/>
      <c:layout>
        <c:manualLayout>
          <c:xMode val="edge"/>
          <c:yMode val="edge"/>
          <c:x val="7.902709263267188E-2"/>
          <c:y val="0.13187785581026928"/>
          <c:w val="0.91840074884615108"/>
          <c:h val="8.689016881388503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NZ" sz="1400" b="0" i="0" baseline="0">
                <a:effectLst/>
              </a:rPr>
              <a:t>Deltas vs status quo, as charges in $ per year terms, for a specified level of household consumption - PRELIMINARY RESULTS</a:t>
            </a:r>
            <a:endParaRPr lang="en-NZ" sz="1400">
              <a:effectLst/>
            </a:endParaRPr>
          </a:p>
        </c:rich>
      </c:tx>
      <c:layout>
        <c:manualLayout>
          <c:xMode val="edge"/>
          <c:yMode val="edge"/>
          <c:x val="0.10376850198800794"/>
          <c:y val="0"/>
        </c:manualLayout>
      </c:layout>
      <c:overlay val="0"/>
      <c:spPr>
        <a:noFill/>
        <a:ln>
          <a:noFill/>
        </a:ln>
        <a:effectLst/>
      </c:spPr>
    </c:title>
    <c:autoTitleDeleted val="0"/>
    <c:plotArea>
      <c:layout>
        <c:manualLayout>
          <c:layoutTarget val="inner"/>
          <c:xMode val="edge"/>
          <c:yMode val="edge"/>
          <c:x val="0.1422143218717736"/>
          <c:y val="0.13796160445775713"/>
          <c:w val="0.85593195725723659"/>
          <c:h val="0.58552755905511811"/>
        </c:manualLayout>
      </c:layout>
      <c:barChart>
        <c:barDir val="col"/>
        <c:grouping val="clustered"/>
        <c:varyColors val="0"/>
        <c:ser>
          <c:idx val="0"/>
          <c:order val="0"/>
          <c:spPr>
            <a:solidFill>
              <a:schemeClr val="accent1"/>
            </a:solidFill>
            <a:ln>
              <a:noFill/>
            </a:ln>
            <a:effectLst/>
          </c:spPr>
          <c:invertIfNegative val="0"/>
          <c:cat>
            <c:strRef>
              <c:f>Deltas!$A$68:$A$96</c:f>
              <c:strCache>
                <c:ptCount val="29"/>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c:v>
                </c:pt>
                <c:pt idx="27">
                  <c:v>Wellington Electricity</c:v>
                </c:pt>
                <c:pt idx="28">
                  <c:v>Westpower</c:v>
                </c:pt>
              </c:strCache>
            </c:strRef>
          </c:cat>
          <c:val>
            <c:numRef>
              <c:f>Deltas!$B$68:$B$96</c:f>
              <c:numCache>
                <c:formatCode>0</c:formatCode>
                <c:ptCount val="29"/>
                <c:pt idx="0">
                  <c:v>-6.2546747628170749</c:v>
                </c:pt>
                <c:pt idx="1">
                  <c:v>-13.70844215875718</c:v>
                </c:pt>
                <c:pt idx="2">
                  <c:v>26.476273151033851</c:v>
                </c:pt>
                <c:pt idx="3">
                  <c:v>-28.593188568093254</c:v>
                </c:pt>
                <c:pt idx="4">
                  <c:v>32.53621115351757</c:v>
                </c:pt>
                <c:pt idx="5">
                  <c:v>-24.094247297379198</c:v>
                </c:pt>
                <c:pt idx="6">
                  <c:v>14.339474742147459</c:v>
                </c:pt>
                <c:pt idx="7">
                  <c:v>117.00257637472615</c:v>
                </c:pt>
                <c:pt idx="8">
                  <c:v>-63.859810233606154</c:v>
                </c:pt>
                <c:pt idx="9">
                  <c:v>45.752181911904316</c:v>
                </c:pt>
                <c:pt idx="10">
                  <c:v>-33.370446343332759</c:v>
                </c:pt>
                <c:pt idx="11">
                  <c:v>-19.124925016892405</c:v>
                </c:pt>
                <c:pt idx="12">
                  <c:v>-30.693709181512304</c:v>
                </c:pt>
                <c:pt idx="13">
                  <c:v>-4.0460416967935231</c:v>
                </c:pt>
                <c:pt idx="14">
                  <c:v>21.283914297394574</c:v>
                </c:pt>
                <c:pt idx="15">
                  <c:v>63.215938307107038</c:v>
                </c:pt>
                <c:pt idx="16">
                  <c:v>-44.268786545563643</c:v>
                </c:pt>
                <c:pt idx="17">
                  <c:v>12.267540920817638</c:v>
                </c:pt>
                <c:pt idx="18">
                  <c:v>-2.443485230365809</c:v>
                </c:pt>
                <c:pt idx="19">
                  <c:v>-27.877955804575834</c:v>
                </c:pt>
                <c:pt idx="20">
                  <c:v>41.390358130781692</c:v>
                </c:pt>
                <c:pt idx="21">
                  <c:v>3.9543088511479567</c:v>
                </c:pt>
                <c:pt idx="22">
                  <c:v>87.039499919722886</c:v>
                </c:pt>
                <c:pt idx="23">
                  <c:v>-24.996846619813681</c:v>
                </c:pt>
                <c:pt idx="24">
                  <c:v>66.05118677611415</c:v>
                </c:pt>
                <c:pt idx="25">
                  <c:v>-9.5413194604872729</c:v>
                </c:pt>
                <c:pt idx="26">
                  <c:v>13.636607390084791</c:v>
                </c:pt>
                <c:pt idx="27">
                  <c:v>-35.032043410724214</c:v>
                </c:pt>
                <c:pt idx="28">
                  <c:v>66.335940326925908</c:v>
                </c:pt>
              </c:numCache>
            </c:numRef>
          </c:val>
          <c:extLst xmlns:c16r2="http://schemas.microsoft.com/office/drawing/2015/06/chart">
            <c:ext xmlns:c16="http://schemas.microsoft.com/office/drawing/2014/chart" uri="{C3380CC4-5D6E-409C-BE32-E72D297353CC}">
              <c16:uniqueId val="{00000000-9522-4B24-BAED-4E96F78CFCF2}"/>
            </c:ext>
          </c:extLst>
        </c:ser>
        <c:dLbls>
          <c:showLegendKey val="0"/>
          <c:showVal val="0"/>
          <c:showCatName val="0"/>
          <c:showSerName val="0"/>
          <c:showPercent val="0"/>
          <c:showBubbleSize val="0"/>
        </c:dLbls>
        <c:gapWidth val="219"/>
        <c:overlap val="-27"/>
        <c:axId val="116601216"/>
        <c:axId val="116602752"/>
      </c:barChart>
      <c:catAx>
        <c:axId val="1166012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602752"/>
        <c:crosses val="autoZero"/>
        <c:auto val="1"/>
        <c:lblAlgn val="ctr"/>
        <c:lblOffset val="100"/>
        <c:noMultiLvlLbl val="0"/>
      </c:catAx>
      <c:valAx>
        <c:axId val="116602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NZ" sz="1200"/>
                  <a:t>Delta vs status quo, as</a:t>
                </a:r>
                <a:r>
                  <a:rPr lang="en-NZ" sz="1200" baseline="0"/>
                  <a:t> $/yr household</a:t>
                </a:r>
                <a:endParaRPr lang="en-NZ" sz="1200"/>
              </a:p>
            </c:rich>
          </c:tx>
          <c:layout>
            <c:manualLayout>
              <c:xMode val="edge"/>
              <c:yMode val="edge"/>
              <c:x val="2.1406797161546684E-2"/>
              <c:y val="0.15048055356716775"/>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6012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NZ" sz="1400" b="0" i="0" baseline="0">
                <a:effectLst/>
              </a:rPr>
              <a:t>Difference Between the Proposal and Status Quo as $/year for a Typical Household   </a:t>
            </a:r>
            <a:endParaRPr lang="en-NZ" sz="1400" b="0" i="0" baseline="0">
              <a:solidFill>
                <a:srgbClr val="C00000"/>
              </a:solidFill>
              <a:effectLst/>
            </a:endParaRPr>
          </a:p>
        </c:rich>
      </c:tx>
      <c:layout>
        <c:manualLayout>
          <c:xMode val="edge"/>
          <c:yMode val="edge"/>
          <c:x val="0.16752431163374387"/>
          <c:y val="9.0840549665411661E-5"/>
        </c:manualLayout>
      </c:layout>
      <c:overlay val="0"/>
      <c:spPr>
        <a:noFill/>
        <a:ln>
          <a:noFill/>
        </a:ln>
        <a:effectLst/>
      </c:spPr>
    </c:title>
    <c:autoTitleDeleted val="0"/>
    <c:plotArea>
      <c:layout>
        <c:manualLayout>
          <c:layoutTarget val="inner"/>
          <c:xMode val="edge"/>
          <c:yMode val="edge"/>
          <c:x val="0.14990762273294306"/>
          <c:y val="0.16773276871174669"/>
          <c:w val="0.82939127135212032"/>
          <c:h val="0.56486792302871047"/>
        </c:manualLayout>
      </c:layout>
      <c:barChart>
        <c:barDir val="col"/>
        <c:grouping val="clustered"/>
        <c:varyColors val="0"/>
        <c:ser>
          <c:idx val="0"/>
          <c:order val="0"/>
          <c:tx>
            <c:strRef>
              <c:f>Deltas!$B$67</c:f>
              <c:strCache>
                <c:ptCount val="1"/>
                <c:pt idx="0">
                  <c:v>Proposal assuming continuation of ACOT</c:v>
                </c:pt>
              </c:strCache>
            </c:strRef>
          </c:tx>
          <c:spPr>
            <a:solidFill>
              <a:schemeClr val="accent1"/>
            </a:solidFill>
            <a:ln>
              <a:noFill/>
            </a:ln>
            <a:effectLst/>
          </c:spPr>
          <c:invertIfNegative val="0"/>
          <c:cat>
            <c:strRef>
              <c:f>Deltas!$A$68:$A$96</c:f>
              <c:strCache>
                <c:ptCount val="29"/>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c:v>
                </c:pt>
                <c:pt idx="27">
                  <c:v>Wellington Electricity</c:v>
                </c:pt>
                <c:pt idx="28">
                  <c:v>Westpower</c:v>
                </c:pt>
              </c:strCache>
            </c:strRef>
          </c:cat>
          <c:val>
            <c:numRef>
              <c:f>Deltas!$B$68:$B$96</c:f>
              <c:numCache>
                <c:formatCode>0</c:formatCode>
                <c:ptCount val="29"/>
                <c:pt idx="0">
                  <c:v>-6.2546747628170749</c:v>
                </c:pt>
                <c:pt idx="1">
                  <c:v>-13.70844215875718</c:v>
                </c:pt>
                <c:pt idx="2">
                  <c:v>26.476273151033851</c:v>
                </c:pt>
                <c:pt idx="3">
                  <c:v>-28.593188568093254</c:v>
                </c:pt>
                <c:pt idx="4">
                  <c:v>32.53621115351757</c:v>
                </c:pt>
                <c:pt idx="5">
                  <c:v>-24.094247297379198</c:v>
                </c:pt>
                <c:pt idx="6">
                  <c:v>14.339474742147459</c:v>
                </c:pt>
                <c:pt idx="7">
                  <c:v>117.00257637472615</c:v>
                </c:pt>
                <c:pt idx="8">
                  <c:v>-63.859810233606154</c:v>
                </c:pt>
                <c:pt idx="9">
                  <c:v>45.752181911904316</c:v>
                </c:pt>
                <c:pt idx="10">
                  <c:v>-33.370446343332759</c:v>
                </c:pt>
                <c:pt idx="11">
                  <c:v>-19.124925016892405</c:v>
                </c:pt>
                <c:pt idx="12">
                  <c:v>-30.693709181512304</c:v>
                </c:pt>
                <c:pt idx="13">
                  <c:v>-4.0460416967935231</c:v>
                </c:pt>
                <c:pt idx="14">
                  <c:v>21.283914297394574</c:v>
                </c:pt>
                <c:pt idx="15">
                  <c:v>63.215938307107038</c:v>
                </c:pt>
                <c:pt idx="16">
                  <c:v>-44.268786545563643</c:v>
                </c:pt>
                <c:pt idx="17">
                  <c:v>12.267540920817638</c:v>
                </c:pt>
                <c:pt idx="18">
                  <c:v>-2.443485230365809</c:v>
                </c:pt>
                <c:pt idx="19">
                  <c:v>-27.877955804575834</c:v>
                </c:pt>
                <c:pt idx="20">
                  <c:v>41.390358130781692</c:v>
                </c:pt>
                <c:pt idx="21">
                  <c:v>3.9543088511479567</c:v>
                </c:pt>
                <c:pt idx="22">
                  <c:v>87.039499919722886</c:v>
                </c:pt>
                <c:pt idx="23">
                  <c:v>-24.996846619813681</c:v>
                </c:pt>
                <c:pt idx="24">
                  <c:v>66.05118677611415</c:v>
                </c:pt>
                <c:pt idx="25">
                  <c:v>-9.5413194604872729</c:v>
                </c:pt>
                <c:pt idx="26">
                  <c:v>13.636607390084791</c:v>
                </c:pt>
                <c:pt idx="27">
                  <c:v>-35.032043410724214</c:v>
                </c:pt>
                <c:pt idx="28">
                  <c:v>66.335940326925908</c:v>
                </c:pt>
              </c:numCache>
            </c:numRef>
          </c:val>
          <c:extLst xmlns:c16r2="http://schemas.microsoft.com/office/drawing/2015/06/chart">
            <c:ext xmlns:c16="http://schemas.microsoft.com/office/drawing/2014/chart" uri="{C3380CC4-5D6E-409C-BE32-E72D297353CC}">
              <c16:uniqueId val="{00000000-439C-4670-BFB4-11FE96688788}"/>
            </c:ext>
          </c:extLst>
        </c:ser>
        <c:ser>
          <c:idx val="1"/>
          <c:order val="1"/>
          <c:tx>
            <c:strRef>
              <c:f>Deltas!$C$67</c:f>
              <c:strCache>
                <c:ptCount val="1"/>
                <c:pt idx="0">
                  <c:v>Proposal assuming ACOT discontinued</c:v>
                </c:pt>
              </c:strCache>
            </c:strRef>
          </c:tx>
          <c:spPr>
            <a:solidFill>
              <a:schemeClr val="accent2"/>
            </a:solidFill>
            <a:ln>
              <a:noFill/>
            </a:ln>
            <a:effectLst/>
          </c:spPr>
          <c:invertIfNegative val="0"/>
          <c:cat>
            <c:strRef>
              <c:f>Deltas!$A$68:$A$96</c:f>
              <c:strCache>
                <c:ptCount val="29"/>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c:v>
                </c:pt>
                <c:pt idx="27">
                  <c:v>Wellington Electricity</c:v>
                </c:pt>
                <c:pt idx="28">
                  <c:v>Westpower</c:v>
                </c:pt>
              </c:strCache>
            </c:strRef>
          </c:cat>
          <c:val>
            <c:numRef>
              <c:f>Deltas!$C$68:$C$96</c:f>
              <c:numCache>
                <c:formatCode>0</c:formatCode>
                <c:ptCount val="29"/>
                <c:pt idx="0">
                  <c:v>-6.2546747628170749</c:v>
                </c:pt>
                <c:pt idx="1">
                  <c:v>-57.361162969379819</c:v>
                </c:pt>
                <c:pt idx="2">
                  <c:v>26.476273151033851</c:v>
                </c:pt>
                <c:pt idx="3">
                  <c:v>-28.593188568093254</c:v>
                </c:pt>
                <c:pt idx="4">
                  <c:v>32.53621115351757</c:v>
                </c:pt>
                <c:pt idx="5">
                  <c:v>-79.376020578580381</c:v>
                </c:pt>
                <c:pt idx="6">
                  <c:v>-6.2759351548613722</c:v>
                </c:pt>
                <c:pt idx="7">
                  <c:v>101.80438939142886</c:v>
                </c:pt>
                <c:pt idx="8">
                  <c:v>-63.859810233606154</c:v>
                </c:pt>
                <c:pt idx="9">
                  <c:v>2.7085622228655097</c:v>
                </c:pt>
                <c:pt idx="10">
                  <c:v>-33.370446343332759</c:v>
                </c:pt>
                <c:pt idx="11">
                  <c:v>-33.965418801941723</c:v>
                </c:pt>
                <c:pt idx="12">
                  <c:v>-33.563665066386434</c:v>
                </c:pt>
                <c:pt idx="13">
                  <c:v>-4.7440148455580555</c:v>
                </c:pt>
                <c:pt idx="14">
                  <c:v>21.283914297394574</c:v>
                </c:pt>
                <c:pt idx="15">
                  <c:v>35.535220550480005</c:v>
                </c:pt>
                <c:pt idx="16">
                  <c:v>-47.592495481389136</c:v>
                </c:pt>
                <c:pt idx="17">
                  <c:v>-4.4609325743923449</c:v>
                </c:pt>
                <c:pt idx="18">
                  <c:v>-15.822931112063372</c:v>
                </c:pt>
                <c:pt idx="19">
                  <c:v>-27.877955804575834</c:v>
                </c:pt>
                <c:pt idx="20">
                  <c:v>4.1431675501219161</c:v>
                </c:pt>
                <c:pt idx="21">
                  <c:v>-19.632626007722195</c:v>
                </c:pt>
                <c:pt idx="22">
                  <c:v>20.243685980145216</c:v>
                </c:pt>
                <c:pt idx="23">
                  <c:v>-51.121972961353009</c:v>
                </c:pt>
                <c:pt idx="24">
                  <c:v>58.034818575240791</c:v>
                </c:pt>
                <c:pt idx="25">
                  <c:v>-9.5413194604872729</c:v>
                </c:pt>
                <c:pt idx="26">
                  <c:v>-7.378038934094846</c:v>
                </c:pt>
                <c:pt idx="27">
                  <c:v>-35.542174765120052</c:v>
                </c:pt>
                <c:pt idx="28">
                  <c:v>48.605207578342515</c:v>
                </c:pt>
              </c:numCache>
            </c:numRef>
          </c:val>
          <c:extLst xmlns:c16r2="http://schemas.microsoft.com/office/drawing/2015/06/chart">
            <c:ext xmlns:c16="http://schemas.microsoft.com/office/drawing/2014/chart" uri="{C3380CC4-5D6E-409C-BE32-E72D297353CC}">
              <c16:uniqueId val="{00000001-439C-4670-BFB4-11FE96688788}"/>
            </c:ext>
          </c:extLst>
        </c:ser>
        <c:dLbls>
          <c:showLegendKey val="0"/>
          <c:showVal val="0"/>
          <c:showCatName val="0"/>
          <c:showSerName val="0"/>
          <c:showPercent val="0"/>
          <c:showBubbleSize val="0"/>
        </c:dLbls>
        <c:gapWidth val="219"/>
        <c:overlap val="-27"/>
        <c:axId val="116641792"/>
        <c:axId val="116643328"/>
      </c:barChart>
      <c:catAx>
        <c:axId val="1166417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6643328"/>
        <c:crosses val="autoZero"/>
        <c:auto val="1"/>
        <c:lblAlgn val="ctr"/>
        <c:lblOffset val="100"/>
        <c:noMultiLvlLbl val="0"/>
      </c:catAx>
      <c:valAx>
        <c:axId val="116643328"/>
        <c:scaling>
          <c:orientation val="minMax"/>
          <c:max val="1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NZ" sz="1200"/>
                  <a:t>$/year</a:t>
                </a:r>
              </a:p>
            </c:rich>
          </c:tx>
          <c:layout>
            <c:manualLayout>
              <c:xMode val="edge"/>
              <c:yMode val="edge"/>
              <c:x val="3.7415894589431127E-2"/>
              <c:y val="0.41201886829149981"/>
            </c:manualLayout>
          </c:layout>
          <c:overlay val="0"/>
          <c:spPr>
            <a:noFill/>
            <a:ln>
              <a:noFill/>
            </a:ln>
            <a:effectLst/>
          </c:sp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6641792"/>
        <c:crosses val="autoZero"/>
        <c:crossBetween val="between"/>
      </c:valAx>
      <c:spPr>
        <a:noFill/>
        <a:ln>
          <a:noFill/>
        </a:ln>
        <a:effectLst/>
      </c:spPr>
    </c:plotArea>
    <c:legend>
      <c:legendPos val="l"/>
      <c:layout>
        <c:manualLayout>
          <c:xMode val="edge"/>
          <c:yMode val="edge"/>
          <c:x val="0.10047529846656872"/>
          <c:y val="0.15927780618928472"/>
          <c:w val="0.89722605479284778"/>
          <c:h val="6.833998790162998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NZ" sz="1600" b="0" i="0" baseline="0">
                <a:effectLst/>
              </a:rPr>
              <a:t>TPM Proposal Compared to Network Cost (MBIE data)</a:t>
            </a:r>
            <a:endParaRPr lang="en-NZ" sz="1200">
              <a:effectLst/>
            </a:endParaRPr>
          </a:p>
        </c:rich>
      </c:tx>
      <c:layout>
        <c:manualLayout>
          <c:xMode val="edge"/>
          <c:yMode val="edge"/>
          <c:x val="0.24908346216841479"/>
          <c:y val="6.0744140756189516E-4"/>
        </c:manualLayout>
      </c:layout>
      <c:overlay val="0"/>
      <c:spPr>
        <a:noFill/>
        <a:ln>
          <a:noFill/>
        </a:ln>
        <a:effectLst/>
      </c:spPr>
    </c:title>
    <c:autoTitleDeleted val="0"/>
    <c:plotArea>
      <c:layout>
        <c:manualLayout>
          <c:layoutTarget val="inner"/>
          <c:xMode val="edge"/>
          <c:yMode val="edge"/>
          <c:x val="0.12148539502799061"/>
          <c:y val="0.14707320461638781"/>
          <c:w val="0.85593195725723659"/>
          <c:h val="0.56128510805308218"/>
        </c:manualLayout>
      </c:layout>
      <c:barChart>
        <c:barDir val="col"/>
        <c:grouping val="clustered"/>
        <c:varyColors val="0"/>
        <c:ser>
          <c:idx val="1"/>
          <c:order val="0"/>
          <c:tx>
            <c:strRef>
              <c:f>Deltas!$Z$33</c:f>
              <c:strCache>
                <c:ptCount val="1"/>
                <c:pt idx="0">
                  <c:v>TPM Proposal</c:v>
                </c:pt>
              </c:strCache>
            </c:strRef>
          </c:tx>
          <c:spPr>
            <a:solidFill>
              <a:srgbClr val="C00000">
                <a:alpha val="61000"/>
              </a:srgbClr>
            </a:solidFill>
            <a:ln w="15875">
              <a:solidFill>
                <a:srgbClr val="C00000">
                  <a:alpha val="53000"/>
                </a:srgbClr>
              </a:solidFill>
            </a:ln>
            <a:effectLst/>
          </c:spPr>
          <c:invertIfNegative val="0"/>
          <c:cat>
            <c:strRef>
              <c:f>Deltas!$U$34:$U$62</c:f>
              <c:strCache>
                <c:ptCount val="29"/>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c:v>
                </c:pt>
                <c:pt idx="27">
                  <c:v>Wellington Electricity</c:v>
                </c:pt>
                <c:pt idx="28">
                  <c:v>Westpower</c:v>
                </c:pt>
              </c:strCache>
            </c:strRef>
          </c:cat>
          <c:val>
            <c:numRef>
              <c:f>Deltas!$Z$34:$Z$62</c:f>
              <c:numCache>
                <c:formatCode>General</c:formatCode>
                <c:ptCount val="29"/>
                <c:pt idx="0">
                  <c:v>1.2503869675834416</c:v>
                </c:pt>
                <c:pt idx="1">
                  <c:v>1.4297802800940544</c:v>
                </c:pt>
                <c:pt idx="2">
                  <c:v>1.6752481616071899</c:v>
                </c:pt>
                <c:pt idx="3">
                  <c:v>1.3985627090063</c:v>
                </c:pt>
                <c:pt idx="4">
                  <c:v>2.2035015877098698</c:v>
                </c:pt>
                <c:pt idx="5">
                  <c:v>1.3760954731542072</c:v>
                </c:pt>
                <c:pt idx="6">
                  <c:v>1.6894646429145623</c:v>
                </c:pt>
                <c:pt idx="7">
                  <c:v>1.9203714789533379</c:v>
                </c:pt>
                <c:pt idx="8">
                  <c:v>1.3920780720118637</c:v>
                </c:pt>
                <c:pt idx="9">
                  <c:v>1.3750816937495187</c:v>
                </c:pt>
                <c:pt idx="10">
                  <c:v>1.493513131430356</c:v>
                </c:pt>
                <c:pt idx="11">
                  <c:v>1.510737379418992</c:v>
                </c:pt>
                <c:pt idx="12">
                  <c:v>1.2599034485958804</c:v>
                </c:pt>
                <c:pt idx="13">
                  <c:v>1.4117592003864423</c:v>
                </c:pt>
                <c:pt idx="14">
                  <c:v>1.4716951229569921</c:v>
                </c:pt>
                <c:pt idx="15">
                  <c:v>2.7094973065396495</c:v>
                </c:pt>
                <c:pt idx="16">
                  <c:v>1.4678284616844646</c:v>
                </c:pt>
                <c:pt idx="17">
                  <c:v>1.1112889384313536</c:v>
                </c:pt>
                <c:pt idx="18">
                  <c:v>1.6550368676238418</c:v>
                </c:pt>
                <c:pt idx="19">
                  <c:v>1.4238863313471661</c:v>
                </c:pt>
                <c:pt idx="20">
                  <c:v>1.7798961111696012</c:v>
                </c:pt>
                <c:pt idx="21">
                  <c:v>1.3014451625869663</c:v>
                </c:pt>
                <c:pt idx="22">
                  <c:v>2.6323624469272957</c:v>
                </c:pt>
                <c:pt idx="23">
                  <c:v>1.5210456209164154</c:v>
                </c:pt>
                <c:pt idx="24">
                  <c:v>3.0527988219335276</c:v>
                </c:pt>
                <c:pt idx="25">
                  <c:v>1.5863271349640498</c:v>
                </c:pt>
                <c:pt idx="26">
                  <c:v>1.7780832855539657</c:v>
                </c:pt>
                <c:pt idx="27">
                  <c:v>1.7522951927676982</c:v>
                </c:pt>
                <c:pt idx="28">
                  <c:v>1.6440997249815634</c:v>
                </c:pt>
              </c:numCache>
            </c:numRef>
          </c:val>
          <c:extLst xmlns:c16r2="http://schemas.microsoft.com/office/drawing/2015/06/chart">
            <c:ext xmlns:c16="http://schemas.microsoft.com/office/drawing/2014/chart" uri="{C3380CC4-5D6E-409C-BE32-E72D297353CC}">
              <c16:uniqueId val="{00000000-8CD1-49CC-8014-6BFABC5761FB}"/>
            </c:ext>
          </c:extLst>
        </c:ser>
        <c:ser>
          <c:idx val="0"/>
          <c:order val="1"/>
          <c:tx>
            <c:strRef>
              <c:f>Deltas!$X$33</c:f>
              <c:strCache>
                <c:ptCount val="1"/>
                <c:pt idx="0">
                  <c:v>Network Lines Cost excl GST</c:v>
                </c:pt>
              </c:strCache>
            </c:strRef>
          </c:tx>
          <c:spPr>
            <a:noFill/>
            <a:ln>
              <a:solidFill>
                <a:schemeClr val="tx2"/>
              </a:solidFill>
            </a:ln>
            <a:effectLst/>
          </c:spPr>
          <c:invertIfNegative val="0"/>
          <c:cat>
            <c:strRef>
              <c:f>Deltas!$U$34:$U$62</c:f>
              <c:strCache>
                <c:ptCount val="29"/>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c:v>
                </c:pt>
                <c:pt idx="27">
                  <c:v>Wellington Electricity</c:v>
                </c:pt>
                <c:pt idx="28">
                  <c:v>Westpower</c:v>
                </c:pt>
              </c:strCache>
            </c:strRef>
          </c:cat>
          <c:val>
            <c:numRef>
              <c:f>Deltas!$X$34:$X$62</c:f>
              <c:numCache>
                <c:formatCode>_-* #,##0.0_-;\-* #,##0.0_-;_-* "-"??_-;_-@_-</c:formatCode>
                <c:ptCount val="29"/>
                <c:pt idx="0">
                  <c:v>8.2368749999999995</c:v>
                </c:pt>
                <c:pt idx="1">
                  <c:v>9.8005916666666675</c:v>
                </c:pt>
                <c:pt idx="2">
                  <c:v>14.388843749999998</c:v>
                </c:pt>
                <c:pt idx="3">
                  <c:v>15.20484375</c:v>
                </c:pt>
                <c:pt idx="4">
                  <c:v>10.476843750000002</c:v>
                </c:pt>
                <c:pt idx="5">
                  <c:v>12.63093070652174</c:v>
                </c:pt>
                <c:pt idx="6">
                  <c:v>9.4268437499999997</c:v>
                </c:pt>
                <c:pt idx="7">
                  <c:v>6.8528437499999999</c:v>
                </c:pt>
                <c:pt idx="8">
                  <c:v>8.642371594161423</c:v>
                </c:pt>
                <c:pt idx="9">
                  <c:v>10.667843749999999</c:v>
                </c:pt>
                <c:pt idx="10">
                  <c:v>9.8005916666666675</c:v>
                </c:pt>
                <c:pt idx="11">
                  <c:v>9.2303437500000012</c:v>
                </c:pt>
                <c:pt idx="12">
                  <c:v>12.268043749999999</c:v>
                </c:pt>
                <c:pt idx="13">
                  <c:v>7.8628437500000006</c:v>
                </c:pt>
                <c:pt idx="14">
                  <c:v>8.1326549999999997</c:v>
                </c:pt>
                <c:pt idx="15">
                  <c:v>9.7848437500000003</c:v>
                </c:pt>
                <c:pt idx="16">
                  <c:v>9.5669842681062498</c:v>
                </c:pt>
                <c:pt idx="17">
                  <c:v>17.03184375</c:v>
                </c:pt>
                <c:pt idx="18">
                  <c:v>10.695424570262096</c:v>
                </c:pt>
                <c:pt idx="19">
                  <c:v>11.947998950000001</c:v>
                </c:pt>
                <c:pt idx="20">
                  <c:v>11.528730000000001</c:v>
                </c:pt>
                <c:pt idx="21">
                  <c:v>10.898325924088315</c:v>
                </c:pt>
                <c:pt idx="22">
                  <c:v>16.582843750000002</c:v>
                </c:pt>
                <c:pt idx="23">
                  <c:v>11.951510416666668</c:v>
                </c:pt>
                <c:pt idx="24">
                  <c:v>9.9848437499999996</c:v>
                </c:pt>
                <c:pt idx="25">
                  <c:v>6.7488437499999998</c:v>
                </c:pt>
                <c:pt idx="26">
                  <c:v>11.45484375</c:v>
                </c:pt>
                <c:pt idx="27">
                  <c:v>9.4048437500000013</c:v>
                </c:pt>
                <c:pt idx="28">
                  <c:v>10.976800000000001</c:v>
                </c:pt>
              </c:numCache>
            </c:numRef>
          </c:val>
          <c:extLst xmlns:c16r2="http://schemas.microsoft.com/office/drawing/2015/06/chart">
            <c:ext xmlns:c16="http://schemas.microsoft.com/office/drawing/2014/chart" uri="{C3380CC4-5D6E-409C-BE32-E72D297353CC}">
              <c16:uniqueId val="{00000000-37B2-4970-B922-8DD3364B737A}"/>
            </c:ext>
          </c:extLst>
        </c:ser>
        <c:dLbls>
          <c:showLegendKey val="0"/>
          <c:showVal val="0"/>
          <c:showCatName val="0"/>
          <c:showSerName val="0"/>
          <c:showPercent val="0"/>
          <c:showBubbleSize val="0"/>
        </c:dLbls>
        <c:gapWidth val="119"/>
        <c:axId val="119229824"/>
        <c:axId val="119235712"/>
      </c:barChart>
      <c:catAx>
        <c:axId val="1192298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712"/>
        <c:crosses val="autoZero"/>
        <c:auto val="1"/>
        <c:lblAlgn val="ctr"/>
        <c:lblOffset val="100"/>
        <c:noMultiLvlLbl val="0"/>
      </c:catAx>
      <c:valAx>
        <c:axId val="119235712"/>
        <c:scaling>
          <c:orientation val="minMax"/>
          <c:max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NZ" sz="1200" baseline="0"/>
                  <a:t>Low User Residential  Network Tariff (c/kWh)</a:t>
                </a:r>
                <a:endParaRPr lang="en-NZ" sz="1200"/>
              </a:p>
            </c:rich>
          </c:tx>
          <c:layout>
            <c:manualLayout>
              <c:xMode val="edge"/>
              <c:yMode val="edge"/>
              <c:x val="1.3069396118428021E-2"/>
              <c:y val="8.4068891080719993E-2"/>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9229824"/>
        <c:crosses val="autoZero"/>
        <c:crossBetween val="between"/>
      </c:valAx>
      <c:spPr>
        <a:noFill/>
        <a:ln>
          <a:noFill/>
        </a:ln>
        <a:effectLst/>
      </c:spPr>
    </c:plotArea>
    <c:legend>
      <c:legendPos val="t"/>
      <c:layout>
        <c:manualLayout>
          <c:xMode val="edge"/>
          <c:yMode val="edge"/>
          <c:x val="0.29615435615671182"/>
          <c:y val="9.0152899176825105E-2"/>
          <c:w val="0.45675845255671277"/>
          <c:h val="4.9518364881208914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NZ" sz="1600" b="0" i="0" baseline="0">
                <a:effectLst/>
              </a:rPr>
              <a:t>TPM Proposal Compared to Network Cost (MBIE data)</a:t>
            </a:r>
            <a:endParaRPr lang="en-NZ" sz="1200">
              <a:effectLst/>
            </a:endParaRPr>
          </a:p>
        </c:rich>
      </c:tx>
      <c:layout>
        <c:manualLayout>
          <c:xMode val="edge"/>
          <c:yMode val="edge"/>
          <c:x val="0.25849144799272838"/>
          <c:y val="8.6054447581336881E-3"/>
        </c:manualLayout>
      </c:layout>
      <c:overlay val="0"/>
      <c:spPr>
        <a:noFill/>
        <a:ln>
          <a:noFill/>
        </a:ln>
        <a:effectLst/>
      </c:spPr>
    </c:title>
    <c:autoTitleDeleted val="0"/>
    <c:plotArea>
      <c:layout>
        <c:manualLayout>
          <c:layoutTarget val="inner"/>
          <c:xMode val="edge"/>
          <c:yMode val="edge"/>
          <c:x val="0.12336703581733562"/>
          <c:y val="0.14707312286898719"/>
          <c:w val="0.85593195725723659"/>
          <c:h val="0.56128510805308218"/>
        </c:manualLayout>
      </c:layout>
      <c:barChart>
        <c:barDir val="col"/>
        <c:grouping val="stacked"/>
        <c:varyColors val="0"/>
        <c:ser>
          <c:idx val="1"/>
          <c:order val="0"/>
          <c:tx>
            <c:strRef>
              <c:f>Deltas!$Z$33</c:f>
              <c:strCache>
                <c:ptCount val="1"/>
                <c:pt idx="0">
                  <c:v>TPM Proposal</c:v>
                </c:pt>
              </c:strCache>
            </c:strRef>
          </c:tx>
          <c:spPr>
            <a:solidFill>
              <a:srgbClr val="C00000">
                <a:alpha val="61000"/>
              </a:srgbClr>
            </a:solidFill>
            <a:ln w="22225">
              <a:solidFill>
                <a:srgbClr val="C00000">
                  <a:alpha val="53000"/>
                </a:srgbClr>
              </a:solidFill>
            </a:ln>
            <a:effectLst/>
          </c:spPr>
          <c:invertIfNegative val="0"/>
          <c:cat>
            <c:strRef>
              <c:f>Deltas!$U$34:$U$62</c:f>
              <c:strCache>
                <c:ptCount val="29"/>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c:v>
                </c:pt>
                <c:pt idx="27">
                  <c:v>Wellington Electricity</c:v>
                </c:pt>
                <c:pt idx="28">
                  <c:v>Westpower</c:v>
                </c:pt>
              </c:strCache>
            </c:strRef>
          </c:cat>
          <c:val>
            <c:numRef>
              <c:f>Deltas!$Z$34:$Z$62</c:f>
              <c:numCache>
                <c:formatCode>General</c:formatCode>
                <c:ptCount val="29"/>
                <c:pt idx="0">
                  <c:v>1.2503869675834416</c:v>
                </c:pt>
                <c:pt idx="1">
                  <c:v>1.4297802800940544</c:v>
                </c:pt>
                <c:pt idx="2">
                  <c:v>1.6752481616071899</c:v>
                </c:pt>
                <c:pt idx="3">
                  <c:v>1.3985627090063</c:v>
                </c:pt>
                <c:pt idx="4">
                  <c:v>2.2035015877098698</c:v>
                </c:pt>
                <c:pt idx="5">
                  <c:v>1.3760954731542072</c:v>
                </c:pt>
                <c:pt idx="6">
                  <c:v>1.6894646429145623</c:v>
                </c:pt>
                <c:pt idx="7">
                  <c:v>1.9203714789533379</c:v>
                </c:pt>
                <c:pt idx="8">
                  <c:v>1.3920780720118637</c:v>
                </c:pt>
                <c:pt idx="9">
                  <c:v>1.3750816937495187</c:v>
                </c:pt>
                <c:pt idx="10">
                  <c:v>1.493513131430356</c:v>
                </c:pt>
                <c:pt idx="11">
                  <c:v>1.510737379418992</c:v>
                </c:pt>
                <c:pt idx="12">
                  <c:v>1.2599034485958804</c:v>
                </c:pt>
                <c:pt idx="13">
                  <c:v>1.4117592003864423</c:v>
                </c:pt>
                <c:pt idx="14">
                  <c:v>1.4716951229569921</c:v>
                </c:pt>
                <c:pt idx="15">
                  <c:v>2.7094973065396495</c:v>
                </c:pt>
                <c:pt idx="16">
                  <c:v>1.4678284616844646</c:v>
                </c:pt>
                <c:pt idx="17">
                  <c:v>1.1112889384313536</c:v>
                </c:pt>
                <c:pt idx="18">
                  <c:v>1.6550368676238418</c:v>
                </c:pt>
                <c:pt idx="19">
                  <c:v>1.4238863313471661</c:v>
                </c:pt>
                <c:pt idx="20">
                  <c:v>1.7798961111696012</c:v>
                </c:pt>
                <c:pt idx="21">
                  <c:v>1.3014451625869663</c:v>
                </c:pt>
                <c:pt idx="22">
                  <c:v>2.6323624469272957</c:v>
                </c:pt>
                <c:pt idx="23">
                  <c:v>1.5210456209164154</c:v>
                </c:pt>
                <c:pt idx="24">
                  <c:v>3.0527988219335276</c:v>
                </c:pt>
                <c:pt idx="25">
                  <c:v>1.5863271349640498</c:v>
                </c:pt>
                <c:pt idx="26">
                  <c:v>1.7780832855539657</c:v>
                </c:pt>
                <c:pt idx="27">
                  <c:v>1.7522951927676982</c:v>
                </c:pt>
                <c:pt idx="28">
                  <c:v>1.6440997249815634</c:v>
                </c:pt>
              </c:numCache>
            </c:numRef>
          </c:val>
          <c:extLst xmlns:c16r2="http://schemas.microsoft.com/office/drawing/2015/06/chart">
            <c:ext xmlns:c16="http://schemas.microsoft.com/office/drawing/2014/chart" uri="{C3380CC4-5D6E-409C-BE32-E72D297353CC}">
              <c16:uniqueId val="{00000000-8883-47E1-8A51-2D78A07EAC96}"/>
            </c:ext>
          </c:extLst>
        </c:ser>
        <c:ser>
          <c:idx val="0"/>
          <c:order val="1"/>
          <c:tx>
            <c:strRef>
              <c:f>Deltas!$AB$33</c:f>
              <c:strCache>
                <c:ptCount val="1"/>
                <c:pt idx="0">
                  <c:v>Network Lines cost less status quo tx</c:v>
                </c:pt>
              </c:strCache>
            </c:strRef>
          </c:tx>
          <c:spPr>
            <a:noFill/>
            <a:ln>
              <a:solidFill>
                <a:schemeClr val="tx2"/>
              </a:solidFill>
            </a:ln>
            <a:effectLst/>
          </c:spPr>
          <c:invertIfNegative val="0"/>
          <c:cat>
            <c:strRef>
              <c:f>Deltas!$U$34:$U$62</c:f>
              <c:strCache>
                <c:ptCount val="29"/>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c:v>
                </c:pt>
                <c:pt idx="27">
                  <c:v>Wellington Electricity</c:v>
                </c:pt>
                <c:pt idx="28">
                  <c:v>Westpower</c:v>
                </c:pt>
              </c:strCache>
            </c:strRef>
          </c:cat>
          <c:val>
            <c:numRef>
              <c:f>Deltas!$AB$34:$AB$62</c:f>
              <c:numCache>
                <c:formatCode>0.00</c:formatCode>
                <c:ptCount val="29"/>
                <c:pt idx="0">
                  <c:v>6.911486806159882</c:v>
                </c:pt>
                <c:pt idx="1">
                  <c:v>8.2043081118941021</c:v>
                </c:pt>
                <c:pt idx="2">
                  <c:v>13.196645822308033</c:v>
                </c:pt>
                <c:pt idx="3">
                  <c:v>13.395235535350638</c:v>
                </c:pt>
                <c:pt idx="4">
                  <c:v>8.6801515891836605</c:v>
                </c:pt>
                <c:pt idx="5">
                  <c:v>10.873545258823858</c:v>
                </c:pt>
                <c:pt idx="6">
                  <c:v>7.9591676909296574</c:v>
                </c:pt>
                <c:pt idx="7">
                  <c:v>6.2735236594023069</c:v>
                </c:pt>
                <c:pt idx="8">
                  <c:v>6.4971879817056175</c:v>
                </c:pt>
                <c:pt idx="9">
                  <c:v>10.016498889802179</c:v>
                </c:pt>
                <c:pt idx="10">
                  <c:v>7.946302522105702</c:v>
                </c:pt>
                <c:pt idx="11">
                  <c:v>7.5044071711038765</c:v>
                </c:pt>
                <c:pt idx="12">
                  <c:v>10.582702659761006</c:v>
                </c:pt>
                <c:pt idx="13">
                  <c:v>6.3931084104780833</c:v>
                </c:pt>
                <c:pt idx="14">
                  <c:v>6.9418677804458104</c:v>
                </c:pt>
                <c:pt idx="15">
                  <c:v>8.0679748686112802</c:v>
                </c:pt>
                <c:pt idx="16">
                  <c:v>7.5955285378405506</c:v>
                </c:pt>
                <c:pt idx="17">
                  <c:v>16.09624965310822</c:v>
                </c:pt>
                <c:pt idx="18">
                  <c:v>9.0020329426867285</c:v>
                </c:pt>
                <c:pt idx="19">
                  <c:v>10.13203359227591</c:v>
                </c:pt>
                <c:pt idx="20">
                  <c:v>10.264113600639549</c:v>
                </c:pt>
                <c:pt idx="21">
                  <c:v>9.6433106571437843</c:v>
                </c:pt>
                <c:pt idx="22">
                  <c:v>15.38570855011695</c:v>
                </c:pt>
                <c:pt idx="23">
                  <c:v>10.078465446048101</c:v>
                </c:pt>
                <c:pt idx="24">
                  <c:v>7.8598415493758313</c:v>
                </c:pt>
                <c:pt idx="25">
                  <c:v>5.0377654362024442</c:v>
                </c:pt>
                <c:pt idx="26">
                  <c:v>9.8708537689819558</c:v>
                </c:pt>
                <c:pt idx="27">
                  <c:v>7.1632523399331474</c:v>
                </c:pt>
                <c:pt idx="28">
                  <c:v>10.411161598692484</c:v>
                </c:pt>
              </c:numCache>
            </c:numRef>
          </c:val>
          <c:extLst xmlns:c16r2="http://schemas.microsoft.com/office/drawing/2015/06/chart">
            <c:ext xmlns:c16="http://schemas.microsoft.com/office/drawing/2014/chart" uri="{C3380CC4-5D6E-409C-BE32-E72D297353CC}">
              <c16:uniqueId val="{00000001-8883-47E1-8A51-2D78A07EAC96}"/>
            </c:ext>
          </c:extLst>
        </c:ser>
        <c:dLbls>
          <c:showLegendKey val="0"/>
          <c:showVal val="0"/>
          <c:showCatName val="0"/>
          <c:showSerName val="0"/>
          <c:showPercent val="0"/>
          <c:showBubbleSize val="0"/>
        </c:dLbls>
        <c:gapWidth val="119"/>
        <c:overlap val="100"/>
        <c:axId val="119258112"/>
        <c:axId val="119264000"/>
      </c:barChart>
      <c:catAx>
        <c:axId val="1192581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64000"/>
        <c:crosses val="autoZero"/>
        <c:auto val="1"/>
        <c:lblAlgn val="ctr"/>
        <c:lblOffset val="100"/>
        <c:noMultiLvlLbl val="0"/>
      </c:catAx>
      <c:valAx>
        <c:axId val="119264000"/>
        <c:scaling>
          <c:orientation val="minMax"/>
          <c:max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NZ" sz="1200" baseline="0"/>
                  <a:t>Low User Residential  Network Tariff (c/kWh)</a:t>
                </a:r>
                <a:endParaRPr lang="en-NZ" sz="1200"/>
              </a:p>
            </c:rich>
          </c:tx>
          <c:layout>
            <c:manualLayout>
              <c:xMode val="edge"/>
              <c:yMode val="edge"/>
              <c:x val="1.3069396118428021E-2"/>
              <c:y val="8.4068891080719993E-2"/>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9258112"/>
        <c:crosses val="autoZero"/>
        <c:crossBetween val="between"/>
      </c:valAx>
      <c:spPr>
        <a:noFill/>
        <a:ln>
          <a:noFill/>
        </a:ln>
        <a:effectLst/>
      </c:spPr>
    </c:plotArea>
    <c:legend>
      <c:legendPos val="t"/>
      <c:layout>
        <c:manualLayout>
          <c:xMode val="edge"/>
          <c:yMode val="edge"/>
          <c:x val="0.2415880383756927"/>
          <c:y val="8.4753491059431391E-2"/>
          <c:w val="0.5506926722161436"/>
          <c:h val="4.555771177053168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NZ" sz="1600" b="0" i="0" baseline="0">
                <a:effectLst/>
              </a:rPr>
              <a:t>TPM Proposal Compared to Network Cost (Comcom) </a:t>
            </a:r>
            <a:endParaRPr lang="en-NZ" sz="1200">
              <a:effectLst/>
            </a:endParaRPr>
          </a:p>
        </c:rich>
      </c:tx>
      <c:layout>
        <c:manualLayout>
          <c:xMode val="edge"/>
          <c:yMode val="edge"/>
          <c:x val="0.25849144799272838"/>
          <c:y val="8.6054447581336881E-3"/>
        </c:manualLayout>
      </c:layout>
      <c:overlay val="0"/>
      <c:spPr>
        <a:noFill/>
        <a:ln>
          <a:noFill/>
        </a:ln>
        <a:effectLst/>
      </c:spPr>
    </c:title>
    <c:autoTitleDeleted val="0"/>
    <c:plotArea>
      <c:layout>
        <c:manualLayout>
          <c:layoutTarget val="inner"/>
          <c:xMode val="edge"/>
          <c:yMode val="edge"/>
          <c:x val="0.11154387285050474"/>
          <c:y val="0.14707312286898719"/>
          <c:w val="0.86775511430881336"/>
          <c:h val="0.56128510805308218"/>
        </c:manualLayout>
      </c:layout>
      <c:barChart>
        <c:barDir val="col"/>
        <c:grouping val="stacked"/>
        <c:varyColors val="0"/>
        <c:ser>
          <c:idx val="1"/>
          <c:order val="0"/>
          <c:tx>
            <c:strRef>
              <c:f>Deltas!$Z$33</c:f>
              <c:strCache>
                <c:ptCount val="1"/>
                <c:pt idx="0">
                  <c:v>TPM Proposal</c:v>
                </c:pt>
              </c:strCache>
            </c:strRef>
          </c:tx>
          <c:spPr>
            <a:solidFill>
              <a:srgbClr val="C00000">
                <a:alpha val="61000"/>
              </a:srgbClr>
            </a:solidFill>
            <a:ln w="22225">
              <a:solidFill>
                <a:srgbClr val="C00000">
                  <a:alpha val="53000"/>
                </a:srgbClr>
              </a:solidFill>
            </a:ln>
            <a:effectLst/>
          </c:spPr>
          <c:invertIfNegative val="0"/>
          <c:cat>
            <c:strRef>
              <c:f>Deltas!$U$34:$U$62</c:f>
              <c:strCache>
                <c:ptCount val="29"/>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c:v>
                </c:pt>
                <c:pt idx="27">
                  <c:v>Wellington Electricity</c:v>
                </c:pt>
                <c:pt idx="28">
                  <c:v>Westpower</c:v>
                </c:pt>
              </c:strCache>
            </c:strRef>
          </c:cat>
          <c:val>
            <c:numRef>
              <c:f>Deltas!$Z$34:$Z$62</c:f>
              <c:numCache>
                <c:formatCode>General</c:formatCode>
                <c:ptCount val="29"/>
                <c:pt idx="0">
                  <c:v>1.2503869675834416</c:v>
                </c:pt>
                <c:pt idx="1">
                  <c:v>1.4297802800940544</c:v>
                </c:pt>
                <c:pt idx="2">
                  <c:v>1.6752481616071899</c:v>
                </c:pt>
                <c:pt idx="3">
                  <c:v>1.3985627090063</c:v>
                </c:pt>
                <c:pt idx="4">
                  <c:v>2.2035015877098698</c:v>
                </c:pt>
                <c:pt idx="5">
                  <c:v>1.3760954731542072</c:v>
                </c:pt>
                <c:pt idx="6">
                  <c:v>1.6894646429145623</c:v>
                </c:pt>
                <c:pt idx="7">
                  <c:v>1.9203714789533379</c:v>
                </c:pt>
                <c:pt idx="8">
                  <c:v>1.3920780720118637</c:v>
                </c:pt>
                <c:pt idx="9">
                  <c:v>1.3750816937495187</c:v>
                </c:pt>
                <c:pt idx="10">
                  <c:v>1.493513131430356</c:v>
                </c:pt>
                <c:pt idx="11">
                  <c:v>1.510737379418992</c:v>
                </c:pt>
                <c:pt idx="12">
                  <c:v>1.2599034485958804</c:v>
                </c:pt>
                <c:pt idx="13">
                  <c:v>1.4117592003864423</c:v>
                </c:pt>
                <c:pt idx="14">
                  <c:v>1.4716951229569921</c:v>
                </c:pt>
                <c:pt idx="15">
                  <c:v>2.7094973065396495</c:v>
                </c:pt>
                <c:pt idx="16">
                  <c:v>1.4678284616844646</c:v>
                </c:pt>
                <c:pt idx="17">
                  <c:v>1.1112889384313536</c:v>
                </c:pt>
                <c:pt idx="18">
                  <c:v>1.6550368676238418</c:v>
                </c:pt>
                <c:pt idx="19">
                  <c:v>1.4238863313471661</c:v>
                </c:pt>
                <c:pt idx="20">
                  <c:v>1.7798961111696012</c:v>
                </c:pt>
                <c:pt idx="21">
                  <c:v>1.3014451625869663</c:v>
                </c:pt>
                <c:pt idx="22">
                  <c:v>2.6323624469272957</c:v>
                </c:pt>
                <c:pt idx="23">
                  <c:v>1.5210456209164154</c:v>
                </c:pt>
                <c:pt idx="24">
                  <c:v>3.0527988219335276</c:v>
                </c:pt>
                <c:pt idx="25">
                  <c:v>1.5863271349640498</c:v>
                </c:pt>
                <c:pt idx="26">
                  <c:v>1.7780832855539657</c:v>
                </c:pt>
                <c:pt idx="27">
                  <c:v>1.7522951927676982</c:v>
                </c:pt>
                <c:pt idx="28">
                  <c:v>1.6440997249815634</c:v>
                </c:pt>
              </c:numCache>
            </c:numRef>
          </c:val>
          <c:extLst xmlns:c16r2="http://schemas.microsoft.com/office/drawing/2015/06/chart">
            <c:ext xmlns:c16="http://schemas.microsoft.com/office/drawing/2014/chart" uri="{C3380CC4-5D6E-409C-BE32-E72D297353CC}">
              <c16:uniqueId val="{00000000-406D-4717-B481-2C7F5E7CEC1F}"/>
            </c:ext>
          </c:extLst>
        </c:ser>
        <c:ser>
          <c:idx val="0"/>
          <c:order val="1"/>
          <c:tx>
            <c:strRef>
              <c:f>Deltas!$AH$33</c:f>
              <c:strCache>
                <c:ptCount val="1"/>
                <c:pt idx="0">
                  <c:v>Network Lines Cost less transmission (ComCom data)</c:v>
                </c:pt>
              </c:strCache>
            </c:strRef>
          </c:tx>
          <c:spPr>
            <a:noFill/>
            <a:ln>
              <a:solidFill>
                <a:schemeClr val="tx2"/>
              </a:solidFill>
            </a:ln>
            <a:effectLst/>
          </c:spPr>
          <c:invertIfNegative val="0"/>
          <c:cat>
            <c:strRef>
              <c:f>Deltas!$U$34:$U$62</c:f>
              <c:strCache>
                <c:ptCount val="29"/>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c:v>
                </c:pt>
                <c:pt idx="27">
                  <c:v>Wellington Electricity</c:v>
                </c:pt>
                <c:pt idx="28">
                  <c:v>Westpower</c:v>
                </c:pt>
              </c:strCache>
            </c:strRef>
          </c:cat>
          <c:val>
            <c:numRef>
              <c:f>Deltas!$AH$34:$AH$62</c:f>
              <c:numCache>
                <c:formatCode>_-* #,##0.0_-;\-* #,##0.0_-;_-* "-"??_-;_-@_-</c:formatCode>
                <c:ptCount val="29"/>
                <c:pt idx="0">
                  <c:v>5.0187805406511981</c:v>
                </c:pt>
                <c:pt idx="1">
                  <c:v>5.0357134756654451</c:v>
                </c:pt>
                <c:pt idx="2">
                  <c:v>11.919871037825278</c:v>
                </c:pt>
                <c:pt idx="3">
                  <c:v>8.7834352636115067</c:v>
                </c:pt>
                <c:pt idx="4">
                  <c:v>6.3794983153741347</c:v>
                </c:pt>
                <c:pt idx="5">
                  <c:v>4.3257977354853008</c:v>
                </c:pt>
                <c:pt idx="6">
                  <c:v>9.6479906075963235</c:v>
                </c:pt>
                <c:pt idx="7">
                  <c:v>8.1749722527897788</c:v>
                </c:pt>
                <c:pt idx="8">
                  <c:v>5.1731314058592126</c:v>
                </c:pt>
                <c:pt idx="9">
                  <c:v>5.2516235999134979</c:v>
                </c:pt>
                <c:pt idx="11">
                  <c:v>6.4643110991224511</c:v>
                </c:pt>
                <c:pt idx="12">
                  <c:v>7.0116362397358181</c:v>
                </c:pt>
                <c:pt idx="13">
                  <c:v>5.2828962394254511</c:v>
                </c:pt>
                <c:pt idx="14">
                  <c:v>4.6150346982540302</c:v>
                </c:pt>
                <c:pt idx="15">
                  <c:v>4.402937881896305</c:v>
                </c:pt>
                <c:pt idx="16">
                  <c:v>5.4290028450935193</c:v>
                </c:pt>
                <c:pt idx="17">
                  <c:v>7.305016231746718</c:v>
                </c:pt>
                <c:pt idx="18">
                  <c:v>6.0944556682888962</c:v>
                </c:pt>
                <c:pt idx="19">
                  <c:v>8.3093358470951859</c:v>
                </c:pt>
                <c:pt idx="20">
                  <c:v>9.3885691962074151</c:v>
                </c:pt>
                <c:pt idx="21">
                  <c:v>6.2663375182013574</c:v>
                </c:pt>
                <c:pt idx="22">
                  <c:v>9.6182709625819349</c:v>
                </c:pt>
                <c:pt idx="23">
                  <c:v>6.7842549682940776</c:v>
                </c:pt>
                <c:pt idx="24">
                  <c:v>5.0791543912008166</c:v>
                </c:pt>
                <c:pt idx="25">
                  <c:v>4.3793978766786346</c:v>
                </c:pt>
                <c:pt idx="26">
                  <c:v>6.0682217093453055</c:v>
                </c:pt>
                <c:pt idx="27">
                  <c:v>5.2088180903426462</c:v>
                </c:pt>
                <c:pt idx="28">
                  <c:v>6.6037277958755825</c:v>
                </c:pt>
              </c:numCache>
            </c:numRef>
          </c:val>
          <c:extLst xmlns:c16r2="http://schemas.microsoft.com/office/drawing/2015/06/chart">
            <c:ext xmlns:c16="http://schemas.microsoft.com/office/drawing/2014/chart" uri="{C3380CC4-5D6E-409C-BE32-E72D297353CC}">
              <c16:uniqueId val="{00000001-406D-4717-B481-2C7F5E7CEC1F}"/>
            </c:ext>
          </c:extLst>
        </c:ser>
        <c:dLbls>
          <c:showLegendKey val="0"/>
          <c:showVal val="0"/>
          <c:showCatName val="0"/>
          <c:showSerName val="0"/>
          <c:showPercent val="0"/>
          <c:showBubbleSize val="0"/>
        </c:dLbls>
        <c:gapWidth val="119"/>
        <c:overlap val="100"/>
        <c:axId val="119446528"/>
        <c:axId val="119448320"/>
      </c:barChart>
      <c:catAx>
        <c:axId val="1194465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448320"/>
        <c:crosses val="autoZero"/>
        <c:auto val="1"/>
        <c:lblAlgn val="ctr"/>
        <c:lblOffset val="100"/>
        <c:noMultiLvlLbl val="0"/>
      </c:catAx>
      <c:valAx>
        <c:axId val="119448320"/>
        <c:scaling>
          <c:orientation val="minMax"/>
          <c:max val="1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NZ" sz="1200" baseline="0"/>
                  <a:t> Lines Costs  (c/kWh)</a:t>
                </a:r>
                <a:endParaRPr lang="en-NZ" sz="1200"/>
              </a:p>
            </c:rich>
          </c:tx>
          <c:layout>
            <c:manualLayout>
              <c:xMode val="edge"/>
              <c:yMode val="edge"/>
              <c:x val="1.3069396118428021E-2"/>
              <c:y val="8.4068891080719993E-2"/>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9446528"/>
        <c:crosses val="autoZero"/>
        <c:crossBetween val="between"/>
      </c:valAx>
      <c:spPr>
        <a:noFill/>
        <a:ln>
          <a:noFill/>
        </a:ln>
        <a:effectLst/>
      </c:spPr>
    </c:plotArea>
    <c:legend>
      <c:legendPos val="t"/>
      <c:layout>
        <c:manualLayout>
          <c:xMode val="edge"/>
          <c:yMode val="edge"/>
          <c:x val="0.18753930797221866"/>
          <c:y val="0.10129845766626759"/>
          <c:w val="0.68412529130623689"/>
          <c:h val="4.555771177053168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NZ" sz="1600" b="0" i="0" baseline="0">
                <a:effectLst/>
              </a:rPr>
              <a:t>TPM Proposal Compared to Network Cost (Comcom)</a:t>
            </a:r>
            <a:endParaRPr lang="en-NZ" sz="1200">
              <a:effectLst/>
            </a:endParaRPr>
          </a:p>
        </c:rich>
      </c:tx>
      <c:layout>
        <c:manualLayout>
          <c:xMode val="edge"/>
          <c:yMode val="edge"/>
          <c:x val="0.24908346216841479"/>
          <c:y val="6.0744140756189516E-4"/>
        </c:manualLayout>
      </c:layout>
      <c:overlay val="0"/>
      <c:spPr>
        <a:noFill/>
        <a:ln>
          <a:noFill/>
        </a:ln>
        <a:effectLst/>
      </c:spPr>
    </c:title>
    <c:autoTitleDeleted val="0"/>
    <c:plotArea>
      <c:layout>
        <c:manualLayout>
          <c:layoutTarget val="inner"/>
          <c:xMode val="edge"/>
          <c:yMode val="edge"/>
          <c:x val="0.12148539502799061"/>
          <c:y val="0.14707320461638781"/>
          <c:w val="0.85593195725723659"/>
          <c:h val="0.56128510805308218"/>
        </c:manualLayout>
      </c:layout>
      <c:barChart>
        <c:barDir val="col"/>
        <c:grouping val="clustered"/>
        <c:varyColors val="0"/>
        <c:ser>
          <c:idx val="1"/>
          <c:order val="0"/>
          <c:tx>
            <c:strRef>
              <c:f>Deltas!$Z$33</c:f>
              <c:strCache>
                <c:ptCount val="1"/>
                <c:pt idx="0">
                  <c:v>TPM Proposal</c:v>
                </c:pt>
              </c:strCache>
            </c:strRef>
          </c:tx>
          <c:spPr>
            <a:solidFill>
              <a:srgbClr val="C00000">
                <a:alpha val="61000"/>
              </a:srgbClr>
            </a:solidFill>
            <a:ln w="15875">
              <a:solidFill>
                <a:srgbClr val="C00000">
                  <a:alpha val="53000"/>
                </a:srgbClr>
              </a:solidFill>
            </a:ln>
            <a:effectLst/>
          </c:spPr>
          <c:invertIfNegative val="0"/>
          <c:cat>
            <c:strRef>
              <c:f>Deltas!$U$34:$U$62</c:f>
              <c:strCache>
                <c:ptCount val="29"/>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c:v>
                </c:pt>
                <c:pt idx="27">
                  <c:v>Wellington Electricity</c:v>
                </c:pt>
                <c:pt idx="28">
                  <c:v>Westpower</c:v>
                </c:pt>
              </c:strCache>
            </c:strRef>
          </c:cat>
          <c:val>
            <c:numRef>
              <c:f>Deltas!$Z$34:$Z$62</c:f>
              <c:numCache>
                <c:formatCode>General</c:formatCode>
                <c:ptCount val="29"/>
                <c:pt idx="0">
                  <c:v>1.2503869675834416</c:v>
                </c:pt>
                <c:pt idx="1">
                  <c:v>1.4297802800940544</c:v>
                </c:pt>
                <c:pt idx="2">
                  <c:v>1.6752481616071899</c:v>
                </c:pt>
                <c:pt idx="3">
                  <c:v>1.3985627090063</c:v>
                </c:pt>
                <c:pt idx="4">
                  <c:v>2.2035015877098698</c:v>
                </c:pt>
                <c:pt idx="5">
                  <c:v>1.3760954731542072</c:v>
                </c:pt>
                <c:pt idx="6">
                  <c:v>1.6894646429145623</c:v>
                </c:pt>
                <c:pt idx="7">
                  <c:v>1.9203714789533379</c:v>
                </c:pt>
                <c:pt idx="8">
                  <c:v>1.3920780720118637</c:v>
                </c:pt>
                <c:pt idx="9">
                  <c:v>1.3750816937495187</c:v>
                </c:pt>
                <c:pt idx="10">
                  <c:v>1.493513131430356</c:v>
                </c:pt>
                <c:pt idx="11">
                  <c:v>1.510737379418992</c:v>
                </c:pt>
                <c:pt idx="12">
                  <c:v>1.2599034485958804</c:v>
                </c:pt>
                <c:pt idx="13">
                  <c:v>1.4117592003864423</c:v>
                </c:pt>
                <c:pt idx="14">
                  <c:v>1.4716951229569921</c:v>
                </c:pt>
                <c:pt idx="15">
                  <c:v>2.7094973065396495</c:v>
                </c:pt>
                <c:pt idx="16">
                  <c:v>1.4678284616844646</c:v>
                </c:pt>
                <c:pt idx="17">
                  <c:v>1.1112889384313536</c:v>
                </c:pt>
                <c:pt idx="18">
                  <c:v>1.6550368676238418</c:v>
                </c:pt>
                <c:pt idx="19">
                  <c:v>1.4238863313471661</c:v>
                </c:pt>
                <c:pt idx="20">
                  <c:v>1.7798961111696012</c:v>
                </c:pt>
                <c:pt idx="21">
                  <c:v>1.3014451625869663</c:v>
                </c:pt>
                <c:pt idx="22">
                  <c:v>2.6323624469272957</c:v>
                </c:pt>
                <c:pt idx="23">
                  <c:v>1.5210456209164154</c:v>
                </c:pt>
                <c:pt idx="24">
                  <c:v>3.0527988219335276</c:v>
                </c:pt>
                <c:pt idx="25">
                  <c:v>1.5863271349640498</c:v>
                </c:pt>
                <c:pt idx="26">
                  <c:v>1.7780832855539657</c:v>
                </c:pt>
                <c:pt idx="27">
                  <c:v>1.7522951927676982</c:v>
                </c:pt>
                <c:pt idx="28">
                  <c:v>1.6440997249815634</c:v>
                </c:pt>
              </c:numCache>
            </c:numRef>
          </c:val>
          <c:extLst xmlns:c16r2="http://schemas.microsoft.com/office/drawing/2015/06/chart">
            <c:ext xmlns:c16="http://schemas.microsoft.com/office/drawing/2014/chart" uri="{C3380CC4-5D6E-409C-BE32-E72D297353CC}">
              <c16:uniqueId val="{00000000-CA30-4D90-B442-7F7480F290DA}"/>
            </c:ext>
          </c:extLst>
        </c:ser>
        <c:ser>
          <c:idx val="0"/>
          <c:order val="1"/>
          <c:tx>
            <c:strRef>
              <c:f>Deltas!$AG$33</c:f>
              <c:strCache>
                <c:ptCount val="1"/>
                <c:pt idx="0">
                  <c:v>Network Lines Cost (ComCom data)</c:v>
                </c:pt>
              </c:strCache>
            </c:strRef>
          </c:tx>
          <c:spPr>
            <a:noFill/>
            <a:ln>
              <a:solidFill>
                <a:schemeClr val="tx2"/>
              </a:solidFill>
            </a:ln>
            <a:effectLst/>
          </c:spPr>
          <c:invertIfNegative val="0"/>
          <c:cat>
            <c:strRef>
              <c:f>Deltas!$U$34:$U$62</c:f>
              <c:strCache>
                <c:ptCount val="29"/>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c:v>
                </c:pt>
                <c:pt idx="27">
                  <c:v>Wellington Electricity</c:v>
                </c:pt>
                <c:pt idx="28">
                  <c:v>Westpower</c:v>
                </c:pt>
              </c:strCache>
            </c:strRef>
          </c:cat>
          <c:val>
            <c:numRef>
              <c:f>Deltas!$AG$34:$AG$62</c:f>
              <c:numCache>
                <c:formatCode>_(* #,##0.00_);_(* \(#,##0.00\);_(* "-"??_);_(@_)</c:formatCode>
                <c:ptCount val="29"/>
                <c:pt idx="0">
                  <c:v>6.3441687344913156</c:v>
                </c:pt>
                <c:pt idx="1">
                  <c:v>6.6319970304380105</c:v>
                </c:pt>
                <c:pt idx="2">
                  <c:v>13.112068965517242</c:v>
                </c:pt>
                <c:pt idx="3">
                  <c:v>10.593043478260869</c:v>
                </c:pt>
                <c:pt idx="4">
                  <c:v>8.1761904761904756</c:v>
                </c:pt>
                <c:pt idx="5">
                  <c:v>6.0831831831831833</c:v>
                </c:pt>
                <c:pt idx="6">
                  <c:v>11.115666666666666</c:v>
                </c:pt>
                <c:pt idx="7">
                  <c:v>8.7542923433874709</c:v>
                </c:pt>
                <c:pt idx="8">
                  <c:v>7.3183150183150181</c:v>
                </c:pt>
                <c:pt idx="9">
                  <c:v>5.9029684601113175</c:v>
                </c:pt>
                <c:pt idx="11">
                  <c:v>8.1902476780185758</c:v>
                </c:pt>
                <c:pt idx="12">
                  <c:v>8.6969773299748105</c:v>
                </c:pt>
                <c:pt idx="13">
                  <c:v>6.7526315789473683</c:v>
                </c:pt>
                <c:pt idx="14">
                  <c:v>5.8058219178082195</c:v>
                </c:pt>
                <c:pt idx="15">
                  <c:v>6.1198067632850242</c:v>
                </c:pt>
                <c:pt idx="16">
                  <c:v>7.4004585753592176</c:v>
                </c:pt>
                <c:pt idx="17">
                  <c:v>8.240610328638498</c:v>
                </c:pt>
                <c:pt idx="18">
                  <c:v>7.7878472958642631</c:v>
                </c:pt>
                <c:pt idx="19">
                  <c:v>10.125301204819277</c:v>
                </c:pt>
                <c:pt idx="20">
                  <c:v>10.653185595567868</c:v>
                </c:pt>
                <c:pt idx="21">
                  <c:v>7.521352785145889</c:v>
                </c:pt>
                <c:pt idx="22">
                  <c:v>10.815406162464987</c:v>
                </c:pt>
                <c:pt idx="23">
                  <c:v>8.6572999389126455</c:v>
                </c:pt>
                <c:pt idx="24">
                  <c:v>7.2041565918249857</c:v>
                </c:pt>
                <c:pt idx="25">
                  <c:v>6.0904761904761902</c:v>
                </c:pt>
                <c:pt idx="26">
                  <c:v>7.652211690363349</c:v>
                </c:pt>
                <c:pt idx="27">
                  <c:v>7.4504095004095001</c:v>
                </c:pt>
                <c:pt idx="28">
                  <c:v>7.1693661971830984</c:v>
                </c:pt>
              </c:numCache>
            </c:numRef>
          </c:val>
          <c:extLst xmlns:c16r2="http://schemas.microsoft.com/office/drawing/2015/06/chart">
            <c:ext xmlns:c16="http://schemas.microsoft.com/office/drawing/2014/chart" uri="{C3380CC4-5D6E-409C-BE32-E72D297353CC}">
              <c16:uniqueId val="{00000001-CA30-4D90-B442-7F7480F290DA}"/>
            </c:ext>
          </c:extLst>
        </c:ser>
        <c:dLbls>
          <c:showLegendKey val="0"/>
          <c:showVal val="0"/>
          <c:showCatName val="0"/>
          <c:showSerName val="0"/>
          <c:showPercent val="0"/>
          <c:showBubbleSize val="0"/>
        </c:dLbls>
        <c:gapWidth val="119"/>
        <c:axId val="119470336"/>
        <c:axId val="121700352"/>
      </c:barChart>
      <c:catAx>
        <c:axId val="1194703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21700352"/>
        <c:crosses val="autoZero"/>
        <c:auto val="1"/>
        <c:lblAlgn val="ctr"/>
        <c:lblOffset val="100"/>
        <c:noMultiLvlLbl val="0"/>
      </c:catAx>
      <c:valAx>
        <c:axId val="121700352"/>
        <c:scaling>
          <c:orientation val="minMax"/>
          <c:max val="1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NZ" sz="1200" b="0" i="0" u="none" strike="noStrike" baseline="0">
                    <a:effectLst/>
                  </a:rPr>
                  <a:t>Lines Costs  (c/kWh)</a:t>
                </a:r>
                <a:endParaRPr lang="en-NZ" sz="1200"/>
              </a:p>
            </c:rich>
          </c:tx>
          <c:layout>
            <c:manualLayout>
              <c:xMode val="edge"/>
              <c:yMode val="edge"/>
              <c:x val="1.1387882450996423E-2"/>
              <c:y val="0.33309483470376178"/>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9470336"/>
        <c:crosses val="autoZero"/>
        <c:crossBetween val="between"/>
      </c:valAx>
      <c:spPr>
        <a:noFill/>
        <a:ln>
          <a:noFill/>
        </a:ln>
        <a:effectLst/>
      </c:spPr>
    </c:plotArea>
    <c:legend>
      <c:legendPos val="t"/>
      <c:layout>
        <c:manualLayout>
          <c:xMode val="edge"/>
          <c:yMode val="edge"/>
          <c:x val="0.25916124756959869"/>
          <c:y val="9.0152899176825105E-2"/>
          <c:w val="0.52992433896725244"/>
          <c:h val="4.9518364881208914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2616996295558"/>
          <c:y val="3.6926589850027607E-2"/>
          <c:w val="0.69465367014996771"/>
          <c:h val="0.82645148079894259"/>
        </c:manualLayout>
      </c:layout>
      <c:barChart>
        <c:barDir val="col"/>
        <c:grouping val="clustered"/>
        <c:varyColors val="0"/>
        <c:ser>
          <c:idx val="0"/>
          <c:order val="0"/>
          <c:tx>
            <c:strRef>
              <c:f>'[1]Breakdown by option, group'!$C$2</c:f>
              <c:strCache>
                <c:ptCount val="1"/>
                <c:pt idx="0">
                  <c:v>Base Option</c:v>
                </c:pt>
              </c:strCache>
            </c:strRef>
          </c:tx>
          <c:spPr>
            <a:solidFill>
              <a:schemeClr val="accent2"/>
            </a:solidFill>
          </c:spPr>
          <c:invertIfNegative val="0"/>
          <c:cat>
            <c:strRef>
              <c:f>'[1]Breakdown by option, group'!$N$5:$N$11</c:f>
              <c:strCache>
                <c:ptCount val="7"/>
                <c:pt idx="0">
                  <c:v>NI generation</c:v>
                </c:pt>
                <c:pt idx="1">
                  <c:v>SI generation</c:v>
                </c:pt>
                <c:pt idx="2">
                  <c:v>UNI mass-market load</c:v>
                </c:pt>
                <c:pt idx="3">
                  <c:v>LNI mass-market load</c:v>
                </c:pt>
                <c:pt idx="4">
                  <c:v>SI mass-market load</c:v>
                </c:pt>
                <c:pt idx="5">
                  <c:v>NZAS</c:v>
                </c:pt>
                <c:pt idx="6">
                  <c:v>Other major industrials</c:v>
                </c:pt>
              </c:strCache>
            </c:strRef>
          </c:cat>
          <c:val>
            <c:numRef>
              <c:f>'[1]Breakdown by option, group'!$O$5:$O$11</c:f>
              <c:numCache>
                <c:formatCode>General</c:formatCode>
                <c:ptCount val="7"/>
                <c:pt idx="0">
                  <c:v>1.4867624442918272</c:v>
                </c:pt>
                <c:pt idx="1">
                  <c:v>6.4211898979955535</c:v>
                </c:pt>
                <c:pt idx="2">
                  <c:v>35.581075990861578</c:v>
                </c:pt>
                <c:pt idx="3">
                  <c:v>20.990733855822302</c:v>
                </c:pt>
                <c:pt idx="4">
                  <c:v>17.319574612714437</c:v>
                </c:pt>
                <c:pt idx="5">
                  <c:v>1.6153724872909663</c:v>
                </c:pt>
                <c:pt idx="6">
                  <c:v>3.5244709668960494</c:v>
                </c:pt>
              </c:numCache>
            </c:numRef>
          </c:val>
          <c:extLst xmlns:c16r2="http://schemas.microsoft.com/office/drawing/2015/06/chart">
            <c:ext xmlns:c16="http://schemas.microsoft.com/office/drawing/2014/chart" uri="{C3380CC4-5D6E-409C-BE32-E72D297353CC}">
              <c16:uniqueId val="{00000000-DEE1-4223-9F45-1D924C750C02}"/>
            </c:ext>
          </c:extLst>
        </c:ser>
        <c:ser>
          <c:idx val="1"/>
          <c:order val="1"/>
          <c:tx>
            <c:strRef>
              <c:f>'[1]Breakdown by option, group'!$D$2</c:f>
              <c:strCache>
                <c:ptCount val="1"/>
                <c:pt idx="0">
                  <c:v>Base Option + LRMC</c:v>
                </c:pt>
              </c:strCache>
            </c:strRef>
          </c:tx>
          <c:spPr>
            <a:solidFill>
              <a:schemeClr val="accent6"/>
            </a:solidFill>
          </c:spPr>
          <c:invertIfNegative val="0"/>
          <c:cat>
            <c:strRef>
              <c:f>'[1]Breakdown by option, group'!$N$5:$N$11</c:f>
              <c:strCache>
                <c:ptCount val="7"/>
                <c:pt idx="0">
                  <c:v>NI generation</c:v>
                </c:pt>
                <c:pt idx="1">
                  <c:v>SI generation</c:v>
                </c:pt>
                <c:pt idx="2">
                  <c:v>UNI mass-market load</c:v>
                </c:pt>
                <c:pt idx="3">
                  <c:v>LNI mass-market load</c:v>
                </c:pt>
                <c:pt idx="4">
                  <c:v>SI mass-market load</c:v>
                </c:pt>
                <c:pt idx="5">
                  <c:v>NZAS</c:v>
                </c:pt>
                <c:pt idx="6">
                  <c:v>Other major industrials</c:v>
                </c:pt>
              </c:strCache>
            </c:strRef>
          </c:cat>
          <c:val>
            <c:numRef>
              <c:f>'[1]Breakdown by option, group'!$P$5:$P$11</c:f>
              <c:numCache>
                <c:formatCode>General</c:formatCode>
                <c:ptCount val="7"/>
                <c:pt idx="0">
                  <c:v>1.4596890377531702</c:v>
                </c:pt>
                <c:pt idx="1">
                  <c:v>6.6813770162719912</c:v>
                </c:pt>
                <c:pt idx="2">
                  <c:v>35.409207018775625</c:v>
                </c:pt>
                <c:pt idx="3">
                  <c:v>20.71318975089843</c:v>
                </c:pt>
                <c:pt idx="4">
                  <c:v>17.447201099884687</c:v>
                </c:pt>
                <c:pt idx="5">
                  <c:v>1.6589507897923672</c:v>
                </c:pt>
                <c:pt idx="6">
                  <c:v>3.5292397933129735</c:v>
                </c:pt>
              </c:numCache>
            </c:numRef>
          </c:val>
          <c:extLst xmlns:c16r2="http://schemas.microsoft.com/office/drawing/2015/06/chart">
            <c:ext xmlns:c16="http://schemas.microsoft.com/office/drawing/2014/chart" uri="{C3380CC4-5D6E-409C-BE32-E72D297353CC}">
              <c16:uniqueId val="{00000001-DEE1-4223-9F45-1D924C750C02}"/>
            </c:ext>
          </c:extLst>
        </c:ser>
        <c:ser>
          <c:idx val="2"/>
          <c:order val="2"/>
          <c:tx>
            <c:strRef>
              <c:f>'[1]Breakdown by option, group'!$E$2</c:f>
              <c:strCache>
                <c:ptCount val="1"/>
                <c:pt idx="0">
                  <c:v>Base Option + SPD</c:v>
                </c:pt>
              </c:strCache>
            </c:strRef>
          </c:tx>
          <c:invertIfNegative val="0"/>
          <c:cat>
            <c:strRef>
              <c:f>'[1]Breakdown by option, group'!$N$5:$N$11</c:f>
              <c:strCache>
                <c:ptCount val="7"/>
                <c:pt idx="0">
                  <c:v>NI generation</c:v>
                </c:pt>
                <c:pt idx="1">
                  <c:v>SI generation</c:v>
                </c:pt>
                <c:pt idx="2">
                  <c:v>UNI mass-market load</c:v>
                </c:pt>
                <c:pt idx="3">
                  <c:v>LNI mass-market load</c:v>
                </c:pt>
                <c:pt idx="4">
                  <c:v>SI mass-market load</c:v>
                </c:pt>
                <c:pt idx="5">
                  <c:v>NZAS</c:v>
                </c:pt>
                <c:pt idx="6">
                  <c:v>Other major industrials</c:v>
                </c:pt>
              </c:strCache>
            </c:strRef>
          </c:cat>
          <c:val>
            <c:numRef>
              <c:f>'[1]Breakdown by option, group'!$Q$5:$Q$11</c:f>
              <c:numCache>
                <c:formatCode>General</c:formatCode>
                <c:ptCount val="7"/>
                <c:pt idx="0">
                  <c:v>1.3536337802195397</c:v>
                </c:pt>
                <c:pt idx="1">
                  <c:v>5.5355198473842187</c:v>
                </c:pt>
                <c:pt idx="2">
                  <c:v>36.449535747093762</c:v>
                </c:pt>
                <c:pt idx="3">
                  <c:v>21.539162476952434</c:v>
                </c:pt>
                <c:pt idx="4">
                  <c:v>17.078540984326377</c:v>
                </c:pt>
                <c:pt idx="5">
                  <c:v>2.4247813749475338</c:v>
                </c:pt>
                <c:pt idx="6">
                  <c:v>4.0417349179909055</c:v>
                </c:pt>
              </c:numCache>
            </c:numRef>
          </c:val>
          <c:extLst xmlns:c16r2="http://schemas.microsoft.com/office/drawing/2015/06/chart">
            <c:ext xmlns:c16="http://schemas.microsoft.com/office/drawing/2014/chart" uri="{C3380CC4-5D6E-409C-BE32-E72D297353CC}">
              <c16:uniqueId val="{00000002-DEE1-4223-9F45-1D924C750C02}"/>
            </c:ext>
          </c:extLst>
        </c:ser>
        <c:ser>
          <c:idx val="3"/>
          <c:order val="3"/>
          <c:tx>
            <c:strRef>
              <c:f>'[1]Breakdown by option, group'!$F$2</c:f>
              <c:strCache>
                <c:ptCount val="1"/>
                <c:pt idx="0">
                  <c:v>Status quo</c:v>
                </c:pt>
              </c:strCache>
            </c:strRef>
          </c:tx>
          <c:invertIfNegative val="0"/>
          <c:cat>
            <c:strRef>
              <c:f>'[1]Breakdown by option, group'!$N$5:$N$11</c:f>
              <c:strCache>
                <c:ptCount val="7"/>
                <c:pt idx="0">
                  <c:v>NI generation</c:v>
                </c:pt>
                <c:pt idx="1">
                  <c:v>SI generation</c:v>
                </c:pt>
                <c:pt idx="2">
                  <c:v>UNI mass-market load</c:v>
                </c:pt>
                <c:pt idx="3">
                  <c:v>LNI mass-market load</c:v>
                </c:pt>
                <c:pt idx="4">
                  <c:v>SI mass-market load</c:v>
                </c:pt>
                <c:pt idx="5">
                  <c:v>NZAS</c:v>
                </c:pt>
                <c:pt idx="6">
                  <c:v>Other major industrials</c:v>
                </c:pt>
              </c:strCache>
            </c:strRef>
          </c:cat>
          <c:val>
            <c:numRef>
              <c:f>'[1]Breakdown by option, group'!$R$5:$R$11</c:f>
              <c:numCache>
                <c:formatCode>General</c:formatCode>
                <c:ptCount val="7"/>
                <c:pt idx="0">
                  <c:v>0.54667397794728156</c:v>
                </c:pt>
                <c:pt idx="1">
                  <c:v>9.2683275152709985</c:v>
                </c:pt>
                <c:pt idx="2">
                  <c:v>21.920010220372074</c:v>
                </c:pt>
                <c:pt idx="3">
                  <c:v>22.26457861742071</c:v>
                </c:pt>
                <c:pt idx="4">
                  <c:v>20.158782018170509</c:v>
                </c:pt>
                <c:pt idx="5">
                  <c:v>12.688014486705322</c:v>
                </c:pt>
                <c:pt idx="6">
                  <c:v>7.5849980492021594</c:v>
                </c:pt>
              </c:numCache>
            </c:numRef>
          </c:val>
          <c:extLst xmlns:c16r2="http://schemas.microsoft.com/office/drawing/2015/06/chart">
            <c:ext xmlns:c16="http://schemas.microsoft.com/office/drawing/2014/chart" uri="{C3380CC4-5D6E-409C-BE32-E72D297353CC}">
              <c16:uniqueId val="{00000003-DEE1-4223-9F45-1D924C750C02}"/>
            </c:ext>
          </c:extLst>
        </c:ser>
        <c:dLbls>
          <c:showLegendKey val="0"/>
          <c:showVal val="0"/>
          <c:showCatName val="0"/>
          <c:showSerName val="0"/>
          <c:showPercent val="0"/>
          <c:showBubbleSize val="0"/>
        </c:dLbls>
        <c:gapWidth val="150"/>
        <c:axId val="121856000"/>
        <c:axId val="121857536"/>
      </c:barChart>
      <c:catAx>
        <c:axId val="121856000"/>
        <c:scaling>
          <c:orientation val="minMax"/>
        </c:scaling>
        <c:delete val="0"/>
        <c:axPos val="b"/>
        <c:numFmt formatCode="General" sourceLinked="0"/>
        <c:majorTickMark val="out"/>
        <c:minorTickMark val="none"/>
        <c:tickLblPos val="nextTo"/>
        <c:txPr>
          <a:bodyPr rot="0" vert="horz"/>
          <a:lstStyle/>
          <a:p>
            <a:pPr>
              <a:defRPr/>
            </a:pPr>
            <a:endParaRPr lang="en-US"/>
          </a:p>
        </c:txPr>
        <c:crossAx val="121857536"/>
        <c:crosses val="autoZero"/>
        <c:auto val="1"/>
        <c:lblAlgn val="ctr"/>
        <c:lblOffset val="100"/>
        <c:noMultiLvlLbl val="0"/>
      </c:catAx>
      <c:valAx>
        <c:axId val="121857536"/>
        <c:scaling>
          <c:orientation val="minMax"/>
        </c:scaling>
        <c:delete val="0"/>
        <c:axPos val="l"/>
        <c:majorGridlines/>
        <c:title>
          <c:tx>
            <c:rich>
              <a:bodyPr rot="-5400000" vert="horz"/>
              <a:lstStyle/>
              <a:p>
                <a:pPr>
                  <a:defRPr/>
                </a:pPr>
                <a:r>
                  <a:rPr lang="en-NZ" baseline="0"/>
                  <a:t>Revenue in fully variabilised terms ($/MWh)</a:t>
                </a:r>
                <a:endParaRPr lang="en-NZ"/>
              </a:p>
            </c:rich>
          </c:tx>
          <c:layout>
            <c:manualLayout>
              <c:xMode val="edge"/>
              <c:yMode val="edge"/>
              <c:x val="1.4119172603424572E-2"/>
              <c:y val="0.14335945595453051"/>
            </c:manualLayout>
          </c:layout>
          <c:overlay val="0"/>
        </c:title>
        <c:numFmt formatCode="0" sourceLinked="0"/>
        <c:majorTickMark val="out"/>
        <c:minorTickMark val="none"/>
        <c:tickLblPos val="nextTo"/>
        <c:crossAx val="121856000"/>
        <c:crosses val="autoZero"/>
        <c:crossBetween val="between"/>
      </c:valAx>
    </c:plotArea>
    <c:legend>
      <c:legendPos val="r"/>
      <c:overlay val="0"/>
    </c:legend>
    <c:plotVisOnly val="1"/>
    <c:dispBlanksAs val="gap"/>
    <c:showDLblsOverMax val="0"/>
  </c:chart>
  <c:txPr>
    <a:bodyPr/>
    <a:lstStyle/>
    <a:p>
      <a:pPr>
        <a:defRPr sz="1100"/>
      </a:pPr>
      <a:endParaRPr lang="en-US"/>
    </a:p>
  </c:txPr>
  <c:printSettings>
    <c:headerFooter/>
    <c:pageMargins b="0.75000000000000244" l="0.70000000000000062" r="0.70000000000000062" t="0.75000000000000244"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9717765192226E-2"/>
          <c:y val="3.6926589850027607E-2"/>
          <c:w val="0.70087135042292037"/>
          <c:h val="0.6930786891379398"/>
        </c:manualLayout>
      </c:layout>
      <c:barChart>
        <c:barDir val="col"/>
        <c:grouping val="stacked"/>
        <c:varyColors val="0"/>
        <c:ser>
          <c:idx val="6"/>
          <c:order val="0"/>
          <c:tx>
            <c:strRef>
              <c:f>'$M by option and group'!$B$10</c:f>
              <c:strCache>
                <c:ptCount val="1"/>
                <c:pt idx="0">
                  <c:v>Other major industrials</c:v>
                </c:pt>
              </c:strCache>
            </c:strRef>
          </c:tx>
          <c:spPr>
            <a:solidFill>
              <a:schemeClr val="bg1">
                <a:lumMod val="65000"/>
              </a:schemeClr>
            </a:solidFill>
          </c:spPr>
          <c:invertIfNegative val="0"/>
          <c:cat>
            <c:strRef>
              <c:f>'$M by option and group'!$C$11:$G$11</c:f>
              <c:strCache>
                <c:ptCount val="3"/>
                <c:pt idx="0">
                  <c:v>Status quo (Post 2017)</c:v>
                </c:pt>
                <c:pt idx="1">
                  <c:v>1a</c:v>
                </c:pt>
                <c:pt idx="2">
                  <c:v>AoB</c:v>
                </c:pt>
              </c:strCache>
            </c:strRef>
          </c:cat>
          <c:val>
            <c:numRef>
              <c:f>'$M by option and group'!$C$10:$G$10</c:f>
              <c:numCache>
                <c:formatCode>0</c:formatCode>
                <c:ptCount val="3"/>
                <c:pt idx="0">
                  <c:v>22.1280788584695</c:v>
                </c:pt>
                <c:pt idx="1">
                  <c:v>0</c:v>
                </c:pt>
                <c:pt idx="2">
                  <c:v>48.670106665775094</c:v>
                </c:pt>
              </c:numCache>
            </c:numRef>
          </c:val>
          <c:extLst xmlns:c16r2="http://schemas.microsoft.com/office/drawing/2015/06/chart">
            <c:ext xmlns:c16="http://schemas.microsoft.com/office/drawing/2014/chart" uri="{C3380CC4-5D6E-409C-BE32-E72D297353CC}">
              <c16:uniqueId val="{00000000-2C76-4297-AB3D-ADE5EFEDFF2C}"/>
            </c:ext>
          </c:extLst>
        </c:ser>
        <c:ser>
          <c:idx val="5"/>
          <c:order val="1"/>
          <c:tx>
            <c:strRef>
              <c:f>'$M by option and group'!$B$9</c:f>
              <c:strCache>
                <c:ptCount val="1"/>
                <c:pt idx="0">
                  <c:v>NZAS</c:v>
                </c:pt>
              </c:strCache>
            </c:strRef>
          </c:tx>
          <c:invertIfNegative val="0"/>
          <c:cat>
            <c:strRef>
              <c:f>'$M by option and group'!$C$11:$G$11</c:f>
              <c:strCache>
                <c:ptCount val="3"/>
                <c:pt idx="0">
                  <c:v>Status quo (Post 2017)</c:v>
                </c:pt>
                <c:pt idx="1">
                  <c:v>1a</c:v>
                </c:pt>
                <c:pt idx="2">
                  <c:v>AoB</c:v>
                </c:pt>
              </c:strCache>
            </c:strRef>
          </c:cat>
          <c:val>
            <c:numRef>
              <c:f>'$M by option and group'!$C$9:$G$9</c:f>
              <c:numCache>
                <c:formatCode>0</c:formatCode>
                <c:ptCount val="3"/>
                <c:pt idx="0">
                  <c:v>60.844865743536097</c:v>
                </c:pt>
                <c:pt idx="1">
                  <c:v>0</c:v>
                </c:pt>
                <c:pt idx="2">
                  <c:v>39.975736995246649</c:v>
                </c:pt>
              </c:numCache>
            </c:numRef>
          </c:val>
          <c:extLst xmlns:c16r2="http://schemas.microsoft.com/office/drawing/2015/06/chart">
            <c:ext xmlns:c16="http://schemas.microsoft.com/office/drawing/2014/chart" uri="{C3380CC4-5D6E-409C-BE32-E72D297353CC}">
              <c16:uniqueId val="{00000001-2C76-4297-AB3D-ADE5EFEDFF2C}"/>
            </c:ext>
          </c:extLst>
        </c:ser>
        <c:ser>
          <c:idx val="4"/>
          <c:order val="2"/>
          <c:tx>
            <c:strRef>
              <c:f>'$M by option and group'!$B$8</c:f>
              <c:strCache>
                <c:ptCount val="1"/>
                <c:pt idx="0">
                  <c:v>SI mass-market load</c:v>
                </c:pt>
              </c:strCache>
            </c:strRef>
          </c:tx>
          <c:spPr>
            <a:solidFill>
              <a:schemeClr val="tx2">
                <a:lumMod val="20000"/>
                <a:lumOff val="80000"/>
              </a:schemeClr>
            </a:solidFill>
          </c:spPr>
          <c:invertIfNegative val="0"/>
          <c:cat>
            <c:strRef>
              <c:f>'$M by option and group'!$C$11:$G$11</c:f>
              <c:strCache>
                <c:ptCount val="3"/>
                <c:pt idx="0">
                  <c:v>Status quo (Post 2017)</c:v>
                </c:pt>
                <c:pt idx="1">
                  <c:v>1a</c:v>
                </c:pt>
                <c:pt idx="2">
                  <c:v>AoB</c:v>
                </c:pt>
              </c:strCache>
            </c:strRef>
          </c:cat>
          <c:val>
            <c:numRef>
              <c:f>'$M by option and group'!$C$8:$G$8</c:f>
              <c:numCache>
                <c:formatCode>0</c:formatCode>
                <c:ptCount val="3"/>
                <c:pt idx="0">
                  <c:v>131.49885825683609</c:v>
                </c:pt>
                <c:pt idx="1">
                  <c:v>0</c:v>
                </c:pt>
                <c:pt idx="2">
                  <c:v>141.32450036687484</c:v>
                </c:pt>
              </c:numCache>
            </c:numRef>
          </c:val>
          <c:extLst xmlns:c16r2="http://schemas.microsoft.com/office/drawing/2015/06/chart">
            <c:ext xmlns:c16="http://schemas.microsoft.com/office/drawing/2014/chart" uri="{C3380CC4-5D6E-409C-BE32-E72D297353CC}">
              <c16:uniqueId val="{00000002-2C76-4297-AB3D-ADE5EFEDFF2C}"/>
            </c:ext>
          </c:extLst>
        </c:ser>
        <c:ser>
          <c:idx val="3"/>
          <c:order val="3"/>
          <c:tx>
            <c:strRef>
              <c:f>'$M by option and group'!$B$7</c:f>
              <c:strCache>
                <c:ptCount val="1"/>
                <c:pt idx="0">
                  <c:v>LNI mass-market load</c:v>
                </c:pt>
              </c:strCache>
            </c:strRef>
          </c:tx>
          <c:spPr>
            <a:solidFill>
              <a:schemeClr val="tx2">
                <a:lumMod val="60000"/>
                <a:lumOff val="40000"/>
              </a:schemeClr>
            </a:solidFill>
          </c:spPr>
          <c:invertIfNegative val="0"/>
          <c:cat>
            <c:strRef>
              <c:f>'$M by option and group'!$C$11:$G$11</c:f>
              <c:strCache>
                <c:ptCount val="3"/>
                <c:pt idx="0">
                  <c:v>Status quo (Post 2017)</c:v>
                </c:pt>
                <c:pt idx="1">
                  <c:v>1a</c:v>
                </c:pt>
                <c:pt idx="2">
                  <c:v>AoB</c:v>
                </c:pt>
              </c:strCache>
            </c:strRef>
          </c:cat>
          <c:val>
            <c:numRef>
              <c:f>'$M by option and group'!$C$7:$G$7</c:f>
              <c:numCache>
                <c:formatCode>0</c:formatCode>
                <c:ptCount val="3"/>
                <c:pt idx="0">
                  <c:v>234.29347332811079</c:v>
                </c:pt>
                <c:pt idx="1">
                  <c:v>0</c:v>
                </c:pt>
                <c:pt idx="2">
                  <c:v>194.92430172536098</c:v>
                </c:pt>
              </c:numCache>
            </c:numRef>
          </c:val>
          <c:extLst xmlns:c16r2="http://schemas.microsoft.com/office/drawing/2015/06/chart">
            <c:ext xmlns:c16="http://schemas.microsoft.com/office/drawing/2014/chart" uri="{C3380CC4-5D6E-409C-BE32-E72D297353CC}">
              <c16:uniqueId val="{00000003-2C76-4297-AB3D-ADE5EFEDFF2C}"/>
            </c:ext>
          </c:extLst>
        </c:ser>
        <c:ser>
          <c:idx val="2"/>
          <c:order val="4"/>
          <c:tx>
            <c:strRef>
              <c:f>'$M by option and group'!$B$6</c:f>
              <c:strCache>
                <c:ptCount val="1"/>
                <c:pt idx="0">
                  <c:v>UNI mass-market load</c:v>
                </c:pt>
              </c:strCache>
            </c:strRef>
          </c:tx>
          <c:spPr>
            <a:solidFill>
              <a:schemeClr val="tx2"/>
            </a:solidFill>
          </c:spPr>
          <c:invertIfNegative val="0"/>
          <c:cat>
            <c:strRef>
              <c:f>'$M by option and group'!$C$11:$G$11</c:f>
              <c:strCache>
                <c:ptCount val="3"/>
                <c:pt idx="0">
                  <c:v>Status quo (Post 2017)</c:v>
                </c:pt>
                <c:pt idx="1">
                  <c:v>1a</c:v>
                </c:pt>
                <c:pt idx="2">
                  <c:v>AoB</c:v>
                </c:pt>
              </c:strCache>
            </c:strRef>
          </c:cat>
          <c:val>
            <c:numRef>
              <c:f>'$M by option and group'!$C$6:$G$6</c:f>
              <c:numCache>
                <c:formatCode>0</c:formatCode>
                <c:ptCount val="3"/>
                <c:pt idx="0">
                  <c:v>206.29296569490941</c:v>
                </c:pt>
                <c:pt idx="1">
                  <c:v>0</c:v>
                </c:pt>
                <c:pt idx="2">
                  <c:v>299.33759905364684</c:v>
                </c:pt>
              </c:numCache>
            </c:numRef>
          </c:val>
          <c:extLst xmlns:c16r2="http://schemas.microsoft.com/office/drawing/2015/06/chart">
            <c:ext xmlns:c16="http://schemas.microsoft.com/office/drawing/2014/chart" uri="{C3380CC4-5D6E-409C-BE32-E72D297353CC}">
              <c16:uniqueId val="{00000004-2C76-4297-AB3D-ADE5EFEDFF2C}"/>
            </c:ext>
          </c:extLst>
        </c:ser>
        <c:ser>
          <c:idx val="1"/>
          <c:order val="5"/>
          <c:tx>
            <c:strRef>
              <c:f>'$M by option and group'!$B$5</c:f>
              <c:strCache>
                <c:ptCount val="1"/>
                <c:pt idx="0">
                  <c:v>SI Generation</c:v>
                </c:pt>
              </c:strCache>
            </c:strRef>
          </c:tx>
          <c:spPr>
            <a:solidFill>
              <a:schemeClr val="accent3"/>
            </a:solidFill>
          </c:spPr>
          <c:invertIfNegative val="0"/>
          <c:cat>
            <c:strRef>
              <c:f>'$M by option and group'!$C$11:$G$11</c:f>
              <c:strCache>
                <c:ptCount val="3"/>
                <c:pt idx="0">
                  <c:v>Status quo (Post 2017)</c:v>
                </c:pt>
                <c:pt idx="1">
                  <c:v>1a</c:v>
                </c:pt>
                <c:pt idx="2">
                  <c:v>AoB</c:v>
                </c:pt>
              </c:strCache>
            </c:strRef>
          </c:cat>
          <c:val>
            <c:numRef>
              <c:f>'$M by option and group'!$C$5:$G$5</c:f>
              <c:numCache>
                <c:formatCode>0</c:formatCode>
                <c:ptCount val="3"/>
                <c:pt idx="0">
                  <c:v>139.99999999999989</c:v>
                </c:pt>
                <c:pt idx="1">
                  <c:v>0</c:v>
                </c:pt>
                <c:pt idx="2">
                  <c:v>57.882919375877897</c:v>
                </c:pt>
              </c:numCache>
            </c:numRef>
          </c:val>
          <c:extLst xmlns:c16r2="http://schemas.microsoft.com/office/drawing/2015/06/chart">
            <c:ext xmlns:c16="http://schemas.microsoft.com/office/drawing/2014/chart" uri="{C3380CC4-5D6E-409C-BE32-E72D297353CC}">
              <c16:uniqueId val="{00000005-2C76-4297-AB3D-ADE5EFEDFF2C}"/>
            </c:ext>
          </c:extLst>
        </c:ser>
        <c:ser>
          <c:idx val="0"/>
          <c:order val="6"/>
          <c:tx>
            <c:strRef>
              <c:f>'$M by option and group'!$B$3</c:f>
              <c:strCache>
                <c:ptCount val="1"/>
              </c:strCache>
            </c:strRef>
          </c:tx>
          <c:spPr>
            <a:solidFill>
              <a:schemeClr val="accent2"/>
            </a:solidFill>
          </c:spPr>
          <c:invertIfNegative val="0"/>
          <c:cat>
            <c:strRef>
              <c:f>'$M by option and group'!$C$11:$G$11</c:f>
              <c:strCache>
                <c:ptCount val="3"/>
                <c:pt idx="0">
                  <c:v>Status quo (Post 2017)</c:v>
                </c:pt>
                <c:pt idx="1">
                  <c:v>1a</c:v>
                </c:pt>
                <c:pt idx="2">
                  <c:v>AoB</c:v>
                </c:pt>
              </c:strCache>
            </c:strRef>
          </c:cat>
          <c:val>
            <c:numRef>
              <c:f>'$M by option and group'!$C$3:$G$3</c:f>
              <c:numCache>
                <c:formatCode>0</c:formatCode>
                <c:ptCount val="3"/>
                <c:pt idx="0">
                  <c:v>0</c:v>
                </c:pt>
                <c:pt idx="2">
                  <c:v>0</c:v>
                </c:pt>
              </c:numCache>
            </c:numRef>
          </c:val>
          <c:extLst xmlns:c16r2="http://schemas.microsoft.com/office/drawing/2015/06/chart">
            <c:ext xmlns:c16="http://schemas.microsoft.com/office/drawing/2014/chart" uri="{C3380CC4-5D6E-409C-BE32-E72D297353CC}">
              <c16:uniqueId val="{00000006-2C76-4297-AB3D-ADE5EFEDFF2C}"/>
            </c:ext>
          </c:extLst>
        </c:ser>
        <c:dLbls>
          <c:showLegendKey val="0"/>
          <c:showVal val="0"/>
          <c:showCatName val="0"/>
          <c:showSerName val="0"/>
          <c:showPercent val="0"/>
          <c:showBubbleSize val="0"/>
        </c:dLbls>
        <c:gapWidth val="150"/>
        <c:overlap val="100"/>
        <c:axId val="121894016"/>
        <c:axId val="121895552"/>
      </c:barChart>
      <c:catAx>
        <c:axId val="121894016"/>
        <c:scaling>
          <c:orientation val="minMax"/>
        </c:scaling>
        <c:delete val="0"/>
        <c:axPos val="b"/>
        <c:numFmt formatCode="General" sourceLinked="0"/>
        <c:majorTickMark val="out"/>
        <c:minorTickMark val="none"/>
        <c:tickLblPos val="nextTo"/>
        <c:txPr>
          <a:bodyPr rot="0" vert="horz"/>
          <a:lstStyle/>
          <a:p>
            <a:pPr>
              <a:defRPr/>
            </a:pPr>
            <a:endParaRPr lang="en-US"/>
          </a:p>
        </c:txPr>
        <c:crossAx val="121895552"/>
        <c:crosses val="autoZero"/>
        <c:auto val="1"/>
        <c:lblAlgn val="ctr"/>
        <c:lblOffset val="100"/>
        <c:noMultiLvlLbl val="0"/>
      </c:catAx>
      <c:valAx>
        <c:axId val="121895552"/>
        <c:scaling>
          <c:orientation val="minMax"/>
          <c:max val="820"/>
          <c:min val="0"/>
        </c:scaling>
        <c:delete val="0"/>
        <c:axPos val="l"/>
        <c:majorGridlines/>
        <c:title>
          <c:tx>
            <c:rich>
              <a:bodyPr rot="-5400000" vert="horz"/>
              <a:lstStyle/>
              <a:p>
                <a:pPr>
                  <a:defRPr/>
                </a:pPr>
                <a:r>
                  <a:rPr lang="en-NZ"/>
                  <a:t>Revenue</a:t>
                </a:r>
                <a:r>
                  <a:rPr lang="en-NZ" baseline="0"/>
                  <a:t> ($M per year)</a:t>
                </a:r>
                <a:endParaRPr lang="en-NZ"/>
              </a:p>
            </c:rich>
          </c:tx>
          <c:layout>
            <c:manualLayout>
              <c:xMode val="edge"/>
              <c:yMode val="edge"/>
              <c:x val="5.6813856641588752E-3"/>
              <c:y val="0.28835551584420788"/>
            </c:manualLayout>
          </c:layout>
          <c:overlay val="0"/>
        </c:title>
        <c:numFmt formatCode="0" sourceLinked="0"/>
        <c:majorTickMark val="out"/>
        <c:minorTickMark val="none"/>
        <c:tickLblPos val="nextTo"/>
        <c:crossAx val="121894016"/>
        <c:crosses val="autoZero"/>
        <c:crossBetween val="between"/>
        <c:majorUnit val="100"/>
      </c:valAx>
    </c:plotArea>
    <c:legend>
      <c:legendPos val="r"/>
      <c:layout>
        <c:manualLayout>
          <c:xMode val="edge"/>
          <c:yMode val="edge"/>
          <c:x val="0.80709123847418385"/>
          <c:y val="0.17855070491998434"/>
          <c:w val="0.19065996942075519"/>
          <c:h val="0.48564124519896007"/>
        </c:manualLayout>
      </c:layout>
      <c:overlay val="0"/>
    </c:legend>
    <c:plotVisOnly val="1"/>
    <c:dispBlanksAs val="gap"/>
    <c:showDLblsOverMax val="0"/>
  </c:chart>
  <c:txPr>
    <a:bodyPr/>
    <a:lstStyle/>
    <a:p>
      <a:pPr>
        <a:defRPr sz="1100"/>
      </a:pPr>
      <a:endParaRPr lang="en-US"/>
    </a:p>
  </c:txPr>
  <c:printSettings>
    <c:headerFooter/>
    <c:pageMargins b="0.75000000000000244" l="0.70000000000000062" r="0.70000000000000062" t="0.75000000000000244"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solidFill>
                  <a:schemeClr val="tx1">
                    <a:lumMod val="65000"/>
                    <a:lumOff val="35000"/>
                  </a:schemeClr>
                </a:solidFill>
              </a:defRPr>
            </a:pPr>
            <a:r>
              <a:rPr lang="en-US" sz="1800" b="0">
                <a:solidFill>
                  <a:schemeClr val="tx1">
                    <a:lumMod val="65000"/>
                    <a:lumOff val="35000"/>
                  </a:schemeClr>
                </a:solidFill>
              </a:rPr>
              <a:t>Indicative Charges as $m by Customer Group (per year)</a:t>
            </a:r>
          </a:p>
        </c:rich>
      </c:tx>
      <c:layout>
        <c:manualLayout>
          <c:xMode val="edge"/>
          <c:yMode val="edge"/>
          <c:x val="0.30725527119402707"/>
          <c:y val="1.1514104778353483E-2"/>
        </c:manualLayout>
      </c:layout>
      <c:overlay val="0"/>
    </c:title>
    <c:autoTitleDeleted val="0"/>
    <c:plotArea>
      <c:layout>
        <c:manualLayout>
          <c:layoutTarget val="inner"/>
          <c:xMode val="edge"/>
          <c:yMode val="edge"/>
          <c:x val="9.9054129638724078E-2"/>
          <c:y val="0.11291964152149372"/>
          <c:w val="0.82416064793111765"/>
          <c:h val="0.75045834296619662"/>
        </c:manualLayout>
      </c:layout>
      <c:barChart>
        <c:barDir val="col"/>
        <c:grouping val="clustered"/>
        <c:varyColors val="0"/>
        <c:ser>
          <c:idx val="0"/>
          <c:order val="0"/>
          <c:tx>
            <c:strRef>
              <c:f>'$M by option and group'!$C$1:$C$2</c:f>
              <c:strCache>
                <c:ptCount val="1"/>
                <c:pt idx="0">
                  <c:v>Status quo </c:v>
                </c:pt>
              </c:strCache>
            </c:strRef>
          </c:tx>
          <c:spPr>
            <a:solidFill>
              <a:schemeClr val="tx1">
                <a:lumMod val="50000"/>
                <a:lumOff val="50000"/>
                <a:alpha val="56000"/>
              </a:schemeClr>
            </a:solidFill>
          </c:spPr>
          <c:invertIfNegative val="0"/>
          <c:cat>
            <c:strRef>
              <c:f>'$M by option and group'!$B$4:$B$10</c:f>
              <c:strCache>
                <c:ptCount val="7"/>
                <c:pt idx="0">
                  <c:v>NI Generation</c:v>
                </c:pt>
                <c:pt idx="1">
                  <c:v>SI Generation</c:v>
                </c:pt>
                <c:pt idx="2">
                  <c:v>UNI mass-market load</c:v>
                </c:pt>
                <c:pt idx="3">
                  <c:v>LNI mass-market load</c:v>
                </c:pt>
                <c:pt idx="4">
                  <c:v>SI mass-market load</c:v>
                </c:pt>
                <c:pt idx="5">
                  <c:v>NZAS</c:v>
                </c:pt>
                <c:pt idx="6">
                  <c:v>Other major industrials</c:v>
                </c:pt>
              </c:strCache>
            </c:strRef>
          </c:cat>
          <c:val>
            <c:numRef>
              <c:f>'$M by option and group'!$C$4:$C$10</c:f>
              <c:numCache>
                <c:formatCode>0</c:formatCode>
                <c:ptCount val="7"/>
                <c:pt idx="0">
                  <c:v>0</c:v>
                </c:pt>
                <c:pt idx="1">
                  <c:v>139.99999999999989</c:v>
                </c:pt>
                <c:pt idx="2">
                  <c:v>206.29296569490941</c:v>
                </c:pt>
                <c:pt idx="3">
                  <c:v>234.29347332811079</c:v>
                </c:pt>
                <c:pt idx="4">
                  <c:v>131.49885825683609</c:v>
                </c:pt>
                <c:pt idx="5">
                  <c:v>60.844865743536097</c:v>
                </c:pt>
                <c:pt idx="6">
                  <c:v>22.1280788584695</c:v>
                </c:pt>
              </c:numCache>
            </c:numRef>
          </c:val>
          <c:extLst xmlns:c16r2="http://schemas.microsoft.com/office/drawing/2015/06/chart">
            <c:ext xmlns:c16="http://schemas.microsoft.com/office/drawing/2014/chart" uri="{C3380CC4-5D6E-409C-BE32-E72D297353CC}">
              <c16:uniqueId val="{00000000-6337-450D-85DE-FF948C8DB312}"/>
            </c:ext>
          </c:extLst>
        </c:ser>
        <c:ser>
          <c:idx val="1"/>
          <c:order val="1"/>
          <c:tx>
            <c:strRef>
              <c:f>'$M by option and group'!$G$2</c:f>
              <c:strCache>
                <c:ptCount val="1"/>
                <c:pt idx="0">
                  <c:v>Proposal</c:v>
                </c:pt>
              </c:strCache>
            </c:strRef>
          </c:tx>
          <c:spPr>
            <a:solidFill>
              <a:schemeClr val="accent6">
                <a:lumMod val="75000"/>
                <a:alpha val="71000"/>
              </a:schemeClr>
            </a:solidFill>
          </c:spPr>
          <c:invertIfNegative val="0"/>
          <c:cat>
            <c:strRef>
              <c:f>'$M by option and group'!$B$4:$B$10</c:f>
              <c:strCache>
                <c:ptCount val="7"/>
                <c:pt idx="0">
                  <c:v>NI Generation</c:v>
                </c:pt>
                <c:pt idx="1">
                  <c:v>SI Generation</c:v>
                </c:pt>
                <c:pt idx="2">
                  <c:v>UNI mass-market load</c:v>
                </c:pt>
                <c:pt idx="3">
                  <c:v>LNI mass-market load</c:v>
                </c:pt>
                <c:pt idx="4">
                  <c:v>SI mass-market load</c:v>
                </c:pt>
                <c:pt idx="5">
                  <c:v>NZAS</c:v>
                </c:pt>
                <c:pt idx="6">
                  <c:v>Other major industrials</c:v>
                </c:pt>
              </c:strCache>
            </c:strRef>
          </c:cat>
          <c:val>
            <c:numRef>
              <c:f>'$M by option and group'!$G$4:$G$10</c:f>
              <c:numCache>
                <c:formatCode>0</c:formatCode>
                <c:ptCount val="7"/>
                <c:pt idx="0">
                  <c:v>11.774868852904547</c:v>
                </c:pt>
                <c:pt idx="1">
                  <c:v>57.882919375877897</c:v>
                </c:pt>
                <c:pt idx="2">
                  <c:v>299.33759905364684</c:v>
                </c:pt>
                <c:pt idx="3">
                  <c:v>194.92430172536098</c:v>
                </c:pt>
                <c:pt idx="4">
                  <c:v>141.32450036687484</c:v>
                </c:pt>
                <c:pt idx="5">
                  <c:v>39.975736995246649</c:v>
                </c:pt>
                <c:pt idx="6">
                  <c:v>48.670106665775094</c:v>
                </c:pt>
              </c:numCache>
            </c:numRef>
          </c:val>
          <c:extLst xmlns:c16r2="http://schemas.microsoft.com/office/drawing/2015/06/chart">
            <c:ext xmlns:c16="http://schemas.microsoft.com/office/drawing/2014/chart" uri="{C3380CC4-5D6E-409C-BE32-E72D297353CC}">
              <c16:uniqueId val="{00000001-6337-450D-85DE-FF948C8DB312}"/>
            </c:ext>
          </c:extLst>
        </c:ser>
        <c:dLbls>
          <c:showLegendKey val="0"/>
          <c:showVal val="0"/>
          <c:showCatName val="0"/>
          <c:showSerName val="0"/>
          <c:showPercent val="0"/>
          <c:showBubbleSize val="0"/>
        </c:dLbls>
        <c:gapWidth val="150"/>
        <c:axId val="125125376"/>
        <c:axId val="125126912"/>
      </c:barChart>
      <c:catAx>
        <c:axId val="125125376"/>
        <c:scaling>
          <c:orientation val="minMax"/>
        </c:scaling>
        <c:delete val="0"/>
        <c:axPos val="b"/>
        <c:numFmt formatCode="General" sourceLinked="0"/>
        <c:majorTickMark val="out"/>
        <c:minorTickMark val="none"/>
        <c:tickLblPos val="nextTo"/>
        <c:txPr>
          <a:bodyPr rot="0" vert="horz"/>
          <a:lstStyle/>
          <a:p>
            <a:pPr>
              <a:defRPr sz="1400">
                <a:solidFill>
                  <a:schemeClr val="tx1">
                    <a:lumMod val="65000"/>
                    <a:lumOff val="35000"/>
                  </a:schemeClr>
                </a:solidFill>
              </a:defRPr>
            </a:pPr>
            <a:endParaRPr lang="en-US"/>
          </a:p>
        </c:txPr>
        <c:crossAx val="125126912"/>
        <c:crosses val="autoZero"/>
        <c:auto val="1"/>
        <c:lblAlgn val="ctr"/>
        <c:lblOffset val="100"/>
        <c:noMultiLvlLbl val="0"/>
      </c:catAx>
      <c:valAx>
        <c:axId val="125126912"/>
        <c:scaling>
          <c:orientation val="minMax"/>
          <c:min val="0"/>
        </c:scaling>
        <c:delete val="0"/>
        <c:axPos val="l"/>
        <c:majorGridlines>
          <c:spPr>
            <a:ln>
              <a:solidFill>
                <a:schemeClr val="accent1">
                  <a:alpha val="33000"/>
                </a:schemeClr>
              </a:solidFill>
            </a:ln>
          </c:spPr>
        </c:majorGridlines>
        <c:title>
          <c:tx>
            <c:rich>
              <a:bodyPr rot="-5400000" vert="horz"/>
              <a:lstStyle/>
              <a:p>
                <a:pPr>
                  <a:defRPr sz="1600">
                    <a:solidFill>
                      <a:schemeClr val="tx1">
                        <a:lumMod val="65000"/>
                        <a:lumOff val="35000"/>
                      </a:schemeClr>
                    </a:solidFill>
                  </a:defRPr>
                </a:pPr>
                <a:r>
                  <a:rPr lang="en-NZ" sz="1600" b="0" baseline="0">
                    <a:solidFill>
                      <a:schemeClr val="tx1">
                        <a:lumMod val="65000"/>
                        <a:lumOff val="35000"/>
                      </a:schemeClr>
                    </a:solidFill>
                  </a:rPr>
                  <a:t>Indicative Charges  ($m per year)</a:t>
                </a:r>
                <a:endParaRPr lang="en-NZ" sz="1600" b="0">
                  <a:solidFill>
                    <a:schemeClr val="tx1">
                      <a:lumMod val="65000"/>
                      <a:lumOff val="35000"/>
                    </a:schemeClr>
                  </a:solidFill>
                </a:endParaRPr>
              </a:p>
            </c:rich>
          </c:tx>
          <c:layout>
            <c:manualLayout>
              <c:xMode val="edge"/>
              <c:yMode val="edge"/>
              <c:x val="1.7677205081958094E-2"/>
              <c:y val="0.20775669880643158"/>
            </c:manualLayout>
          </c:layout>
          <c:overlay val="0"/>
        </c:title>
        <c:numFmt formatCode="0" sourceLinked="0"/>
        <c:majorTickMark val="out"/>
        <c:minorTickMark val="none"/>
        <c:tickLblPos val="nextTo"/>
        <c:txPr>
          <a:bodyPr/>
          <a:lstStyle/>
          <a:p>
            <a:pPr>
              <a:defRPr sz="1200">
                <a:solidFill>
                  <a:schemeClr val="tx1">
                    <a:lumMod val="65000"/>
                    <a:lumOff val="35000"/>
                  </a:schemeClr>
                </a:solidFill>
              </a:defRPr>
            </a:pPr>
            <a:endParaRPr lang="en-US"/>
          </a:p>
        </c:txPr>
        <c:crossAx val="125125376"/>
        <c:crosses val="autoZero"/>
        <c:crossBetween val="between"/>
      </c:valAx>
    </c:plotArea>
    <c:legend>
      <c:legendPos val="r"/>
      <c:layout>
        <c:manualLayout>
          <c:xMode val="edge"/>
          <c:yMode val="edge"/>
          <c:x val="0.51872479613105871"/>
          <c:y val="0.11791930153808494"/>
          <c:w val="0.39012826726628907"/>
          <c:h val="0.10785724323319688"/>
        </c:manualLayout>
      </c:layout>
      <c:overlay val="0"/>
      <c:txPr>
        <a:bodyPr/>
        <a:lstStyle/>
        <a:p>
          <a:pPr>
            <a:defRPr sz="1400">
              <a:solidFill>
                <a:schemeClr val="tx1">
                  <a:lumMod val="65000"/>
                  <a:lumOff val="35000"/>
                </a:schemeClr>
              </a:solidFill>
            </a:defRPr>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0244" l="0.70000000000000062" r="0.70000000000000062" t="0.750000000000002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Indicative Net Benefits of Pole 3</a:t>
            </a:r>
          </a:p>
        </c:rich>
      </c:tx>
      <c:overlay val="0"/>
      <c:spPr>
        <a:noFill/>
        <a:ln>
          <a:noFill/>
        </a:ln>
        <a:effectLst/>
      </c:spPr>
    </c:title>
    <c:autoTitleDeleted val="0"/>
    <c:plotArea>
      <c:layout>
        <c:manualLayout>
          <c:layoutTarget val="inner"/>
          <c:xMode val="edge"/>
          <c:yMode val="edge"/>
          <c:x val="7.3850987604651613E-2"/>
          <c:y val="0.12301824212271974"/>
          <c:w val="0.90830635221692169"/>
          <c:h val="0.57667045350674451"/>
        </c:manualLayout>
      </c:layout>
      <c:barChart>
        <c:barDir val="col"/>
        <c:grouping val="clustered"/>
        <c:varyColors val="0"/>
        <c:ser>
          <c:idx val="0"/>
          <c:order val="0"/>
          <c:spPr>
            <a:solidFill>
              <a:schemeClr val="accent1"/>
            </a:solidFill>
            <a:ln>
              <a:noFill/>
            </a:ln>
            <a:effectLst/>
          </c:spPr>
          <c:invertIfNegative val="0"/>
          <c:cat>
            <c:strRef>
              <c:f>'Beneficiary graphs'!$B$5:$B$58</c:f>
              <c:strCache>
                <c:ptCount val="54"/>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1">
                  <c:v>Contact</c:v>
                </c:pt>
                <c:pt idx="32">
                  <c:v>Genesis</c:v>
                </c:pt>
                <c:pt idx="33">
                  <c:v>Meridian</c:v>
                </c:pt>
                <c:pt idx="34">
                  <c:v>Tuaropaki</c:v>
                </c:pt>
                <c:pt idx="35">
                  <c:v>Mercury</c:v>
                </c:pt>
                <c:pt idx="36">
                  <c:v>Nga Awa Purua JV</c:v>
                </c:pt>
                <c:pt idx="37">
                  <c:v>Ngatamariki</c:v>
                </c:pt>
                <c:pt idx="38">
                  <c:v>Pioneer</c:v>
                </c:pt>
                <c:pt idx="39">
                  <c:v>Todd</c:v>
                </c:pt>
                <c:pt idx="40">
                  <c:v>Trustpower</c:v>
                </c:pt>
                <c:pt idx="43">
                  <c:v>Carter Holt Harvey</c:v>
                </c:pt>
                <c:pt idx="44">
                  <c:v>Daiken MDF</c:v>
                </c:pt>
                <c:pt idx="45">
                  <c:v>Kiwirail</c:v>
                </c:pt>
                <c:pt idx="46">
                  <c:v>Methanex</c:v>
                </c:pt>
                <c:pt idx="47">
                  <c:v>Norske Skog</c:v>
                </c:pt>
                <c:pt idx="48">
                  <c:v>NZ Steel</c:v>
                </c:pt>
                <c:pt idx="49">
                  <c:v>NZ Aluminium Smelter</c:v>
                </c:pt>
                <c:pt idx="50">
                  <c:v>Pan Pac</c:v>
                </c:pt>
                <c:pt idx="51">
                  <c:v>Rayonier</c:v>
                </c:pt>
                <c:pt idx="52">
                  <c:v>Refining NZ</c:v>
                </c:pt>
                <c:pt idx="53">
                  <c:v>Winstones</c:v>
                </c:pt>
              </c:strCache>
            </c:strRef>
          </c:cat>
          <c:val>
            <c:numRef>
              <c:f>'Beneficiary graphs'!$G$5:$G$58</c:f>
              <c:numCache>
                <c:formatCode>_-* #,##0.000_-;\-* #,##0.000_-;_-* "-"??_-;_-@_-</c:formatCode>
                <c:ptCount val="54"/>
                <c:pt idx="0">
                  <c:v>0</c:v>
                </c:pt>
                <c:pt idx="1">
                  <c:v>0</c:v>
                </c:pt>
                <c:pt idx="2">
                  <c:v>0</c:v>
                </c:pt>
                <c:pt idx="3">
                  <c:v>1.18416662999999</c:v>
                </c:pt>
                <c:pt idx="4">
                  <c:v>3.7770176400000097</c:v>
                </c:pt>
                <c:pt idx="5">
                  <c:v>2.7979592439999901</c:v>
                </c:pt>
                <c:pt idx="6">
                  <c:v>1.880270455</c:v>
                </c:pt>
                <c:pt idx="7">
                  <c:v>0</c:v>
                </c:pt>
                <c:pt idx="8">
                  <c:v>0</c:v>
                </c:pt>
                <c:pt idx="9">
                  <c:v>4.3346001849999976</c:v>
                </c:pt>
                <c:pt idx="10">
                  <c:v>0</c:v>
                </c:pt>
                <c:pt idx="11">
                  <c:v>0</c:v>
                </c:pt>
                <c:pt idx="12">
                  <c:v>0</c:v>
                </c:pt>
                <c:pt idx="13">
                  <c:v>0</c:v>
                </c:pt>
                <c:pt idx="14">
                  <c:v>0</c:v>
                </c:pt>
                <c:pt idx="15">
                  <c:v>7.6092542086865835</c:v>
                </c:pt>
                <c:pt idx="16">
                  <c:v>0</c:v>
                </c:pt>
                <c:pt idx="17">
                  <c:v>0</c:v>
                </c:pt>
                <c:pt idx="18">
                  <c:v>42.604949260258152</c:v>
                </c:pt>
                <c:pt idx="19">
                  <c:v>0.87788799399999995</c:v>
                </c:pt>
                <c:pt idx="20">
                  <c:v>2.1068045711777921</c:v>
                </c:pt>
                <c:pt idx="21">
                  <c:v>0</c:v>
                </c:pt>
                <c:pt idx="22">
                  <c:v>2.77925784700001</c:v>
                </c:pt>
                <c:pt idx="23">
                  <c:v>16.356615983999973</c:v>
                </c:pt>
                <c:pt idx="24">
                  <c:v>93.574103755184581</c:v>
                </c:pt>
                <c:pt idx="25">
                  <c:v>3.83215648699999</c:v>
                </c:pt>
                <c:pt idx="26">
                  <c:v>12.825305247999982</c:v>
                </c:pt>
                <c:pt idx="27">
                  <c:v>28.470018412999991</c:v>
                </c:pt>
                <c:pt idx="28">
                  <c:v>0</c:v>
                </c:pt>
                <c:pt idx="29">
                  <c:v>0</c:v>
                </c:pt>
                <c:pt idx="30">
                  <c:v>0</c:v>
                </c:pt>
                <c:pt idx="31">
                  <c:v>79.080210274389827</c:v>
                </c:pt>
                <c:pt idx="32">
                  <c:v>17.23456891524949</c:v>
                </c:pt>
                <c:pt idx="33">
                  <c:v>227.21458868799971</c:v>
                </c:pt>
                <c:pt idx="34">
                  <c:v>0</c:v>
                </c:pt>
                <c:pt idx="35">
                  <c:v>2.42802739999999E-2</c:v>
                </c:pt>
                <c:pt idx="36">
                  <c:v>0</c:v>
                </c:pt>
                <c:pt idx="37">
                  <c:v>0</c:v>
                </c:pt>
                <c:pt idx="38">
                  <c:v>0.62501885100000099</c:v>
                </c:pt>
                <c:pt idx="39">
                  <c:v>1.0818189000000001E-2</c:v>
                </c:pt>
                <c:pt idx="40">
                  <c:v>15.107221050999998</c:v>
                </c:pt>
                <c:pt idx="41">
                  <c:v>0</c:v>
                </c:pt>
                <c:pt idx="42">
                  <c:v>0</c:v>
                </c:pt>
                <c:pt idx="43">
                  <c:v>2.6681036649999998</c:v>
                </c:pt>
                <c:pt idx="44">
                  <c:v>0</c:v>
                </c:pt>
                <c:pt idx="45">
                  <c:v>0.2919412930000001</c:v>
                </c:pt>
                <c:pt idx="46">
                  <c:v>0.419059984000001</c:v>
                </c:pt>
                <c:pt idx="47">
                  <c:v>0.62209726400000098</c:v>
                </c:pt>
                <c:pt idx="48">
                  <c:v>5.7791826379999698</c:v>
                </c:pt>
                <c:pt idx="49">
                  <c:v>0</c:v>
                </c:pt>
                <c:pt idx="50">
                  <c:v>4.0145047962117602</c:v>
                </c:pt>
                <c:pt idx="51">
                  <c:v>0</c:v>
                </c:pt>
                <c:pt idx="52">
                  <c:v>2.62662464931344</c:v>
                </c:pt>
                <c:pt idx="53">
                  <c:v>0.45940791599999797</c:v>
                </c:pt>
              </c:numCache>
            </c:numRef>
          </c:val>
          <c:extLst xmlns:c16r2="http://schemas.microsoft.com/office/drawing/2015/06/chart">
            <c:ext xmlns:c16="http://schemas.microsoft.com/office/drawing/2014/chart" uri="{C3380CC4-5D6E-409C-BE32-E72D297353CC}">
              <c16:uniqueId val="{00000000-59B7-4858-A120-41EFEF5225AC}"/>
            </c:ext>
          </c:extLst>
        </c:ser>
        <c:dLbls>
          <c:showLegendKey val="0"/>
          <c:showVal val="0"/>
          <c:showCatName val="0"/>
          <c:showSerName val="0"/>
          <c:showPercent val="0"/>
          <c:showBubbleSize val="0"/>
        </c:dLbls>
        <c:gapWidth val="219"/>
        <c:overlap val="-27"/>
        <c:axId val="98376704"/>
        <c:axId val="116605696"/>
      </c:barChart>
      <c:catAx>
        <c:axId val="9837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605696"/>
        <c:crosses val="autoZero"/>
        <c:auto val="1"/>
        <c:lblAlgn val="ctr"/>
        <c:lblOffset val="100"/>
        <c:noMultiLvlLbl val="0"/>
      </c:catAx>
      <c:valAx>
        <c:axId val="116605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Indicative Net Benefit ($m/year)</a:t>
                </a:r>
              </a:p>
            </c:rich>
          </c:tx>
          <c:layout>
            <c:manualLayout>
              <c:xMode val="edge"/>
              <c:yMode val="edge"/>
              <c:x val="1.2894738522648171E-3"/>
              <c:y val="0.18724879539311318"/>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8376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0">
                <a:solidFill>
                  <a:schemeClr val="tx1">
                    <a:lumMod val="75000"/>
                    <a:lumOff val="25000"/>
                  </a:schemeClr>
                </a:solidFill>
              </a:defRPr>
            </a:pPr>
            <a:r>
              <a:rPr lang="en-US" sz="1600" b="0">
                <a:solidFill>
                  <a:schemeClr val="tx1">
                    <a:lumMod val="75000"/>
                    <a:lumOff val="25000"/>
                  </a:schemeClr>
                </a:solidFill>
              </a:rPr>
              <a:t>Indicative Charges   $/MWh by Customer Group</a:t>
            </a:r>
          </a:p>
        </c:rich>
      </c:tx>
      <c:layout>
        <c:manualLayout>
          <c:xMode val="edge"/>
          <c:yMode val="edge"/>
          <c:x val="0.30859785510243343"/>
          <c:y val="1.9198870441260337E-2"/>
        </c:manualLayout>
      </c:layout>
      <c:overlay val="0"/>
    </c:title>
    <c:autoTitleDeleted val="0"/>
    <c:plotArea>
      <c:layout>
        <c:manualLayout>
          <c:layoutTarget val="inner"/>
          <c:xMode val="edge"/>
          <c:yMode val="edge"/>
          <c:x val="8.7734570543730392E-2"/>
          <c:y val="0.11852184570684159"/>
          <c:w val="0.78924447550873111"/>
          <c:h val="0.74485627113340225"/>
        </c:manualLayout>
      </c:layout>
      <c:barChart>
        <c:barDir val="col"/>
        <c:grouping val="clustered"/>
        <c:varyColors val="0"/>
        <c:ser>
          <c:idx val="0"/>
          <c:order val="0"/>
          <c:tx>
            <c:strRef>
              <c:f>'$ per MWh by option and group'!$C$2</c:f>
              <c:strCache>
                <c:ptCount val="1"/>
                <c:pt idx="0">
                  <c:v>Status quo (Post 2017 TPM)</c:v>
                </c:pt>
              </c:strCache>
            </c:strRef>
          </c:tx>
          <c:spPr>
            <a:solidFill>
              <a:schemeClr val="bg1">
                <a:lumMod val="65000"/>
                <a:alpha val="74000"/>
              </a:schemeClr>
            </a:solidFill>
          </c:spPr>
          <c:invertIfNegative val="0"/>
          <c:cat>
            <c:strRef>
              <c:f>'$ per MWh by option and group'!$B$4:$B$10</c:f>
              <c:strCache>
                <c:ptCount val="7"/>
                <c:pt idx="0">
                  <c:v>NI Generation</c:v>
                </c:pt>
                <c:pt idx="1">
                  <c:v>SI Generation</c:v>
                </c:pt>
                <c:pt idx="2">
                  <c:v>UNI mass-market load</c:v>
                </c:pt>
                <c:pt idx="3">
                  <c:v>LNI mass-market load</c:v>
                </c:pt>
                <c:pt idx="4">
                  <c:v>SI mass-market load</c:v>
                </c:pt>
                <c:pt idx="5">
                  <c:v>NZAS</c:v>
                </c:pt>
                <c:pt idx="6">
                  <c:v>Other major industrials</c:v>
                </c:pt>
              </c:strCache>
            </c:strRef>
          </c:cat>
          <c:val>
            <c:numRef>
              <c:f>'$ per MWh by option and group'!$C$4:$C$10</c:f>
              <c:numCache>
                <c:formatCode>0.0</c:formatCode>
                <c:ptCount val="7"/>
                <c:pt idx="0">
                  <c:v>0</c:v>
                </c:pt>
                <c:pt idx="1">
                  <c:v>7.7871204649387611</c:v>
                </c:pt>
                <c:pt idx="2">
                  <c:v>20.295484385406922</c:v>
                </c:pt>
                <c:pt idx="3">
                  <c:v>20.54415311538013</c:v>
                </c:pt>
                <c:pt idx="4">
                  <c:v>13.998050384119198</c:v>
                </c:pt>
                <c:pt idx="5">
                  <c:v>12.204713431520082</c:v>
                </c:pt>
                <c:pt idx="6">
                  <c:v>5.9073266557331019</c:v>
                </c:pt>
              </c:numCache>
            </c:numRef>
          </c:val>
          <c:extLst xmlns:c16r2="http://schemas.microsoft.com/office/drawing/2015/06/chart">
            <c:ext xmlns:c16="http://schemas.microsoft.com/office/drawing/2014/chart" uri="{C3380CC4-5D6E-409C-BE32-E72D297353CC}">
              <c16:uniqueId val="{00000000-4E58-4B80-92D7-9D0CA839C9C3}"/>
            </c:ext>
          </c:extLst>
        </c:ser>
        <c:ser>
          <c:idx val="4"/>
          <c:order val="1"/>
          <c:tx>
            <c:strRef>
              <c:f>'$ per MWh by option and group'!$G$2</c:f>
              <c:strCache>
                <c:ptCount val="1"/>
                <c:pt idx="0">
                  <c:v>Proposal</c:v>
                </c:pt>
              </c:strCache>
            </c:strRef>
          </c:tx>
          <c:spPr>
            <a:solidFill>
              <a:schemeClr val="accent6">
                <a:lumMod val="75000"/>
                <a:alpha val="72000"/>
              </a:schemeClr>
            </a:solidFill>
          </c:spPr>
          <c:invertIfNegative val="0"/>
          <c:cat>
            <c:strRef>
              <c:f>'$ per MWh by option and group'!$B$4:$B$10</c:f>
              <c:strCache>
                <c:ptCount val="7"/>
                <c:pt idx="0">
                  <c:v>NI Generation</c:v>
                </c:pt>
                <c:pt idx="1">
                  <c:v>SI Generation</c:v>
                </c:pt>
                <c:pt idx="2">
                  <c:v>UNI mass-market load</c:v>
                </c:pt>
                <c:pt idx="3">
                  <c:v>LNI mass-market load</c:v>
                </c:pt>
                <c:pt idx="4">
                  <c:v>SI mass-market load</c:v>
                </c:pt>
                <c:pt idx="5">
                  <c:v>NZAS</c:v>
                </c:pt>
                <c:pt idx="6">
                  <c:v>Other major industrials</c:v>
                </c:pt>
              </c:strCache>
            </c:strRef>
          </c:cat>
          <c:val>
            <c:numRef>
              <c:f>'$ per MWh by option and group'!$G$4:$G$10</c:f>
              <c:numCache>
                <c:formatCode>0.0</c:formatCode>
                <c:ptCount val="7"/>
                <c:pt idx="0">
                  <c:v>0.47876486923956624</c:v>
                </c:pt>
                <c:pt idx="1">
                  <c:v>3.2195804717307106</c:v>
                </c:pt>
                <c:pt idx="2">
                  <c:v>29.449387898873969</c:v>
                </c:pt>
                <c:pt idx="3">
                  <c:v>17.092045474720869</c:v>
                </c:pt>
                <c:pt idx="4">
                  <c:v>15.043989756794291</c:v>
                </c:pt>
                <c:pt idx="5" formatCode="0.00">
                  <c:v>8.0186291526599778</c:v>
                </c:pt>
                <c:pt idx="6">
                  <c:v>12.993004059819782</c:v>
                </c:pt>
              </c:numCache>
            </c:numRef>
          </c:val>
          <c:extLst xmlns:c16r2="http://schemas.microsoft.com/office/drawing/2015/06/chart">
            <c:ext xmlns:c16="http://schemas.microsoft.com/office/drawing/2014/chart" uri="{C3380CC4-5D6E-409C-BE32-E72D297353CC}">
              <c16:uniqueId val="{00000004-4E58-4B80-92D7-9D0CA839C9C3}"/>
            </c:ext>
          </c:extLst>
        </c:ser>
        <c:dLbls>
          <c:showLegendKey val="0"/>
          <c:showVal val="0"/>
          <c:showCatName val="0"/>
          <c:showSerName val="0"/>
          <c:showPercent val="0"/>
          <c:showBubbleSize val="0"/>
        </c:dLbls>
        <c:gapWidth val="150"/>
        <c:axId val="125195008"/>
        <c:axId val="125196544"/>
      </c:barChart>
      <c:catAx>
        <c:axId val="125195008"/>
        <c:scaling>
          <c:orientation val="minMax"/>
        </c:scaling>
        <c:delete val="0"/>
        <c:axPos val="b"/>
        <c:numFmt formatCode="General" sourceLinked="0"/>
        <c:majorTickMark val="out"/>
        <c:minorTickMark val="none"/>
        <c:tickLblPos val="nextTo"/>
        <c:txPr>
          <a:bodyPr rot="0" vert="horz"/>
          <a:lstStyle/>
          <a:p>
            <a:pPr>
              <a:defRPr sz="1400">
                <a:solidFill>
                  <a:schemeClr val="tx1">
                    <a:lumMod val="75000"/>
                    <a:lumOff val="25000"/>
                  </a:schemeClr>
                </a:solidFill>
              </a:defRPr>
            </a:pPr>
            <a:endParaRPr lang="en-US"/>
          </a:p>
        </c:txPr>
        <c:crossAx val="125196544"/>
        <c:crosses val="autoZero"/>
        <c:auto val="1"/>
        <c:lblAlgn val="ctr"/>
        <c:lblOffset val="100"/>
        <c:noMultiLvlLbl val="0"/>
      </c:catAx>
      <c:valAx>
        <c:axId val="125196544"/>
        <c:scaling>
          <c:orientation val="minMax"/>
          <c:max val="35"/>
          <c:min val="0"/>
        </c:scaling>
        <c:delete val="0"/>
        <c:axPos val="l"/>
        <c:majorGridlines>
          <c:spPr>
            <a:ln>
              <a:solidFill>
                <a:schemeClr val="tx1">
                  <a:lumMod val="50000"/>
                  <a:lumOff val="50000"/>
                  <a:alpha val="61000"/>
                </a:schemeClr>
              </a:solidFill>
            </a:ln>
          </c:spPr>
        </c:majorGridlines>
        <c:title>
          <c:tx>
            <c:rich>
              <a:bodyPr rot="-5400000" vert="horz"/>
              <a:lstStyle/>
              <a:p>
                <a:pPr>
                  <a:defRPr sz="1600" b="0">
                    <a:solidFill>
                      <a:schemeClr val="tx1">
                        <a:lumMod val="75000"/>
                        <a:lumOff val="25000"/>
                      </a:schemeClr>
                    </a:solidFill>
                  </a:defRPr>
                </a:pPr>
                <a:r>
                  <a:rPr lang="en-NZ" sz="1600" b="0">
                    <a:solidFill>
                      <a:schemeClr val="tx1">
                        <a:lumMod val="75000"/>
                        <a:lumOff val="25000"/>
                      </a:schemeClr>
                    </a:solidFill>
                  </a:rPr>
                  <a:t>Indicative C</a:t>
                </a:r>
                <a:r>
                  <a:rPr lang="en-NZ" sz="1600" b="0" baseline="0">
                    <a:solidFill>
                      <a:schemeClr val="tx1">
                        <a:lumMod val="75000"/>
                        <a:lumOff val="25000"/>
                      </a:schemeClr>
                    </a:solidFill>
                  </a:rPr>
                  <a:t>harges ($/MWh)</a:t>
                </a:r>
                <a:endParaRPr lang="en-NZ" sz="1600" b="0">
                  <a:solidFill>
                    <a:schemeClr val="tx1">
                      <a:lumMod val="75000"/>
                      <a:lumOff val="25000"/>
                    </a:schemeClr>
                  </a:solidFill>
                </a:endParaRPr>
              </a:p>
            </c:rich>
          </c:tx>
          <c:layout>
            <c:manualLayout>
              <c:xMode val="edge"/>
              <c:yMode val="edge"/>
              <c:x val="6.8218484511396423E-3"/>
              <c:y val="0.25810934966093962"/>
            </c:manualLayout>
          </c:layout>
          <c:overlay val="0"/>
        </c:title>
        <c:numFmt formatCode="0" sourceLinked="0"/>
        <c:majorTickMark val="out"/>
        <c:minorTickMark val="none"/>
        <c:tickLblPos val="nextTo"/>
        <c:txPr>
          <a:bodyPr/>
          <a:lstStyle/>
          <a:p>
            <a:pPr>
              <a:defRPr sz="1200">
                <a:solidFill>
                  <a:schemeClr val="tx1">
                    <a:lumMod val="75000"/>
                    <a:lumOff val="25000"/>
                  </a:schemeClr>
                </a:solidFill>
              </a:defRPr>
            </a:pPr>
            <a:endParaRPr lang="en-US"/>
          </a:p>
        </c:txPr>
        <c:crossAx val="125195008"/>
        <c:crosses val="autoZero"/>
        <c:crossBetween val="between"/>
      </c:valAx>
    </c:plotArea>
    <c:legend>
      <c:legendPos val="r"/>
      <c:layout>
        <c:manualLayout>
          <c:xMode val="edge"/>
          <c:yMode val="edge"/>
          <c:x val="0.44944313724781021"/>
          <c:y val="0.12316812352583477"/>
          <c:w val="0.44459436579538725"/>
          <c:h val="0.10405655503480929"/>
        </c:manualLayout>
      </c:layout>
      <c:overlay val="0"/>
      <c:txPr>
        <a:bodyPr/>
        <a:lstStyle/>
        <a:p>
          <a:pPr>
            <a:defRPr sz="1400">
              <a:solidFill>
                <a:schemeClr val="tx1">
                  <a:lumMod val="65000"/>
                  <a:lumOff val="35000"/>
                </a:schemeClr>
              </a:solidFill>
            </a:defRPr>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0244" l="0.70000000000000062" r="0.70000000000000062" t="0.75000000000000244"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Effect of Customer Load Factor on Residual</a:t>
            </a:r>
            <a:r>
              <a:rPr lang="en-US" baseline="0"/>
              <a:t> Charge</a:t>
            </a:r>
            <a:endParaRPr lang="en-US" i="1"/>
          </a:p>
        </c:rich>
      </c:tx>
      <c:layout>
        <c:manualLayout>
          <c:xMode val="edge"/>
          <c:yMode val="edge"/>
          <c:x val="0.28571907560195642"/>
          <c:y val="0"/>
        </c:manualLayout>
      </c:layout>
      <c:overlay val="0"/>
      <c:spPr>
        <a:noFill/>
        <a:ln>
          <a:noFill/>
        </a:ln>
        <a:effectLst/>
      </c:spPr>
    </c:title>
    <c:autoTitleDeleted val="0"/>
    <c:plotArea>
      <c:layout>
        <c:manualLayout>
          <c:layoutTarget val="inner"/>
          <c:xMode val="edge"/>
          <c:yMode val="edge"/>
          <c:x val="8.6680507969965431E-2"/>
          <c:y val="0.11014105419450632"/>
          <c:w val="0.84083931944732426"/>
          <c:h val="0.62098334590136139"/>
        </c:manualLayout>
      </c:layout>
      <c:barChart>
        <c:barDir val="col"/>
        <c:grouping val="clustered"/>
        <c:varyColors val="0"/>
        <c:ser>
          <c:idx val="0"/>
          <c:order val="0"/>
          <c:tx>
            <c:strRef>
              <c:f>'Load factors'!$O$6</c:f>
              <c:strCache>
                <c:ptCount val="1"/>
                <c:pt idx="0">
                  <c:v>Load Factor</c:v>
                </c:pt>
              </c:strCache>
            </c:strRef>
          </c:tx>
          <c:spPr>
            <a:solidFill>
              <a:schemeClr val="accent1">
                <a:alpha val="68000"/>
              </a:schemeClr>
            </a:solidFill>
            <a:ln>
              <a:noFill/>
            </a:ln>
            <a:effectLst/>
          </c:spPr>
          <c:invertIfNegative val="0"/>
          <c:cat>
            <c:strRef>
              <c:f>'Load factors'!$K$7:$K$46</c:f>
              <c:strCache>
                <c:ptCount val="40"/>
                <c:pt idx="0">
                  <c:v>NZ Aluminium Smelter</c:v>
                </c:pt>
                <c:pt idx="1">
                  <c:v>Refining NZ</c:v>
                </c:pt>
                <c:pt idx="2">
                  <c:v>Carter Holt Harvey</c:v>
                </c:pt>
                <c:pt idx="3">
                  <c:v>NZ Steel</c:v>
                </c:pt>
                <c:pt idx="4">
                  <c:v>Pan Pac</c:v>
                </c:pt>
                <c:pt idx="5">
                  <c:v>Winstones</c:v>
                </c:pt>
                <c:pt idx="6">
                  <c:v>Daiken MDF</c:v>
                </c:pt>
                <c:pt idx="7">
                  <c:v>Rayonier</c:v>
                </c:pt>
                <c:pt idx="8">
                  <c:v>OtagoNet JV</c:v>
                </c:pt>
                <c:pt idx="9">
                  <c:v>Methanex</c:v>
                </c:pt>
                <c:pt idx="10">
                  <c:v>Centralines</c:v>
                </c:pt>
                <c:pt idx="11">
                  <c:v>Northpower</c:v>
                </c:pt>
                <c:pt idx="12">
                  <c:v>Scanpower</c:v>
                </c:pt>
                <c:pt idx="13">
                  <c:v>Horizon</c:v>
                </c:pt>
                <c:pt idx="14">
                  <c:v>Eastland Network</c:v>
                </c:pt>
                <c:pt idx="15">
                  <c:v>Marlborough Lines</c:v>
                </c:pt>
                <c:pt idx="16">
                  <c:v>Alpine Energy</c:v>
                </c:pt>
                <c:pt idx="17">
                  <c:v>Top Energy</c:v>
                </c:pt>
                <c:pt idx="18">
                  <c:v>The Power Company</c:v>
                </c:pt>
                <c:pt idx="19">
                  <c:v>Waipa Power</c:v>
                </c:pt>
                <c:pt idx="20">
                  <c:v>Unison</c:v>
                </c:pt>
                <c:pt idx="21">
                  <c:v>Electricity Invercargill</c:v>
                </c:pt>
                <c:pt idx="22">
                  <c:v>Network Tasman</c:v>
                </c:pt>
                <c:pt idx="23">
                  <c:v>Electra</c:v>
                </c:pt>
                <c:pt idx="24">
                  <c:v>Powerco</c:v>
                </c:pt>
                <c:pt idx="25">
                  <c:v>Counties Power</c:v>
                </c:pt>
                <c:pt idx="26">
                  <c:v>Orion</c:v>
                </c:pt>
                <c:pt idx="27">
                  <c:v>WEL Networks</c:v>
                </c:pt>
                <c:pt idx="28">
                  <c:v>Mainpower</c:v>
                </c:pt>
                <c:pt idx="29">
                  <c:v>Aurora Energy</c:v>
                </c:pt>
                <c:pt idx="30">
                  <c:v>Network Waitaki</c:v>
                </c:pt>
                <c:pt idx="31">
                  <c:v>Wellington Electricity</c:v>
                </c:pt>
                <c:pt idx="32">
                  <c:v>Norske Skog</c:v>
                </c:pt>
                <c:pt idx="33">
                  <c:v>Lakeland Network</c:v>
                </c:pt>
                <c:pt idx="34">
                  <c:v>Vector</c:v>
                </c:pt>
                <c:pt idx="35">
                  <c:v>The Lines Company</c:v>
                </c:pt>
                <c:pt idx="36">
                  <c:v>Westpower</c:v>
                </c:pt>
                <c:pt idx="37">
                  <c:v>Buller Electricity</c:v>
                </c:pt>
                <c:pt idx="38">
                  <c:v>Electricity Ashburton</c:v>
                </c:pt>
                <c:pt idx="39">
                  <c:v>Kiwirail</c:v>
                </c:pt>
              </c:strCache>
            </c:strRef>
          </c:cat>
          <c:val>
            <c:numRef>
              <c:f>'Load factors'!$O$7:$O$46</c:f>
              <c:numCache>
                <c:formatCode>General</c:formatCode>
                <c:ptCount val="40"/>
                <c:pt idx="0">
                  <c:v>0.97748387108614343</c:v>
                </c:pt>
                <c:pt idx="1">
                  <c:v>0.84095509919108546</c:v>
                </c:pt>
                <c:pt idx="2">
                  <c:v>0.75107322811891286</c:v>
                </c:pt>
                <c:pt idx="3">
                  <c:v>0.71358351307648149</c:v>
                </c:pt>
                <c:pt idx="4">
                  <c:v>0.70916802664323231</c:v>
                </c:pt>
                <c:pt idx="5">
                  <c:v>0.68990603201024658</c:v>
                </c:pt>
                <c:pt idx="6">
                  <c:v>0.68367298475071481</c:v>
                </c:pt>
                <c:pt idx="7">
                  <c:v>0.67046936284488579</c:v>
                </c:pt>
                <c:pt idx="8">
                  <c:v>0.6615018292061281</c:v>
                </c:pt>
                <c:pt idx="9">
                  <c:v>0.64503705465636907</c:v>
                </c:pt>
                <c:pt idx="10">
                  <c:v>0.6327938634707958</c:v>
                </c:pt>
                <c:pt idx="11">
                  <c:v>0.6269551859625313</c:v>
                </c:pt>
                <c:pt idx="12">
                  <c:v>0.61932454132936965</c:v>
                </c:pt>
                <c:pt idx="13">
                  <c:v>0.59979176343414586</c:v>
                </c:pt>
                <c:pt idx="14">
                  <c:v>0.59402539961949774</c:v>
                </c:pt>
                <c:pt idx="15">
                  <c:v>0.58654543202845988</c:v>
                </c:pt>
                <c:pt idx="16">
                  <c:v>0.57100328775203202</c:v>
                </c:pt>
                <c:pt idx="17">
                  <c:v>0.56580813040392774</c:v>
                </c:pt>
                <c:pt idx="18">
                  <c:v>0.56577668139872705</c:v>
                </c:pt>
                <c:pt idx="19">
                  <c:v>0.55506109844801266</c:v>
                </c:pt>
                <c:pt idx="20">
                  <c:v>0.54043139457611367</c:v>
                </c:pt>
                <c:pt idx="21">
                  <c:v>0.529949059663396</c:v>
                </c:pt>
                <c:pt idx="22">
                  <c:v>0.51857580814897197</c:v>
                </c:pt>
                <c:pt idx="23">
                  <c:v>0.51110782296496571</c:v>
                </c:pt>
                <c:pt idx="24">
                  <c:v>0.50841238761118335</c:v>
                </c:pt>
                <c:pt idx="25">
                  <c:v>0.50787808459054895</c:v>
                </c:pt>
                <c:pt idx="26">
                  <c:v>0.50383780962962399</c:v>
                </c:pt>
                <c:pt idx="27">
                  <c:v>0.49343187193239241</c:v>
                </c:pt>
                <c:pt idx="28">
                  <c:v>0.49098605007754653</c:v>
                </c:pt>
                <c:pt idx="29">
                  <c:v>0.48504875852856499</c:v>
                </c:pt>
                <c:pt idx="30">
                  <c:v>0.48080863267603396</c:v>
                </c:pt>
                <c:pt idx="31">
                  <c:v>0.477142026482124</c:v>
                </c:pt>
                <c:pt idx="32">
                  <c:v>0.47713409320645545</c:v>
                </c:pt>
                <c:pt idx="33">
                  <c:v>0.4563319883626088</c:v>
                </c:pt>
                <c:pt idx="34">
                  <c:v>0.43835546127075364</c:v>
                </c:pt>
                <c:pt idx="35">
                  <c:v>0.43619510197207728</c:v>
                </c:pt>
                <c:pt idx="36">
                  <c:v>0.43465937737679661</c:v>
                </c:pt>
                <c:pt idx="37">
                  <c:v>0.42984253876809042</c:v>
                </c:pt>
                <c:pt idx="38">
                  <c:v>0.36305092634609554</c:v>
                </c:pt>
                <c:pt idx="39">
                  <c:v>0.1224919910370709</c:v>
                </c:pt>
              </c:numCache>
            </c:numRef>
          </c:val>
          <c:extLst xmlns:c16r2="http://schemas.microsoft.com/office/drawing/2015/06/chart">
            <c:ext xmlns:c16="http://schemas.microsoft.com/office/drawing/2014/chart" uri="{C3380CC4-5D6E-409C-BE32-E72D297353CC}">
              <c16:uniqueId val="{00000000-800A-41A0-9D9A-F21546A79F95}"/>
            </c:ext>
          </c:extLst>
        </c:ser>
        <c:dLbls>
          <c:showLegendKey val="0"/>
          <c:showVal val="0"/>
          <c:showCatName val="0"/>
          <c:showSerName val="0"/>
          <c:showPercent val="0"/>
          <c:showBubbleSize val="0"/>
        </c:dLbls>
        <c:gapWidth val="219"/>
        <c:overlap val="-27"/>
        <c:axId val="125224448"/>
        <c:axId val="125226368"/>
      </c:barChart>
      <c:lineChart>
        <c:grouping val="stacked"/>
        <c:varyColors val="0"/>
        <c:ser>
          <c:idx val="1"/>
          <c:order val="1"/>
          <c:tx>
            <c:strRef>
              <c:f>'Load factors'!$P$6</c:f>
              <c:strCache>
                <c:ptCount val="1"/>
                <c:pt idx="0">
                  <c:v>Residual charge only ($/MWh)</c:v>
                </c:pt>
              </c:strCache>
            </c:strRef>
          </c:tx>
          <c:spPr>
            <a:ln w="22225" cap="rnd">
              <a:solidFill>
                <a:schemeClr val="accent6">
                  <a:alpha val="49000"/>
                </a:schemeClr>
              </a:solidFill>
              <a:round/>
            </a:ln>
            <a:effectLst/>
          </c:spPr>
          <c:marker>
            <c:symbol val="circle"/>
            <c:size val="5"/>
            <c:spPr>
              <a:solidFill>
                <a:schemeClr val="accent2"/>
              </a:solidFill>
              <a:ln w="9525">
                <a:solidFill>
                  <a:schemeClr val="accent2"/>
                </a:solidFill>
              </a:ln>
              <a:effectLst/>
            </c:spPr>
          </c:marker>
          <c:cat>
            <c:strRef>
              <c:f>'Load factors'!$L$7:$L$46</c:f>
              <c:strCache>
                <c:ptCount val="40"/>
                <c:pt idx="0">
                  <c:v>NZAS</c:v>
                </c:pt>
                <c:pt idx="1">
                  <c:v>Refinery</c:v>
                </c:pt>
                <c:pt idx="2">
                  <c:v>CHH</c:v>
                </c:pt>
                <c:pt idx="3">
                  <c:v>NZ Steel</c:v>
                </c:pt>
                <c:pt idx="4">
                  <c:v>PanPac</c:v>
                </c:pt>
                <c:pt idx="5">
                  <c:v>Winstones</c:v>
                </c:pt>
                <c:pt idx="6">
                  <c:v>Daiken MDF</c:v>
                </c:pt>
                <c:pt idx="7">
                  <c:v>Rayonier</c:v>
                </c:pt>
                <c:pt idx="8">
                  <c:v>OtagoNet JV</c:v>
                </c:pt>
                <c:pt idx="9">
                  <c:v>Methanex</c:v>
                </c:pt>
                <c:pt idx="10">
                  <c:v>Centralines</c:v>
                </c:pt>
                <c:pt idx="11">
                  <c:v>Northpower</c:v>
                </c:pt>
                <c:pt idx="12">
                  <c:v>Scanpower</c:v>
                </c:pt>
                <c:pt idx="13">
                  <c:v>Horizon</c:v>
                </c:pt>
                <c:pt idx="14">
                  <c:v>Eastland Network</c:v>
                </c:pt>
                <c:pt idx="15">
                  <c:v>Marlborough Lines</c:v>
                </c:pt>
                <c:pt idx="16">
                  <c:v>Alpine Energy</c:v>
                </c:pt>
                <c:pt idx="17">
                  <c:v>Top Energy</c:v>
                </c:pt>
                <c:pt idx="18">
                  <c:v>The Power Company</c:v>
                </c:pt>
                <c:pt idx="19">
                  <c:v>Waipa Power</c:v>
                </c:pt>
                <c:pt idx="20">
                  <c:v>Unison</c:v>
                </c:pt>
                <c:pt idx="21">
                  <c:v>Electricity Invercargill</c:v>
                </c:pt>
                <c:pt idx="22">
                  <c:v>Network Tasman</c:v>
                </c:pt>
                <c:pt idx="23">
                  <c:v>Electra</c:v>
                </c:pt>
                <c:pt idx="24">
                  <c:v>Powerco</c:v>
                </c:pt>
                <c:pt idx="25">
                  <c:v>Counties Power</c:v>
                </c:pt>
                <c:pt idx="26">
                  <c:v>Orion</c:v>
                </c:pt>
                <c:pt idx="27">
                  <c:v>WEL</c:v>
                </c:pt>
                <c:pt idx="28">
                  <c:v>Mainpower</c:v>
                </c:pt>
                <c:pt idx="29">
                  <c:v>Aurora Energy</c:v>
                </c:pt>
                <c:pt idx="30">
                  <c:v>Network Waitaki</c:v>
                </c:pt>
                <c:pt idx="31">
                  <c:v>Wellington Electricity</c:v>
                </c:pt>
                <c:pt idx="32">
                  <c:v>Norske Skog</c:v>
                </c:pt>
                <c:pt idx="33">
                  <c:v>Lakeland Network</c:v>
                </c:pt>
                <c:pt idx="34">
                  <c:v>Vector</c:v>
                </c:pt>
                <c:pt idx="35">
                  <c:v>The Lines Company</c:v>
                </c:pt>
                <c:pt idx="36">
                  <c:v>Westpower</c:v>
                </c:pt>
                <c:pt idx="37">
                  <c:v>Buller Electricity</c:v>
                </c:pt>
                <c:pt idx="38">
                  <c:v>Electricity Ashburton</c:v>
                </c:pt>
                <c:pt idx="39">
                  <c:v>Kiwirail</c:v>
                </c:pt>
              </c:strCache>
            </c:strRef>
          </c:cat>
          <c:val>
            <c:numRef>
              <c:f>'Load factors'!$P$7:$P$46</c:f>
              <c:numCache>
                <c:formatCode>General</c:formatCode>
                <c:ptCount val="40"/>
                <c:pt idx="0">
                  <c:v>4.1479899781383391</c:v>
                </c:pt>
                <c:pt idx="1">
                  <c:v>4.8214147282742008</c:v>
                </c:pt>
                <c:pt idx="2">
                  <c:v>5.3983994492947778</c:v>
                </c:pt>
                <c:pt idx="3">
                  <c:v>5.6820165078878739</c:v>
                </c:pt>
                <c:pt idx="4">
                  <c:v>5.7173943955837325</c:v>
                </c:pt>
                <c:pt idx="5">
                  <c:v>5.8770225406537264</c:v>
                </c:pt>
                <c:pt idx="6">
                  <c:v>5.9306033608094113</c:v>
                </c:pt>
                <c:pt idx="7">
                  <c:v>6.0473953408594872</c:v>
                </c:pt>
                <c:pt idx="8">
                  <c:v>6.129375796168441</c:v>
                </c:pt>
                <c:pt idx="9">
                  <c:v>6.2858300492786379</c:v>
                </c:pt>
                <c:pt idx="10">
                  <c:v>6.4074472511763148</c:v>
                </c:pt>
                <c:pt idx="11">
                  <c:v>6.4671182116986348</c:v>
                </c:pt>
                <c:pt idx="12">
                  <c:v>6.5467990213242251</c:v>
                </c:pt>
                <c:pt idx="13">
                  <c:v>6.7600016343044782</c:v>
                </c:pt>
                <c:pt idx="14">
                  <c:v>6.8256227825516484</c:v>
                </c:pt>
                <c:pt idx="15">
                  <c:v>6.9126670836649824</c:v>
                </c:pt>
                <c:pt idx="16">
                  <c:v>7.1008230390749816</c:v>
                </c:pt>
                <c:pt idx="17">
                  <c:v>7.1660216302700279</c:v>
                </c:pt>
                <c:pt idx="18">
                  <c:v>7.1664199574880403</c:v>
                </c:pt>
                <c:pt idx="19">
                  <c:v>7.3047693531290516</c:v>
                </c:pt>
                <c:pt idx="20">
                  <c:v>7.5025125145392471</c:v>
                </c:pt>
                <c:pt idx="21">
                  <c:v>7.6509113982247996</c:v>
                </c:pt>
                <c:pt idx="22">
                  <c:v>7.8187089280732929</c:v>
                </c:pt>
                <c:pt idx="23">
                  <c:v>7.9329509721378608</c:v>
                </c:pt>
                <c:pt idx="24">
                  <c:v>7.9750088704723074</c:v>
                </c:pt>
                <c:pt idx="25">
                  <c:v>7.9833988196714616</c:v>
                </c:pt>
                <c:pt idx="26">
                  <c:v>8.0474176879217563</c:v>
                </c:pt>
                <c:pt idx="27">
                  <c:v>8.2171289122011384</c:v>
                </c:pt>
                <c:pt idx="28">
                  <c:v>8.2580621189070555</c:v>
                </c:pt>
                <c:pt idx="29">
                  <c:v>8.3591458173341806</c:v>
                </c:pt>
                <c:pt idx="30">
                  <c:v>8.4328629427690682</c:v>
                </c:pt>
                <c:pt idx="31">
                  <c:v>8.4976654245925971</c:v>
                </c:pt>
                <c:pt idx="32">
                  <c:v>8.4978067146896858</c:v>
                </c:pt>
                <c:pt idx="33">
                  <c:v>8.8851831658913749</c:v>
                </c:pt>
                <c:pt idx="34">
                  <c:v>9.2495558041030979</c:v>
                </c:pt>
                <c:pt idx="35">
                  <c:v>9.2953664145379218</c:v>
                </c:pt>
                <c:pt idx="36">
                  <c:v>9.3282085055359403</c:v>
                </c:pt>
                <c:pt idx="37">
                  <c:v>9.4327409117707948</c:v>
                </c:pt>
                <c:pt idx="38">
                  <c:v>11.16811170781026</c:v>
                </c:pt>
                <c:pt idx="39">
                  <c:v>33.100884937286324</c:v>
                </c:pt>
              </c:numCache>
            </c:numRef>
          </c:val>
          <c:smooth val="0"/>
          <c:extLst xmlns:c16r2="http://schemas.microsoft.com/office/drawing/2015/06/chart">
            <c:ext xmlns:c16="http://schemas.microsoft.com/office/drawing/2014/chart" uri="{C3380CC4-5D6E-409C-BE32-E72D297353CC}">
              <c16:uniqueId val="{00000000-C33D-4890-99BD-380F8AA02F59}"/>
            </c:ext>
          </c:extLst>
        </c:ser>
        <c:dLbls>
          <c:showLegendKey val="0"/>
          <c:showVal val="0"/>
          <c:showCatName val="0"/>
          <c:showSerName val="0"/>
          <c:showPercent val="0"/>
          <c:showBubbleSize val="0"/>
        </c:dLbls>
        <c:marker val="1"/>
        <c:smooth val="0"/>
        <c:axId val="126045568"/>
        <c:axId val="126043648"/>
      </c:lineChart>
      <c:catAx>
        <c:axId val="125224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226368"/>
        <c:crosses val="autoZero"/>
        <c:auto val="1"/>
        <c:lblAlgn val="ctr"/>
        <c:lblOffset val="100"/>
        <c:noMultiLvlLbl val="0"/>
      </c:catAx>
      <c:valAx>
        <c:axId val="125226368"/>
        <c:scaling>
          <c:orientation val="minMax"/>
          <c:max val="1"/>
        </c:scaling>
        <c:delete val="0"/>
        <c:axPos val="l"/>
        <c:majorGridlines>
          <c:spPr>
            <a:ln w="9525" cap="flat" cmpd="sng" algn="ctr">
              <a:solidFill>
                <a:schemeClr val="bg1">
                  <a:lumMod val="75000"/>
                  <a:alpha val="47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accent1"/>
                    </a:solidFill>
                    <a:latin typeface="+mn-lt"/>
                    <a:ea typeface="+mn-ea"/>
                    <a:cs typeface="+mn-cs"/>
                  </a:defRPr>
                </a:pPr>
                <a:r>
                  <a:rPr lang="en-US" sz="1200">
                    <a:solidFill>
                      <a:schemeClr val="accent1"/>
                    </a:solidFill>
                  </a:rPr>
                  <a:t>Approximate Load Factor (%)</a:t>
                </a:r>
              </a:p>
            </c:rich>
          </c:tx>
          <c:layout>
            <c:manualLayout>
              <c:xMode val="edge"/>
              <c:yMode val="edge"/>
              <c:x val="5.7304041958600692E-3"/>
              <c:y val="0.2103829047670146"/>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accent1"/>
                </a:solidFill>
                <a:latin typeface="+mn-lt"/>
                <a:ea typeface="+mn-ea"/>
                <a:cs typeface="+mn-cs"/>
              </a:defRPr>
            </a:pPr>
            <a:endParaRPr lang="en-US"/>
          </a:p>
        </c:txPr>
        <c:crossAx val="125224448"/>
        <c:crosses val="autoZero"/>
        <c:crossBetween val="between"/>
        <c:majorUnit val="0.25"/>
      </c:valAx>
      <c:valAx>
        <c:axId val="126043648"/>
        <c:scaling>
          <c:orientation val="minMax"/>
          <c:min val="0"/>
        </c:scaling>
        <c:delete val="0"/>
        <c:axPos val="r"/>
        <c:title>
          <c:tx>
            <c:rich>
              <a:bodyPr rot="-5400000" spcFirstLastPara="1" vertOverflow="ellipsis" vert="horz" wrap="square" anchor="ctr" anchorCtr="1"/>
              <a:lstStyle/>
              <a:p>
                <a:pPr>
                  <a:defRPr sz="1200" b="0" i="0" u="none" strike="noStrike" kern="1200" baseline="0">
                    <a:solidFill>
                      <a:schemeClr val="accent6">
                        <a:lumMod val="75000"/>
                      </a:schemeClr>
                    </a:solidFill>
                    <a:latin typeface="+mn-lt"/>
                    <a:ea typeface="+mn-ea"/>
                    <a:cs typeface="+mn-cs"/>
                  </a:defRPr>
                </a:pPr>
                <a:r>
                  <a:rPr lang="en-US" sz="1200">
                    <a:solidFill>
                      <a:schemeClr val="accent6">
                        <a:lumMod val="75000"/>
                      </a:schemeClr>
                    </a:solidFill>
                  </a:rPr>
                  <a:t>Indicative Residual Charge ($/MWh)</a:t>
                </a:r>
              </a:p>
            </c:rich>
          </c:tx>
          <c:layout>
            <c:manualLayout>
              <c:xMode val="edge"/>
              <c:yMode val="edge"/>
              <c:x val="0.97277332729648969"/>
              <c:y val="0.19343258737151495"/>
            </c:manualLayout>
          </c:layout>
          <c:overlay val="0"/>
          <c:spPr>
            <a:noFill/>
            <a:ln>
              <a:noFill/>
            </a:ln>
            <a:effectLst/>
          </c:sp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accent6">
                    <a:lumMod val="75000"/>
                  </a:schemeClr>
                </a:solidFill>
                <a:latin typeface="+mn-lt"/>
                <a:ea typeface="+mn-ea"/>
                <a:cs typeface="+mn-cs"/>
              </a:defRPr>
            </a:pPr>
            <a:endParaRPr lang="en-US"/>
          </a:p>
        </c:txPr>
        <c:crossAx val="126045568"/>
        <c:crosses val="max"/>
        <c:crossBetween val="between"/>
        <c:majorUnit val="10"/>
      </c:valAx>
      <c:catAx>
        <c:axId val="126045568"/>
        <c:scaling>
          <c:orientation val="minMax"/>
        </c:scaling>
        <c:delete val="1"/>
        <c:axPos val="b"/>
        <c:numFmt formatCode="General" sourceLinked="1"/>
        <c:majorTickMark val="out"/>
        <c:minorTickMark val="none"/>
        <c:tickLblPos val="nextTo"/>
        <c:crossAx val="126043648"/>
        <c:crosses val="autoZero"/>
        <c:auto val="1"/>
        <c:lblAlgn val="ctr"/>
        <c:lblOffset val="100"/>
        <c:noMultiLvlLbl val="0"/>
      </c:catAx>
      <c:spPr>
        <a:noFill/>
        <a:ln>
          <a:noFill/>
        </a:ln>
        <a:effectLst/>
      </c:spPr>
    </c:plotArea>
    <c:legend>
      <c:legendPos val="t"/>
      <c:layout>
        <c:manualLayout>
          <c:xMode val="edge"/>
          <c:yMode val="edge"/>
          <c:x val="0.24132675336385997"/>
          <c:y val="0.14898983883252928"/>
          <c:w val="0.57117847814465961"/>
          <c:h val="5.011170931027831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Indicative Net Benefits of Pole 2</a:t>
            </a:r>
          </a:p>
        </c:rich>
      </c:tx>
      <c:overlay val="0"/>
      <c:spPr>
        <a:noFill/>
        <a:ln>
          <a:noFill/>
        </a:ln>
        <a:effectLst/>
      </c:spPr>
    </c:title>
    <c:autoTitleDeleted val="0"/>
    <c:plotArea>
      <c:layout>
        <c:manualLayout>
          <c:layoutTarget val="inner"/>
          <c:xMode val="edge"/>
          <c:yMode val="edge"/>
          <c:x val="7.3850987604651613E-2"/>
          <c:y val="0.12301824212271974"/>
          <c:w val="0.90830635221692169"/>
          <c:h val="0.57667045350674451"/>
        </c:manualLayout>
      </c:layout>
      <c:barChart>
        <c:barDir val="col"/>
        <c:grouping val="clustered"/>
        <c:varyColors val="0"/>
        <c:ser>
          <c:idx val="0"/>
          <c:order val="0"/>
          <c:spPr>
            <a:solidFill>
              <a:schemeClr val="accent1"/>
            </a:solidFill>
            <a:ln>
              <a:noFill/>
            </a:ln>
            <a:effectLst/>
          </c:spPr>
          <c:invertIfNegative val="0"/>
          <c:cat>
            <c:strRef>
              <c:f>'Beneficiary graphs'!$B$5:$B$58</c:f>
              <c:strCache>
                <c:ptCount val="54"/>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1">
                  <c:v>Contact</c:v>
                </c:pt>
                <c:pt idx="32">
                  <c:v>Genesis</c:v>
                </c:pt>
                <c:pt idx="33">
                  <c:v>Meridian</c:v>
                </c:pt>
                <c:pt idx="34">
                  <c:v>Tuaropaki</c:v>
                </c:pt>
                <c:pt idx="35">
                  <c:v>Mercury</c:v>
                </c:pt>
                <c:pt idx="36">
                  <c:v>Nga Awa Purua JV</c:v>
                </c:pt>
                <c:pt idx="37">
                  <c:v>Ngatamariki</c:v>
                </c:pt>
                <c:pt idx="38">
                  <c:v>Pioneer</c:v>
                </c:pt>
                <c:pt idx="39">
                  <c:v>Todd</c:v>
                </c:pt>
                <c:pt idx="40">
                  <c:v>Trustpower</c:v>
                </c:pt>
                <c:pt idx="43">
                  <c:v>Carter Holt Harvey</c:v>
                </c:pt>
                <c:pt idx="44">
                  <c:v>Daiken MDF</c:v>
                </c:pt>
                <c:pt idx="45">
                  <c:v>Kiwirail</c:v>
                </c:pt>
                <c:pt idx="46">
                  <c:v>Methanex</c:v>
                </c:pt>
                <c:pt idx="47">
                  <c:v>Norske Skog</c:v>
                </c:pt>
                <c:pt idx="48">
                  <c:v>NZ Steel</c:v>
                </c:pt>
                <c:pt idx="49">
                  <c:v>NZ Aluminium Smelter</c:v>
                </c:pt>
                <c:pt idx="50">
                  <c:v>Pan Pac</c:v>
                </c:pt>
                <c:pt idx="51">
                  <c:v>Rayonier</c:v>
                </c:pt>
                <c:pt idx="52">
                  <c:v>Refining NZ</c:v>
                </c:pt>
                <c:pt idx="53">
                  <c:v>Winstones</c:v>
                </c:pt>
              </c:strCache>
            </c:strRef>
          </c:cat>
          <c:val>
            <c:numRef>
              <c:f>'Beneficiary graphs'!$H$5:$H$58</c:f>
              <c:numCache>
                <c:formatCode>_-* #,##0.000_-;\-* #,##0.000_-;_-* "-"??_-;_-@_-</c:formatCode>
                <c:ptCount val="54"/>
                <c:pt idx="0">
                  <c:v>0</c:v>
                </c:pt>
                <c:pt idx="1">
                  <c:v>0</c:v>
                </c:pt>
                <c:pt idx="2">
                  <c:v>0</c:v>
                </c:pt>
                <c:pt idx="3">
                  <c:v>4.9729217650000095</c:v>
                </c:pt>
                <c:pt idx="4">
                  <c:v>15.985985137999911</c:v>
                </c:pt>
                <c:pt idx="5">
                  <c:v>10.4739932049999</c:v>
                </c:pt>
                <c:pt idx="6">
                  <c:v>35.000821119999941</c:v>
                </c:pt>
                <c:pt idx="7">
                  <c:v>0</c:v>
                </c:pt>
                <c:pt idx="8">
                  <c:v>0</c:v>
                </c:pt>
                <c:pt idx="9">
                  <c:v>16.713319934999983</c:v>
                </c:pt>
                <c:pt idx="10">
                  <c:v>0</c:v>
                </c:pt>
                <c:pt idx="11">
                  <c:v>0</c:v>
                </c:pt>
                <c:pt idx="12">
                  <c:v>0</c:v>
                </c:pt>
                <c:pt idx="13">
                  <c:v>0</c:v>
                </c:pt>
                <c:pt idx="14">
                  <c:v>0</c:v>
                </c:pt>
                <c:pt idx="15">
                  <c:v>29.834410462951343</c:v>
                </c:pt>
                <c:pt idx="16">
                  <c:v>0</c:v>
                </c:pt>
                <c:pt idx="17">
                  <c:v>0</c:v>
                </c:pt>
                <c:pt idx="18">
                  <c:v>190.43014684206895</c:v>
                </c:pt>
                <c:pt idx="19">
                  <c:v>3.6600604410000082</c:v>
                </c:pt>
                <c:pt idx="20">
                  <c:v>8.6961289615350221</c:v>
                </c:pt>
                <c:pt idx="21">
                  <c:v>0</c:v>
                </c:pt>
                <c:pt idx="22">
                  <c:v>11.310997625999899</c:v>
                </c:pt>
                <c:pt idx="23">
                  <c:v>62.151456569999951</c:v>
                </c:pt>
                <c:pt idx="24">
                  <c:v>351.92595286987836</c:v>
                </c:pt>
                <c:pt idx="25">
                  <c:v>14.858872081000019</c:v>
                </c:pt>
                <c:pt idx="26">
                  <c:v>55.875018254999638</c:v>
                </c:pt>
                <c:pt idx="27">
                  <c:v>117.53653259499961</c:v>
                </c:pt>
                <c:pt idx="28">
                  <c:v>0</c:v>
                </c:pt>
                <c:pt idx="29">
                  <c:v>0</c:v>
                </c:pt>
                <c:pt idx="30">
                  <c:v>0</c:v>
                </c:pt>
                <c:pt idx="31">
                  <c:v>78.066132151988754</c:v>
                </c:pt>
                <c:pt idx="32">
                  <c:v>13.354502271153693</c:v>
                </c:pt>
                <c:pt idx="33">
                  <c:v>216.47232237399794</c:v>
                </c:pt>
                <c:pt idx="34">
                  <c:v>0</c:v>
                </c:pt>
                <c:pt idx="35">
                  <c:v>0.136138492999998</c:v>
                </c:pt>
                <c:pt idx="36">
                  <c:v>0</c:v>
                </c:pt>
                <c:pt idx="37">
                  <c:v>0</c:v>
                </c:pt>
                <c:pt idx="38">
                  <c:v>0.58984969300000101</c:v>
                </c:pt>
                <c:pt idx="39">
                  <c:v>3.7768659999999697E-2</c:v>
                </c:pt>
                <c:pt idx="40">
                  <c:v>10.189727886999977</c:v>
                </c:pt>
                <c:pt idx="41">
                  <c:v>0</c:v>
                </c:pt>
                <c:pt idx="42">
                  <c:v>0</c:v>
                </c:pt>
                <c:pt idx="43">
                  <c:v>10.9405695969999</c:v>
                </c:pt>
                <c:pt idx="44">
                  <c:v>0</c:v>
                </c:pt>
                <c:pt idx="45">
                  <c:v>1.2004847510000001</c:v>
                </c:pt>
                <c:pt idx="46">
                  <c:v>1.75276752599999</c:v>
                </c:pt>
                <c:pt idx="47">
                  <c:v>1.8983717520000001</c:v>
                </c:pt>
                <c:pt idx="48">
                  <c:v>23.068337998000001</c:v>
                </c:pt>
                <c:pt idx="49">
                  <c:v>0</c:v>
                </c:pt>
                <c:pt idx="50">
                  <c:v>16.585562636984299</c:v>
                </c:pt>
                <c:pt idx="51">
                  <c:v>0</c:v>
                </c:pt>
                <c:pt idx="52">
                  <c:v>10.299292897048499</c:v>
                </c:pt>
                <c:pt idx="53">
                  <c:v>11.174838437999998</c:v>
                </c:pt>
              </c:numCache>
            </c:numRef>
          </c:val>
          <c:extLst xmlns:c16r2="http://schemas.microsoft.com/office/drawing/2015/06/chart">
            <c:ext xmlns:c16="http://schemas.microsoft.com/office/drawing/2014/chart" uri="{C3380CC4-5D6E-409C-BE32-E72D297353CC}">
              <c16:uniqueId val="{00000000-D1E4-49A8-ABF9-5D6FFE61D7F1}"/>
            </c:ext>
          </c:extLst>
        </c:ser>
        <c:dLbls>
          <c:showLegendKey val="0"/>
          <c:showVal val="0"/>
          <c:showCatName val="0"/>
          <c:showSerName val="0"/>
          <c:showPercent val="0"/>
          <c:showBubbleSize val="0"/>
        </c:dLbls>
        <c:gapWidth val="219"/>
        <c:overlap val="-27"/>
        <c:axId val="117532544"/>
        <c:axId val="117567488"/>
      </c:barChart>
      <c:catAx>
        <c:axId val="117532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67488"/>
        <c:crosses val="autoZero"/>
        <c:auto val="1"/>
        <c:lblAlgn val="ctr"/>
        <c:lblOffset val="100"/>
        <c:noMultiLvlLbl val="0"/>
      </c:catAx>
      <c:valAx>
        <c:axId val="117567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Indicative Net Benefit ($m/year)</a:t>
                </a:r>
              </a:p>
            </c:rich>
          </c:tx>
          <c:layout>
            <c:manualLayout>
              <c:xMode val="edge"/>
              <c:yMode val="edge"/>
              <c:x val="1.2894738522648171E-3"/>
              <c:y val="0.18724879539311318"/>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75325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Indicative Net Benefits of NAaN</a:t>
            </a:r>
          </a:p>
        </c:rich>
      </c:tx>
      <c:overlay val="0"/>
      <c:spPr>
        <a:noFill/>
        <a:ln>
          <a:noFill/>
        </a:ln>
        <a:effectLst/>
      </c:spPr>
    </c:title>
    <c:autoTitleDeleted val="0"/>
    <c:plotArea>
      <c:layout>
        <c:manualLayout>
          <c:layoutTarget val="inner"/>
          <c:xMode val="edge"/>
          <c:yMode val="edge"/>
          <c:x val="7.3850987604651613E-2"/>
          <c:y val="0.12301824212271974"/>
          <c:w val="0.90830635221692169"/>
          <c:h val="0.57667045350674451"/>
        </c:manualLayout>
      </c:layout>
      <c:barChart>
        <c:barDir val="col"/>
        <c:grouping val="clustered"/>
        <c:varyColors val="0"/>
        <c:ser>
          <c:idx val="0"/>
          <c:order val="0"/>
          <c:tx>
            <c:strRef>
              <c:f>'Beneficiary graphs'!$I$4</c:f>
              <c:strCache>
                <c:ptCount val="1"/>
                <c:pt idx="0">
                  <c:v>noNAaN</c:v>
                </c:pt>
              </c:strCache>
            </c:strRef>
          </c:tx>
          <c:spPr>
            <a:solidFill>
              <a:schemeClr val="accent1"/>
            </a:solidFill>
            <a:ln>
              <a:noFill/>
            </a:ln>
            <a:effectLst/>
          </c:spPr>
          <c:invertIfNegative val="0"/>
          <c:cat>
            <c:strRef>
              <c:f>'Beneficiary graphs'!$B$5:$B$58</c:f>
              <c:strCache>
                <c:ptCount val="54"/>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1">
                  <c:v>Contact</c:v>
                </c:pt>
                <c:pt idx="32">
                  <c:v>Genesis</c:v>
                </c:pt>
                <c:pt idx="33">
                  <c:v>Meridian</c:v>
                </c:pt>
                <c:pt idx="34">
                  <c:v>Tuaropaki</c:v>
                </c:pt>
                <c:pt idx="35">
                  <c:v>Mercury</c:v>
                </c:pt>
                <c:pt idx="36">
                  <c:v>Nga Awa Purua JV</c:v>
                </c:pt>
                <c:pt idx="37">
                  <c:v>Ngatamariki</c:v>
                </c:pt>
                <c:pt idx="38">
                  <c:v>Pioneer</c:v>
                </c:pt>
                <c:pt idx="39">
                  <c:v>Todd</c:v>
                </c:pt>
                <c:pt idx="40">
                  <c:v>Trustpower</c:v>
                </c:pt>
                <c:pt idx="43">
                  <c:v>Carter Holt Harvey</c:v>
                </c:pt>
                <c:pt idx="44">
                  <c:v>Daiken MDF</c:v>
                </c:pt>
                <c:pt idx="45">
                  <c:v>Kiwirail</c:v>
                </c:pt>
                <c:pt idx="46">
                  <c:v>Methanex</c:v>
                </c:pt>
                <c:pt idx="47">
                  <c:v>Norske Skog</c:v>
                </c:pt>
                <c:pt idx="48">
                  <c:v>NZ Steel</c:v>
                </c:pt>
                <c:pt idx="49">
                  <c:v>NZ Aluminium Smelter</c:v>
                </c:pt>
                <c:pt idx="50">
                  <c:v>Pan Pac</c:v>
                </c:pt>
                <c:pt idx="51">
                  <c:v>Rayonier</c:v>
                </c:pt>
                <c:pt idx="52">
                  <c:v>Refining NZ</c:v>
                </c:pt>
                <c:pt idx="53">
                  <c:v>Winstones</c:v>
                </c:pt>
              </c:strCache>
            </c:strRef>
          </c:cat>
          <c:val>
            <c:numRef>
              <c:f>'Beneficiary graphs'!$I$5:$I$58</c:f>
              <c:numCache>
                <c:formatCode>_-* #,##0.000_-;\-* #,##0.000_-;_-* "-"??_-;_-@_-</c:formatCode>
                <c:ptCount val="54"/>
                <c:pt idx="0">
                  <c:v>0.22958876855588922</c:v>
                </c:pt>
                <c:pt idx="1">
                  <c:v>0.41209311046611125</c:v>
                </c:pt>
                <c:pt idx="2">
                  <c:v>3.2711598999999328E-2</c:v>
                </c:pt>
                <c:pt idx="3">
                  <c:v>4.0635350999999903E-2</c:v>
                </c:pt>
                <c:pt idx="4">
                  <c:v>0.16063522800000091</c:v>
                </c:pt>
                <c:pt idx="5">
                  <c:v>0.10519606099999701</c:v>
                </c:pt>
                <c:pt idx="6">
                  <c:v>0.1632088930000001</c:v>
                </c:pt>
                <c:pt idx="7">
                  <c:v>0.15743624999999839</c:v>
                </c:pt>
                <c:pt idx="8">
                  <c:v>8.2771778127167295E-2</c:v>
                </c:pt>
                <c:pt idx="9">
                  <c:v>0.16120163399999748</c:v>
                </c:pt>
                <c:pt idx="10">
                  <c:v>3.7955413326992596E-3</c:v>
                </c:pt>
                <c:pt idx="11">
                  <c:v>0.1962530749999985</c:v>
                </c:pt>
                <c:pt idx="12">
                  <c:v>0.14729361200000199</c:v>
                </c:pt>
                <c:pt idx="13">
                  <c:v>0.2980410760000049</c:v>
                </c:pt>
                <c:pt idx="14">
                  <c:v>7.7774987730316381E-2</c:v>
                </c:pt>
                <c:pt idx="15">
                  <c:v>0.78541719767299445</c:v>
                </c:pt>
                <c:pt idx="16">
                  <c:v>1.1598587750000042</c:v>
                </c:pt>
                <c:pt idx="17">
                  <c:v>0.11521493682400162</c:v>
                </c:pt>
                <c:pt idx="18">
                  <c:v>1.6061266088144599</c:v>
                </c:pt>
                <c:pt idx="19">
                  <c:v>2.97891179999995E-2</c:v>
                </c:pt>
                <c:pt idx="20">
                  <c:v>8.3670132691660154E-2</c:v>
                </c:pt>
                <c:pt idx="21">
                  <c:v>0.22464059587283491</c:v>
                </c:pt>
                <c:pt idx="22">
                  <c:v>0.31438659999999996</c:v>
                </c:pt>
                <c:pt idx="23">
                  <c:v>0.62532691000000173</c:v>
                </c:pt>
                <c:pt idx="24">
                  <c:v>9.1691041791395538</c:v>
                </c:pt>
                <c:pt idx="25">
                  <c:v>0.14583981700000051</c:v>
                </c:pt>
                <c:pt idx="26">
                  <c:v>0.54307078800000042</c:v>
                </c:pt>
                <c:pt idx="27">
                  <c:v>0.95099658100000228</c:v>
                </c:pt>
                <c:pt idx="28">
                  <c:v>5.9326363999998598E-2</c:v>
                </c:pt>
                <c:pt idx="29">
                  <c:v>0</c:v>
                </c:pt>
                <c:pt idx="30">
                  <c:v>0</c:v>
                </c:pt>
                <c:pt idx="31">
                  <c:v>5.1425540472914213E-3</c:v>
                </c:pt>
                <c:pt idx="32">
                  <c:v>1.18517427109337E-4</c:v>
                </c:pt>
                <c:pt idx="33">
                  <c:v>1.7129437137885688E-3</c:v>
                </c:pt>
                <c:pt idx="34">
                  <c:v>0</c:v>
                </c:pt>
                <c:pt idx="35">
                  <c:v>1.6140540000000199E-3</c:v>
                </c:pt>
                <c:pt idx="36">
                  <c:v>0</c:v>
                </c:pt>
                <c:pt idx="37">
                  <c:v>0</c:v>
                </c:pt>
                <c:pt idx="38">
                  <c:v>0</c:v>
                </c:pt>
                <c:pt idx="39">
                  <c:v>2.06601E-4</c:v>
                </c:pt>
                <c:pt idx="40">
                  <c:v>1.9424199999999877E-4</c:v>
                </c:pt>
                <c:pt idx="41">
                  <c:v>0</c:v>
                </c:pt>
                <c:pt idx="42">
                  <c:v>0</c:v>
                </c:pt>
                <c:pt idx="43">
                  <c:v>0.104110541</c:v>
                </c:pt>
                <c:pt idx="44">
                  <c:v>2.0112566999999502E-2</c:v>
                </c:pt>
                <c:pt idx="45">
                  <c:v>1.3954444000000088E-2</c:v>
                </c:pt>
                <c:pt idx="46">
                  <c:v>1.5189425999999799E-2</c:v>
                </c:pt>
                <c:pt idx="47">
                  <c:v>2.4358289999999901E-2</c:v>
                </c:pt>
                <c:pt idx="48">
                  <c:v>0.218549410000001</c:v>
                </c:pt>
                <c:pt idx="49">
                  <c:v>1.32087735099999</c:v>
                </c:pt>
                <c:pt idx="50">
                  <c:v>0.13623905999027699</c:v>
                </c:pt>
                <c:pt idx="51">
                  <c:v>1.5083082489795799E-2</c:v>
                </c:pt>
                <c:pt idx="52">
                  <c:v>0.25562642332700297</c:v>
                </c:pt>
                <c:pt idx="53">
                  <c:v>7.0506574999999197E-2</c:v>
                </c:pt>
              </c:numCache>
            </c:numRef>
          </c:val>
          <c:extLst xmlns:c16r2="http://schemas.microsoft.com/office/drawing/2015/06/chart">
            <c:ext xmlns:c16="http://schemas.microsoft.com/office/drawing/2014/chart" uri="{C3380CC4-5D6E-409C-BE32-E72D297353CC}">
              <c16:uniqueId val="{00000000-B218-4535-8CDE-ACC72ACF9722}"/>
            </c:ext>
          </c:extLst>
        </c:ser>
        <c:dLbls>
          <c:showLegendKey val="0"/>
          <c:showVal val="0"/>
          <c:showCatName val="0"/>
          <c:showSerName val="0"/>
          <c:showPercent val="0"/>
          <c:showBubbleSize val="0"/>
        </c:dLbls>
        <c:gapWidth val="219"/>
        <c:overlap val="-27"/>
        <c:axId val="133472256"/>
        <c:axId val="133474176"/>
      </c:barChart>
      <c:catAx>
        <c:axId val="13347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474176"/>
        <c:crosses val="autoZero"/>
        <c:auto val="1"/>
        <c:lblAlgn val="ctr"/>
        <c:lblOffset val="100"/>
        <c:noMultiLvlLbl val="0"/>
      </c:catAx>
      <c:valAx>
        <c:axId val="133474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Indicative Net Benefit ($m/year)</a:t>
                </a:r>
              </a:p>
            </c:rich>
          </c:tx>
          <c:layout>
            <c:manualLayout>
              <c:xMode val="edge"/>
              <c:yMode val="edge"/>
              <c:x val="1.2894738522648171E-3"/>
              <c:y val="0.18724879539311318"/>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334722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Indicative Net Benefits of LSI Renewables</a:t>
            </a:r>
          </a:p>
        </c:rich>
      </c:tx>
      <c:overlay val="0"/>
      <c:spPr>
        <a:noFill/>
        <a:ln>
          <a:noFill/>
        </a:ln>
        <a:effectLst/>
      </c:spPr>
    </c:title>
    <c:autoTitleDeleted val="0"/>
    <c:plotArea>
      <c:layout>
        <c:manualLayout>
          <c:layoutTarget val="inner"/>
          <c:xMode val="edge"/>
          <c:yMode val="edge"/>
          <c:x val="7.3850987604651613E-2"/>
          <c:y val="0.12301824212271974"/>
          <c:w val="0.90830635221692169"/>
          <c:h val="0.57667045350674451"/>
        </c:manualLayout>
      </c:layout>
      <c:barChart>
        <c:barDir val="col"/>
        <c:grouping val="clustered"/>
        <c:varyColors val="0"/>
        <c:ser>
          <c:idx val="0"/>
          <c:order val="0"/>
          <c:spPr>
            <a:solidFill>
              <a:schemeClr val="accent1"/>
            </a:solidFill>
            <a:ln>
              <a:noFill/>
            </a:ln>
            <a:effectLst/>
          </c:spPr>
          <c:invertIfNegative val="0"/>
          <c:cat>
            <c:strRef>
              <c:f>'Beneficiary graphs'!$B$5:$B$58</c:f>
              <c:strCache>
                <c:ptCount val="54"/>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1">
                  <c:v>Contact</c:v>
                </c:pt>
                <c:pt idx="32">
                  <c:v>Genesis</c:v>
                </c:pt>
                <c:pt idx="33">
                  <c:v>Meridian</c:v>
                </c:pt>
                <c:pt idx="34">
                  <c:v>Tuaropaki</c:v>
                </c:pt>
                <c:pt idx="35">
                  <c:v>Mercury</c:v>
                </c:pt>
                <c:pt idx="36">
                  <c:v>Nga Awa Purua JV</c:v>
                </c:pt>
                <c:pt idx="37">
                  <c:v>Ngatamariki</c:v>
                </c:pt>
                <c:pt idx="38">
                  <c:v>Pioneer</c:v>
                </c:pt>
                <c:pt idx="39">
                  <c:v>Todd</c:v>
                </c:pt>
                <c:pt idx="40">
                  <c:v>Trustpower</c:v>
                </c:pt>
                <c:pt idx="43">
                  <c:v>Carter Holt Harvey</c:v>
                </c:pt>
                <c:pt idx="44">
                  <c:v>Daiken MDF</c:v>
                </c:pt>
                <c:pt idx="45">
                  <c:v>Kiwirail</c:v>
                </c:pt>
                <c:pt idx="46">
                  <c:v>Methanex</c:v>
                </c:pt>
                <c:pt idx="47">
                  <c:v>Norske Skog</c:v>
                </c:pt>
                <c:pt idx="48">
                  <c:v>NZ Steel</c:v>
                </c:pt>
                <c:pt idx="49">
                  <c:v>NZ Aluminium Smelter</c:v>
                </c:pt>
                <c:pt idx="50">
                  <c:v>Pan Pac</c:v>
                </c:pt>
                <c:pt idx="51">
                  <c:v>Rayonier</c:v>
                </c:pt>
                <c:pt idx="52">
                  <c:v>Refining NZ</c:v>
                </c:pt>
                <c:pt idx="53">
                  <c:v>Winstones</c:v>
                </c:pt>
              </c:strCache>
            </c:strRef>
          </c:cat>
          <c:val>
            <c:numRef>
              <c:f>'Beneficiary graphs'!$J$5:$J$58</c:f>
              <c:numCache>
                <c:formatCode>_-* #,##0.000_-;\-* #,##0.000_-;_-* "-"??_-;_-@_-</c:formatCode>
                <c:ptCount val="54"/>
                <c:pt idx="0">
                  <c:v>6.681711450000119E-2</c:v>
                </c:pt>
                <c:pt idx="1">
                  <c:v>0.35519237607665777</c:v>
                </c:pt>
                <c:pt idx="2">
                  <c:v>1.0601284000000141E-2</c:v>
                </c:pt>
                <c:pt idx="3">
                  <c:v>5.3508800000000799E-4</c:v>
                </c:pt>
                <c:pt idx="4">
                  <c:v>8.3274099999998809E-4</c:v>
                </c:pt>
                <c:pt idx="5">
                  <c:v>1.0498119999999501E-3</c:v>
                </c:pt>
                <c:pt idx="6">
                  <c:v>0</c:v>
                </c:pt>
                <c:pt idx="7">
                  <c:v>2.9242175000000599E-2</c:v>
                </c:pt>
                <c:pt idx="8">
                  <c:v>9.7690835466109599E-2</c:v>
                </c:pt>
                <c:pt idx="9">
                  <c:v>1.2726760000000259E-3</c:v>
                </c:pt>
                <c:pt idx="10">
                  <c:v>1.7282078476996301E-4</c:v>
                </c:pt>
                <c:pt idx="11">
                  <c:v>6.3401774000001077E-2</c:v>
                </c:pt>
                <c:pt idx="12">
                  <c:v>5.5039723000000297E-2</c:v>
                </c:pt>
                <c:pt idx="13">
                  <c:v>9.0240108999999832E-2</c:v>
                </c:pt>
                <c:pt idx="14">
                  <c:v>6.8970830020732191E-2</c:v>
                </c:pt>
                <c:pt idx="15">
                  <c:v>8.2175699999997799E-4</c:v>
                </c:pt>
                <c:pt idx="16">
                  <c:v>0.35502011599999656</c:v>
                </c:pt>
                <c:pt idx="17">
                  <c:v>0.15641937679202664</c:v>
                </c:pt>
                <c:pt idx="18">
                  <c:v>6.3921929999999584E-3</c:v>
                </c:pt>
                <c:pt idx="19">
                  <c:v>3.1063099999999503E-4</c:v>
                </c:pt>
                <c:pt idx="20">
                  <c:v>2.8643579999999905E-3</c:v>
                </c:pt>
                <c:pt idx="21">
                  <c:v>0.32602918753388771</c:v>
                </c:pt>
                <c:pt idx="22">
                  <c:v>5.4584130000000499E-3</c:v>
                </c:pt>
                <c:pt idx="23">
                  <c:v>6.7492109999999156E-3</c:v>
                </c:pt>
                <c:pt idx="24">
                  <c:v>2.6840503391294079E-2</c:v>
                </c:pt>
                <c:pt idx="25">
                  <c:v>1.5051000000012399E-5</c:v>
                </c:pt>
                <c:pt idx="26">
                  <c:v>1.31173099999993E-3</c:v>
                </c:pt>
                <c:pt idx="27">
                  <c:v>5.0181200000000599E-4</c:v>
                </c:pt>
                <c:pt idx="28">
                  <c:v>2.8156214000000297E-2</c:v>
                </c:pt>
                <c:pt idx="29">
                  <c:v>0</c:v>
                </c:pt>
                <c:pt idx="30">
                  <c:v>0</c:v>
                </c:pt>
                <c:pt idx="31">
                  <c:v>9.8654917767568073E-2</c:v>
                </c:pt>
                <c:pt idx="32">
                  <c:v>5.4173024592274625E-2</c:v>
                </c:pt>
                <c:pt idx="33">
                  <c:v>0.11678435347926659</c:v>
                </c:pt>
                <c:pt idx="34">
                  <c:v>0</c:v>
                </c:pt>
                <c:pt idx="35">
                  <c:v>3.3311195000000023E-2</c:v>
                </c:pt>
                <c:pt idx="36">
                  <c:v>0</c:v>
                </c:pt>
                <c:pt idx="37">
                  <c:v>0</c:v>
                </c:pt>
                <c:pt idx="38">
                  <c:v>0</c:v>
                </c:pt>
                <c:pt idx="39">
                  <c:v>4.0250890000000008E-3</c:v>
                </c:pt>
                <c:pt idx="40">
                  <c:v>8.0393930000000023E-3</c:v>
                </c:pt>
                <c:pt idx="41">
                  <c:v>0</c:v>
                </c:pt>
                <c:pt idx="42">
                  <c:v>0</c:v>
                </c:pt>
                <c:pt idx="43">
                  <c:v>3.3145120000000303E-3</c:v>
                </c:pt>
                <c:pt idx="44">
                  <c:v>7.7805720000001998E-3</c:v>
                </c:pt>
                <c:pt idx="45">
                  <c:v>3.3718600000000158E-4</c:v>
                </c:pt>
                <c:pt idx="46">
                  <c:v>4.6181400000000299E-4</c:v>
                </c:pt>
                <c:pt idx="47">
                  <c:v>0</c:v>
                </c:pt>
                <c:pt idx="48">
                  <c:v>2.2611950000000301E-3</c:v>
                </c:pt>
                <c:pt idx="49">
                  <c:v>1.9118282279999901</c:v>
                </c:pt>
                <c:pt idx="50">
                  <c:v>2.8968723685155102E-3</c:v>
                </c:pt>
                <c:pt idx="51">
                  <c:v>2.1625643140973903E-2</c:v>
                </c:pt>
                <c:pt idx="52">
                  <c:v>0</c:v>
                </c:pt>
                <c:pt idx="53">
                  <c:v>0</c:v>
                </c:pt>
              </c:numCache>
            </c:numRef>
          </c:val>
          <c:extLst xmlns:c16r2="http://schemas.microsoft.com/office/drawing/2015/06/chart">
            <c:ext xmlns:c16="http://schemas.microsoft.com/office/drawing/2014/chart" uri="{C3380CC4-5D6E-409C-BE32-E72D297353CC}">
              <c16:uniqueId val="{00000000-C7A1-41C7-B1CB-C159D9D8A7AE}"/>
            </c:ext>
          </c:extLst>
        </c:ser>
        <c:dLbls>
          <c:showLegendKey val="0"/>
          <c:showVal val="0"/>
          <c:showCatName val="0"/>
          <c:showSerName val="0"/>
          <c:showPercent val="0"/>
          <c:showBubbleSize val="0"/>
        </c:dLbls>
        <c:gapWidth val="219"/>
        <c:overlap val="-27"/>
        <c:axId val="134618112"/>
        <c:axId val="192509056"/>
      </c:barChart>
      <c:catAx>
        <c:axId val="134618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509056"/>
        <c:crosses val="autoZero"/>
        <c:auto val="1"/>
        <c:lblAlgn val="ctr"/>
        <c:lblOffset val="100"/>
        <c:noMultiLvlLbl val="0"/>
      </c:catAx>
      <c:valAx>
        <c:axId val="1925090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Indicative Net Benefit ($m/year)</a:t>
                </a:r>
              </a:p>
            </c:rich>
          </c:tx>
          <c:layout>
            <c:manualLayout>
              <c:xMode val="edge"/>
              <c:yMode val="edge"/>
              <c:x val="1.2894738522648171E-3"/>
              <c:y val="0.18724879539311318"/>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346181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Indicative Net Benefits of Wairakei</a:t>
            </a:r>
            <a:r>
              <a:rPr lang="en-US" baseline="0"/>
              <a:t> Ring</a:t>
            </a:r>
            <a:endParaRPr lang="en-US"/>
          </a:p>
        </c:rich>
      </c:tx>
      <c:overlay val="0"/>
      <c:spPr>
        <a:noFill/>
        <a:ln>
          <a:noFill/>
        </a:ln>
        <a:effectLst/>
      </c:spPr>
    </c:title>
    <c:autoTitleDeleted val="0"/>
    <c:plotArea>
      <c:layout>
        <c:manualLayout>
          <c:layoutTarget val="inner"/>
          <c:xMode val="edge"/>
          <c:yMode val="edge"/>
          <c:x val="7.3850987604651613E-2"/>
          <c:y val="0.12301824212271974"/>
          <c:w val="0.90830635221692169"/>
          <c:h val="0.57667045350674451"/>
        </c:manualLayout>
      </c:layout>
      <c:barChart>
        <c:barDir val="col"/>
        <c:grouping val="clustered"/>
        <c:varyColors val="0"/>
        <c:ser>
          <c:idx val="0"/>
          <c:order val="0"/>
          <c:spPr>
            <a:solidFill>
              <a:schemeClr val="accent1"/>
            </a:solidFill>
            <a:ln>
              <a:noFill/>
            </a:ln>
            <a:effectLst/>
          </c:spPr>
          <c:invertIfNegative val="0"/>
          <c:cat>
            <c:strRef>
              <c:f>'Beneficiary graphs'!$B$5:$B$58</c:f>
              <c:strCache>
                <c:ptCount val="54"/>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1">
                  <c:v>Contact</c:v>
                </c:pt>
                <c:pt idx="32">
                  <c:v>Genesis</c:v>
                </c:pt>
                <c:pt idx="33">
                  <c:v>Meridian</c:v>
                </c:pt>
                <c:pt idx="34">
                  <c:v>Tuaropaki</c:v>
                </c:pt>
                <c:pt idx="35">
                  <c:v>Mercury</c:v>
                </c:pt>
                <c:pt idx="36">
                  <c:v>Nga Awa Purua JV</c:v>
                </c:pt>
                <c:pt idx="37">
                  <c:v>Ngatamariki</c:v>
                </c:pt>
                <c:pt idx="38">
                  <c:v>Pioneer</c:v>
                </c:pt>
                <c:pt idx="39">
                  <c:v>Todd</c:v>
                </c:pt>
                <c:pt idx="40">
                  <c:v>Trustpower</c:v>
                </c:pt>
                <c:pt idx="43">
                  <c:v>Carter Holt Harvey</c:v>
                </c:pt>
                <c:pt idx="44">
                  <c:v>Daiken MDF</c:v>
                </c:pt>
                <c:pt idx="45">
                  <c:v>Kiwirail</c:v>
                </c:pt>
                <c:pt idx="46">
                  <c:v>Methanex</c:v>
                </c:pt>
                <c:pt idx="47">
                  <c:v>Norske Skog</c:v>
                </c:pt>
                <c:pt idx="48">
                  <c:v>NZ Steel</c:v>
                </c:pt>
                <c:pt idx="49">
                  <c:v>NZ Aluminium Smelter</c:v>
                </c:pt>
                <c:pt idx="50">
                  <c:v>Pan Pac</c:v>
                </c:pt>
                <c:pt idx="51">
                  <c:v>Rayonier</c:v>
                </c:pt>
                <c:pt idx="52">
                  <c:v>Refining NZ</c:v>
                </c:pt>
                <c:pt idx="53">
                  <c:v>Winstones</c:v>
                </c:pt>
              </c:strCache>
            </c:strRef>
          </c:cat>
          <c:val>
            <c:numRef>
              <c:f>'Beneficiary graphs'!$K$5:$K$58</c:f>
              <c:numCache>
                <c:formatCode>_-* #,##0.000_-;\-* #,##0.000_-;_-* "-"??_-;_-@_-</c:formatCode>
                <c:ptCount val="54"/>
                <c:pt idx="0">
                  <c:v>0.67167007511924581</c:v>
                </c:pt>
                <c:pt idx="1">
                  <c:v>0.91536661717810897</c:v>
                </c:pt>
                <c:pt idx="2">
                  <c:v>8.0827183999999885E-2</c:v>
                </c:pt>
                <c:pt idx="3">
                  <c:v>0.107910125999999</c:v>
                </c:pt>
                <c:pt idx="4">
                  <c:v>0.66609586399999798</c:v>
                </c:pt>
                <c:pt idx="5">
                  <c:v>0</c:v>
                </c:pt>
                <c:pt idx="6">
                  <c:v>0.39968856199999997</c:v>
                </c:pt>
                <c:pt idx="7">
                  <c:v>0.52949170800000001</c:v>
                </c:pt>
                <c:pt idx="8">
                  <c:v>0.19848801436622401</c:v>
                </c:pt>
                <c:pt idx="9">
                  <c:v>0.38411762599999993</c:v>
                </c:pt>
                <c:pt idx="10">
                  <c:v>7.9541057345169693E-3</c:v>
                </c:pt>
                <c:pt idx="11">
                  <c:v>0.47183297699999888</c:v>
                </c:pt>
                <c:pt idx="12">
                  <c:v>0.35987054800000001</c:v>
                </c:pt>
                <c:pt idx="13">
                  <c:v>0.70157323999999899</c:v>
                </c:pt>
                <c:pt idx="14">
                  <c:v>0.25345138406093792</c:v>
                </c:pt>
                <c:pt idx="15">
                  <c:v>1.3613980267722978</c:v>
                </c:pt>
                <c:pt idx="16">
                  <c:v>2.5116730729999888</c:v>
                </c:pt>
                <c:pt idx="17">
                  <c:v>0.30275306040023586</c:v>
                </c:pt>
                <c:pt idx="18">
                  <c:v>5.2121686751037384</c:v>
                </c:pt>
                <c:pt idx="19">
                  <c:v>8.4291990999999705E-2</c:v>
                </c:pt>
                <c:pt idx="20">
                  <c:v>0.30401664830269359</c:v>
                </c:pt>
                <c:pt idx="21">
                  <c:v>0.61745496663377197</c:v>
                </c:pt>
                <c:pt idx="22">
                  <c:v>0.463417883999998</c:v>
                </c:pt>
                <c:pt idx="23">
                  <c:v>0.49319079199999966</c:v>
                </c:pt>
                <c:pt idx="24">
                  <c:v>15.58447921924998</c:v>
                </c:pt>
                <c:pt idx="25">
                  <c:v>0.70525011300000007</c:v>
                </c:pt>
                <c:pt idx="26">
                  <c:v>2.3254866180000029</c:v>
                </c:pt>
                <c:pt idx="27">
                  <c:v>2.2539029509999917</c:v>
                </c:pt>
                <c:pt idx="28">
                  <c:v>0.1676586479999998</c:v>
                </c:pt>
                <c:pt idx="29">
                  <c:v>0</c:v>
                </c:pt>
                <c:pt idx="30">
                  <c:v>0</c:v>
                </c:pt>
                <c:pt idx="31">
                  <c:v>2.4205088479900221</c:v>
                </c:pt>
                <c:pt idx="32">
                  <c:v>0.96135374217882286</c:v>
                </c:pt>
                <c:pt idx="33">
                  <c:v>4.0891058198158697E-3</c:v>
                </c:pt>
                <c:pt idx="34">
                  <c:v>0</c:v>
                </c:pt>
                <c:pt idx="35">
                  <c:v>0.74064572799999684</c:v>
                </c:pt>
                <c:pt idx="36">
                  <c:v>1.18099032699999</c:v>
                </c:pt>
                <c:pt idx="37">
                  <c:v>0.70772691899999896</c:v>
                </c:pt>
                <c:pt idx="38">
                  <c:v>0</c:v>
                </c:pt>
                <c:pt idx="39">
                  <c:v>3.9602599999999898E-4</c:v>
                </c:pt>
                <c:pt idx="40">
                  <c:v>2.9735999999999874E-4</c:v>
                </c:pt>
                <c:pt idx="41">
                  <c:v>0</c:v>
                </c:pt>
                <c:pt idx="42">
                  <c:v>0</c:v>
                </c:pt>
                <c:pt idx="43">
                  <c:v>0.21681274200000097</c:v>
                </c:pt>
                <c:pt idx="44">
                  <c:v>4.9597469000000102E-2</c:v>
                </c:pt>
                <c:pt idx="45">
                  <c:v>4.3559160000000076E-2</c:v>
                </c:pt>
                <c:pt idx="46">
                  <c:v>4.8227062000000001E-2</c:v>
                </c:pt>
                <c:pt idx="47">
                  <c:v>3.9692698999999901E-2</c:v>
                </c:pt>
                <c:pt idx="48">
                  <c:v>0.97541169100000003</c:v>
                </c:pt>
                <c:pt idx="49">
                  <c:v>3.37047457500001</c:v>
                </c:pt>
                <c:pt idx="50">
                  <c:v>0</c:v>
                </c:pt>
                <c:pt idx="51">
                  <c:v>3.8941485558037205E-2</c:v>
                </c:pt>
                <c:pt idx="52">
                  <c:v>0.44889658322770104</c:v>
                </c:pt>
                <c:pt idx="53">
                  <c:v>0</c:v>
                </c:pt>
              </c:numCache>
            </c:numRef>
          </c:val>
          <c:extLst xmlns:c16r2="http://schemas.microsoft.com/office/drawing/2015/06/chart">
            <c:ext xmlns:c16="http://schemas.microsoft.com/office/drawing/2014/chart" uri="{C3380CC4-5D6E-409C-BE32-E72D297353CC}">
              <c16:uniqueId val="{00000000-5431-41AB-8D49-588B5C294B14}"/>
            </c:ext>
          </c:extLst>
        </c:ser>
        <c:dLbls>
          <c:showLegendKey val="0"/>
          <c:showVal val="0"/>
          <c:showCatName val="0"/>
          <c:showSerName val="0"/>
          <c:showPercent val="0"/>
          <c:showBubbleSize val="0"/>
        </c:dLbls>
        <c:gapWidth val="219"/>
        <c:overlap val="-27"/>
        <c:axId val="213695104"/>
        <c:axId val="215290240"/>
      </c:barChart>
      <c:catAx>
        <c:axId val="21369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290240"/>
        <c:crosses val="autoZero"/>
        <c:auto val="1"/>
        <c:lblAlgn val="ctr"/>
        <c:lblOffset val="100"/>
        <c:noMultiLvlLbl val="0"/>
      </c:catAx>
      <c:valAx>
        <c:axId val="215290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Indicative Net Benefit ($m/year)</a:t>
                </a:r>
              </a:p>
            </c:rich>
          </c:tx>
          <c:layout>
            <c:manualLayout>
              <c:xMode val="edge"/>
              <c:yMode val="edge"/>
              <c:x val="1.2894738522648171E-3"/>
              <c:y val="0.18724879539311318"/>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1369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Customer Net Benefits as a Proportion of</a:t>
            </a:r>
            <a:r>
              <a:rPr lang="en-US" baseline="0"/>
              <a:t> Total Net Benefit (NIGU)</a:t>
            </a:r>
            <a:r>
              <a:rPr lang="en-US"/>
              <a:t> </a:t>
            </a:r>
          </a:p>
        </c:rich>
      </c:tx>
      <c:overlay val="0"/>
      <c:spPr>
        <a:noFill/>
        <a:ln>
          <a:noFill/>
        </a:ln>
        <a:effectLst/>
      </c:spPr>
    </c:title>
    <c:autoTitleDeleted val="0"/>
    <c:plotArea>
      <c:layout>
        <c:manualLayout>
          <c:layoutTarget val="inner"/>
          <c:xMode val="edge"/>
          <c:yMode val="edge"/>
          <c:x val="7.3850987604651613E-2"/>
          <c:y val="0.12301824212271974"/>
          <c:w val="0.90830635221692169"/>
          <c:h val="0.57667045350674451"/>
        </c:manualLayout>
      </c:layout>
      <c:barChart>
        <c:barDir val="col"/>
        <c:grouping val="clustered"/>
        <c:varyColors val="0"/>
        <c:ser>
          <c:idx val="0"/>
          <c:order val="0"/>
          <c:tx>
            <c:strRef>
              <c:f>'Beneficiary graphs'!$M$4</c:f>
              <c:strCache>
                <c:ptCount val="1"/>
                <c:pt idx="0">
                  <c:v>NIGU 1900MW constraint</c:v>
                </c:pt>
              </c:strCache>
            </c:strRef>
          </c:tx>
          <c:spPr>
            <a:solidFill>
              <a:schemeClr val="accent1"/>
            </a:solidFill>
            <a:ln>
              <a:noFill/>
            </a:ln>
            <a:effectLst/>
          </c:spPr>
          <c:invertIfNegative val="0"/>
          <c:cat>
            <c:strRef>
              <c:f>'Beneficiary graphs'!$B$5:$B$58</c:f>
              <c:strCache>
                <c:ptCount val="54"/>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1">
                  <c:v>Contact</c:v>
                </c:pt>
                <c:pt idx="32">
                  <c:v>Genesis</c:v>
                </c:pt>
                <c:pt idx="33">
                  <c:v>Meridian</c:v>
                </c:pt>
                <c:pt idx="34">
                  <c:v>Tuaropaki</c:v>
                </c:pt>
                <c:pt idx="35">
                  <c:v>Mercury</c:v>
                </c:pt>
                <c:pt idx="36">
                  <c:v>Nga Awa Purua JV</c:v>
                </c:pt>
                <c:pt idx="37">
                  <c:v>Ngatamariki</c:v>
                </c:pt>
                <c:pt idx="38">
                  <c:v>Pioneer</c:v>
                </c:pt>
                <c:pt idx="39">
                  <c:v>Todd</c:v>
                </c:pt>
                <c:pt idx="40">
                  <c:v>Trustpower</c:v>
                </c:pt>
                <c:pt idx="43">
                  <c:v>Carter Holt Harvey</c:v>
                </c:pt>
                <c:pt idx="44">
                  <c:v>Daiken MDF</c:v>
                </c:pt>
                <c:pt idx="45">
                  <c:v>Kiwirail</c:v>
                </c:pt>
                <c:pt idx="46">
                  <c:v>Methanex</c:v>
                </c:pt>
                <c:pt idx="47">
                  <c:v>Norske Skog</c:v>
                </c:pt>
                <c:pt idx="48">
                  <c:v>NZ Steel</c:v>
                </c:pt>
                <c:pt idx="49">
                  <c:v>NZ Aluminium Smelter</c:v>
                </c:pt>
                <c:pt idx="50">
                  <c:v>Pan Pac</c:v>
                </c:pt>
                <c:pt idx="51">
                  <c:v>Rayonier</c:v>
                </c:pt>
                <c:pt idx="52">
                  <c:v>Refining NZ</c:v>
                </c:pt>
                <c:pt idx="53">
                  <c:v>Winstones</c:v>
                </c:pt>
              </c:strCache>
            </c:strRef>
          </c:cat>
          <c:val>
            <c:numRef>
              <c:f>'Beneficiary graphs'!$M$5:$M$58</c:f>
              <c:numCache>
                <c:formatCode>0.0%</c:formatCode>
                <c:ptCount val="54"/>
                <c:pt idx="0">
                  <c:v>1.4655413501228473E-3</c:v>
                </c:pt>
                <c:pt idx="1">
                  <c:v>6.5384576272746545E-5</c:v>
                </c:pt>
                <c:pt idx="2">
                  <c:v>1.4010459869188163E-4</c:v>
                </c:pt>
                <c:pt idx="3">
                  <c:v>1.0147488910382337E-4</c:v>
                </c:pt>
                <c:pt idx="4">
                  <c:v>3.3714461095772981E-2</c:v>
                </c:pt>
                <c:pt idx="5">
                  <c:v>0</c:v>
                </c:pt>
                <c:pt idx="6">
                  <c:v>6.5523956800510961E-5</c:v>
                </c:pt>
                <c:pt idx="7">
                  <c:v>1.4440321212595389E-3</c:v>
                </c:pt>
                <c:pt idx="8">
                  <c:v>8.9156228514983789E-5</c:v>
                </c:pt>
                <c:pt idx="9">
                  <c:v>0</c:v>
                </c:pt>
                <c:pt idx="10">
                  <c:v>0</c:v>
                </c:pt>
                <c:pt idx="11">
                  <c:v>3.9487682186188395E-4</c:v>
                </c:pt>
                <c:pt idx="12">
                  <c:v>3.3244613577917563E-4</c:v>
                </c:pt>
                <c:pt idx="13">
                  <c:v>2.1834735573284867E-4</c:v>
                </c:pt>
                <c:pt idx="14">
                  <c:v>5.386696883213696E-4</c:v>
                </c:pt>
                <c:pt idx="15">
                  <c:v>6.409233894433583E-2</c:v>
                </c:pt>
                <c:pt idx="16">
                  <c:v>1.1728368975458844E-3</c:v>
                </c:pt>
                <c:pt idx="17">
                  <c:v>7.675010521797156E-4</c:v>
                </c:pt>
                <c:pt idx="18">
                  <c:v>7.54601407033183E-3</c:v>
                </c:pt>
                <c:pt idx="19">
                  <c:v>7.9455571124543902E-5</c:v>
                </c:pt>
                <c:pt idx="20">
                  <c:v>4.617575050354518E-4</c:v>
                </c:pt>
                <c:pt idx="21">
                  <c:v>1.1897063225358351E-3</c:v>
                </c:pt>
                <c:pt idx="22">
                  <c:v>2.348105522504678E-2</c:v>
                </c:pt>
                <c:pt idx="23">
                  <c:v>0</c:v>
                </c:pt>
                <c:pt idx="24">
                  <c:v>0.75181238519913818</c:v>
                </c:pt>
                <c:pt idx="25">
                  <c:v>1.7308466210753629E-3</c:v>
                </c:pt>
                <c:pt idx="26">
                  <c:v>8.3076158319402398E-3</c:v>
                </c:pt>
                <c:pt idx="27">
                  <c:v>1.1471641367261377E-4</c:v>
                </c:pt>
                <c:pt idx="28">
                  <c:v>4.0568459468372036E-4</c:v>
                </c:pt>
                <c:pt idx="29">
                  <c:v>0</c:v>
                </c:pt>
                <c:pt idx="30">
                  <c:v>0</c:v>
                </c:pt>
                <c:pt idx="31">
                  <c:v>2.8209626968594332E-3</c:v>
                </c:pt>
                <c:pt idx="32">
                  <c:v>6.3458791487140094E-3</c:v>
                </c:pt>
                <c:pt idx="33">
                  <c:v>1.407261290685736E-4</c:v>
                </c:pt>
                <c:pt idx="34">
                  <c:v>8.1962635197126653E-4</c:v>
                </c:pt>
                <c:pt idx="35">
                  <c:v>1.3806707562411164E-2</c:v>
                </c:pt>
                <c:pt idx="36">
                  <c:v>5.7238464852290649E-4</c:v>
                </c:pt>
                <c:pt idx="37">
                  <c:v>3.8911566494358326E-4</c:v>
                </c:pt>
                <c:pt idx="38">
                  <c:v>0</c:v>
                </c:pt>
                <c:pt idx="39">
                  <c:v>2.9161051640378782E-4</c:v>
                </c:pt>
                <c:pt idx="40">
                  <c:v>2.6016168485873759E-3</c:v>
                </c:pt>
                <c:pt idx="41">
                  <c:v>0</c:v>
                </c:pt>
                <c:pt idx="42">
                  <c:v>0</c:v>
                </c:pt>
                <c:pt idx="43">
                  <c:v>5.238110062380421E-4</c:v>
                </c:pt>
                <c:pt idx="44">
                  <c:v>1.0576726163646926E-4</c:v>
                </c:pt>
                <c:pt idx="45">
                  <c:v>3.1875330221460899E-4</c:v>
                </c:pt>
                <c:pt idx="46">
                  <c:v>1.8447882140273372E-4</c:v>
                </c:pt>
                <c:pt idx="47">
                  <c:v>7.6541932916342952E-4</c:v>
                </c:pt>
                <c:pt idx="48">
                  <c:v>4.2045511093563664E-2</c:v>
                </c:pt>
                <c:pt idx="49">
                  <c:v>7.8769827633615105E-3</c:v>
                </c:pt>
                <c:pt idx="50">
                  <c:v>4.485727456649341E-4</c:v>
                </c:pt>
                <c:pt idx="51">
                  <c:v>8.9540032227629961E-5</c:v>
                </c:pt>
                <c:pt idx="52">
                  <c:v>2.007323584282579E-2</c:v>
                </c:pt>
                <c:pt idx="53">
                  <c:v>4.7365167338088967E-5</c:v>
                </c:pt>
              </c:numCache>
            </c:numRef>
          </c:val>
          <c:extLst xmlns:c16r2="http://schemas.microsoft.com/office/drawing/2015/06/chart">
            <c:ext xmlns:c16="http://schemas.microsoft.com/office/drawing/2014/chart" uri="{C3380CC4-5D6E-409C-BE32-E72D297353CC}">
              <c16:uniqueId val="{00000000-5771-42C4-818D-863D9E7980C8}"/>
            </c:ext>
          </c:extLst>
        </c:ser>
        <c:ser>
          <c:idx val="1"/>
          <c:order val="1"/>
          <c:tx>
            <c:strRef>
              <c:f>'Beneficiary graphs'!$N$4</c:f>
              <c:strCache>
                <c:ptCount val="1"/>
                <c:pt idx="0">
                  <c:v>NIGU 2100MW constraint</c:v>
                </c:pt>
              </c:strCache>
            </c:strRef>
          </c:tx>
          <c:spPr>
            <a:solidFill>
              <a:schemeClr val="accent6">
                <a:lumMod val="75000"/>
              </a:schemeClr>
            </a:solidFill>
            <a:ln>
              <a:noFill/>
            </a:ln>
            <a:effectLst/>
          </c:spPr>
          <c:invertIfNegative val="0"/>
          <c:cat>
            <c:strRef>
              <c:f>'Beneficiary graphs'!$B$5:$B$58</c:f>
              <c:strCache>
                <c:ptCount val="54"/>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1">
                  <c:v>Contact</c:v>
                </c:pt>
                <c:pt idx="32">
                  <c:v>Genesis</c:v>
                </c:pt>
                <c:pt idx="33">
                  <c:v>Meridian</c:v>
                </c:pt>
                <c:pt idx="34">
                  <c:v>Tuaropaki</c:v>
                </c:pt>
                <c:pt idx="35">
                  <c:v>Mercury</c:v>
                </c:pt>
                <c:pt idx="36">
                  <c:v>Nga Awa Purua JV</c:v>
                </c:pt>
                <c:pt idx="37">
                  <c:v>Ngatamariki</c:v>
                </c:pt>
                <c:pt idx="38">
                  <c:v>Pioneer</c:v>
                </c:pt>
                <c:pt idx="39">
                  <c:v>Todd</c:v>
                </c:pt>
                <c:pt idx="40">
                  <c:v>Trustpower</c:v>
                </c:pt>
                <c:pt idx="43">
                  <c:v>Carter Holt Harvey</c:v>
                </c:pt>
                <c:pt idx="44">
                  <c:v>Daiken MDF</c:v>
                </c:pt>
                <c:pt idx="45">
                  <c:v>Kiwirail</c:v>
                </c:pt>
                <c:pt idx="46">
                  <c:v>Methanex</c:v>
                </c:pt>
                <c:pt idx="47">
                  <c:v>Norske Skog</c:v>
                </c:pt>
                <c:pt idx="48">
                  <c:v>NZ Steel</c:v>
                </c:pt>
                <c:pt idx="49">
                  <c:v>NZ Aluminium Smelter</c:v>
                </c:pt>
                <c:pt idx="50">
                  <c:v>Pan Pac</c:v>
                </c:pt>
                <c:pt idx="51">
                  <c:v>Rayonier</c:v>
                </c:pt>
                <c:pt idx="52">
                  <c:v>Refining NZ</c:v>
                </c:pt>
                <c:pt idx="53">
                  <c:v>Winstones</c:v>
                </c:pt>
              </c:strCache>
            </c:strRef>
          </c:cat>
          <c:val>
            <c:numRef>
              <c:f>'Beneficiary graphs'!$N$5:$N$58</c:f>
              <c:numCache>
                <c:formatCode>0.0%</c:formatCode>
                <c:ptCount val="54"/>
                <c:pt idx="0">
                  <c:v>1.0018433960792257E-2</c:v>
                </c:pt>
                <c:pt idx="1">
                  <c:v>1.463483656203458E-2</c:v>
                </c:pt>
                <c:pt idx="2">
                  <c:v>1.3267644973961482E-3</c:v>
                </c:pt>
                <c:pt idx="3">
                  <c:v>1.6061897618295147E-3</c:v>
                </c:pt>
                <c:pt idx="4">
                  <c:v>2.0997571636612193E-2</c:v>
                </c:pt>
                <c:pt idx="5">
                  <c:v>2.584990179504388E-3</c:v>
                </c:pt>
                <c:pt idx="6">
                  <c:v>6.0034818269848614E-3</c:v>
                </c:pt>
                <c:pt idx="7">
                  <c:v>7.4263857861567853E-3</c:v>
                </c:pt>
                <c:pt idx="8">
                  <c:v>3.0780860348869647E-3</c:v>
                </c:pt>
                <c:pt idx="9">
                  <c:v>4.1347984829859545E-3</c:v>
                </c:pt>
                <c:pt idx="10">
                  <c:v>1.2561848990804092E-4</c:v>
                </c:pt>
                <c:pt idx="11">
                  <c:v>7.4584139534278632E-3</c:v>
                </c:pt>
                <c:pt idx="12">
                  <c:v>5.7812217456443262E-3</c:v>
                </c:pt>
                <c:pt idx="13">
                  <c:v>1.1236982126074799E-2</c:v>
                </c:pt>
                <c:pt idx="14">
                  <c:v>3.4067717941461458E-3</c:v>
                </c:pt>
                <c:pt idx="15">
                  <c:v>4.3719531031908287E-2</c:v>
                </c:pt>
                <c:pt idx="16">
                  <c:v>4.2793125003120026E-2</c:v>
                </c:pt>
                <c:pt idx="17">
                  <c:v>4.9781227371461633E-3</c:v>
                </c:pt>
                <c:pt idx="18">
                  <c:v>6.6857398820827474E-2</c:v>
                </c:pt>
                <c:pt idx="19">
                  <c:v>1.1847753680638289E-3</c:v>
                </c:pt>
                <c:pt idx="20">
                  <c:v>3.6861938138972685E-3</c:v>
                </c:pt>
                <c:pt idx="21">
                  <c:v>9.6011949033739871E-3</c:v>
                </c:pt>
                <c:pt idx="22">
                  <c:v>1.7052495299583737E-2</c:v>
                </c:pt>
                <c:pt idx="23">
                  <c:v>1.4484648851495165E-2</c:v>
                </c:pt>
                <c:pt idx="24">
                  <c:v>0.49801176402516639</c:v>
                </c:pt>
                <c:pt idx="25">
                  <c:v>8.7938903121762019E-3</c:v>
                </c:pt>
                <c:pt idx="26">
                  <c:v>3.5789587287377196E-2</c:v>
                </c:pt>
                <c:pt idx="27">
                  <c:v>3.3909654593030844E-2</c:v>
                </c:pt>
                <c:pt idx="28">
                  <c:v>2.6297922420243794E-3</c:v>
                </c:pt>
                <c:pt idx="29">
                  <c:v>0</c:v>
                </c:pt>
                <c:pt idx="30">
                  <c:v>0</c:v>
                </c:pt>
                <c:pt idx="31">
                  <c:v>7.8540176572161309E-4</c:v>
                </c:pt>
                <c:pt idx="32">
                  <c:v>9.8043045007906452E-6</c:v>
                </c:pt>
                <c:pt idx="33">
                  <c:v>7.2218704043100788E-5</c:v>
                </c:pt>
                <c:pt idx="34">
                  <c:v>0</c:v>
                </c:pt>
                <c:pt idx="35">
                  <c:v>1.5204475375402124E-4</c:v>
                </c:pt>
                <c:pt idx="36">
                  <c:v>0</c:v>
                </c:pt>
                <c:pt idx="37">
                  <c:v>0</c:v>
                </c:pt>
                <c:pt idx="38">
                  <c:v>0</c:v>
                </c:pt>
                <c:pt idx="39">
                  <c:v>1.4013111048577339E-5</c:v>
                </c:pt>
                <c:pt idx="40">
                  <c:v>8.2944457677643763E-6</c:v>
                </c:pt>
                <c:pt idx="41">
                  <c:v>0</c:v>
                </c:pt>
                <c:pt idx="42">
                  <c:v>0</c:v>
                </c:pt>
                <c:pt idx="43">
                  <c:v>4.6647844883114962E-3</c:v>
                </c:pt>
                <c:pt idx="44">
                  <c:v>8.723400784061636E-4</c:v>
                </c:pt>
                <c:pt idx="45">
                  <c:v>6.7764589202152484E-4</c:v>
                </c:pt>
                <c:pt idx="46">
                  <c:v>8.2614276312941305E-4</c:v>
                </c:pt>
                <c:pt idx="47">
                  <c:v>1.1157160672276613E-3</c:v>
                </c:pt>
                <c:pt idx="48">
                  <c:v>2.9818030947931215E-2</c:v>
                </c:pt>
                <c:pt idx="49">
                  <c:v>5.6154542515983882E-2</c:v>
                </c:pt>
                <c:pt idx="50">
                  <c:v>4.4692074886955825E-3</c:v>
                </c:pt>
                <c:pt idx="51">
                  <c:v>6.2606742351535983E-4</c:v>
                </c:pt>
                <c:pt idx="52">
                  <c:v>1.4029736794235774E-2</c:v>
                </c:pt>
                <c:pt idx="53">
                  <c:v>2.3912873281300316E-3</c:v>
                </c:pt>
              </c:numCache>
            </c:numRef>
          </c:val>
          <c:extLst xmlns:c16r2="http://schemas.microsoft.com/office/drawing/2015/06/chart">
            <c:ext xmlns:c16="http://schemas.microsoft.com/office/drawing/2014/chart" uri="{C3380CC4-5D6E-409C-BE32-E72D297353CC}">
              <c16:uniqueId val="{00000001-5771-42C4-818D-863D9E7980C8}"/>
            </c:ext>
          </c:extLst>
        </c:ser>
        <c:dLbls>
          <c:showLegendKey val="0"/>
          <c:showVal val="0"/>
          <c:showCatName val="0"/>
          <c:showSerName val="0"/>
          <c:showPercent val="0"/>
          <c:showBubbleSize val="0"/>
        </c:dLbls>
        <c:gapWidth val="219"/>
        <c:overlap val="-27"/>
        <c:axId val="219969408"/>
        <c:axId val="220000640"/>
      </c:barChart>
      <c:catAx>
        <c:axId val="219969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0000640"/>
        <c:crosses val="autoZero"/>
        <c:auto val="1"/>
        <c:lblAlgn val="ctr"/>
        <c:lblOffset val="100"/>
        <c:noMultiLvlLbl val="0"/>
      </c:catAx>
      <c:valAx>
        <c:axId val="2200006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Indicative Net Benefit ($m/year)</a:t>
                </a:r>
              </a:p>
            </c:rich>
          </c:tx>
          <c:layout>
            <c:manualLayout>
              <c:xMode val="edge"/>
              <c:yMode val="edge"/>
              <c:x val="1.2894738522648171E-3"/>
              <c:y val="0.18724879539311318"/>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19969408"/>
        <c:crosses val="autoZero"/>
        <c:crossBetween val="between"/>
      </c:valAx>
      <c:spPr>
        <a:noFill/>
        <a:ln>
          <a:noFill/>
        </a:ln>
        <a:effectLst/>
      </c:spPr>
    </c:plotArea>
    <c:legend>
      <c:legendPos val="r"/>
      <c:layout>
        <c:manualLayout>
          <c:xMode val="edge"/>
          <c:yMode val="edge"/>
          <c:x val="0.60906511365065819"/>
          <c:y val="0.11250362361421241"/>
          <c:w val="0.24878650485798709"/>
          <c:h val="0.1650090753581175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NZ" sz="1800"/>
              <a:t>Indicative Area of Benefit Charge as a </a:t>
            </a:r>
            <a:r>
              <a:rPr lang="en-NZ" sz="1800" b="0" i="0" u="none" strike="noStrike" baseline="0">
                <a:effectLst/>
              </a:rPr>
              <a:t>Proportion of Total Charge</a:t>
            </a:r>
          </a:p>
        </c:rich>
      </c:tx>
      <c:layout>
        <c:manualLayout>
          <c:xMode val="edge"/>
          <c:yMode val="edge"/>
          <c:x val="0.22114065828028101"/>
          <c:y val="0"/>
        </c:manualLayout>
      </c:layout>
      <c:overlay val="0"/>
      <c:spPr>
        <a:noFill/>
        <a:ln>
          <a:noFill/>
        </a:ln>
        <a:effectLst/>
      </c:spPr>
    </c:title>
    <c:autoTitleDeleted val="0"/>
    <c:plotArea>
      <c:layout>
        <c:manualLayout>
          <c:layoutTarget val="inner"/>
          <c:xMode val="edge"/>
          <c:yMode val="edge"/>
          <c:x val="8.5298851971990108E-2"/>
          <c:y val="0.12163931927863855"/>
          <c:w val="0.89143558928475464"/>
          <c:h val="0.62728930657861315"/>
        </c:manualLayout>
      </c:layout>
      <c:barChart>
        <c:barDir val="col"/>
        <c:grouping val="clustered"/>
        <c:varyColors val="0"/>
        <c:ser>
          <c:idx val="0"/>
          <c:order val="0"/>
          <c:spPr>
            <a:solidFill>
              <a:schemeClr val="accent1"/>
            </a:solidFill>
            <a:ln>
              <a:noFill/>
            </a:ln>
            <a:effectLst/>
          </c:spPr>
          <c:invertIfNegative val="0"/>
          <c:cat>
            <c:strRef>
              <c:f>'Charges to party by investment'!$AJ$9:$AJ$62</c:f>
              <c:strCache>
                <c:ptCount val="54"/>
                <c:pt idx="0">
                  <c:v>Alpine Energy</c:v>
                </c:pt>
                <c:pt idx="1">
                  <c:v>Aurora Energy</c:v>
                </c:pt>
                <c:pt idx="2">
                  <c:v>Buller Electricity</c:v>
                </c:pt>
                <c:pt idx="3">
                  <c:v>Centralines</c:v>
                </c:pt>
                <c:pt idx="4">
                  <c:v>Counties Power</c:v>
                </c:pt>
                <c:pt idx="5">
                  <c:v>Eastland Network</c:v>
                </c:pt>
                <c:pt idx="6">
                  <c:v>Electra</c:v>
                </c:pt>
                <c:pt idx="7">
                  <c:v>Electricity Ashburton</c:v>
                </c:pt>
                <c:pt idx="8">
                  <c:v>Electricity Invercargill</c:v>
                </c:pt>
                <c:pt idx="9">
                  <c:v>Horizon</c:v>
                </c:pt>
                <c:pt idx="10">
                  <c:v>Lakeland Network</c:v>
                </c:pt>
                <c:pt idx="11">
                  <c:v>Mainpower</c:v>
                </c:pt>
                <c:pt idx="12">
                  <c:v>Marlborough Lines</c:v>
                </c:pt>
                <c:pt idx="13">
                  <c:v>Network Tasman</c:v>
                </c:pt>
                <c:pt idx="14">
                  <c:v>Network Waitaki</c:v>
                </c:pt>
                <c:pt idx="15">
                  <c:v>Northpower</c:v>
                </c:pt>
                <c:pt idx="16">
                  <c:v>Orion</c:v>
                </c:pt>
                <c:pt idx="17">
                  <c:v>OtagoNet JV</c:v>
                </c:pt>
                <c:pt idx="18">
                  <c:v>Powerco</c:v>
                </c:pt>
                <c:pt idx="19">
                  <c:v>Scanpower</c:v>
                </c:pt>
                <c:pt idx="20">
                  <c:v>The Lines Company</c:v>
                </c:pt>
                <c:pt idx="21">
                  <c:v>The Power Company</c:v>
                </c:pt>
                <c:pt idx="22">
                  <c:v>Top Energy</c:v>
                </c:pt>
                <c:pt idx="23">
                  <c:v>Unison</c:v>
                </c:pt>
                <c:pt idx="24">
                  <c:v>Vector</c:v>
                </c:pt>
                <c:pt idx="25">
                  <c:v>Waipa Power</c:v>
                </c:pt>
                <c:pt idx="26">
                  <c:v>WEL Networks</c:v>
                </c:pt>
                <c:pt idx="27">
                  <c:v>Wellington Electricity</c:v>
                </c:pt>
                <c:pt idx="28">
                  <c:v>Westpower</c:v>
                </c:pt>
                <c:pt idx="31">
                  <c:v>Contact</c:v>
                </c:pt>
                <c:pt idx="32">
                  <c:v>Genesis</c:v>
                </c:pt>
                <c:pt idx="33">
                  <c:v>Meridian</c:v>
                </c:pt>
                <c:pt idx="34">
                  <c:v>Tuaropaki</c:v>
                </c:pt>
                <c:pt idx="35">
                  <c:v>Mercury</c:v>
                </c:pt>
                <c:pt idx="36">
                  <c:v>Nga Awa Purua JV</c:v>
                </c:pt>
                <c:pt idx="37">
                  <c:v>Ngatamariki</c:v>
                </c:pt>
                <c:pt idx="38">
                  <c:v>Pioneer</c:v>
                </c:pt>
                <c:pt idx="39">
                  <c:v>Todd</c:v>
                </c:pt>
                <c:pt idx="40">
                  <c:v>Trustpower</c:v>
                </c:pt>
                <c:pt idx="43">
                  <c:v>Carter Holt Harvey</c:v>
                </c:pt>
                <c:pt idx="44">
                  <c:v>Daiken MDF</c:v>
                </c:pt>
                <c:pt idx="45">
                  <c:v>Kiwirail</c:v>
                </c:pt>
                <c:pt idx="46">
                  <c:v>Methanex</c:v>
                </c:pt>
                <c:pt idx="47">
                  <c:v>Norske Skog</c:v>
                </c:pt>
                <c:pt idx="48">
                  <c:v>NZ Steel</c:v>
                </c:pt>
                <c:pt idx="49">
                  <c:v>NZ Aluminium Smelter</c:v>
                </c:pt>
                <c:pt idx="50">
                  <c:v>Pan Pac</c:v>
                </c:pt>
                <c:pt idx="51">
                  <c:v>Rayonier</c:v>
                </c:pt>
                <c:pt idx="52">
                  <c:v>Refining NZ</c:v>
                </c:pt>
                <c:pt idx="53">
                  <c:v>Winstones</c:v>
                </c:pt>
              </c:strCache>
            </c:strRef>
          </c:cat>
          <c:val>
            <c:numRef>
              <c:f>'Charges to party by investment'!$AP$9:$AP$62</c:f>
              <c:numCache>
                <c:formatCode>0%</c:formatCode>
                <c:ptCount val="54"/>
                <c:pt idx="0">
                  <c:v>8.1923857878163781E-2</c:v>
                </c:pt>
                <c:pt idx="1">
                  <c:v>5.4836267349218128E-2</c:v>
                </c:pt>
                <c:pt idx="2">
                  <c:v>8.9723761291626875E-2</c:v>
                </c:pt>
                <c:pt idx="3">
                  <c:v>0.25934229363826289</c:v>
                </c:pt>
                <c:pt idx="4">
                  <c:v>0.41428154493628266</c:v>
                </c:pt>
                <c:pt idx="5">
                  <c:v>0.19812224164069717</c:v>
                </c:pt>
                <c:pt idx="6">
                  <c:v>0.24089803890625189</c:v>
                </c:pt>
                <c:pt idx="7">
                  <c:v>5.9824450768117488E-2</c:v>
                </c:pt>
                <c:pt idx="8">
                  <c:v>0.11148650053352255</c:v>
                </c:pt>
                <c:pt idx="9">
                  <c:v>0.20524594767751753</c:v>
                </c:pt>
                <c:pt idx="10">
                  <c:v>3.8228751113611785E-2</c:v>
                </c:pt>
                <c:pt idx="11">
                  <c:v>0.11630251091981718</c:v>
                </c:pt>
                <c:pt idx="12">
                  <c:v>0.1130016184457957</c:v>
                </c:pt>
                <c:pt idx="13">
                  <c:v>0.1046581815003292</c:v>
                </c:pt>
                <c:pt idx="14">
                  <c:v>7.3657389006822449E-2</c:v>
                </c:pt>
                <c:pt idx="15">
                  <c:v>0.61413398824947496</c:v>
                </c:pt>
                <c:pt idx="16">
                  <c:v>0.11366951050757201</c:v>
                </c:pt>
                <c:pt idx="17">
                  <c:v>0.10833091800822818</c:v>
                </c:pt>
                <c:pt idx="18">
                  <c:v>0.22099911208768427</c:v>
                </c:pt>
                <c:pt idx="19">
                  <c:v>0.25669314456178871</c:v>
                </c:pt>
                <c:pt idx="20">
                  <c:v>0.15572037182302992</c:v>
                </c:pt>
                <c:pt idx="21">
                  <c:v>0.10979335550889903</c:v>
                </c:pt>
                <c:pt idx="22">
                  <c:v>0.55990454992661121</c:v>
                </c:pt>
                <c:pt idx="23">
                  <c:v>0.20259502867888235</c:v>
                </c:pt>
                <c:pt idx="24">
                  <c:v>0.51017929174077326</c:v>
                </c:pt>
                <c:pt idx="25">
                  <c:v>0.2555625633246747</c:v>
                </c:pt>
                <c:pt idx="26">
                  <c:v>0.25289360937482602</c:v>
                </c:pt>
                <c:pt idx="27">
                  <c:v>0.21601670532331385</c:v>
                </c:pt>
                <c:pt idx="28">
                  <c:v>8.2756719902888673E-2</c:v>
                </c:pt>
                <c:pt idx="31">
                  <c:v>0.91247346828087539</c:v>
                </c:pt>
                <c:pt idx="32">
                  <c:v>0.8305311041328346</c:v>
                </c:pt>
                <c:pt idx="33">
                  <c:v>0.96704004186481896</c:v>
                </c:pt>
                <c:pt idx="34">
                  <c:v>1</c:v>
                </c:pt>
                <c:pt idx="35">
                  <c:v>0.53287428443966056</c:v>
                </c:pt>
                <c:pt idx="36">
                  <c:v>1</c:v>
                </c:pt>
                <c:pt idx="37">
                  <c:v>1</c:v>
                </c:pt>
                <c:pt idx="38">
                  <c:v>1</c:v>
                </c:pt>
                <c:pt idx="39">
                  <c:v>0.753369237738306</c:v>
                </c:pt>
                <c:pt idx="40">
                  <c:v>0.90286304851555976</c:v>
                </c:pt>
                <c:pt idx="43">
                  <c:v>0.16305892350265697</c:v>
                </c:pt>
                <c:pt idx="44">
                  <c:v>0.13159424052665011</c:v>
                </c:pt>
                <c:pt idx="45">
                  <c:v>6.3673432171105021E-2</c:v>
                </c:pt>
                <c:pt idx="46">
                  <c:v>0.229461177591021</c:v>
                </c:pt>
                <c:pt idx="47">
                  <c:v>3.6242579967923315E-2</c:v>
                </c:pt>
                <c:pt idx="48">
                  <c:v>0.41202162942889248</c:v>
                </c:pt>
                <c:pt idx="49">
                  <c:v>0.16371940357090239</c:v>
                </c:pt>
                <c:pt idx="50">
                  <c:v>0.20525741518423518</c:v>
                </c:pt>
                <c:pt idx="51">
                  <c:v>0.15218406834396814</c:v>
                </c:pt>
                <c:pt idx="52">
                  <c:v>0.65032812158842968</c:v>
                </c:pt>
                <c:pt idx="53">
                  <c:v>0.19294851302140517</c:v>
                </c:pt>
              </c:numCache>
            </c:numRef>
          </c:val>
          <c:extLst xmlns:c16r2="http://schemas.microsoft.com/office/drawing/2015/06/chart">
            <c:ext xmlns:c16="http://schemas.microsoft.com/office/drawing/2014/chart" uri="{C3380CC4-5D6E-409C-BE32-E72D297353CC}">
              <c16:uniqueId val="{00000000-F961-4D88-A1EE-3F10BA5EDB5C}"/>
            </c:ext>
          </c:extLst>
        </c:ser>
        <c:dLbls>
          <c:showLegendKey val="0"/>
          <c:showVal val="0"/>
          <c:showCatName val="0"/>
          <c:showSerName val="0"/>
          <c:showPercent val="0"/>
          <c:showBubbleSize val="0"/>
        </c:dLbls>
        <c:gapWidth val="219"/>
        <c:overlap val="-27"/>
        <c:axId val="260113920"/>
        <c:axId val="260115840"/>
      </c:barChart>
      <c:catAx>
        <c:axId val="260113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60115840"/>
        <c:crosses val="autoZero"/>
        <c:auto val="1"/>
        <c:lblAlgn val="ctr"/>
        <c:lblOffset val="100"/>
        <c:noMultiLvlLbl val="0"/>
      </c:catAx>
      <c:valAx>
        <c:axId val="260115840"/>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NZ" sz="1600" b="0" i="0" baseline="0">
                    <a:effectLst/>
                  </a:rPr>
                  <a:t>Area of Benefit Charges as Proportion of Total</a:t>
                </a:r>
                <a:endParaRPr lang="en-NZ" sz="1600">
                  <a:effectLst/>
                </a:endParaRPr>
              </a:p>
            </c:rich>
          </c:tx>
          <c:layout>
            <c:manualLayout>
              <c:xMode val="edge"/>
              <c:yMode val="edge"/>
              <c:x val="2.4420150860800905E-4"/>
              <c:y val="9.6068918804504272E-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60113920"/>
        <c:crosses val="autoZero"/>
        <c:crossBetween val="between"/>
        <c:majorUnit val="0.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5" Type="http://schemas.openxmlformats.org/officeDocument/2006/relationships/chart" Target="../charts/chart13.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1.xml"/><Relationship Id="rId7" Type="http://schemas.openxmlformats.org/officeDocument/2006/relationships/chart" Target="../charts/chart25.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14</xdr:col>
      <xdr:colOff>327931</xdr:colOff>
      <xdr:row>16</xdr:row>
      <xdr:rowOff>25855</xdr:rowOff>
    </xdr:from>
    <xdr:to>
      <xdr:col>22</xdr:col>
      <xdr:colOff>571499</xdr:colOff>
      <xdr:row>45</xdr:row>
      <xdr:rowOff>108858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244930</xdr:colOff>
      <xdr:row>1</xdr:row>
      <xdr:rowOff>73281</xdr:rowOff>
    </xdr:from>
    <xdr:to>
      <xdr:col>23</xdr:col>
      <xdr:colOff>367393</xdr:colOff>
      <xdr:row>13</xdr:row>
      <xdr:rowOff>56601</xdr:rowOff>
    </xdr:to>
    <xdr:pic>
      <xdr:nvPicPr>
        <xdr:cNvPr id="3" name="Picture 2"/>
        <xdr:cNvPicPr>
          <a:picLocks noChangeAspect="1"/>
        </xdr:cNvPicPr>
      </xdr:nvPicPr>
      <xdr:blipFill>
        <a:blip xmlns:r="http://schemas.openxmlformats.org/officeDocument/2006/relationships" r:embed="rId2"/>
        <a:stretch>
          <a:fillRect/>
        </a:stretch>
      </xdr:blipFill>
      <xdr:spPr>
        <a:xfrm>
          <a:off x="12885966" y="263781"/>
          <a:ext cx="6259284" cy="24734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9525</xdr:colOff>
      <xdr:row>1</xdr:row>
      <xdr:rowOff>161925</xdr:rowOff>
    </xdr:from>
    <xdr:to>
      <xdr:col>28</xdr:col>
      <xdr:colOff>523875</xdr:colOff>
      <xdr:row>21</xdr:row>
      <xdr:rowOff>180975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590550</xdr:colOff>
      <xdr:row>23</xdr:row>
      <xdr:rowOff>28575</xdr:rowOff>
    </xdr:from>
    <xdr:to>
      <xdr:col>28</xdr:col>
      <xdr:colOff>495300</xdr:colOff>
      <xdr:row>43</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44</xdr:row>
      <xdr:rowOff>0</xdr:rowOff>
    </xdr:from>
    <xdr:to>
      <xdr:col>28</xdr:col>
      <xdr:colOff>514350</xdr:colOff>
      <xdr:row>65</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586467</xdr:colOff>
      <xdr:row>1</xdr:row>
      <xdr:rowOff>68036</xdr:rowOff>
    </xdr:from>
    <xdr:to>
      <xdr:col>42</xdr:col>
      <xdr:colOff>488496</xdr:colOff>
      <xdr:row>21</xdr:row>
      <xdr:rowOff>87086</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30</xdr:col>
      <xdr:colOff>0</xdr:colOff>
      <xdr:row>23</xdr:row>
      <xdr:rowOff>57150</xdr:rowOff>
    </xdr:from>
    <xdr:to>
      <xdr:col>42</xdr:col>
      <xdr:colOff>514350</xdr:colOff>
      <xdr:row>43</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19050</xdr:colOff>
      <xdr:row>44</xdr:row>
      <xdr:rowOff>28575</xdr:rowOff>
    </xdr:from>
    <xdr:to>
      <xdr:col>42</xdr:col>
      <xdr:colOff>533400</xdr:colOff>
      <xdr:row>65</xdr:row>
      <xdr:rowOff>47625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190499</xdr:colOff>
      <xdr:row>70</xdr:row>
      <xdr:rowOff>13607</xdr:rowOff>
    </xdr:from>
    <xdr:to>
      <xdr:col>29</xdr:col>
      <xdr:colOff>92528</xdr:colOff>
      <xdr:row>90</xdr:row>
      <xdr:rowOff>32657</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55</xdr:col>
      <xdr:colOff>196397</xdr:colOff>
      <xdr:row>29</xdr:row>
      <xdr:rowOff>142692</xdr:rowOff>
    </xdr:from>
    <xdr:to>
      <xdr:col>72</xdr:col>
      <xdr:colOff>305397</xdr:colOff>
      <xdr:row>59</xdr:row>
      <xdr:rowOff>142692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57</xdr:col>
      <xdr:colOff>76037</xdr:colOff>
      <xdr:row>0</xdr:row>
      <xdr:rowOff>40821</xdr:rowOff>
    </xdr:from>
    <xdr:to>
      <xdr:col>74</xdr:col>
      <xdr:colOff>4944</xdr:colOff>
      <xdr:row>26</xdr:row>
      <xdr:rowOff>81643</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72</xdr:col>
      <xdr:colOff>276472</xdr:colOff>
      <xdr:row>66</xdr:row>
      <xdr:rowOff>107618</xdr:rowOff>
    </xdr:from>
    <xdr:to>
      <xdr:col>87</xdr:col>
      <xdr:colOff>382235</xdr:colOff>
      <xdr:row>95</xdr:row>
      <xdr:rowOff>59992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72</xdr:col>
      <xdr:colOff>299357</xdr:colOff>
      <xdr:row>95</xdr:row>
      <xdr:rowOff>108856</xdr:rowOff>
    </xdr:from>
    <xdr:to>
      <xdr:col>87</xdr:col>
      <xdr:colOff>405120</xdr:colOff>
      <xdr:row>127</xdr:row>
      <xdr:rowOff>20408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72</xdr:col>
      <xdr:colOff>530678</xdr:colOff>
      <xdr:row>134</xdr:row>
      <xdr:rowOff>0</xdr:rowOff>
    </xdr:from>
    <xdr:to>
      <xdr:col>88</xdr:col>
      <xdr:colOff>24120</xdr:colOff>
      <xdr:row>162</xdr:row>
      <xdr:rowOff>170088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1377813</xdr:colOff>
      <xdr:row>10</xdr:row>
      <xdr:rowOff>38276</xdr:rowOff>
    </xdr:from>
    <xdr:to>
      <xdr:col>37</xdr:col>
      <xdr:colOff>364410</xdr:colOff>
      <xdr:row>54</xdr:row>
      <xdr:rowOff>16571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67</xdr:row>
      <xdr:rowOff>0</xdr:rowOff>
    </xdr:from>
    <xdr:to>
      <xdr:col>33</xdr:col>
      <xdr:colOff>163214</xdr:colOff>
      <xdr:row>111</xdr:row>
      <xdr:rowOff>101559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32</xdr:col>
      <xdr:colOff>571500</xdr:colOff>
      <xdr:row>1</xdr:row>
      <xdr:rowOff>625512</xdr:rowOff>
    </xdr:from>
    <xdr:to>
      <xdr:col>55</xdr:col>
      <xdr:colOff>536863</xdr:colOff>
      <xdr:row>42</xdr:row>
      <xdr:rowOff>121227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92</xdr:row>
      <xdr:rowOff>98050</xdr:rowOff>
    </xdr:from>
    <xdr:to>
      <xdr:col>36</xdr:col>
      <xdr:colOff>547686</xdr:colOff>
      <xdr:row>136</xdr:row>
      <xdr:rowOff>173181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783012</xdr:colOff>
      <xdr:row>47</xdr:row>
      <xdr:rowOff>180924</xdr:rowOff>
    </xdr:from>
    <xdr:to>
      <xdr:col>36</xdr:col>
      <xdr:colOff>409143</xdr:colOff>
      <xdr:row>90</xdr:row>
      <xdr:rowOff>69273</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1434632</xdr:colOff>
      <xdr:row>13</xdr:row>
      <xdr:rowOff>4483</xdr:rowOff>
    </xdr:from>
    <xdr:to>
      <xdr:col>14</xdr:col>
      <xdr:colOff>465045</xdr:colOff>
      <xdr:row>33</xdr:row>
      <xdr:rowOff>257736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1042147</xdr:colOff>
      <xdr:row>34</xdr:row>
      <xdr:rowOff>168089</xdr:rowOff>
    </xdr:from>
    <xdr:to>
      <xdr:col>14</xdr:col>
      <xdr:colOff>115702</xdr:colOff>
      <xdr:row>57</xdr:row>
      <xdr:rowOff>56028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30814</xdr:colOff>
      <xdr:row>69</xdr:row>
      <xdr:rowOff>119903</xdr:rowOff>
    </xdr:from>
    <xdr:to>
      <xdr:col>45</xdr:col>
      <xdr:colOff>112900</xdr:colOff>
      <xdr:row>91</xdr:row>
      <xdr:rowOff>121584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1353110</xdr:colOff>
      <xdr:row>72</xdr:row>
      <xdr:rowOff>81800</xdr:rowOff>
    </xdr:from>
    <xdr:to>
      <xdr:col>12</xdr:col>
      <xdr:colOff>465886</xdr:colOff>
      <xdr:row>94</xdr:row>
      <xdr:rowOff>137830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47</xdr:col>
      <xdr:colOff>549087</xdr:colOff>
      <xdr:row>37</xdr:row>
      <xdr:rowOff>168089</xdr:rowOff>
    </xdr:from>
    <xdr:to>
      <xdr:col>59</xdr:col>
      <xdr:colOff>37260</xdr:colOff>
      <xdr:row>61</xdr:row>
      <xdr:rowOff>121026</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48</xdr:col>
      <xdr:colOff>112061</xdr:colOff>
      <xdr:row>49</xdr:row>
      <xdr:rowOff>168087</xdr:rowOff>
    </xdr:from>
    <xdr:to>
      <xdr:col>59</xdr:col>
      <xdr:colOff>205352</xdr:colOff>
      <xdr:row>72</xdr:row>
      <xdr:rowOff>87406</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42</xdr:col>
      <xdr:colOff>336175</xdr:colOff>
      <xdr:row>24</xdr:row>
      <xdr:rowOff>100853</xdr:rowOff>
    </xdr:from>
    <xdr:to>
      <xdr:col>54</xdr:col>
      <xdr:colOff>593912</xdr:colOff>
      <xdr:row>45</xdr:row>
      <xdr:rowOff>123265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201704</xdr:colOff>
      <xdr:row>48</xdr:row>
      <xdr:rowOff>78441</xdr:rowOff>
    </xdr:from>
    <xdr:to>
      <xdr:col>53</xdr:col>
      <xdr:colOff>493057</xdr:colOff>
      <xdr:row>71</xdr:row>
      <xdr:rowOff>87407</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19</xdr:col>
      <xdr:colOff>0</xdr:colOff>
      <xdr:row>68</xdr:row>
      <xdr:rowOff>171450</xdr:rowOff>
    </xdr:from>
    <xdr:to>
      <xdr:col>19</xdr:col>
      <xdr:colOff>180974</xdr:colOff>
      <xdr:row>90</xdr:row>
      <xdr:rowOff>9525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1</xdr:row>
      <xdr:rowOff>0</xdr:rowOff>
    </xdr:from>
    <xdr:to>
      <xdr:col>25</xdr:col>
      <xdr:colOff>466725</xdr:colOff>
      <xdr:row>23</xdr:row>
      <xdr:rowOff>28575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533400</xdr:colOff>
      <xdr:row>20</xdr:row>
      <xdr:rowOff>152400</xdr:rowOff>
    </xdr:from>
    <xdr:to>
      <xdr:col>11</xdr:col>
      <xdr:colOff>638175</xdr:colOff>
      <xdr:row>49</xdr:row>
      <xdr:rowOff>142875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57152</xdr:colOff>
      <xdr:row>12</xdr:row>
      <xdr:rowOff>89088</xdr:rowOff>
    </xdr:from>
    <xdr:to>
      <xdr:col>9</xdr:col>
      <xdr:colOff>1004607</xdr:colOff>
      <xdr:row>40</xdr:row>
      <xdr:rowOff>69477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18</xdr:col>
      <xdr:colOff>19049</xdr:colOff>
      <xdr:row>5</xdr:row>
      <xdr:rowOff>190499</xdr:rowOff>
    </xdr:from>
    <xdr:to>
      <xdr:col>31</xdr:col>
      <xdr:colOff>504825</xdr:colOff>
      <xdr:row>30</xdr:row>
      <xdr:rowOff>171450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Client%20Job%20Files\Electricity%20Authority\Transmission\EAT004%20-%20TPM%20options%20paper\For%20publication\TPM\Combinations\Results_-_Application_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SQL dumps"/>
      <sheetName val="ICP counts"/>
      <sheetName val="Load and generation quantities"/>
      <sheetName val="Pass-through"/>
      <sheetName val="Labels"/>
      <sheetName val="Breakdown by option, charge"/>
      <sheetName val="Breakdown by charge, component"/>
      <sheetName val="Breakdown by option, customer"/>
      <sheetName val="Breakdown by option, group"/>
      <sheetName val="Break down by charge, group"/>
    </sheetNames>
    <sheetDataSet>
      <sheetData sheetId="0"/>
      <sheetData sheetId="1"/>
      <sheetData sheetId="2"/>
      <sheetData sheetId="3"/>
      <sheetData sheetId="4"/>
      <sheetData sheetId="5"/>
      <sheetData sheetId="6"/>
      <sheetData sheetId="7"/>
      <sheetData sheetId="8"/>
      <sheetData sheetId="9">
        <row r="2">
          <cell r="C2" t="str">
            <v>Base Option</v>
          </cell>
          <cell r="D2" t="str">
            <v>Base Option + LRMC</v>
          </cell>
          <cell r="E2" t="str">
            <v>Base Option + SPD</v>
          </cell>
          <cell r="F2" t="str">
            <v>Status quo</v>
          </cell>
        </row>
        <row r="5">
          <cell r="N5" t="str">
            <v>NI generation</v>
          </cell>
          <cell r="O5">
            <v>1.4867624442918272</v>
          </cell>
          <cell r="P5">
            <v>1.4596890377531702</v>
          </cell>
          <cell r="Q5">
            <v>1.3536337802195397</v>
          </cell>
          <cell r="R5">
            <v>0.54667397794728156</v>
          </cell>
        </row>
        <row r="6">
          <cell r="N6" t="str">
            <v>SI generation</v>
          </cell>
          <cell r="O6">
            <v>6.4211898979955535</v>
          </cell>
          <cell r="P6">
            <v>6.6813770162719912</v>
          </cell>
          <cell r="Q6">
            <v>5.5355198473842187</v>
          </cell>
          <cell r="R6">
            <v>9.2683275152709985</v>
          </cell>
        </row>
        <row r="7">
          <cell r="N7" t="str">
            <v>UNI mass-market load</v>
          </cell>
          <cell r="O7">
            <v>35.581075990861578</v>
          </cell>
          <cell r="P7">
            <v>35.409207018775625</v>
          </cell>
          <cell r="Q7">
            <v>36.449535747093762</v>
          </cell>
          <cell r="R7">
            <v>21.920010220372074</v>
          </cell>
        </row>
        <row r="8">
          <cell r="N8" t="str">
            <v>LNI mass-market load</v>
          </cell>
          <cell r="O8">
            <v>20.990733855822302</v>
          </cell>
          <cell r="P8">
            <v>20.71318975089843</v>
          </cell>
          <cell r="Q8">
            <v>21.539162476952434</v>
          </cell>
          <cell r="R8">
            <v>22.26457861742071</v>
          </cell>
        </row>
        <row r="9">
          <cell r="N9" t="str">
            <v>SI mass-market load</v>
          </cell>
          <cell r="O9">
            <v>17.319574612714437</v>
          </cell>
          <cell r="P9">
            <v>17.447201099884687</v>
          </cell>
          <cell r="Q9">
            <v>17.078540984326377</v>
          </cell>
          <cell r="R9">
            <v>20.158782018170509</v>
          </cell>
        </row>
        <row r="10">
          <cell r="N10" t="str">
            <v>NZAS</v>
          </cell>
          <cell r="O10">
            <v>1.6153724872909663</v>
          </cell>
          <cell r="P10">
            <v>1.6589507897923672</v>
          </cell>
          <cell r="Q10">
            <v>2.4247813749475338</v>
          </cell>
          <cell r="R10">
            <v>12.688014486705322</v>
          </cell>
        </row>
        <row r="11">
          <cell r="N11" t="str">
            <v>Other major industrials</v>
          </cell>
          <cell r="O11">
            <v>3.5244709668960494</v>
          </cell>
          <cell r="P11">
            <v>3.5292397933129735</v>
          </cell>
          <cell r="Q11">
            <v>4.0417349179909055</v>
          </cell>
          <cell r="R11">
            <v>7.5849980492021594</v>
          </cell>
        </row>
      </sheetData>
      <sheetData sheetId="10"/>
    </sheetDataSet>
  </externalBook>
</externalLink>
</file>

<file path=xl/tables/table1.xml><?xml version="1.0" encoding="utf-8"?>
<table xmlns="http://schemas.openxmlformats.org/spreadsheetml/2006/main" id="1" name="Table1" displayName="Table1" ref="A2:Q4514" totalsRowShown="0" headerRowDxfId="1" dataDxfId="0">
  <tableColumns count="17">
    <tableColumn id="1" name="Customer Code" dataDxfId="18"/>
    <tableColumn id="2" name="Customer Name" dataDxfId="17"/>
    <tableColumn id="3" name="Location" dataDxfId="16"/>
    <tableColumn id="4" name="Location Name" dataDxfId="15"/>
    <tableColumn id="5" name="Load Type" dataDxfId="14"/>
    <tableColumn id="6" name="Asset Type" dataDxfId="13"/>
    <tableColumn id="7" name="Asset ID" dataDxfId="12"/>
    <tableColumn id="8" name="Physical Location" dataDxfId="11"/>
    <tableColumn id="9" name="Asset Recovery" dataDxfId="10"/>
    <tableColumn id="10" name="Maint Recovery" dataDxfId="9"/>
    <tableColumn id="11" name="Oper Recovery" dataDxfId="8"/>
    <tableColumn id="12" name="Asset Value" dataDxfId="7"/>
    <tableColumn id="13" name="Asset Component" dataDxfId="6"/>
    <tableColumn id="14" name="Maintenance Component" dataDxfId="5"/>
    <tableColumn id="15" name="Operating Component" dataDxfId="4"/>
    <tableColumn id="16" name="Customer Allocation" dataDxfId="3"/>
    <tableColumn id="17" name="Connection Charge" dataDxfId="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table" Target="../tables/table1.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www.mbie.govt.nz/info-services/sectors-industries/energy/energy-data-modelling/statistics/prices/electricity-prices/QSDEP-report-15-feb-2016.xlsx"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7"/>
  <sheetViews>
    <sheetView tabSelected="1" topLeftCell="A19" workbookViewId="0">
      <selection activeCell="B30" sqref="B30"/>
    </sheetView>
  </sheetViews>
  <sheetFormatPr defaultRowHeight="15" x14ac:dyDescent="0.25"/>
  <cols>
    <col min="1" max="1" width="46" style="4" customWidth="1"/>
    <col min="2" max="2" width="85.28515625" style="4" customWidth="1"/>
    <col min="3" max="3" width="49.7109375" style="4" customWidth="1"/>
    <col min="4" max="4" width="32.85546875" style="4" customWidth="1"/>
    <col min="5" max="5" width="37.5703125" style="4" customWidth="1"/>
    <col min="6" max="16384" width="9.140625" style="4"/>
  </cols>
  <sheetData>
    <row r="1" spans="1:5" x14ac:dyDescent="0.25">
      <c r="A1" s="465"/>
      <c r="B1" s="5"/>
      <c r="C1" s="5"/>
      <c r="D1" s="5"/>
      <c r="E1" s="5"/>
    </row>
    <row r="2" spans="1:5" x14ac:dyDescent="0.25">
      <c r="A2" s="5"/>
      <c r="B2" s="5"/>
      <c r="C2" s="5"/>
      <c r="D2" s="5"/>
      <c r="E2" s="5"/>
    </row>
    <row r="3" spans="1:5" x14ac:dyDescent="0.25">
      <c r="A3" s="518" t="s">
        <v>1717</v>
      </c>
      <c r="B3" s="518"/>
      <c r="C3" s="518"/>
      <c r="D3" s="5"/>
      <c r="E3" s="5"/>
    </row>
    <row r="4" spans="1:5" x14ac:dyDescent="0.25">
      <c r="A4" s="518"/>
      <c r="B4" s="518"/>
      <c r="C4" s="518"/>
      <c r="D4" s="5"/>
      <c r="E4" s="5"/>
    </row>
    <row r="5" spans="1:5" x14ac:dyDescent="0.25">
      <c r="A5" s="5"/>
      <c r="B5" s="5"/>
      <c r="C5" s="5"/>
      <c r="D5" s="5"/>
      <c r="E5" s="5"/>
    </row>
    <row r="6" spans="1:5" x14ac:dyDescent="0.25">
      <c r="A6" s="5" t="s">
        <v>1680</v>
      </c>
      <c r="B6" s="466"/>
      <c r="C6" s="466"/>
      <c r="D6" s="466"/>
      <c r="E6" s="5"/>
    </row>
    <row r="7" spans="1:5" x14ac:dyDescent="0.25">
      <c r="A7" s="5"/>
      <c r="B7" s="466"/>
      <c r="C7" s="466"/>
      <c r="D7" s="466"/>
      <c r="E7" s="5"/>
    </row>
    <row r="8" spans="1:5" ht="15" customHeight="1" x14ac:dyDescent="0.25">
      <c r="A8" s="519" t="s">
        <v>1715</v>
      </c>
      <c r="B8" s="519"/>
      <c r="C8" s="519"/>
      <c r="D8" s="466"/>
      <c r="E8" s="5"/>
    </row>
    <row r="9" spans="1:5" x14ac:dyDescent="0.25">
      <c r="A9" s="519"/>
      <c r="B9" s="519"/>
      <c r="C9" s="519"/>
      <c r="D9" s="466"/>
      <c r="E9" s="5"/>
    </row>
    <row r="10" spans="1:5" x14ac:dyDescent="0.25">
      <c r="A10" s="519"/>
      <c r="B10" s="519"/>
      <c r="C10" s="519"/>
      <c r="D10" s="466"/>
      <c r="E10" s="5"/>
    </row>
    <row r="11" spans="1:5" x14ac:dyDescent="0.25">
      <c r="A11" s="5"/>
      <c r="B11" s="466"/>
      <c r="C11" s="466"/>
      <c r="D11" s="466"/>
      <c r="E11" s="5"/>
    </row>
    <row r="12" spans="1:5" x14ac:dyDescent="0.25">
      <c r="A12" s="5"/>
      <c r="B12" s="464"/>
      <c r="C12" s="464"/>
      <c r="D12" s="464"/>
      <c r="E12" s="5"/>
    </row>
    <row r="13" spans="1:5" x14ac:dyDescent="0.25">
      <c r="A13" s="5" t="s">
        <v>1707</v>
      </c>
      <c r="B13" s="464"/>
      <c r="C13" s="464"/>
      <c r="D13" s="464"/>
      <c r="E13" s="5"/>
    </row>
    <row r="14" spans="1:5" x14ac:dyDescent="0.25">
      <c r="B14" s="464"/>
      <c r="C14" s="464"/>
      <c r="D14" s="464"/>
      <c r="E14" s="5"/>
    </row>
    <row r="15" spans="1:5" s="3" customFormat="1" x14ac:dyDescent="0.25">
      <c r="A15" s="465" t="s">
        <v>1682</v>
      </c>
      <c r="B15" s="466" t="s">
        <v>1683</v>
      </c>
      <c r="C15" s="466"/>
      <c r="D15" s="466"/>
      <c r="E15" s="466"/>
    </row>
    <row r="16" spans="1:5" ht="39" customHeight="1" x14ac:dyDescent="0.25">
      <c r="A16" s="472" t="s">
        <v>1681</v>
      </c>
      <c r="B16" s="469" t="s">
        <v>1716</v>
      </c>
      <c r="C16" s="464"/>
      <c r="D16" s="464"/>
      <c r="E16" s="5"/>
    </row>
    <row r="17" spans="1:5" ht="60" x14ac:dyDescent="0.25">
      <c r="A17" s="472" t="s">
        <v>1684</v>
      </c>
      <c r="B17" s="469" t="s">
        <v>1720</v>
      </c>
      <c r="C17" s="464"/>
      <c r="D17" s="5"/>
      <c r="E17" s="5"/>
    </row>
    <row r="18" spans="1:5" x14ac:dyDescent="0.25">
      <c r="A18" s="472" t="s">
        <v>1685</v>
      </c>
      <c r="B18" s="468" t="s">
        <v>1686</v>
      </c>
      <c r="C18" s="5"/>
      <c r="D18" s="5"/>
      <c r="E18" s="5"/>
    </row>
    <row r="19" spans="1:5" x14ac:dyDescent="0.25">
      <c r="A19" s="472"/>
      <c r="B19" s="468"/>
      <c r="C19" s="5"/>
      <c r="D19" s="5"/>
      <c r="E19" s="5"/>
    </row>
    <row r="20" spans="1:5" ht="75" x14ac:dyDescent="0.25">
      <c r="A20" s="472" t="s">
        <v>1687</v>
      </c>
      <c r="B20" s="469" t="s">
        <v>1714</v>
      </c>
      <c r="C20" s="5"/>
      <c r="D20" s="5"/>
      <c r="E20" s="5"/>
    </row>
    <row r="21" spans="1:5" x14ac:dyDescent="0.25">
      <c r="A21" s="472"/>
      <c r="B21" s="468"/>
      <c r="C21" s="5"/>
      <c r="D21" s="5"/>
      <c r="E21" s="5"/>
    </row>
    <row r="22" spans="1:5" ht="30" x14ac:dyDescent="0.25">
      <c r="A22" s="472" t="s">
        <v>1688</v>
      </c>
      <c r="B22" s="469" t="s">
        <v>1689</v>
      </c>
      <c r="C22" s="466"/>
      <c r="D22" s="5"/>
      <c r="E22" s="5"/>
    </row>
    <row r="23" spans="1:5" ht="16.5" customHeight="1" x14ac:dyDescent="0.25">
      <c r="A23" s="472"/>
      <c r="B23" s="470"/>
      <c r="C23" s="467"/>
      <c r="D23" s="49"/>
      <c r="E23" s="5"/>
    </row>
    <row r="24" spans="1:5" ht="60" x14ac:dyDescent="0.25">
      <c r="A24" s="472" t="s">
        <v>1690</v>
      </c>
      <c r="B24" s="469" t="s">
        <v>1718</v>
      </c>
      <c r="C24" s="464"/>
      <c r="D24" s="5"/>
      <c r="E24" s="5"/>
    </row>
    <row r="25" spans="1:5" x14ac:dyDescent="0.25">
      <c r="A25" s="472"/>
      <c r="B25" s="468"/>
      <c r="C25" s="464"/>
      <c r="D25" s="5"/>
      <c r="E25" s="5"/>
    </row>
    <row r="26" spans="1:5" ht="15" customHeight="1" x14ac:dyDescent="0.25">
      <c r="A26" s="472" t="s">
        <v>1691</v>
      </c>
      <c r="B26" s="471" t="s">
        <v>1706</v>
      </c>
      <c r="C26" s="464"/>
      <c r="D26" s="5"/>
      <c r="E26" s="5"/>
    </row>
    <row r="27" spans="1:5" x14ac:dyDescent="0.25">
      <c r="A27" s="472"/>
      <c r="B27" s="468"/>
      <c r="C27" s="5"/>
      <c r="D27" s="5"/>
      <c r="E27" s="5"/>
    </row>
    <row r="28" spans="1:5" x14ac:dyDescent="0.25">
      <c r="A28" s="472" t="s">
        <v>1692</v>
      </c>
      <c r="B28" s="471" t="s">
        <v>1706</v>
      </c>
      <c r="C28" s="5"/>
      <c r="D28" s="5"/>
      <c r="E28" s="5"/>
    </row>
    <row r="29" spans="1:5" x14ac:dyDescent="0.25">
      <c r="A29" s="472"/>
      <c r="B29" s="468"/>
      <c r="C29" s="5"/>
      <c r="D29" s="5"/>
      <c r="E29" s="5"/>
    </row>
    <row r="30" spans="1:5" x14ac:dyDescent="0.25">
      <c r="A30" s="472" t="s">
        <v>1693</v>
      </c>
      <c r="B30" s="471" t="s">
        <v>1694</v>
      </c>
    </row>
    <row r="31" spans="1:5" x14ac:dyDescent="0.25">
      <c r="A31" s="473"/>
      <c r="B31" s="471"/>
    </row>
    <row r="32" spans="1:5" x14ac:dyDescent="0.25">
      <c r="A32" s="473" t="s">
        <v>71</v>
      </c>
      <c r="B32" s="471" t="s">
        <v>1694</v>
      </c>
    </row>
    <row r="33" spans="1:4" x14ac:dyDescent="0.25">
      <c r="A33" s="473"/>
      <c r="B33" s="471"/>
    </row>
    <row r="34" spans="1:4" x14ac:dyDescent="0.25">
      <c r="A34" s="474" t="s">
        <v>1696</v>
      </c>
      <c r="B34" s="471" t="s">
        <v>1698</v>
      </c>
    </row>
    <row r="35" spans="1:4" x14ac:dyDescent="0.25">
      <c r="A35" s="474"/>
      <c r="B35" s="471"/>
    </row>
    <row r="36" spans="1:4" ht="45" x14ac:dyDescent="0.25">
      <c r="A36" s="474" t="s">
        <v>1697</v>
      </c>
      <c r="B36" s="475" t="s">
        <v>1699</v>
      </c>
    </row>
    <row r="37" spans="1:4" x14ac:dyDescent="0.25">
      <c r="A37" s="474"/>
      <c r="B37" s="471"/>
    </row>
    <row r="38" spans="1:4" x14ac:dyDescent="0.25">
      <c r="A38" s="474" t="s">
        <v>1700</v>
      </c>
      <c r="B38" s="471" t="s">
        <v>1706</v>
      </c>
    </row>
    <row r="39" spans="1:4" x14ac:dyDescent="0.25">
      <c r="A39" s="476"/>
      <c r="D39" s="40"/>
    </row>
    <row r="40" spans="1:4" x14ac:dyDescent="0.25">
      <c r="A40" s="476" t="s">
        <v>1701</v>
      </c>
      <c r="B40" s="471" t="s">
        <v>1706</v>
      </c>
    </row>
    <row r="41" spans="1:4" x14ac:dyDescent="0.25">
      <c r="A41" s="476"/>
    </row>
    <row r="42" spans="1:4" ht="30" x14ac:dyDescent="0.25">
      <c r="A42" s="476" t="s">
        <v>1704</v>
      </c>
      <c r="B42" s="477" t="s">
        <v>1705</v>
      </c>
    </row>
    <row r="43" spans="1:4" x14ac:dyDescent="0.25">
      <c r="A43" s="476"/>
    </row>
    <row r="44" spans="1:4" x14ac:dyDescent="0.25">
      <c r="A44" s="476" t="s">
        <v>1702</v>
      </c>
      <c r="B44" s="4" t="s">
        <v>1703</v>
      </c>
    </row>
    <row r="45" spans="1:4" x14ac:dyDescent="0.25">
      <c r="A45" s="476"/>
    </row>
    <row r="46" spans="1:4" x14ac:dyDescent="0.25">
      <c r="A46" s="476"/>
    </row>
    <row r="47" spans="1:4" x14ac:dyDescent="0.25">
      <c r="A47" s="476"/>
    </row>
  </sheetData>
  <mergeCells count="2">
    <mergeCell ref="A3:C4"/>
    <mergeCell ref="A8:C10"/>
  </mergeCells>
  <pageMargins left="0.7" right="0.7" top="0.75" bottom="0.75" header="0.3" footer="0.3"/>
  <pageSetup paperSize="9" scale="81"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workbookViewId="0">
      <selection activeCell="A12" sqref="A12"/>
    </sheetView>
  </sheetViews>
  <sheetFormatPr defaultRowHeight="15" x14ac:dyDescent="0.25"/>
  <cols>
    <col min="1" max="1" width="32.42578125" bestFit="1" customWidth="1"/>
    <col min="2" max="2" width="9.140625" customWidth="1"/>
    <col min="6" max="6" width="20" bestFit="1" customWidth="1"/>
  </cols>
  <sheetData>
    <row r="1" spans="1:7" x14ac:dyDescent="0.25">
      <c r="A1" t="s">
        <v>1661</v>
      </c>
    </row>
    <row r="2" spans="1:7" s="190" customFormat="1" x14ac:dyDescent="0.25"/>
    <row r="3" spans="1:7" ht="15.75" x14ac:dyDescent="0.25">
      <c r="A3" s="160" t="s">
        <v>573</v>
      </c>
      <c r="B3" s="160">
        <v>2013</v>
      </c>
      <c r="C3" s="160">
        <v>2014</v>
      </c>
      <c r="D3" s="160">
        <v>2015</v>
      </c>
      <c r="F3" t="s">
        <v>596</v>
      </c>
    </row>
    <row r="4" spans="1:7" ht="15.75" x14ac:dyDescent="0.25">
      <c r="A4" s="161" t="s">
        <v>0</v>
      </c>
      <c r="B4" s="162">
        <v>0</v>
      </c>
      <c r="C4" s="162">
        <v>0</v>
      </c>
      <c r="D4" s="162"/>
      <c r="F4" s="166">
        <f>AVERAGE(B4:C4)/1000</f>
        <v>0</v>
      </c>
    </row>
    <row r="5" spans="1:7" ht="15.75" x14ac:dyDescent="0.25">
      <c r="A5" s="161" t="s">
        <v>1</v>
      </c>
      <c r="B5" s="162">
        <v>7618</v>
      </c>
      <c r="C5" s="162">
        <v>6701</v>
      </c>
      <c r="D5" s="162">
        <v>6656</v>
      </c>
      <c r="F5" s="166">
        <f>AVERAGE(B5:C5)/1000</f>
        <v>7.1595000000000004</v>
      </c>
      <c r="G5" s="15"/>
    </row>
    <row r="6" spans="1:7" ht="15.75" x14ac:dyDescent="0.25">
      <c r="A6" s="417" t="s">
        <v>2</v>
      </c>
      <c r="B6" s="162">
        <v>0</v>
      </c>
      <c r="C6" s="162">
        <v>0</v>
      </c>
      <c r="D6" s="162">
        <v>103</v>
      </c>
      <c r="F6" s="166">
        <f t="shared" ref="F6:F33" si="0">AVERAGE(B6:C6)/1000</f>
        <v>0</v>
      </c>
      <c r="G6" s="15"/>
    </row>
    <row r="7" spans="1:7" ht="15.75" x14ac:dyDescent="0.25">
      <c r="A7" s="161" t="s">
        <v>594</v>
      </c>
      <c r="B7" s="162">
        <v>0</v>
      </c>
      <c r="C7" s="162">
        <v>0</v>
      </c>
      <c r="D7" s="162"/>
      <c r="F7" s="166">
        <f t="shared" si="0"/>
        <v>0</v>
      </c>
      <c r="G7" s="15"/>
    </row>
    <row r="8" spans="1:7" ht="15.75" x14ac:dyDescent="0.25">
      <c r="A8" s="161" t="s">
        <v>5</v>
      </c>
      <c r="B8" s="162">
        <v>0</v>
      </c>
      <c r="C8" s="162">
        <v>0</v>
      </c>
      <c r="D8" s="162"/>
      <c r="F8" s="166">
        <f t="shared" si="0"/>
        <v>0</v>
      </c>
      <c r="G8" s="15"/>
    </row>
    <row r="9" spans="1:7" ht="15.75" x14ac:dyDescent="0.25">
      <c r="A9" s="161" t="s">
        <v>7</v>
      </c>
      <c r="B9" s="162">
        <v>2628.7767399999998</v>
      </c>
      <c r="C9" s="162">
        <v>2662.2339999999999</v>
      </c>
      <c r="D9" s="162">
        <v>2574</v>
      </c>
      <c r="F9" s="166">
        <f t="shared" si="0"/>
        <v>2.64550537</v>
      </c>
      <c r="G9" s="15"/>
    </row>
    <row r="10" spans="1:7" ht="15.75" x14ac:dyDescent="0.25">
      <c r="A10" s="161" t="s">
        <v>574</v>
      </c>
      <c r="B10" s="162">
        <v>1233.6669999999999</v>
      </c>
      <c r="C10" s="162">
        <v>1529.184</v>
      </c>
      <c r="D10" s="162"/>
      <c r="F10" s="166">
        <f t="shared" si="0"/>
        <v>1.3814254999999998</v>
      </c>
      <c r="G10" s="15"/>
    </row>
    <row r="11" spans="1:7" ht="15.75" x14ac:dyDescent="0.25">
      <c r="A11" s="161" t="s">
        <v>9</v>
      </c>
      <c r="B11" s="162">
        <v>871</v>
      </c>
      <c r="C11" s="162">
        <v>1314</v>
      </c>
      <c r="D11" s="162">
        <v>980</v>
      </c>
      <c r="F11" s="166">
        <f t="shared" si="0"/>
        <v>1.0925</v>
      </c>
      <c r="G11" s="15"/>
    </row>
    <row r="12" spans="1:7" ht="15.75" x14ac:dyDescent="0.25">
      <c r="A12" s="161" t="s">
        <v>101</v>
      </c>
      <c r="B12" s="162">
        <v>0</v>
      </c>
      <c r="C12" s="162">
        <v>0</v>
      </c>
      <c r="D12" s="162"/>
      <c r="F12" s="166">
        <f t="shared" si="0"/>
        <v>0</v>
      </c>
      <c r="G12" s="15"/>
    </row>
    <row r="13" spans="1:7" ht="15.75" x14ac:dyDescent="0.25">
      <c r="A13" s="161" t="s">
        <v>575</v>
      </c>
      <c r="B13" s="162">
        <v>3720.9140400000001</v>
      </c>
      <c r="C13" s="162">
        <v>3069</v>
      </c>
      <c r="D13" s="162">
        <v>4526</v>
      </c>
      <c r="F13" s="166">
        <f t="shared" si="0"/>
        <v>3.3949570199999997</v>
      </c>
      <c r="G13" s="15"/>
    </row>
    <row r="14" spans="1:7" ht="15.75" x14ac:dyDescent="0.25">
      <c r="A14" s="161" t="s">
        <v>576</v>
      </c>
      <c r="B14" s="162">
        <v>875</v>
      </c>
      <c r="C14" s="162">
        <v>954</v>
      </c>
      <c r="D14" s="162"/>
      <c r="F14" s="166">
        <f t="shared" si="0"/>
        <v>0.91449999999999998</v>
      </c>
      <c r="G14" s="15"/>
    </row>
    <row r="15" spans="1:7" ht="15.75" x14ac:dyDescent="0.25">
      <c r="A15" s="161" t="s">
        <v>577</v>
      </c>
      <c r="B15" s="162">
        <v>161.09399999999999</v>
      </c>
      <c r="C15" s="162">
        <v>150.66200000000001</v>
      </c>
      <c r="D15" s="162">
        <v>261</v>
      </c>
      <c r="F15" s="166">
        <f t="shared" si="0"/>
        <v>0.15587799999999999</v>
      </c>
      <c r="G15" s="15"/>
    </row>
    <row r="16" spans="1:7" ht="15.75" x14ac:dyDescent="0.25">
      <c r="A16" s="161" t="s">
        <v>578</v>
      </c>
      <c r="B16" s="162">
        <v>0</v>
      </c>
      <c r="C16" s="162">
        <v>0</v>
      </c>
      <c r="D16" s="162"/>
      <c r="F16" s="166">
        <f t="shared" si="0"/>
        <v>0</v>
      </c>
      <c r="G16" s="15"/>
    </row>
    <row r="17" spans="1:7" ht="15.75" x14ac:dyDescent="0.25">
      <c r="A17" s="161" t="s">
        <v>579</v>
      </c>
      <c r="B17" s="162">
        <v>41</v>
      </c>
      <c r="C17" s="162">
        <v>105</v>
      </c>
      <c r="D17" s="162">
        <v>790</v>
      </c>
      <c r="F17" s="166">
        <f t="shared" si="0"/>
        <v>7.2999999999999995E-2</v>
      </c>
      <c r="G17" s="15"/>
    </row>
    <row r="18" spans="1:7" ht="15.75" x14ac:dyDescent="0.25">
      <c r="A18" s="161" t="s">
        <v>580</v>
      </c>
      <c r="B18" s="162">
        <v>0</v>
      </c>
      <c r="C18" s="162">
        <v>0</v>
      </c>
      <c r="D18" s="162"/>
      <c r="F18" s="166">
        <f t="shared" si="0"/>
        <v>0</v>
      </c>
      <c r="G18" s="15"/>
    </row>
    <row r="19" spans="1:7" ht="15.75" x14ac:dyDescent="0.25">
      <c r="A19" s="161" t="s">
        <v>581</v>
      </c>
      <c r="B19" s="162">
        <v>1009</v>
      </c>
      <c r="C19" s="162">
        <v>5587</v>
      </c>
      <c r="D19" s="162"/>
      <c r="F19" s="166">
        <f t="shared" si="0"/>
        <v>3.298</v>
      </c>
      <c r="G19" s="15"/>
    </row>
    <row r="20" spans="1:7" ht="15.75" x14ac:dyDescent="0.25">
      <c r="A20" s="161" t="s">
        <v>582</v>
      </c>
      <c r="B20" s="162">
        <v>1019.5309999999999</v>
      </c>
      <c r="C20" s="162">
        <v>1432.1</v>
      </c>
      <c r="D20" s="162">
        <v>214</v>
      </c>
      <c r="F20" s="166">
        <f t="shared" si="0"/>
        <v>1.2258154999999999</v>
      </c>
      <c r="G20" s="15"/>
    </row>
    <row r="21" spans="1:7" ht="15.75" x14ac:dyDescent="0.25">
      <c r="A21" s="161" t="s">
        <v>583</v>
      </c>
      <c r="B21" s="162">
        <v>933.95699999999999</v>
      </c>
      <c r="C21" s="162">
        <v>1101</v>
      </c>
      <c r="D21" s="162"/>
      <c r="F21" s="166">
        <f t="shared" si="0"/>
        <v>1.0174785</v>
      </c>
      <c r="G21" s="15"/>
    </row>
    <row r="22" spans="1:7" ht="15.75" x14ac:dyDescent="0.25">
      <c r="A22" s="161" t="s">
        <v>584</v>
      </c>
      <c r="B22" s="162">
        <v>9305.6779200000019</v>
      </c>
      <c r="C22" s="162">
        <v>9104.9106599999996</v>
      </c>
      <c r="D22" s="162">
        <v>9836</v>
      </c>
      <c r="F22" s="166">
        <f t="shared" si="0"/>
        <v>9.2052942900000012</v>
      </c>
      <c r="G22" s="15"/>
    </row>
    <row r="23" spans="1:7" ht="15.75" x14ac:dyDescent="0.25">
      <c r="A23" s="161" t="s">
        <v>585</v>
      </c>
      <c r="B23" s="162">
        <v>0</v>
      </c>
      <c r="C23" s="162">
        <v>0</v>
      </c>
      <c r="D23" s="162"/>
      <c r="F23" s="166">
        <f t="shared" si="0"/>
        <v>0</v>
      </c>
      <c r="G23" s="15"/>
    </row>
    <row r="24" spans="1:7" ht="15.75" x14ac:dyDescent="0.25">
      <c r="A24" s="161" t="s">
        <v>32</v>
      </c>
      <c r="B24" s="162">
        <v>1200.0357200000001</v>
      </c>
      <c r="C24" s="162">
        <v>1501</v>
      </c>
      <c r="D24" s="162">
        <v>1585</v>
      </c>
      <c r="F24" s="166">
        <f t="shared" si="0"/>
        <v>1.3505178599999998</v>
      </c>
      <c r="G24" s="15"/>
    </row>
    <row r="25" spans="1:7" ht="15.75" x14ac:dyDescent="0.25">
      <c r="A25" s="161" t="s">
        <v>105</v>
      </c>
      <c r="B25" s="162">
        <v>2763.7339999999999</v>
      </c>
      <c r="C25" s="162">
        <v>1517.989</v>
      </c>
      <c r="D25" s="162"/>
      <c r="F25" s="166">
        <f t="shared" si="0"/>
        <v>2.1408615000000002</v>
      </c>
      <c r="G25" s="15"/>
    </row>
    <row r="26" spans="1:7" ht="15.75" x14ac:dyDescent="0.25">
      <c r="A26" s="161" t="s">
        <v>586</v>
      </c>
      <c r="B26" s="162">
        <v>3887.9982</v>
      </c>
      <c r="C26" s="162">
        <v>4005.834256608297</v>
      </c>
      <c r="D26" s="162">
        <v>2719</v>
      </c>
      <c r="F26" s="166">
        <f t="shared" si="0"/>
        <v>3.9469162283041488</v>
      </c>
      <c r="G26" s="15"/>
    </row>
    <row r="27" spans="1:7" ht="15.75" x14ac:dyDescent="0.25">
      <c r="A27" s="161" t="s">
        <v>587</v>
      </c>
      <c r="B27" s="162">
        <v>5816.7489999999998</v>
      </c>
      <c r="C27" s="162">
        <v>6177.5093299999899</v>
      </c>
      <c r="D27" s="162">
        <v>5951</v>
      </c>
      <c r="F27" s="166">
        <f t="shared" si="0"/>
        <v>5.9971291649999952</v>
      </c>
      <c r="G27" s="15"/>
    </row>
    <row r="28" spans="1:7" ht="15.75" x14ac:dyDescent="0.25">
      <c r="A28" s="161" t="s">
        <v>588</v>
      </c>
      <c r="B28" s="162">
        <v>9916</v>
      </c>
      <c r="C28" s="162">
        <v>9033</v>
      </c>
      <c r="D28" s="162">
        <v>10519</v>
      </c>
      <c r="F28" s="166">
        <f t="shared" si="0"/>
        <v>9.4745000000000008</v>
      </c>
      <c r="G28" s="15"/>
    </row>
    <row r="29" spans="1:7" ht="15.75" x14ac:dyDescent="0.25">
      <c r="A29" s="161" t="s">
        <v>589</v>
      </c>
      <c r="B29" s="162">
        <v>0</v>
      </c>
      <c r="C29" s="162">
        <v>0</v>
      </c>
      <c r="D29" s="162"/>
      <c r="F29" s="166">
        <f t="shared" si="0"/>
        <v>0</v>
      </c>
      <c r="G29" s="15"/>
    </row>
    <row r="30" spans="1:7" ht="15.75" x14ac:dyDescent="0.25">
      <c r="A30" s="161" t="s">
        <v>590</v>
      </c>
      <c r="B30" s="162">
        <v>3674.7702300000001</v>
      </c>
      <c r="C30" s="162">
        <v>3771.02124</v>
      </c>
      <c r="D30" s="162">
        <v>3289</v>
      </c>
      <c r="F30" s="166">
        <f t="shared" si="0"/>
        <v>3.7228957350000003</v>
      </c>
      <c r="G30" s="15"/>
    </row>
    <row r="31" spans="1:7" ht="15.75" x14ac:dyDescent="0.25">
      <c r="A31" s="161" t="s">
        <v>591</v>
      </c>
      <c r="B31" s="162">
        <v>185.12173999999999</v>
      </c>
      <c r="C31" s="162">
        <v>166.06666999999999</v>
      </c>
      <c r="D31" s="162">
        <v>137</v>
      </c>
      <c r="F31" s="166">
        <f t="shared" si="0"/>
        <v>0.17559420499999998</v>
      </c>
      <c r="G31" s="15"/>
    </row>
    <row r="32" spans="1:7" ht="15.75" x14ac:dyDescent="0.25">
      <c r="A32" s="161" t="s">
        <v>592</v>
      </c>
      <c r="B32" s="162">
        <v>0</v>
      </c>
      <c r="C32" s="162">
        <v>1634</v>
      </c>
      <c r="D32" s="162">
        <v>2171</v>
      </c>
      <c r="F32" s="166">
        <f t="shared" si="0"/>
        <v>0.81699999999999995</v>
      </c>
      <c r="G32" s="15"/>
    </row>
    <row r="33" spans="1:7" ht="16.5" thickBot="1" x14ac:dyDescent="0.3">
      <c r="A33" s="163" t="s">
        <v>593</v>
      </c>
      <c r="B33" s="164">
        <v>56862.026590000001</v>
      </c>
      <c r="C33" s="164">
        <v>61516.511156608292</v>
      </c>
      <c r="D33" s="164">
        <v>52311</v>
      </c>
      <c r="F33" s="166">
        <f t="shared" si="0"/>
        <v>59.189268873304144</v>
      </c>
      <c r="G33" s="15"/>
    </row>
    <row r="34" spans="1:7" ht="15.75" x14ac:dyDescent="0.25">
      <c r="A34" s="417"/>
      <c r="B34" s="417"/>
      <c r="C34" s="417"/>
      <c r="D34" s="418"/>
    </row>
    <row r="35" spans="1:7" ht="15.75" x14ac:dyDescent="0.25">
      <c r="A35" s="165"/>
      <c r="B35" s="165"/>
      <c r="C35" s="165"/>
      <c r="D35" s="16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4514"/>
  <sheetViews>
    <sheetView topLeftCell="A3" workbookViewId="0">
      <selection activeCell="D10" sqref="D10"/>
    </sheetView>
  </sheetViews>
  <sheetFormatPr defaultRowHeight="15" x14ac:dyDescent="0.25"/>
  <cols>
    <col min="1" max="1" width="9.140625" style="549"/>
    <col min="2" max="2" width="34.28515625" style="549" customWidth="1"/>
    <col min="3" max="3" width="9.140625" style="549"/>
    <col min="4" max="4" width="18.5703125" style="549" customWidth="1"/>
    <col min="5" max="11" width="9.140625" style="549"/>
    <col min="12" max="12" width="9.85546875" style="549" customWidth="1"/>
    <col min="13" max="16" width="9.140625" style="549"/>
    <col min="17" max="17" width="13.7109375" style="549" customWidth="1"/>
    <col min="18" max="18" width="11.7109375" style="549" customWidth="1"/>
    <col min="19" max="19" width="11.85546875" style="549" customWidth="1"/>
    <col min="20" max="20" width="3.85546875" style="549" customWidth="1"/>
    <col min="21" max="21" width="15.28515625" style="549" customWidth="1"/>
    <col min="22" max="22" width="22.7109375" style="549" customWidth="1"/>
    <col min="23" max="23" width="13.85546875" style="550" customWidth="1"/>
    <col min="24" max="24" width="20.5703125" style="549" customWidth="1"/>
    <col min="25" max="25" width="12.28515625" style="549" customWidth="1"/>
    <col min="26" max="26" width="11.5703125" style="549" customWidth="1"/>
    <col min="27" max="27" width="12.7109375" style="549" bestFit="1" customWidth="1"/>
    <col min="28" max="28" width="12.7109375" style="549" customWidth="1"/>
    <col min="29" max="41" width="9.140625" style="549"/>
    <col min="42" max="42" width="10.7109375" style="549" customWidth="1"/>
    <col min="43" max="16384" width="9.140625" style="549"/>
  </cols>
  <sheetData>
    <row r="1" spans="1:28" x14ac:dyDescent="0.25">
      <c r="A1" s="548" t="s">
        <v>1670</v>
      </c>
    </row>
    <row r="2" spans="1:28" x14ac:dyDescent="0.25">
      <c r="A2" s="549" t="s">
        <v>956</v>
      </c>
      <c r="B2" s="549" t="s">
        <v>639</v>
      </c>
      <c r="C2" s="549" t="s">
        <v>957</v>
      </c>
      <c r="D2" s="549" t="s">
        <v>640</v>
      </c>
      <c r="E2" s="549" t="s">
        <v>958</v>
      </c>
      <c r="F2" s="549" t="s">
        <v>959</v>
      </c>
      <c r="G2" s="549" t="s">
        <v>960</v>
      </c>
      <c r="H2" s="549" t="s">
        <v>961</v>
      </c>
      <c r="I2" s="549" t="s">
        <v>962</v>
      </c>
      <c r="J2" s="549" t="s">
        <v>963</v>
      </c>
      <c r="K2" s="549" t="s">
        <v>964</v>
      </c>
      <c r="L2" s="549" t="s">
        <v>965</v>
      </c>
      <c r="M2" s="549" t="s">
        <v>966</v>
      </c>
      <c r="N2" s="549" t="s">
        <v>967</v>
      </c>
      <c r="O2" s="549" t="s">
        <v>968</v>
      </c>
      <c r="P2" s="549" t="s">
        <v>969</v>
      </c>
      <c r="Q2" s="549" t="s">
        <v>970</v>
      </c>
    </row>
    <row r="3" spans="1:28" x14ac:dyDescent="0.25">
      <c r="A3" s="549" t="s">
        <v>971</v>
      </c>
      <c r="B3" s="549" t="s">
        <v>972</v>
      </c>
      <c r="C3" s="549" t="s">
        <v>641</v>
      </c>
      <c r="D3" s="549" t="s">
        <v>642</v>
      </c>
      <c r="E3" s="549" t="s">
        <v>973</v>
      </c>
      <c r="F3" s="549" t="s">
        <v>974</v>
      </c>
      <c r="G3" s="549" t="s">
        <v>975</v>
      </c>
      <c r="I3" s="549" t="s">
        <v>976</v>
      </c>
      <c r="J3" s="549" t="s">
        <v>976</v>
      </c>
      <c r="L3" s="549">
        <v>4548119.32</v>
      </c>
      <c r="M3" s="549">
        <v>343383.01</v>
      </c>
      <c r="N3" s="549">
        <v>636317.16</v>
      </c>
      <c r="Q3" s="549">
        <v>140684.94</v>
      </c>
      <c r="Y3" s="551" t="s">
        <v>1608</v>
      </c>
      <c r="Z3" s="551"/>
      <c r="AA3" s="551"/>
      <c r="AB3" s="552">
        <f>SUM(AB5:AB55)</f>
        <v>125287012.32999994</v>
      </c>
    </row>
    <row r="4" spans="1:28" x14ac:dyDescent="0.25">
      <c r="A4" s="549" t="s">
        <v>971</v>
      </c>
      <c r="B4" s="549" t="s">
        <v>972</v>
      </c>
      <c r="C4" s="549" t="s">
        <v>641</v>
      </c>
      <c r="D4" s="549" t="s">
        <v>642</v>
      </c>
      <c r="E4" s="549" t="s">
        <v>977</v>
      </c>
      <c r="F4" s="549" t="s">
        <v>974</v>
      </c>
      <c r="G4" s="549" t="s">
        <v>975</v>
      </c>
      <c r="I4" s="549" t="s">
        <v>976</v>
      </c>
      <c r="J4" s="549" t="s">
        <v>976</v>
      </c>
      <c r="L4" s="549">
        <v>4548119.32</v>
      </c>
      <c r="M4" s="549">
        <v>343383.01</v>
      </c>
      <c r="N4" s="549">
        <v>475768.54</v>
      </c>
      <c r="P4" s="549">
        <v>9.64</v>
      </c>
      <c r="Q4" s="549">
        <v>78966.210000000006</v>
      </c>
      <c r="W4" s="550" t="s">
        <v>1567</v>
      </c>
      <c r="X4" s="549" t="s">
        <v>1568</v>
      </c>
      <c r="Y4" s="553" t="s">
        <v>1605</v>
      </c>
      <c r="Z4" s="553" t="s">
        <v>1606</v>
      </c>
      <c r="AA4" s="553" t="s">
        <v>1607</v>
      </c>
      <c r="AB4" s="549" t="s">
        <v>970</v>
      </c>
    </row>
    <row r="5" spans="1:28" x14ac:dyDescent="0.25">
      <c r="A5" s="549" t="s">
        <v>971</v>
      </c>
      <c r="B5" s="549" t="s">
        <v>972</v>
      </c>
      <c r="C5" s="549" t="s">
        <v>534</v>
      </c>
      <c r="D5" s="549" t="s">
        <v>645</v>
      </c>
      <c r="E5" s="549" t="s">
        <v>977</v>
      </c>
      <c r="F5" s="549" t="s">
        <v>974</v>
      </c>
      <c r="G5" s="549" t="s">
        <v>975</v>
      </c>
      <c r="I5" s="549" t="s">
        <v>976</v>
      </c>
      <c r="J5" s="549" t="s">
        <v>976</v>
      </c>
      <c r="L5" s="549">
        <v>4548119.32</v>
      </c>
      <c r="M5" s="549">
        <v>343383.01</v>
      </c>
      <c r="N5" s="549">
        <v>475768.54</v>
      </c>
      <c r="P5" s="549">
        <v>9.9499999999999993</v>
      </c>
      <c r="Q5" s="549">
        <v>81505.58</v>
      </c>
      <c r="V5" s="550"/>
      <c r="W5" s="550" t="s">
        <v>972</v>
      </c>
      <c r="X5" s="554" t="s">
        <v>0</v>
      </c>
      <c r="Y5" s="552">
        <f>SUMIF(Table1[Customer Name],U5,Table1[Connection Charge])</f>
        <v>0</v>
      </c>
      <c r="Z5" s="552">
        <f>SUMIF(Table1[Customer Name],V5,Table1[Connection Charge])</f>
        <v>0</v>
      </c>
      <c r="AA5" s="552">
        <f>SUMIF(Table1[Customer Name],W5,Table1[Connection Charge])</f>
        <v>2993763.4400000013</v>
      </c>
      <c r="AB5" s="552">
        <f>AA5+Z5+Y5</f>
        <v>2993763.4400000013</v>
      </c>
    </row>
    <row r="6" spans="1:28" x14ac:dyDescent="0.25">
      <c r="A6" s="549" t="s">
        <v>971</v>
      </c>
      <c r="B6" s="549" t="s">
        <v>972</v>
      </c>
      <c r="C6" s="549" t="s">
        <v>650</v>
      </c>
      <c r="D6" s="549" t="s">
        <v>651</v>
      </c>
      <c r="E6" s="549" t="s">
        <v>977</v>
      </c>
      <c r="F6" s="549" t="s">
        <v>974</v>
      </c>
      <c r="G6" s="549" t="s">
        <v>978</v>
      </c>
      <c r="I6" s="549" t="s">
        <v>976</v>
      </c>
      <c r="J6" s="549" t="s">
        <v>976</v>
      </c>
      <c r="L6" s="549">
        <v>926087.95</v>
      </c>
      <c r="M6" s="549">
        <v>69919.64</v>
      </c>
      <c r="N6" s="549">
        <v>102687.48</v>
      </c>
      <c r="P6" s="549">
        <v>100</v>
      </c>
      <c r="Q6" s="549">
        <v>172607.12</v>
      </c>
      <c r="V6" s="550"/>
      <c r="W6" s="550" t="s">
        <v>999</v>
      </c>
      <c r="X6" s="554" t="s">
        <v>1</v>
      </c>
      <c r="Y6" s="552">
        <f>SUMIF(Table1[Customer Name],U6,Table1[Connection Charge])</f>
        <v>0</v>
      </c>
      <c r="Z6" s="552">
        <f>SUMIF(Table1[Customer Name],V6,Table1[Connection Charge])</f>
        <v>0</v>
      </c>
      <c r="AA6" s="552">
        <f>SUMIF(Table1[Customer Name],W6,Table1[Connection Charge])</f>
        <v>4244808.2099999962</v>
      </c>
      <c r="AB6" s="552">
        <f t="shared" ref="AB6:AB55" si="0">AA6+Z6+Y6</f>
        <v>4244808.2099999962</v>
      </c>
    </row>
    <row r="7" spans="1:28" x14ac:dyDescent="0.25">
      <c r="A7" s="549" t="s">
        <v>971</v>
      </c>
      <c r="B7" s="549" t="s">
        <v>972</v>
      </c>
      <c r="C7" s="549" t="s">
        <v>650</v>
      </c>
      <c r="D7" s="549" t="s">
        <v>651</v>
      </c>
      <c r="E7" s="549" t="s">
        <v>977</v>
      </c>
      <c r="F7" s="549" t="s">
        <v>974</v>
      </c>
      <c r="G7" s="549" t="s">
        <v>979</v>
      </c>
      <c r="I7" s="549" t="s">
        <v>976</v>
      </c>
      <c r="J7" s="549" t="s">
        <v>976</v>
      </c>
      <c r="L7" s="549">
        <v>926087.95</v>
      </c>
      <c r="M7" s="549">
        <v>69919.64</v>
      </c>
      <c r="N7" s="549">
        <v>102687.48</v>
      </c>
      <c r="P7" s="549">
        <v>100</v>
      </c>
      <c r="Q7" s="549">
        <v>172607.12</v>
      </c>
      <c r="V7" s="550"/>
      <c r="W7" s="550" t="s">
        <v>981</v>
      </c>
      <c r="X7" s="554" t="s">
        <v>2</v>
      </c>
      <c r="Y7" s="552">
        <f>SUMIF(Table1[Customer Name],U7,Table1[Connection Charge])</f>
        <v>0</v>
      </c>
      <c r="Z7" s="552">
        <f>SUMIF(Table1[Customer Name],V7,Table1[Connection Charge])</f>
        <v>0</v>
      </c>
      <c r="AA7" s="552">
        <f>SUMIF(Table1[Customer Name],W7,Table1[Connection Charge])</f>
        <v>1491240.8599999996</v>
      </c>
      <c r="AB7" s="552">
        <f t="shared" si="0"/>
        <v>1491240.8599999996</v>
      </c>
    </row>
    <row r="8" spans="1:28" x14ac:dyDescent="0.25">
      <c r="A8" s="549" t="s">
        <v>980</v>
      </c>
      <c r="B8" s="549" t="s">
        <v>981</v>
      </c>
      <c r="C8" s="549" t="s">
        <v>662</v>
      </c>
      <c r="D8" s="549" t="s">
        <v>982</v>
      </c>
      <c r="E8" s="549" t="s">
        <v>977</v>
      </c>
      <c r="F8" s="549" t="s">
        <v>974</v>
      </c>
      <c r="G8" s="549" t="s">
        <v>983</v>
      </c>
      <c r="I8" s="549" t="s">
        <v>976</v>
      </c>
      <c r="J8" s="549" t="s">
        <v>976</v>
      </c>
      <c r="L8" s="549">
        <v>1541916.21</v>
      </c>
      <c r="M8" s="549">
        <v>116414.67</v>
      </c>
      <c r="N8" s="549">
        <v>146851.67000000001</v>
      </c>
      <c r="P8" s="549">
        <v>53.98</v>
      </c>
      <c r="Q8" s="549">
        <v>142111.17000000001</v>
      </c>
      <c r="V8" s="550"/>
      <c r="W8" s="550" t="s">
        <v>1163</v>
      </c>
      <c r="X8" s="554" t="s">
        <v>100</v>
      </c>
      <c r="Y8" s="552">
        <f>SUMIF(Table1[Customer Name],U8,Table1[Connection Charge])</f>
        <v>0</v>
      </c>
      <c r="Z8" s="552">
        <f>SUMIF(Table1[Customer Name],V8,Table1[Connection Charge])</f>
        <v>0</v>
      </c>
      <c r="AA8" s="552">
        <f>SUMIF(Table1[Customer Name],W8,Table1[Connection Charge])</f>
        <v>720556.38</v>
      </c>
      <c r="AB8" s="552">
        <f t="shared" si="0"/>
        <v>720556.38</v>
      </c>
    </row>
    <row r="9" spans="1:28" x14ac:dyDescent="0.25">
      <c r="A9" s="549" t="s">
        <v>980</v>
      </c>
      <c r="B9" s="549" t="s">
        <v>981</v>
      </c>
      <c r="C9" s="549" t="s">
        <v>662</v>
      </c>
      <c r="D9" s="549" t="s">
        <v>982</v>
      </c>
      <c r="E9" s="549" t="s">
        <v>977</v>
      </c>
      <c r="F9" s="549" t="s">
        <v>974</v>
      </c>
      <c r="G9" s="549" t="s">
        <v>984</v>
      </c>
      <c r="I9" s="549" t="s">
        <v>976</v>
      </c>
      <c r="J9" s="549" t="s">
        <v>976</v>
      </c>
      <c r="L9" s="549">
        <v>2920621.38</v>
      </c>
      <c r="M9" s="549">
        <v>220506.91</v>
      </c>
      <c r="N9" s="549">
        <v>274880.34000000003</v>
      </c>
      <c r="P9" s="549">
        <v>53.98</v>
      </c>
      <c r="Q9" s="549">
        <v>267410.03999999998</v>
      </c>
      <c r="V9" s="550"/>
      <c r="W9" s="550" t="s">
        <v>994</v>
      </c>
      <c r="X9" s="554" t="s">
        <v>5</v>
      </c>
      <c r="Y9" s="552">
        <f>SUMIF(Table1[Customer Name],U9,Table1[Connection Charge])</f>
        <v>0</v>
      </c>
      <c r="Z9" s="552">
        <f>SUMIF(Table1[Customer Name],V9,Table1[Connection Charge])</f>
        <v>0</v>
      </c>
      <c r="AA9" s="552">
        <f>SUMIF(Table1[Customer Name],W9,Table1[Connection Charge])</f>
        <v>885252.39</v>
      </c>
      <c r="AB9" s="552">
        <f t="shared" si="0"/>
        <v>885252.39</v>
      </c>
    </row>
    <row r="10" spans="1:28" x14ac:dyDescent="0.25">
      <c r="A10" s="549" t="s">
        <v>980</v>
      </c>
      <c r="B10" s="549" t="s">
        <v>981</v>
      </c>
      <c r="C10" s="549" t="s">
        <v>662</v>
      </c>
      <c r="D10" s="549" t="s">
        <v>982</v>
      </c>
      <c r="E10" s="549" t="s">
        <v>977</v>
      </c>
      <c r="F10" s="549" t="s">
        <v>974</v>
      </c>
      <c r="G10" s="549" t="s">
        <v>985</v>
      </c>
      <c r="I10" s="549" t="s">
        <v>976</v>
      </c>
      <c r="J10" s="549" t="s">
        <v>976</v>
      </c>
      <c r="L10" s="549">
        <v>652736.85</v>
      </c>
      <c r="M10" s="549">
        <v>49281.63</v>
      </c>
      <c r="N10" s="549">
        <v>131994.79999999999</v>
      </c>
      <c r="P10" s="549">
        <v>53.98</v>
      </c>
      <c r="Q10" s="549">
        <v>97853.02</v>
      </c>
      <c r="V10" s="550"/>
      <c r="W10" s="550" t="s">
        <v>1004</v>
      </c>
      <c r="X10" s="554" t="s">
        <v>7</v>
      </c>
      <c r="Y10" s="552">
        <f>SUMIF(Table1[Customer Name],U10,Table1[Connection Charge])</f>
        <v>0</v>
      </c>
      <c r="Z10" s="552">
        <f>SUMIF(Table1[Customer Name],V10,Table1[Connection Charge])</f>
        <v>0</v>
      </c>
      <c r="AA10" s="552">
        <f>SUMIF(Table1[Customer Name],W10,Table1[Connection Charge])</f>
        <v>3352421.1900000032</v>
      </c>
      <c r="AB10" s="552">
        <f t="shared" si="0"/>
        <v>3352421.1900000032</v>
      </c>
    </row>
    <row r="11" spans="1:28" x14ac:dyDescent="0.25">
      <c r="A11" s="549" t="s">
        <v>980</v>
      </c>
      <c r="B11" s="549" t="s">
        <v>981</v>
      </c>
      <c r="C11" s="549" t="s">
        <v>663</v>
      </c>
      <c r="D11" s="549" t="s">
        <v>664</v>
      </c>
      <c r="E11" s="549" t="s">
        <v>977</v>
      </c>
      <c r="F11" s="549" t="s">
        <v>974</v>
      </c>
      <c r="G11" s="549" t="s">
        <v>983</v>
      </c>
      <c r="I11" s="549" t="s">
        <v>976</v>
      </c>
      <c r="J11" s="549" t="s">
        <v>976</v>
      </c>
      <c r="L11" s="549">
        <v>1541916.21</v>
      </c>
      <c r="M11" s="549">
        <v>116414.67</v>
      </c>
      <c r="N11" s="549">
        <v>146851.67000000001</v>
      </c>
      <c r="P11" s="549">
        <v>46.02</v>
      </c>
      <c r="Q11" s="549">
        <v>121155.17</v>
      </c>
      <c r="V11" s="550"/>
      <c r="W11" s="550" t="s">
        <v>574</v>
      </c>
      <c r="X11" s="554" t="s">
        <v>8</v>
      </c>
      <c r="Y11" s="552">
        <f>SUMIF(Table1[Customer Name],U11,Table1[Connection Charge])</f>
        <v>0</v>
      </c>
      <c r="Z11" s="552">
        <f>SUMIF(Table1[Customer Name],V11,Table1[Connection Charge])</f>
        <v>0</v>
      </c>
      <c r="AA11" s="552">
        <f>SUMIF(Table1[Customer Name],W11,Table1[Connection Charge])</f>
        <v>1093192.4599999997</v>
      </c>
      <c r="AB11" s="552">
        <f t="shared" si="0"/>
        <v>1093192.4599999997</v>
      </c>
    </row>
    <row r="12" spans="1:28" x14ac:dyDescent="0.25">
      <c r="A12" s="549" t="s">
        <v>980</v>
      </c>
      <c r="B12" s="549" t="s">
        <v>981</v>
      </c>
      <c r="C12" s="549" t="s">
        <v>663</v>
      </c>
      <c r="D12" s="549" t="s">
        <v>664</v>
      </c>
      <c r="E12" s="549" t="s">
        <v>977</v>
      </c>
      <c r="F12" s="549" t="s">
        <v>974</v>
      </c>
      <c r="G12" s="549" t="s">
        <v>984</v>
      </c>
      <c r="I12" s="549" t="s">
        <v>976</v>
      </c>
      <c r="J12" s="549" t="s">
        <v>976</v>
      </c>
      <c r="L12" s="549">
        <v>2920621.38</v>
      </c>
      <c r="M12" s="549">
        <v>220506.91</v>
      </c>
      <c r="N12" s="549">
        <v>274880.34000000003</v>
      </c>
      <c r="P12" s="549">
        <v>46.02</v>
      </c>
      <c r="Q12" s="549">
        <v>227977.21</v>
      </c>
      <c r="V12" s="550"/>
      <c r="W12" s="550" t="s">
        <v>1173</v>
      </c>
      <c r="X12" s="554" t="s">
        <v>9</v>
      </c>
      <c r="Y12" s="552">
        <f>SUMIF(Table1[Customer Name],U12,Table1[Connection Charge])</f>
        <v>0</v>
      </c>
      <c r="Z12" s="552">
        <f>SUMIF(Table1[Customer Name],V12,Table1[Connection Charge])</f>
        <v>0</v>
      </c>
      <c r="AA12" s="552">
        <f>SUMIF(Table1[Customer Name],W12,Table1[Connection Charge])</f>
        <v>687454.85</v>
      </c>
      <c r="AB12" s="552">
        <f t="shared" si="0"/>
        <v>687454.85</v>
      </c>
    </row>
    <row r="13" spans="1:28" x14ac:dyDescent="0.25">
      <c r="A13" s="549" t="s">
        <v>980</v>
      </c>
      <c r="B13" s="549" t="s">
        <v>981</v>
      </c>
      <c r="C13" s="549" t="s">
        <v>663</v>
      </c>
      <c r="D13" s="549" t="s">
        <v>664</v>
      </c>
      <c r="E13" s="549" t="s">
        <v>977</v>
      </c>
      <c r="F13" s="549" t="s">
        <v>974</v>
      </c>
      <c r="G13" s="549" t="s">
        <v>985</v>
      </c>
      <c r="I13" s="549" t="s">
        <v>976</v>
      </c>
      <c r="J13" s="549" t="s">
        <v>976</v>
      </c>
      <c r="L13" s="549">
        <v>652736.85</v>
      </c>
      <c r="M13" s="549">
        <v>49281.63</v>
      </c>
      <c r="N13" s="549">
        <v>131994.79999999999</v>
      </c>
      <c r="P13" s="549">
        <v>46.02</v>
      </c>
      <c r="Q13" s="549">
        <v>83423.41</v>
      </c>
      <c r="V13" s="550"/>
      <c r="W13" s="550" t="s">
        <v>791</v>
      </c>
      <c r="X13" s="554" t="s">
        <v>101</v>
      </c>
      <c r="Y13" s="552">
        <f>SUMIF(Table1[Customer Name],U13,Table1[Connection Charge])</f>
        <v>0</v>
      </c>
      <c r="Z13" s="552">
        <f>SUMIF(Table1[Customer Name],V13,Table1[Connection Charge])</f>
        <v>0</v>
      </c>
      <c r="AA13" s="552">
        <f>SUMIF(Table1[Customer Name],W13,Table1[Connection Charge])/2</f>
        <v>938844.00999999943</v>
      </c>
      <c r="AB13" s="552">
        <f t="shared" si="0"/>
        <v>938844.00999999943</v>
      </c>
    </row>
    <row r="14" spans="1:28" x14ac:dyDescent="0.25">
      <c r="A14" s="549" t="s">
        <v>986</v>
      </c>
      <c r="B14" s="549" t="s">
        <v>987</v>
      </c>
      <c r="C14" s="549" t="s">
        <v>511</v>
      </c>
      <c r="D14" s="549" t="s">
        <v>988</v>
      </c>
      <c r="E14" s="549" t="s">
        <v>973</v>
      </c>
      <c r="F14" s="549" t="s">
        <v>974</v>
      </c>
      <c r="G14" s="549" t="s">
        <v>989</v>
      </c>
      <c r="I14" s="549" t="s">
        <v>976</v>
      </c>
      <c r="J14" s="549" t="s">
        <v>976</v>
      </c>
      <c r="L14" s="549">
        <v>372774.27</v>
      </c>
      <c r="M14" s="549">
        <v>28144.46</v>
      </c>
      <c r="N14" s="549">
        <v>72177.100000000006</v>
      </c>
      <c r="P14" s="549">
        <v>56.18</v>
      </c>
      <c r="Q14" s="549">
        <v>56360.65</v>
      </c>
      <c r="V14" s="550"/>
      <c r="W14" s="550" t="s">
        <v>1024</v>
      </c>
      <c r="X14" s="554" t="s">
        <v>11</v>
      </c>
      <c r="Y14" s="552">
        <f>SUMIF(Table1[Customer Name],U14,Table1[Connection Charge])</f>
        <v>0</v>
      </c>
      <c r="Z14" s="552">
        <f>SUMIF(Table1[Customer Name],V14,Table1[Connection Charge])</f>
        <v>0</v>
      </c>
      <c r="AA14" s="552">
        <f>SUMIF(Table1[Customer Name],W14,Table1[Connection Charge])</f>
        <v>2303110.9999999991</v>
      </c>
      <c r="AB14" s="552">
        <f t="shared" si="0"/>
        <v>2303110.9999999991</v>
      </c>
    </row>
    <row r="15" spans="1:28" x14ac:dyDescent="0.25">
      <c r="A15" s="549" t="s">
        <v>986</v>
      </c>
      <c r="B15" s="549" t="s">
        <v>987</v>
      </c>
      <c r="C15" s="549" t="s">
        <v>511</v>
      </c>
      <c r="D15" s="549" t="s">
        <v>988</v>
      </c>
      <c r="E15" s="549" t="s">
        <v>973</v>
      </c>
      <c r="F15" s="549" t="s">
        <v>974</v>
      </c>
      <c r="G15" s="549" t="s">
        <v>990</v>
      </c>
      <c r="I15" s="549" t="s">
        <v>976</v>
      </c>
      <c r="J15" s="549" t="s">
        <v>976</v>
      </c>
      <c r="L15" s="549">
        <v>379568.05</v>
      </c>
      <c r="M15" s="549">
        <v>28657.39</v>
      </c>
      <c r="N15" s="549">
        <v>76332.11</v>
      </c>
      <c r="P15" s="549">
        <v>56.18</v>
      </c>
      <c r="Q15" s="549">
        <v>58983.1</v>
      </c>
      <c r="V15" s="550"/>
      <c r="W15" s="550" t="s">
        <v>1008</v>
      </c>
      <c r="X15" s="554" t="s">
        <v>102</v>
      </c>
      <c r="Y15" s="552">
        <f>SUMIF(Table1[Customer Name],U15,Table1[Connection Charge])</f>
        <v>0</v>
      </c>
      <c r="Z15" s="552">
        <f>SUMIF(Table1[Customer Name],V15,Table1[Connection Charge])</f>
        <v>0</v>
      </c>
      <c r="AA15" s="552">
        <f>SUMIF(Table1[Customer Name],W15,Table1[Connection Charge])</f>
        <v>57698.709999999985</v>
      </c>
      <c r="AB15" s="552">
        <f t="shared" si="0"/>
        <v>57698.709999999985</v>
      </c>
    </row>
    <row r="16" spans="1:28" x14ac:dyDescent="0.25">
      <c r="A16" s="549" t="s">
        <v>986</v>
      </c>
      <c r="B16" s="549" t="s">
        <v>987</v>
      </c>
      <c r="C16" s="549" t="s">
        <v>511</v>
      </c>
      <c r="D16" s="549" t="s">
        <v>988</v>
      </c>
      <c r="E16" s="549" t="s">
        <v>973</v>
      </c>
      <c r="F16" s="549" t="s">
        <v>974</v>
      </c>
      <c r="G16" s="549" t="s">
        <v>991</v>
      </c>
      <c r="I16" s="549" t="s">
        <v>976</v>
      </c>
      <c r="J16" s="549" t="s">
        <v>976</v>
      </c>
      <c r="L16" s="549">
        <v>2085603.08</v>
      </c>
      <c r="M16" s="549">
        <v>157463.03</v>
      </c>
      <c r="N16" s="549">
        <v>421841.97</v>
      </c>
      <c r="P16" s="549">
        <v>56.18</v>
      </c>
      <c r="Q16" s="549">
        <v>325453.55</v>
      </c>
      <c r="V16" s="550"/>
      <c r="W16" s="550" t="s">
        <v>1038</v>
      </c>
      <c r="X16" s="554" t="s">
        <v>12</v>
      </c>
      <c r="Y16" s="552">
        <f>SUMIF(Table1[Customer Name],U16,Table1[Connection Charge])</f>
        <v>0</v>
      </c>
      <c r="Z16" s="552">
        <f>SUMIF(Table1[Customer Name],V16,Table1[Connection Charge])</f>
        <v>0</v>
      </c>
      <c r="AA16" s="552">
        <f>SUMIF(Table1[Customer Name],W16,Table1[Connection Charge])</f>
        <v>2797909.9600000004</v>
      </c>
      <c r="AB16" s="552">
        <f t="shared" si="0"/>
        <v>2797909.9600000004</v>
      </c>
    </row>
    <row r="17" spans="1:43" x14ac:dyDescent="0.25">
      <c r="A17" s="549" t="s">
        <v>986</v>
      </c>
      <c r="B17" s="549" t="s">
        <v>987</v>
      </c>
      <c r="C17" s="549" t="s">
        <v>511</v>
      </c>
      <c r="D17" s="549" t="s">
        <v>988</v>
      </c>
      <c r="E17" s="549" t="s">
        <v>973</v>
      </c>
      <c r="F17" s="549" t="s">
        <v>974</v>
      </c>
      <c r="G17" s="549" t="s">
        <v>992</v>
      </c>
      <c r="I17" s="549" t="s">
        <v>976</v>
      </c>
      <c r="J17" s="549" t="s">
        <v>976</v>
      </c>
      <c r="L17" s="549">
        <v>2182743.29</v>
      </c>
      <c r="M17" s="549">
        <v>164797.12</v>
      </c>
      <c r="N17" s="549">
        <v>416098.5</v>
      </c>
      <c r="P17" s="549">
        <v>56.18</v>
      </c>
      <c r="Q17" s="549">
        <v>326347.15999999997</v>
      </c>
      <c r="V17" s="550"/>
      <c r="W17" s="550" t="s">
        <v>577</v>
      </c>
      <c r="X17" s="554" t="s">
        <v>13</v>
      </c>
      <c r="Y17" s="552">
        <f>SUMIF(Table1[Customer Name],U17,Table1[Connection Charge])</f>
        <v>0</v>
      </c>
      <c r="Z17" s="552">
        <f>SUMIF(Table1[Customer Name],V17,Table1[Connection Charge])</f>
        <v>0</v>
      </c>
      <c r="AA17" s="552">
        <f>SUMIF(Table1[Customer Name],W17,Table1[Connection Charge])</f>
        <v>477037.65</v>
      </c>
      <c r="AB17" s="552">
        <f t="shared" si="0"/>
        <v>477037.65</v>
      </c>
    </row>
    <row r="18" spans="1:43" x14ac:dyDescent="0.25">
      <c r="A18" s="549" t="s">
        <v>986</v>
      </c>
      <c r="B18" s="549" t="s">
        <v>987</v>
      </c>
      <c r="C18" s="549" t="s">
        <v>511</v>
      </c>
      <c r="D18" s="549" t="s">
        <v>988</v>
      </c>
      <c r="E18" s="549" t="s">
        <v>977</v>
      </c>
      <c r="F18" s="549" t="s">
        <v>974</v>
      </c>
      <c r="G18" s="549" t="s">
        <v>989</v>
      </c>
      <c r="I18" s="549" t="s">
        <v>976</v>
      </c>
      <c r="J18" s="549" t="s">
        <v>976</v>
      </c>
      <c r="L18" s="549">
        <v>372774.27</v>
      </c>
      <c r="M18" s="549">
        <v>28144.46</v>
      </c>
      <c r="N18" s="549">
        <v>59018.17</v>
      </c>
      <c r="P18" s="549">
        <v>0.15</v>
      </c>
      <c r="Q18" s="549">
        <v>130.74</v>
      </c>
      <c r="V18" s="550"/>
      <c r="W18" s="550" t="s">
        <v>579</v>
      </c>
      <c r="X18" s="554" t="s">
        <v>19</v>
      </c>
      <c r="Y18" s="552">
        <f>SUMIF(Table1[Customer Name],U18,Table1[Connection Charge])</f>
        <v>0</v>
      </c>
      <c r="Z18" s="552">
        <f>SUMIF(Table1[Customer Name],V18,Table1[Connection Charge])</f>
        <v>0</v>
      </c>
      <c r="AA18" s="552">
        <f>SUMIF(Table1[Customer Name],W18,Table1[Connection Charge])</f>
        <v>3024447.8099999987</v>
      </c>
      <c r="AB18" s="552">
        <f t="shared" si="0"/>
        <v>3024447.8099999987</v>
      </c>
      <c r="AM18" s="555"/>
      <c r="AN18" s="555"/>
      <c r="AO18" s="555"/>
    </row>
    <row r="19" spans="1:43" x14ac:dyDescent="0.25">
      <c r="A19" s="549" t="s">
        <v>986</v>
      </c>
      <c r="B19" s="549" t="s">
        <v>987</v>
      </c>
      <c r="C19" s="549" t="s">
        <v>511</v>
      </c>
      <c r="D19" s="549" t="s">
        <v>988</v>
      </c>
      <c r="E19" s="549" t="s">
        <v>977</v>
      </c>
      <c r="F19" s="549" t="s">
        <v>974</v>
      </c>
      <c r="G19" s="549" t="s">
        <v>990</v>
      </c>
      <c r="I19" s="549" t="s">
        <v>976</v>
      </c>
      <c r="J19" s="549" t="s">
        <v>976</v>
      </c>
      <c r="L19" s="549">
        <v>379568.05</v>
      </c>
      <c r="M19" s="549">
        <v>28657.39</v>
      </c>
      <c r="N19" s="549">
        <v>62933.36</v>
      </c>
      <c r="P19" s="549">
        <v>0.15</v>
      </c>
      <c r="Q19" s="549">
        <v>137.38999999999999</v>
      </c>
      <c r="V19" s="550"/>
      <c r="W19" s="550" t="s">
        <v>580</v>
      </c>
      <c r="X19" s="554" t="s">
        <v>20</v>
      </c>
      <c r="Y19" s="552">
        <f>SUMIF(Table1[Customer Name],U19,Table1[Connection Charge])</f>
        <v>0</v>
      </c>
      <c r="Z19" s="552">
        <f>SUMIF(Table1[Customer Name],V19,Table1[Connection Charge])</f>
        <v>0</v>
      </c>
      <c r="AA19" s="552">
        <f>SUMIF(Table1[Customer Name],W19,Table1[Connection Charge])</f>
        <v>649432.85999999987</v>
      </c>
      <c r="AB19" s="552">
        <f t="shared" si="0"/>
        <v>649432.85999999987</v>
      </c>
      <c r="AK19" s="548"/>
      <c r="AO19" s="556"/>
      <c r="AQ19" s="555"/>
    </row>
    <row r="20" spans="1:43" x14ac:dyDescent="0.25">
      <c r="A20" s="549" t="s">
        <v>986</v>
      </c>
      <c r="B20" s="549" t="s">
        <v>987</v>
      </c>
      <c r="C20" s="549" t="s">
        <v>511</v>
      </c>
      <c r="D20" s="549" t="s">
        <v>988</v>
      </c>
      <c r="E20" s="549" t="s">
        <v>977</v>
      </c>
      <c r="F20" s="549" t="s">
        <v>974</v>
      </c>
      <c r="G20" s="549" t="s">
        <v>991</v>
      </c>
      <c r="I20" s="549" t="s">
        <v>976</v>
      </c>
      <c r="J20" s="549" t="s">
        <v>976</v>
      </c>
      <c r="L20" s="549">
        <v>2085603.08</v>
      </c>
      <c r="M20" s="549">
        <v>157463.03</v>
      </c>
      <c r="N20" s="549">
        <v>348220.18</v>
      </c>
      <c r="P20" s="549">
        <v>0.15</v>
      </c>
      <c r="Q20" s="549">
        <v>758.52</v>
      </c>
      <c r="V20" s="550"/>
      <c r="W20" s="550" t="s">
        <v>581</v>
      </c>
      <c r="X20" s="554" t="s">
        <v>23</v>
      </c>
      <c r="Y20" s="552">
        <f>SUMIF(Table1[Customer Name],U20,Table1[Connection Charge])</f>
        <v>0</v>
      </c>
      <c r="Z20" s="552">
        <f>SUMIF(Table1[Customer Name],V20,Table1[Connection Charge])</f>
        <v>0</v>
      </c>
      <c r="AA20" s="552">
        <f>SUMIF(Table1[Customer Name],W20,Table1[Connection Charge])</f>
        <v>3051704.9699999979</v>
      </c>
      <c r="AB20" s="552">
        <f t="shared" si="0"/>
        <v>3051704.9699999979</v>
      </c>
      <c r="AK20" s="548"/>
      <c r="AO20" s="556"/>
      <c r="AQ20" s="557"/>
    </row>
    <row r="21" spans="1:43" x14ac:dyDescent="0.25">
      <c r="A21" s="549" t="s">
        <v>986</v>
      </c>
      <c r="B21" s="549" t="s">
        <v>987</v>
      </c>
      <c r="C21" s="549" t="s">
        <v>511</v>
      </c>
      <c r="D21" s="549" t="s">
        <v>988</v>
      </c>
      <c r="E21" s="549" t="s">
        <v>977</v>
      </c>
      <c r="F21" s="549" t="s">
        <v>974</v>
      </c>
      <c r="G21" s="549" t="s">
        <v>992</v>
      </c>
      <c r="I21" s="549" t="s">
        <v>976</v>
      </c>
      <c r="J21" s="549" t="s">
        <v>976</v>
      </c>
      <c r="L21" s="549">
        <v>2182743.29</v>
      </c>
      <c r="M21" s="549">
        <v>164797.12</v>
      </c>
      <c r="N21" s="549">
        <v>339047.66</v>
      </c>
      <c r="P21" s="549">
        <v>0.15</v>
      </c>
      <c r="Q21" s="549">
        <v>755.77</v>
      </c>
      <c r="V21" s="550"/>
      <c r="W21" s="550" t="s">
        <v>1072</v>
      </c>
      <c r="X21" s="554" t="s">
        <v>25</v>
      </c>
      <c r="Y21" s="552">
        <f>SUMIF(Table1[Customer Name],U21,Table1[Connection Charge])</f>
        <v>0</v>
      </c>
      <c r="Z21" s="552">
        <f>SUMIF(Table1[Customer Name],V21,Table1[Connection Charge])</f>
        <v>0</v>
      </c>
      <c r="AA21" s="552">
        <f>SUMIF(Table1[Customer Name],W21,Table1[Connection Charge])</f>
        <v>8673440.9999999925</v>
      </c>
      <c r="AB21" s="552">
        <f t="shared" si="0"/>
        <v>8673440.9999999925</v>
      </c>
      <c r="AK21" s="548"/>
      <c r="AM21" s="557"/>
      <c r="AN21" s="558"/>
      <c r="AO21" s="556"/>
    </row>
    <row r="22" spans="1:43" x14ac:dyDescent="0.25">
      <c r="A22" s="549" t="s">
        <v>993</v>
      </c>
      <c r="B22" s="549" t="s">
        <v>994</v>
      </c>
      <c r="C22" s="549" t="s">
        <v>187</v>
      </c>
      <c r="D22" s="549" t="s">
        <v>667</v>
      </c>
      <c r="E22" s="549" t="s">
        <v>977</v>
      </c>
      <c r="F22" s="549" t="s">
        <v>974</v>
      </c>
      <c r="G22" s="549" t="s">
        <v>995</v>
      </c>
      <c r="I22" s="549" t="s">
        <v>976</v>
      </c>
      <c r="J22" s="549" t="s">
        <v>976</v>
      </c>
      <c r="L22" s="549">
        <v>8527251.1999999993</v>
      </c>
      <c r="M22" s="549">
        <v>643807.47</v>
      </c>
      <c r="N22" s="549">
        <v>110220.2</v>
      </c>
      <c r="P22" s="549">
        <v>18.21</v>
      </c>
      <c r="Q22" s="549">
        <v>137308.44</v>
      </c>
      <c r="V22" s="550"/>
      <c r="W22" s="550" t="s">
        <v>1079</v>
      </c>
      <c r="X22" s="554" t="s">
        <v>103</v>
      </c>
      <c r="Y22" s="552">
        <f>SUMIF(Table1[Customer Name],U22,Table1[Connection Charge])</f>
        <v>0</v>
      </c>
      <c r="Z22" s="552">
        <f>SUMIF(Table1[Customer Name],V22,Table1[Connection Charge])</f>
        <v>0</v>
      </c>
      <c r="AA22" s="552">
        <f>SUMIF(Table1[Customer Name],W22,Table1[Connection Charge])</f>
        <v>2604604.7400000007</v>
      </c>
      <c r="AB22" s="552">
        <f t="shared" si="0"/>
        <v>2604604.7400000007</v>
      </c>
      <c r="AK22" s="548"/>
    </row>
    <row r="23" spans="1:43" x14ac:dyDescent="0.25">
      <c r="A23" s="549" t="s">
        <v>504</v>
      </c>
      <c r="B23" s="549" t="s">
        <v>996</v>
      </c>
      <c r="C23" s="549" t="s">
        <v>503</v>
      </c>
      <c r="D23" s="549" t="s">
        <v>813</v>
      </c>
      <c r="E23" s="549" t="s">
        <v>973</v>
      </c>
      <c r="F23" s="549" t="s">
        <v>974</v>
      </c>
      <c r="G23" s="549" t="s">
        <v>997</v>
      </c>
      <c r="I23" s="549" t="s">
        <v>976</v>
      </c>
      <c r="J23" s="549" t="s">
        <v>976</v>
      </c>
      <c r="L23" s="549">
        <v>4925103.2699999996</v>
      </c>
      <c r="M23" s="549">
        <v>371845.3</v>
      </c>
      <c r="N23" s="549">
        <v>283554.51</v>
      </c>
      <c r="P23" s="549">
        <v>69.06</v>
      </c>
      <c r="Q23" s="549">
        <v>452619.11</v>
      </c>
      <c r="V23" s="550"/>
      <c r="W23" s="550" t="s">
        <v>584</v>
      </c>
      <c r="X23" s="554" t="s">
        <v>28</v>
      </c>
      <c r="Y23" s="552">
        <f>SUMIF(Table1[Customer Name],U23,Table1[Connection Charge])</f>
        <v>0</v>
      </c>
      <c r="Z23" s="552">
        <f>SUMIF(Table1[Customer Name],V23,Table1[Connection Charge])</f>
        <v>0</v>
      </c>
      <c r="AA23" s="552">
        <f>SUMIF(Table1[Customer Name],W23,Table1[Connection Charge])</f>
        <v>16323840.489999963</v>
      </c>
      <c r="AB23" s="552">
        <f t="shared" si="0"/>
        <v>16323840.489999963</v>
      </c>
      <c r="AK23" s="548"/>
    </row>
    <row r="24" spans="1:43" x14ac:dyDescent="0.25">
      <c r="A24" s="549" t="s">
        <v>504</v>
      </c>
      <c r="B24" s="549" t="s">
        <v>996</v>
      </c>
      <c r="C24" s="549" t="s">
        <v>503</v>
      </c>
      <c r="D24" s="549" t="s">
        <v>813</v>
      </c>
      <c r="E24" s="549" t="s">
        <v>977</v>
      </c>
      <c r="F24" s="549" t="s">
        <v>974</v>
      </c>
      <c r="G24" s="549" t="s">
        <v>997</v>
      </c>
      <c r="I24" s="549" t="s">
        <v>976</v>
      </c>
      <c r="J24" s="549" t="s">
        <v>976</v>
      </c>
      <c r="L24" s="549">
        <v>4925103.2699999996</v>
      </c>
      <c r="M24" s="549">
        <v>371845.3</v>
      </c>
      <c r="N24" s="549">
        <v>109698.36</v>
      </c>
      <c r="P24" s="549">
        <v>3.78</v>
      </c>
      <c r="Q24" s="549">
        <v>18202.349999999999</v>
      </c>
      <c r="V24" s="550"/>
      <c r="W24" s="550" t="s">
        <v>585</v>
      </c>
      <c r="X24" s="554" t="s">
        <v>31</v>
      </c>
      <c r="Y24" s="552">
        <f>SUMIF(Table1[Customer Name],U24,Table1[Connection Charge])</f>
        <v>0</v>
      </c>
      <c r="Z24" s="552">
        <f>SUMIF(Table1[Customer Name],V24,Table1[Connection Charge])</f>
        <v>0</v>
      </c>
      <c r="AA24" s="552">
        <f>SUMIF(Table1[Customer Name],W24,Table1[Connection Charge])</f>
        <v>547677.9800000001</v>
      </c>
      <c r="AB24" s="552">
        <f t="shared" si="0"/>
        <v>547677.9800000001</v>
      </c>
    </row>
    <row r="25" spans="1:43" x14ac:dyDescent="0.25">
      <c r="A25" s="549" t="s">
        <v>998</v>
      </c>
      <c r="B25" s="549" t="s">
        <v>999</v>
      </c>
      <c r="C25" s="549" t="s">
        <v>658</v>
      </c>
      <c r="D25" s="549" t="s">
        <v>659</v>
      </c>
      <c r="E25" s="549" t="s">
        <v>977</v>
      </c>
      <c r="F25" s="549" t="s">
        <v>974</v>
      </c>
      <c r="G25" s="549" t="s">
        <v>1000</v>
      </c>
      <c r="I25" s="549" t="s">
        <v>976</v>
      </c>
      <c r="J25" s="549" t="s">
        <v>976</v>
      </c>
      <c r="L25" s="549">
        <v>5646988.1699999999</v>
      </c>
      <c r="M25" s="549">
        <v>426347.61</v>
      </c>
      <c r="N25" s="549">
        <v>231904.74</v>
      </c>
      <c r="P25" s="549">
        <v>95.79</v>
      </c>
      <c r="Q25" s="549">
        <v>630539.93000000005</v>
      </c>
      <c r="V25" s="550"/>
      <c r="W25" s="550" t="s">
        <v>1015</v>
      </c>
      <c r="X25" s="554" t="s">
        <v>32</v>
      </c>
      <c r="Y25" s="552">
        <f>SUMIF(Table1[Customer Name],U25,Table1[Connection Charge])</f>
        <v>0</v>
      </c>
      <c r="Z25" s="552">
        <f>SUMIF(Table1[Customer Name],V25,Table1[Connection Charge])</f>
        <v>0</v>
      </c>
      <c r="AA25" s="552">
        <f>SUMIF(Table1[Customer Name],W25,Table1[Connection Charge])</f>
        <v>1664588.7099999997</v>
      </c>
      <c r="AB25" s="552">
        <f t="shared" si="0"/>
        <v>1664588.7099999997</v>
      </c>
      <c r="AK25" s="548"/>
    </row>
    <row r="26" spans="1:43" x14ac:dyDescent="0.25">
      <c r="A26" s="549" t="s">
        <v>998</v>
      </c>
      <c r="B26" s="549" t="s">
        <v>999</v>
      </c>
      <c r="C26" s="549" t="s">
        <v>657</v>
      </c>
      <c r="D26" s="549" t="s">
        <v>1001</v>
      </c>
      <c r="E26" s="549" t="s">
        <v>977</v>
      </c>
      <c r="F26" s="549" t="s">
        <v>974</v>
      </c>
      <c r="G26" s="549" t="s">
        <v>1002</v>
      </c>
      <c r="I26" s="549" t="s">
        <v>976</v>
      </c>
      <c r="J26" s="549" t="s">
        <v>976</v>
      </c>
      <c r="L26" s="549">
        <v>2291052.0299999998</v>
      </c>
      <c r="M26" s="549">
        <v>172974.43</v>
      </c>
      <c r="N26" s="549">
        <v>66088.23</v>
      </c>
      <c r="P26" s="549">
        <v>68.680000000000007</v>
      </c>
      <c r="Q26" s="549">
        <v>164188.23000000001</v>
      </c>
      <c r="V26" s="550"/>
      <c r="W26" s="550" t="s">
        <v>791</v>
      </c>
      <c r="X26" s="554" t="s">
        <v>105</v>
      </c>
      <c r="Y26" s="552">
        <f>SUMIF(Table1[Customer Name],U26,Table1[Connection Charge])</f>
        <v>0</v>
      </c>
      <c r="Z26" s="552">
        <f>SUMIF(Table1[Customer Name],V26,Table1[Connection Charge])</f>
        <v>0</v>
      </c>
      <c r="AA26" s="552">
        <f>SUMIF(Table1[Customer Name],W26,Table1[Connection Charge])/2</f>
        <v>938844.00999999943</v>
      </c>
      <c r="AB26" s="552">
        <f t="shared" si="0"/>
        <v>938844.00999999943</v>
      </c>
    </row>
    <row r="27" spans="1:43" x14ac:dyDescent="0.25">
      <c r="A27" s="549" t="s">
        <v>1003</v>
      </c>
      <c r="B27" s="549" t="s">
        <v>1004</v>
      </c>
      <c r="C27" s="549" t="s">
        <v>673</v>
      </c>
      <c r="D27" s="549" t="s">
        <v>674</v>
      </c>
      <c r="E27" s="549" t="s">
        <v>977</v>
      </c>
      <c r="F27" s="549" t="s">
        <v>974</v>
      </c>
      <c r="G27" s="549" t="s">
        <v>1005</v>
      </c>
      <c r="I27" s="549" t="s">
        <v>976</v>
      </c>
      <c r="J27" s="549" t="s">
        <v>976</v>
      </c>
      <c r="L27" s="549">
        <v>11190500.189999999</v>
      </c>
      <c r="M27" s="549">
        <v>844882.76</v>
      </c>
      <c r="N27" s="549">
        <v>469935.02</v>
      </c>
      <c r="P27" s="549">
        <v>100</v>
      </c>
      <c r="Q27" s="549">
        <v>1314817.78</v>
      </c>
      <c r="V27" s="550"/>
      <c r="W27" s="550" t="s">
        <v>586</v>
      </c>
      <c r="X27" s="554" t="s">
        <v>34</v>
      </c>
      <c r="Y27" s="552">
        <f>SUMIF(Table1[Customer Name],U27,Table1[Connection Charge])</f>
        <v>0</v>
      </c>
      <c r="Z27" s="552">
        <f>SUMIF(Table1[Customer Name],V27,Table1[Connection Charge])</f>
        <v>0</v>
      </c>
      <c r="AA27" s="552">
        <f>SUMIF(Table1[Customer Name],W27,Table1[Connection Charge])</f>
        <v>1046877.2899999998</v>
      </c>
      <c r="AB27" s="552">
        <f t="shared" si="0"/>
        <v>1046877.2899999998</v>
      </c>
    </row>
    <row r="28" spans="1:43" x14ac:dyDescent="0.25">
      <c r="A28" s="549" t="s">
        <v>1003</v>
      </c>
      <c r="B28" s="549" t="s">
        <v>1004</v>
      </c>
      <c r="C28" s="549" t="s">
        <v>671</v>
      </c>
      <c r="D28" s="549" t="s">
        <v>672</v>
      </c>
      <c r="E28" s="549" t="s">
        <v>973</v>
      </c>
      <c r="F28" s="549" t="s">
        <v>974</v>
      </c>
      <c r="G28" s="549" t="s">
        <v>1006</v>
      </c>
      <c r="I28" s="549" t="s">
        <v>976</v>
      </c>
      <c r="J28" s="549" t="s">
        <v>976</v>
      </c>
      <c r="L28" s="549">
        <v>3884884.14</v>
      </c>
      <c r="M28" s="549">
        <v>293308.75</v>
      </c>
      <c r="N28" s="549">
        <v>334476.74</v>
      </c>
      <c r="P28" s="549">
        <v>13.33</v>
      </c>
      <c r="Q28" s="549">
        <v>83683.81</v>
      </c>
      <c r="V28" s="550"/>
      <c r="W28" s="550" t="s">
        <v>1019</v>
      </c>
      <c r="X28" s="554" t="s">
        <v>36</v>
      </c>
      <c r="Y28" s="552">
        <f>SUMIF(Table1[Customer Name],U28,Table1[Connection Charge])</f>
        <v>0</v>
      </c>
      <c r="Z28" s="552">
        <f>SUMIF(Table1[Customer Name],V28,Table1[Connection Charge])</f>
        <v>0</v>
      </c>
      <c r="AA28" s="552">
        <f>SUMIF(Table1[Customer Name],W28,Table1[Connection Charge])</f>
        <v>5506441.4899999956</v>
      </c>
      <c r="AB28" s="552">
        <f t="shared" si="0"/>
        <v>5506441.4899999956</v>
      </c>
    </row>
    <row r="29" spans="1:43" x14ac:dyDescent="0.25">
      <c r="A29" s="549" t="s">
        <v>1003</v>
      </c>
      <c r="B29" s="549" t="s">
        <v>1004</v>
      </c>
      <c r="C29" s="549" t="s">
        <v>671</v>
      </c>
      <c r="D29" s="549" t="s">
        <v>672</v>
      </c>
      <c r="E29" s="549" t="s">
        <v>977</v>
      </c>
      <c r="F29" s="549" t="s">
        <v>974</v>
      </c>
      <c r="G29" s="549" t="s">
        <v>1006</v>
      </c>
      <c r="I29" s="549" t="s">
        <v>976</v>
      </c>
      <c r="J29" s="549" t="s">
        <v>976</v>
      </c>
      <c r="L29" s="549">
        <v>3884884.14</v>
      </c>
      <c r="M29" s="549">
        <v>293308.75</v>
      </c>
      <c r="N29" s="549">
        <v>197340.33</v>
      </c>
      <c r="P29" s="549">
        <v>86.67</v>
      </c>
      <c r="Q29" s="549">
        <v>425245.56</v>
      </c>
      <c r="V29" s="550"/>
      <c r="W29" s="550" t="s">
        <v>1112</v>
      </c>
      <c r="X29" s="554" t="s">
        <v>37</v>
      </c>
      <c r="Y29" s="552">
        <f>SUMIF(Table1[Customer Name],U29,Table1[Connection Charge])</f>
        <v>0</v>
      </c>
      <c r="Z29" s="552">
        <f>SUMIF(Table1[Customer Name],V29,Table1[Connection Charge])</f>
        <v>0</v>
      </c>
      <c r="AA29" s="552">
        <f>SUMIF(Table1[Customer Name],W29,Table1[Connection Charge])</f>
        <v>10274301.060000002</v>
      </c>
      <c r="AB29" s="552">
        <f t="shared" si="0"/>
        <v>10274301.060000002</v>
      </c>
    </row>
    <row r="30" spans="1:43" x14ac:dyDescent="0.25">
      <c r="A30" s="549" t="s">
        <v>1007</v>
      </c>
      <c r="B30" s="549" t="s">
        <v>1008</v>
      </c>
      <c r="C30" s="549" t="s">
        <v>658</v>
      </c>
      <c r="D30" s="549" t="s">
        <v>659</v>
      </c>
      <c r="E30" s="549" t="s">
        <v>977</v>
      </c>
      <c r="F30" s="549" t="s">
        <v>974</v>
      </c>
      <c r="G30" s="549" t="s">
        <v>1000</v>
      </c>
      <c r="I30" s="549" t="s">
        <v>976</v>
      </c>
      <c r="J30" s="549" t="s">
        <v>976</v>
      </c>
      <c r="L30" s="549">
        <v>5646988.1699999999</v>
      </c>
      <c r="M30" s="549">
        <v>426347.61</v>
      </c>
      <c r="N30" s="549">
        <v>231904.74</v>
      </c>
      <c r="P30" s="549">
        <v>4.21</v>
      </c>
      <c r="Q30" s="549">
        <v>27712.42</v>
      </c>
      <c r="V30" s="550"/>
      <c r="W30" s="550" t="s">
        <v>589</v>
      </c>
      <c r="X30" s="554" t="s">
        <v>38</v>
      </c>
      <c r="Y30" s="552">
        <f>SUMIF(Table1[Customer Name],U30,Table1[Connection Charge])</f>
        <v>0</v>
      </c>
      <c r="Z30" s="552">
        <f>SUMIF(Table1[Customer Name],V30,Table1[Connection Charge])</f>
        <v>0</v>
      </c>
      <c r="AA30" s="552">
        <f>SUMIF(Table1[Customer Name],W30,Table1[Connection Charge])</f>
        <v>1686597.3000000007</v>
      </c>
      <c r="AB30" s="552">
        <f t="shared" si="0"/>
        <v>1686597.3000000007</v>
      </c>
    </row>
    <row r="31" spans="1:43" x14ac:dyDescent="0.25">
      <c r="A31" s="549" t="s">
        <v>518</v>
      </c>
      <c r="B31" s="549" t="s">
        <v>1009</v>
      </c>
      <c r="C31" s="549" t="s">
        <v>517</v>
      </c>
      <c r="D31" s="549" t="s">
        <v>491</v>
      </c>
      <c r="E31" s="549" t="s">
        <v>973</v>
      </c>
      <c r="F31" s="549" t="s">
        <v>974</v>
      </c>
      <c r="G31" s="549" t="s">
        <v>1010</v>
      </c>
      <c r="I31" s="549" t="s">
        <v>976</v>
      </c>
      <c r="J31" s="549" t="s">
        <v>976</v>
      </c>
      <c r="L31" s="549">
        <v>1194873.45</v>
      </c>
      <c r="M31" s="549">
        <v>90212.95</v>
      </c>
      <c r="N31" s="549">
        <v>68792.820000000007</v>
      </c>
      <c r="P31" s="549">
        <v>100</v>
      </c>
      <c r="Q31" s="549">
        <v>159005.76999999999</v>
      </c>
      <c r="V31" s="550"/>
      <c r="W31" s="550" t="s">
        <v>1092</v>
      </c>
      <c r="X31" s="554" t="s">
        <v>39</v>
      </c>
      <c r="Y31" s="552">
        <f>SUMIF(Table1[Customer Name],U31,Table1[Connection Charge])</f>
        <v>0</v>
      </c>
      <c r="Z31" s="552">
        <f>SUMIF(Table1[Customer Name],V31,Table1[Connection Charge])</f>
        <v>0</v>
      </c>
      <c r="AA31" s="552">
        <f>SUMIF(Table1[Customer Name],W31,Table1[Connection Charge])</f>
        <v>1370766.3100000005</v>
      </c>
      <c r="AB31" s="552">
        <f t="shared" si="0"/>
        <v>1370766.3100000005</v>
      </c>
    </row>
    <row r="32" spans="1:43" x14ac:dyDescent="0.25">
      <c r="A32" s="549" t="s">
        <v>518</v>
      </c>
      <c r="B32" s="549" t="s">
        <v>1009</v>
      </c>
      <c r="C32" s="549" t="s">
        <v>517</v>
      </c>
      <c r="D32" s="549" t="s">
        <v>491</v>
      </c>
      <c r="E32" s="549" t="s">
        <v>977</v>
      </c>
      <c r="F32" s="549" t="s">
        <v>974</v>
      </c>
      <c r="G32" s="549" t="s">
        <v>1010</v>
      </c>
      <c r="I32" s="549" t="s">
        <v>976</v>
      </c>
      <c r="J32" s="549" t="s">
        <v>976</v>
      </c>
      <c r="L32" s="549">
        <v>1194873.45</v>
      </c>
      <c r="M32" s="549">
        <v>90212.95</v>
      </c>
      <c r="N32" s="549">
        <v>26613.79</v>
      </c>
      <c r="P32" s="549">
        <v>0</v>
      </c>
      <c r="Q32" s="549">
        <v>0</v>
      </c>
      <c r="V32" s="550"/>
      <c r="W32" s="550" t="s">
        <v>1119</v>
      </c>
      <c r="X32" s="554" t="s">
        <v>40</v>
      </c>
      <c r="Y32" s="552">
        <f>SUMIF(Table1[Customer Name],U32,Table1[Connection Charge])</f>
        <v>0</v>
      </c>
      <c r="Z32" s="552">
        <f>SUMIF(Table1[Customer Name],V32,Table1[Connection Charge])</f>
        <v>0</v>
      </c>
      <c r="AA32" s="552">
        <f>SUMIF(Table1[Customer Name],W32,Table1[Connection Charge])</f>
        <v>7864941.950000002</v>
      </c>
      <c r="AB32" s="552">
        <f t="shared" si="0"/>
        <v>7864941.950000002</v>
      </c>
    </row>
    <row r="33" spans="1:28" x14ac:dyDescent="0.25">
      <c r="A33" s="549" t="s">
        <v>518</v>
      </c>
      <c r="B33" s="549" t="s">
        <v>1009</v>
      </c>
      <c r="C33" s="549" t="s">
        <v>534</v>
      </c>
      <c r="D33" s="549" t="s">
        <v>645</v>
      </c>
      <c r="E33" s="549" t="s">
        <v>973</v>
      </c>
      <c r="F33" s="549" t="s">
        <v>974</v>
      </c>
      <c r="G33" s="549" t="s">
        <v>975</v>
      </c>
      <c r="I33" s="549" t="s">
        <v>976</v>
      </c>
      <c r="J33" s="549" t="s">
        <v>976</v>
      </c>
      <c r="L33" s="549">
        <v>4548119.32</v>
      </c>
      <c r="M33" s="549">
        <v>343383.01</v>
      </c>
      <c r="N33" s="549">
        <v>636317.16</v>
      </c>
      <c r="P33" s="549">
        <v>65.63</v>
      </c>
      <c r="Q33" s="549">
        <v>642977.22</v>
      </c>
      <c r="W33" s="550" t="s">
        <v>592</v>
      </c>
      <c r="X33" s="554" t="s">
        <v>41</v>
      </c>
      <c r="Y33" s="552">
        <f>SUMIF(Table1[Customer Name],U33,Table1[Connection Charge])</f>
        <v>0</v>
      </c>
      <c r="Z33" s="552">
        <f>SUMIF(Table1[Customer Name],V33,Table1[Connection Charge])</f>
        <v>0</v>
      </c>
      <c r="AA33" s="552">
        <f>SUMIF(Table1[Customer Name],W33,Table1[Connection Charge])</f>
        <v>593588.58999999985</v>
      </c>
      <c r="AB33" s="552">
        <f t="shared" si="0"/>
        <v>593588.58999999985</v>
      </c>
    </row>
    <row r="34" spans="1:28" x14ac:dyDescent="0.25">
      <c r="A34" s="549" t="s">
        <v>518</v>
      </c>
      <c r="B34" s="549" t="s">
        <v>1009</v>
      </c>
      <c r="C34" s="549" t="s">
        <v>534</v>
      </c>
      <c r="D34" s="549" t="s">
        <v>645</v>
      </c>
      <c r="E34" s="549" t="s">
        <v>977</v>
      </c>
      <c r="F34" s="549" t="s">
        <v>974</v>
      </c>
      <c r="G34" s="549" t="s">
        <v>975</v>
      </c>
      <c r="I34" s="549" t="s">
        <v>976</v>
      </c>
      <c r="J34" s="549" t="s">
        <v>976</v>
      </c>
      <c r="L34" s="549">
        <v>4548119.32</v>
      </c>
      <c r="M34" s="549">
        <v>343383.01</v>
      </c>
      <c r="N34" s="549">
        <v>475768.54</v>
      </c>
      <c r="P34" s="549">
        <v>0.43</v>
      </c>
      <c r="Q34" s="549">
        <v>3522.35</v>
      </c>
      <c r="W34" s="550" t="s">
        <v>996</v>
      </c>
      <c r="X34" s="554" t="s">
        <v>4</v>
      </c>
      <c r="Y34" s="552">
        <f>SUMIF(Table1[Customer Name],U34,Table1[Connection Charge])</f>
        <v>0</v>
      </c>
      <c r="Z34" s="552">
        <f>SUMIF(Table1[Customer Name],V34,Table1[Connection Charge])</f>
        <v>0</v>
      </c>
      <c r="AA34" s="552">
        <f>SUMIF(Table1[Customer Name],W34,Table1[Connection Charge])</f>
        <v>3373718.8699999992</v>
      </c>
      <c r="AB34" s="552">
        <f t="shared" si="0"/>
        <v>3373718.8699999992</v>
      </c>
    </row>
    <row r="35" spans="1:28" x14ac:dyDescent="0.25">
      <c r="A35" s="549" t="s">
        <v>518</v>
      </c>
      <c r="B35" s="549" t="s">
        <v>1009</v>
      </c>
      <c r="C35" s="549" t="s">
        <v>533</v>
      </c>
      <c r="D35" s="549" t="s">
        <v>457</v>
      </c>
      <c r="E35" s="549" t="s">
        <v>973</v>
      </c>
      <c r="F35" s="549" t="s">
        <v>974</v>
      </c>
      <c r="G35" s="549" t="s">
        <v>1011</v>
      </c>
      <c r="I35" s="549" t="s">
        <v>976</v>
      </c>
      <c r="J35" s="549" t="s">
        <v>976</v>
      </c>
      <c r="L35" s="549">
        <v>876934.24</v>
      </c>
      <c r="M35" s="549">
        <v>66208.539999999994</v>
      </c>
      <c r="N35" s="549">
        <v>43635.98</v>
      </c>
      <c r="P35" s="549">
        <v>100</v>
      </c>
      <c r="Q35" s="549">
        <v>109844.52</v>
      </c>
      <c r="W35" s="550" t="s">
        <v>1009</v>
      </c>
      <c r="X35" s="554" t="s">
        <v>10</v>
      </c>
      <c r="Y35" s="552">
        <f>SUMIF(Table1[Customer Name],U35,Table1[Connection Charge])</f>
        <v>0</v>
      </c>
      <c r="Z35" s="552">
        <f>SUMIF(Table1[Customer Name],V35,Table1[Connection Charge])</f>
        <v>0</v>
      </c>
      <c r="AA35" s="552">
        <f>SUMIF(Table1[Customer Name],W35,Table1[Connection Charge])</f>
        <v>4687806.780000004</v>
      </c>
      <c r="AB35" s="552">
        <f t="shared" si="0"/>
        <v>4687806.780000004</v>
      </c>
    </row>
    <row r="36" spans="1:28" x14ac:dyDescent="0.25">
      <c r="A36" s="549" t="s">
        <v>518</v>
      </c>
      <c r="B36" s="549" t="s">
        <v>1009</v>
      </c>
      <c r="C36" s="549" t="s">
        <v>533</v>
      </c>
      <c r="D36" s="549" t="s">
        <v>457</v>
      </c>
      <c r="E36" s="549" t="s">
        <v>977</v>
      </c>
      <c r="F36" s="549" t="s">
        <v>974</v>
      </c>
      <c r="G36" s="549" t="s">
        <v>1011</v>
      </c>
      <c r="I36" s="549" t="s">
        <v>976</v>
      </c>
      <c r="J36" s="549" t="s">
        <v>976</v>
      </c>
      <c r="L36" s="549">
        <v>876934.24</v>
      </c>
      <c r="M36" s="549">
        <v>66208.539999999994</v>
      </c>
      <c r="N36" s="549">
        <v>12680.2</v>
      </c>
      <c r="P36" s="549">
        <v>0</v>
      </c>
      <c r="Q36" s="549">
        <v>0</v>
      </c>
      <c r="U36" s="559" t="s">
        <v>1181</v>
      </c>
      <c r="V36" s="559" t="s">
        <v>1030</v>
      </c>
      <c r="W36" s="550" t="s">
        <v>1032</v>
      </c>
      <c r="X36" s="554" t="s">
        <v>14</v>
      </c>
      <c r="Y36" s="552">
        <f>SUMIF(Table1[Customer Name],U36,Table1[Connection Charge])</f>
        <v>19088.91</v>
      </c>
      <c r="Z36" s="552">
        <f>SUMIF(Table1[Customer Name],V36,Table1[Connection Charge])</f>
        <v>182699.06</v>
      </c>
      <c r="AA36" s="552">
        <f>SUMIF(Table1[Customer Name],W36,Table1[Connection Charge])</f>
        <v>14380092.599999996</v>
      </c>
      <c r="AB36" s="552">
        <f t="shared" si="0"/>
        <v>14581880.569999997</v>
      </c>
    </row>
    <row r="37" spans="1:28" x14ac:dyDescent="0.25">
      <c r="A37" s="549" t="s">
        <v>518</v>
      </c>
      <c r="B37" s="549" t="s">
        <v>1009</v>
      </c>
      <c r="C37" s="549" t="s">
        <v>519</v>
      </c>
      <c r="D37" s="549" t="s">
        <v>492</v>
      </c>
      <c r="E37" s="549" t="s">
        <v>973</v>
      </c>
      <c r="F37" s="549" t="s">
        <v>974</v>
      </c>
      <c r="G37" s="549" t="s">
        <v>1012</v>
      </c>
      <c r="I37" s="549" t="s">
        <v>976</v>
      </c>
      <c r="J37" s="549" t="s">
        <v>976</v>
      </c>
      <c r="L37" s="549">
        <v>33880712.780000001</v>
      </c>
      <c r="M37" s="549">
        <v>2557993.81</v>
      </c>
      <c r="N37" s="549">
        <v>2384709.14</v>
      </c>
      <c r="P37" s="549">
        <v>0.22</v>
      </c>
      <c r="Q37" s="549">
        <v>10873.95</v>
      </c>
      <c r="V37" s="549" t="s">
        <v>527</v>
      </c>
      <c r="W37" s="550" t="s">
        <v>1049</v>
      </c>
      <c r="X37" s="554" t="s">
        <v>16</v>
      </c>
      <c r="Y37" s="552">
        <f>SUMIF(Table1[Customer Name],U37,Table1[Connection Charge])</f>
        <v>0</v>
      </c>
      <c r="Z37" s="552">
        <f>SUMIF(Table1[Customer Name],V37,Table1[Connection Charge])</f>
        <v>0</v>
      </c>
      <c r="AA37" s="552">
        <f>SUMIFS(Table1[Connection Charge],Table1[Customer Name],W37,Table1[Location],V37)</f>
        <v>190518.99</v>
      </c>
      <c r="AB37" s="552">
        <f t="shared" si="0"/>
        <v>190518.99</v>
      </c>
    </row>
    <row r="38" spans="1:28" x14ac:dyDescent="0.25">
      <c r="A38" s="549" t="s">
        <v>518</v>
      </c>
      <c r="B38" s="549" t="s">
        <v>1009</v>
      </c>
      <c r="C38" s="549" t="s">
        <v>519</v>
      </c>
      <c r="D38" s="549" t="s">
        <v>492</v>
      </c>
      <c r="E38" s="549" t="s">
        <v>973</v>
      </c>
      <c r="F38" s="549" t="s">
        <v>974</v>
      </c>
      <c r="G38" s="549" t="s">
        <v>1013</v>
      </c>
      <c r="I38" s="549" t="s">
        <v>976</v>
      </c>
      <c r="J38" s="549" t="s">
        <v>976</v>
      </c>
      <c r="L38" s="549">
        <v>33546813.66</v>
      </c>
      <c r="M38" s="549">
        <v>2532784.4300000002</v>
      </c>
      <c r="N38" s="549">
        <v>2372922.5</v>
      </c>
      <c r="P38" s="549">
        <v>0.25</v>
      </c>
      <c r="Q38" s="549">
        <v>12264.27</v>
      </c>
      <c r="W38" s="550" t="s">
        <v>1049</v>
      </c>
      <c r="X38" s="554" t="s">
        <v>17</v>
      </c>
      <c r="Y38" s="552">
        <f>SUMIF(Table1[Customer Name],U38,Table1[Connection Charge])</f>
        <v>0</v>
      </c>
      <c r="Z38" s="552">
        <f>SUMIF(Table1[Customer Name],V38,Table1[Connection Charge])</f>
        <v>0</v>
      </c>
      <c r="AA38" s="552">
        <f>SUMIF(Table1[Customer Name],W38,Table1[Connection Charge])</f>
        <v>3785659.6000000006</v>
      </c>
      <c r="AB38" s="552">
        <f>AA38+Z38+Y38-AB37</f>
        <v>3595140.6100000003</v>
      </c>
    </row>
    <row r="39" spans="1:28" x14ac:dyDescent="0.25">
      <c r="A39" s="549" t="s">
        <v>518</v>
      </c>
      <c r="B39" s="549" t="s">
        <v>1009</v>
      </c>
      <c r="C39" s="549" t="s">
        <v>519</v>
      </c>
      <c r="D39" s="549" t="s">
        <v>492</v>
      </c>
      <c r="E39" s="549" t="s">
        <v>977</v>
      </c>
      <c r="F39" s="549" t="s">
        <v>974</v>
      </c>
      <c r="G39" s="549" t="s">
        <v>1012</v>
      </c>
      <c r="I39" s="549" t="s">
        <v>976</v>
      </c>
      <c r="J39" s="549" t="s">
        <v>976</v>
      </c>
      <c r="L39" s="549">
        <v>33880712.780000001</v>
      </c>
      <c r="M39" s="549">
        <v>2557993.81</v>
      </c>
      <c r="N39" s="549">
        <v>1188719.98</v>
      </c>
      <c r="P39" s="549">
        <v>0</v>
      </c>
      <c r="Q39" s="549">
        <v>0</v>
      </c>
      <c r="W39" s="550" t="s">
        <v>1061</v>
      </c>
      <c r="X39" s="554" t="s">
        <v>18</v>
      </c>
      <c r="Y39" s="552">
        <f>SUMIF(Table1[Customer Name],U39,Table1[Connection Charge])</f>
        <v>0</v>
      </c>
      <c r="Z39" s="552">
        <f>SUMIF(Table1[Customer Name],V39,Table1[Connection Charge])</f>
        <v>0</v>
      </c>
      <c r="AA39" s="552">
        <f>SUMIF(Table1[Customer Name],W39,Table1[Connection Charge])</f>
        <v>247365.37000000005</v>
      </c>
      <c r="AB39" s="552">
        <f t="shared" si="0"/>
        <v>247365.37000000005</v>
      </c>
    </row>
    <row r="40" spans="1:28" x14ac:dyDescent="0.25">
      <c r="A40" s="549" t="s">
        <v>518</v>
      </c>
      <c r="B40" s="549" t="s">
        <v>1009</v>
      </c>
      <c r="C40" s="549" t="s">
        <v>519</v>
      </c>
      <c r="D40" s="549" t="s">
        <v>492</v>
      </c>
      <c r="E40" s="549" t="s">
        <v>977</v>
      </c>
      <c r="F40" s="549" t="s">
        <v>974</v>
      </c>
      <c r="G40" s="549" t="s">
        <v>1013</v>
      </c>
      <c r="I40" s="549" t="s">
        <v>976</v>
      </c>
      <c r="J40" s="549" t="s">
        <v>976</v>
      </c>
      <c r="L40" s="549">
        <v>33546813.66</v>
      </c>
      <c r="M40" s="549">
        <v>2532784.4300000002</v>
      </c>
      <c r="N40" s="549">
        <v>1188719.98</v>
      </c>
      <c r="P40" s="549">
        <v>0.01</v>
      </c>
      <c r="Q40" s="549">
        <v>372.15</v>
      </c>
      <c r="W40" s="550" t="s">
        <v>1068</v>
      </c>
      <c r="X40" s="554" t="s">
        <v>21</v>
      </c>
      <c r="Y40" s="552">
        <f>SUMIF(Table1[Customer Name],U40,Table1[Connection Charge])</f>
        <v>0</v>
      </c>
      <c r="Z40" s="552">
        <f>SUMIF(Table1[Customer Name],V40,Table1[Connection Charge])</f>
        <v>0</v>
      </c>
      <c r="AA40" s="552">
        <f>SUMIF(Table1[Customer Name],W40,Table1[Connection Charge])</f>
        <v>138219.97</v>
      </c>
      <c r="AB40" s="552">
        <f t="shared" si="0"/>
        <v>138219.97</v>
      </c>
    </row>
    <row r="41" spans="1:28" x14ac:dyDescent="0.25">
      <c r="A41" s="549" t="s">
        <v>1014</v>
      </c>
      <c r="B41" s="549" t="s">
        <v>1015</v>
      </c>
      <c r="C41" s="549" t="s">
        <v>519</v>
      </c>
      <c r="D41" s="549" t="s">
        <v>492</v>
      </c>
      <c r="E41" s="549" t="s">
        <v>977</v>
      </c>
      <c r="F41" s="549" t="s">
        <v>974</v>
      </c>
      <c r="G41" s="549" t="s">
        <v>1013</v>
      </c>
      <c r="I41" s="549" t="s">
        <v>976</v>
      </c>
      <c r="J41" s="549" t="s">
        <v>976</v>
      </c>
      <c r="L41" s="549">
        <v>33546813.66</v>
      </c>
      <c r="M41" s="549">
        <v>2532784.4300000002</v>
      </c>
      <c r="N41" s="549">
        <v>1188719.98</v>
      </c>
      <c r="P41" s="549">
        <v>0.01</v>
      </c>
      <c r="Q41" s="549">
        <v>372.15</v>
      </c>
      <c r="W41" s="550" t="s">
        <v>1100</v>
      </c>
      <c r="X41" s="554" t="s">
        <v>27</v>
      </c>
      <c r="Y41" s="552">
        <f>SUMIF(Table1[Customer Name],U41,Table1[Connection Charge])</f>
        <v>0</v>
      </c>
      <c r="Z41" s="552">
        <f>SUMIF(Table1[Customer Name],V41,Table1[Connection Charge])</f>
        <v>0</v>
      </c>
      <c r="AA41" s="552">
        <f>SUMIF(Table1[Customer Name],W41,Table1[Connection Charge])</f>
        <v>300170.46000000002</v>
      </c>
      <c r="AB41" s="552">
        <f t="shared" si="0"/>
        <v>300170.46000000002</v>
      </c>
    </row>
    <row r="42" spans="1:28" x14ac:dyDescent="0.25">
      <c r="A42" s="549" t="s">
        <v>1014</v>
      </c>
      <c r="B42" s="549" t="s">
        <v>1015</v>
      </c>
      <c r="C42" s="549" t="s">
        <v>519</v>
      </c>
      <c r="D42" s="549" t="s">
        <v>492</v>
      </c>
      <c r="E42" s="549" t="s">
        <v>977</v>
      </c>
      <c r="F42" s="549" t="s">
        <v>974</v>
      </c>
      <c r="G42" s="549" t="s">
        <v>1012</v>
      </c>
      <c r="I42" s="549" t="s">
        <v>976</v>
      </c>
      <c r="J42" s="549" t="s">
        <v>976</v>
      </c>
      <c r="L42" s="549">
        <v>33880712.780000001</v>
      </c>
      <c r="M42" s="549">
        <v>2557993.81</v>
      </c>
      <c r="N42" s="549">
        <v>1188719.98</v>
      </c>
      <c r="P42" s="549">
        <v>0.01</v>
      </c>
      <c r="Q42" s="549">
        <v>374.67</v>
      </c>
      <c r="X42" s="554" t="s">
        <v>104</v>
      </c>
      <c r="Y42" s="552">
        <f>SUMIF(Table1[Customer Name],U42,Table1[Connection Charge])</f>
        <v>0</v>
      </c>
      <c r="Z42" s="552">
        <f>SUMIF(Table1[Customer Name],V42,Table1[Connection Charge])</f>
        <v>0</v>
      </c>
      <c r="AA42" s="552">
        <f>SUMIF(Table1[Customer Name],W42,Table1[Connection Charge])</f>
        <v>0</v>
      </c>
      <c r="AB42" s="552">
        <f t="shared" si="0"/>
        <v>0</v>
      </c>
    </row>
    <row r="43" spans="1:28" x14ac:dyDescent="0.25">
      <c r="A43" s="549" t="s">
        <v>1014</v>
      </c>
      <c r="B43" s="549" t="s">
        <v>1015</v>
      </c>
      <c r="C43" s="549" t="s">
        <v>519</v>
      </c>
      <c r="D43" s="549" t="s">
        <v>492</v>
      </c>
      <c r="E43" s="549" t="s">
        <v>973</v>
      </c>
      <c r="F43" s="549" t="s">
        <v>974</v>
      </c>
      <c r="G43" s="549" t="s">
        <v>1013</v>
      </c>
      <c r="I43" s="549" t="s">
        <v>976</v>
      </c>
      <c r="J43" s="549" t="s">
        <v>976</v>
      </c>
      <c r="L43" s="549">
        <v>33546813.66</v>
      </c>
      <c r="M43" s="549">
        <v>2532784.4300000002</v>
      </c>
      <c r="N43" s="549">
        <v>2372922.5</v>
      </c>
      <c r="P43" s="549">
        <v>0</v>
      </c>
      <c r="Q43" s="549">
        <v>0</v>
      </c>
      <c r="X43" s="554" t="s">
        <v>33</v>
      </c>
      <c r="Y43" s="552">
        <f>SUMIF(Table1[Customer Name],U43,Table1[Connection Charge])</f>
        <v>0</v>
      </c>
      <c r="Z43" s="552">
        <f>SUMIF(Table1[Customer Name],V43,Table1[Connection Charge])</f>
        <v>0</v>
      </c>
      <c r="AA43" s="552">
        <f>SUMIF(Table1[Customer Name],W43,Table1[Connection Charge])</f>
        <v>0</v>
      </c>
      <c r="AB43" s="552">
        <f t="shared" si="0"/>
        <v>0</v>
      </c>
    </row>
    <row r="44" spans="1:28" x14ac:dyDescent="0.25">
      <c r="A44" s="549" t="s">
        <v>1014</v>
      </c>
      <c r="B44" s="549" t="s">
        <v>1015</v>
      </c>
      <c r="C44" s="549" t="s">
        <v>519</v>
      </c>
      <c r="D44" s="549" t="s">
        <v>492</v>
      </c>
      <c r="E44" s="549" t="s">
        <v>973</v>
      </c>
      <c r="F44" s="549" t="s">
        <v>974</v>
      </c>
      <c r="G44" s="549" t="s">
        <v>1012</v>
      </c>
      <c r="I44" s="549" t="s">
        <v>976</v>
      </c>
      <c r="J44" s="549" t="s">
        <v>976</v>
      </c>
      <c r="L44" s="549">
        <v>33880712.780000001</v>
      </c>
      <c r="M44" s="549">
        <v>2557993.81</v>
      </c>
      <c r="N44" s="549">
        <v>2384709.14</v>
      </c>
      <c r="P44" s="549">
        <v>0</v>
      </c>
      <c r="Q44" s="549">
        <v>0</v>
      </c>
      <c r="U44" s="559" t="s">
        <v>987</v>
      </c>
      <c r="V44" s="559" t="s">
        <v>1191</v>
      </c>
      <c r="W44" s="550" t="s">
        <v>1110</v>
      </c>
      <c r="X44" s="554" t="s">
        <v>35</v>
      </c>
      <c r="Y44" s="552">
        <f>SUMIF(Table1[Customer Name],U44,Table1[Connection Charge])</f>
        <v>1778886.340000001</v>
      </c>
      <c r="Z44" s="552">
        <f>SUMIF(Table1[Customer Name],V44,Table1[Connection Charge])</f>
        <v>9624.6</v>
      </c>
      <c r="AA44" s="552">
        <f>SUMIF(Table1[Customer Name],W44,Table1[Connection Charge])</f>
        <v>96026.08</v>
      </c>
      <c r="AB44" s="552">
        <f t="shared" si="0"/>
        <v>1884537.0200000009</v>
      </c>
    </row>
    <row r="45" spans="1:28" x14ac:dyDescent="0.25">
      <c r="A45" s="549" t="s">
        <v>1014</v>
      </c>
      <c r="B45" s="549" t="s">
        <v>1015</v>
      </c>
      <c r="C45" s="549" t="s">
        <v>807</v>
      </c>
      <c r="D45" s="549" t="s">
        <v>808</v>
      </c>
      <c r="E45" s="549" t="s">
        <v>977</v>
      </c>
      <c r="F45" s="549" t="s">
        <v>974</v>
      </c>
      <c r="G45" s="549" t="s">
        <v>1016</v>
      </c>
      <c r="I45" s="549" t="s">
        <v>976</v>
      </c>
      <c r="J45" s="549" t="s">
        <v>976</v>
      </c>
      <c r="L45" s="549">
        <v>406547.51</v>
      </c>
      <c r="M45" s="549">
        <v>30694.34</v>
      </c>
      <c r="N45" s="549">
        <v>58631.42</v>
      </c>
      <c r="P45" s="549">
        <v>99.68</v>
      </c>
      <c r="Q45" s="549">
        <v>89039.92</v>
      </c>
      <c r="W45" s="550" t="s">
        <v>1165</v>
      </c>
      <c r="X45" s="554" t="s">
        <v>3</v>
      </c>
      <c r="Y45" s="552">
        <f>SUMIF(Table1[Customer Name],U45,Table1[Connection Charge])</f>
        <v>0</v>
      </c>
      <c r="Z45" s="552">
        <f>SUMIF(Table1[Customer Name],V45,Table1[Connection Charge])</f>
        <v>0</v>
      </c>
      <c r="AA45" s="552">
        <f>SUMIF(Table1[Customer Name],W45,Table1[Connection Charge])</f>
        <v>119299.06</v>
      </c>
      <c r="AB45" s="552">
        <f t="shared" si="0"/>
        <v>119299.06</v>
      </c>
    </row>
    <row r="46" spans="1:28" x14ac:dyDescent="0.25">
      <c r="A46" s="549" t="s">
        <v>1014</v>
      </c>
      <c r="B46" s="549" t="s">
        <v>1015</v>
      </c>
      <c r="C46" s="549" t="s">
        <v>807</v>
      </c>
      <c r="D46" s="549" t="s">
        <v>808</v>
      </c>
      <c r="E46" s="549" t="s">
        <v>973</v>
      </c>
      <c r="F46" s="549" t="s">
        <v>974</v>
      </c>
      <c r="G46" s="549" t="s">
        <v>1016</v>
      </c>
      <c r="I46" s="549" t="s">
        <v>976</v>
      </c>
      <c r="J46" s="549" t="s">
        <v>976</v>
      </c>
      <c r="L46" s="549">
        <v>406547.51</v>
      </c>
      <c r="M46" s="549">
        <v>30694.34</v>
      </c>
      <c r="N46" s="549">
        <v>72982.55</v>
      </c>
      <c r="P46" s="549">
        <v>0.32</v>
      </c>
      <c r="Q46" s="549">
        <v>331.77</v>
      </c>
      <c r="X46" s="554" t="s">
        <v>6</v>
      </c>
      <c r="Y46" s="552">
        <f>SUMIF(Table1[Customer Name],U46,Table1[Connection Charge])</f>
        <v>0</v>
      </c>
      <c r="Z46" s="552">
        <f>SUMIF(Table1[Customer Name],V46,Table1[Connection Charge])</f>
        <v>0</v>
      </c>
      <c r="AA46" s="552">
        <f>SUMIF(Table1[Customer Name],W46,Table1[Connection Charge])</f>
        <v>0</v>
      </c>
      <c r="AB46" s="552">
        <f t="shared" si="0"/>
        <v>0</v>
      </c>
    </row>
    <row r="47" spans="1:28" x14ac:dyDescent="0.25">
      <c r="A47" s="549" t="s">
        <v>1014</v>
      </c>
      <c r="B47" s="549" t="s">
        <v>1015</v>
      </c>
      <c r="C47" s="549" t="s">
        <v>805</v>
      </c>
      <c r="D47" s="549" t="s">
        <v>806</v>
      </c>
      <c r="E47" s="549" t="s">
        <v>977</v>
      </c>
      <c r="F47" s="549" t="s">
        <v>974</v>
      </c>
      <c r="G47" s="549" t="s">
        <v>1017</v>
      </c>
      <c r="I47" s="549" t="s">
        <v>976</v>
      </c>
      <c r="J47" s="549" t="s">
        <v>976</v>
      </c>
      <c r="L47" s="549">
        <v>1482532.48</v>
      </c>
      <c r="M47" s="549">
        <v>111931.2</v>
      </c>
      <c r="N47" s="549">
        <v>79035.09</v>
      </c>
      <c r="P47" s="549">
        <v>100</v>
      </c>
      <c r="Q47" s="549">
        <v>190966.29</v>
      </c>
      <c r="W47" s="550" t="s">
        <v>1109</v>
      </c>
      <c r="X47" s="554" t="s">
        <v>51</v>
      </c>
      <c r="Y47" s="552">
        <f>SUMIF(Table1[Customer Name],U47,Table1[Connection Charge])</f>
        <v>0</v>
      </c>
      <c r="Z47" s="552">
        <f>SUMIF(Table1[Customer Name],V47,Table1[Connection Charge])</f>
        <v>0</v>
      </c>
      <c r="AA47" s="552">
        <f>SUMIF(Table1[Customer Name],W47,Table1[Connection Charge])</f>
        <v>1678354.3299999996</v>
      </c>
      <c r="AB47" s="552">
        <f t="shared" si="0"/>
        <v>1678354.3299999996</v>
      </c>
    </row>
    <row r="48" spans="1:28" x14ac:dyDescent="0.25">
      <c r="A48" s="549" t="s">
        <v>1014</v>
      </c>
      <c r="B48" s="549" t="s">
        <v>1015</v>
      </c>
      <c r="C48" s="549" t="s">
        <v>805</v>
      </c>
      <c r="D48" s="549" t="s">
        <v>806</v>
      </c>
      <c r="E48" s="549" t="s">
        <v>973</v>
      </c>
      <c r="F48" s="549" t="s">
        <v>974</v>
      </c>
      <c r="G48" s="549" t="s">
        <v>1017</v>
      </c>
      <c r="I48" s="549" t="s">
        <v>976</v>
      </c>
      <c r="J48" s="549" t="s">
        <v>976</v>
      </c>
      <c r="L48" s="549">
        <v>1482532.48</v>
      </c>
      <c r="M48" s="549">
        <v>111931.2</v>
      </c>
      <c r="N48" s="549">
        <v>131368.48000000001</v>
      </c>
      <c r="P48" s="549">
        <v>0</v>
      </c>
      <c r="Q48" s="549">
        <v>0</v>
      </c>
      <c r="W48" s="559" t="s">
        <v>1187</v>
      </c>
      <c r="X48" s="554" t="s">
        <v>15</v>
      </c>
      <c r="Y48" s="552">
        <f>SUMIF(Table1[Customer Name],U48,Table1[Connection Charge])</f>
        <v>0</v>
      </c>
      <c r="Z48" s="552">
        <f>SUMIF(Table1[Customer Name],V48,Table1[Connection Charge])</f>
        <v>0</v>
      </c>
      <c r="AA48" s="552">
        <f>SUMIF(Table1[Customer Name],W48,Table1[Connection Charge])</f>
        <v>475264.22000000003</v>
      </c>
      <c r="AB48" s="552">
        <f t="shared" si="0"/>
        <v>475264.22000000003</v>
      </c>
    </row>
    <row r="49" spans="1:28" x14ac:dyDescent="0.25">
      <c r="A49" s="549" t="s">
        <v>1018</v>
      </c>
      <c r="B49" s="549" t="s">
        <v>1019</v>
      </c>
      <c r="C49" s="549" t="s">
        <v>811</v>
      </c>
      <c r="D49" s="549" t="s">
        <v>812</v>
      </c>
      <c r="E49" s="549" t="s">
        <v>977</v>
      </c>
      <c r="F49" s="549" t="s">
        <v>974</v>
      </c>
      <c r="G49" s="549" t="s">
        <v>1020</v>
      </c>
      <c r="I49" s="549" t="s">
        <v>976</v>
      </c>
      <c r="J49" s="549" t="s">
        <v>976</v>
      </c>
      <c r="L49" s="549">
        <v>1176563.44</v>
      </c>
      <c r="M49" s="549">
        <v>88830.54</v>
      </c>
      <c r="N49" s="549">
        <v>62723.61</v>
      </c>
      <c r="P49" s="549">
        <v>100</v>
      </c>
      <c r="Q49" s="549">
        <v>151554.15</v>
      </c>
      <c r="W49" s="550" t="s">
        <v>1205</v>
      </c>
      <c r="X49" s="554" t="s">
        <v>22</v>
      </c>
      <c r="Y49" s="552">
        <f>SUMIF(Table1[Customer Name],U49,Table1[Connection Charge])</f>
        <v>0</v>
      </c>
      <c r="Z49" s="552">
        <f>SUMIF(Table1[Customer Name],V49,Table1[Connection Charge])</f>
        <v>0</v>
      </c>
      <c r="AA49" s="552">
        <f>SUMIF(Table1[Customer Name],W49,Table1[Connection Charge])</f>
        <v>576637.52999999991</v>
      </c>
      <c r="AB49" s="552">
        <f t="shared" si="0"/>
        <v>576637.52999999991</v>
      </c>
    </row>
    <row r="50" spans="1:28" x14ac:dyDescent="0.25">
      <c r="A50" s="549" t="s">
        <v>1018</v>
      </c>
      <c r="B50" s="549" t="s">
        <v>1019</v>
      </c>
      <c r="C50" s="549" t="s">
        <v>823</v>
      </c>
      <c r="D50" s="549" t="s">
        <v>824</v>
      </c>
      <c r="E50" s="549" t="s">
        <v>973</v>
      </c>
      <c r="F50" s="549" t="s">
        <v>974</v>
      </c>
      <c r="G50" s="549" t="s">
        <v>1021</v>
      </c>
      <c r="I50" s="549" t="s">
        <v>976</v>
      </c>
      <c r="J50" s="549" t="s">
        <v>976</v>
      </c>
      <c r="L50" s="549">
        <v>1442942.47</v>
      </c>
      <c r="M50" s="549">
        <v>108942.16</v>
      </c>
      <c r="N50" s="549">
        <v>120102.33</v>
      </c>
      <c r="P50" s="549">
        <v>0</v>
      </c>
      <c r="Q50" s="549">
        <v>0</v>
      </c>
      <c r="W50" s="550" t="s">
        <v>1070</v>
      </c>
      <c r="X50" s="554" t="s">
        <v>24</v>
      </c>
      <c r="Y50" s="552">
        <f>SUMIF(Table1[Customer Name],U50,Table1[Connection Charge])</f>
        <v>0</v>
      </c>
      <c r="Z50" s="552">
        <f>SUMIF(Table1[Customer Name],V50,Table1[Connection Charge])</f>
        <v>0</v>
      </c>
      <c r="AA50" s="552">
        <f>SUMIF(Table1[Customer Name],W50,Table1[Connection Charge])</f>
        <v>2251010.5900000012</v>
      </c>
      <c r="AB50" s="552">
        <f t="shared" si="0"/>
        <v>2251010.5900000012</v>
      </c>
    </row>
    <row r="51" spans="1:28" x14ac:dyDescent="0.25">
      <c r="A51" s="549" t="s">
        <v>1018</v>
      </c>
      <c r="B51" s="549" t="s">
        <v>1019</v>
      </c>
      <c r="C51" s="549" t="s">
        <v>823</v>
      </c>
      <c r="D51" s="549" t="s">
        <v>824</v>
      </c>
      <c r="E51" s="549" t="s">
        <v>977</v>
      </c>
      <c r="F51" s="549" t="s">
        <v>974</v>
      </c>
      <c r="G51" s="549" t="s">
        <v>1021</v>
      </c>
      <c r="I51" s="549" t="s">
        <v>976</v>
      </c>
      <c r="J51" s="549" t="s">
        <v>976</v>
      </c>
      <c r="L51" s="549">
        <v>1442942.47</v>
      </c>
      <c r="M51" s="549">
        <v>108942.16</v>
      </c>
      <c r="N51" s="549">
        <v>69166.460000000006</v>
      </c>
      <c r="P51" s="549">
        <v>100</v>
      </c>
      <c r="Q51" s="549">
        <v>178108.62</v>
      </c>
      <c r="W51" s="550" t="s">
        <v>1199</v>
      </c>
      <c r="X51" s="549" t="s">
        <v>44</v>
      </c>
      <c r="Y51" s="552">
        <f>SUMIF(Table1[Customer Name],U51,Table1[Connection Charge])</f>
        <v>0</v>
      </c>
      <c r="Z51" s="552">
        <f>SUMIF(Table1[Customer Name],V51,Table1[Connection Charge])</f>
        <v>0</v>
      </c>
      <c r="AA51" s="552">
        <f>SUMIF(Table1[Customer Name],W51,Table1[Connection Charge])</f>
        <v>1256472.08</v>
      </c>
      <c r="AB51" s="552">
        <f t="shared" si="0"/>
        <v>1256472.08</v>
      </c>
    </row>
    <row r="52" spans="1:28" x14ac:dyDescent="0.25">
      <c r="A52" s="549" t="s">
        <v>1018</v>
      </c>
      <c r="B52" s="549" t="s">
        <v>1019</v>
      </c>
      <c r="C52" s="549" t="s">
        <v>819</v>
      </c>
      <c r="D52" s="549" t="s">
        <v>820</v>
      </c>
      <c r="E52" s="549" t="s">
        <v>977</v>
      </c>
      <c r="F52" s="549" t="s">
        <v>974</v>
      </c>
      <c r="G52" s="549" t="s">
        <v>1022</v>
      </c>
      <c r="I52" s="549" t="s">
        <v>976</v>
      </c>
      <c r="J52" s="549" t="s">
        <v>976</v>
      </c>
      <c r="L52" s="549">
        <v>1948758.24</v>
      </c>
      <c r="M52" s="549">
        <v>147131.25</v>
      </c>
      <c r="N52" s="549">
        <v>43405.3</v>
      </c>
      <c r="P52" s="549">
        <v>100</v>
      </c>
      <c r="Q52" s="549">
        <v>190536.55</v>
      </c>
      <c r="W52" s="550" t="s">
        <v>1148</v>
      </c>
      <c r="X52" s="554" t="s">
        <v>26</v>
      </c>
      <c r="Y52" s="552">
        <f>SUMIF(Table1[Customer Name],U52,Table1[Connection Charge])</f>
        <v>0</v>
      </c>
      <c r="Z52" s="552">
        <f>SUMIF(Table1[Customer Name],V52,Table1[Connection Charge])</f>
        <v>0</v>
      </c>
      <c r="AA52" s="552">
        <f>SUMIF(Table1[Customer Name],W52,Table1[Connection Charge])</f>
        <v>990386.74000000034</v>
      </c>
      <c r="AB52" s="552">
        <f t="shared" si="0"/>
        <v>990386.74000000034</v>
      </c>
    </row>
    <row r="53" spans="1:28" x14ac:dyDescent="0.25">
      <c r="A53" s="549" t="s">
        <v>1023</v>
      </c>
      <c r="B53" s="549" t="s">
        <v>1024</v>
      </c>
      <c r="C53" s="549" t="s">
        <v>681</v>
      </c>
      <c r="D53" s="549" t="s">
        <v>682</v>
      </c>
      <c r="E53" s="549" t="s">
        <v>977</v>
      </c>
      <c r="F53" s="549" t="s">
        <v>974</v>
      </c>
      <c r="G53" s="549" t="s">
        <v>1025</v>
      </c>
      <c r="I53" s="549" t="s">
        <v>976</v>
      </c>
      <c r="J53" s="549" t="s">
        <v>976</v>
      </c>
      <c r="L53" s="549">
        <v>2311695.4900000002</v>
      </c>
      <c r="M53" s="549">
        <v>174533.01</v>
      </c>
      <c r="N53" s="549">
        <v>208932.11</v>
      </c>
      <c r="P53" s="549">
        <v>13.7</v>
      </c>
      <c r="Q53" s="549">
        <v>52534.720000000001</v>
      </c>
      <c r="X53" s="554" t="s">
        <v>30</v>
      </c>
      <c r="Y53" s="552">
        <f>SUMIF(Table1[Customer Name],U53,Table1[Connection Charge])</f>
        <v>0</v>
      </c>
      <c r="Z53" s="552">
        <f>SUMIF(Table1[Customer Name],V53,Table1[Connection Charge])</f>
        <v>0</v>
      </c>
      <c r="AA53" s="552">
        <f>SUMIF(Table1[Customer Name],W53,Table1[Connection Charge])</f>
        <v>0</v>
      </c>
      <c r="AB53" s="552">
        <f t="shared" si="0"/>
        <v>0</v>
      </c>
    </row>
    <row r="54" spans="1:28" x14ac:dyDescent="0.25">
      <c r="A54" s="549" t="s">
        <v>1023</v>
      </c>
      <c r="B54" s="549" t="s">
        <v>1024</v>
      </c>
      <c r="C54" s="549" t="s">
        <v>681</v>
      </c>
      <c r="D54" s="549" t="s">
        <v>682</v>
      </c>
      <c r="E54" s="549" t="s">
        <v>977</v>
      </c>
      <c r="F54" s="549" t="s">
        <v>974</v>
      </c>
      <c r="G54" s="549" t="s">
        <v>1026</v>
      </c>
      <c r="I54" s="549" t="s">
        <v>976</v>
      </c>
      <c r="J54" s="549" t="s">
        <v>976</v>
      </c>
      <c r="L54" s="549">
        <v>2985371.43</v>
      </c>
      <c r="M54" s="549">
        <v>225395.54</v>
      </c>
      <c r="N54" s="549">
        <v>387779.47</v>
      </c>
      <c r="P54" s="549">
        <v>100</v>
      </c>
      <c r="Q54" s="549">
        <v>613175.01</v>
      </c>
      <c r="X54" s="554" t="s">
        <v>904</v>
      </c>
      <c r="Y54" s="552">
        <f>SUMIF(Table1[Customer Name],U54,Table1[Connection Charge])</f>
        <v>0</v>
      </c>
      <c r="Z54" s="552">
        <f>SUMIF(Table1[Customer Name],V54,Table1[Connection Charge])</f>
        <v>0</v>
      </c>
      <c r="AA54" s="552">
        <f>SUMIF(Table1[Customer Name],W54,Table1[Connection Charge])</f>
        <v>0</v>
      </c>
      <c r="AB54" s="552">
        <f t="shared" si="0"/>
        <v>0</v>
      </c>
    </row>
    <row r="55" spans="1:28" x14ac:dyDescent="0.25">
      <c r="A55" s="549" t="s">
        <v>1023</v>
      </c>
      <c r="B55" s="549" t="s">
        <v>1024</v>
      </c>
      <c r="C55" s="549" t="s">
        <v>679</v>
      </c>
      <c r="D55" s="549" t="s">
        <v>680</v>
      </c>
      <c r="E55" s="549" t="s">
        <v>977</v>
      </c>
      <c r="F55" s="549" t="s">
        <v>974</v>
      </c>
      <c r="G55" s="549" t="s">
        <v>1025</v>
      </c>
      <c r="I55" s="549" t="s">
        <v>976</v>
      </c>
      <c r="J55" s="549" t="s">
        <v>976</v>
      </c>
      <c r="L55" s="549">
        <v>2311695.4900000002</v>
      </c>
      <c r="M55" s="549">
        <v>174533.01</v>
      </c>
      <c r="N55" s="549">
        <v>208932.11</v>
      </c>
      <c r="P55" s="549">
        <v>86.3</v>
      </c>
      <c r="Q55" s="549">
        <v>330930.40000000002</v>
      </c>
      <c r="W55" s="550" t="s">
        <v>1046</v>
      </c>
      <c r="X55" s="554" t="s">
        <v>42</v>
      </c>
      <c r="Y55" s="552">
        <f>SUMIF(Table1[Customer Name],U55,Table1[Connection Charge])</f>
        <v>0</v>
      </c>
      <c r="Z55" s="552">
        <f>SUMIF(Table1[Customer Name],V55,Table1[Connection Charge])</f>
        <v>0</v>
      </c>
      <c r="AA55" s="552">
        <f>SUMIF(Table1[Customer Name],W55,Table1[Connection Charge])</f>
        <v>1074841.4700000002</v>
      </c>
      <c r="AB55" s="552">
        <f t="shared" si="0"/>
        <v>1074841.4700000002</v>
      </c>
    </row>
    <row r="56" spans="1:28" x14ac:dyDescent="0.25">
      <c r="A56" s="549" t="s">
        <v>1027</v>
      </c>
      <c r="B56" s="549" t="s">
        <v>592</v>
      </c>
      <c r="C56" s="549" t="s">
        <v>879</v>
      </c>
      <c r="D56" s="549" t="s">
        <v>880</v>
      </c>
      <c r="E56" s="549" t="s">
        <v>977</v>
      </c>
      <c r="F56" s="549" t="s">
        <v>974</v>
      </c>
      <c r="G56" s="549" t="s">
        <v>1028</v>
      </c>
      <c r="I56" s="549" t="s">
        <v>976</v>
      </c>
      <c r="J56" s="549" t="s">
        <v>976</v>
      </c>
      <c r="L56" s="549">
        <v>4485671.42</v>
      </c>
      <c r="M56" s="549">
        <v>338668.19</v>
      </c>
      <c r="N56" s="549">
        <v>365949.99</v>
      </c>
      <c r="P56" s="549">
        <v>20.16</v>
      </c>
      <c r="Q56" s="549">
        <v>142051.03</v>
      </c>
      <c r="AA56" s="552"/>
      <c r="AB56" s="552"/>
    </row>
    <row r="57" spans="1:28" x14ac:dyDescent="0.25">
      <c r="A57" s="549" t="s">
        <v>1027</v>
      </c>
      <c r="B57" s="549" t="s">
        <v>592</v>
      </c>
      <c r="C57" s="549" t="s">
        <v>879</v>
      </c>
      <c r="D57" s="549" t="s">
        <v>880</v>
      </c>
      <c r="E57" s="549" t="s">
        <v>973</v>
      </c>
      <c r="F57" s="549" t="s">
        <v>974</v>
      </c>
      <c r="G57" s="549" t="s">
        <v>1028</v>
      </c>
      <c r="I57" s="549" t="s">
        <v>976</v>
      </c>
      <c r="J57" s="549" t="s">
        <v>976</v>
      </c>
      <c r="L57" s="549">
        <v>4485671.42</v>
      </c>
      <c r="M57" s="549">
        <v>338668.19</v>
      </c>
      <c r="N57" s="549">
        <v>524294.18999999994</v>
      </c>
      <c r="P57" s="549">
        <v>0</v>
      </c>
      <c r="Q57" s="549">
        <v>0</v>
      </c>
      <c r="AA57" s="552"/>
      <c r="AB57" s="552"/>
    </row>
    <row r="58" spans="1:28" x14ac:dyDescent="0.25">
      <c r="A58" s="549" t="s">
        <v>1029</v>
      </c>
      <c r="B58" s="549" t="s">
        <v>1030</v>
      </c>
      <c r="C58" s="549" t="s">
        <v>540</v>
      </c>
      <c r="D58" s="549" t="s">
        <v>487</v>
      </c>
      <c r="E58" s="549" t="s">
        <v>973</v>
      </c>
      <c r="F58" s="549" t="s">
        <v>974</v>
      </c>
      <c r="G58" s="549" t="s">
        <v>1031</v>
      </c>
      <c r="I58" s="549" t="s">
        <v>976</v>
      </c>
      <c r="J58" s="549" t="s">
        <v>976</v>
      </c>
      <c r="L58" s="549">
        <v>3124255.2</v>
      </c>
      <c r="M58" s="549">
        <v>235881.27</v>
      </c>
      <c r="N58" s="549">
        <v>181046.6</v>
      </c>
      <c r="P58" s="549">
        <v>17.07</v>
      </c>
      <c r="Q58" s="549">
        <v>71169.59</v>
      </c>
      <c r="AA58" s="552"/>
      <c r="AB58" s="552"/>
    </row>
    <row r="59" spans="1:28" x14ac:dyDescent="0.25">
      <c r="A59" s="549" t="s">
        <v>1029</v>
      </c>
      <c r="B59" s="549" t="s">
        <v>1030</v>
      </c>
      <c r="C59" s="549" t="s">
        <v>540</v>
      </c>
      <c r="D59" s="549" t="s">
        <v>487</v>
      </c>
      <c r="E59" s="549" t="s">
        <v>977</v>
      </c>
      <c r="F59" s="549" t="s">
        <v>974</v>
      </c>
      <c r="G59" s="549" t="s">
        <v>1031</v>
      </c>
      <c r="I59" s="549" t="s">
        <v>976</v>
      </c>
      <c r="J59" s="549" t="s">
        <v>976</v>
      </c>
      <c r="L59" s="549">
        <v>3124255.2</v>
      </c>
      <c r="M59" s="549">
        <v>235881.27</v>
      </c>
      <c r="N59" s="549">
        <v>70760.39</v>
      </c>
      <c r="P59" s="549">
        <v>0.12</v>
      </c>
      <c r="Q59" s="549">
        <v>367.97</v>
      </c>
      <c r="AA59" s="552"/>
      <c r="AB59" s="552"/>
    </row>
    <row r="60" spans="1:28" x14ac:dyDescent="0.25">
      <c r="A60" s="549" t="s">
        <v>514</v>
      </c>
      <c r="B60" s="549" t="s">
        <v>1032</v>
      </c>
      <c r="C60" s="549" t="s">
        <v>513</v>
      </c>
      <c r="D60" s="549" t="s">
        <v>456</v>
      </c>
      <c r="E60" s="549" t="s">
        <v>973</v>
      </c>
      <c r="F60" s="549" t="s">
        <v>974</v>
      </c>
      <c r="G60" s="549" t="s">
        <v>1033</v>
      </c>
      <c r="I60" s="549" t="s">
        <v>976</v>
      </c>
      <c r="J60" s="549" t="s">
        <v>976</v>
      </c>
      <c r="L60" s="549">
        <v>53695358.079999998</v>
      </c>
      <c r="M60" s="549">
        <v>4053999.54</v>
      </c>
      <c r="N60" s="549">
        <v>2671864.54</v>
      </c>
      <c r="P60" s="549">
        <v>92.47</v>
      </c>
      <c r="Q60" s="549">
        <v>6219406.5099999998</v>
      </c>
      <c r="AA60" s="552"/>
      <c r="AB60" s="552"/>
    </row>
    <row r="61" spans="1:28" x14ac:dyDescent="0.25">
      <c r="A61" s="549" t="s">
        <v>514</v>
      </c>
      <c r="B61" s="549" t="s">
        <v>1032</v>
      </c>
      <c r="C61" s="549" t="s">
        <v>513</v>
      </c>
      <c r="D61" s="549" t="s">
        <v>456</v>
      </c>
      <c r="E61" s="549" t="s">
        <v>973</v>
      </c>
      <c r="F61" s="549" t="s">
        <v>974</v>
      </c>
      <c r="G61" s="549" t="s">
        <v>1034</v>
      </c>
      <c r="I61" s="549" t="s">
        <v>976</v>
      </c>
      <c r="J61" s="549" t="s">
        <v>976</v>
      </c>
      <c r="L61" s="549">
        <v>40738434.979999997</v>
      </c>
      <c r="M61" s="549">
        <v>3075751.84</v>
      </c>
      <c r="N61" s="549">
        <v>2335093.36</v>
      </c>
      <c r="P61" s="549">
        <v>78.680000000000007</v>
      </c>
      <c r="Q61" s="549">
        <v>4257253</v>
      </c>
      <c r="AA61" s="552"/>
      <c r="AB61" s="552"/>
    </row>
    <row r="62" spans="1:28" x14ac:dyDescent="0.25">
      <c r="A62" s="549" t="s">
        <v>514</v>
      </c>
      <c r="B62" s="549" t="s">
        <v>1032</v>
      </c>
      <c r="C62" s="549" t="s">
        <v>513</v>
      </c>
      <c r="D62" s="549" t="s">
        <v>456</v>
      </c>
      <c r="E62" s="549" t="s">
        <v>977</v>
      </c>
      <c r="F62" s="549" t="s">
        <v>974</v>
      </c>
      <c r="G62" s="549" t="s">
        <v>1033</v>
      </c>
      <c r="I62" s="549" t="s">
        <v>976</v>
      </c>
      <c r="J62" s="549" t="s">
        <v>976</v>
      </c>
      <c r="L62" s="549">
        <v>53695358.079999998</v>
      </c>
      <c r="M62" s="549">
        <v>4053999.54</v>
      </c>
      <c r="N62" s="549">
        <v>776418.4</v>
      </c>
      <c r="P62" s="549">
        <v>0</v>
      </c>
      <c r="Q62" s="549">
        <v>0</v>
      </c>
      <c r="AA62" s="552"/>
      <c r="AB62" s="552"/>
    </row>
    <row r="63" spans="1:28" x14ac:dyDescent="0.25">
      <c r="A63" s="549" t="s">
        <v>514</v>
      </c>
      <c r="B63" s="549" t="s">
        <v>1032</v>
      </c>
      <c r="C63" s="549" t="s">
        <v>513</v>
      </c>
      <c r="D63" s="549" t="s">
        <v>456</v>
      </c>
      <c r="E63" s="549" t="s">
        <v>977</v>
      </c>
      <c r="F63" s="549" t="s">
        <v>974</v>
      </c>
      <c r="G63" s="549" t="s">
        <v>1034</v>
      </c>
      <c r="I63" s="549" t="s">
        <v>976</v>
      </c>
      <c r="J63" s="549" t="s">
        <v>976</v>
      </c>
      <c r="L63" s="549">
        <v>40738434.979999997</v>
      </c>
      <c r="M63" s="549">
        <v>3075751.84</v>
      </c>
      <c r="N63" s="549">
        <v>897026.61</v>
      </c>
      <c r="P63" s="549">
        <v>0</v>
      </c>
      <c r="Q63" s="549">
        <v>0</v>
      </c>
    </row>
    <row r="64" spans="1:28" x14ac:dyDescent="0.25">
      <c r="A64" s="549" t="s">
        <v>514</v>
      </c>
      <c r="B64" s="549" t="s">
        <v>1032</v>
      </c>
      <c r="C64" s="549" t="s">
        <v>530</v>
      </c>
      <c r="D64" s="549" t="s">
        <v>1035</v>
      </c>
      <c r="E64" s="549" t="s">
        <v>973</v>
      </c>
      <c r="F64" s="549" t="s">
        <v>974</v>
      </c>
      <c r="G64" s="549" t="s">
        <v>1036</v>
      </c>
      <c r="I64" s="549" t="s">
        <v>976</v>
      </c>
      <c r="J64" s="549" t="s">
        <v>976</v>
      </c>
      <c r="L64" s="549">
        <v>1919643.43</v>
      </c>
      <c r="M64" s="549">
        <v>144933.07999999999</v>
      </c>
      <c r="N64" s="549">
        <v>110032.37</v>
      </c>
      <c r="P64" s="549">
        <v>98.22</v>
      </c>
      <c r="Q64" s="549">
        <v>250427.06</v>
      </c>
    </row>
    <row r="65" spans="1:17" x14ac:dyDescent="0.25">
      <c r="A65" s="549" t="s">
        <v>514</v>
      </c>
      <c r="B65" s="549" t="s">
        <v>1032</v>
      </c>
      <c r="C65" s="549" t="s">
        <v>530</v>
      </c>
      <c r="D65" s="549" t="s">
        <v>1035</v>
      </c>
      <c r="E65" s="549" t="s">
        <v>977</v>
      </c>
      <c r="F65" s="549" t="s">
        <v>974</v>
      </c>
      <c r="G65" s="549" t="s">
        <v>1036</v>
      </c>
      <c r="I65" s="549" t="s">
        <v>976</v>
      </c>
      <c r="J65" s="549" t="s">
        <v>976</v>
      </c>
      <c r="L65" s="549">
        <v>1919643.43</v>
      </c>
      <c r="M65" s="549">
        <v>144933.07999999999</v>
      </c>
      <c r="N65" s="549">
        <v>42268.959999999999</v>
      </c>
      <c r="P65" s="549">
        <v>1.78</v>
      </c>
      <c r="Q65" s="549">
        <v>3332.2</v>
      </c>
    </row>
    <row r="66" spans="1:17" x14ac:dyDescent="0.25">
      <c r="A66" s="549" t="s">
        <v>1037</v>
      </c>
      <c r="B66" s="549" t="s">
        <v>1038</v>
      </c>
      <c r="C66" s="549" t="s">
        <v>688</v>
      </c>
      <c r="D66" s="549" t="s">
        <v>689</v>
      </c>
      <c r="E66" s="549" t="s">
        <v>977</v>
      </c>
      <c r="F66" s="549" t="s">
        <v>974</v>
      </c>
      <c r="G66" s="549" t="s">
        <v>1039</v>
      </c>
      <c r="I66" s="549" t="s">
        <v>976</v>
      </c>
      <c r="J66" s="549" t="s">
        <v>976</v>
      </c>
      <c r="L66" s="549">
        <v>356461.6</v>
      </c>
      <c r="M66" s="549">
        <v>26912.85</v>
      </c>
      <c r="N66" s="549">
        <v>18823</v>
      </c>
      <c r="P66" s="549">
        <v>100</v>
      </c>
      <c r="Q66" s="549">
        <v>45735.85</v>
      </c>
    </row>
    <row r="67" spans="1:17" x14ac:dyDescent="0.25">
      <c r="A67" s="549" t="s">
        <v>1037</v>
      </c>
      <c r="B67" s="549" t="s">
        <v>1038</v>
      </c>
      <c r="C67" s="549" t="s">
        <v>688</v>
      </c>
      <c r="D67" s="549" t="s">
        <v>689</v>
      </c>
      <c r="E67" s="549" t="s">
        <v>977</v>
      </c>
      <c r="F67" s="549" t="s">
        <v>974</v>
      </c>
      <c r="G67" s="549" t="s">
        <v>1040</v>
      </c>
      <c r="I67" s="549" t="s">
        <v>1041</v>
      </c>
      <c r="J67" s="549" t="s">
        <v>1041</v>
      </c>
      <c r="L67" s="549">
        <v>0</v>
      </c>
      <c r="M67" s="549">
        <v>0</v>
      </c>
      <c r="N67" s="549">
        <v>0</v>
      </c>
      <c r="P67" s="549">
        <v>100</v>
      </c>
      <c r="Q67" s="549">
        <v>0</v>
      </c>
    </row>
    <row r="68" spans="1:17" x14ac:dyDescent="0.25">
      <c r="A68" s="549" t="s">
        <v>1037</v>
      </c>
      <c r="B68" s="549" t="s">
        <v>1038</v>
      </c>
      <c r="C68" s="549" t="s">
        <v>688</v>
      </c>
      <c r="D68" s="549" t="s">
        <v>689</v>
      </c>
      <c r="E68" s="549" t="s">
        <v>977</v>
      </c>
      <c r="F68" s="549" t="s">
        <v>974</v>
      </c>
      <c r="G68" s="549" t="s">
        <v>1042</v>
      </c>
      <c r="I68" s="549" t="s">
        <v>976</v>
      </c>
      <c r="J68" s="549" t="s">
        <v>976</v>
      </c>
      <c r="L68" s="549">
        <v>3241078.88</v>
      </c>
      <c r="M68" s="549">
        <v>244701.46</v>
      </c>
      <c r="N68" s="549">
        <v>186078.8</v>
      </c>
      <c r="P68" s="549">
        <v>0</v>
      </c>
      <c r="Q68" s="549">
        <v>0</v>
      </c>
    </row>
    <row r="69" spans="1:17" x14ac:dyDescent="0.25">
      <c r="A69" s="549" t="s">
        <v>1037</v>
      </c>
      <c r="B69" s="549" t="s">
        <v>1038</v>
      </c>
      <c r="C69" s="549" t="s">
        <v>692</v>
      </c>
      <c r="D69" s="549" t="s">
        <v>462</v>
      </c>
      <c r="E69" s="549" t="s">
        <v>977</v>
      </c>
      <c r="F69" s="549" t="s">
        <v>974</v>
      </c>
      <c r="G69" s="549" t="s">
        <v>1043</v>
      </c>
      <c r="I69" s="549" t="s">
        <v>976</v>
      </c>
      <c r="J69" s="549" t="s">
        <v>976</v>
      </c>
      <c r="L69" s="549">
        <v>59523612.270000003</v>
      </c>
      <c r="M69" s="549">
        <v>4494032.7300000004</v>
      </c>
      <c r="N69" s="549">
        <v>1260660.6100000001</v>
      </c>
      <c r="P69" s="549">
        <v>0</v>
      </c>
      <c r="Q69" s="549">
        <v>0</v>
      </c>
    </row>
    <row r="70" spans="1:17" x14ac:dyDescent="0.25">
      <c r="A70" s="549" t="s">
        <v>1037</v>
      </c>
      <c r="B70" s="549" t="s">
        <v>1038</v>
      </c>
      <c r="C70" s="549" t="s">
        <v>693</v>
      </c>
      <c r="D70" s="549" t="s">
        <v>694</v>
      </c>
      <c r="E70" s="549" t="s">
        <v>977</v>
      </c>
      <c r="F70" s="549" t="s">
        <v>974</v>
      </c>
      <c r="G70" s="549" t="s">
        <v>1044</v>
      </c>
      <c r="I70" s="549" t="s">
        <v>976</v>
      </c>
      <c r="J70" s="549" t="s">
        <v>976</v>
      </c>
      <c r="L70" s="549">
        <v>493608.96000000002</v>
      </c>
      <c r="M70" s="549">
        <v>37267.480000000003</v>
      </c>
      <c r="N70" s="549">
        <v>38721.599999999999</v>
      </c>
      <c r="P70" s="549">
        <v>100</v>
      </c>
      <c r="Q70" s="549">
        <v>75989.08</v>
      </c>
    </row>
    <row r="71" spans="1:17" x14ac:dyDescent="0.25">
      <c r="A71" s="549" t="s">
        <v>1045</v>
      </c>
      <c r="B71" s="549" t="s">
        <v>1046</v>
      </c>
      <c r="C71" s="549" t="s">
        <v>1047</v>
      </c>
      <c r="D71" s="549" t="s">
        <v>494</v>
      </c>
      <c r="E71" s="549" t="s">
        <v>977</v>
      </c>
      <c r="F71" s="549" t="s">
        <v>974</v>
      </c>
      <c r="G71" s="549" t="s">
        <v>1048</v>
      </c>
      <c r="I71" s="549" t="s">
        <v>976</v>
      </c>
      <c r="J71" s="549" t="s">
        <v>976</v>
      </c>
      <c r="L71" s="549">
        <v>2392965</v>
      </c>
      <c r="M71" s="549">
        <v>180668.86</v>
      </c>
      <c r="N71" s="549">
        <v>52691.11</v>
      </c>
      <c r="P71" s="549">
        <v>82.8</v>
      </c>
      <c r="Q71" s="549">
        <v>193222.06</v>
      </c>
    </row>
    <row r="72" spans="1:17" x14ac:dyDescent="0.25">
      <c r="A72" s="549" t="s">
        <v>1045</v>
      </c>
      <c r="B72" s="549" t="s">
        <v>1046</v>
      </c>
      <c r="C72" s="549" t="s">
        <v>1047</v>
      </c>
      <c r="D72" s="549" t="s">
        <v>494</v>
      </c>
      <c r="E72" s="549" t="s">
        <v>973</v>
      </c>
      <c r="F72" s="549" t="s">
        <v>974</v>
      </c>
      <c r="G72" s="549" t="s">
        <v>1048</v>
      </c>
      <c r="I72" s="549" t="s">
        <v>976</v>
      </c>
      <c r="J72" s="549" t="s">
        <v>976</v>
      </c>
      <c r="L72" s="549">
        <v>2392965</v>
      </c>
      <c r="M72" s="549">
        <v>180668.86</v>
      </c>
      <c r="N72" s="549">
        <v>137162.76999999999</v>
      </c>
      <c r="P72" s="549">
        <v>0</v>
      </c>
      <c r="Q72" s="549">
        <v>0</v>
      </c>
    </row>
    <row r="73" spans="1:17" x14ac:dyDescent="0.25">
      <c r="A73" s="549" t="s">
        <v>502</v>
      </c>
      <c r="B73" s="549" t="s">
        <v>1049</v>
      </c>
      <c r="C73" s="549" t="s">
        <v>521</v>
      </c>
      <c r="D73" s="549" t="s">
        <v>1050</v>
      </c>
      <c r="E73" s="549" t="s">
        <v>973</v>
      </c>
      <c r="F73" s="549" t="s">
        <v>974</v>
      </c>
      <c r="G73" s="549" t="s">
        <v>1051</v>
      </c>
      <c r="I73" s="549" t="s">
        <v>976</v>
      </c>
      <c r="J73" s="549" t="s">
        <v>976</v>
      </c>
      <c r="L73" s="549">
        <v>788646.14</v>
      </c>
      <c r="M73" s="549">
        <v>59542.78</v>
      </c>
      <c r="N73" s="549">
        <v>53004.53</v>
      </c>
      <c r="P73" s="549">
        <v>100</v>
      </c>
      <c r="Q73" s="549">
        <v>112547.31</v>
      </c>
    </row>
    <row r="74" spans="1:17" x14ac:dyDescent="0.25">
      <c r="A74" s="549" t="s">
        <v>502</v>
      </c>
      <c r="B74" s="549" t="s">
        <v>1049</v>
      </c>
      <c r="C74" s="549" t="s">
        <v>521</v>
      </c>
      <c r="D74" s="549" t="s">
        <v>1050</v>
      </c>
      <c r="E74" s="549" t="s">
        <v>977</v>
      </c>
      <c r="F74" s="549" t="s">
        <v>974</v>
      </c>
      <c r="G74" s="549" t="s">
        <v>1051</v>
      </c>
      <c r="I74" s="549" t="s">
        <v>976</v>
      </c>
      <c r="J74" s="549" t="s">
        <v>976</v>
      </c>
      <c r="L74" s="549">
        <v>788646.14</v>
      </c>
      <c r="M74" s="549">
        <v>59542.78</v>
      </c>
      <c r="N74" s="549">
        <v>25165.32</v>
      </c>
      <c r="P74" s="549">
        <v>0</v>
      </c>
      <c r="Q74" s="549">
        <v>0</v>
      </c>
    </row>
    <row r="75" spans="1:17" x14ac:dyDescent="0.25">
      <c r="A75" s="549" t="s">
        <v>502</v>
      </c>
      <c r="B75" s="549" t="s">
        <v>1049</v>
      </c>
      <c r="C75" s="549" t="s">
        <v>523</v>
      </c>
      <c r="D75" s="549" t="s">
        <v>1052</v>
      </c>
      <c r="E75" s="549" t="s">
        <v>973</v>
      </c>
      <c r="F75" s="549" t="s">
        <v>974</v>
      </c>
      <c r="G75" s="549" t="s">
        <v>1053</v>
      </c>
      <c r="I75" s="549" t="s">
        <v>976</v>
      </c>
      <c r="J75" s="549" t="s">
        <v>976</v>
      </c>
      <c r="L75" s="549">
        <v>817426.55</v>
      </c>
      <c r="M75" s="549">
        <v>61715.7</v>
      </c>
      <c r="N75" s="549">
        <v>72416.960000000006</v>
      </c>
      <c r="P75" s="549">
        <v>53.39</v>
      </c>
      <c r="Q75" s="549">
        <v>71613.429999999993</v>
      </c>
    </row>
    <row r="76" spans="1:17" x14ac:dyDescent="0.25">
      <c r="A76" s="549" t="s">
        <v>502</v>
      </c>
      <c r="B76" s="549" t="s">
        <v>1049</v>
      </c>
      <c r="C76" s="549" t="s">
        <v>523</v>
      </c>
      <c r="D76" s="549" t="s">
        <v>1052</v>
      </c>
      <c r="E76" s="549" t="s">
        <v>973</v>
      </c>
      <c r="F76" s="549" t="s">
        <v>974</v>
      </c>
      <c r="G76" s="549" t="s">
        <v>1054</v>
      </c>
      <c r="I76" s="549" t="s">
        <v>976</v>
      </c>
      <c r="J76" s="549" t="s">
        <v>976</v>
      </c>
      <c r="L76" s="549">
        <v>1944667.85</v>
      </c>
      <c r="M76" s="549">
        <v>146822.42000000001</v>
      </c>
      <c r="N76" s="549">
        <v>172334.62</v>
      </c>
      <c r="P76" s="549">
        <v>44.52</v>
      </c>
      <c r="Q76" s="549">
        <v>142088.71</v>
      </c>
    </row>
    <row r="77" spans="1:17" x14ac:dyDescent="0.25">
      <c r="A77" s="549" t="s">
        <v>502</v>
      </c>
      <c r="B77" s="549" t="s">
        <v>1049</v>
      </c>
      <c r="C77" s="549" t="s">
        <v>523</v>
      </c>
      <c r="D77" s="549" t="s">
        <v>1052</v>
      </c>
      <c r="E77" s="549" t="s">
        <v>977</v>
      </c>
      <c r="F77" s="549" t="s">
        <v>974</v>
      </c>
      <c r="G77" s="549" t="s">
        <v>1053</v>
      </c>
      <c r="I77" s="549" t="s">
        <v>976</v>
      </c>
      <c r="J77" s="549" t="s">
        <v>976</v>
      </c>
      <c r="L77" s="549">
        <v>817426.55</v>
      </c>
      <c r="M77" s="549">
        <v>61715.7</v>
      </c>
      <c r="N77" s="549">
        <v>43561.8</v>
      </c>
      <c r="P77" s="549">
        <v>0</v>
      </c>
      <c r="Q77" s="549">
        <v>0</v>
      </c>
    </row>
    <row r="78" spans="1:17" x14ac:dyDescent="0.25">
      <c r="A78" s="549" t="s">
        <v>502</v>
      </c>
      <c r="B78" s="549" t="s">
        <v>1049</v>
      </c>
      <c r="C78" s="549" t="s">
        <v>523</v>
      </c>
      <c r="D78" s="549" t="s">
        <v>1052</v>
      </c>
      <c r="E78" s="549" t="s">
        <v>977</v>
      </c>
      <c r="F78" s="549" t="s">
        <v>974</v>
      </c>
      <c r="G78" s="549" t="s">
        <v>1054</v>
      </c>
      <c r="I78" s="549" t="s">
        <v>976</v>
      </c>
      <c r="J78" s="549" t="s">
        <v>976</v>
      </c>
      <c r="L78" s="549">
        <v>1944667.85</v>
      </c>
      <c r="M78" s="549">
        <v>146822.42000000001</v>
      </c>
      <c r="N78" s="549">
        <v>103687.84</v>
      </c>
      <c r="P78" s="549">
        <v>0</v>
      </c>
      <c r="Q78" s="549">
        <v>0</v>
      </c>
    </row>
    <row r="79" spans="1:17" x14ac:dyDescent="0.25">
      <c r="A79" s="549" t="s">
        <v>502</v>
      </c>
      <c r="B79" s="549" t="s">
        <v>1049</v>
      </c>
      <c r="C79" s="549" t="s">
        <v>524</v>
      </c>
      <c r="D79" s="549" t="s">
        <v>1055</v>
      </c>
      <c r="E79" s="549" t="s">
        <v>973</v>
      </c>
      <c r="F79" s="549" t="s">
        <v>974</v>
      </c>
      <c r="G79" s="549" t="s">
        <v>1056</v>
      </c>
      <c r="I79" s="549" t="s">
        <v>976</v>
      </c>
      <c r="J79" s="549" t="s">
        <v>976</v>
      </c>
      <c r="L79" s="549">
        <v>1284809.6599999999</v>
      </c>
      <c r="M79" s="549">
        <v>97003.13</v>
      </c>
      <c r="N79" s="549">
        <v>90880.58</v>
      </c>
      <c r="P79" s="549">
        <v>85.56</v>
      </c>
      <c r="Q79" s="549">
        <v>160753.29999999999</v>
      </c>
    </row>
    <row r="80" spans="1:17" x14ac:dyDescent="0.25">
      <c r="A80" s="549" t="s">
        <v>502</v>
      </c>
      <c r="B80" s="549" t="s">
        <v>1049</v>
      </c>
      <c r="C80" s="549" t="s">
        <v>524</v>
      </c>
      <c r="D80" s="549" t="s">
        <v>1055</v>
      </c>
      <c r="E80" s="549" t="s">
        <v>973</v>
      </c>
      <c r="F80" s="549" t="s">
        <v>974</v>
      </c>
      <c r="G80" s="549" t="s">
        <v>1057</v>
      </c>
      <c r="I80" s="549" t="s">
        <v>976</v>
      </c>
      <c r="J80" s="549" t="s">
        <v>976</v>
      </c>
      <c r="L80" s="549">
        <v>1284809.6599999999</v>
      </c>
      <c r="M80" s="549">
        <v>97003.13</v>
      </c>
      <c r="N80" s="549">
        <v>90880.58</v>
      </c>
      <c r="P80" s="549">
        <v>85.56</v>
      </c>
      <c r="Q80" s="549">
        <v>160753.29999999999</v>
      </c>
    </row>
    <row r="81" spans="1:17" x14ac:dyDescent="0.25">
      <c r="A81" s="549" t="s">
        <v>502</v>
      </c>
      <c r="B81" s="549" t="s">
        <v>1049</v>
      </c>
      <c r="C81" s="549" t="s">
        <v>524</v>
      </c>
      <c r="D81" s="549" t="s">
        <v>1055</v>
      </c>
      <c r="E81" s="549" t="s">
        <v>977</v>
      </c>
      <c r="F81" s="549" t="s">
        <v>974</v>
      </c>
      <c r="G81" s="549" t="s">
        <v>1056</v>
      </c>
      <c r="I81" s="549" t="s">
        <v>976</v>
      </c>
      <c r="J81" s="549" t="s">
        <v>976</v>
      </c>
      <c r="L81" s="549">
        <v>1284809.6599999999</v>
      </c>
      <c r="M81" s="549">
        <v>97003.13</v>
      </c>
      <c r="N81" s="549">
        <v>45526.8</v>
      </c>
      <c r="P81" s="549">
        <v>0.42</v>
      </c>
      <c r="Q81" s="549">
        <v>598.63</v>
      </c>
    </row>
    <row r="82" spans="1:17" x14ac:dyDescent="0.25">
      <c r="A82" s="549" t="s">
        <v>502</v>
      </c>
      <c r="B82" s="549" t="s">
        <v>1049</v>
      </c>
      <c r="C82" s="549" t="s">
        <v>524</v>
      </c>
      <c r="D82" s="549" t="s">
        <v>1055</v>
      </c>
      <c r="E82" s="549" t="s">
        <v>977</v>
      </c>
      <c r="F82" s="549" t="s">
        <v>974</v>
      </c>
      <c r="G82" s="549" t="s">
        <v>1057</v>
      </c>
      <c r="I82" s="549" t="s">
        <v>976</v>
      </c>
      <c r="J82" s="549" t="s">
        <v>976</v>
      </c>
      <c r="L82" s="549">
        <v>1284809.6599999999</v>
      </c>
      <c r="M82" s="549">
        <v>97003.13</v>
      </c>
      <c r="N82" s="549">
        <v>45526.8</v>
      </c>
      <c r="P82" s="549">
        <v>0.42</v>
      </c>
      <c r="Q82" s="549">
        <v>598.63</v>
      </c>
    </row>
    <row r="83" spans="1:17" x14ac:dyDescent="0.25">
      <c r="A83" s="549" t="s">
        <v>502</v>
      </c>
      <c r="B83" s="549" t="s">
        <v>1049</v>
      </c>
      <c r="C83" s="549" t="s">
        <v>526</v>
      </c>
      <c r="D83" s="549" t="s">
        <v>1058</v>
      </c>
      <c r="E83" s="549" t="s">
        <v>973</v>
      </c>
      <c r="F83" s="549" t="s">
        <v>974</v>
      </c>
      <c r="G83" s="549" t="s">
        <v>1056</v>
      </c>
      <c r="I83" s="549" t="s">
        <v>976</v>
      </c>
      <c r="J83" s="549" t="s">
        <v>976</v>
      </c>
      <c r="L83" s="549">
        <v>1284809.6599999999</v>
      </c>
      <c r="M83" s="549">
        <v>97003.13</v>
      </c>
      <c r="N83" s="549">
        <v>90880.58</v>
      </c>
      <c r="P83" s="549">
        <v>13.98</v>
      </c>
      <c r="Q83" s="549">
        <v>26266.14</v>
      </c>
    </row>
    <row r="84" spans="1:17" x14ac:dyDescent="0.25">
      <c r="A84" s="549" t="s">
        <v>502</v>
      </c>
      <c r="B84" s="549" t="s">
        <v>1049</v>
      </c>
      <c r="C84" s="549" t="s">
        <v>526</v>
      </c>
      <c r="D84" s="549" t="s">
        <v>1058</v>
      </c>
      <c r="E84" s="549" t="s">
        <v>973</v>
      </c>
      <c r="F84" s="549" t="s">
        <v>974</v>
      </c>
      <c r="G84" s="549" t="s">
        <v>1057</v>
      </c>
      <c r="I84" s="549" t="s">
        <v>976</v>
      </c>
      <c r="J84" s="549" t="s">
        <v>976</v>
      </c>
      <c r="L84" s="549">
        <v>1284809.6599999999</v>
      </c>
      <c r="M84" s="549">
        <v>97003.13</v>
      </c>
      <c r="N84" s="549">
        <v>90880.58</v>
      </c>
      <c r="P84" s="549">
        <v>13.98</v>
      </c>
      <c r="Q84" s="549">
        <v>26266.14</v>
      </c>
    </row>
    <row r="85" spans="1:17" x14ac:dyDescent="0.25">
      <c r="A85" s="549" t="s">
        <v>502</v>
      </c>
      <c r="B85" s="549" t="s">
        <v>1049</v>
      </c>
      <c r="C85" s="549" t="s">
        <v>526</v>
      </c>
      <c r="D85" s="549" t="s">
        <v>1058</v>
      </c>
      <c r="E85" s="549" t="s">
        <v>973</v>
      </c>
      <c r="F85" s="549" t="s">
        <v>974</v>
      </c>
      <c r="G85" s="549" t="s">
        <v>1059</v>
      </c>
      <c r="I85" s="549" t="s">
        <v>976</v>
      </c>
      <c r="J85" s="549" t="s">
        <v>976</v>
      </c>
      <c r="L85" s="549">
        <v>1443225.93</v>
      </c>
      <c r="M85" s="549">
        <v>108963.56</v>
      </c>
      <c r="N85" s="549">
        <v>102086.1</v>
      </c>
      <c r="P85" s="549">
        <v>99.69</v>
      </c>
      <c r="Q85" s="549">
        <v>210395.41</v>
      </c>
    </row>
    <row r="86" spans="1:17" x14ac:dyDescent="0.25">
      <c r="A86" s="549" t="s">
        <v>502</v>
      </c>
      <c r="B86" s="549" t="s">
        <v>1049</v>
      </c>
      <c r="C86" s="549" t="s">
        <v>526</v>
      </c>
      <c r="D86" s="549" t="s">
        <v>1058</v>
      </c>
      <c r="E86" s="549" t="s">
        <v>977</v>
      </c>
      <c r="F86" s="549" t="s">
        <v>974</v>
      </c>
      <c r="G86" s="549" t="s">
        <v>1056</v>
      </c>
      <c r="I86" s="549" t="s">
        <v>976</v>
      </c>
      <c r="J86" s="549" t="s">
        <v>976</v>
      </c>
      <c r="L86" s="549">
        <v>1284809.6599999999</v>
      </c>
      <c r="M86" s="549">
        <v>97003.13</v>
      </c>
      <c r="N86" s="549">
        <v>45526.8</v>
      </c>
      <c r="P86" s="549">
        <v>0.04</v>
      </c>
      <c r="Q86" s="549">
        <v>57.01</v>
      </c>
    </row>
    <row r="87" spans="1:17" x14ac:dyDescent="0.25">
      <c r="A87" s="549" t="s">
        <v>502</v>
      </c>
      <c r="B87" s="549" t="s">
        <v>1049</v>
      </c>
      <c r="C87" s="549" t="s">
        <v>526</v>
      </c>
      <c r="D87" s="549" t="s">
        <v>1058</v>
      </c>
      <c r="E87" s="549" t="s">
        <v>977</v>
      </c>
      <c r="F87" s="549" t="s">
        <v>974</v>
      </c>
      <c r="G87" s="549" t="s">
        <v>1057</v>
      </c>
      <c r="I87" s="549" t="s">
        <v>976</v>
      </c>
      <c r="J87" s="549" t="s">
        <v>976</v>
      </c>
      <c r="L87" s="549">
        <v>1284809.6599999999</v>
      </c>
      <c r="M87" s="549">
        <v>97003.13</v>
      </c>
      <c r="N87" s="549">
        <v>45526.8</v>
      </c>
      <c r="P87" s="549">
        <v>0.04</v>
      </c>
      <c r="Q87" s="549">
        <v>57.01</v>
      </c>
    </row>
    <row r="88" spans="1:17" x14ac:dyDescent="0.25">
      <c r="A88" s="549" t="s">
        <v>502</v>
      </c>
      <c r="B88" s="549" t="s">
        <v>1049</v>
      </c>
      <c r="C88" s="549" t="s">
        <v>526</v>
      </c>
      <c r="D88" s="549" t="s">
        <v>1058</v>
      </c>
      <c r="E88" s="549" t="s">
        <v>977</v>
      </c>
      <c r="F88" s="549" t="s">
        <v>974</v>
      </c>
      <c r="G88" s="549" t="s">
        <v>1059</v>
      </c>
      <c r="I88" s="549" t="s">
        <v>976</v>
      </c>
      <c r="J88" s="549" t="s">
        <v>976</v>
      </c>
      <c r="L88" s="549">
        <v>1443225.93</v>
      </c>
      <c r="M88" s="549">
        <v>108963.56</v>
      </c>
      <c r="N88" s="549">
        <v>51140.22</v>
      </c>
      <c r="P88" s="549">
        <v>0.31</v>
      </c>
      <c r="Q88" s="549">
        <v>496.32</v>
      </c>
    </row>
    <row r="89" spans="1:17" x14ac:dyDescent="0.25">
      <c r="A89" s="549" t="s">
        <v>1060</v>
      </c>
      <c r="B89" s="549" t="s">
        <v>1061</v>
      </c>
      <c r="C89" s="549" t="s">
        <v>506</v>
      </c>
      <c r="D89" s="549" t="s">
        <v>1062</v>
      </c>
      <c r="E89" s="549" t="s">
        <v>973</v>
      </c>
      <c r="F89" s="549" t="s">
        <v>974</v>
      </c>
      <c r="G89" s="549" t="s">
        <v>1063</v>
      </c>
      <c r="I89" s="549" t="s">
        <v>976</v>
      </c>
      <c r="J89" s="549" t="s">
        <v>976</v>
      </c>
      <c r="L89" s="549">
        <v>0</v>
      </c>
      <c r="M89" s="549">
        <v>0</v>
      </c>
      <c r="N89" s="549">
        <v>0</v>
      </c>
      <c r="P89" s="549">
        <v>62.08</v>
      </c>
      <c r="Q89" s="549">
        <v>0</v>
      </c>
    </row>
    <row r="90" spans="1:17" x14ac:dyDescent="0.25">
      <c r="A90" s="549" t="s">
        <v>1060</v>
      </c>
      <c r="B90" s="549" t="s">
        <v>1061</v>
      </c>
      <c r="C90" s="549" t="s">
        <v>506</v>
      </c>
      <c r="D90" s="549" t="s">
        <v>1062</v>
      </c>
      <c r="E90" s="549" t="s">
        <v>973</v>
      </c>
      <c r="F90" s="549" t="s">
        <v>974</v>
      </c>
      <c r="G90" s="549" t="s">
        <v>997</v>
      </c>
      <c r="I90" s="549" t="s">
        <v>976</v>
      </c>
      <c r="J90" s="549" t="s">
        <v>976</v>
      </c>
      <c r="L90" s="549">
        <v>4925103.2699999996</v>
      </c>
      <c r="M90" s="549">
        <v>371845.3</v>
      </c>
      <c r="N90" s="549">
        <v>283554.51</v>
      </c>
      <c r="P90" s="549">
        <v>16.86</v>
      </c>
      <c r="Q90" s="549">
        <v>110500.41</v>
      </c>
    </row>
    <row r="91" spans="1:17" x14ac:dyDescent="0.25">
      <c r="A91" s="549" t="s">
        <v>1060</v>
      </c>
      <c r="B91" s="549" t="s">
        <v>1061</v>
      </c>
      <c r="C91" s="549" t="s">
        <v>506</v>
      </c>
      <c r="D91" s="549" t="s">
        <v>1062</v>
      </c>
      <c r="E91" s="549" t="s">
        <v>977</v>
      </c>
      <c r="F91" s="549" t="s">
        <v>974</v>
      </c>
      <c r="G91" s="549" t="s">
        <v>1063</v>
      </c>
      <c r="I91" s="549" t="s">
        <v>976</v>
      </c>
      <c r="J91" s="549" t="s">
        <v>976</v>
      </c>
      <c r="L91" s="549">
        <v>0</v>
      </c>
      <c r="M91" s="549">
        <v>0</v>
      </c>
      <c r="N91" s="549">
        <v>0</v>
      </c>
      <c r="P91" s="549">
        <v>2.0499999999999998</v>
      </c>
      <c r="Q91" s="549">
        <v>0</v>
      </c>
    </row>
    <row r="92" spans="1:17" x14ac:dyDescent="0.25">
      <c r="A92" s="549" t="s">
        <v>1060</v>
      </c>
      <c r="B92" s="549" t="s">
        <v>1061</v>
      </c>
      <c r="C92" s="549" t="s">
        <v>506</v>
      </c>
      <c r="D92" s="549" t="s">
        <v>1062</v>
      </c>
      <c r="E92" s="549" t="s">
        <v>977</v>
      </c>
      <c r="F92" s="549" t="s">
        <v>974</v>
      </c>
      <c r="G92" s="549" t="s">
        <v>997</v>
      </c>
      <c r="I92" s="549" t="s">
        <v>976</v>
      </c>
      <c r="J92" s="549" t="s">
        <v>976</v>
      </c>
      <c r="L92" s="549">
        <v>4925103.2699999996</v>
      </c>
      <c r="M92" s="549">
        <v>371845.3</v>
      </c>
      <c r="N92" s="549">
        <v>109698.36</v>
      </c>
      <c r="P92" s="549">
        <v>0.56000000000000005</v>
      </c>
      <c r="Q92" s="549">
        <v>2696.64</v>
      </c>
    </row>
    <row r="93" spans="1:17" x14ac:dyDescent="0.25">
      <c r="A93" s="549" t="s">
        <v>1064</v>
      </c>
      <c r="B93" s="549" t="s">
        <v>581</v>
      </c>
      <c r="C93" s="549" t="s">
        <v>716</v>
      </c>
      <c r="D93" s="549" t="s">
        <v>717</v>
      </c>
      <c r="E93" s="549" t="s">
        <v>977</v>
      </c>
      <c r="F93" s="549" t="s">
        <v>974</v>
      </c>
      <c r="G93" s="549" t="s">
        <v>1065</v>
      </c>
      <c r="I93" s="549" t="s">
        <v>976</v>
      </c>
      <c r="J93" s="549" t="s">
        <v>976</v>
      </c>
      <c r="L93" s="549">
        <v>1023497.28</v>
      </c>
      <c r="M93" s="549">
        <v>77274.039999999994</v>
      </c>
      <c r="N93" s="549">
        <v>17557.2</v>
      </c>
      <c r="P93" s="549">
        <v>100</v>
      </c>
      <c r="Q93" s="549">
        <v>94831.24</v>
      </c>
    </row>
    <row r="94" spans="1:17" x14ac:dyDescent="0.25">
      <c r="A94" s="549" t="s">
        <v>1064</v>
      </c>
      <c r="B94" s="549" t="s">
        <v>581</v>
      </c>
      <c r="C94" s="549" t="s">
        <v>718</v>
      </c>
      <c r="D94" s="549" t="s">
        <v>719</v>
      </c>
      <c r="E94" s="549" t="s">
        <v>977</v>
      </c>
      <c r="F94" s="549" t="s">
        <v>974</v>
      </c>
      <c r="G94" s="549" t="s">
        <v>1066</v>
      </c>
      <c r="I94" s="549" t="s">
        <v>976</v>
      </c>
      <c r="J94" s="549" t="s">
        <v>976</v>
      </c>
      <c r="L94" s="549">
        <v>2021090.73</v>
      </c>
      <c r="M94" s="549">
        <v>152592.35</v>
      </c>
      <c r="N94" s="549">
        <v>81137.89</v>
      </c>
      <c r="P94" s="549">
        <v>100</v>
      </c>
      <c r="Q94" s="549">
        <v>233730.24</v>
      </c>
    </row>
    <row r="95" spans="1:17" x14ac:dyDescent="0.25">
      <c r="A95" s="549" t="s">
        <v>1067</v>
      </c>
      <c r="B95" s="549" t="s">
        <v>1068</v>
      </c>
      <c r="C95" s="549" t="s">
        <v>506</v>
      </c>
      <c r="D95" s="549" t="s">
        <v>1062</v>
      </c>
      <c r="E95" s="549" t="s">
        <v>973</v>
      </c>
      <c r="F95" s="549" t="s">
        <v>974</v>
      </c>
      <c r="G95" s="549" t="s">
        <v>1063</v>
      </c>
      <c r="I95" s="549" t="s">
        <v>976</v>
      </c>
      <c r="J95" s="549" t="s">
        <v>976</v>
      </c>
      <c r="L95" s="549">
        <v>0</v>
      </c>
      <c r="M95" s="549">
        <v>0</v>
      </c>
      <c r="N95" s="549">
        <v>0</v>
      </c>
      <c r="P95" s="549">
        <v>34.6</v>
      </c>
      <c r="Q95" s="549">
        <v>0</v>
      </c>
    </row>
    <row r="96" spans="1:17" x14ac:dyDescent="0.25">
      <c r="A96" s="549" t="s">
        <v>1067</v>
      </c>
      <c r="B96" s="549" t="s">
        <v>1068</v>
      </c>
      <c r="C96" s="549" t="s">
        <v>506</v>
      </c>
      <c r="D96" s="549" t="s">
        <v>1062</v>
      </c>
      <c r="E96" s="549" t="s">
        <v>973</v>
      </c>
      <c r="F96" s="549" t="s">
        <v>974</v>
      </c>
      <c r="G96" s="549" t="s">
        <v>997</v>
      </c>
      <c r="I96" s="549" t="s">
        <v>976</v>
      </c>
      <c r="J96" s="549" t="s">
        <v>976</v>
      </c>
      <c r="L96" s="549">
        <v>4925103.2699999996</v>
      </c>
      <c r="M96" s="549">
        <v>371845.3</v>
      </c>
      <c r="N96" s="549">
        <v>283554.51</v>
      </c>
      <c r="P96" s="549">
        <v>9.4</v>
      </c>
      <c r="Q96" s="549">
        <v>61607.58</v>
      </c>
    </row>
    <row r="97" spans="1:17" x14ac:dyDescent="0.25">
      <c r="A97" s="549" t="s">
        <v>1067</v>
      </c>
      <c r="B97" s="549" t="s">
        <v>1068</v>
      </c>
      <c r="C97" s="549" t="s">
        <v>506</v>
      </c>
      <c r="D97" s="549" t="s">
        <v>1062</v>
      </c>
      <c r="E97" s="549" t="s">
        <v>977</v>
      </c>
      <c r="F97" s="549" t="s">
        <v>974</v>
      </c>
      <c r="G97" s="549" t="s">
        <v>1063</v>
      </c>
      <c r="I97" s="549" t="s">
        <v>976</v>
      </c>
      <c r="J97" s="549" t="s">
        <v>976</v>
      </c>
      <c r="L97" s="549">
        <v>0</v>
      </c>
      <c r="M97" s="549">
        <v>0</v>
      </c>
      <c r="N97" s="549">
        <v>0</v>
      </c>
      <c r="P97" s="549">
        <v>1.27</v>
      </c>
      <c r="Q97" s="549">
        <v>0</v>
      </c>
    </row>
    <row r="98" spans="1:17" x14ac:dyDescent="0.25">
      <c r="A98" s="549" t="s">
        <v>1067</v>
      </c>
      <c r="B98" s="549" t="s">
        <v>1068</v>
      </c>
      <c r="C98" s="549" t="s">
        <v>506</v>
      </c>
      <c r="D98" s="549" t="s">
        <v>1062</v>
      </c>
      <c r="E98" s="549" t="s">
        <v>977</v>
      </c>
      <c r="F98" s="549" t="s">
        <v>974</v>
      </c>
      <c r="G98" s="549" t="s">
        <v>997</v>
      </c>
      <c r="I98" s="549" t="s">
        <v>976</v>
      </c>
      <c r="J98" s="549" t="s">
        <v>976</v>
      </c>
      <c r="L98" s="549">
        <v>4925103.2699999996</v>
      </c>
      <c r="M98" s="549">
        <v>371845.3</v>
      </c>
      <c r="N98" s="549">
        <v>109698.36</v>
      </c>
      <c r="P98" s="549">
        <v>0.34</v>
      </c>
      <c r="Q98" s="549">
        <v>1637.25</v>
      </c>
    </row>
    <row r="99" spans="1:17" x14ac:dyDescent="0.25">
      <c r="A99" s="549" t="s">
        <v>1069</v>
      </c>
      <c r="B99" s="549" t="s">
        <v>1070</v>
      </c>
      <c r="C99" s="549" t="s">
        <v>187</v>
      </c>
      <c r="D99" s="549" t="s">
        <v>667</v>
      </c>
      <c r="E99" s="549" t="s">
        <v>973</v>
      </c>
      <c r="F99" s="549" t="s">
        <v>974</v>
      </c>
      <c r="G99" s="549" t="s">
        <v>995</v>
      </c>
      <c r="I99" s="549" t="s">
        <v>976</v>
      </c>
      <c r="J99" s="549" t="s">
        <v>976</v>
      </c>
      <c r="L99" s="549">
        <v>8527251.1999999993</v>
      </c>
      <c r="M99" s="549">
        <v>643807.47</v>
      </c>
      <c r="N99" s="549">
        <v>411232.17</v>
      </c>
      <c r="P99" s="549">
        <v>4.41</v>
      </c>
      <c r="Q99" s="549">
        <v>46527.25</v>
      </c>
    </row>
    <row r="100" spans="1:17" x14ac:dyDescent="0.25">
      <c r="A100" s="549" t="s">
        <v>1069</v>
      </c>
      <c r="B100" s="549" t="s">
        <v>1070</v>
      </c>
      <c r="C100" s="549" t="s">
        <v>187</v>
      </c>
      <c r="D100" s="549" t="s">
        <v>667</v>
      </c>
      <c r="E100" s="549" t="s">
        <v>977</v>
      </c>
      <c r="F100" s="549" t="s">
        <v>974</v>
      </c>
      <c r="G100" s="549" t="s">
        <v>995</v>
      </c>
      <c r="I100" s="549" t="s">
        <v>976</v>
      </c>
      <c r="J100" s="549" t="s">
        <v>976</v>
      </c>
      <c r="L100" s="549">
        <v>8527251.1999999993</v>
      </c>
      <c r="M100" s="549">
        <v>643807.47</v>
      </c>
      <c r="N100" s="549">
        <v>110220.2</v>
      </c>
      <c r="P100" s="549">
        <v>77.38</v>
      </c>
      <c r="Q100" s="549">
        <v>583466.61</v>
      </c>
    </row>
    <row r="101" spans="1:17" x14ac:dyDescent="0.25">
      <c r="A101" s="549" t="s">
        <v>1071</v>
      </c>
      <c r="B101" s="549" t="s">
        <v>1072</v>
      </c>
      <c r="C101" s="549" t="s">
        <v>731</v>
      </c>
      <c r="D101" s="549" t="s">
        <v>732</v>
      </c>
      <c r="E101" s="549" t="s">
        <v>977</v>
      </c>
      <c r="F101" s="549" t="s">
        <v>974</v>
      </c>
      <c r="G101" s="549" t="s">
        <v>1073</v>
      </c>
      <c r="I101" s="549" t="s">
        <v>976</v>
      </c>
      <c r="J101" s="549" t="s">
        <v>976</v>
      </c>
      <c r="L101" s="549">
        <v>5313475.26</v>
      </c>
      <c r="M101" s="549">
        <v>401167.38</v>
      </c>
      <c r="N101" s="549">
        <v>55500.959999999999</v>
      </c>
      <c r="P101" s="549">
        <v>83.97</v>
      </c>
      <c r="Q101" s="549">
        <v>383464.41</v>
      </c>
    </row>
    <row r="102" spans="1:17" x14ac:dyDescent="0.25">
      <c r="A102" s="549" t="s">
        <v>1071</v>
      </c>
      <c r="B102" s="549" t="s">
        <v>1072</v>
      </c>
      <c r="C102" s="549" t="s">
        <v>731</v>
      </c>
      <c r="D102" s="549" t="s">
        <v>732</v>
      </c>
      <c r="E102" s="549" t="s">
        <v>977</v>
      </c>
      <c r="F102" s="549" t="s">
        <v>974</v>
      </c>
      <c r="G102" s="549" t="s">
        <v>1074</v>
      </c>
      <c r="I102" s="549" t="s">
        <v>976</v>
      </c>
      <c r="J102" s="549" t="s">
        <v>976</v>
      </c>
      <c r="L102" s="549">
        <v>3422475.26</v>
      </c>
      <c r="M102" s="549">
        <v>258396.88</v>
      </c>
      <c r="N102" s="549">
        <v>55500.959999999999</v>
      </c>
      <c r="P102" s="549">
        <v>83.97</v>
      </c>
      <c r="Q102" s="549">
        <v>263580.02</v>
      </c>
    </row>
    <row r="103" spans="1:17" x14ac:dyDescent="0.25">
      <c r="A103" s="549" t="s">
        <v>1071</v>
      </c>
      <c r="B103" s="549" t="s">
        <v>1072</v>
      </c>
      <c r="C103" s="549" t="s">
        <v>731</v>
      </c>
      <c r="D103" s="549" t="s">
        <v>732</v>
      </c>
      <c r="E103" s="549" t="s">
        <v>977</v>
      </c>
      <c r="F103" s="549" t="s">
        <v>974</v>
      </c>
      <c r="G103" s="549" t="s">
        <v>1075</v>
      </c>
      <c r="I103" s="549" t="s">
        <v>976</v>
      </c>
      <c r="J103" s="549" t="s">
        <v>976</v>
      </c>
      <c r="L103" s="549">
        <v>0</v>
      </c>
      <c r="M103" s="549">
        <v>0</v>
      </c>
      <c r="N103" s="549">
        <v>0</v>
      </c>
      <c r="P103" s="549">
        <v>0</v>
      </c>
      <c r="Q103" s="549">
        <v>0</v>
      </c>
    </row>
    <row r="104" spans="1:17" x14ac:dyDescent="0.25">
      <c r="A104" s="549" t="s">
        <v>1071</v>
      </c>
      <c r="B104" s="549" t="s">
        <v>1072</v>
      </c>
      <c r="C104" s="549" t="s">
        <v>729</v>
      </c>
      <c r="D104" s="549" t="s">
        <v>730</v>
      </c>
      <c r="E104" s="549" t="s">
        <v>977</v>
      </c>
      <c r="F104" s="549" t="s">
        <v>974</v>
      </c>
      <c r="G104" s="549" t="s">
        <v>1076</v>
      </c>
      <c r="I104" s="549" t="s">
        <v>976</v>
      </c>
      <c r="J104" s="549" t="s">
        <v>976</v>
      </c>
      <c r="L104" s="549">
        <v>10892997.439999999</v>
      </c>
      <c r="M104" s="549">
        <v>822421.31</v>
      </c>
      <c r="N104" s="549">
        <v>140798.99</v>
      </c>
      <c r="P104" s="549">
        <v>72.81</v>
      </c>
      <c r="Q104" s="549">
        <v>701320.7</v>
      </c>
    </row>
    <row r="105" spans="1:17" x14ac:dyDescent="0.25">
      <c r="A105" s="549" t="s">
        <v>1071</v>
      </c>
      <c r="B105" s="549" t="s">
        <v>1072</v>
      </c>
      <c r="C105" s="549" t="s">
        <v>735</v>
      </c>
      <c r="D105" s="549" t="s">
        <v>736</v>
      </c>
      <c r="E105" s="549" t="s">
        <v>977</v>
      </c>
      <c r="F105" s="549" t="s">
        <v>974</v>
      </c>
      <c r="G105" s="549" t="s">
        <v>1073</v>
      </c>
      <c r="I105" s="549" t="s">
        <v>976</v>
      </c>
      <c r="J105" s="549" t="s">
        <v>976</v>
      </c>
      <c r="L105" s="549">
        <v>5313475.26</v>
      </c>
      <c r="M105" s="549">
        <v>401167.38</v>
      </c>
      <c r="N105" s="549">
        <v>55500.959999999999</v>
      </c>
      <c r="P105" s="549">
        <v>16.03</v>
      </c>
      <c r="Q105" s="549">
        <v>73203.929999999993</v>
      </c>
    </row>
    <row r="106" spans="1:17" x14ac:dyDescent="0.25">
      <c r="A106" s="549" t="s">
        <v>1071</v>
      </c>
      <c r="B106" s="549" t="s">
        <v>1072</v>
      </c>
      <c r="C106" s="549" t="s">
        <v>735</v>
      </c>
      <c r="D106" s="549" t="s">
        <v>736</v>
      </c>
      <c r="E106" s="549" t="s">
        <v>977</v>
      </c>
      <c r="F106" s="549" t="s">
        <v>974</v>
      </c>
      <c r="G106" s="549" t="s">
        <v>1074</v>
      </c>
      <c r="I106" s="549" t="s">
        <v>976</v>
      </c>
      <c r="J106" s="549" t="s">
        <v>976</v>
      </c>
      <c r="L106" s="549">
        <v>3422475.26</v>
      </c>
      <c r="M106" s="549">
        <v>258396.88</v>
      </c>
      <c r="N106" s="549">
        <v>55500.959999999999</v>
      </c>
      <c r="P106" s="549">
        <v>16.03</v>
      </c>
      <c r="Q106" s="549">
        <v>50317.82</v>
      </c>
    </row>
    <row r="107" spans="1:17" x14ac:dyDescent="0.25">
      <c r="A107" s="549" t="s">
        <v>1071</v>
      </c>
      <c r="B107" s="549" t="s">
        <v>1072</v>
      </c>
      <c r="C107" s="549" t="s">
        <v>735</v>
      </c>
      <c r="D107" s="549" t="s">
        <v>736</v>
      </c>
      <c r="E107" s="549" t="s">
        <v>977</v>
      </c>
      <c r="F107" s="549" t="s">
        <v>974</v>
      </c>
      <c r="G107" s="549" t="s">
        <v>1075</v>
      </c>
      <c r="I107" s="549" t="s">
        <v>976</v>
      </c>
      <c r="J107" s="549" t="s">
        <v>976</v>
      </c>
      <c r="L107" s="549">
        <v>0</v>
      </c>
      <c r="M107" s="549">
        <v>0</v>
      </c>
      <c r="N107" s="549">
        <v>0</v>
      </c>
      <c r="P107" s="549">
        <v>100</v>
      </c>
      <c r="Q107" s="549">
        <v>0</v>
      </c>
    </row>
    <row r="108" spans="1:17" x14ac:dyDescent="0.25">
      <c r="A108" s="549" t="s">
        <v>1071</v>
      </c>
      <c r="B108" s="549" t="s">
        <v>1072</v>
      </c>
      <c r="C108" s="549" t="s">
        <v>720</v>
      </c>
      <c r="D108" s="549" t="s">
        <v>721</v>
      </c>
      <c r="E108" s="549" t="s">
        <v>973</v>
      </c>
      <c r="F108" s="549" t="s">
        <v>974</v>
      </c>
      <c r="G108" s="549" t="s">
        <v>1077</v>
      </c>
      <c r="I108" s="549" t="s">
        <v>976</v>
      </c>
      <c r="J108" s="549" t="s">
        <v>976</v>
      </c>
      <c r="L108" s="549">
        <v>1958729.6</v>
      </c>
      <c r="M108" s="549">
        <v>147884.07999999999</v>
      </c>
      <c r="N108" s="549">
        <v>139057.15</v>
      </c>
      <c r="P108" s="549">
        <v>0</v>
      </c>
      <c r="Q108" s="549">
        <v>0</v>
      </c>
    </row>
    <row r="109" spans="1:17" x14ac:dyDescent="0.25">
      <c r="A109" s="549" t="s">
        <v>1071</v>
      </c>
      <c r="B109" s="549" t="s">
        <v>1072</v>
      </c>
      <c r="C109" s="549" t="s">
        <v>720</v>
      </c>
      <c r="D109" s="549" t="s">
        <v>721</v>
      </c>
      <c r="E109" s="549" t="s">
        <v>977</v>
      </c>
      <c r="F109" s="549" t="s">
        <v>974</v>
      </c>
      <c r="G109" s="549" t="s">
        <v>1077</v>
      </c>
      <c r="I109" s="549" t="s">
        <v>976</v>
      </c>
      <c r="J109" s="549" t="s">
        <v>976</v>
      </c>
      <c r="L109" s="549">
        <v>1958729.6</v>
      </c>
      <c r="M109" s="549">
        <v>147884.07999999999</v>
      </c>
      <c r="N109" s="549">
        <v>69914</v>
      </c>
      <c r="P109" s="549">
        <v>100</v>
      </c>
      <c r="Q109" s="549">
        <v>217798.08</v>
      </c>
    </row>
    <row r="110" spans="1:17" x14ac:dyDescent="0.25">
      <c r="A110" s="549" t="s">
        <v>1078</v>
      </c>
      <c r="B110" s="549" t="s">
        <v>1079</v>
      </c>
      <c r="C110" s="549" t="s">
        <v>739</v>
      </c>
      <c r="D110" s="549" t="s">
        <v>740</v>
      </c>
      <c r="E110" s="549" t="s">
        <v>977</v>
      </c>
      <c r="F110" s="549" t="s">
        <v>974</v>
      </c>
      <c r="G110" s="549" t="s">
        <v>1080</v>
      </c>
      <c r="I110" s="549" t="s">
        <v>976</v>
      </c>
      <c r="J110" s="549" t="s">
        <v>976</v>
      </c>
      <c r="L110" s="549">
        <v>1381607.4</v>
      </c>
      <c r="M110" s="549">
        <v>104311.36</v>
      </c>
      <c r="N110" s="549">
        <v>74807.98</v>
      </c>
      <c r="P110" s="549">
        <v>100</v>
      </c>
      <c r="Q110" s="549">
        <v>179119.34</v>
      </c>
    </row>
    <row r="111" spans="1:17" x14ac:dyDescent="0.25">
      <c r="A111" s="549" t="s">
        <v>1078</v>
      </c>
      <c r="B111" s="549" t="s">
        <v>1079</v>
      </c>
      <c r="C111" s="549" t="s">
        <v>737</v>
      </c>
      <c r="D111" s="549" t="s">
        <v>738</v>
      </c>
      <c r="E111" s="549" t="s">
        <v>977</v>
      </c>
      <c r="F111" s="549" t="s">
        <v>974</v>
      </c>
      <c r="G111" s="549" t="s">
        <v>1081</v>
      </c>
      <c r="I111" s="549" t="s">
        <v>976</v>
      </c>
      <c r="J111" s="549" t="s">
        <v>976</v>
      </c>
      <c r="L111" s="549">
        <v>922058.3</v>
      </c>
      <c r="M111" s="549">
        <v>69615.399999999994</v>
      </c>
      <c r="N111" s="549">
        <v>264101.46000000002</v>
      </c>
      <c r="P111" s="549">
        <v>100</v>
      </c>
      <c r="Q111" s="549">
        <v>333716.86</v>
      </c>
    </row>
    <row r="112" spans="1:17" x14ac:dyDescent="0.25">
      <c r="A112" s="549" t="s">
        <v>1078</v>
      </c>
      <c r="B112" s="549" t="s">
        <v>1079</v>
      </c>
      <c r="C112" s="549" t="s">
        <v>737</v>
      </c>
      <c r="D112" s="549" t="s">
        <v>738</v>
      </c>
      <c r="E112" s="549" t="s">
        <v>977</v>
      </c>
      <c r="F112" s="549" t="s">
        <v>974</v>
      </c>
      <c r="G112" s="549" t="s">
        <v>1082</v>
      </c>
      <c r="I112" s="549" t="s">
        <v>976</v>
      </c>
      <c r="J112" s="549" t="s">
        <v>976</v>
      </c>
      <c r="L112" s="549">
        <v>959608.45</v>
      </c>
      <c r="M112" s="549">
        <v>72450.44</v>
      </c>
      <c r="N112" s="549">
        <v>274856.8</v>
      </c>
      <c r="P112" s="549">
        <v>100</v>
      </c>
      <c r="Q112" s="549">
        <v>347307.24</v>
      </c>
    </row>
    <row r="113" spans="1:17" x14ac:dyDescent="0.25">
      <c r="A113" s="549" t="s">
        <v>1083</v>
      </c>
      <c r="B113" s="549" t="s">
        <v>584</v>
      </c>
      <c r="C113" s="549" t="s">
        <v>756</v>
      </c>
      <c r="D113" s="549" t="s">
        <v>757</v>
      </c>
      <c r="E113" s="549" t="s">
        <v>977</v>
      </c>
      <c r="F113" s="549" t="s">
        <v>974</v>
      </c>
      <c r="G113" s="549" t="s">
        <v>1053</v>
      </c>
      <c r="I113" s="549" t="s">
        <v>976</v>
      </c>
      <c r="J113" s="549" t="s">
        <v>976</v>
      </c>
      <c r="L113" s="549">
        <v>817426.55</v>
      </c>
      <c r="M113" s="549">
        <v>61715.7</v>
      </c>
      <c r="N113" s="549">
        <v>43561.8</v>
      </c>
      <c r="P113" s="549">
        <v>26.45</v>
      </c>
      <c r="Q113" s="549">
        <v>27845.9</v>
      </c>
    </row>
    <row r="114" spans="1:17" x14ac:dyDescent="0.25">
      <c r="A114" s="549" t="s">
        <v>1083</v>
      </c>
      <c r="B114" s="549" t="s">
        <v>584</v>
      </c>
      <c r="C114" s="549" t="s">
        <v>756</v>
      </c>
      <c r="D114" s="549" t="s">
        <v>757</v>
      </c>
      <c r="E114" s="549" t="s">
        <v>977</v>
      </c>
      <c r="F114" s="549" t="s">
        <v>974</v>
      </c>
      <c r="G114" s="549" t="s">
        <v>1054</v>
      </c>
      <c r="I114" s="549" t="s">
        <v>976</v>
      </c>
      <c r="J114" s="549" t="s">
        <v>976</v>
      </c>
      <c r="L114" s="549">
        <v>1944667.85</v>
      </c>
      <c r="M114" s="549">
        <v>146822.42000000001</v>
      </c>
      <c r="N114" s="549">
        <v>103687.84</v>
      </c>
      <c r="P114" s="549">
        <v>22.06</v>
      </c>
      <c r="Q114" s="549">
        <v>55262.559999999998</v>
      </c>
    </row>
    <row r="115" spans="1:17" x14ac:dyDescent="0.25">
      <c r="A115" s="549" t="s">
        <v>1083</v>
      </c>
      <c r="B115" s="549" t="s">
        <v>584</v>
      </c>
      <c r="C115" s="549" t="s">
        <v>756</v>
      </c>
      <c r="D115" s="549" t="s">
        <v>757</v>
      </c>
      <c r="E115" s="549" t="s">
        <v>977</v>
      </c>
      <c r="F115" s="549" t="s">
        <v>974</v>
      </c>
      <c r="G115" s="549" t="s">
        <v>1084</v>
      </c>
      <c r="I115" s="549" t="s">
        <v>976</v>
      </c>
      <c r="J115" s="549" t="s">
        <v>976</v>
      </c>
      <c r="L115" s="549">
        <v>1164605.1200000001</v>
      </c>
      <c r="M115" s="549">
        <v>87927.69</v>
      </c>
      <c r="N115" s="549">
        <v>121826.73</v>
      </c>
      <c r="P115" s="549">
        <v>100</v>
      </c>
      <c r="Q115" s="549">
        <v>209754.42</v>
      </c>
    </row>
    <row r="116" spans="1:17" x14ac:dyDescent="0.25">
      <c r="A116" s="549" t="s">
        <v>1083</v>
      </c>
      <c r="B116" s="549" t="s">
        <v>584</v>
      </c>
      <c r="C116" s="549" t="s">
        <v>758</v>
      </c>
      <c r="D116" s="549" t="s">
        <v>759</v>
      </c>
      <c r="E116" s="549" t="s">
        <v>977</v>
      </c>
      <c r="F116" s="549" t="s">
        <v>974</v>
      </c>
      <c r="G116" s="549" t="s">
        <v>1085</v>
      </c>
      <c r="I116" s="549" t="s">
        <v>976</v>
      </c>
      <c r="J116" s="549" t="s">
        <v>976</v>
      </c>
      <c r="L116" s="549">
        <v>8261216.9100000001</v>
      </c>
      <c r="M116" s="549">
        <v>623721.88</v>
      </c>
      <c r="N116" s="549">
        <v>236610.49</v>
      </c>
      <c r="P116" s="549">
        <v>33.21</v>
      </c>
      <c r="Q116" s="549">
        <v>285716.38</v>
      </c>
    </row>
    <row r="117" spans="1:17" x14ac:dyDescent="0.25">
      <c r="A117" s="549" t="s">
        <v>1083</v>
      </c>
      <c r="B117" s="549" t="s">
        <v>584</v>
      </c>
      <c r="C117" s="549" t="s">
        <v>758</v>
      </c>
      <c r="D117" s="549" t="s">
        <v>759</v>
      </c>
      <c r="E117" s="549" t="s">
        <v>977</v>
      </c>
      <c r="F117" s="549" t="s">
        <v>974</v>
      </c>
      <c r="G117" s="549" t="s">
        <v>1086</v>
      </c>
      <c r="I117" s="549" t="s">
        <v>976</v>
      </c>
      <c r="J117" s="549" t="s">
        <v>976</v>
      </c>
      <c r="L117" s="549">
        <v>4530576.7300000004</v>
      </c>
      <c r="M117" s="549">
        <v>342058.54</v>
      </c>
      <c r="N117" s="549">
        <v>190257.51</v>
      </c>
      <c r="P117" s="549">
        <v>100</v>
      </c>
      <c r="Q117" s="549">
        <v>532316.05000000005</v>
      </c>
    </row>
    <row r="118" spans="1:17" x14ac:dyDescent="0.25">
      <c r="A118" s="549" t="s">
        <v>1083</v>
      </c>
      <c r="B118" s="549" t="s">
        <v>584</v>
      </c>
      <c r="C118" s="549" t="s">
        <v>758</v>
      </c>
      <c r="D118" s="549" t="s">
        <v>759</v>
      </c>
      <c r="E118" s="549" t="s">
        <v>977</v>
      </c>
      <c r="F118" s="549" t="s">
        <v>974</v>
      </c>
      <c r="G118" s="549" t="s">
        <v>1087</v>
      </c>
      <c r="I118" s="549" t="s">
        <v>976</v>
      </c>
      <c r="J118" s="549" t="s">
        <v>976</v>
      </c>
      <c r="L118" s="549">
        <v>3165007.12</v>
      </c>
      <c r="M118" s="549">
        <v>238958.04</v>
      </c>
      <c r="N118" s="549">
        <v>113126.23</v>
      </c>
      <c r="P118" s="549">
        <v>56.11</v>
      </c>
      <c r="Q118" s="549">
        <v>197554.48</v>
      </c>
    </row>
    <row r="119" spans="1:17" x14ac:dyDescent="0.25">
      <c r="A119" s="549" t="s">
        <v>1083</v>
      </c>
      <c r="B119" s="549" t="s">
        <v>584</v>
      </c>
      <c r="C119" s="549" t="s">
        <v>753</v>
      </c>
      <c r="D119" s="549" t="s">
        <v>754</v>
      </c>
      <c r="E119" s="549" t="s">
        <v>977</v>
      </c>
      <c r="F119" s="549" t="s">
        <v>974</v>
      </c>
      <c r="G119" s="549" t="s">
        <v>1088</v>
      </c>
      <c r="I119" s="549" t="s">
        <v>976</v>
      </c>
      <c r="J119" s="549" t="s">
        <v>976</v>
      </c>
      <c r="L119" s="549">
        <v>2395765.87</v>
      </c>
      <c r="M119" s="549">
        <v>180880.32</v>
      </c>
      <c r="N119" s="549">
        <v>100568.6</v>
      </c>
      <c r="P119" s="549">
        <v>33.68</v>
      </c>
      <c r="Q119" s="549">
        <v>94792</v>
      </c>
    </row>
    <row r="120" spans="1:17" x14ac:dyDescent="0.25">
      <c r="A120" s="549" t="s">
        <v>1083</v>
      </c>
      <c r="B120" s="549" t="s">
        <v>584</v>
      </c>
      <c r="C120" s="549" t="s">
        <v>753</v>
      </c>
      <c r="D120" s="549" t="s">
        <v>754</v>
      </c>
      <c r="E120" s="549" t="s">
        <v>977</v>
      </c>
      <c r="F120" s="549" t="s">
        <v>974</v>
      </c>
      <c r="G120" s="549" t="s">
        <v>1089</v>
      </c>
      <c r="I120" s="549" t="s">
        <v>976</v>
      </c>
      <c r="J120" s="549" t="s">
        <v>976</v>
      </c>
      <c r="L120" s="549">
        <v>2831359.66</v>
      </c>
      <c r="M120" s="549">
        <v>213767.65</v>
      </c>
      <c r="N120" s="549">
        <v>118853.8</v>
      </c>
      <c r="P120" s="549">
        <v>100</v>
      </c>
      <c r="Q120" s="549">
        <v>332621.45</v>
      </c>
    </row>
    <row r="121" spans="1:17" x14ac:dyDescent="0.25">
      <c r="A121" s="549" t="s">
        <v>1083</v>
      </c>
      <c r="B121" s="549" t="s">
        <v>584</v>
      </c>
      <c r="C121" s="549" t="s">
        <v>780</v>
      </c>
      <c r="D121" s="549" t="s">
        <v>781</v>
      </c>
      <c r="E121" s="549" t="s">
        <v>973</v>
      </c>
      <c r="F121" s="549" t="s">
        <v>974</v>
      </c>
      <c r="G121" s="549" t="s">
        <v>1090</v>
      </c>
      <c r="I121" s="549" t="s">
        <v>976</v>
      </c>
      <c r="J121" s="549" t="s">
        <v>976</v>
      </c>
      <c r="L121" s="549">
        <v>484683.26</v>
      </c>
      <c r="M121" s="549">
        <v>36593.589999999997</v>
      </c>
      <c r="N121" s="549">
        <v>40342.28</v>
      </c>
      <c r="P121" s="549">
        <v>9.32</v>
      </c>
      <c r="Q121" s="549">
        <v>7170.42</v>
      </c>
    </row>
    <row r="122" spans="1:17" x14ac:dyDescent="0.25">
      <c r="A122" s="549" t="s">
        <v>1083</v>
      </c>
      <c r="B122" s="549" t="s">
        <v>584</v>
      </c>
      <c r="C122" s="549" t="s">
        <v>780</v>
      </c>
      <c r="D122" s="549" t="s">
        <v>781</v>
      </c>
      <c r="E122" s="549" t="s">
        <v>977</v>
      </c>
      <c r="F122" s="549" t="s">
        <v>974</v>
      </c>
      <c r="G122" s="549" t="s">
        <v>1090</v>
      </c>
      <c r="I122" s="549" t="s">
        <v>976</v>
      </c>
      <c r="J122" s="549" t="s">
        <v>976</v>
      </c>
      <c r="L122" s="549">
        <v>484683.26</v>
      </c>
      <c r="M122" s="549">
        <v>36593.589999999997</v>
      </c>
      <c r="N122" s="549">
        <v>23232.959999999999</v>
      </c>
      <c r="P122" s="549">
        <v>83.96</v>
      </c>
      <c r="Q122" s="549">
        <v>50230.37</v>
      </c>
    </row>
    <row r="123" spans="1:17" x14ac:dyDescent="0.25">
      <c r="A123" s="549" t="s">
        <v>1083</v>
      </c>
      <c r="B123" s="549" t="s">
        <v>584</v>
      </c>
      <c r="C123" s="549" t="s">
        <v>742</v>
      </c>
      <c r="D123" s="549" t="s">
        <v>743</v>
      </c>
      <c r="E123" s="549" t="s">
        <v>977</v>
      </c>
      <c r="F123" s="549" t="s">
        <v>974</v>
      </c>
      <c r="G123" s="549" t="s">
        <v>1085</v>
      </c>
      <c r="I123" s="549" t="s">
        <v>976</v>
      </c>
      <c r="J123" s="549" t="s">
        <v>976</v>
      </c>
      <c r="L123" s="549">
        <v>8261216.9100000001</v>
      </c>
      <c r="M123" s="549">
        <v>623721.88</v>
      </c>
      <c r="N123" s="549">
        <v>236610.49</v>
      </c>
      <c r="P123" s="549">
        <v>40.82</v>
      </c>
      <c r="Q123" s="549">
        <v>351187.67</v>
      </c>
    </row>
    <row r="124" spans="1:17" x14ac:dyDescent="0.25">
      <c r="A124" s="549" t="s">
        <v>1083</v>
      </c>
      <c r="B124" s="549" t="s">
        <v>584</v>
      </c>
      <c r="C124" s="549" t="s">
        <v>760</v>
      </c>
      <c r="D124" s="549" t="s">
        <v>761</v>
      </c>
      <c r="E124" s="549" t="s">
        <v>977</v>
      </c>
      <c r="F124" s="549" t="s">
        <v>974</v>
      </c>
      <c r="G124" s="549" t="s">
        <v>1085</v>
      </c>
      <c r="I124" s="549" t="s">
        <v>976</v>
      </c>
      <c r="J124" s="549" t="s">
        <v>976</v>
      </c>
      <c r="L124" s="549">
        <v>8261216.9100000001</v>
      </c>
      <c r="M124" s="549">
        <v>623721.88</v>
      </c>
      <c r="N124" s="549">
        <v>236610.49</v>
      </c>
      <c r="P124" s="549">
        <v>25.97</v>
      </c>
      <c r="Q124" s="549">
        <v>223428.32</v>
      </c>
    </row>
    <row r="125" spans="1:17" x14ac:dyDescent="0.25">
      <c r="A125" s="549" t="s">
        <v>1083</v>
      </c>
      <c r="B125" s="549" t="s">
        <v>584</v>
      </c>
      <c r="C125" s="549" t="s">
        <v>760</v>
      </c>
      <c r="D125" s="549" t="s">
        <v>761</v>
      </c>
      <c r="E125" s="549" t="s">
        <v>977</v>
      </c>
      <c r="F125" s="549" t="s">
        <v>974</v>
      </c>
      <c r="G125" s="549" t="s">
        <v>1087</v>
      </c>
      <c r="I125" s="549" t="s">
        <v>976</v>
      </c>
      <c r="J125" s="549" t="s">
        <v>976</v>
      </c>
      <c r="L125" s="549">
        <v>3165007.12</v>
      </c>
      <c r="M125" s="549">
        <v>238958.04</v>
      </c>
      <c r="N125" s="549">
        <v>113126.23</v>
      </c>
      <c r="P125" s="549">
        <v>43.89</v>
      </c>
      <c r="Q125" s="549">
        <v>154529.79</v>
      </c>
    </row>
    <row r="126" spans="1:17" x14ac:dyDescent="0.25">
      <c r="A126" s="549" t="s">
        <v>1091</v>
      </c>
      <c r="B126" s="549" t="s">
        <v>1092</v>
      </c>
      <c r="C126" s="549" t="s">
        <v>853</v>
      </c>
      <c r="D126" s="549" t="s">
        <v>854</v>
      </c>
      <c r="E126" s="549" t="s">
        <v>977</v>
      </c>
      <c r="F126" s="549" t="s">
        <v>974</v>
      </c>
      <c r="G126" s="549" t="s">
        <v>1093</v>
      </c>
      <c r="I126" s="549" t="s">
        <v>976</v>
      </c>
      <c r="J126" s="549" t="s">
        <v>976</v>
      </c>
      <c r="L126" s="549">
        <v>2192411.86</v>
      </c>
      <c r="M126" s="549">
        <v>165527.1</v>
      </c>
      <c r="N126" s="549">
        <v>89554.46</v>
      </c>
      <c r="P126" s="549">
        <v>100</v>
      </c>
      <c r="Q126" s="549">
        <v>255081.56</v>
      </c>
    </row>
    <row r="127" spans="1:17" x14ac:dyDescent="0.25">
      <c r="A127" s="549" t="s">
        <v>1094</v>
      </c>
      <c r="B127" s="549" t="s">
        <v>580</v>
      </c>
      <c r="C127" s="549" t="s">
        <v>707</v>
      </c>
      <c r="D127" s="549" t="s">
        <v>708</v>
      </c>
      <c r="E127" s="549" t="s">
        <v>977</v>
      </c>
      <c r="F127" s="549" t="s">
        <v>974</v>
      </c>
      <c r="G127" s="549" t="s">
        <v>1095</v>
      </c>
      <c r="I127" s="549" t="s">
        <v>1096</v>
      </c>
      <c r="J127" s="549" t="s">
        <v>1096</v>
      </c>
      <c r="L127" s="549">
        <v>0</v>
      </c>
      <c r="M127" s="549">
        <v>0</v>
      </c>
      <c r="N127" s="549">
        <v>0</v>
      </c>
      <c r="P127" s="549">
        <v>100</v>
      </c>
      <c r="Q127" s="549">
        <v>0</v>
      </c>
    </row>
    <row r="128" spans="1:17" x14ac:dyDescent="0.25">
      <c r="A128" s="549" t="s">
        <v>1097</v>
      </c>
      <c r="B128" s="549" t="s">
        <v>579</v>
      </c>
      <c r="C128" s="549" t="s">
        <v>701</v>
      </c>
      <c r="D128" s="549" t="s">
        <v>702</v>
      </c>
      <c r="E128" s="549" t="s">
        <v>977</v>
      </c>
      <c r="F128" s="549" t="s">
        <v>974</v>
      </c>
      <c r="G128" s="549" t="s">
        <v>989</v>
      </c>
      <c r="I128" s="549" t="s">
        <v>976</v>
      </c>
      <c r="J128" s="549" t="s">
        <v>976</v>
      </c>
      <c r="L128" s="549">
        <v>372774.27</v>
      </c>
      <c r="M128" s="549">
        <v>28144.46</v>
      </c>
      <c r="N128" s="549">
        <v>59018.17</v>
      </c>
      <c r="P128" s="549">
        <v>32.04</v>
      </c>
      <c r="Q128" s="549">
        <v>27926.91</v>
      </c>
    </row>
    <row r="129" spans="1:17" x14ac:dyDescent="0.25">
      <c r="A129" s="549" t="s">
        <v>1097</v>
      </c>
      <c r="B129" s="549" t="s">
        <v>579</v>
      </c>
      <c r="C129" s="549" t="s">
        <v>701</v>
      </c>
      <c r="D129" s="549" t="s">
        <v>702</v>
      </c>
      <c r="E129" s="549" t="s">
        <v>977</v>
      </c>
      <c r="F129" s="549" t="s">
        <v>974</v>
      </c>
      <c r="G129" s="549" t="s">
        <v>990</v>
      </c>
      <c r="I129" s="549" t="s">
        <v>976</v>
      </c>
      <c r="J129" s="549" t="s">
        <v>976</v>
      </c>
      <c r="L129" s="549">
        <v>379568.05</v>
      </c>
      <c r="M129" s="549">
        <v>28657.39</v>
      </c>
      <c r="N129" s="549">
        <v>62933.36</v>
      </c>
      <c r="P129" s="549">
        <v>32.04</v>
      </c>
      <c r="Q129" s="549">
        <v>29345.68</v>
      </c>
    </row>
    <row r="130" spans="1:17" x14ac:dyDescent="0.25">
      <c r="A130" s="549" t="s">
        <v>1097</v>
      </c>
      <c r="B130" s="549" t="s">
        <v>579</v>
      </c>
      <c r="C130" s="549" t="s">
        <v>701</v>
      </c>
      <c r="D130" s="549" t="s">
        <v>702</v>
      </c>
      <c r="E130" s="549" t="s">
        <v>977</v>
      </c>
      <c r="F130" s="549" t="s">
        <v>974</v>
      </c>
      <c r="G130" s="549" t="s">
        <v>991</v>
      </c>
      <c r="I130" s="549" t="s">
        <v>976</v>
      </c>
      <c r="J130" s="549" t="s">
        <v>976</v>
      </c>
      <c r="L130" s="549">
        <v>2085603.08</v>
      </c>
      <c r="M130" s="549">
        <v>157463.03</v>
      </c>
      <c r="N130" s="549">
        <v>348220.18</v>
      </c>
      <c r="P130" s="549">
        <v>32.04</v>
      </c>
      <c r="Q130" s="549">
        <v>162020.9</v>
      </c>
    </row>
    <row r="131" spans="1:17" x14ac:dyDescent="0.25">
      <c r="A131" s="549" t="s">
        <v>1097</v>
      </c>
      <c r="B131" s="549" t="s">
        <v>579</v>
      </c>
      <c r="C131" s="549" t="s">
        <v>701</v>
      </c>
      <c r="D131" s="549" t="s">
        <v>702</v>
      </c>
      <c r="E131" s="549" t="s">
        <v>977</v>
      </c>
      <c r="F131" s="549" t="s">
        <v>974</v>
      </c>
      <c r="G131" s="549" t="s">
        <v>992</v>
      </c>
      <c r="I131" s="549" t="s">
        <v>976</v>
      </c>
      <c r="J131" s="549" t="s">
        <v>976</v>
      </c>
      <c r="L131" s="549">
        <v>2182743.29</v>
      </c>
      <c r="M131" s="549">
        <v>164797.12</v>
      </c>
      <c r="N131" s="549">
        <v>339047.66</v>
      </c>
      <c r="P131" s="549">
        <v>32.04</v>
      </c>
      <c r="Q131" s="549">
        <v>161431.87</v>
      </c>
    </row>
    <row r="132" spans="1:17" x14ac:dyDescent="0.25">
      <c r="A132" s="549" t="s">
        <v>1097</v>
      </c>
      <c r="B132" s="549" t="s">
        <v>579</v>
      </c>
      <c r="C132" s="549" t="s">
        <v>703</v>
      </c>
      <c r="D132" s="549" t="s">
        <v>704</v>
      </c>
      <c r="E132" s="549" t="s">
        <v>977</v>
      </c>
      <c r="F132" s="549" t="s">
        <v>974</v>
      </c>
      <c r="G132" s="549" t="s">
        <v>989</v>
      </c>
      <c r="I132" s="549" t="s">
        <v>976</v>
      </c>
      <c r="J132" s="549" t="s">
        <v>976</v>
      </c>
      <c r="L132" s="549">
        <v>372774.27</v>
      </c>
      <c r="M132" s="549">
        <v>28144.46</v>
      </c>
      <c r="N132" s="549">
        <v>59018.17</v>
      </c>
      <c r="P132" s="549">
        <v>11.63</v>
      </c>
      <c r="Q132" s="549">
        <v>10137.01</v>
      </c>
    </row>
    <row r="133" spans="1:17" x14ac:dyDescent="0.25">
      <c r="A133" s="549" t="s">
        <v>1097</v>
      </c>
      <c r="B133" s="549" t="s">
        <v>579</v>
      </c>
      <c r="C133" s="549" t="s">
        <v>703</v>
      </c>
      <c r="D133" s="549" t="s">
        <v>704</v>
      </c>
      <c r="E133" s="549" t="s">
        <v>977</v>
      </c>
      <c r="F133" s="549" t="s">
        <v>974</v>
      </c>
      <c r="G133" s="549" t="s">
        <v>990</v>
      </c>
      <c r="I133" s="549" t="s">
        <v>976</v>
      </c>
      <c r="J133" s="549" t="s">
        <v>976</v>
      </c>
      <c r="L133" s="549">
        <v>379568.05</v>
      </c>
      <c r="M133" s="549">
        <v>28657.39</v>
      </c>
      <c r="N133" s="549">
        <v>62933.36</v>
      </c>
      <c r="P133" s="549">
        <v>11.63</v>
      </c>
      <c r="Q133" s="549">
        <v>10652</v>
      </c>
    </row>
    <row r="134" spans="1:17" x14ac:dyDescent="0.25">
      <c r="A134" s="549" t="s">
        <v>1097</v>
      </c>
      <c r="B134" s="549" t="s">
        <v>579</v>
      </c>
      <c r="C134" s="549" t="s">
        <v>703</v>
      </c>
      <c r="D134" s="549" t="s">
        <v>704</v>
      </c>
      <c r="E134" s="549" t="s">
        <v>977</v>
      </c>
      <c r="F134" s="549" t="s">
        <v>974</v>
      </c>
      <c r="G134" s="549" t="s">
        <v>1098</v>
      </c>
      <c r="I134" s="549" t="s">
        <v>976</v>
      </c>
      <c r="J134" s="549" t="s">
        <v>976</v>
      </c>
      <c r="L134" s="549">
        <v>854993.57</v>
      </c>
      <c r="M134" s="549">
        <v>64552.01</v>
      </c>
      <c r="N134" s="549">
        <v>112587.09</v>
      </c>
      <c r="P134" s="549">
        <v>100</v>
      </c>
      <c r="Q134" s="549">
        <v>177139.1</v>
      </c>
    </row>
    <row r="135" spans="1:17" x14ac:dyDescent="0.25">
      <c r="A135" s="549" t="s">
        <v>1097</v>
      </c>
      <c r="B135" s="549" t="s">
        <v>579</v>
      </c>
      <c r="C135" s="549" t="s">
        <v>703</v>
      </c>
      <c r="D135" s="549" t="s">
        <v>704</v>
      </c>
      <c r="E135" s="549" t="s">
        <v>977</v>
      </c>
      <c r="F135" s="549" t="s">
        <v>974</v>
      </c>
      <c r="G135" s="549" t="s">
        <v>991</v>
      </c>
      <c r="I135" s="549" t="s">
        <v>976</v>
      </c>
      <c r="J135" s="549" t="s">
        <v>976</v>
      </c>
      <c r="L135" s="549">
        <v>2085603.08</v>
      </c>
      <c r="M135" s="549">
        <v>157463.03</v>
      </c>
      <c r="N135" s="549">
        <v>348220.18</v>
      </c>
      <c r="P135" s="549">
        <v>11.63</v>
      </c>
      <c r="Q135" s="549">
        <v>58810.96</v>
      </c>
    </row>
    <row r="136" spans="1:17" x14ac:dyDescent="0.25">
      <c r="A136" s="549" t="s">
        <v>1097</v>
      </c>
      <c r="B136" s="549" t="s">
        <v>579</v>
      </c>
      <c r="C136" s="549" t="s">
        <v>703</v>
      </c>
      <c r="D136" s="549" t="s">
        <v>704</v>
      </c>
      <c r="E136" s="549" t="s">
        <v>977</v>
      </c>
      <c r="F136" s="549" t="s">
        <v>974</v>
      </c>
      <c r="G136" s="549" t="s">
        <v>992</v>
      </c>
      <c r="I136" s="549" t="s">
        <v>976</v>
      </c>
      <c r="J136" s="549" t="s">
        <v>976</v>
      </c>
      <c r="L136" s="549">
        <v>2182743.29</v>
      </c>
      <c r="M136" s="549">
        <v>164797.12</v>
      </c>
      <c r="N136" s="549">
        <v>339047.66</v>
      </c>
      <c r="P136" s="549">
        <v>11.63</v>
      </c>
      <c r="Q136" s="549">
        <v>58597.15</v>
      </c>
    </row>
    <row r="137" spans="1:17" x14ac:dyDescent="0.25">
      <c r="A137" s="549" t="s">
        <v>1099</v>
      </c>
      <c r="B137" s="549" t="s">
        <v>1100</v>
      </c>
      <c r="C137" s="549" t="s">
        <v>1101</v>
      </c>
      <c r="D137" s="549" t="s">
        <v>1102</v>
      </c>
      <c r="E137" s="549" t="s">
        <v>973</v>
      </c>
      <c r="F137" s="549" t="s">
        <v>974</v>
      </c>
      <c r="G137" s="549" t="s">
        <v>1088</v>
      </c>
      <c r="I137" s="549" t="s">
        <v>976</v>
      </c>
      <c r="J137" s="549" t="s">
        <v>976</v>
      </c>
      <c r="L137" s="549">
        <v>2395765.87</v>
      </c>
      <c r="M137" s="549">
        <v>180880.32</v>
      </c>
      <c r="N137" s="549">
        <v>185139.14</v>
      </c>
      <c r="P137" s="549">
        <v>66.3</v>
      </c>
      <c r="Q137" s="549">
        <v>242670.9</v>
      </c>
    </row>
    <row r="138" spans="1:17" x14ac:dyDescent="0.25">
      <c r="A138" s="549" t="s">
        <v>1099</v>
      </c>
      <c r="B138" s="549" t="s">
        <v>1100</v>
      </c>
      <c r="C138" s="549" t="s">
        <v>1101</v>
      </c>
      <c r="D138" s="549" t="s">
        <v>1102</v>
      </c>
      <c r="E138" s="549" t="s">
        <v>977</v>
      </c>
      <c r="F138" s="549" t="s">
        <v>974</v>
      </c>
      <c r="G138" s="549" t="s">
        <v>1088</v>
      </c>
      <c r="I138" s="549" t="s">
        <v>976</v>
      </c>
      <c r="J138" s="549" t="s">
        <v>976</v>
      </c>
      <c r="L138" s="549">
        <v>2395765.87</v>
      </c>
      <c r="M138" s="549">
        <v>180880.32</v>
      </c>
      <c r="N138" s="549">
        <v>100568.6</v>
      </c>
      <c r="P138" s="549">
        <v>0.02</v>
      </c>
      <c r="Q138" s="549">
        <v>56.29</v>
      </c>
    </row>
    <row r="139" spans="1:17" x14ac:dyDescent="0.25">
      <c r="A139" s="549" t="s">
        <v>1099</v>
      </c>
      <c r="B139" s="549" t="s">
        <v>1100</v>
      </c>
      <c r="C139" s="549" t="s">
        <v>516</v>
      </c>
      <c r="D139" s="549" t="s">
        <v>1103</v>
      </c>
      <c r="E139" s="549" t="s">
        <v>973</v>
      </c>
      <c r="F139" s="549" t="s">
        <v>974</v>
      </c>
      <c r="G139" s="549" t="s">
        <v>1104</v>
      </c>
      <c r="I139" s="549" t="s">
        <v>1096</v>
      </c>
      <c r="J139" s="549" t="s">
        <v>1096</v>
      </c>
      <c r="L139" s="549">
        <v>1049891.79</v>
      </c>
      <c r="M139" s="549">
        <v>0</v>
      </c>
      <c r="N139" s="549">
        <v>0</v>
      </c>
      <c r="P139" s="549">
        <v>14.34</v>
      </c>
      <c r="Q139" s="549">
        <v>0</v>
      </c>
    </row>
    <row r="140" spans="1:17" x14ac:dyDescent="0.25">
      <c r="A140" s="549" t="s">
        <v>1099</v>
      </c>
      <c r="B140" s="549" t="s">
        <v>1100</v>
      </c>
      <c r="C140" s="549" t="s">
        <v>516</v>
      </c>
      <c r="D140" s="549" t="s">
        <v>1103</v>
      </c>
      <c r="E140" s="549" t="s">
        <v>977</v>
      </c>
      <c r="F140" s="549" t="s">
        <v>974</v>
      </c>
      <c r="G140" s="549" t="s">
        <v>1104</v>
      </c>
      <c r="I140" s="549" t="s">
        <v>1096</v>
      </c>
      <c r="J140" s="549" t="s">
        <v>1096</v>
      </c>
      <c r="L140" s="549">
        <v>1049891.79</v>
      </c>
      <c r="M140" s="549">
        <v>0</v>
      </c>
      <c r="N140" s="549">
        <v>0</v>
      </c>
      <c r="P140" s="549">
        <v>0</v>
      </c>
      <c r="Q140" s="549">
        <v>0</v>
      </c>
    </row>
    <row r="141" spans="1:17" x14ac:dyDescent="0.25">
      <c r="A141" s="549" t="s">
        <v>1105</v>
      </c>
      <c r="B141" s="549" t="s">
        <v>586</v>
      </c>
      <c r="C141" s="549" t="s">
        <v>809</v>
      </c>
      <c r="D141" s="549" t="s">
        <v>810</v>
      </c>
      <c r="E141" s="549" t="s">
        <v>973</v>
      </c>
      <c r="F141" s="549" t="s">
        <v>974</v>
      </c>
      <c r="G141" s="549" t="s">
        <v>1106</v>
      </c>
      <c r="I141" s="549" t="s">
        <v>976</v>
      </c>
      <c r="J141" s="549" t="s">
        <v>976</v>
      </c>
      <c r="L141" s="549">
        <v>6578789.9400000004</v>
      </c>
      <c r="M141" s="549">
        <v>496698.64</v>
      </c>
      <c r="N141" s="549">
        <v>547581.06999999995</v>
      </c>
      <c r="P141" s="549">
        <v>4.67</v>
      </c>
      <c r="Q141" s="549">
        <v>48767.86</v>
      </c>
    </row>
    <row r="142" spans="1:17" x14ac:dyDescent="0.25">
      <c r="A142" s="549" t="s">
        <v>1105</v>
      </c>
      <c r="B142" s="549" t="s">
        <v>586</v>
      </c>
      <c r="C142" s="549" t="s">
        <v>809</v>
      </c>
      <c r="D142" s="549" t="s">
        <v>810</v>
      </c>
      <c r="E142" s="549" t="s">
        <v>973</v>
      </c>
      <c r="F142" s="549" t="s">
        <v>974</v>
      </c>
      <c r="G142" s="549" t="s">
        <v>1107</v>
      </c>
      <c r="I142" s="549" t="s">
        <v>976</v>
      </c>
      <c r="J142" s="549" t="s">
        <v>976</v>
      </c>
      <c r="L142" s="549">
        <v>0</v>
      </c>
      <c r="M142" s="549">
        <v>0</v>
      </c>
      <c r="N142" s="549">
        <v>0</v>
      </c>
      <c r="P142" s="549">
        <v>0</v>
      </c>
      <c r="Q142" s="549">
        <v>0</v>
      </c>
    </row>
    <row r="143" spans="1:17" x14ac:dyDescent="0.25">
      <c r="A143" s="549" t="s">
        <v>1105</v>
      </c>
      <c r="B143" s="549" t="s">
        <v>586</v>
      </c>
      <c r="C143" s="549" t="s">
        <v>809</v>
      </c>
      <c r="D143" s="549" t="s">
        <v>810</v>
      </c>
      <c r="E143" s="549" t="s">
        <v>977</v>
      </c>
      <c r="F143" s="549" t="s">
        <v>974</v>
      </c>
      <c r="G143" s="549" t="s">
        <v>1106</v>
      </c>
      <c r="I143" s="549" t="s">
        <v>976</v>
      </c>
      <c r="J143" s="549" t="s">
        <v>976</v>
      </c>
      <c r="L143" s="549">
        <v>6578789.9400000004</v>
      </c>
      <c r="M143" s="549">
        <v>496698.64</v>
      </c>
      <c r="N143" s="549">
        <v>315349.78999999998</v>
      </c>
      <c r="P143" s="549">
        <v>95.33</v>
      </c>
      <c r="Q143" s="549">
        <v>774125.77</v>
      </c>
    </row>
    <row r="144" spans="1:17" x14ac:dyDescent="0.25">
      <c r="A144" s="549" t="s">
        <v>1105</v>
      </c>
      <c r="B144" s="549" t="s">
        <v>586</v>
      </c>
      <c r="C144" s="549" t="s">
        <v>809</v>
      </c>
      <c r="D144" s="549" t="s">
        <v>810</v>
      </c>
      <c r="E144" s="549" t="s">
        <v>977</v>
      </c>
      <c r="F144" s="549" t="s">
        <v>974</v>
      </c>
      <c r="G144" s="549" t="s">
        <v>1107</v>
      </c>
      <c r="I144" s="549" t="s">
        <v>976</v>
      </c>
      <c r="J144" s="549" t="s">
        <v>976</v>
      </c>
      <c r="L144" s="549">
        <v>0</v>
      </c>
      <c r="M144" s="549">
        <v>0</v>
      </c>
      <c r="N144" s="549">
        <v>0</v>
      </c>
      <c r="P144" s="549">
        <v>0</v>
      </c>
      <c r="Q144" s="549">
        <v>0</v>
      </c>
    </row>
    <row r="145" spans="1:17" x14ac:dyDescent="0.25">
      <c r="A145" s="549" t="s">
        <v>1108</v>
      </c>
      <c r="B145" s="549" t="s">
        <v>1109</v>
      </c>
      <c r="C145" s="549" t="s">
        <v>1047</v>
      </c>
      <c r="D145" s="549" t="s">
        <v>494</v>
      </c>
      <c r="E145" s="549" t="s">
        <v>973</v>
      </c>
      <c r="F145" s="549" t="s">
        <v>974</v>
      </c>
      <c r="G145" s="549" t="s">
        <v>1048</v>
      </c>
      <c r="I145" s="549" t="s">
        <v>976</v>
      </c>
      <c r="J145" s="549" t="s">
        <v>976</v>
      </c>
      <c r="L145" s="549">
        <v>2392965</v>
      </c>
      <c r="M145" s="549">
        <v>180668.86</v>
      </c>
      <c r="N145" s="549">
        <v>137162.76999999999</v>
      </c>
      <c r="P145" s="549">
        <v>1.97</v>
      </c>
      <c r="Q145" s="549">
        <v>6261.28</v>
      </c>
    </row>
    <row r="146" spans="1:17" x14ac:dyDescent="0.25">
      <c r="A146" s="549" t="s">
        <v>1108</v>
      </c>
      <c r="B146" s="549" t="s">
        <v>1109</v>
      </c>
      <c r="C146" s="549" t="s">
        <v>1047</v>
      </c>
      <c r="D146" s="549" t="s">
        <v>494</v>
      </c>
      <c r="E146" s="549" t="s">
        <v>977</v>
      </c>
      <c r="F146" s="549" t="s">
        <v>974</v>
      </c>
      <c r="G146" s="549" t="s">
        <v>1048</v>
      </c>
      <c r="I146" s="549" t="s">
        <v>976</v>
      </c>
      <c r="J146" s="549" t="s">
        <v>976</v>
      </c>
      <c r="L146" s="549">
        <v>2392965</v>
      </c>
      <c r="M146" s="549">
        <v>180668.86</v>
      </c>
      <c r="N146" s="549">
        <v>52691.11</v>
      </c>
      <c r="P146" s="549">
        <v>15.23</v>
      </c>
      <c r="Q146" s="549">
        <v>35540.720000000001</v>
      </c>
    </row>
    <row r="147" spans="1:17" x14ac:dyDescent="0.25">
      <c r="A147" s="549" t="s">
        <v>508</v>
      </c>
      <c r="B147" s="549" t="s">
        <v>1110</v>
      </c>
      <c r="C147" s="549" t="s">
        <v>516</v>
      </c>
      <c r="D147" s="549" t="s">
        <v>1103</v>
      </c>
      <c r="E147" s="549" t="s">
        <v>973</v>
      </c>
      <c r="F147" s="549" t="s">
        <v>974</v>
      </c>
      <c r="G147" s="549" t="s">
        <v>1104</v>
      </c>
      <c r="I147" s="549" t="s">
        <v>1096</v>
      </c>
      <c r="J147" s="549" t="s">
        <v>1096</v>
      </c>
      <c r="L147" s="549">
        <v>1049891.79</v>
      </c>
      <c r="M147" s="549">
        <v>0</v>
      </c>
      <c r="N147" s="549">
        <v>0</v>
      </c>
      <c r="P147" s="549">
        <v>85.66</v>
      </c>
      <c r="Q147" s="549">
        <v>0</v>
      </c>
    </row>
    <row r="148" spans="1:17" x14ac:dyDescent="0.25">
      <c r="A148" s="549" t="s">
        <v>508</v>
      </c>
      <c r="B148" s="549" t="s">
        <v>1110</v>
      </c>
      <c r="C148" s="549" t="s">
        <v>516</v>
      </c>
      <c r="D148" s="549" t="s">
        <v>1103</v>
      </c>
      <c r="E148" s="549" t="s">
        <v>977</v>
      </c>
      <c r="F148" s="549" t="s">
        <v>974</v>
      </c>
      <c r="G148" s="549" t="s">
        <v>1104</v>
      </c>
      <c r="I148" s="549" t="s">
        <v>1096</v>
      </c>
      <c r="J148" s="549" t="s">
        <v>1096</v>
      </c>
      <c r="L148" s="549">
        <v>1049891.79</v>
      </c>
      <c r="M148" s="549">
        <v>0</v>
      </c>
      <c r="N148" s="549">
        <v>0</v>
      </c>
      <c r="P148" s="549">
        <v>0</v>
      </c>
      <c r="Q148" s="549">
        <v>0</v>
      </c>
    </row>
    <row r="149" spans="1:17" x14ac:dyDescent="0.25">
      <c r="A149" s="549" t="s">
        <v>1111</v>
      </c>
      <c r="B149" s="549" t="s">
        <v>1112</v>
      </c>
      <c r="C149" s="549" t="s">
        <v>847</v>
      </c>
      <c r="D149" s="549" t="s">
        <v>848</v>
      </c>
      <c r="E149" s="549" t="s">
        <v>977</v>
      </c>
      <c r="F149" s="549" t="s">
        <v>974</v>
      </c>
      <c r="G149" s="549" t="s">
        <v>1113</v>
      </c>
      <c r="I149" s="549" t="s">
        <v>976</v>
      </c>
      <c r="J149" s="549" t="s">
        <v>976</v>
      </c>
      <c r="L149" s="549">
        <v>4186213.68</v>
      </c>
      <c r="M149" s="549">
        <v>316059.13</v>
      </c>
      <c r="N149" s="549">
        <v>70448.259999999995</v>
      </c>
      <c r="P149" s="549">
        <v>100</v>
      </c>
      <c r="Q149" s="549">
        <v>386507.39</v>
      </c>
    </row>
    <row r="150" spans="1:17" x14ac:dyDescent="0.25">
      <c r="A150" s="549" t="s">
        <v>1111</v>
      </c>
      <c r="B150" s="549" t="s">
        <v>1112</v>
      </c>
      <c r="C150" s="549" t="s">
        <v>845</v>
      </c>
      <c r="D150" s="549" t="s">
        <v>846</v>
      </c>
      <c r="E150" s="549" t="s">
        <v>977</v>
      </c>
      <c r="F150" s="549" t="s">
        <v>974</v>
      </c>
      <c r="G150" s="549" t="s">
        <v>1114</v>
      </c>
      <c r="I150" s="549" t="s">
        <v>976</v>
      </c>
      <c r="J150" s="549" t="s">
        <v>976</v>
      </c>
      <c r="L150" s="549">
        <v>30622943.149999999</v>
      </c>
      <c r="M150" s="549">
        <v>2312032.21</v>
      </c>
      <c r="N150" s="549">
        <v>389725.95</v>
      </c>
      <c r="P150" s="549">
        <v>0</v>
      </c>
      <c r="Q150" s="549">
        <v>0</v>
      </c>
    </row>
    <row r="151" spans="1:17" x14ac:dyDescent="0.25">
      <c r="A151" s="549" t="s">
        <v>1111</v>
      </c>
      <c r="B151" s="549" t="s">
        <v>1112</v>
      </c>
      <c r="C151" s="549" t="s">
        <v>829</v>
      </c>
      <c r="D151" s="549" t="s">
        <v>830</v>
      </c>
      <c r="E151" s="549" t="s">
        <v>977</v>
      </c>
      <c r="F151" s="549" t="s">
        <v>974</v>
      </c>
      <c r="G151" s="549" t="s">
        <v>1115</v>
      </c>
      <c r="I151" s="549" t="s">
        <v>976</v>
      </c>
      <c r="J151" s="549" t="s">
        <v>976</v>
      </c>
      <c r="L151" s="549">
        <v>4513204.43</v>
      </c>
      <c r="M151" s="549">
        <v>340746.93</v>
      </c>
      <c r="N151" s="549">
        <v>176350</v>
      </c>
      <c r="P151" s="549">
        <v>0</v>
      </c>
      <c r="Q151" s="549">
        <v>0</v>
      </c>
    </row>
    <row r="152" spans="1:17" x14ac:dyDescent="0.25">
      <c r="A152" s="549" t="s">
        <v>1116</v>
      </c>
      <c r="B152" s="549" t="s">
        <v>589</v>
      </c>
      <c r="C152" s="549" t="s">
        <v>851</v>
      </c>
      <c r="D152" s="549" t="s">
        <v>852</v>
      </c>
      <c r="E152" s="549" t="s">
        <v>977</v>
      </c>
      <c r="F152" s="549" t="s">
        <v>974</v>
      </c>
      <c r="G152" s="549" t="s">
        <v>1117</v>
      </c>
      <c r="I152" s="549" t="s">
        <v>976</v>
      </c>
      <c r="J152" s="549" t="s">
        <v>976</v>
      </c>
      <c r="L152" s="549">
        <v>1215291.27</v>
      </c>
      <c r="M152" s="549">
        <v>91754.49</v>
      </c>
      <c r="N152" s="549">
        <v>127128.89</v>
      </c>
      <c r="P152" s="549">
        <v>100</v>
      </c>
      <c r="Q152" s="549">
        <v>218883.38</v>
      </c>
    </row>
    <row r="153" spans="1:17" x14ac:dyDescent="0.25">
      <c r="A153" s="549" t="s">
        <v>1116</v>
      </c>
      <c r="B153" s="549" t="s">
        <v>589</v>
      </c>
      <c r="C153" s="549" t="s">
        <v>851</v>
      </c>
      <c r="D153" s="549" t="s">
        <v>852</v>
      </c>
      <c r="E153" s="549" t="s">
        <v>977</v>
      </c>
      <c r="F153" s="549" t="s">
        <v>974</v>
      </c>
      <c r="G153" s="549" t="s">
        <v>1054</v>
      </c>
      <c r="I153" s="549" t="s">
        <v>976</v>
      </c>
      <c r="J153" s="549" t="s">
        <v>976</v>
      </c>
      <c r="L153" s="549">
        <v>1944667.85</v>
      </c>
      <c r="M153" s="549">
        <v>146822.42000000001</v>
      </c>
      <c r="N153" s="549">
        <v>103687.84</v>
      </c>
      <c r="P153" s="549">
        <v>16.82</v>
      </c>
      <c r="Q153" s="549">
        <v>42135.83</v>
      </c>
    </row>
    <row r="154" spans="1:17" x14ac:dyDescent="0.25">
      <c r="A154" s="549" t="s">
        <v>1116</v>
      </c>
      <c r="B154" s="549" t="s">
        <v>589</v>
      </c>
      <c r="C154" s="549" t="s">
        <v>851</v>
      </c>
      <c r="D154" s="549" t="s">
        <v>852</v>
      </c>
      <c r="E154" s="549" t="s">
        <v>977</v>
      </c>
      <c r="F154" s="549" t="s">
        <v>974</v>
      </c>
      <c r="G154" s="549" t="s">
        <v>1053</v>
      </c>
      <c r="I154" s="549" t="s">
        <v>976</v>
      </c>
      <c r="J154" s="549" t="s">
        <v>976</v>
      </c>
      <c r="L154" s="549">
        <v>817426.55</v>
      </c>
      <c r="M154" s="549">
        <v>61715.7</v>
      </c>
      <c r="N154" s="549">
        <v>43561.8</v>
      </c>
      <c r="P154" s="549">
        <v>20.170000000000002</v>
      </c>
      <c r="Q154" s="549">
        <v>21234.47</v>
      </c>
    </row>
    <row r="155" spans="1:17" x14ac:dyDescent="0.25">
      <c r="A155" s="549" t="s">
        <v>1116</v>
      </c>
      <c r="B155" s="549" t="s">
        <v>589</v>
      </c>
      <c r="C155" s="549" t="s">
        <v>851</v>
      </c>
      <c r="D155" s="549" t="s">
        <v>852</v>
      </c>
      <c r="E155" s="549" t="s">
        <v>973</v>
      </c>
      <c r="F155" s="549" t="s">
        <v>974</v>
      </c>
      <c r="G155" s="549" t="s">
        <v>1117</v>
      </c>
      <c r="I155" s="549" t="s">
        <v>976</v>
      </c>
      <c r="J155" s="549" t="s">
        <v>976</v>
      </c>
      <c r="L155" s="549">
        <v>1215291.27</v>
      </c>
      <c r="M155" s="549">
        <v>91754.49</v>
      </c>
      <c r="N155" s="549">
        <v>170028.67</v>
      </c>
      <c r="P155" s="549">
        <v>0</v>
      </c>
      <c r="Q155" s="549">
        <v>0</v>
      </c>
    </row>
    <row r="156" spans="1:17" x14ac:dyDescent="0.25">
      <c r="A156" s="549" t="s">
        <v>1116</v>
      </c>
      <c r="B156" s="549" t="s">
        <v>589</v>
      </c>
      <c r="C156" s="549" t="s">
        <v>851</v>
      </c>
      <c r="D156" s="549" t="s">
        <v>852</v>
      </c>
      <c r="E156" s="549" t="s">
        <v>973</v>
      </c>
      <c r="F156" s="549" t="s">
        <v>974</v>
      </c>
      <c r="G156" s="549" t="s">
        <v>1054</v>
      </c>
      <c r="I156" s="549" t="s">
        <v>976</v>
      </c>
      <c r="J156" s="549" t="s">
        <v>976</v>
      </c>
      <c r="L156" s="549">
        <v>1944667.85</v>
      </c>
      <c r="M156" s="549">
        <v>146822.42000000001</v>
      </c>
      <c r="N156" s="549">
        <v>172334.62</v>
      </c>
      <c r="P156" s="549">
        <v>0</v>
      </c>
      <c r="Q156" s="549">
        <v>0</v>
      </c>
    </row>
    <row r="157" spans="1:17" x14ac:dyDescent="0.25">
      <c r="A157" s="549" t="s">
        <v>1116</v>
      </c>
      <c r="B157" s="549" t="s">
        <v>589</v>
      </c>
      <c r="C157" s="549" t="s">
        <v>851</v>
      </c>
      <c r="D157" s="549" t="s">
        <v>852</v>
      </c>
      <c r="E157" s="549" t="s">
        <v>973</v>
      </c>
      <c r="F157" s="549" t="s">
        <v>974</v>
      </c>
      <c r="G157" s="549" t="s">
        <v>1053</v>
      </c>
      <c r="I157" s="549" t="s">
        <v>976</v>
      </c>
      <c r="J157" s="549" t="s">
        <v>976</v>
      </c>
      <c r="L157" s="549">
        <v>817426.55</v>
      </c>
      <c r="M157" s="549">
        <v>61715.7</v>
      </c>
      <c r="N157" s="549">
        <v>72416.960000000006</v>
      </c>
      <c r="P157" s="549">
        <v>0</v>
      </c>
      <c r="Q157" s="549">
        <v>0</v>
      </c>
    </row>
    <row r="158" spans="1:17" x14ac:dyDescent="0.25">
      <c r="A158" s="549" t="s">
        <v>1116</v>
      </c>
      <c r="B158" s="549" t="s">
        <v>589</v>
      </c>
      <c r="C158" s="549" t="s">
        <v>849</v>
      </c>
      <c r="D158" s="549" t="s">
        <v>850</v>
      </c>
      <c r="E158" s="549" t="s">
        <v>977</v>
      </c>
      <c r="F158" s="549" t="s">
        <v>974</v>
      </c>
      <c r="G158" s="549" t="s">
        <v>1054</v>
      </c>
      <c r="I158" s="549" t="s">
        <v>976</v>
      </c>
      <c r="J158" s="549" t="s">
        <v>976</v>
      </c>
      <c r="L158" s="549">
        <v>1944667.85</v>
      </c>
      <c r="M158" s="549">
        <v>146822.42000000001</v>
      </c>
      <c r="N158" s="549">
        <v>103687.84</v>
      </c>
      <c r="P158" s="549">
        <v>16.600000000000001</v>
      </c>
      <c r="Q158" s="549">
        <v>41584.699999999997</v>
      </c>
    </row>
    <row r="159" spans="1:17" x14ac:dyDescent="0.25">
      <c r="A159" s="549" t="s">
        <v>1116</v>
      </c>
      <c r="B159" s="549" t="s">
        <v>589</v>
      </c>
      <c r="C159" s="549" t="s">
        <v>849</v>
      </c>
      <c r="D159" s="549" t="s">
        <v>850</v>
      </c>
      <c r="E159" s="549" t="s">
        <v>973</v>
      </c>
      <c r="F159" s="549" t="s">
        <v>974</v>
      </c>
      <c r="G159" s="549" t="s">
        <v>1054</v>
      </c>
      <c r="I159" s="549" t="s">
        <v>976</v>
      </c>
      <c r="J159" s="549" t="s">
        <v>976</v>
      </c>
      <c r="L159" s="549">
        <v>1944667.85</v>
      </c>
      <c r="M159" s="549">
        <v>146822.42000000001</v>
      </c>
      <c r="N159" s="549">
        <v>172334.62</v>
      </c>
      <c r="P159" s="549">
        <v>0</v>
      </c>
      <c r="Q159" s="549">
        <v>0</v>
      </c>
    </row>
    <row r="160" spans="1:17" x14ac:dyDescent="0.25">
      <c r="A160" s="549" t="s">
        <v>1118</v>
      </c>
      <c r="B160" s="549" t="s">
        <v>1119</v>
      </c>
      <c r="C160" s="549" t="s">
        <v>869</v>
      </c>
      <c r="D160" s="549" t="s">
        <v>870</v>
      </c>
      <c r="E160" s="549" t="s">
        <v>977</v>
      </c>
      <c r="F160" s="549" t="s">
        <v>974</v>
      </c>
      <c r="G160" s="549" t="s">
        <v>1120</v>
      </c>
      <c r="I160" s="549" t="s">
        <v>976</v>
      </c>
      <c r="J160" s="549" t="s">
        <v>976</v>
      </c>
      <c r="L160" s="549">
        <v>871693.34</v>
      </c>
      <c r="M160" s="549">
        <v>65812.850000000006</v>
      </c>
      <c r="N160" s="549">
        <v>31106.35</v>
      </c>
      <c r="P160" s="549">
        <v>100</v>
      </c>
      <c r="Q160" s="549">
        <v>96919.2</v>
      </c>
    </row>
    <row r="161" spans="1:17" x14ac:dyDescent="0.25">
      <c r="A161" s="549" t="s">
        <v>1118</v>
      </c>
      <c r="B161" s="549" t="s">
        <v>1119</v>
      </c>
      <c r="C161" s="549" t="s">
        <v>869</v>
      </c>
      <c r="D161" s="549" t="s">
        <v>870</v>
      </c>
      <c r="E161" s="549" t="s">
        <v>977</v>
      </c>
      <c r="F161" s="549" t="s">
        <v>974</v>
      </c>
      <c r="G161" s="549" t="s">
        <v>1031</v>
      </c>
      <c r="I161" s="549" t="s">
        <v>976</v>
      </c>
      <c r="J161" s="549" t="s">
        <v>976</v>
      </c>
      <c r="L161" s="549">
        <v>3124255.2</v>
      </c>
      <c r="M161" s="549">
        <v>235881.27</v>
      </c>
      <c r="N161" s="549">
        <v>70760.39</v>
      </c>
      <c r="P161" s="549">
        <v>82.81</v>
      </c>
      <c r="Q161" s="549">
        <v>253929.96</v>
      </c>
    </row>
    <row r="162" spans="1:17" x14ac:dyDescent="0.25">
      <c r="A162" s="549" t="s">
        <v>1118</v>
      </c>
      <c r="B162" s="549" t="s">
        <v>1119</v>
      </c>
      <c r="C162" s="549" t="s">
        <v>875</v>
      </c>
      <c r="D162" s="549" t="s">
        <v>876</v>
      </c>
      <c r="E162" s="549" t="s">
        <v>977</v>
      </c>
      <c r="F162" s="549" t="s">
        <v>974</v>
      </c>
      <c r="G162" s="549" t="s">
        <v>1121</v>
      </c>
      <c r="I162" s="549" t="s">
        <v>976</v>
      </c>
      <c r="J162" s="549" t="s">
        <v>976</v>
      </c>
      <c r="L162" s="549">
        <v>2416152.96</v>
      </c>
      <c r="M162" s="549">
        <v>182419.55</v>
      </c>
      <c r="N162" s="549">
        <v>99224.1</v>
      </c>
      <c r="P162" s="549">
        <v>100</v>
      </c>
      <c r="Q162" s="549">
        <v>281643.65000000002</v>
      </c>
    </row>
    <row r="163" spans="1:17" x14ac:dyDescent="0.25">
      <c r="A163" s="549" t="s">
        <v>1118</v>
      </c>
      <c r="B163" s="549" t="s">
        <v>1119</v>
      </c>
      <c r="C163" s="549" t="s">
        <v>859</v>
      </c>
      <c r="D163" s="549" t="s">
        <v>860</v>
      </c>
      <c r="E163" s="549" t="s">
        <v>977</v>
      </c>
      <c r="F163" s="549" t="s">
        <v>974</v>
      </c>
      <c r="G163" s="549" t="s">
        <v>1122</v>
      </c>
      <c r="I163" s="549" t="s">
        <v>976</v>
      </c>
      <c r="J163" s="549" t="s">
        <v>976</v>
      </c>
      <c r="L163" s="549">
        <v>367051.6</v>
      </c>
      <c r="M163" s="549">
        <v>27712.400000000001</v>
      </c>
      <c r="N163" s="549">
        <v>14386.15</v>
      </c>
      <c r="P163" s="549">
        <v>100</v>
      </c>
      <c r="Q163" s="549">
        <v>42098.55</v>
      </c>
    </row>
    <row r="164" spans="1:17" x14ac:dyDescent="0.25">
      <c r="A164" s="549" t="s">
        <v>1118</v>
      </c>
      <c r="B164" s="549" t="s">
        <v>1119</v>
      </c>
      <c r="C164" s="549" t="s">
        <v>863</v>
      </c>
      <c r="D164" s="549" t="s">
        <v>864</v>
      </c>
      <c r="E164" s="549" t="s">
        <v>977</v>
      </c>
      <c r="F164" s="549" t="s">
        <v>974</v>
      </c>
      <c r="G164" s="549" t="s">
        <v>1123</v>
      </c>
      <c r="I164" s="549" t="s">
        <v>976</v>
      </c>
      <c r="J164" s="549" t="s">
        <v>976</v>
      </c>
      <c r="L164" s="549">
        <v>1480605.48</v>
      </c>
      <c r="M164" s="549">
        <v>111785.71</v>
      </c>
      <c r="N164" s="549">
        <v>54231.75</v>
      </c>
      <c r="P164" s="549">
        <v>100</v>
      </c>
      <c r="Q164" s="549">
        <v>166017.46</v>
      </c>
    </row>
    <row r="165" spans="1:17" x14ac:dyDescent="0.25">
      <c r="A165" s="549" t="s">
        <v>1118</v>
      </c>
      <c r="B165" s="549" t="s">
        <v>1119</v>
      </c>
      <c r="C165" s="549" t="s">
        <v>857</v>
      </c>
      <c r="D165" s="549" t="s">
        <v>858</v>
      </c>
      <c r="E165" s="549" t="s">
        <v>977</v>
      </c>
      <c r="F165" s="549" t="s">
        <v>974</v>
      </c>
      <c r="G165" s="549" t="s">
        <v>1124</v>
      </c>
      <c r="I165" s="549" t="s">
        <v>976</v>
      </c>
      <c r="J165" s="549" t="s">
        <v>976</v>
      </c>
      <c r="L165" s="549">
        <v>891570.24</v>
      </c>
      <c r="M165" s="549">
        <v>67313.55</v>
      </c>
      <c r="N165" s="549">
        <v>72379.009999999995</v>
      </c>
      <c r="P165" s="549">
        <v>0</v>
      </c>
      <c r="Q165" s="549">
        <v>0</v>
      </c>
    </row>
    <row r="166" spans="1:17" x14ac:dyDescent="0.25">
      <c r="A166" s="549" t="s">
        <v>1118</v>
      </c>
      <c r="B166" s="549" t="s">
        <v>1119</v>
      </c>
      <c r="C166" s="549" t="s">
        <v>871</v>
      </c>
      <c r="D166" s="549" t="s">
        <v>872</v>
      </c>
      <c r="E166" s="549" t="s">
        <v>977</v>
      </c>
      <c r="F166" s="549" t="s">
        <v>974</v>
      </c>
      <c r="G166" s="549" t="s">
        <v>1124</v>
      </c>
      <c r="I166" s="549" t="s">
        <v>976</v>
      </c>
      <c r="J166" s="549" t="s">
        <v>976</v>
      </c>
      <c r="L166" s="549">
        <v>891570.24</v>
      </c>
      <c r="M166" s="549">
        <v>67313.55</v>
      </c>
      <c r="N166" s="549">
        <v>72379.009999999995</v>
      </c>
      <c r="P166" s="549">
        <v>100</v>
      </c>
      <c r="Q166" s="549">
        <v>139692.56</v>
      </c>
    </row>
    <row r="167" spans="1:17" x14ac:dyDescent="0.25">
      <c r="A167" s="549" t="s">
        <v>971</v>
      </c>
      <c r="B167" s="549" t="s">
        <v>972</v>
      </c>
      <c r="C167" s="549" t="s">
        <v>641</v>
      </c>
      <c r="D167" s="549" t="s">
        <v>642</v>
      </c>
      <c r="E167" s="549" t="s">
        <v>973</v>
      </c>
      <c r="F167" s="549" t="s">
        <v>53</v>
      </c>
      <c r="G167" s="549" t="s">
        <v>1125</v>
      </c>
      <c r="H167" s="549" t="s">
        <v>641</v>
      </c>
      <c r="I167" s="549" t="s">
        <v>976</v>
      </c>
      <c r="J167" s="549" t="s">
        <v>976</v>
      </c>
      <c r="L167" s="549">
        <v>118009.94</v>
      </c>
      <c r="M167" s="549">
        <v>8909.75</v>
      </c>
      <c r="N167" s="549">
        <v>6773.77</v>
      </c>
      <c r="P167" s="549">
        <v>59.84</v>
      </c>
      <c r="Q167" s="549">
        <v>9385.02</v>
      </c>
    </row>
    <row r="168" spans="1:17" x14ac:dyDescent="0.25">
      <c r="A168" s="549" t="s">
        <v>971</v>
      </c>
      <c r="B168" s="549" t="s">
        <v>972</v>
      </c>
      <c r="C168" s="549" t="s">
        <v>641</v>
      </c>
      <c r="D168" s="549" t="s">
        <v>642</v>
      </c>
      <c r="E168" s="549" t="s">
        <v>977</v>
      </c>
      <c r="F168" s="549" t="s">
        <v>53</v>
      </c>
      <c r="G168" s="549" t="s">
        <v>1125</v>
      </c>
      <c r="H168" s="549" t="s">
        <v>641</v>
      </c>
      <c r="I168" s="549" t="s">
        <v>976</v>
      </c>
      <c r="J168" s="549" t="s">
        <v>976</v>
      </c>
      <c r="L168" s="549">
        <v>118009.94</v>
      </c>
      <c r="M168" s="549">
        <v>8909.75</v>
      </c>
      <c r="N168" s="549">
        <v>2608.02</v>
      </c>
      <c r="P168" s="549">
        <v>40.159999999999997</v>
      </c>
      <c r="Q168" s="549">
        <v>4625.54</v>
      </c>
    </row>
    <row r="169" spans="1:17" x14ac:dyDescent="0.25">
      <c r="A169" s="549" t="s">
        <v>971</v>
      </c>
      <c r="B169" s="549" t="s">
        <v>972</v>
      </c>
      <c r="C169" s="549" t="s">
        <v>652</v>
      </c>
      <c r="D169" s="549" t="s">
        <v>653</v>
      </c>
      <c r="E169" s="549" t="s">
        <v>977</v>
      </c>
      <c r="F169" s="549" t="s">
        <v>53</v>
      </c>
      <c r="G169" s="549" t="s">
        <v>1126</v>
      </c>
      <c r="H169" s="549" t="s">
        <v>652</v>
      </c>
      <c r="I169" s="549" t="s">
        <v>976</v>
      </c>
      <c r="J169" s="549" t="s">
        <v>976</v>
      </c>
      <c r="L169" s="549">
        <v>187700.26</v>
      </c>
      <c r="M169" s="549">
        <v>14171.37</v>
      </c>
      <c r="N169" s="549">
        <v>4148.18</v>
      </c>
      <c r="P169" s="549">
        <v>100</v>
      </c>
      <c r="Q169" s="549">
        <v>18319.55</v>
      </c>
    </row>
    <row r="170" spans="1:17" x14ac:dyDescent="0.25">
      <c r="A170" s="549" t="s">
        <v>993</v>
      </c>
      <c r="B170" s="549" t="s">
        <v>994</v>
      </c>
      <c r="C170" s="549" t="s">
        <v>187</v>
      </c>
      <c r="D170" s="549" t="s">
        <v>667</v>
      </c>
      <c r="E170" s="549" t="s">
        <v>977</v>
      </c>
      <c r="F170" s="549" t="s">
        <v>53</v>
      </c>
      <c r="G170" s="549" t="s">
        <v>1127</v>
      </c>
      <c r="H170" s="549" t="s">
        <v>187</v>
      </c>
      <c r="I170" s="549" t="s">
        <v>976</v>
      </c>
      <c r="J170" s="549" t="s">
        <v>976</v>
      </c>
      <c r="L170" s="549">
        <v>136774.48000000001</v>
      </c>
      <c r="M170" s="549">
        <v>10326.469999999999</v>
      </c>
      <c r="N170" s="549">
        <v>3022.72</v>
      </c>
      <c r="P170" s="549">
        <v>18.21</v>
      </c>
      <c r="Q170" s="549">
        <v>2430.89</v>
      </c>
    </row>
    <row r="171" spans="1:17" x14ac:dyDescent="0.25">
      <c r="A171" s="549" t="s">
        <v>993</v>
      </c>
      <c r="B171" s="549" t="s">
        <v>994</v>
      </c>
      <c r="C171" s="549" t="s">
        <v>187</v>
      </c>
      <c r="D171" s="549" t="s">
        <v>667</v>
      </c>
      <c r="E171" s="549" t="s">
        <v>977</v>
      </c>
      <c r="F171" s="549" t="s">
        <v>53</v>
      </c>
      <c r="G171" s="549" t="s">
        <v>1128</v>
      </c>
      <c r="H171" s="549" t="s">
        <v>187</v>
      </c>
      <c r="I171" s="549" t="s">
        <v>976</v>
      </c>
      <c r="J171" s="549" t="s">
        <v>976</v>
      </c>
      <c r="L171" s="549">
        <v>0</v>
      </c>
      <c r="M171" s="549">
        <v>0</v>
      </c>
      <c r="N171" s="549">
        <v>0</v>
      </c>
      <c r="P171" s="549">
        <v>18.21</v>
      </c>
      <c r="Q171" s="549">
        <v>0</v>
      </c>
    </row>
    <row r="172" spans="1:17" x14ac:dyDescent="0.25">
      <c r="A172" s="549" t="s">
        <v>504</v>
      </c>
      <c r="B172" s="549" t="s">
        <v>996</v>
      </c>
      <c r="C172" s="549" t="s">
        <v>785</v>
      </c>
      <c r="D172" s="549" t="s">
        <v>786</v>
      </c>
      <c r="E172" s="549" t="s">
        <v>977</v>
      </c>
      <c r="F172" s="549" t="s">
        <v>53</v>
      </c>
      <c r="G172" s="549" t="s">
        <v>1129</v>
      </c>
      <c r="H172" s="549" t="s">
        <v>785</v>
      </c>
      <c r="I172" s="549" t="s">
        <v>976</v>
      </c>
      <c r="J172" s="549" t="s">
        <v>976</v>
      </c>
      <c r="L172" s="549">
        <v>78652.28</v>
      </c>
      <c r="M172" s="549">
        <v>5938.25</v>
      </c>
      <c r="N172" s="549">
        <v>1738.22</v>
      </c>
      <c r="P172" s="549">
        <v>5.15</v>
      </c>
      <c r="Q172" s="549">
        <v>395.34</v>
      </c>
    </row>
    <row r="173" spans="1:17" x14ac:dyDescent="0.25">
      <c r="A173" s="549" t="s">
        <v>504</v>
      </c>
      <c r="B173" s="549" t="s">
        <v>996</v>
      </c>
      <c r="C173" s="549" t="s">
        <v>503</v>
      </c>
      <c r="D173" s="549" t="s">
        <v>813</v>
      </c>
      <c r="E173" s="549" t="s">
        <v>973</v>
      </c>
      <c r="F173" s="549" t="s">
        <v>53</v>
      </c>
      <c r="G173" s="549" t="s">
        <v>1127</v>
      </c>
      <c r="H173" s="549" t="s">
        <v>503</v>
      </c>
      <c r="I173" s="549" t="s">
        <v>976</v>
      </c>
      <c r="J173" s="549" t="s">
        <v>976</v>
      </c>
      <c r="L173" s="549">
        <v>139509.97</v>
      </c>
      <c r="M173" s="549">
        <v>10533</v>
      </c>
      <c r="N173" s="549">
        <v>8007.87</v>
      </c>
      <c r="P173" s="549">
        <v>94.81</v>
      </c>
      <c r="Q173" s="549">
        <v>17578.599999999999</v>
      </c>
    </row>
    <row r="174" spans="1:17" x14ac:dyDescent="0.25">
      <c r="A174" s="549" t="s">
        <v>504</v>
      </c>
      <c r="B174" s="549" t="s">
        <v>996</v>
      </c>
      <c r="C174" s="549" t="s">
        <v>503</v>
      </c>
      <c r="D174" s="549" t="s">
        <v>813</v>
      </c>
      <c r="E174" s="549" t="s">
        <v>977</v>
      </c>
      <c r="F174" s="549" t="s">
        <v>53</v>
      </c>
      <c r="G174" s="549" t="s">
        <v>1127</v>
      </c>
      <c r="H174" s="549" t="s">
        <v>503</v>
      </c>
      <c r="I174" s="549" t="s">
        <v>976</v>
      </c>
      <c r="J174" s="549" t="s">
        <v>976</v>
      </c>
      <c r="L174" s="549">
        <v>139509.97</v>
      </c>
      <c r="M174" s="549">
        <v>10533</v>
      </c>
      <c r="N174" s="549">
        <v>3083.17</v>
      </c>
      <c r="P174" s="549">
        <v>5.19</v>
      </c>
      <c r="Q174" s="549">
        <v>706.68</v>
      </c>
    </row>
    <row r="175" spans="1:17" x14ac:dyDescent="0.25">
      <c r="A175" s="549" t="s">
        <v>504</v>
      </c>
      <c r="B175" s="549" t="s">
        <v>996</v>
      </c>
      <c r="C175" s="549" t="s">
        <v>833</v>
      </c>
      <c r="D175" s="549" t="s">
        <v>1130</v>
      </c>
      <c r="E175" s="549" t="s">
        <v>977</v>
      </c>
      <c r="F175" s="549" t="s">
        <v>53</v>
      </c>
      <c r="G175" s="549" t="s">
        <v>1131</v>
      </c>
      <c r="H175" s="549" t="s">
        <v>833</v>
      </c>
      <c r="I175" s="549" t="s">
        <v>976</v>
      </c>
      <c r="J175" s="549" t="s">
        <v>976</v>
      </c>
      <c r="L175" s="549">
        <v>185841.84</v>
      </c>
      <c r="M175" s="549">
        <v>14031.06</v>
      </c>
      <c r="N175" s="549">
        <v>4107.1000000000004</v>
      </c>
      <c r="P175" s="549">
        <v>11.58</v>
      </c>
      <c r="Q175" s="549">
        <v>2100.4</v>
      </c>
    </row>
    <row r="176" spans="1:17" x14ac:dyDescent="0.25">
      <c r="A176" s="549" t="s">
        <v>998</v>
      </c>
      <c r="B176" s="549" t="s">
        <v>999</v>
      </c>
      <c r="C176" s="549" t="s">
        <v>509</v>
      </c>
      <c r="D176" s="549" t="s">
        <v>656</v>
      </c>
      <c r="E176" s="549" t="s">
        <v>973</v>
      </c>
      <c r="F176" s="549" t="s">
        <v>53</v>
      </c>
      <c r="G176" s="549" t="s">
        <v>1125</v>
      </c>
      <c r="H176" s="549" t="s">
        <v>509</v>
      </c>
      <c r="I176" s="549" t="s">
        <v>976</v>
      </c>
      <c r="J176" s="549" t="s">
        <v>976</v>
      </c>
      <c r="L176" s="549">
        <v>119178.35</v>
      </c>
      <c r="M176" s="549">
        <v>8997.9699999999993</v>
      </c>
      <c r="N176" s="549">
        <v>6840.84</v>
      </c>
      <c r="P176" s="549">
        <v>67.02</v>
      </c>
      <c r="Q176" s="549">
        <v>10615.17</v>
      </c>
    </row>
    <row r="177" spans="1:17" x14ac:dyDescent="0.25">
      <c r="A177" s="549" t="s">
        <v>998</v>
      </c>
      <c r="B177" s="549" t="s">
        <v>999</v>
      </c>
      <c r="C177" s="549" t="s">
        <v>509</v>
      </c>
      <c r="D177" s="549" t="s">
        <v>656</v>
      </c>
      <c r="E177" s="549" t="s">
        <v>977</v>
      </c>
      <c r="F177" s="549" t="s">
        <v>53</v>
      </c>
      <c r="G177" s="549" t="s">
        <v>1125</v>
      </c>
      <c r="H177" s="549" t="s">
        <v>509</v>
      </c>
      <c r="I177" s="549" t="s">
        <v>976</v>
      </c>
      <c r="J177" s="549" t="s">
        <v>976</v>
      </c>
      <c r="L177" s="549">
        <v>119178.35</v>
      </c>
      <c r="M177" s="549">
        <v>8997.9699999999993</v>
      </c>
      <c r="N177" s="549">
        <v>2633.84</v>
      </c>
      <c r="P177" s="549">
        <v>32.979999999999997</v>
      </c>
      <c r="Q177" s="549">
        <v>3836.17</v>
      </c>
    </row>
    <row r="178" spans="1:17" x14ac:dyDescent="0.25">
      <c r="A178" s="549" t="s">
        <v>998</v>
      </c>
      <c r="B178" s="549" t="s">
        <v>999</v>
      </c>
      <c r="C178" s="549" t="s">
        <v>657</v>
      </c>
      <c r="D178" s="549" t="s">
        <v>1001</v>
      </c>
      <c r="E178" s="549" t="s">
        <v>977</v>
      </c>
      <c r="F178" s="549" t="s">
        <v>53</v>
      </c>
      <c r="G178" s="549" t="s">
        <v>1125</v>
      </c>
      <c r="H178" s="549" t="s">
        <v>657</v>
      </c>
      <c r="I178" s="549" t="s">
        <v>976</v>
      </c>
      <c r="J178" s="549" t="s">
        <v>976</v>
      </c>
      <c r="L178" s="549">
        <v>116841.52</v>
      </c>
      <c r="M178" s="549">
        <v>8821.5300000000007</v>
      </c>
      <c r="N178" s="549">
        <v>2582.1999999999998</v>
      </c>
      <c r="P178" s="549">
        <v>100</v>
      </c>
      <c r="Q178" s="549">
        <v>11403.73</v>
      </c>
    </row>
    <row r="179" spans="1:17" x14ac:dyDescent="0.25">
      <c r="A179" s="549" t="s">
        <v>1003</v>
      </c>
      <c r="B179" s="549" t="s">
        <v>1004</v>
      </c>
      <c r="C179" s="549" t="s">
        <v>673</v>
      </c>
      <c r="D179" s="549" t="s">
        <v>674</v>
      </c>
      <c r="E179" s="549" t="s">
        <v>977</v>
      </c>
      <c r="F179" s="549" t="s">
        <v>53</v>
      </c>
      <c r="G179" s="549" t="s">
        <v>1132</v>
      </c>
      <c r="H179" s="549" t="s">
        <v>673</v>
      </c>
      <c r="I179" s="549" t="s">
        <v>976</v>
      </c>
      <c r="J179" s="549" t="s">
        <v>976</v>
      </c>
      <c r="L179" s="549">
        <v>77671.98</v>
      </c>
      <c r="M179" s="549">
        <v>5864.23</v>
      </c>
      <c r="N179" s="549">
        <v>1716.55</v>
      </c>
      <c r="P179" s="549">
        <v>100</v>
      </c>
      <c r="Q179" s="549">
        <v>7580.78</v>
      </c>
    </row>
    <row r="180" spans="1:17" x14ac:dyDescent="0.25">
      <c r="A180" s="549" t="s">
        <v>1003</v>
      </c>
      <c r="B180" s="549" t="s">
        <v>1004</v>
      </c>
      <c r="C180" s="549" t="s">
        <v>673</v>
      </c>
      <c r="D180" s="549" t="s">
        <v>674</v>
      </c>
      <c r="E180" s="549" t="s">
        <v>977</v>
      </c>
      <c r="F180" s="549" t="s">
        <v>53</v>
      </c>
      <c r="G180" s="549" t="s">
        <v>1133</v>
      </c>
      <c r="H180" s="549" t="s">
        <v>673</v>
      </c>
      <c r="I180" s="549" t="s">
        <v>976</v>
      </c>
      <c r="J180" s="549" t="s">
        <v>976</v>
      </c>
      <c r="L180" s="549">
        <v>120364.9</v>
      </c>
      <c r="M180" s="549">
        <v>9087.5499999999993</v>
      </c>
      <c r="N180" s="549">
        <v>2660.06</v>
      </c>
      <c r="P180" s="549">
        <v>100</v>
      </c>
      <c r="Q180" s="549">
        <v>11747.61</v>
      </c>
    </row>
    <row r="181" spans="1:17" x14ac:dyDescent="0.25">
      <c r="A181" s="549" t="s">
        <v>1014</v>
      </c>
      <c r="B181" s="549" t="s">
        <v>1015</v>
      </c>
      <c r="C181" s="549" t="s">
        <v>519</v>
      </c>
      <c r="D181" s="549" t="s">
        <v>492</v>
      </c>
      <c r="E181" s="549" t="s">
        <v>977</v>
      </c>
      <c r="F181" s="549" t="s">
        <v>53</v>
      </c>
      <c r="G181" s="549" t="s">
        <v>1127</v>
      </c>
      <c r="H181" s="549" t="s">
        <v>519</v>
      </c>
      <c r="I181" s="549" t="s">
        <v>976</v>
      </c>
      <c r="J181" s="549" t="s">
        <v>976</v>
      </c>
      <c r="L181" s="549">
        <v>139509.97</v>
      </c>
      <c r="M181" s="549">
        <v>10533</v>
      </c>
      <c r="N181" s="549">
        <v>3083.17</v>
      </c>
      <c r="P181" s="549">
        <v>3.25</v>
      </c>
      <c r="Q181" s="549">
        <v>442.53</v>
      </c>
    </row>
    <row r="182" spans="1:17" x14ac:dyDescent="0.25">
      <c r="A182" s="549" t="s">
        <v>1014</v>
      </c>
      <c r="B182" s="549" t="s">
        <v>1015</v>
      </c>
      <c r="C182" s="549" t="s">
        <v>519</v>
      </c>
      <c r="D182" s="549" t="s">
        <v>492</v>
      </c>
      <c r="E182" s="549" t="s">
        <v>973</v>
      </c>
      <c r="F182" s="549" t="s">
        <v>53</v>
      </c>
      <c r="G182" s="549" t="s">
        <v>1127</v>
      </c>
      <c r="H182" s="549" t="s">
        <v>519</v>
      </c>
      <c r="I182" s="549" t="s">
        <v>976</v>
      </c>
      <c r="J182" s="549" t="s">
        <v>976</v>
      </c>
      <c r="L182" s="549">
        <v>139509.97</v>
      </c>
      <c r="M182" s="549">
        <v>10533</v>
      </c>
      <c r="N182" s="549">
        <v>8007.87</v>
      </c>
      <c r="P182" s="549">
        <v>0</v>
      </c>
      <c r="Q182" s="549">
        <v>0</v>
      </c>
    </row>
    <row r="183" spans="1:17" x14ac:dyDescent="0.25">
      <c r="A183" s="549" t="s">
        <v>518</v>
      </c>
      <c r="B183" s="549" t="s">
        <v>1009</v>
      </c>
      <c r="C183" s="549" t="s">
        <v>517</v>
      </c>
      <c r="D183" s="549" t="s">
        <v>491</v>
      </c>
      <c r="E183" s="549" t="s">
        <v>973</v>
      </c>
      <c r="F183" s="549" t="s">
        <v>53</v>
      </c>
      <c r="G183" s="549" t="s">
        <v>1125</v>
      </c>
      <c r="H183" s="549" t="s">
        <v>517</v>
      </c>
      <c r="I183" s="549" t="s">
        <v>976</v>
      </c>
      <c r="J183" s="549" t="s">
        <v>976</v>
      </c>
      <c r="L183" s="549">
        <v>119178.35</v>
      </c>
      <c r="M183" s="549">
        <v>8997.9699999999993</v>
      </c>
      <c r="N183" s="549">
        <v>6840.84</v>
      </c>
      <c r="P183" s="549">
        <v>100</v>
      </c>
      <c r="Q183" s="549">
        <v>15838.81</v>
      </c>
    </row>
    <row r="184" spans="1:17" x14ac:dyDescent="0.25">
      <c r="A184" s="549" t="s">
        <v>518</v>
      </c>
      <c r="B184" s="549" t="s">
        <v>1009</v>
      </c>
      <c r="C184" s="549" t="s">
        <v>517</v>
      </c>
      <c r="D184" s="549" t="s">
        <v>491</v>
      </c>
      <c r="E184" s="549" t="s">
        <v>973</v>
      </c>
      <c r="F184" s="549" t="s">
        <v>53</v>
      </c>
      <c r="G184" s="549" t="s">
        <v>1134</v>
      </c>
      <c r="H184" s="549" t="s">
        <v>517</v>
      </c>
      <c r="I184" s="549" t="s">
        <v>976</v>
      </c>
      <c r="J184" s="549" t="s">
        <v>976</v>
      </c>
      <c r="L184" s="549">
        <v>3037075.7</v>
      </c>
      <c r="M184" s="549">
        <v>229299.22</v>
      </c>
      <c r="N184" s="549">
        <v>174328.15</v>
      </c>
      <c r="P184" s="549">
        <v>100</v>
      </c>
      <c r="Q184" s="549">
        <v>403627.37</v>
      </c>
    </row>
    <row r="185" spans="1:17" x14ac:dyDescent="0.25">
      <c r="A185" s="549" t="s">
        <v>518</v>
      </c>
      <c r="B185" s="549" t="s">
        <v>1009</v>
      </c>
      <c r="C185" s="549" t="s">
        <v>517</v>
      </c>
      <c r="D185" s="549" t="s">
        <v>491</v>
      </c>
      <c r="E185" s="549" t="s">
        <v>977</v>
      </c>
      <c r="F185" s="549" t="s">
        <v>53</v>
      </c>
      <c r="G185" s="549" t="s">
        <v>1125</v>
      </c>
      <c r="H185" s="549" t="s">
        <v>517</v>
      </c>
      <c r="I185" s="549" t="s">
        <v>976</v>
      </c>
      <c r="J185" s="549" t="s">
        <v>976</v>
      </c>
      <c r="L185" s="549">
        <v>119178.35</v>
      </c>
      <c r="M185" s="549">
        <v>8997.9699999999993</v>
      </c>
      <c r="N185" s="549">
        <v>2633.84</v>
      </c>
      <c r="P185" s="549">
        <v>0</v>
      </c>
      <c r="Q185" s="549">
        <v>0</v>
      </c>
    </row>
    <row r="186" spans="1:17" x14ac:dyDescent="0.25">
      <c r="A186" s="549" t="s">
        <v>518</v>
      </c>
      <c r="B186" s="549" t="s">
        <v>1009</v>
      </c>
      <c r="C186" s="549" t="s">
        <v>517</v>
      </c>
      <c r="D186" s="549" t="s">
        <v>491</v>
      </c>
      <c r="E186" s="549" t="s">
        <v>977</v>
      </c>
      <c r="F186" s="549" t="s">
        <v>53</v>
      </c>
      <c r="G186" s="549" t="s">
        <v>1134</v>
      </c>
      <c r="H186" s="549" t="s">
        <v>517</v>
      </c>
      <c r="I186" s="549" t="s">
        <v>976</v>
      </c>
      <c r="J186" s="549" t="s">
        <v>976</v>
      </c>
      <c r="L186" s="549">
        <v>3037075.7</v>
      </c>
      <c r="M186" s="549">
        <v>229299.22</v>
      </c>
      <c r="N186" s="549">
        <v>67119.37</v>
      </c>
      <c r="P186" s="549">
        <v>0</v>
      </c>
      <c r="Q186" s="549">
        <v>0</v>
      </c>
    </row>
    <row r="187" spans="1:17" x14ac:dyDescent="0.25">
      <c r="A187" s="549" t="s">
        <v>518</v>
      </c>
      <c r="B187" s="549" t="s">
        <v>1009</v>
      </c>
      <c r="C187" s="549" t="s">
        <v>533</v>
      </c>
      <c r="D187" s="549" t="s">
        <v>457</v>
      </c>
      <c r="E187" s="549" t="s">
        <v>973</v>
      </c>
      <c r="F187" s="549" t="s">
        <v>53</v>
      </c>
      <c r="G187" s="549" t="s">
        <v>1125</v>
      </c>
      <c r="H187" s="549" t="s">
        <v>533</v>
      </c>
      <c r="I187" s="549" t="s">
        <v>976</v>
      </c>
      <c r="J187" s="549" t="s">
        <v>976</v>
      </c>
      <c r="L187" s="549">
        <v>119178.35</v>
      </c>
      <c r="M187" s="549">
        <v>8997.9699999999993</v>
      </c>
      <c r="N187" s="549">
        <v>6840.84</v>
      </c>
      <c r="P187" s="549">
        <v>100</v>
      </c>
      <c r="Q187" s="549">
        <v>15838.81</v>
      </c>
    </row>
    <row r="188" spans="1:17" x14ac:dyDescent="0.25">
      <c r="A188" s="549" t="s">
        <v>518</v>
      </c>
      <c r="B188" s="549" t="s">
        <v>1009</v>
      </c>
      <c r="C188" s="549" t="s">
        <v>533</v>
      </c>
      <c r="D188" s="549" t="s">
        <v>457</v>
      </c>
      <c r="E188" s="549" t="s">
        <v>977</v>
      </c>
      <c r="F188" s="549" t="s">
        <v>53</v>
      </c>
      <c r="G188" s="549" t="s">
        <v>1125</v>
      </c>
      <c r="H188" s="549" t="s">
        <v>533</v>
      </c>
      <c r="I188" s="549" t="s">
        <v>976</v>
      </c>
      <c r="J188" s="549" t="s">
        <v>976</v>
      </c>
      <c r="L188" s="549">
        <v>119178.35</v>
      </c>
      <c r="M188" s="549">
        <v>8997.9699999999993</v>
      </c>
      <c r="N188" s="549">
        <v>2633.84</v>
      </c>
      <c r="P188" s="549">
        <v>0</v>
      </c>
      <c r="Q188" s="549">
        <v>0</v>
      </c>
    </row>
    <row r="189" spans="1:17" x14ac:dyDescent="0.25">
      <c r="A189" s="549" t="s">
        <v>518</v>
      </c>
      <c r="B189" s="549" t="s">
        <v>1009</v>
      </c>
      <c r="C189" s="549" t="s">
        <v>519</v>
      </c>
      <c r="D189" s="549" t="s">
        <v>492</v>
      </c>
      <c r="E189" s="549" t="s">
        <v>973</v>
      </c>
      <c r="F189" s="549" t="s">
        <v>53</v>
      </c>
      <c r="G189" s="549" t="s">
        <v>1127</v>
      </c>
      <c r="H189" s="549" t="s">
        <v>519</v>
      </c>
      <c r="I189" s="549" t="s">
        <v>976</v>
      </c>
      <c r="J189" s="549" t="s">
        <v>976</v>
      </c>
      <c r="L189" s="549">
        <v>139509.97</v>
      </c>
      <c r="M189" s="549">
        <v>10533</v>
      </c>
      <c r="N189" s="549">
        <v>8007.87</v>
      </c>
      <c r="P189" s="549">
        <v>94.78</v>
      </c>
      <c r="Q189" s="549">
        <v>17573.04</v>
      </c>
    </row>
    <row r="190" spans="1:17" x14ac:dyDescent="0.25">
      <c r="A190" s="549" t="s">
        <v>518</v>
      </c>
      <c r="B190" s="549" t="s">
        <v>1009</v>
      </c>
      <c r="C190" s="549" t="s">
        <v>519</v>
      </c>
      <c r="D190" s="549" t="s">
        <v>492</v>
      </c>
      <c r="E190" s="549" t="s">
        <v>977</v>
      </c>
      <c r="F190" s="549" t="s">
        <v>53</v>
      </c>
      <c r="G190" s="549" t="s">
        <v>1127</v>
      </c>
      <c r="H190" s="549" t="s">
        <v>519</v>
      </c>
      <c r="I190" s="549" t="s">
        <v>976</v>
      </c>
      <c r="J190" s="549" t="s">
        <v>976</v>
      </c>
      <c r="L190" s="549">
        <v>139509.97</v>
      </c>
      <c r="M190" s="549">
        <v>10533</v>
      </c>
      <c r="N190" s="549">
        <v>3083.17</v>
      </c>
      <c r="P190" s="549">
        <v>1.98</v>
      </c>
      <c r="Q190" s="549">
        <v>269.60000000000002</v>
      </c>
    </row>
    <row r="191" spans="1:17" x14ac:dyDescent="0.25">
      <c r="A191" s="549" t="s">
        <v>1018</v>
      </c>
      <c r="B191" s="549" t="s">
        <v>1019</v>
      </c>
      <c r="C191" s="549" t="s">
        <v>823</v>
      </c>
      <c r="D191" s="549" t="s">
        <v>824</v>
      </c>
      <c r="E191" s="549" t="s">
        <v>973</v>
      </c>
      <c r="F191" s="549" t="s">
        <v>53</v>
      </c>
      <c r="G191" s="549" t="s">
        <v>1135</v>
      </c>
      <c r="H191" s="549" t="s">
        <v>823</v>
      </c>
      <c r="I191" s="549" t="s">
        <v>976</v>
      </c>
      <c r="J191" s="549" t="s">
        <v>976</v>
      </c>
      <c r="L191" s="549">
        <v>0</v>
      </c>
      <c r="M191" s="549">
        <v>0</v>
      </c>
      <c r="N191" s="549">
        <v>0</v>
      </c>
      <c r="P191" s="549">
        <v>0</v>
      </c>
      <c r="Q191" s="549">
        <v>0</v>
      </c>
    </row>
    <row r="192" spans="1:17" x14ac:dyDescent="0.25">
      <c r="A192" s="549" t="s">
        <v>1018</v>
      </c>
      <c r="B192" s="549" t="s">
        <v>1019</v>
      </c>
      <c r="C192" s="549" t="s">
        <v>823</v>
      </c>
      <c r="D192" s="549" t="s">
        <v>824</v>
      </c>
      <c r="E192" s="549" t="s">
        <v>977</v>
      </c>
      <c r="F192" s="549" t="s">
        <v>53</v>
      </c>
      <c r="G192" s="549" t="s">
        <v>1135</v>
      </c>
      <c r="H192" s="549" t="s">
        <v>823</v>
      </c>
      <c r="I192" s="549" t="s">
        <v>976</v>
      </c>
      <c r="J192" s="549" t="s">
        <v>976</v>
      </c>
      <c r="L192" s="549">
        <v>0</v>
      </c>
      <c r="M192" s="549">
        <v>0</v>
      </c>
      <c r="N192" s="549">
        <v>0</v>
      </c>
      <c r="P192" s="549">
        <v>100</v>
      </c>
      <c r="Q192" s="549">
        <v>0</v>
      </c>
    </row>
    <row r="193" spans="1:17" x14ac:dyDescent="0.25">
      <c r="A193" s="549" t="s">
        <v>1018</v>
      </c>
      <c r="B193" s="549" t="s">
        <v>1019</v>
      </c>
      <c r="C193" s="549" t="s">
        <v>507</v>
      </c>
      <c r="D193" s="549" t="s">
        <v>816</v>
      </c>
      <c r="E193" s="549" t="s">
        <v>973</v>
      </c>
      <c r="F193" s="549" t="s">
        <v>53</v>
      </c>
      <c r="G193" s="549" t="s">
        <v>1136</v>
      </c>
      <c r="H193" s="549" t="s">
        <v>507</v>
      </c>
      <c r="I193" s="549" t="s">
        <v>976</v>
      </c>
      <c r="J193" s="549" t="s">
        <v>976</v>
      </c>
      <c r="L193" s="549">
        <v>119178.35</v>
      </c>
      <c r="M193" s="549">
        <v>8997.9699999999993</v>
      </c>
      <c r="N193" s="549">
        <v>6840.84</v>
      </c>
      <c r="P193" s="549">
        <v>65.73</v>
      </c>
      <c r="Q193" s="549">
        <v>10410.85</v>
      </c>
    </row>
    <row r="194" spans="1:17" x14ac:dyDescent="0.25">
      <c r="A194" s="549" t="s">
        <v>1018</v>
      </c>
      <c r="B194" s="549" t="s">
        <v>1019</v>
      </c>
      <c r="C194" s="549" t="s">
        <v>507</v>
      </c>
      <c r="D194" s="549" t="s">
        <v>816</v>
      </c>
      <c r="E194" s="549" t="s">
        <v>973</v>
      </c>
      <c r="F194" s="549" t="s">
        <v>53</v>
      </c>
      <c r="G194" s="549" t="s">
        <v>1137</v>
      </c>
      <c r="H194" s="549" t="s">
        <v>507</v>
      </c>
      <c r="I194" s="549" t="s">
        <v>976</v>
      </c>
      <c r="J194" s="549" t="s">
        <v>976</v>
      </c>
      <c r="L194" s="549">
        <v>0</v>
      </c>
      <c r="M194" s="549">
        <v>0</v>
      </c>
      <c r="N194" s="549">
        <v>0</v>
      </c>
      <c r="P194" s="549">
        <v>65.73</v>
      </c>
      <c r="Q194" s="549">
        <v>0</v>
      </c>
    </row>
    <row r="195" spans="1:17" x14ac:dyDescent="0.25">
      <c r="A195" s="549" t="s">
        <v>1018</v>
      </c>
      <c r="B195" s="549" t="s">
        <v>1019</v>
      </c>
      <c r="C195" s="549" t="s">
        <v>507</v>
      </c>
      <c r="D195" s="549" t="s">
        <v>816</v>
      </c>
      <c r="E195" s="549" t="s">
        <v>977</v>
      </c>
      <c r="F195" s="549" t="s">
        <v>53</v>
      </c>
      <c r="G195" s="549" t="s">
        <v>1136</v>
      </c>
      <c r="H195" s="549" t="s">
        <v>507</v>
      </c>
      <c r="I195" s="549" t="s">
        <v>976</v>
      </c>
      <c r="J195" s="549" t="s">
        <v>976</v>
      </c>
      <c r="L195" s="549">
        <v>119178.35</v>
      </c>
      <c r="M195" s="549">
        <v>8997.9699999999993</v>
      </c>
      <c r="N195" s="549">
        <v>2633.84</v>
      </c>
      <c r="P195" s="549">
        <v>34.270000000000003</v>
      </c>
      <c r="Q195" s="549">
        <v>3986.22</v>
      </c>
    </row>
    <row r="196" spans="1:17" x14ac:dyDescent="0.25">
      <c r="A196" s="549" t="s">
        <v>1018</v>
      </c>
      <c r="B196" s="549" t="s">
        <v>1019</v>
      </c>
      <c r="C196" s="549" t="s">
        <v>507</v>
      </c>
      <c r="D196" s="549" t="s">
        <v>816</v>
      </c>
      <c r="E196" s="549" t="s">
        <v>977</v>
      </c>
      <c r="F196" s="549" t="s">
        <v>53</v>
      </c>
      <c r="G196" s="549" t="s">
        <v>1137</v>
      </c>
      <c r="H196" s="549" t="s">
        <v>507</v>
      </c>
      <c r="I196" s="549" t="s">
        <v>976</v>
      </c>
      <c r="J196" s="549" t="s">
        <v>976</v>
      </c>
      <c r="L196" s="549">
        <v>0</v>
      </c>
      <c r="M196" s="549">
        <v>0</v>
      </c>
      <c r="N196" s="549">
        <v>0</v>
      </c>
      <c r="P196" s="549">
        <v>34.270000000000003</v>
      </c>
      <c r="Q196" s="549">
        <v>0</v>
      </c>
    </row>
    <row r="197" spans="1:17" x14ac:dyDescent="0.25">
      <c r="A197" s="549" t="s">
        <v>514</v>
      </c>
      <c r="B197" s="549" t="s">
        <v>1032</v>
      </c>
      <c r="C197" s="549" t="s">
        <v>513</v>
      </c>
      <c r="D197" s="549" t="s">
        <v>456</v>
      </c>
      <c r="E197" s="549" t="s">
        <v>973</v>
      </c>
      <c r="F197" s="549" t="s">
        <v>53</v>
      </c>
      <c r="G197" s="549" t="s">
        <v>1138</v>
      </c>
      <c r="H197" s="549" t="s">
        <v>513</v>
      </c>
      <c r="I197" s="549" t="s">
        <v>976</v>
      </c>
      <c r="J197" s="549" t="s">
        <v>976</v>
      </c>
      <c r="L197" s="549">
        <v>189558.68</v>
      </c>
      <c r="M197" s="549">
        <v>14311.68</v>
      </c>
      <c r="N197" s="549">
        <v>10880.67</v>
      </c>
      <c r="P197" s="549">
        <v>100</v>
      </c>
      <c r="Q197" s="549">
        <v>25192.35</v>
      </c>
    </row>
    <row r="198" spans="1:17" x14ac:dyDescent="0.25">
      <c r="A198" s="549" t="s">
        <v>514</v>
      </c>
      <c r="B198" s="549" t="s">
        <v>1032</v>
      </c>
      <c r="C198" s="549" t="s">
        <v>513</v>
      </c>
      <c r="D198" s="549" t="s">
        <v>456</v>
      </c>
      <c r="E198" s="549" t="s">
        <v>977</v>
      </c>
      <c r="F198" s="549" t="s">
        <v>53</v>
      </c>
      <c r="G198" s="549" t="s">
        <v>1138</v>
      </c>
      <c r="H198" s="549" t="s">
        <v>513</v>
      </c>
      <c r="I198" s="549" t="s">
        <v>976</v>
      </c>
      <c r="J198" s="549" t="s">
        <v>976</v>
      </c>
      <c r="L198" s="549">
        <v>189558.68</v>
      </c>
      <c r="M198" s="549">
        <v>14311.68</v>
      </c>
      <c r="N198" s="549">
        <v>4189.25</v>
      </c>
      <c r="P198" s="549">
        <v>0</v>
      </c>
      <c r="Q198" s="549">
        <v>0</v>
      </c>
    </row>
    <row r="199" spans="1:17" x14ac:dyDescent="0.25">
      <c r="A199" s="549" t="s">
        <v>514</v>
      </c>
      <c r="B199" s="549" t="s">
        <v>1032</v>
      </c>
      <c r="C199" s="549" t="s">
        <v>530</v>
      </c>
      <c r="D199" s="549" t="s">
        <v>1035</v>
      </c>
      <c r="E199" s="549" t="s">
        <v>973</v>
      </c>
      <c r="F199" s="549" t="s">
        <v>53</v>
      </c>
      <c r="G199" s="549" t="s">
        <v>1125</v>
      </c>
      <c r="H199" s="549" t="s">
        <v>530</v>
      </c>
      <c r="I199" s="549" t="s">
        <v>976</v>
      </c>
      <c r="J199" s="549" t="s">
        <v>976</v>
      </c>
      <c r="L199" s="549">
        <v>119178.35</v>
      </c>
      <c r="M199" s="549">
        <v>8997.9699999999993</v>
      </c>
      <c r="N199" s="549">
        <v>6840.84</v>
      </c>
      <c r="P199" s="549">
        <v>98.22</v>
      </c>
      <c r="Q199" s="549">
        <v>15556.88</v>
      </c>
    </row>
    <row r="200" spans="1:17" x14ac:dyDescent="0.25">
      <c r="A200" s="549" t="s">
        <v>514</v>
      </c>
      <c r="B200" s="549" t="s">
        <v>1032</v>
      </c>
      <c r="C200" s="549" t="s">
        <v>530</v>
      </c>
      <c r="D200" s="549" t="s">
        <v>1035</v>
      </c>
      <c r="E200" s="549" t="s">
        <v>977</v>
      </c>
      <c r="F200" s="549" t="s">
        <v>53</v>
      </c>
      <c r="G200" s="549" t="s">
        <v>1125</v>
      </c>
      <c r="H200" s="549" t="s">
        <v>530</v>
      </c>
      <c r="I200" s="549" t="s">
        <v>976</v>
      </c>
      <c r="J200" s="549" t="s">
        <v>976</v>
      </c>
      <c r="L200" s="549">
        <v>119178.35</v>
      </c>
      <c r="M200" s="549">
        <v>8997.9699999999993</v>
      </c>
      <c r="N200" s="549">
        <v>2633.84</v>
      </c>
      <c r="P200" s="549">
        <v>1.78</v>
      </c>
      <c r="Q200" s="549">
        <v>207.05</v>
      </c>
    </row>
    <row r="201" spans="1:17" x14ac:dyDescent="0.25">
      <c r="A201" s="549" t="s">
        <v>1045</v>
      </c>
      <c r="B201" s="549" t="s">
        <v>1046</v>
      </c>
      <c r="C201" s="549" t="s">
        <v>1047</v>
      </c>
      <c r="D201" s="549" t="s">
        <v>494</v>
      </c>
      <c r="E201" s="549" t="s">
        <v>977</v>
      </c>
      <c r="F201" s="549" t="s">
        <v>53</v>
      </c>
      <c r="G201" s="549" t="s">
        <v>1136</v>
      </c>
      <c r="H201" s="549" t="s">
        <v>1047</v>
      </c>
      <c r="I201" s="549" t="s">
        <v>976</v>
      </c>
      <c r="J201" s="549" t="s">
        <v>976</v>
      </c>
      <c r="L201" s="549">
        <v>139509.97</v>
      </c>
      <c r="M201" s="549">
        <v>10533</v>
      </c>
      <c r="N201" s="549">
        <v>3083.17</v>
      </c>
      <c r="P201" s="549">
        <v>100</v>
      </c>
      <c r="Q201" s="549">
        <v>13616.17</v>
      </c>
    </row>
    <row r="202" spans="1:17" x14ac:dyDescent="0.25">
      <c r="A202" s="549" t="s">
        <v>1045</v>
      </c>
      <c r="B202" s="549" t="s">
        <v>1046</v>
      </c>
      <c r="C202" s="549" t="s">
        <v>1047</v>
      </c>
      <c r="D202" s="549" t="s">
        <v>494</v>
      </c>
      <c r="E202" s="549" t="s">
        <v>977</v>
      </c>
      <c r="F202" s="549" t="s">
        <v>53</v>
      </c>
      <c r="G202" s="549" t="s">
        <v>1135</v>
      </c>
      <c r="H202" s="549" t="s">
        <v>1047</v>
      </c>
      <c r="I202" s="549" t="s">
        <v>976</v>
      </c>
      <c r="J202" s="549" t="s">
        <v>976</v>
      </c>
      <c r="L202" s="549">
        <v>0.01</v>
      </c>
      <c r="M202" s="549">
        <v>0</v>
      </c>
      <c r="N202" s="549">
        <v>0</v>
      </c>
      <c r="P202" s="549">
        <v>82.8</v>
      </c>
      <c r="Q202" s="549">
        <v>0</v>
      </c>
    </row>
    <row r="203" spans="1:17" x14ac:dyDescent="0.25">
      <c r="A203" s="549" t="s">
        <v>1045</v>
      </c>
      <c r="B203" s="549" t="s">
        <v>1046</v>
      </c>
      <c r="C203" s="549" t="s">
        <v>1047</v>
      </c>
      <c r="D203" s="549" t="s">
        <v>494</v>
      </c>
      <c r="E203" s="549" t="s">
        <v>973</v>
      </c>
      <c r="F203" s="549" t="s">
        <v>53</v>
      </c>
      <c r="G203" s="549" t="s">
        <v>1136</v>
      </c>
      <c r="H203" s="549" t="s">
        <v>1047</v>
      </c>
      <c r="I203" s="549" t="s">
        <v>976</v>
      </c>
      <c r="J203" s="549" t="s">
        <v>976</v>
      </c>
      <c r="L203" s="549">
        <v>139509.97</v>
      </c>
      <c r="M203" s="549">
        <v>10533</v>
      </c>
      <c r="N203" s="549">
        <v>8007.87</v>
      </c>
      <c r="P203" s="549">
        <v>0</v>
      </c>
      <c r="Q203" s="549">
        <v>0</v>
      </c>
    </row>
    <row r="204" spans="1:17" x14ac:dyDescent="0.25">
      <c r="A204" s="549" t="s">
        <v>1045</v>
      </c>
      <c r="B204" s="549" t="s">
        <v>1046</v>
      </c>
      <c r="C204" s="549" t="s">
        <v>1047</v>
      </c>
      <c r="D204" s="549" t="s">
        <v>494</v>
      </c>
      <c r="E204" s="549" t="s">
        <v>973</v>
      </c>
      <c r="F204" s="549" t="s">
        <v>53</v>
      </c>
      <c r="G204" s="549" t="s">
        <v>1135</v>
      </c>
      <c r="H204" s="549" t="s">
        <v>1047</v>
      </c>
      <c r="I204" s="549" t="s">
        <v>976</v>
      </c>
      <c r="J204" s="549" t="s">
        <v>976</v>
      </c>
      <c r="L204" s="549">
        <v>0.01</v>
      </c>
      <c r="M204" s="549">
        <v>0</v>
      </c>
      <c r="N204" s="549">
        <v>0</v>
      </c>
      <c r="P204" s="549">
        <v>0</v>
      </c>
      <c r="Q204" s="549">
        <v>0</v>
      </c>
    </row>
    <row r="205" spans="1:17" x14ac:dyDescent="0.25">
      <c r="A205" s="549" t="s">
        <v>502</v>
      </c>
      <c r="B205" s="549" t="s">
        <v>1049</v>
      </c>
      <c r="C205" s="549" t="s">
        <v>521</v>
      </c>
      <c r="D205" s="549" t="s">
        <v>1050</v>
      </c>
      <c r="E205" s="549" t="s">
        <v>973</v>
      </c>
      <c r="F205" s="549" t="s">
        <v>53</v>
      </c>
      <c r="G205" s="549" t="s">
        <v>1125</v>
      </c>
      <c r="H205" s="549" t="s">
        <v>521</v>
      </c>
      <c r="I205" s="549" t="s">
        <v>976</v>
      </c>
      <c r="J205" s="549" t="s">
        <v>976</v>
      </c>
      <c r="L205" s="549">
        <v>118009.94</v>
      </c>
      <c r="M205" s="549">
        <v>8909.75</v>
      </c>
      <c r="N205" s="549">
        <v>6773.77</v>
      </c>
      <c r="P205" s="549">
        <v>100</v>
      </c>
      <c r="Q205" s="549">
        <v>15683.52</v>
      </c>
    </row>
    <row r="206" spans="1:17" x14ac:dyDescent="0.25">
      <c r="A206" s="549" t="s">
        <v>502</v>
      </c>
      <c r="B206" s="549" t="s">
        <v>1049</v>
      </c>
      <c r="C206" s="549" t="s">
        <v>521</v>
      </c>
      <c r="D206" s="549" t="s">
        <v>1050</v>
      </c>
      <c r="E206" s="549" t="s">
        <v>977</v>
      </c>
      <c r="F206" s="549" t="s">
        <v>53</v>
      </c>
      <c r="G206" s="549" t="s">
        <v>1125</v>
      </c>
      <c r="H206" s="549" t="s">
        <v>521</v>
      </c>
      <c r="I206" s="549" t="s">
        <v>976</v>
      </c>
      <c r="J206" s="549" t="s">
        <v>976</v>
      </c>
      <c r="L206" s="549">
        <v>118009.94</v>
      </c>
      <c r="M206" s="549">
        <v>8909.75</v>
      </c>
      <c r="N206" s="549">
        <v>2608.02</v>
      </c>
      <c r="P206" s="549">
        <v>0</v>
      </c>
      <c r="Q206" s="549">
        <v>0</v>
      </c>
    </row>
    <row r="207" spans="1:17" x14ac:dyDescent="0.25">
      <c r="A207" s="549" t="s">
        <v>502</v>
      </c>
      <c r="B207" s="549" t="s">
        <v>1049</v>
      </c>
      <c r="C207" s="549" t="s">
        <v>524</v>
      </c>
      <c r="D207" s="549" t="s">
        <v>1055</v>
      </c>
      <c r="E207" s="549" t="s">
        <v>973</v>
      </c>
      <c r="F207" s="549" t="s">
        <v>53</v>
      </c>
      <c r="G207" s="549" t="s">
        <v>1125</v>
      </c>
      <c r="H207" s="549" t="s">
        <v>524</v>
      </c>
      <c r="I207" s="549" t="s">
        <v>976</v>
      </c>
      <c r="J207" s="549" t="s">
        <v>976</v>
      </c>
      <c r="L207" s="549">
        <v>118009.94</v>
      </c>
      <c r="M207" s="549">
        <v>8909.75</v>
      </c>
      <c r="N207" s="549">
        <v>6773.77</v>
      </c>
      <c r="P207" s="549">
        <v>85.56</v>
      </c>
      <c r="Q207" s="549">
        <v>13418.82</v>
      </c>
    </row>
    <row r="208" spans="1:17" x14ac:dyDescent="0.25">
      <c r="A208" s="549" t="s">
        <v>502</v>
      </c>
      <c r="B208" s="549" t="s">
        <v>1049</v>
      </c>
      <c r="C208" s="549" t="s">
        <v>524</v>
      </c>
      <c r="D208" s="549" t="s">
        <v>1055</v>
      </c>
      <c r="E208" s="549" t="s">
        <v>977</v>
      </c>
      <c r="F208" s="549" t="s">
        <v>53</v>
      </c>
      <c r="G208" s="549" t="s">
        <v>1125</v>
      </c>
      <c r="H208" s="549" t="s">
        <v>524</v>
      </c>
      <c r="I208" s="549" t="s">
        <v>976</v>
      </c>
      <c r="J208" s="549" t="s">
        <v>976</v>
      </c>
      <c r="L208" s="549">
        <v>118009.94</v>
      </c>
      <c r="M208" s="549">
        <v>8909.75</v>
      </c>
      <c r="N208" s="549">
        <v>2608.02</v>
      </c>
      <c r="P208" s="549">
        <v>0.42</v>
      </c>
      <c r="Q208" s="549">
        <v>48.37</v>
      </c>
    </row>
    <row r="209" spans="1:17" x14ac:dyDescent="0.25">
      <c r="A209" s="549" t="s">
        <v>502</v>
      </c>
      <c r="B209" s="549" t="s">
        <v>1049</v>
      </c>
      <c r="C209" s="549" t="s">
        <v>526</v>
      </c>
      <c r="D209" s="549" t="s">
        <v>1058</v>
      </c>
      <c r="E209" s="549" t="s">
        <v>973</v>
      </c>
      <c r="F209" s="549" t="s">
        <v>53</v>
      </c>
      <c r="G209" s="549" t="s">
        <v>1125</v>
      </c>
      <c r="H209" s="549" t="s">
        <v>524</v>
      </c>
      <c r="I209" s="549" t="s">
        <v>976</v>
      </c>
      <c r="J209" s="549" t="s">
        <v>976</v>
      </c>
      <c r="L209" s="549">
        <v>118009.94</v>
      </c>
      <c r="M209" s="549">
        <v>8909.75</v>
      </c>
      <c r="N209" s="549">
        <v>6773.77</v>
      </c>
      <c r="P209" s="549">
        <v>13.98</v>
      </c>
      <c r="Q209" s="549">
        <v>2192.56</v>
      </c>
    </row>
    <row r="210" spans="1:17" x14ac:dyDescent="0.25">
      <c r="A210" s="549" t="s">
        <v>502</v>
      </c>
      <c r="B210" s="549" t="s">
        <v>1049</v>
      </c>
      <c r="C210" s="549" t="s">
        <v>526</v>
      </c>
      <c r="D210" s="549" t="s">
        <v>1058</v>
      </c>
      <c r="E210" s="549" t="s">
        <v>977</v>
      </c>
      <c r="F210" s="549" t="s">
        <v>53</v>
      </c>
      <c r="G210" s="549" t="s">
        <v>1125</v>
      </c>
      <c r="H210" s="549" t="s">
        <v>524</v>
      </c>
      <c r="I210" s="549" t="s">
        <v>976</v>
      </c>
      <c r="J210" s="549" t="s">
        <v>976</v>
      </c>
      <c r="L210" s="549">
        <v>118009.94</v>
      </c>
      <c r="M210" s="549">
        <v>8909.75</v>
      </c>
      <c r="N210" s="549">
        <v>2608.02</v>
      </c>
      <c r="P210" s="549">
        <v>0.04</v>
      </c>
      <c r="Q210" s="549">
        <v>4.6100000000000003</v>
      </c>
    </row>
    <row r="211" spans="1:17" x14ac:dyDescent="0.25">
      <c r="A211" s="549" t="s">
        <v>1064</v>
      </c>
      <c r="B211" s="549" t="s">
        <v>581</v>
      </c>
      <c r="C211" s="549" t="s">
        <v>716</v>
      </c>
      <c r="D211" s="549" t="s">
        <v>717</v>
      </c>
      <c r="E211" s="549" t="s">
        <v>977</v>
      </c>
      <c r="F211" s="549" t="s">
        <v>53</v>
      </c>
      <c r="G211" s="549" t="s">
        <v>1139</v>
      </c>
      <c r="H211" s="549" t="s">
        <v>716</v>
      </c>
      <c r="I211" s="549" t="s">
        <v>976</v>
      </c>
      <c r="J211" s="549" t="s">
        <v>976</v>
      </c>
      <c r="L211" s="549">
        <v>95090.35</v>
      </c>
      <c r="M211" s="549">
        <v>7179.32</v>
      </c>
      <c r="N211" s="549">
        <v>2101.5</v>
      </c>
      <c r="P211" s="549">
        <v>100</v>
      </c>
      <c r="Q211" s="549">
        <v>9280.82</v>
      </c>
    </row>
    <row r="212" spans="1:17" x14ac:dyDescent="0.25">
      <c r="A212" s="549" t="s">
        <v>1069</v>
      </c>
      <c r="B212" s="549" t="s">
        <v>1070</v>
      </c>
      <c r="C212" s="549" t="s">
        <v>187</v>
      </c>
      <c r="D212" s="549" t="s">
        <v>667</v>
      </c>
      <c r="E212" s="549" t="s">
        <v>973</v>
      </c>
      <c r="F212" s="549" t="s">
        <v>53</v>
      </c>
      <c r="G212" s="549" t="s">
        <v>1127</v>
      </c>
      <c r="H212" s="549" t="s">
        <v>187</v>
      </c>
      <c r="I212" s="549" t="s">
        <v>976</v>
      </c>
      <c r="J212" s="549" t="s">
        <v>976</v>
      </c>
      <c r="L212" s="549">
        <v>136774.48000000001</v>
      </c>
      <c r="M212" s="549">
        <v>10326.469999999999</v>
      </c>
      <c r="N212" s="549">
        <v>7850.86</v>
      </c>
      <c r="P212" s="549">
        <v>4.41</v>
      </c>
      <c r="Q212" s="549">
        <v>801.62</v>
      </c>
    </row>
    <row r="213" spans="1:17" x14ac:dyDescent="0.25">
      <c r="A213" s="549" t="s">
        <v>1069</v>
      </c>
      <c r="B213" s="549" t="s">
        <v>1070</v>
      </c>
      <c r="C213" s="549" t="s">
        <v>187</v>
      </c>
      <c r="D213" s="549" t="s">
        <v>667</v>
      </c>
      <c r="E213" s="549" t="s">
        <v>973</v>
      </c>
      <c r="F213" s="549" t="s">
        <v>53</v>
      </c>
      <c r="G213" s="549" t="s">
        <v>1128</v>
      </c>
      <c r="H213" s="549" t="s">
        <v>187</v>
      </c>
      <c r="I213" s="549" t="s">
        <v>976</v>
      </c>
      <c r="J213" s="549" t="s">
        <v>976</v>
      </c>
      <c r="L213" s="549">
        <v>0</v>
      </c>
      <c r="M213" s="549">
        <v>0</v>
      </c>
      <c r="N213" s="549">
        <v>0</v>
      </c>
      <c r="P213" s="549">
        <v>4.41</v>
      </c>
      <c r="Q213" s="549">
        <v>0</v>
      </c>
    </row>
    <row r="214" spans="1:17" x14ac:dyDescent="0.25">
      <c r="A214" s="549" t="s">
        <v>1069</v>
      </c>
      <c r="B214" s="549" t="s">
        <v>1070</v>
      </c>
      <c r="C214" s="549" t="s">
        <v>187</v>
      </c>
      <c r="D214" s="549" t="s">
        <v>667</v>
      </c>
      <c r="E214" s="549" t="s">
        <v>977</v>
      </c>
      <c r="F214" s="549" t="s">
        <v>53</v>
      </c>
      <c r="G214" s="549" t="s">
        <v>1127</v>
      </c>
      <c r="H214" s="549" t="s">
        <v>187</v>
      </c>
      <c r="I214" s="549" t="s">
        <v>976</v>
      </c>
      <c r="J214" s="549" t="s">
        <v>976</v>
      </c>
      <c r="L214" s="549">
        <v>136774.48000000001</v>
      </c>
      <c r="M214" s="549">
        <v>10326.469999999999</v>
      </c>
      <c r="N214" s="549">
        <v>3022.72</v>
      </c>
      <c r="P214" s="549">
        <v>77.38</v>
      </c>
      <c r="Q214" s="549">
        <v>10329.6</v>
      </c>
    </row>
    <row r="215" spans="1:17" x14ac:dyDescent="0.25">
      <c r="A215" s="549" t="s">
        <v>1069</v>
      </c>
      <c r="B215" s="549" t="s">
        <v>1070</v>
      </c>
      <c r="C215" s="549" t="s">
        <v>187</v>
      </c>
      <c r="D215" s="549" t="s">
        <v>667</v>
      </c>
      <c r="E215" s="549" t="s">
        <v>977</v>
      </c>
      <c r="F215" s="549" t="s">
        <v>53</v>
      </c>
      <c r="G215" s="549" t="s">
        <v>1128</v>
      </c>
      <c r="H215" s="549" t="s">
        <v>187</v>
      </c>
      <c r="I215" s="549" t="s">
        <v>976</v>
      </c>
      <c r="J215" s="549" t="s">
        <v>976</v>
      </c>
      <c r="L215" s="549">
        <v>0</v>
      </c>
      <c r="M215" s="549">
        <v>0</v>
      </c>
      <c r="N215" s="549">
        <v>0</v>
      </c>
      <c r="P215" s="549">
        <v>77.38</v>
      </c>
      <c r="Q215" s="549">
        <v>0</v>
      </c>
    </row>
    <row r="216" spans="1:17" x14ac:dyDescent="0.25">
      <c r="A216" s="549" t="s">
        <v>1071</v>
      </c>
      <c r="B216" s="549" t="s">
        <v>1072</v>
      </c>
      <c r="C216" s="549" t="s">
        <v>731</v>
      </c>
      <c r="D216" s="549" t="s">
        <v>732</v>
      </c>
      <c r="E216" s="549" t="s">
        <v>977</v>
      </c>
      <c r="F216" s="549" t="s">
        <v>53</v>
      </c>
      <c r="G216" s="549" t="s">
        <v>1140</v>
      </c>
      <c r="H216" s="549" t="s">
        <v>731</v>
      </c>
      <c r="I216" s="549" t="s">
        <v>976</v>
      </c>
      <c r="J216" s="549" t="s">
        <v>976</v>
      </c>
      <c r="L216" s="549">
        <v>81368.89</v>
      </c>
      <c r="M216" s="549">
        <v>6143.35</v>
      </c>
      <c r="N216" s="549">
        <v>1798.25</v>
      </c>
      <c r="P216" s="549">
        <v>100</v>
      </c>
      <c r="Q216" s="549">
        <v>7941.6</v>
      </c>
    </row>
    <row r="217" spans="1:17" x14ac:dyDescent="0.25">
      <c r="A217" s="549" t="s">
        <v>1071</v>
      </c>
      <c r="B217" s="549" t="s">
        <v>1072</v>
      </c>
      <c r="C217" s="549" t="s">
        <v>731</v>
      </c>
      <c r="D217" s="549" t="s">
        <v>732</v>
      </c>
      <c r="E217" s="549" t="s">
        <v>977</v>
      </c>
      <c r="F217" s="549" t="s">
        <v>53</v>
      </c>
      <c r="G217" s="549" t="s">
        <v>1141</v>
      </c>
      <c r="H217" s="549" t="s">
        <v>731</v>
      </c>
      <c r="I217" s="549" t="s">
        <v>976</v>
      </c>
      <c r="J217" s="549" t="s">
        <v>976</v>
      </c>
      <c r="L217" s="549">
        <v>81368.89</v>
      </c>
      <c r="M217" s="549">
        <v>6143.35</v>
      </c>
      <c r="N217" s="549">
        <v>1798.25</v>
      </c>
      <c r="P217" s="549">
        <v>100</v>
      </c>
      <c r="Q217" s="549">
        <v>7941.6</v>
      </c>
    </row>
    <row r="218" spans="1:17" x14ac:dyDescent="0.25">
      <c r="A218" s="549" t="s">
        <v>1071</v>
      </c>
      <c r="B218" s="549" t="s">
        <v>1072</v>
      </c>
      <c r="C218" s="549" t="s">
        <v>731</v>
      </c>
      <c r="D218" s="549" t="s">
        <v>732</v>
      </c>
      <c r="E218" s="549" t="s">
        <v>977</v>
      </c>
      <c r="F218" s="549" t="s">
        <v>53</v>
      </c>
      <c r="G218" s="549" t="s">
        <v>1142</v>
      </c>
      <c r="H218" s="549" t="s">
        <v>731</v>
      </c>
      <c r="I218" s="549" t="s">
        <v>976</v>
      </c>
      <c r="J218" s="549" t="s">
        <v>976</v>
      </c>
      <c r="L218" s="549">
        <v>81368.89</v>
      </c>
      <c r="M218" s="549">
        <v>6143.35</v>
      </c>
      <c r="N218" s="549">
        <v>1798.25</v>
      </c>
      <c r="P218" s="549">
        <v>100</v>
      </c>
      <c r="Q218" s="549">
        <v>7941.6</v>
      </c>
    </row>
    <row r="219" spans="1:17" x14ac:dyDescent="0.25">
      <c r="A219" s="549" t="s">
        <v>1071</v>
      </c>
      <c r="B219" s="549" t="s">
        <v>1072</v>
      </c>
      <c r="C219" s="549" t="s">
        <v>729</v>
      </c>
      <c r="D219" s="549" t="s">
        <v>730</v>
      </c>
      <c r="E219" s="549" t="s">
        <v>977</v>
      </c>
      <c r="F219" s="549" t="s">
        <v>53</v>
      </c>
      <c r="G219" s="549" t="s">
        <v>1143</v>
      </c>
      <c r="H219" s="549" t="s">
        <v>729</v>
      </c>
      <c r="I219" s="549" t="s">
        <v>976</v>
      </c>
      <c r="J219" s="549" t="s">
        <v>976</v>
      </c>
      <c r="L219" s="549">
        <v>0.01</v>
      </c>
      <c r="M219" s="549">
        <v>0</v>
      </c>
      <c r="N219" s="549">
        <v>0</v>
      </c>
      <c r="P219" s="549">
        <v>100</v>
      </c>
      <c r="Q219" s="549">
        <v>0</v>
      </c>
    </row>
    <row r="220" spans="1:17" x14ac:dyDescent="0.25">
      <c r="A220" s="549" t="s">
        <v>1071</v>
      </c>
      <c r="B220" s="549" t="s">
        <v>1072</v>
      </c>
      <c r="C220" s="549" t="s">
        <v>729</v>
      </c>
      <c r="D220" s="549" t="s">
        <v>730</v>
      </c>
      <c r="E220" s="549" t="s">
        <v>977</v>
      </c>
      <c r="F220" s="549" t="s">
        <v>53</v>
      </c>
      <c r="G220" s="549" t="s">
        <v>1127</v>
      </c>
      <c r="H220" s="549" t="s">
        <v>729</v>
      </c>
      <c r="I220" s="549" t="s">
        <v>976</v>
      </c>
      <c r="J220" s="549" t="s">
        <v>976</v>
      </c>
      <c r="L220" s="549">
        <v>138142.22</v>
      </c>
      <c r="M220" s="549">
        <v>10429.74</v>
      </c>
      <c r="N220" s="549">
        <v>3052.94</v>
      </c>
      <c r="P220" s="549">
        <v>100</v>
      </c>
      <c r="Q220" s="549">
        <v>13482.68</v>
      </c>
    </row>
    <row r="221" spans="1:17" x14ac:dyDescent="0.25">
      <c r="A221" s="549" t="s">
        <v>1071</v>
      </c>
      <c r="B221" s="549" t="s">
        <v>1072</v>
      </c>
      <c r="C221" s="549" t="s">
        <v>729</v>
      </c>
      <c r="D221" s="549" t="s">
        <v>730</v>
      </c>
      <c r="E221" s="549" t="s">
        <v>977</v>
      </c>
      <c r="F221" s="549" t="s">
        <v>53</v>
      </c>
      <c r="G221" s="549" t="s">
        <v>1126</v>
      </c>
      <c r="H221" s="549" t="s">
        <v>729</v>
      </c>
      <c r="I221" s="549" t="s">
        <v>976</v>
      </c>
      <c r="J221" s="549" t="s">
        <v>976</v>
      </c>
      <c r="L221" s="549">
        <v>0</v>
      </c>
      <c r="M221" s="549">
        <v>0</v>
      </c>
      <c r="N221" s="549">
        <v>0</v>
      </c>
      <c r="P221" s="549">
        <v>100</v>
      </c>
      <c r="Q221" s="549">
        <v>0</v>
      </c>
    </row>
    <row r="222" spans="1:17" x14ac:dyDescent="0.25">
      <c r="A222" s="549" t="s">
        <v>1071</v>
      </c>
      <c r="B222" s="549" t="s">
        <v>1072</v>
      </c>
      <c r="C222" s="549" t="s">
        <v>729</v>
      </c>
      <c r="D222" s="549" t="s">
        <v>730</v>
      </c>
      <c r="E222" s="549" t="s">
        <v>977</v>
      </c>
      <c r="F222" s="549" t="s">
        <v>53</v>
      </c>
      <c r="G222" s="549" t="s">
        <v>1144</v>
      </c>
      <c r="H222" s="549" t="s">
        <v>729</v>
      </c>
      <c r="I222" s="549" t="s">
        <v>976</v>
      </c>
      <c r="J222" s="549" t="s">
        <v>976</v>
      </c>
      <c r="L222" s="549">
        <v>83274.149999999994</v>
      </c>
      <c r="M222" s="549">
        <v>6287.2</v>
      </c>
      <c r="N222" s="549">
        <v>1840.36</v>
      </c>
      <c r="P222" s="549">
        <v>100</v>
      </c>
      <c r="Q222" s="549">
        <v>8127.56</v>
      </c>
    </row>
    <row r="223" spans="1:17" x14ac:dyDescent="0.25">
      <c r="A223" s="549" t="s">
        <v>1071</v>
      </c>
      <c r="B223" s="549" t="s">
        <v>1072</v>
      </c>
      <c r="C223" s="549" t="s">
        <v>729</v>
      </c>
      <c r="D223" s="549" t="s">
        <v>730</v>
      </c>
      <c r="E223" s="549" t="s">
        <v>977</v>
      </c>
      <c r="F223" s="549" t="s">
        <v>53</v>
      </c>
      <c r="G223" s="549" t="s">
        <v>1145</v>
      </c>
      <c r="H223" s="549" t="s">
        <v>729</v>
      </c>
      <c r="I223" s="549" t="s">
        <v>976</v>
      </c>
      <c r="J223" s="549" t="s">
        <v>976</v>
      </c>
      <c r="L223" s="549">
        <v>83274.149999999994</v>
      </c>
      <c r="M223" s="549">
        <v>6287.2</v>
      </c>
      <c r="N223" s="549">
        <v>1840.36</v>
      </c>
      <c r="P223" s="549">
        <v>100</v>
      </c>
      <c r="Q223" s="549">
        <v>8127.56</v>
      </c>
    </row>
    <row r="224" spans="1:17" x14ac:dyDescent="0.25">
      <c r="A224" s="549" t="s">
        <v>1071</v>
      </c>
      <c r="B224" s="549" t="s">
        <v>1072</v>
      </c>
      <c r="C224" s="549" t="s">
        <v>729</v>
      </c>
      <c r="D224" s="549" t="s">
        <v>730</v>
      </c>
      <c r="E224" s="549" t="s">
        <v>977</v>
      </c>
      <c r="F224" s="549" t="s">
        <v>53</v>
      </c>
      <c r="G224" s="549" t="s">
        <v>1146</v>
      </c>
      <c r="H224" s="549" t="s">
        <v>729</v>
      </c>
      <c r="I224" s="549" t="s">
        <v>976</v>
      </c>
      <c r="J224" s="549" t="s">
        <v>976</v>
      </c>
      <c r="L224" s="549">
        <v>83274.149999999994</v>
      </c>
      <c r="M224" s="549">
        <v>6287.2</v>
      </c>
      <c r="N224" s="549">
        <v>1840.36</v>
      </c>
      <c r="P224" s="549">
        <v>100</v>
      </c>
      <c r="Q224" s="549">
        <v>8127.56</v>
      </c>
    </row>
    <row r="225" spans="1:17" x14ac:dyDescent="0.25">
      <c r="A225" s="549" t="s">
        <v>1071</v>
      </c>
      <c r="B225" s="549" t="s">
        <v>1072</v>
      </c>
      <c r="C225" s="549" t="s">
        <v>725</v>
      </c>
      <c r="D225" s="549" t="s">
        <v>726</v>
      </c>
      <c r="E225" s="549" t="s">
        <v>977</v>
      </c>
      <c r="F225" s="549" t="s">
        <v>53</v>
      </c>
      <c r="G225" s="549" t="s">
        <v>1133</v>
      </c>
      <c r="H225" s="549" t="s">
        <v>725</v>
      </c>
      <c r="I225" s="549" t="s">
        <v>976</v>
      </c>
      <c r="J225" s="549" t="s">
        <v>976</v>
      </c>
      <c r="L225" s="549">
        <v>27559.39</v>
      </c>
      <c r="M225" s="549">
        <v>2080.73</v>
      </c>
      <c r="N225" s="549">
        <v>609.05999999999995</v>
      </c>
      <c r="P225" s="549">
        <v>100</v>
      </c>
      <c r="Q225" s="549">
        <v>2689.79</v>
      </c>
    </row>
    <row r="226" spans="1:17" x14ac:dyDescent="0.25">
      <c r="A226" s="549" t="s">
        <v>1071</v>
      </c>
      <c r="B226" s="549" t="s">
        <v>1072</v>
      </c>
      <c r="C226" s="549" t="s">
        <v>735</v>
      </c>
      <c r="D226" s="549" t="s">
        <v>736</v>
      </c>
      <c r="E226" s="549" t="s">
        <v>977</v>
      </c>
      <c r="F226" s="549" t="s">
        <v>53</v>
      </c>
      <c r="G226" s="549" t="s">
        <v>1140</v>
      </c>
      <c r="H226" s="549" t="s">
        <v>731</v>
      </c>
      <c r="I226" s="549" t="s">
        <v>976</v>
      </c>
      <c r="J226" s="549" t="s">
        <v>976</v>
      </c>
      <c r="L226" s="549">
        <v>81368.89</v>
      </c>
      <c r="M226" s="549">
        <v>6143.35</v>
      </c>
      <c r="N226" s="549">
        <v>1798.25</v>
      </c>
      <c r="P226" s="549">
        <v>0</v>
      </c>
      <c r="Q226" s="549">
        <v>0</v>
      </c>
    </row>
    <row r="227" spans="1:17" x14ac:dyDescent="0.25">
      <c r="A227" s="549" t="s">
        <v>1071</v>
      </c>
      <c r="B227" s="549" t="s">
        <v>1072</v>
      </c>
      <c r="C227" s="549" t="s">
        <v>735</v>
      </c>
      <c r="D227" s="549" t="s">
        <v>736</v>
      </c>
      <c r="E227" s="549" t="s">
        <v>977</v>
      </c>
      <c r="F227" s="549" t="s">
        <v>53</v>
      </c>
      <c r="G227" s="549" t="s">
        <v>1141</v>
      </c>
      <c r="H227" s="549" t="s">
        <v>731</v>
      </c>
      <c r="I227" s="549" t="s">
        <v>976</v>
      </c>
      <c r="J227" s="549" t="s">
        <v>976</v>
      </c>
      <c r="L227" s="549">
        <v>81368.89</v>
      </c>
      <c r="M227" s="549">
        <v>6143.35</v>
      </c>
      <c r="N227" s="549">
        <v>1798.25</v>
      </c>
      <c r="P227" s="549">
        <v>0</v>
      </c>
      <c r="Q227" s="549">
        <v>0</v>
      </c>
    </row>
    <row r="228" spans="1:17" x14ac:dyDescent="0.25">
      <c r="A228" s="549" t="s">
        <v>1071</v>
      </c>
      <c r="B228" s="549" t="s">
        <v>1072</v>
      </c>
      <c r="C228" s="549" t="s">
        <v>735</v>
      </c>
      <c r="D228" s="549" t="s">
        <v>736</v>
      </c>
      <c r="E228" s="549" t="s">
        <v>977</v>
      </c>
      <c r="F228" s="549" t="s">
        <v>53</v>
      </c>
      <c r="G228" s="549" t="s">
        <v>1142</v>
      </c>
      <c r="H228" s="549" t="s">
        <v>731</v>
      </c>
      <c r="I228" s="549" t="s">
        <v>976</v>
      </c>
      <c r="J228" s="549" t="s">
        <v>976</v>
      </c>
      <c r="L228" s="549">
        <v>81368.89</v>
      </c>
      <c r="M228" s="549">
        <v>6143.35</v>
      </c>
      <c r="N228" s="549">
        <v>1798.25</v>
      </c>
      <c r="P228" s="549">
        <v>0</v>
      </c>
      <c r="Q228" s="549">
        <v>0</v>
      </c>
    </row>
    <row r="229" spans="1:17" x14ac:dyDescent="0.25">
      <c r="A229" s="549" t="s">
        <v>1147</v>
      </c>
      <c r="B229" s="549" t="s">
        <v>1148</v>
      </c>
      <c r="C229" s="549" t="s">
        <v>539</v>
      </c>
      <c r="D229" s="549" t="s">
        <v>1149</v>
      </c>
      <c r="E229" s="549" t="s">
        <v>973</v>
      </c>
      <c r="F229" s="549" t="s">
        <v>53</v>
      </c>
      <c r="G229" s="549" t="s">
        <v>1133</v>
      </c>
      <c r="H229" s="549" t="s">
        <v>539</v>
      </c>
      <c r="I229" s="549" t="s">
        <v>976</v>
      </c>
      <c r="J229" s="549" t="s">
        <v>976</v>
      </c>
      <c r="L229" s="549">
        <v>106896</v>
      </c>
      <c r="M229" s="549">
        <v>8070.65</v>
      </c>
      <c r="N229" s="549">
        <v>6135.83</v>
      </c>
      <c r="P229" s="549">
        <v>0</v>
      </c>
      <c r="Q229" s="549">
        <v>0</v>
      </c>
    </row>
    <row r="230" spans="1:17" x14ac:dyDescent="0.25">
      <c r="A230" s="549" t="s">
        <v>1147</v>
      </c>
      <c r="B230" s="549" t="s">
        <v>1148</v>
      </c>
      <c r="C230" s="549" t="s">
        <v>539</v>
      </c>
      <c r="D230" s="549" t="s">
        <v>1149</v>
      </c>
      <c r="E230" s="549" t="s">
        <v>973</v>
      </c>
      <c r="F230" s="549" t="s">
        <v>53</v>
      </c>
      <c r="G230" s="549" t="s">
        <v>1144</v>
      </c>
      <c r="H230" s="549" t="s">
        <v>539</v>
      </c>
      <c r="I230" s="549" t="s">
        <v>976</v>
      </c>
      <c r="J230" s="549" t="s">
        <v>976</v>
      </c>
      <c r="L230" s="549">
        <v>106896</v>
      </c>
      <c r="M230" s="549">
        <v>8070.65</v>
      </c>
      <c r="N230" s="549">
        <v>6135.83</v>
      </c>
      <c r="P230" s="549">
        <v>0</v>
      </c>
      <c r="Q230" s="549">
        <v>0</v>
      </c>
    </row>
    <row r="231" spans="1:17" x14ac:dyDescent="0.25">
      <c r="A231" s="549" t="s">
        <v>1147</v>
      </c>
      <c r="B231" s="549" t="s">
        <v>1148</v>
      </c>
      <c r="C231" s="549" t="s">
        <v>539</v>
      </c>
      <c r="D231" s="549" t="s">
        <v>1149</v>
      </c>
      <c r="E231" s="549" t="s">
        <v>973</v>
      </c>
      <c r="F231" s="549" t="s">
        <v>53</v>
      </c>
      <c r="G231" s="549" t="s">
        <v>1145</v>
      </c>
      <c r="H231" s="549" t="s">
        <v>539</v>
      </c>
      <c r="I231" s="549" t="s">
        <v>976</v>
      </c>
      <c r="J231" s="549" t="s">
        <v>976</v>
      </c>
      <c r="L231" s="549">
        <v>106896</v>
      </c>
      <c r="M231" s="549">
        <v>8070.65</v>
      </c>
      <c r="N231" s="549">
        <v>6135.83</v>
      </c>
      <c r="P231" s="549">
        <v>0</v>
      </c>
      <c r="Q231" s="549">
        <v>0</v>
      </c>
    </row>
    <row r="232" spans="1:17" x14ac:dyDescent="0.25">
      <c r="A232" s="549" t="s">
        <v>1147</v>
      </c>
      <c r="B232" s="549" t="s">
        <v>1148</v>
      </c>
      <c r="C232" s="549" t="s">
        <v>539</v>
      </c>
      <c r="D232" s="549" t="s">
        <v>1149</v>
      </c>
      <c r="E232" s="549" t="s">
        <v>977</v>
      </c>
      <c r="F232" s="549" t="s">
        <v>53</v>
      </c>
      <c r="G232" s="549" t="s">
        <v>1133</v>
      </c>
      <c r="H232" s="549" t="s">
        <v>539</v>
      </c>
      <c r="I232" s="549" t="s">
        <v>976</v>
      </c>
      <c r="J232" s="549" t="s">
        <v>976</v>
      </c>
      <c r="L232" s="549">
        <v>106896</v>
      </c>
      <c r="M232" s="549">
        <v>8070.65</v>
      </c>
      <c r="N232" s="549">
        <v>2362.4</v>
      </c>
      <c r="P232" s="549">
        <v>100</v>
      </c>
      <c r="Q232" s="549">
        <v>10433.049999999999</v>
      </c>
    </row>
    <row r="233" spans="1:17" x14ac:dyDescent="0.25">
      <c r="A233" s="549" t="s">
        <v>1147</v>
      </c>
      <c r="B233" s="549" t="s">
        <v>1148</v>
      </c>
      <c r="C233" s="549" t="s">
        <v>539</v>
      </c>
      <c r="D233" s="549" t="s">
        <v>1149</v>
      </c>
      <c r="E233" s="549" t="s">
        <v>977</v>
      </c>
      <c r="F233" s="549" t="s">
        <v>53</v>
      </c>
      <c r="G233" s="549" t="s">
        <v>1144</v>
      </c>
      <c r="H233" s="549" t="s">
        <v>539</v>
      </c>
      <c r="I233" s="549" t="s">
        <v>976</v>
      </c>
      <c r="J233" s="549" t="s">
        <v>976</v>
      </c>
      <c r="L233" s="549">
        <v>106896</v>
      </c>
      <c r="M233" s="549">
        <v>8070.65</v>
      </c>
      <c r="N233" s="549">
        <v>2362.4</v>
      </c>
      <c r="P233" s="549">
        <v>100</v>
      </c>
      <c r="Q233" s="549">
        <v>10433.049999999999</v>
      </c>
    </row>
    <row r="234" spans="1:17" x14ac:dyDescent="0.25">
      <c r="A234" s="549" t="s">
        <v>1147</v>
      </c>
      <c r="B234" s="549" t="s">
        <v>1148</v>
      </c>
      <c r="C234" s="549" t="s">
        <v>539</v>
      </c>
      <c r="D234" s="549" t="s">
        <v>1149</v>
      </c>
      <c r="E234" s="549" t="s">
        <v>977</v>
      </c>
      <c r="F234" s="549" t="s">
        <v>53</v>
      </c>
      <c r="G234" s="549" t="s">
        <v>1145</v>
      </c>
      <c r="H234" s="549" t="s">
        <v>539</v>
      </c>
      <c r="I234" s="549" t="s">
        <v>976</v>
      </c>
      <c r="J234" s="549" t="s">
        <v>976</v>
      </c>
      <c r="L234" s="549">
        <v>106896</v>
      </c>
      <c r="M234" s="549">
        <v>8070.65</v>
      </c>
      <c r="N234" s="549">
        <v>2362.4</v>
      </c>
      <c r="P234" s="549">
        <v>100</v>
      </c>
      <c r="Q234" s="549">
        <v>10433.049999999999</v>
      </c>
    </row>
    <row r="235" spans="1:17" x14ac:dyDescent="0.25">
      <c r="A235" s="549" t="s">
        <v>1083</v>
      </c>
      <c r="B235" s="549" t="s">
        <v>584</v>
      </c>
      <c r="C235" s="549" t="s">
        <v>758</v>
      </c>
      <c r="D235" s="549" t="s">
        <v>759</v>
      </c>
      <c r="E235" s="549" t="s">
        <v>977</v>
      </c>
      <c r="F235" s="549" t="s">
        <v>53</v>
      </c>
      <c r="G235" s="549" t="s">
        <v>1125</v>
      </c>
      <c r="H235" s="549" t="s">
        <v>742</v>
      </c>
      <c r="I235" s="549" t="s">
        <v>976</v>
      </c>
      <c r="J235" s="549" t="s">
        <v>976</v>
      </c>
      <c r="L235" s="549">
        <v>118009.94</v>
      </c>
      <c r="M235" s="549">
        <v>8909.75</v>
      </c>
      <c r="N235" s="549">
        <v>2608.02</v>
      </c>
      <c r="P235" s="549">
        <v>33.21</v>
      </c>
      <c r="Q235" s="549">
        <v>3825.05</v>
      </c>
    </row>
    <row r="236" spans="1:17" x14ac:dyDescent="0.25">
      <c r="A236" s="549" t="s">
        <v>1083</v>
      </c>
      <c r="B236" s="549" t="s">
        <v>584</v>
      </c>
      <c r="C236" s="549" t="s">
        <v>785</v>
      </c>
      <c r="D236" s="549" t="s">
        <v>786</v>
      </c>
      <c r="E236" s="549" t="s">
        <v>977</v>
      </c>
      <c r="F236" s="549" t="s">
        <v>53</v>
      </c>
      <c r="G236" s="549" t="s">
        <v>1129</v>
      </c>
      <c r="H236" s="549" t="s">
        <v>785</v>
      </c>
      <c r="I236" s="549" t="s">
        <v>976</v>
      </c>
      <c r="J236" s="549" t="s">
        <v>976</v>
      </c>
      <c r="L236" s="549">
        <v>78652.28</v>
      </c>
      <c r="M236" s="549">
        <v>5938.25</v>
      </c>
      <c r="N236" s="549">
        <v>1738.22</v>
      </c>
      <c r="P236" s="549">
        <v>94.85</v>
      </c>
      <c r="Q236" s="549">
        <v>7281.13</v>
      </c>
    </row>
    <row r="237" spans="1:17" x14ac:dyDescent="0.25">
      <c r="A237" s="549" t="s">
        <v>1083</v>
      </c>
      <c r="B237" s="549" t="s">
        <v>584</v>
      </c>
      <c r="C237" s="549" t="s">
        <v>780</v>
      </c>
      <c r="D237" s="549" t="s">
        <v>781</v>
      </c>
      <c r="E237" s="549" t="s">
        <v>973</v>
      </c>
      <c r="F237" s="549" t="s">
        <v>53</v>
      </c>
      <c r="G237" s="549" t="s">
        <v>1133</v>
      </c>
      <c r="H237" s="549" t="s">
        <v>780</v>
      </c>
      <c r="I237" s="549" t="s">
        <v>976</v>
      </c>
      <c r="J237" s="549" t="s">
        <v>976</v>
      </c>
      <c r="L237" s="549">
        <v>118589.4</v>
      </c>
      <c r="M237" s="549">
        <v>8953.5</v>
      </c>
      <c r="N237" s="549">
        <v>6807.03</v>
      </c>
      <c r="P237" s="549">
        <v>9.99</v>
      </c>
      <c r="Q237" s="549">
        <v>1574.48</v>
      </c>
    </row>
    <row r="238" spans="1:17" x14ac:dyDescent="0.25">
      <c r="A238" s="549" t="s">
        <v>1083</v>
      </c>
      <c r="B238" s="549" t="s">
        <v>584</v>
      </c>
      <c r="C238" s="549" t="s">
        <v>780</v>
      </c>
      <c r="D238" s="549" t="s">
        <v>781</v>
      </c>
      <c r="E238" s="549" t="s">
        <v>973</v>
      </c>
      <c r="F238" s="549" t="s">
        <v>53</v>
      </c>
      <c r="G238" s="549" t="s">
        <v>1144</v>
      </c>
      <c r="H238" s="549" t="s">
        <v>780</v>
      </c>
      <c r="I238" s="549" t="s">
        <v>976</v>
      </c>
      <c r="J238" s="549" t="s">
        <v>976</v>
      </c>
      <c r="L238" s="549">
        <v>118589.4</v>
      </c>
      <c r="M238" s="549">
        <v>8953.5</v>
      </c>
      <c r="N238" s="549">
        <v>6807.03</v>
      </c>
      <c r="P238" s="549">
        <v>9.99</v>
      </c>
      <c r="Q238" s="549">
        <v>1574.48</v>
      </c>
    </row>
    <row r="239" spans="1:17" x14ac:dyDescent="0.25">
      <c r="A239" s="549" t="s">
        <v>1083</v>
      </c>
      <c r="B239" s="549" t="s">
        <v>584</v>
      </c>
      <c r="C239" s="549" t="s">
        <v>780</v>
      </c>
      <c r="D239" s="549" t="s">
        <v>781</v>
      </c>
      <c r="E239" s="549" t="s">
        <v>977</v>
      </c>
      <c r="F239" s="549" t="s">
        <v>53</v>
      </c>
      <c r="G239" s="549" t="s">
        <v>1133</v>
      </c>
      <c r="H239" s="549" t="s">
        <v>780</v>
      </c>
      <c r="I239" s="549" t="s">
        <v>976</v>
      </c>
      <c r="J239" s="549" t="s">
        <v>976</v>
      </c>
      <c r="L239" s="549">
        <v>118589.4</v>
      </c>
      <c r="M239" s="549">
        <v>8953.5</v>
      </c>
      <c r="N239" s="549">
        <v>2620.83</v>
      </c>
      <c r="P239" s="549">
        <v>90.01</v>
      </c>
      <c r="Q239" s="549">
        <v>10418.049999999999</v>
      </c>
    </row>
    <row r="240" spans="1:17" x14ac:dyDescent="0.25">
      <c r="A240" s="549" t="s">
        <v>1083</v>
      </c>
      <c r="B240" s="549" t="s">
        <v>584</v>
      </c>
      <c r="C240" s="549" t="s">
        <v>780</v>
      </c>
      <c r="D240" s="549" t="s">
        <v>781</v>
      </c>
      <c r="E240" s="549" t="s">
        <v>977</v>
      </c>
      <c r="F240" s="549" t="s">
        <v>53</v>
      </c>
      <c r="G240" s="549" t="s">
        <v>1144</v>
      </c>
      <c r="H240" s="549" t="s">
        <v>780</v>
      </c>
      <c r="I240" s="549" t="s">
        <v>976</v>
      </c>
      <c r="J240" s="549" t="s">
        <v>976</v>
      </c>
      <c r="L240" s="549">
        <v>118589.4</v>
      </c>
      <c r="M240" s="549">
        <v>8953.5</v>
      </c>
      <c r="N240" s="549">
        <v>2620.83</v>
      </c>
      <c r="P240" s="549">
        <v>90.01</v>
      </c>
      <c r="Q240" s="549">
        <v>10418.049999999999</v>
      </c>
    </row>
    <row r="241" spans="1:17" x14ac:dyDescent="0.25">
      <c r="A241" s="549" t="s">
        <v>1083</v>
      </c>
      <c r="B241" s="549" t="s">
        <v>584</v>
      </c>
      <c r="C241" s="549" t="s">
        <v>742</v>
      </c>
      <c r="D241" s="549" t="s">
        <v>743</v>
      </c>
      <c r="E241" s="549" t="s">
        <v>977</v>
      </c>
      <c r="F241" s="549" t="s">
        <v>53</v>
      </c>
      <c r="G241" s="549" t="s">
        <v>1125</v>
      </c>
      <c r="H241" s="549" t="s">
        <v>742</v>
      </c>
      <c r="I241" s="549" t="s">
        <v>976</v>
      </c>
      <c r="J241" s="549" t="s">
        <v>976</v>
      </c>
      <c r="L241" s="549">
        <v>118009.94</v>
      </c>
      <c r="M241" s="549">
        <v>8909.75</v>
      </c>
      <c r="N241" s="549">
        <v>2608.02</v>
      </c>
      <c r="P241" s="549">
        <v>40.82</v>
      </c>
      <c r="Q241" s="549">
        <v>4701.55</v>
      </c>
    </row>
    <row r="242" spans="1:17" x14ac:dyDescent="0.25">
      <c r="A242" s="549" t="s">
        <v>1083</v>
      </c>
      <c r="B242" s="549" t="s">
        <v>584</v>
      </c>
      <c r="C242" s="549" t="s">
        <v>760</v>
      </c>
      <c r="D242" s="549" t="s">
        <v>761</v>
      </c>
      <c r="E242" s="549" t="s">
        <v>977</v>
      </c>
      <c r="F242" s="549" t="s">
        <v>53</v>
      </c>
      <c r="G242" s="549" t="s">
        <v>1125</v>
      </c>
      <c r="H242" s="549" t="s">
        <v>742</v>
      </c>
      <c r="I242" s="549" t="s">
        <v>976</v>
      </c>
      <c r="J242" s="549" t="s">
        <v>976</v>
      </c>
      <c r="L242" s="549">
        <v>118009.94</v>
      </c>
      <c r="M242" s="549">
        <v>8909.75</v>
      </c>
      <c r="N242" s="549">
        <v>2608.02</v>
      </c>
      <c r="P242" s="549">
        <v>25.97</v>
      </c>
      <c r="Q242" s="549">
        <v>2991.16</v>
      </c>
    </row>
    <row r="243" spans="1:17" x14ac:dyDescent="0.25">
      <c r="A243" s="549" t="s">
        <v>1091</v>
      </c>
      <c r="B243" s="549" t="s">
        <v>1092</v>
      </c>
      <c r="C243" s="549" t="s">
        <v>855</v>
      </c>
      <c r="D243" s="549" t="s">
        <v>856</v>
      </c>
      <c r="E243" s="549" t="s">
        <v>977</v>
      </c>
      <c r="F243" s="549" t="s">
        <v>53</v>
      </c>
      <c r="G243" s="549" t="s">
        <v>1150</v>
      </c>
      <c r="H243" s="549" t="s">
        <v>855</v>
      </c>
      <c r="I243" s="549" t="s">
        <v>976</v>
      </c>
      <c r="J243" s="549" t="s">
        <v>976</v>
      </c>
      <c r="L243" s="549">
        <v>138142.20000000001</v>
      </c>
      <c r="M243" s="549">
        <v>10429.74</v>
      </c>
      <c r="N243" s="549">
        <v>3052.94</v>
      </c>
      <c r="P243" s="549">
        <v>100</v>
      </c>
      <c r="Q243" s="549">
        <v>13482.68</v>
      </c>
    </row>
    <row r="244" spans="1:17" x14ac:dyDescent="0.25">
      <c r="A244" s="549" t="s">
        <v>1091</v>
      </c>
      <c r="B244" s="549" t="s">
        <v>1092</v>
      </c>
      <c r="C244" s="549" t="s">
        <v>855</v>
      </c>
      <c r="D244" s="549" t="s">
        <v>856</v>
      </c>
      <c r="E244" s="549" t="s">
        <v>973</v>
      </c>
      <c r="F244" s="549" t="s">
        <v>53</v>
      </c>
      <c r="G244" s="549" t="s">
        <v>1150</v>
      </c>
      <c r="H244" s="549" t="s">
        <v>855</v>
      </c>
      <c r="I244" s="549" t="s">
        <v>976</v>
      </c>
      <c r="J244" s="549" t="s">
        <v>976</v>
      </c>
      <c r="L244" s="549">
        <v>138142.20000000001</v>
      </c>
      <c r="M244" s="549">
        <v>10429.74</v>
      </c>
      <c r="N244" s="549">
        <v>7929.36</v>
      </c>
      <c r="P244" s="549">
        <v>0</v>
      </c>
      <c r="Q244" s="549">
        <v>0</v>
      </c>
    </row>
    <row r="245" spans="1:17" x14ac:dyDescent="0.25">
      <c r="A245" s="549" t="s">
        <v>1151</v>
      </c>
      <c r="B245" s="549" t="s">
        <v>791</v>
      </c>
      <c r="C245" s="549" t="s">
        <v>797</v>
      </c>
      <c r="D245" s="549" t="s">
        <v>798</v>
      </c>
      <c r="E245" s="549" t="s">
        <v>977</v>
      </c>
      <c r="F245" s="549" t="s">
        <v>53</v>
      </c>
      <c r="G245" s="549" t="s">
        <v>1152</v>
      </c>
      <c r="H245" s="549" t="s">
        <v>797</v>
      </c>
      <c r="I245" s="549" t="s">
        <v>976</v>
      </c>
      <c r="J245" s="549" t="s">
        <v>976</v>
      </c>
      <c r="L245" s="549">
        <v>138142.22</v>
      </c>
      <c r="M245" s="549">
        <v>10429.74</v>
      </c>
      <c r="N245" s="549">
        <v>3052.94</v>
      </c>
      <c r="P245" s="549">
        <v>100</v>
      </c>
      <c r="Q245" s="549">
        <v>13482.68</v>
      </c>
    </row>
    <row r="246" spans="1:17" x14ac:dyDescent="0.25">
      <c r="A246" s="549" t="s">
        <v>1153</v>
      </c>
      <c r="B246" s="549" t="s">
        <v>585</v>
      </c>
      <c r="C246" s="549" t="s">
        <v>799</v>
      </c>
      <c r="D246" s="549" t="s">
        <v>800</v>
      </c>
      <c r="E246" s="549" t="s">
        <v>977</v>
      </c>
      <c r="F246" s="549" t="s">
        <v>53</v>
      </c>
      <c r="G246" s="549" t="s">
        <v>1127</v>
      </c>
      <c r="H246" s="549" t="s">
        <v>799</v>
      </c>
      <c r="I246" s="549" t="s">
        <v>976</v>
      </c>
      <c r="J246" s="549" t="s">
        <v>976</v>
      </c>
      <c r="L246" s="549">
        <v>139509.97</v>
      </c>
      <c r="M246" s="549">
        <v>10533</v>
      </c>
      <c r="N246" s="549">
        <v>3083.17</v>
      </c>
      <c r="P246" s="549">
        <v>100</v>
      </c>
      <c r="Q246" s="549">
        <v>13616.17</v>
      </c>
    </row>
    <row r="247" spans="1:17" x14ac:dyDescent="0.25">
      <c r="A247" s="549" t="s">
        <v>1154</v>
      </c>
      <c r="B247" s="549" t="s">
        <v>1155</v>
      </c>
      <c r="C247" s="549" t="s">
        <v>537</v>
      </c>
      <c r="D247" s="549" t="s">
        <v>1156</v>
      </c>
      <c r="E247" s="549" t="s">
        <v>973</v>
      </c>
      <c r="F247" s="549" t="s">
        <v>53</v>
      </c>
      <c r="G247" s="549" t="s">
        <v>1125</v>
      </c>
      <c r="H247" s="549" t="s">
        <v>537</v>
      </c>
      <c r="I247" s="549" t="s">
        <v>1096</v>
      </c>
      <c r="J247" s="549" t="s">
        <v>1096</v>
      </c>
      <c r="L247" s="549">
        <v>116841.52</v>
      </c>
      <c r="M247" s="549">
        <v>0</v>
      </c>
      <c r="N247" s="549">
        <v>0</v>
      </c>
      <c r="P247" s="549">
        <v>98.19</v>
      </c>
      <c r="Q247" s="549">
        <v>0</v>
      </c>
    </row>
    <row r="248" spans="1:17" x14ac:dyDescent="0.25">
      <c r="A248" s="549" t="s">
        <v>1154</v>
      </c>
      <c r="B248" s="549" t="s">
        <v>1155</v>
      </c>
      <c r="C248" s="549" t="s">
        <v>537</v>
      </c>
      <c r="D248" s="549" t="s">
        <v>1156</v>
      </c>
      <c r="E248" s="549" t="s">
        <v>977</v>
      </c>
      <c r="F248" s="549" t="s">
        <v>53</v>
      </c>
      <c r="G248" s="549" t="s">
        <v>1125</v>
      </c>
      <c r="H248" s="549" t="s">
        <v>537</v>
      </c>
      <c r="I248" s="549" t="s">
        <v>1096</v>
      </c>
      <c r="J248" s="549" t="s">
        <v>1096</v>
      </c>
      <c r="L248" s="549">
        <v>116841.52</v>
      </c>
      <c r="M248" s="549">
        <v>0</v>
      </c>
      <c r="N248" s="549">
        <v>0</v>
      </c>
      <c r="P248" s="549">
        <v>1.81</v>
      </c>
      <c r="Q248" s="549">
        <v>0</v>
      </c>
    </row>
    <row r="249" spans="1:17" x14ac:dyDescent="0.25">
      <c r="A249" s="549" t="s">
        <v>1108</v>
      </c>
      <c r="B249" s="549" t="s">
        <v>1109</v>
      </c>
      <c r="C249" s="549" t="s">
        <v>1047</v>
      </c>
      <c r="D249" s="549" t="s">
        <v>494</v>
      </c>
      <c r="E249" s="549" t="s">
        <v>973</v>
      </c>
      <c r="F249" s="549" t="s">
        <v>53</v>
      </c>
      <c r="G249" s="549" t="s">
        <v>1135</v>
      </c>
      <c r="H249" s="549" t="s">
        <v>1047</v>
      </c>
      <c r="I249" s="549" t="s">
        <v>976</v>
      </c>
      <c r="J249" s="549" t="s">
        <v>976</v>
      </c>
      <c r="L249" s="549">
        <v>0.01</v>
      </c>
      <c r="M249" s="549">
        <v>0</v>
      </c>
      <c r="N249" s="549">
        <v>0</v>
      </c>
      <c r="P249" s="549">
        <v>1.97</v>
      </c>
      <c r="Q249" s="549">
        <v>0</v>
      </c>
    </row>
    <row r="250" spans="1:17" x14ac:dyDescent="0.25">
      <c r="A250" s="549" t="s">
        <v>1108</v>
      </c>
      <c r="B250" s="549" t="s">
        <v>1109</v>
      </c>
      <c r="C250" s="549" t="s">
        <v>1047</v>
      </c>
      <c r="D250" s="549" t="s">
        <v>494</v>
      </c>
      <c r="E250" s="549" t="s">
        <v>977</v>
      </c>
      <c r="F250" s="549" t="s">
        <v>53</v>
      </c>
      <c r="G250" s="549" t="s">
        <v>1135</v>
      </c>
      <c r="H250" s="549" t="s">
        <v>1047</v>
      </c>
      <c r="I250" s="549" t="s">
        <v>976</v>
      </c>
      <c r="J250" s="549" t="s">
        <v>976</v>
      </c>
      <c r="L250" s="549">
        <v>0.01</v>
      </c>
      <c r="M250" s="549">
        <v>0</v>
      </c>
      <c r="N250" s="549">
        <v>0</v>
      </c>
      <c r="P250" s="549">
        <v>15.23</v>
      </c>
      <c r="Q250" s="549">
        <v>0</v>
      </c>
    </row>
    <row r="251" spans="1:17" x14ac:dyDescent="0.25">
      <c r="A251" s="549" t="s">
        <v>1111</v>
      </c>
      <c r="B251" s="549" t="s">
        <v>1112</v>
      </c>
      <c r="C251" s="549" t="s">
        <v>840</v>
      </c>
      <c r="D251" s="549" t="s">
        <v>841</v>
      </c>
      <c r="E251" s="549" t="s">
        <v>977</v>
      </c>
      <c r="F251" s="549" t="s">
        <v>53</v>
      </c>
      <c r="G251" s="549" t="s">
        <v>1145</v>
      </c>
      <c r="H251" s="549" t="s">
        <v>840</v>
      </c>
      <c r="I251" s="549" t="s">
        <v>976</v>
      </c>
      <c r="J251" s="549" t="s">
        <v>976</v>
      </c>
      <c r="L251" s="549">
        <v>257893.07</v>
      </c>
      <c r="M251" s="549">
        <v>19470.93</v>
      </c>
      <c r="N251" s="549">
        <v>5699.44</v>
      </c>
      <c r="P251" s="549">
        <v>100</v>
      </c>
      <c r="Q251" s="549">
        <v>25170.37</v>
      </c>
    </row>
    <row r="252" spans="1:17" x14ac:dyDescent="0.25">
      <c r="A252" s="549" t="s">
        <v>1111</v>
      </c>
      <c r="B252" s="549" t="s">
        <v>1112</v>
      </c>
      <c r="C252" s="549" t="s">
        <v>833</v>
      </c>
      <c r="D252" s="549" t="s">
        <v>1130</v>
      </c>
      <c r="E252" s="549" t="s">
        <v>977</v>
      </c>
      <c r="F252" s="549" t="s">
        <v>53</v>
      </c>
      <c r="G252" s="549" t="s">
        <v>1131</v>
      </c>
      <c r="H252" s="549" t="s">
        <v>833</v>
      </c>
      <c r="I252" s="549" t="s">
        <v>976</v>
      </c>
      <c r="J252" s="549" t="s">
        <v>976</v>
      </c>
      <c r="L252" s="549">
        <v>185841.84</v>
      </c>
      <c r="M252" s="549">
        <v>14031.06</v>
      </c>
      <c r="N252" s="549">
        <v>4107.1000000000004</v>
      </c>
      <c r="P252" s="549">
        <v>88.42</v>
      </c>
      <c r="Q252" s="549">
        <v>16037.76</v>
      </c>
    </row>
    <row r="253" spans="1:17" x14ac:dyDescent="0.25">
      <c r="A253" s="549" t="s">
        <v>1111</v>
      </c>
      <c r="B253" s="549" t="s">
        <v>1112</v>
      </c>
      <c r="C253" s="549" t="s">
        <v>836</v>
      </c>
      <c r="D253" s="549" t="s">
        <v>837</v>
      </c>
      <c r="E253" s="549" t="s">
        <v>977</v>
      </c>
      <c r="F253" s="549" t="s">
        <v>53</v>
      </c>
      <c r="G253" s="549" t="s">
        <v>1126</v>
      </c>
      <c r="H253" s="549" t="s">
        <v>836</v>
      </c>
      <c r="I253" s="549" t="s">
        <v>976</v>
      </c>
      <c r="J253" s="549" t="s">
        <v>976</v>
      </c>
      <c r="L253" s="549">
        <v>185841.84</v>
      </c>
      <c r="M253" s="549">
        <v>14031.06</v>
      </c>
      <c r="N253" s="549">
        <v>4107.1000000000004</v>
      </c>
      <c r="P253" s="549">
        <v>100</v>
      </c>
      <c r="Q253" s="549">
        <v>18138.16</v>
      </c>
    </row>
    <row r="254" spans="1:17" x14ac:dyDescent="0.25">
      <c r="A254" s="549" t="s">
        <v>1116</v>
      </c>
      <c r="B254" s="549" t="s">
        <v>589</v>
      </c>
      <c r="C254" s="549" t="s">
        <v>851</v>
      </c>
      <c r="D254" s="549" t="s">
        <v>852</v>
      </c>
      <c r="E254" s="549" t="s">
        <v>977</v>
      </c>
      <c r="F254" s="549" t="s">
        <v>53</v>
      </c>
      <c r="G254" s="549" t="s">
        <v>1157</v>
      </c>
      <c r="H254" s="549" t="s">
        <v>851</v>
      </c>
      <c r="I254" s="549" t="s">
        <v>976</v>
      </c>
      <c r="J254" s="549" t="s">
        <v>976</v>
      </c>
      <c r="L254" s="549">
        <v>0</v>
      </c>
      <c r="M254" s="549">
        <v>0</v>
      </c>
      <c r="N254" s="549">
        <v>0</v>
      </c>
      <c r="P254" s="549">
        <v>100</v>
      </c>
      <c r="Q254" s="549">
        <v>0</v>
      </c>
    </row>
    <row r="255" spans="1:17" x14ac:dyDescent="0.25">
      <c r="A255" s="549" t="s">
        <v>1116</v>
      </c>
      <c r="B255" s="549" t="s">
        <v>589</v>
      </c>
      <c r="C255" s="549" t="s">
        <v>851</v>
      </c>
      <c r="D255" s="549" t="s">
        <v>852</v>
      </c>
      <c r="E255" s="549" t="s">
        <v>973</v>
      </c>
      <c r="F255" s="549" t="s">
        <v>53</v>
      </c>
      <c r="G255" s="549" t="s">
        <v>1157</v>
      </c>
      <c r="H255" s="549" t="s">
        <v>851</v>
      </c>
      <c r="I255" s="549" t="s">
        <v>976</v>
      </c>
      <c r="J255" s="549" t="s">
        <v>976</v>
      </c>
      <c r="L255" s="549">
        <v>0</v>
      </c>
      <c r="M255" s="549">
        <v>0</v>
      </c>
      <c r="N255" s="549">
        <v>0</v>
      </c>
      <c r="P255" s="549">
        <v>0</v>
      </c>
      <c r="Q255" s="549">
        <v>0</v>
      </c>
    </row>
    <row r="256" spans="1:17" x14ac:dyDescent="0.25">
      <c r="A256" s="549" t="s">
        <v>1118</v>
      </c>
      <c r="B256" s="549" t="s">
        <v>1119</v>
      </c>
      <c r="C256" s="549" t="s">
        <v>869</v>
      </c>
      <c r="D256" s="549" t="s">
        <v>870</v>
      </c>
      <c r="E256" s="549" t="s">
        <v>977</v>
      </c>
      <c r="F256" s="549" t="s">
        <v>53</v>
      </c>
      <c r="G256" s="549" t="s">
        <v>1138</v>
      </c>
      <c r="H256" s="549" t="s">
        <v>869</v>
      </c>
      <c r="I256" s="549" t="s">
        <v>976</v>
      </c>
      <c r="J256" s="549" t="s">
        <v>976</v>
      </c>
      <c r="L256" s="549">
        <v>0</v>
      </c>
      <c r="M256" s="549">
        <v>0</v>
      </c>
      <c r="N256" s="549">
        <v>0</v>
      </c>
      <c r="P256" s="549">
        <v>100</v>
      </c>
      <c r="Q256" s="549">
        <v>0</v>
      </c>
    </row>
    <row r="257" spans="1:17" x14ac:dyDescent="0.25">
      <c r="A257" s="549" t="s">
        <v>1118</v>
      </c>
      <c r="B257" s="549" t="s">
        <v>1119</v>
      </c>
      <c r="C257" s="549" t="s">
        <v>865</v>
      </c>
      <c r="D257" s="549" t="s">
        <v>866</v>
      </c>
      <c r="E257" s="549" t="s">
        <v>977</v>
      </c>
      <c r="F257" s="549" t="s">
        <v>53</v>
      </c>
      <c r="G257" s="549" t="s">
        <v>1158</v>
      </c>
      <c r="H257" s="549" t="s">
        <v>865</v>
      </c>
      <c r="I257" s="549" t="s">
        <v>976</v>
      </c>
      <c r="J257" s="549" t="s">
        <v>976</v>
      </c>
      <c r="L257" s="549">
        <v>0</v>
      </c>
      <c r="M257" s="549">
        <v>0</v>
      </c>
      <c r="N257" s="549">
        <v>0</v>
      </c>
      <c r="P257" s="549">
        <v>50</v>
      </c>
      <c r="Q257" s="549">
        <v>0</v>
      </c>
    </row>
    <row r="258" spans="1:17" x14ac:dyDescent="0.25">
      <c r="A258" s="549" t="s">
        <v>1118</v>
      </c>
      <c r="B258" s="549" t="s">
        <v>1119</v>
      </c>
      <c r="C258" s="549" t="s">
        <v>873</v>
      </c>
      <c r="D258" s="549" t="s">
        <v>874</v>
      </c>
      <c r="E258" s="549" t="s">
        <v>977</v>
      </c>
      <c r="F258" s="549" t="s">
        <v>53</v>
      </c>
      <c r="G258" s="549" t="s">
        <v>1159</v>
      </c>
      <c r="H258" s="549" t="s">
        <v>873</v>
      </c>
      <c r="I258" s="549" t="s">
        <v>976</v>
      </c>
      <c r="J258" s="549" t="s">
        <v>976</v>
      </c>
      <c r="L258" s="549">
        <v>0</v>
      </c>
      <c r="M258" s="549">
        <v>0</v>
      </c>
      <c r="N258" s="549">
        <v>0</v>
      </c>
      <c r="P258" s="549">
        <v>100</v>
      </c>
      <c r="Q258" s="549">
        <v>0</v>
      </c>
    </row>
    <row r="259" spans="1:17" x14ac:dyDescent="0.25">
      <c r="A259" s="549" t="s">
        <v>971</v>
      </c>
      <c r="B259" s="549" t="s">
        <v>972</v>
      </c>
      <c r="C259" s="549" t="s">
        <v>641</v>
      </c>
      <c r="D259" s="549" t="s">
        <v>642</v>
      </c>
      <c r="E259" s="549" t="s">
        <v>973</v>
      </c>
      <c r="F259" s="549" t="s">
        <v>1160</v>
      </c>
      <c r="G259" s="549" t="s">
        <v>642</v>
      </c>
      <c r="H259" s="549" t="s">
        <v>641</v>
      </c>
      <c r="I259" s="549" t="s">
        <v>976</v>
      </c>
      <c r="J259" s="549" t="s">
        <v>976</v>
      </c>
      <c r="L259" s="549">
        <v>1421349.68</v>
      </c>
      <c r="M259" s="549">
        <v>107311.9</v>
      </c>
      <c r="N259" s="549">
        <v>81585.47</v>
      </c>
      <c r="P259" s="549">
        <v>59.84</v>
      </c>
      <c r="Q259" s="549">
        <v>113036.19</v>
      </c>
    </row>
    <row r="260" spans="1:17" x14ac:dyDescent="0.25">
      <c r="A260" s="549" t="s">
        <v>971</v>
      </c>
      <c r="B260" s="549" t="s">
        <v>972</v>
      </c>
      <c r="C260" s="549" t="s">
        <v>641</v>
      </c>
      <c r="D260" s="549" t="s">
        <v>642</v>
      </c>
      <c r="E260" s="549" t="s">
        <v>973</v>
      </c>
      <c r="F260" s="549" t="s">
        <v>1160</v>
      </c>
      <c r="G260" s="549" t="s">
        <v>653</v>
      </c>
      <c r="H260" s="549" t="s">
        <v>652</v>
      </c>
      <c r="I260" s="549" t="s">
        <v>976</v>
      </c>
      <c r="J260" s="549" t="s">
        <v>976</v>
      </c>
      <c r="L260" s="549">
        <v>2028049.75</v>
      </c>
      <c r="M260" s="549">
        <v>153117.76000000001</v>
      </c>
      <c r="N260" s="549">
        <v>116410.06</v>
      </c>
      <c r="P260" s="549">
        <v>0.53</v>
      </c>
      <c r="Q260" s="549">
        <v>1428.5</v>
      </c>
    </row>
    <row r="261" spans="1:17" x14ac:dyDescent="0.25">
      <c r="A261" s="549" t="s">
        <v>971</v>
      </c>
      <c r="B261" s="549" t="s">
        <v>972</v>
      </c>
      <c r="C261" s="549" t="s">
        <v>641</v>
      </c>
      <c r="D261" s="549" t="s">
        <v>642</v>
      </c>
      <c r="E261" s="549" t="s">
        <v>977</v>
      </c>
      <c r="F261" s="549" t="s">
        <v>1160</v>
      </c>
      <c r="G261" s="549" t="s">
        <v>642</v>
      </c>
      <c r="H261" s="549" t="s">
        <v>641</v>
      </c>
      <c r="I261" s="549" t="s">
        <v>976</v>
      </c>
      <c r="J261" s="549" t="s">
        <v>976</v>
      </c>
      <c r="L261" s="549">
        <v>1421349.68</v>
      </c>
      <c r="M261" s="549">
        <v>107311.9</v>
      </c>
      <c r="N261" s="549">
        <v>31411.83</v>
      </c>
      <c r="P261" s="549">
        <v>40.159999999999997</v>
      </c>
      <c r="Q261" s="549">
        <v>55711.45</v>
      </c>
    </row>
    <row r="262" spans="1:17" x14ac:dyDescent="0.25">
      <c r="A262" s="549" t="s">
        <v>971</v>
      </c>
      <c r="B262" s="549" t="s">
        <v>972</v>
      </c>
      <c r="C262" s="549" t="s">
        <v>641</v>
      </c>
      <c r="D262" s="549" t="s">
        <v>642</v>
      </c>
      <c r="E262" s="549" t="s">
        <v>977</v>
      </c>
      <c r="F262" s="549" t="s">
        <v>1160</v>
      </c>
      <c r="G262" s="549" t="s">
        <v>653</v>
      </c>
      <c r="H262" s="549" t="s">
        <v>652</v>
      </c>
      <c r="I262" s="549" t="s">
        <v>976</v>
      </c>
      <c r="J262" s="549" t="s">
        <v>976</v>
      </c>
      <c r="L262" s="549">
        <v>2028049.75</v>
      </c>
      <c r="M262" s="549">
        <v>153117.76000000001</v>
      </c>
      <c r="N262" s="549">
        <v>44819.9</v>
      </c>
      <c r="P262" s="549">
        <v>0.36</v>
      </c>
      <c r="Q262" s="549">
        <v>712.58</v>
      </c>
    </row>
    <row r="263" spans="1:17" x14ac:dyDescent="0.25">
      <c r="A263" s="549" t="s">
        <v>971</v>
      </c>
      <c r="B263" s="549" t="s">
        <v>972</v>
      </c>
      <c r="C263" s="549" t="s">
        <v>643</v>
      </c>
      <c r="D263" s="549" t="s">
        <v>644</v>
      </c>
      <c r="E263" s="549" t="s">
        <v>973</v>
      </c>
      <c r="F263" s="549" t="s">
        <v>1160</v>
      </c>
      <c r="G263" s="549" t="s">
        <v>644</v>
      </c>
      <c r="H263" s="549" t="s">
        <v>643</v>
      </c>
      <c r="I263" s="549" t="s">
        <v>1161</v>
      </c>
      <c r="J263" s="549" t="s">
        <v>1161</v>
      </c>
      <c r="L263" s="549">
        <v>0</v>
      </c>
      <c r="M263" s="549">
        <v>0</v>
      </c>
      <c r="N263" s="549">
        <v>0</v>
      </c>
      <c r="P263" s="549">
        <v>0</v>
      </c>
      <c r="Q263" s="549">
        <v>0</v>
      </c>
    </row>
    <row r="264" spans="1:17" x14ac:dyDescent="0.25">
      <c r="A264" s="549" t="s">
        <v>971</v>
      </c>
      <c r="B264" s="549" t="s">
        <v>972</v>
      </c>
      <c r="C264" s="549" t="s">
        <v>643</v>
      </c>
      <c r="D264" s="549" t="s">
        <v>644</v>
      </c>
      <c r="E264" s="549" t="s">
        <v>977</v>
      </c>
      <c r="F264" s="549" t="s">
        <v>1160</v>
      </c>
      <c r="G264" s="549" t="s">
        <v>644</v>
      </c>
      <c r="H264" s="549" t="s">
        <v>643</v>
      </c>
      <c r="I264" s="549" t="s">
        <v>1161</v>
      </c>
      <c r="J264" s="549" t="s">
        <v>1161</v>
      </c>
      <c r="L264" s="549">
        <v>0</v>
      </c>
      <c r="M264" s="549">
        <v>0</v>
      </c>
      <c r="N264" s="549">
        <v>0</v>
      </c>
      <c r="P264" s="549">
        <v>100</v>
      </c>
      <c r="Q264" s="549">
        <v>0</v>
      </c>
    </row>
    <row r="265" spans="1:17" x14ac:dyDescent="0.25">
      <c r="A265" s="549" t="s">
        <v>971</v>
      </c>
      <c r="B265" s="549" t="s">
        <v>972</v>
      </c>
      <c r="C265" s="549" t="s">
        <v>646</v>
      </c>
      <c r="D265" s="549" t="s">
        <v>647</v>
      </c>
      <c r="E265" s="549" t="s">
        <v>977</v>
      </c>
      <c r="F265" s="549" t="s">
        <v>1160</v>
      </c>
      <c r="G265" s="549" t="s">
        <v>647</v>
      </c>
      <c r="H265" s="549" t="s">
        <v>646</v>
      </c>
      <c r="I265" s="549" t="s">
        <v>976</v>
      </c>
      <c r="J265" s="549" t="s">
        <v>976</v>
      </c>
      <c r="L265" s="549">
        <v>1443849.68</v>
      </c>
      <c r="M265" s="549">
        <v>109010.65</v>
      </c>
      <c r="N265" s="549">
        <v>31909.08</v>
      </c>
      <c r="P265" s="549">
        <v>61.88</v>
      </c>
      <c r="Q265" s="549">
        <v>87201.13</v>
      </c>
    </row>
    <row r="266" spans="1:17" x14ac:dyDescent="0.25">
      <c r="A266" s="549" t="s">
        <v>971</v>
      </c>
      <c r="B266" s="549" t="s">
        <v>972</v>
      </c>
      <c r="C266" s="549" t="s">
        <v>534</v>
      </c>
      <c r="D266" s="549" t="s">
        <v>645</v>
      </c>
      <c r="E266" s="549" t="s">
        <v>973</v>
      </c>
      <c r="F266" s="549" t="s">
        <v>1160</v>
      </c>
      <c r="G266" s="549" t="s">
        <v>645</v>
      </c>
      <c r="H266" s="549" t="s">
        <v>534</v>
      </c>
      <c r="I266" s="549" t="s">
        <v>976</v>
      </c>
      <c r="J266" s="549" t="s">
        <v>976</v>
      </c>
      <c r="L266" s="549">
        <v>1254659.1000000001</v>
      </c>
      <c r="M266" s="549">
        <v>94726.76</v>
      </c>
      <c r="N266" s="549">
        <v>72017.429999999993</v>
      </c>
      <c r="P266" s="549">
        <v>0</v>
      </c>
      <c r="Q266" s="549">
        <v>0</v>
      </c>
    </row>
    <row r="267" spans="1:17" x14ac:dyDescent="0.25">
      <c r="A267" s="549" t="s">
        <v>971</v>
      </c>
      <c r="B267" s="549" t="s">
        <v>972</v>
      </c>
      <c r="C267" s="549" t="s">
        <v>534</v>
      </c>
      <c r="D267" s="549" t="s">
        <v>645</v>
      </c>
      <c r="E267" s="549" t="s">
        <v>977</v>
      </c>
      <c r="F267" s="549" t="s">
        <v>1160</v>
      </c>
      <c r="G267" s="549" t="s">
        <v>653</v>
      </c>
      <c r="H267" s="549" t="s">
        <v>652</v>
      </c>
      <c r="I267" s="549" t="s">
        <v>976</v>
      </c>
      <c r="J267" s="549" t="s">
        <v>976</v>
      </c>
      <c r="L267" s="549">
        <v>2028049.75</v>
      </c>
      <c r="M267" s="549">
        <v>153117.76000000001</v>
      </c>
      <c r="N267" s="549">
        <v>44819.9</v>
      </c>
      <c r="P267" s="549">
        <v>0.37</v>
      </c>
      <c r="Q267" s="549">
        <v>732.37</v>
      </c>
    </row>
    <row r="268" spans="1:17" x14ac:dyDescent="0.25">
      <c r="A268" s="549" t="s">
        <v>971</v>
      </c>
      <c r="B268" s="549" t="s">
        <v>972</v>
      </c>
      <c r="C268" s="549" t="s">
        <v>534</v>
      </c>
      <c r="D268" s="549" t="s">
        <v>645</v>
      </c>
      <c r="E268" s="549" t="s">
        <v>977</v>
      </c>
      <c r="F268" s="549" t="s">
        <v>1160</v>
      </c>
      <c r="G268" s="549" t="s">
        <v>645</v>
      </c>
      <c r="H268" s="549" t="s">
        <v>534</v>
      </c>
      <c r="I268" s="549" t="s">
        <v>976</v>
      </c>
      <c r="J268" s="549" t="s">
        <v>976</v>
      </c>
      <c r="L268" s="549">
        <v>1254659.1000000001</v>
      </c>
      <c r="M268" s="549">
        <v>94726.76</v>
      </c>
      <c r="N268" s="549">
        <v>27727.97</v>
      </c>
      <c r="P268" s="549">
        <v>13.09</v>
      </c>
      <c r="Q268" s="549">
        <v>16029.32</v>
      </c>
    </row>
    <row r="269" spans="1:17" x14ac:dyDescent="0.25">
      <c r="A269" s="549" t="s">
        <v>971</v>
      </c>
      <c r="B269" s="549" t="s">
        <v>972</v>
      </c>
      <c r="C269" s="549" t="s">
        <v>650</v>
      </c>
      <c r="D269" s="549" t="s">
        <v>651</v>
      </c>
      <c r="E269" s="549" t="s">
        <v>973</v>
      </c>
      <c r="F269" s="549" t="s">
        <v>1160</v>
      </c>
      <c r="G269" s="549" t="s">
        <v>651</v>
      </c>
      <c r="H269" s="549" t="s">
        <v>650</v>
      </c>
      <c r="I269" s="549" t="s">
        <v>976</v>
      </c>
      <c r="J269" s="549" t="s">
        <v>976</v>
      </c>
      <c r="L269" s="549">
        <v>1549891.41</v>
      </c>
      <c r="M269" s="549">
        <v>117016.8</v>
      </c>
      <c r="N269" s="549">
        <v>88963.77</v>
      </c>
      <c r="P269" s="549">
        <v>0</v>
      </c>
      <c r="Q269" s="549">
        <v>0</v>
      </c>
    </row>
    <row r="270" spans="1:17" x14ac:dyDescent="0.25">
      <c r="A270" s="549" t="s">
        <v>971</v>
      </c>
      <c r="B270" s="549" t="s">
        <v>972</v>
      </c>
      <c r="C270" s="549" t="s">
        <v>650</v>
      </c>
      <c r="D270" s="549" t="s">
        <v>651</v>
      </c>
      <c r="E270" s="549" t="s">
        <v>977</v>
      </c>
      <c r="F270" s="549" t="s">
        <v>1160</v>
      </c>
      <c r="G270" s="549" t="s">
        <v>653</v>
      </c>
      <c r="H270" s="549" t="s">
        <v>652</v>
      </c>
      <c r="I270" s="549" t="s">
        <v>976</v>
      </c>
      <c r="J270" s="549" t="s">
        <v>976</v>
      </c>
      <c r="L270" s="549">
        <v>2028049.75</v>
      </c>
      <c r="M270" s="549">
        <v>153117.76000000001</v>
      </c>
      <c r="N270" s="549">
        <v>44819.9</v>
      </c>
      <c r="P270" s="549">
        <v>6.76</v>
      </c>
      <c r="Q270" s="549">
        <v>13380.59</v>
      </c>
    </row>
    <row r="271" spans="1:17" x14ac:dyDescent="0.25">
      <c r="A271" s="549" t="s">
        <v>971</v>
      </c>
      <c r="B271" s="549" t="s">
        <v>972</v>
      </c>
      <c r="C271" s="549" t="s">
        <v>650</v>
      </c>
      <c r="D271" s="549" t="s">
        <v>651</v>
      </c>
      <c r="E271" s="549" t="s">
        <v>977</v>
      </c>
      <c r="F271" s="549" t="s">
        <v>1160</v>
      </c>
      <c r="G271" s="549" t="s">
        <v>651</v>
      </c>
      <c r="H271" s="549" t="s">
        <v>650</v>
      </c>
      <c r="I271" s="549" t="s">
        <v>976</v>
      </c>
      <c r="J271" s="549" t="s">
        <v>976</v>
      </c>
      <c r="L271" s="549">
        <v>1549891.41</v>
      </c>
      <c r="M271" s="549">
        <v>117016.8</v>
      </c>
      <c r="N271" s="549">
        <v>34252.6</v>
      </c>
      <c r="P271" s="549">
        <v>100</v>
      </c>
      <c r="Q271" s="549">
        <v>151269.4</v>
      </c>
    </row>
    <row r="272" spans="1:17" x14ac:dyDescent="0.25">
      <c r="A272" s="549" t="s">
        <v>971</v>
      </c>
      <c r="B272" s="549" t="s">
        <v>972</v>
      </c>
      <c r="C272" s="549" t="s">
        <v>652</v>
      </c>
      <c r="D272" s="549" t="s">
        <v>653</v>
      </c>
      <c r="E272" s="549" t="s">
        <v>977</v>
      </c>
      <c r="F272" s="549" t="s">
        <v>1160</v>
      </c>
      <c r="G272" s="549" t="s">
        <v>653</v>
      </c>
      <c r="H272" s="549" t="s">
        <v>652</v>
      </c>
      <c r="I272" s="549" t="s">
        <v>976</v>
      </c>
      <c r="J272" s="549" t="s">
        <v>976</v>
      </c>
      <c r="L272" s="549">
        <v>2028049.75</v>
      </c>
      <c r="M272" s="549">
        <v>153117.76000000001</v>
      </c>
      <c r="N272" s="549">
        <v>44819.9</v>
      </c>
      <c r="P272" s="549">
        <v>43.25</v>
      </c>
      <c r="Q272" s="549">
        <v>85608.04</v>
      </c>
    </row>
    <row r="273" spans="1:17" x14ac:dyDescent="0.25">
      <c r="A273" s="549" t="s">
        <v>971</v>
      </c>
      <c r="B273" s="549" t="s">
        <v>972</v>
      </c>
      <c r="C273" s="549" t="s">
        <v>648</v>
      </c>
      <c r="D273" s="549" t="s">
        <v>649</v>
      </c>
      <c r="E273" s="549" t="s">
        <v>977</v>
      </c>
      <c r="F273" s="549" t="s">
        <v>1160</v>
      </c>
      <c r="G273" s="549" t="s">
        <v>649</v>
      </c>
      <c r="H273" s="549" t="s">
        <v>648</v>
      </c>
      <c r="I273" s="549" t="s">
        <v>976</v>
      </c>
      <c r="J273" s="549" t="s">
        <v>976</v>
      </c>
      <c r="L273" s="549">
        <v>1639141.54</v>
      </c>
      <c r="M273" s="549">
        <v>123755.19</v>
      </c>
      <c r="N273" s="549">
        <v>36225.03</v>
      </c>
      <c r="P273" s="549">
        <v>12.11</v>
      </c>
      <c r="Q273" s="549">
        <v>19373.599999999999</v>
      </c>
    </row>
    <row r="274" spans="1:17" x14ac:dyDescent="0.25">
      <c r="A274" s="549" t="s">
        <v>980</v>
      </c>
      <c r="B274" s="549" t="s">
        <v>981</v>
      </c>
      <c r="C274" s="549" t="s">
        <v>662</v>
      </c>
      <c r="D274" s="549" t="s">
        <v>982</v>
      </c>
      <c r="E274" s="549" t="s">
        <v>973</v>
      </c>
      <c r="F274" s="549" t="s">
        <v>1160</v>
      </c>
      <c r="G274" s="549" t="s">
        <v>982</v>
      </c>
      <c r="H274" s="549" t="s">
        <v>662</v>
      </c>
      <c r="I274" s="549" t="s">
        <v>976</v>
      </c>
      <c r="J274" s="549" t="s">
        <v>976</v>
      </c>
      <c r="L274" s="549">
        <v>0</v>
      </c>
      <c r="M274" s="549">
        <v>0</v>
      </c>
      <c r="N274" s="549">
        <v>0</v>
      </c>
      <c r="P274" s="549">
        <v>0</v>
      </c>
      <c r="Q274" s="549">
        <v>0</v>
      </c>
    </row>
    <row r="275" spans="1:17" x14ac:dyDescent="0.25">
      <c r="A275" s="549" t="s">
        <v>980</v>
      </c>
      <c r="B275" s="549" t="s">
        <v>981</v>
      </c>
      <c r="C275" s="549" t="s">
        <v>662</v>
      </c>
      <c r="D275" s="549" t="s">
        <v>982</v>
      </c>
      <c r="E275" s="549" t="s">
        <v>977</v>
      </c>
      <c r="F275" s="549" t="s">
        <v>1160</v>
      </c>
      <c r="G275" s="549" t="s">
        <v>982</v>
      </c>
      <c r="H275" s="549" t="s">
        <v>662</v>
      </c>
      <c r="I275" s="549" t="s">
        <v>976</v>
      </c>
      <c r="J275" s="549" t="s">
        <v>976</v>
      </c>
      <c r="L275" s="549">
        <v>0</v>
      </c>
      <c r="M275" s="549">
        <v>0</v>
      </c>
      <c r="N275" s="549">
        <v>0</v>
      </c>
      <c r="P275" s="549">
        <v>100</v>
      </c>
      <c r="Q275" s="549">
        <v>0</v>
      </c>
    </row>
    <row r="276" spans="1:17" x14ac:dyDescent="0.25">
      <c r="A276" s="549" t="s">
        <v>980</v>
      </c>
      <c r="B276" s="549" t="s">
        <v>981</v>
      </c>
      <c r="C276" s="549" t="s">
        <v>663</v>
      </c>
      <c r="D276" s="549" t="s">
        <v>664</v>
      </c>
      <c r="E276" s="549" t="s">
        <v>973</v>
      </c>
      <c r="F276" s="549" t="s">
        <v>1160</v>
      </c>
      <c r="G276" s="549" t="s">
        <v>664</v>
      </c>
      <c r="H276" s="549" t="s">
        <v>663</v>
      </c>
      <c r="I276" s="549" t="s">
        <v>976</v>
      </c>
      <c r="J276" s="549" t="s">
        <v>976</v>
      </c>
      <c r="L276" s="549">
        <v>1632404.65</v>
      </c>
      <c r="M276" s="549">
        <v>123246.55</v>
      </c>
      <c r="N276" s="549">
        <v>93700.03</v>
      </c>
      <c r="P276" s="549">
        <v>0</v>
      </c>
      <c r="Q276" s="549">
        <v>0</v>
      </c>
    </row>
    <row r="277" spans="1:17" x14ac:dyDescent="0.25">
      <c r="A277" s="549" t="s">
        <v>980</v>
      </c>
      <c r="B277" s="549" t="s">
        <v>981</v>
      </c>
      <c r="C277" s="549" t="s">
        <v>663</v>
      </c>
      <c r="D277" s="549" t="s">
        <v>664</v>
      </c>
      <c r="E277" s="549" t="s">
        <v>977</v>
      </c>
      <c r="F277" s="549" t="s">
        <v>1160</v>
      </c>
      <c r="G277" s="549" t="s">
        <v>664</v>
      </c>
      <c r="H277" s="549" t="s">
        <v>663</v>
      </c>
      <c r="I277" s="549" t="s">
        <v>976</v>
      </c>
      <c r="J277" s="549" t="s">
        <v>976</v>
      </c>
      <c r="L277" s="549">
        <v>1632404.65</v>
      </c>
      <c r="M277" s="549">
        <v>123246.55</v>
      </c>
      <c r="N277" s="549">
        <v>36076.14</v>
      </c>
      <c r="P277" s="549">
        <v>100</v>
      </c>
      <c r="Q277" s="549">
        <v>159322.69</v>
      </c>
    </row>
    <row r="278" spans="1:17" x14ac:dyDescent="0.25">
      <c r="A278" s="549" t="s">
        <v>1162</v>
      </c>
      <c r="B278" s="549" t="s">
        <v>1163</v>
      </c>
      <c r="C278" s="549" t="s">
        <v>665</v>
      </c>
      <c r="D278" s="549" t="s">
        <v>666</v>
      </c>
      <c r="E278" s="549" t="s">
        <v>977</v>
      </c>
      <c r="F278" s="549" t="s">
        <v>1160</v>
      </c>
      <c r="G278" s="549" t="s">
        <v>666</v>
      </c>
      <c r="H278" s="549" t="s">
        <v>665</v>
      </c>
      <c r="I278" s="549" t="s">
        <v>976</v>
      </c>
      <c r="J278" s="549" t="s">
        <v>976</v>
      </c>
      <c r="L278" s="549">
        <v>1420060.84</v>
      </c>
      <c r="M278" s="549">
        <v>107214.59</v>
      </c>
      <c r="N278" s="549">
        <v>31383.34</v>
      </c>
      <c r="P278" s="549">
        <v>86.3</v>
      </c>
      <c r="Q278" s="549">
        <v>119610.01</v>
      </c>
    </row>
    <row r="279" spans="1:17" x14ac:dyDescent="0.25">
      <c r="A279" s="549" t="s">
        <v>1164</v>
      </c>
      <c r="B279" s="549" t="s">
        <v>1165</v>
      </c>
      <c r="C279" s="549" t="s">
        <v>233</v>
      </c>
      <c r="D279" s="549" t="s">
        <v>744</v>
      </c>
      <c r="E279" s="549" t="s">
        <v>973</v>
      </c>
      <c r="F279" s="549" t="s">
        <v>1160</v>
      </c>
      <c r="G279" s="549" t="s">
        <v>744</v>
      </c>
      <c r="H279" s="549" t="s">
        <v>233</v>
      </c>
      <c r="I279" s="549" t="s">
        <v>976</v>
      </c>
      <c r="J279" s="549" t="s">
        <v>976</v>
      </c>
      <c r="L279" s="549">
        <v>1711357.63</v>
      </c>
      <c r="M279" s="549">
        <v>129207.5</v>
      </c>
      <c r="N279" s="549">
        <v>98231.93</v>
      </c>
      <c r="P279" s="549">
        <v>7.33</v>
      </c>
      <c r="Q279" s="549">
        <v>16671.310000000001</v>
      </c>
    </row>
    <row r="280" spans="1:17" x14ac:dyDescent="0.25">
      <c r="A280" s="549" t="s">
        <v>1164</v>
      </c>
      <c r="B280" s="549" t="s">
        <v>1165</v>
      </c>
      <c r="C280" s="549" t="s">
        <v>233</v>
      </c>
      <c r="D280" s="549" t="s">
        <v>744</v>
      </c>
      <c r="E280" s="549" t="s">
        <v>977</v>
      </c>
      <c r="F280" s="549" t="s">
        <v>1160</v>
      </c>
      <c r="G280" s="549" t="s">
        <v>744</v>
      </c>
      <c r="H280" s="549" t="s">
        <v>233</v>
      </c>
      <c r="I280" s="549" t="s">
        <v>976</v>
      </c>
      <c r="J280" s="549" t="s">
        <v>976</v>
      </c>
      <c r="L280" s="549">
        <v>1711357.63</v>
      </c>
      <c r="M280" s="549">
        <v>129207.5</v>
      </c>
      <c r="N280" s="549">
        <v>37821</v>
      </c>
      <c r="P280" s="549">
        <v>4.33</v>
      </c>
      <c r="Q280" s="549">
        <v>7232.33</v>
      </c>
    </row>
    <row r="281" spans="1:17" x14ac:dyDescent="0.25">
      <c r="A281" s="549" t="s">
        <v>986</v>
      </c>
      <c r="B281" s="549" t="s">
        <v>987</v>
      </c>
      <c r="C281" s="549" t="s">
        <v>511</v>
      </c>
      <c r="D281" s="549" t="s">
        <v>988</v>
      </c>
      <c r="E281" s="549" t="s">
        <v>973</v>
      </c>
      <c r="F281" s="549" t="s">
        <v>1160</v>
      </c>
      <c r="G281" s="549" t="s">
        <v>988</v>
      </c>
      <c r="H281" s="549" t="s">
        <v>511</v>
      </c>
      <c r="I281" s="549" t="s">
        <v>976</v>
      </c>
      <c r="J281" s="549" t="s">
        <v>976</v>
      </c>
      <c r="L281" s="549">
        <v>1162868.76</v>
      </c>
      <c r="M281" s="549">
        <v>87796.59</v>
      </c>
      <c r="N281" s="549">
        <v>66748.67</v>
      </c>
      <c r="P281" s="549">
        <v>99.73</v>
      </c>
      <c r="Q281" s="549">
        <v>154127.99</v>
      </c>
    </row>
    <row r="282" spans="1:17" x14ac:dyDescent="0.25">
      <c r="A282" s="549" t="s">
        <v>986</v>
      </c>
      <c r="B282" s="549" t="s">
        <v>987</v>
      </c>
      <c r="C282" s="549" t="s">
        <v>511</v>
      </c>
      <c r="D282" s="549" t="s">
        <v>988</v>
      </c>
      <c r="E282" s="549" t="s">
        <v>973</v>
      </c>
      <c r="F282" s="549" t="s">
        <v>1160</v>
      </c>
      <c r="G282" s="549" t="s">
        <v>698</v>
      </c>
      <c r="H282" s="549" t="s">
        <v>697</v>
      </c>
      <c r="I282" s="549" t="s">
        <v>976</v>
      </c>
      <c r="J282" s="549" t="s">
        <v>976</v>
      </c>
      <c r="L282" s="549">
        <v>2368999.2200000002</v>
      </c>
      <c r="M282" s="549">
        <v>178859.44</v>
      </c>
      <c r="N282" s="549">
        <v>135980.56</v>
      </c>
      <c r="P282" s="549">
        <v>10.33</v>
      </c>
      <c r="Q282" s="549">
        <v>32522.97</v>
      </c>
    </row>
    <row r="283" spans="1:17" x14ac:dyDescent="0.25">
      <c r="A283" s="549" t="s">
        <v>986</v>
      </c>
      <c r="B283" s="549" t="s">
        <v>987</v>
      </c>
      <c r="C283" s="549" t="s">
        <v>511</v>
      </c>
      <c r="D283" s="549" t="s">
        <v>988</v>
      </c>
      <c r="E283" s="549" t="s">
        <v>973</v>
      </c>
      <c r="F283" s="549" t="s">
        <v>1160</v>
      </c>
      <c r="G283" s="549" t="s">
        <v>1166</v>
      </c>
      <c r="H283" s="549" t="s">
        <v>1167</v>
      </c>
      <c r="I283" s="549" t="s">
        <v>976</v>
      </c>
      <c r="J283" s="549" t="s">
        <v>976</v>
      </c>
      <c r="L283" s="549">
        <v>1498607.79</v>
      </c>
      <c r="M283" s="549">
        <v>113144.89</v>
      </c>
      <c r="N283" s="549">
        <v>86020.09</v>
      </c>
      <c r="P283" s="549">
        <v>56.18</v>
      </c>
      <c r="Q283" s="549">
        <v>111890.89</v>
      </c>
    </row>
    <row r="284" spans="1:17" x14ac:dyDescent="0.25">
      <c r="A284" s="549" t="s">
        <v>986</v>
      </c>
      <c r="B284" s="549" t="s">
        <v>987</v>
      </c>
      <c r="C284" s="549" t="s">
        <v>511</v>
      </c>
      <c r="D284" s="549" t="s">
        <v>988</v>
      </c>
      <c r="E284" s="549" t="s">
        <v>977</v>
      </c>
      <c r="F284" s="549" t="s">
        <v>1160</v>
      </c>
      <c r="G284" s="549" t="s">
        <v>988</v>
      </c>
      <c r="H284" s="549" t="s">
        <v>511</v>
      </c>
      <c r="I284" s="549" t="s">
        <v>976</v>
      </c>
      <c r="J284" s="549" t="s">
        <v>976</v>
      </c>
      <c r="L284" s="549">
        <v>1162868.76</v>
      </c>
      <c r="M284" s="549">
        <v>87796.59</v>
      </c>
      <c r="N284" s="549">
        <v>25699.4</v>
      </c>
      <c r="P284" s="549">
        <v>0.27</v>
      </c>
      <c r="Q284" s="549">
        <v>306.44</v>
      </c>
    </row>
    <row r="285" spans="1:17" x14ac:dyDescent="0.25">
      <c r="A285" s="549" t="s">
        <v>986</v>
      </c>
      <c r="B285" s="549" t="s">
        <v>987</v>
      </c>
      <c r="C285" s="549" t="s">
        <v>511</v>
      </c>
      <c r="D285" s="549" t="s">
        <v>988</v>
      </c>
      <c r="E285" s="549" t="s">
        <v>977</v>
      </c>
      <c r="F285" s="549" t="s">
        <v>1160</v>
      </c>
      <c r="G285" s="549" t="s">
        <v>698</v>
      </c>
      <c r="H285" s="549" t="s">
        <v>697</v>
      </c>
      <c r="I285" s="549" t="s">
        <v>976</v>
      </c>
      <c r="J285" s="549" t="s">
        <v>976</v>
      </c>
      <c r="L285" s="549">
        <v>2368999.2200000002</v>
      </c>
      <c r="M285" s="549">
        <v>178859.44</v>
      </c>
      <c r="N285" s="549">
        <v>52354.879999999997</v>
      </c>
      <c r="P285" s="549">
        <v>0.03</v>
      </c>
      <c r="Q285" s="549">
        <v>69.36</v>
      </c>
    </row>
    <row r="286" spans="1:17" x14ac:dyDescent="0.25">
      <c r="A286" s="549" t="s">
        <v>986</v>
      </c>
      <c r="B286" s="549" t="s">
        <v>987</v>
      </c>
      <c r="C286" s="549" t="s">
        <v>511</v>
      </c>
      <c r="D286" s="549" t="s">
        <v>988</v>
      </c>
      <c r="E286" s="549" t="s">
        <v>977</v>
      </c>
      <c r="F286" s="549" t="s">
        <v>1160</v>
      </c>
      <c r="G286" s="549" t="s">
        <v>1166</v>
      </c>
      <c r="H286" s="549" t="s">
        <v>1167</v>
      </c>
      <c r="I286" s="549" t="s">
        <v>976</v>
      </c>
      <c r="J286" s="549" t="s">
        <v>976</v>
      </c>
      <c r="L286" s="549">
        <v>1498607.79</v>
      </c>
      <c r="M286" s="549">
        <v>113144.89</v>
      </c>
      <c r="N286" s="549">
        <v>33119.230000000003</v>
      </c>
      <c r="P286" s="549">
        <v>0.15</v>
      </c>
      <c r="Q286" s="549">
        <v>219.4</v>
      </c>
    </row>
    <row r="287" spans="1:17" x14ac:dyDescent="0.25">
      <c r="A287" s="549" t="s">
        <v>993</v>
      </c>
      <c r="B287" s="549" t="s">
        <v>994</v>
      </c>
      <c r="C287" s="549" t="s">
        <v>668</v>
      </c>
      <c r="D287" s="549" t="s">
        <v>669</v>
      </c>
      <c r="E287" s="549" t="s">
        <v>977</v>
      </c>
      <c r="F287" s="549" t="s">
        <v>1160</v>
      </c>
      <c r="G287" s="549" t="s">
        <v>669</v>
      </c>
      <c r="H287" s="549" t="s">
        <v>668</v>
      </c>
      <c r="I287" s="549" t="s">
        <v>976</v>
      </c>
      <c r="J287" s="549" t="s">
        <v>976</v>
      </c>
      <c r="L287" s="549">
        <v>2045229.89</v>
      </c>
      <c r="M287" s="549">
        <v>154414.85999999999</v>
      </c>
      <c r="N287" s="549">
        <v>45199.58</v>
      </c>
      <c r="P287" s="549">
        <v>57.34</v>
      </c>
      <c r="Q287" s="549">
        <v>114458.92</v>
      </c>
    </row>
    <row r="288" spans="1:17" x14ac:dyDescent="0.25">
      <c r="A288" s="549" t="s">
        <v>993</v>
      </c>
      <c r="B288" s="549" t="s">
        <v>994</v>
      </c>
      <c r="C288" s="549" t="s">
        <v>187</v>
      </c>
      <c r="D288" s="549" t="s">
        <v>667</v>
      </c>
      <c r="E288" s="549" t="s">
        <v>973</v>
      </c>
      <c r="F288" s="549" t="s">
        <v>1160</v>
      </c>
      <c r="G288" s="549" t="s">
        <v>667</v>
      </c>
      <c r="H288" s="549" t="s">
        <v>187</v>
      </c>
      <c r="I288" s="549" t="s">
        <v>976</v>
      </c>
      <c r="J288" s="549" t="s">
        <v>976</v>
      </c>
      <c r="L288" s="549">
        <v>1796439.54</v>
      </c>
      <c r="M288" s="549">
        <v>135631.19</v>
      </c>
      <c r="N288" s="549">
        <v>103115.63</v>
      </c>
      <c r="P288" s="549">
        <v>0</v>
      </c>
      <c r="Q288" s="549">
        <v>0</v>
      </c>
    </row>
    <row r="289" spans="1:17" x14ac:dyDescent="0.25">
      <c r="A289" s="549" t="s">
        <v>993</v>
      </c>
      <c r="B289" s="549" t="s">
        <v>994</v>
      </c>
      <c r="C289" s="549" t="s">
        <v>187</v>
      </c>
      <c r="D289" s="549" t="s">
        <v>667</v>
      </c>
      <c r="E289" s="549" t="s">
        <v>977</v>
      </c>
      <c r="F289" s="549" t="s">
        <v>1160</v>
      </c>
      <c r="G289" s="549" t="s">
        <v>667</v>
      </c>
      <c r="H289" s="549" t="s">
        <v>187</v>
      </c>
      <c r="I289" s="549" t="s">
        <v>976</v>
      </c>
      <c r="J289" s="549" t="s">
        <v>976</v>
      </c>
      <c r="L289" s="549">
        <v>1796439.54</v>
      </c>
      <c r="M289" s="549">
        <v>135631.19</v>
      </c>
      <c r="N289" s="549">
        <v>39701.31</v>
      </c>
      <c r="P289" s="549">
        <v>18.21</v>
      </c>
      <c r="Q289" s="549">
        <v>31928.05</v>
      </c>
    </row>
    <row r="290" spans="1:17" x14ac:dyDescent="0.25">
      <c r="A290" s="549" t="s">
        <v>504</v>
      </c>
      <c r="B290" s="549" t="s">
        <v>996</v>
      </c>
      <c r="C290" s="549" t="s">
        <v>509</v>
      </c>
      <c r="D290" s="549" t="s">
        <v>656</v>
      </c>
      <c r="E290" s="549" t="s">
        <v>973</v>
      </c>
      <c r="F290" s="549" t="s">
        <v>1160</v>
      </c>
      <c r="G290" s="549" t="s">
        <v>656</v>
      </c>
      <c r="H290" s="549" t="s">
        <v>509</v>
      </c>
      <c r="I290" s="549" t="s">
        <v>976</v>
      </c>
      <c r="J290" s="549" t="s">
        <v>976</v>
      </c>
      <c r="L290" s="549">
        <v>322227.93</v>
      </c>
      <c r="M290" s="549">
        <v>24328.21</v>
      </c>
      <c r="N290" s="549">
        <v>18495.88</v>
      </c>
      <c r="P290" s="549">
        <v>53.32</v>
      </c>
      <c r="Q290" s="549">
        <v>22833.8</v>
      </c>
    </row>
    <row r="291" spans="1:17" x14ac:dyDescent="0.25">
      <c r="A291" s="549" t="s">
        <v>504</v>
      </c>
      <c r="B291" s="549" t="s">
        <v>996</v>
      </c>
      <c r="C291" s="549" t="s">
        <v>509</v>
      </c>
      <c r="D291" s="549" t="s">
        <v>656</v>
      </c>
      <c r="E291" s="549" t="s">
        <v>977</v>
      </c>
      <c r="F291" s="549" t="s">
        <v>1160</v>
      </c>
      <c r="G291" s="549" t="s">
        <v>656</v>
      </c>
      <c r="H291" s="549" t="s">
        <v>509</v>
      </c>
      <c r="I291" s="549" t="s">
        <v>976</v>
      </c>
      <c r="J291" s="549" t="s">
        <v>976</v>
      </c>
      <c r="L291" s="549">
        <v>322227.93</v>
      </c>
      <c r="M291" s="549">
        <v>24328.21</v>
      </c>
      <c r="N291" s="549">
        <v>7121.24</v>
      </c>
      <c r="P291" s="549">
        <v>0.94</v>
      </c>
      <c r="Q291" s="549">
        <v>295.62</v>
      </c>
    </row>
    <row r="292" spans="1:17" x14ac:dyDescent="0.25">
      <c r="A292" s="549" t="s">
        <v>504</v>
      </c>
      <c r="B292" s="549" t="s">
        <v>996</v>
      </c>
      <c r="C292" s="549" t="s">
        <v>785</v>
      </c>
      <c r="D292" s="549" t="s">
        <v>786</v>
      </c>
      <c r="E292" s="549" t="s">
        <v>977</v>
      </c>
      <c r="F292" s="549" t="s">
        <v>1160</v>
      </c>
      <c r="G292" s="549" t="s">
        <v>786</v>
      </c>
      <c r="H292" s="549" t="s">
        <v>785</v>
      </c>
      <c r="I292" s="549" t="s">
        <v>976</v>
      </c>
      <c r="J292" s="549" t="s">
        <v>976</v>
      </c>
      <c r="L292" s="549">
        <v>1329746.68</v>
      </c>
      <c r="M292" s="549">
        <v>100395.87</v>
      </c>
      <c r="N292" s="549">
        <v>29387.4</v>
      </c>
      <c r="P292" s="549">
        <v>1.68</v>
      </c>
      <c r="Q292" s="549">
        <v>2180.36</v>
      </c>
    </row>
    <row r="293" spans="1:17" x14ac:dyDescent="0.25">
      <c r="A293" s="549" t="s">
        <v>504</v>
      </c>
      <c r="B293" s="549" t="s">
        <v>996</v>
      </c>
      <c r="C293" s="549" t="s">
        <v>503</v>
      </c>
      <c r="D293" s="549" t="s">
        <v>813</v>
      </c>
      <c r="E293" s="549" t="s">
        <v>973</v>
      </c>
      <c r="F293" s="549" t="s">
        <v>1160</v>
      </c>
      <c r="G293" s="549" t="s">
        <v>813</v>
      </c>
      <c r="H293" s="549" t="s">
        <v>503</v>
      </c>
      <c r="I293" s="549" t="s">
        <v>976</v>
      </c>
      <c r="J293" s="549" t="s">
        <v>976</v>
      </c>
      <c r="L293" s="549">
        <v>1281719.51</v>
      </c>
      <c r="M293" s="549">
        <v>96769.82</v>
      </c>
      <c r="N293" s="549">
        <v>73570.7</v>
      </c>
      <c r="P293" s="549">
        <v>94.81</v>
      </c>
      <c r="Q293" s="549">
        <v>161499.85</v>
      </c>
    </row>
    <row r="294" spans="1:17" x14ac:dyDescent="0.25">
      <c r="A294" s="549" t="s">
        <v>504</v>
      </c>
      <c r="B294" s="549" t="s">
        <v>996</v>
      </c>
      <c r="C294" s="549" t="s">
        <v>503</v>
      </c>
      <c r="D294" s="549" t="s">
        <v>813</v>
      </c>
      <c r="E294" s="549" t="s">
        <v>973</v>
      </c>
      <c r="F294" s="549" t="s">
        <v>1160</v>
      </c>
      <c r="G294" s="549" t="s">
        <v>816</v>
      </c>
      <c r="H294" s="549" t="s">
        <v>507</v>
      </c>
      <c r="I294" s="549" t="s">
        <v>976</v>
      </c>
      <c r="J294" s="549" t="s">
        <v>976</v>
      </c>
      <c r="L294" s="549">
        <v>1677708.7</v>
      </c>
      <c r="M294" s="549">
        <v>126667.01</v>
      </c>
      <c r="N294" s="549">
        <v>96300.479999999996</v>
      </c>
      <c r="P294" s="549">
        <v>1.66</v>
      </c>
      <c r="Q294" s="549">
        <v>3701.26</v>
      </c>
    </row>
    <row r="295" spans="1:17" x14ac:dyDescent="0.25">
      <c r="A295" s="549" t="s">
        <v>504</v>
      </c>
      <c r="B295" s="549" t="s">
        <v>996</v>
      </c>
      <c r="C295" s="549" t="s">
        <v>503</v>
      </c>
      <c r="D295" s="549" t="s">
        <v>813</v>
      </c>
      <c r="E295" s="549" t="s">
        <v>977</v>
      </c>
      <c r="F295" s="549" t="s">
        <v>1160</v>
      </c>
      <c r="G295" s="549" t="s">
        <v>813</v>
      </c>
      <c r="H295" s="549" t="s">
        <v>503</v>
      </c>
      <c r="I295" s="549" t="s">
        <v>976</v>
      </c>
      <c r="J295" s="549" t="s">
        <v>976</v>
      </c>
      <c r="L295" s="549">
        <v>1281719.51</v>
      </c>
      <c r="M295" s="549">
        <v>96769.82</v>
      </c>
      <c r="N295" s="549">
        <v>28326</v>
      </c>
      <c r="P295" s="549">
        <v>5.19</v>
      </c>
      <c r="Q295" s="549">
        <v>6492.47</v>
      </c>
    </row>
    <row r="296" spans="1:17" x14ac:dyDescent="0.25">
      <c r="A296" s="549" t="s">
        <v>504</v>
      </c>
      <c r="B296" s="549" t="s">
        <v>996</v>
      </c>
      <c r="C296" s="549" t="s">
        <v>503</v>
      </c>
      <c r="D296" s="549" t="s">
        <v>813</v>
      </c>
      <c r="E296" s="549" t="s">
        <v>977</v>
      </c>
      <c r="F296" s="549" t="s">
        <v>1160</v>
      </c>
      <c r="G296" s="549" t="s">
        <v>816</v>
      </c>
      <c r="H296" s="549" t="s">
        <v>507</v>
      </c>
      <c r="I296" s="549" t="s">
        <v>976</v>
      </c>
      <c r="J296" s="549" t="s">
        <v>976</v>
      </c>
      <c r="L296" s="549">
        <v>1677708.7</v>
      </c>
      <c r="M296" s="549">
        <v>126667.01</v>
      </c>
      <c r="N296" s="549">
        <v>37077.360000000001</v>
      </c>
      <c r="P296" s="549">
        <v>0.09</v>
      </c>
      <c r="Q296" s="549">
        <v>147.37</v>
      </c>
    </row>
    <row r="297" spans="1:17" x14ac:dyDescent="0.25">
      <c r="A297" s="549" t="s">
        <v>504</v>
      </c>
      <c r="B297" s="549" t="s">
        <v>996</v>
      </c>
      <c r="C297" s="549" t="s">
        <v>833</v>
      </c>
      <c r="D297" s="549" t="s">
        <v>1130</v>
      </c>
      <c r="E297" s="549" t="s">
        <v>977</v>
      </c>
      <c r="F297" s="549" t="s">
        <v>1160</v>
      </c>
      <c r="G297" s="549" t="s">
        <v>1130</v>
      </c>
      <c r="H297" s="549" t="s">
        <v>833</v>
      </c>
      <c r="I297" s="549" t="s">
        <v>976</v>
      </c>
      <c r="J297" s="549" t="s">
        <v>976</v>
      </c>
      <c r="L297" s="549">
        <v>48706934.259999998</v>
      </c>
      <c r="M297" s="549">
        <v>3677373.54</v>
      </c>
      <c r="N297" s="549">
        <v>1076423.25</v>
      </c>
      <c r="P297" s="549">
        <v>1.72</v>
      </c>
      <c r="Q297" s="549">
        <v>81765.3</v>
      </c>
    </row>
    <row r="298" spans="1:17" x14ac:dyDescent="0.25">
      <c r="A298" s="549" t="s">
        <v>504</v>
      </c>
      <c r="B298" s="549" t="s">
        <v>996</v>
      </c>
      <c r="C298" s="549" t="s">
        <v>505</v>
      </c>
      <c r="D298" s="549" t="s">
        <v>1168</v>
      </c>
      <c r="E298" s="549" t="s">
        <v>973</v>
      </c>
      <c r="F298" s="549" t="s">
        <v>1160</v>
      </c>
      <c r="G298" s="549" t="s">
        <v>1168</v>
      </c>
      <c r="H298" s="549" t="s">
        <v>505</v>
      </c>
      <c r="I298" s="549" t="s">
        <v>976</v>
      </c>
      <c r="J298" s="549" t="s">
        <v>976</v>
      </c>
      <c r="L298" s="549">
        <v>1281719.51</v>
      </c>
      <c r="M298" s="549">
        <v>96769.82</v>
      </c>
      <c r="N298" s="549">
        <v>73570.7</v>
      </c>
      <c r="P298" s="549">
        <v>94.89</v>
      </c>
      <c r="Q298" s="549">
        <v>161636.12</v>
      </c>
    </row>
    <row r="299" spans="1:17" x14ac:dyDescent="0.25">
      <c r="A299" s="549" t="s">
        <v>504</v>
      </c>
      <c r="B299" s="549" t="s">
        <v>996</v>
      </c>
      <c r="C299" s="549" t="s">
        <v>505</v>
      </c>
      <c r="D299" s="549" t="s">
        <v>1168</v>
      </c>
      <c r="E299" s="549" t="s">
        <v>977</v>
      </c>
      <c r="F299" s="549" t="s">
        <v>1160</v>
      </c>
      <c r="G299" s="549" t="s">
        <v>1168</v>
      </c>
      <c r="H299" s="549" t="s">
        <v>505</v>
      </c>
      <c r="I299" s="549" t="s">
        <v>976</v>
      </c>
      <c r="J299" s="549" t="s">
        <v>976</v>
      </c>
      <c r="L299" s="549">
        <v>1281719.51</v>
      </c>
      <c r="M299" s="549">
        <v>96769.82</v>
      </c>
      <c r="N299" s="549">
        <v>28326</v>
      </c>
      <c r="P299" s="549">
        <v>5.1100000000000003</v>
      </c>
      <c r="Q299" s="549">
        <v>6392.4</v>
      </c>
    </row>
    <row r="300" spans="1:17" x14ac:dyDescent="0.25">
      <c r="A300" s="549" t="s">
        <v>504</v>
      </c>
      <c r="B300" s="549" t="s">
        <v>996</v>
      </c>
      <c r="C300" s="549" t="s">
        <v>510</v>
      </c>
      <c r="D300" s="549" t="s">
        <v>1169</v>
      </c>
      <c r="E300" s="549" t="s">
        <v>973</v>
      </c>
      <c r="F300" s="549" t="s">
        <v>1160</v>
      </c>
      <c r="G300" s="549" t="s">
        <v>1169</v>
      </c>
      <c r="H300" s="549" t="s">
        <v>510</v>
      </c>
      <c r="I300" s="549" t="s">
        <v>976</v>
      </c>
      <c r="J300" s="549" t="s">
        <v>976</v>
      </c>
      <c r="L300" s="549">
        <v>1595645.81</v>
      </c>
      <c r="M300" s="549">
        <v>120471.26</v>
      </c>
      <c r="N300" s="549">
        <v>91590.07</v>
      </c>
      <c r="P300" s="549">
        <v>11.51</v>
      </c>
      <c r="Q300" s="549">
        <v>24408.26</v>
      </c>
    </row>
    <row r="301" spans="1:17" x14ac:dyDescent="0.25">
      <c r="A301" s="549" t="s">
        <v>504</v>
      </c>
      <c r="B301" s="549" t="s">
        <v>996</v>
      </c>
      <c r="C301" s="549" t="s">
        <v>538</v>
      </c>
      <c r="D301" s="549" t="s">
        <v>755</v>
      </c>
      <c r="E301" s="549" t="s">
        <v>973</v>
      </c>
      <c r="F301" s="549" t="s">
        <v>1160</v>
      </c>
      <c r="G301" s="549" t="s">
        <v>755</v>
      </c>
      <c r="H301" s="549" t="s">
        <v>538</v>
      </c>
      <c r="I301" s="549" t="s">
        <v>976</v>
      </c>
      <c r="J301" s="549" t="s">
        <v>976</v>
      </c>
      <c r="L301" s="549">
        <v>2178842.81</v>
      </c>
      <c r="M301" s="549">
        <v>164502.63</v>
      </c>
      <c r="N301" s="549">
        <v>125065.58</v>
      </c>
      <c r="P301" s="549">
        <v>14.36</v>
      </c>
      <c r="Q301" s="549">
        <v>41581.99</v>
      </c>
    </row>
    <row r="302" spans="1:17" x14ac:dyDescent="0.25">
      <c r="A302" s="549" t="s">
        <v>504</v>
      </c>
      <c r="B302" s="549" t="s">
        <v>996</v>
      </c>
      <c r="C302" s="549" t="s">
        <v>538</v>
      </c>
      <c r="D302" s="549" t="s">
        <v>755</v>
      </c>
      <c r="E302" s="549" t="s">
        <v>977</v>
      </c>
      <c r="F302" s="549" t="s">
        <v>1160</v>
      </c>
      <c r="G302" s="549" t="s">
        <v>755</v>
      </c>
      <c r="H302" s="549" t="s">
        <v>538</v>
      </c>
      <c r="I302" s="549" t="s">
        <v>976</v>
      </c>
      <c r="J302" s="549" t="s">
        <v>976</v>
      </c>
      <c r="L302" s="549">
        <v>2178842.81</v>
      </c>
      <c r="M302" s="549">
        <v>164502.63</v>
      </c>
      <c r="N302" s="549">
        <v>48152.43</v>
      </c>
      <c r="P302" s="549">
        <v>0.12</v>
      </c>
      <c r="Q302" s="549">
        <v>255.19</v>
      </c>
    </row>
    <row r="303" spans="1:17" x14ac:dyDescent="0.25">
      <c r="A303" s="549" t="s">
        <v>504</v>
      </c>
      <c r="B303" s="549" t="s">
        <v>996</v>
      </c>
      <c r="C303" s="549" t="s">
        <v>507</v>
      </c>
      <c r="D303" s="549" t="s">
        <v>816</v>
      </c>
      <c r="E303" s="549" t="s">
        <v>973</v>
      </c>
      <c r="F303" s="549" t="s">
        <v>1160</v>
      </c>
      <c r="G303" s="549" t="s">
        <v>816</v>
      </c>
      <c r="H303" s="549" t="s">
        <v>507</v>
      </c>
      <c r="I303" s="549" t="s">
        <v>976</v>
      </c>
      <c r="J303" s="549" t="s">
        <v>976</v>
      </c>
      <c r="L303" s="549">
        <v>1677708.7</v>
      </c>
      <c r="M303" s="549">
        <v>126667.01</v>
      </c>
      <c r="N303" s="549">
        <v>96300.479999999996</v>
      </c>
      <c r="P303" s="549">
        <v>3.61</v>
      </c>
      <c r="Q303" s="549">
        <v>8049.13</v>
      </c>
    </row>
    <row r="304" spans="1:17" x14ac:dyDescent="0.25">
      <c r="A304" s="549" t="s">
        <v>504</v>
      </c>
      <c r="B304" s="549" t="s">
        <v>996</v>
      </c>
      <c r="C304" s="549" t="s">
        <v>507</v>
      </c>
      <c r="D304" s="549" t="s">
        <v>816</v>
      </c>
      <c r="E304" s="549" t="s">
        <v>977</v>
      </c>
      <c r="F304" s="549" t="s">
        <v>1160</v>
      </c>
      <c r="G304" s="549" t="s">
        <v>816</v>
      </c>
      <c r="H304" s="549" t="s">
        <v>507</v>
      </c>
      <c r="I304" s="549" t="s">
        <v>976</v>
      </c>
      <c r="J304" s="549" t="s">
        <v>976</v>
      </c>
      <c r="L304" s="549">
        <v>1677708.7</v>
      </c>
      <c r="M304" s="549">
        <v>126667.01</v>
      </c>
      <c r="N304" s="549">
        <v>37077.360000000001</v>
      </c>
      <c r="P304" s="549">
        <v>0</v>
      </c>
      <c r="Q304" s="549">
        <v>0</v>
      </c>
    </row>
    <row r="305" spans="1:17" x14ac:dyDescent="0.25">
      <c r="A305" s="549" t="s">
        <v>504</v>
      </c>
      <c r="B305" s="549" t="s">
        <v>996</v>
      </c>
      <c r="C305" s="549" t="s">
        <v>539</v>
      </c>
      <c r="D305" s="549" t="s">
        <v>1149</v>
      </c>
      <c r="E305" s="549" t="s">
        <v>973</v>
      </c>
      <c r="F305" s="549" t="s">
        <v>1160</v>
      </c>
      <c r="G305" s="549" t="s">
        <v>1149</v>
      </c>
      <c r="H305" s="549" t="s">
        <v>539</v>
      </c>
      <c r="I305" s="549" t="s">
        <v>976</v>
      </c>
      <c r="J305" s="549" t="s">
        <v>976</v>
      </c>
      <c r="L305" s="549">
        <v>1775250.8</v>
      </c>
      <c r="M305" s="549">
        <v>134031.44</v>
      </c>
      <c r="N305" s="549">
        <v>101899.4</v>
      </c>
      <c r="P305" s="549">
        <v>4.2300000000000004</v>
      </c>
      <c r="Q305" s="549">
        <v>9979.8700000000008</v>
      </c>
    </row>
    <row r="306" spans="1:17" x14ac:dyDescent="0.25">
      <c r="A306" s="549" t="s">
        <v>504</v>
      </c>
      <c r="B306" s="549" t="s">
        <v>996</v>
      </c>
      <c r="C306" s="549" t="s">
        <v>539</v>
      </c>
      <c r="D306" s="549" t="s">
        <v>1149</v>
      </c>
      <c r="E306" s="549" t="s">
        <v>977</v>
      </c>
      <c r="F306" s="549" t="s">
        <v>1160</v>
      </c>
      <c r="G306" s="549" t="s">
        <v>1149</v>
      </c>
      <c r="H306" s="549" t="s">
        <v>539</v>
      </c>
      <c r="I306" s="549" t="s">
        <v>976</v>
      </c>
      <c r="J306" s="549" t="s">
        <v>976</v>
      </c>
      <c r="L306" s="549">
        <v>1775250.8</v>
      </c>
      <c r="M306" s="549">
        <v>134031.44</v>
      </c>
      <c r="N306" s="549">
        <v>39233.040000000001</v>
      </c>
      <c r="P306" s="549">
        <v>0.02</v>
      </c>
      <c r="Q306" s="549">
        <v>34.65</v>
      </c>
    </row>
    <row r="307" spans="1:17" x14ac:dyDescent="0.25">
      <c r="A307" s="549" t="s">
        <v>998</v>
      </c>
      <c r="B307" s="549" t="s">
        <v>999</v>
      </c>
      <c r="C307" s="549" t="s">
        <v>509</v>
      </c>
      <c r="D307" s="549" t="s">
        <v>656</v>
      </c>
      <c r="E307" s="549" t="s">
        <v>973</v>
      </c>
      <c r="F307" s="549" t="s">
        <v>1160</v>
      </c>
      <c r="G307" s="549" t="s">
        <v>656</v>
      </c>
      <c r="H307" s="549" t="s">
        <v>509</v>
      </c>
      <c r="I307" s="549" t="s">
        <v>976</v>
      </c>
      <c r="J307" s="549" t="s">
        <v>976</v>
      </c>
      <c r="L307" s="549">
        <v>322227.93</v>
      </c>
      <c r="M307" s="549">
        <v>24328.21</v>
      </c>
      <c r="N307" s="549">
        <v>18495.88</v>
      </c>
      <c r="P307" s="549">
        <v>9.31</v>
      </c>
      <c r="Q307" s="549">
        <v>3986.92</v>
      </c>
    </row>
    <row r="308" spans="1:17" x14ac:dyDescent="0.25">
      <c r="A308" s="549" t="s">
        <v>998</v>
      </c>
      <c r="B308" s="549" t="s">
        <v>999</v>
      </c>
      <c r="C308" s="549" t="s">
        <v>509</v>
      </c>
      <c r="D308" s="549" t="s">
        <v>656</v>
      </c>
      <c r="E308" s="549" t="s">
        <v>977</v>
      </c>
      <c r="F308" s="549" t="s">
        <v>1160</v>
      </c>
      <c r="G308" s="549" t="s">
        <v>656</v>
      </c>
      <c r="H308" s="549" t="s">
        <v>509</v>
      </c>
      <c r="I308" s="549" t="s">
        <v>976</v>
      </c>
      <c r="J308" s="549" t="s">
        <v>976</v>
      </c>
      <c r="L308" s="549">
        <v>322227.93</v>
      </c>
      <c r="M308" s="549">
        <v>24328.21</v>
      </c>
      <c r="N308" s="549">
        <v>7121.24</v>
      </c>
      <c r="P308" s="549">
        <v>4.58</v>
      </c>
      <c r="Q308" s="549">
        <v>1440.38</v>
      </c>
    </row>
    <row r="309" spans="1:17" x14ac:dyDescent="0.25">
      <c r="A309" s="549" t="s">
        <v>998</v>
      </c>
      <c r="B309" s="549" t="s">
        <v>999</v>
      </c>
      <c r="C309" s="549" t="s">
        <v>660</v>
      </c>
      <c r="D309" s="549" t="s">
        <v>661</v>
      </c>
      <c r="E309" s="549" t="s">
        <v>977</v>
      </c>
      <c r="F309" s="549" t="s">
        <v>1160</v>
      </c>
      <c r="G309" s="549" t="s">
        <v>661</v>
      </c>
      <c r="H309" s="549" t="s">
        <v>660</v>
      </c>
      <c r="I309" s="549" t="s">
        <v>976</v>
      </c>
      <c r="J309" s="549" t="s">
        <v>976</v>
      </c>
      <c r="L309" s="549">
        <v>1653361.83</v>
      </c>
      <c r="M309" s="549">
        <v>124828.82</v>
      </c>
      <c r="N309" s="549">
        <v>36539.300000000003</v>
      </c>
      <c r="P309" s="549">
        <v>25.67</v>
      </c>
      <c r="Q309" s="549">
        <v>41423.199999999997</v>
      </c>
    </row>
    <row r="310" spans="1:17" x14ac:dyDescent="0.25">
      <c r="A310" s="549" t="s">
        <v>998</v>
      </c>
      <c r="B310" s="549" t="s">
        <v>999</v>
      </c>
      <c r="C310" s="549" t="s">
        <v>658</v>
      </c>
      <c r="D310" s="549" t="s">
        <v>659</v>
      </c>
      <c r="E310" s="549" t="s">
        <v>973</v>
      </c>
      <c r="F310" s="549" t="s">
        <v>1160</v>
      </c>
      <c r="G310" s="549" t="s">
        <v>659</v>
      </c>
      <c r="H310" s="549" t="s">
        <v>658</v>
      </c>
      <c r="I310" s="549" t="s">
        <v>976</v>
      </c>
      <c r="J310" s="549" t="s">
        <v>976</v>
      </c>
      <c r="L310" s="549">
        <v>2159067.61</v>
      </c>
      <c r="M310" s="549">
        <v>163009.60000000001</v>
      </c>
      <c r="N310" s="549">
        <v>123930.48</v>
      </c>
      <c r="P310" s="549">
        <v>0</v>
      </c>
      <c r="Q310" s="549">
        <v>0</v>
      </c>
    </row>
    <row r="311" spans="1:17" x14ac:dyDescent="0.25">
      <c r="A311" s="549" t="s">
        <v>998</v>
      </c>
      <c r="B311" s="549" t="s">
        <v>999</v>
      </c>
      <c r="C311" s="549" t="s">
        <v>658</v>
      </c>
      <c r="D311" s="549" t="s">
        <v>659</v>
      </c>
      <c r="E311" s="549" t="s">
        <v>977</v>
      </c>
      <c r="F311" s="549" t="s">
        <v>1160</v>
      </c>
      <c r="G311" s="549" t="s">
        <v>661</v>
      </c>
      <c r="H311" s="549" t="s">
        <v>660</v>
      </c>
      <c r="I311" s="549" t="s">
        <v>976</v>
      </c>
      <c r="J311" s="549" t="s">
        <v>976</v>
      </c>
      <c r="L311" s="549">
        <v>1653361.83</v>
      </c>
      <c r="M311" s="549">
        <v>124828.82</v>
      </c>
      <c r="N311" s="549">
        <v>36539.300000000003</v>
      </c>
      <c r="P311" s="549">
        <v>35.840000000000003</v>
      </c>
      <c r="Q311" s="549">
        <v>57834.33</v>
      </c>
    </row>
    <row r="312" spans="1:17" x14ac:dyDescent="0.25">
      <c r="A312" s="549" t="s">
        <v>998</v>
      </c>
      <c r="B312" s="549" t="s">
        <v>999</v>
      </c>
      <c r="C312" s="549" t="s">
        <v>658</v>
      </c>
      <c r="D312" s="549" t="s">
        <v>659</v>
      </c>
      <c r="E312" s="549" t="s">
        <v>977</v>
      </c>
      <c r="F312" s="549" t="s">
        <v>1160</v>
      </c>
      <c r="G312" s="549" t="s">
        <v>659</v>
      </c>
      <c r="H312" s="549" t="s">
        <v>658</v>
      </c>
      <c r="I312" s="549" t="s">
        <v>976</v>
      </c>
      <c r="J312" s="549" t="s">
        <v>976</v>
      </c>
      <c r="L312" s="549">
        <v>2159067.61</v>
      </c>
      <c r="M312" s="549">
        <v>163009.60000000001</v>
      </c>
      <c r="N312" s="549">
        <v>47715.39</v>
      </c>
      <c r="P312" s="549">
        <v>95.79</v>
      </c>
      <c r="Q312" s="549">
        <v>201853.47</v>
      </c>
    </row>
    <row r="313" spans="1:17" x14ac:dyDescent="0.25">
      <c r="A313" s="549" t="s">
        <v>998</v>
      </c>
      <c r="B313" s="549" t="s">
        <v>999</v>
      </c>
      <c r="C313" s="549" t="s">
        <v>654</v>
      </c>
      <c r="D313" s="549" t="s">
        <v>655</v>
      </c>
      <c r="E313" s="549" t="s">
        <v>973</v>
      </c>
      <c r="F313" s="549" t="s">
        <v>1160</v>
      </c>
      <c r="G313" s="549" t="s">
        <v>655</v>
      </c>
      <c r="H313" s="549" t="s">
        <v>654</v>
      </c>
      <c r="I313" s="549" t="s">
        <v>976</v>
      </c>
      <c r="J313" s="549" t="s">
        <v>976</v>
      </c>
      <c r="L313" s="549">
        <v>2177601.41</v>
      </c>
      <c r="M313" s="549">
        <v>164408.91</v>
      </c>
      <c r="N313" s="549">
        <v>124994.32</v>
      </c>
      <c r="P313" s="549">
        <v>7.78</v>
      </c>
      <c r="Q313" s="549">
        <v>22515.57</v>
      </c>
    </row>
    <row r="314" spans="1:17" x14ac:dyDescent="0.25">
      <c r="A314" s="549" t="s">
        <v>998</v>
      </c>
      <c r="B314" s="549" t="s">
        <v>999</v>
      </c>
      <c r="C314" s="549" t="s">
        <v>654</v>
      </c>
      <c r="D314" s="549" t="s">
        <v>655</v>
      </c>
      <c r="E314" s="549" t="s">
        <v>977</v>
      </c>
      <c r="F314" s="549" t="s">
        <v>1160</v>
      </c>
      <c r="G314" s="549" t="s">
        <v>655</v>
      </c>
      <c r="H314" s="549" t="s">
        <v>654</v>
      </c>
      <c r="I314" s="549" t="s">
        <v>976</v>
      </c>
      <c r="J314" s="549" t="s">
        <v>976</v>
      </c>
      <c r="L314" s="549">
        <v>2177601.41</v>
      </c>
      <c r="M314" s="549">
        <v>164408.91</v>
      </c>
      <c r="N314" s="549">
        <v>48124.99</v>
      </c>
      <c r="P314" s="549">
        <v>47.93</v>
      </c>
      <c r="Q314" s="549">
        <v>101867.5</v>
      </c>
    </row>
    <row r="315" spans="1:17" x14ac:dyDescent="0.25">
      <c r="A315" s="549" t="s">
        <v>998</v>
      </c>
      <c r="B315" s="549" t="s">
        <v>999</v>
      </c>
      <c r="C315" s="549" t="s">
        <v>657</v>
      </c>
      <c r="D315" s="549" t="s">
        <v>1001</v>
      </c>
      <c r="E315" s="549" t="s">
        <v>973</v>
      </c>
      <c r="F315" s="549" t="s">
        <v>1160</v>
      </c>
      <c r="G315" s="549" t="s">
        <v>1001</v>
      </c>
      <c r="H315" s="549" t="s">
        <v>657</v>
      </c>
      <c r="I315" s="549" t="s">
        <v>976</v>
      </c>
      <c r="J315" s="549" t="s">
        <v>976</v>
      </c>
      <c r="L315" s="549">
        <v>1340512.77</v>
      </c>
      <c r="M315" s="549">
        <v>101208.71</v>
      </c>
      <c r="N315" s="549">
        <v>76945.429999999993</v>
      </c>
      <c r="P315" s="549">
        <v>0</v>
      </c>
      <c r="Q315" s="549">
        <v>0</v>
      </c>
    </row>
    <row r="316" spans="1:17" x14ac:dyDescent="0.25">
      <c r="A316" s="549" t="s">
        <v>998</v>
      </c>
      <c r="B316" s="549" t="s">
        <v>999</v>
      </c>
      <c r="C316" s="549" t="s">
        <v>657</v>
      </c>
      <c r="D316" s="549" t="s">
        <v>1001</v>
      </c>
      <c r="E316" s="549" t="s">
        <v>977</v>
      </c>
      <c r="F316" s="549" t="s">
        <v>1160</v>
      </c>
      <c r="G316" s="549" t="s">
        <v>1001</v>
      </c>
      <c r="H316" s="549" t="s">
        <v>657</v>
      </c>
      <c r="I316" s="549" t="s">
        <v>976</v>
      </c>
      <c r="J316" s="549" t="s">
        <v>976</v>
      </c>
      <c r="L316" s="549">
        <v>1340512.77</v>
      </c>
      <c r="M316" s="549">
        <v>101208.71</v>
      </c>
      <c r="N316" s="549">
        <v>29625.33</v>
      </c>
      <c r="P316" s="549">
        <v>100</v>
      </c>
      <c r="Q316" s="549">
        <v>130834.04</v>
      </c>
    </row>
    <row r="317" spans="1:17" x14ac:dyDescent="0.25">
      <c r="A317" s="549" t="s">
        <v>998</v>
      </c>
      <c r="B317" s="549" t="s">
        <v>999</v>
      </c>
      <c r="C317" s="549" t="s">
        <v>657</v>
      </c>
      <c r="D317" s="549" t="s">
        <v>1001</v>
      </c>
      <c r="E317" s="549" t="s">
        <v>977</v>
      </c>
      <c r="F317" s="549" t="s">
        <v>1160</v>
      </c>
      <c r="G317" s="549" t="s">
        <v>1170</v>
      </c>
      <c r="H317" s="549" t="s">
        <v>1171</v>
      </c>
      <c r="I317" s="549" t="s">
        <v>976</v>
      </c>
      <c r="J317" s="549" t="s">
        <v>976</v>
      </c>
      <c r="L317" s="549">
        <v>1388804.56</v>
      </c>
      <c r="M317" s="549">
        <v>104854.74</v>
      </c>
      <c r="N317" s="549">
        <v>30692.58</v>
      </c>
      <c r="P317" s="549">
        <v>14.03</v>
      </c>
      <c r="Q317" s="549">
        <v>19017.29</v>
      </c>
    </row>
    <row r="318" spans="1:17" x14ac:dyDescent="0.25">
      <c r="A318" s="549" t="s">
        <v>1172</v>
      </c>
      <c r="B318" s="549" t="s">
        <v>1173</v>
      </c>
      <c r="C318" s="549" t="s">
        <v>677</v>
      </c>
      <c r="D318" s="549" t="s">
        <v>678</v>
      </c>
      <c r="E318" s="549" t="s">
        <v>977</v>
      </c>
      <c r="F318" s="549" t="s">
        <v>1160</v>
      </c>
      <c r="G318" s="549" t="s">
        <v>678</v>
      </c>
      <c r="H318" s="549" t="s">
        <v>677</v>
      </c>
      <c r="I318" s="549" t="s">
        <v>976</v>
      </c>
      <c r="J318" s="549" t="s">
        <v>976</v>
      </c>
      <c r="L318" s="549">
        <v>1384746.68</v>
      </c>
      <c r="M318" s="549">
        <v>104548.37</v>
      </c>
      <c r="N318" s="549">
        <v>30602.9</v>
      </c>
      <c r="P318" s="549">
        <v>68.14</v>
      </c>
      <c r="Q318" s="549">
        <v>92092.08</v>
      </c>
    </row>
    <row r="319" spans="1:17" x14ac:dyDescent="0.25">
      <c r="A319" s="549" t="s">
        <v>1003</v>
      </c>
      <c r="B319" s="549" t="s">
        <v>1004</v>
      </c>
      <c r="C319" s="549" t="s">
        <v>673</v>
      </c>
      <c r="D319" s="549" t="s">
        <v>674</v>
      </c>
      <c r="E319" s="549" t="s">
        <v>973</v>
      </c>
      <c r="F319" s="549" t="s">
        <v>1160</v>
      </c>
      <c r="G319" s="549" t="s">
        <v>674</v>
      </c>
      <c r="H319" s="549" t="s">
        <v>673</v>
      </c>
      <c r="I319" s="549" t="s">
        <v>976</v>
      </c>
      <c r="J319" s="549" t="s">
        <v>976</v>
      </c>
      <c r="L319" s="549">
        <v>1853548.83</v>
      </c>
      <c r="M319" s="549">
        <v>139942.94</v>
      </c>
      <c r="N319" s="549">
        <v>106393.7</v>
      </c>
      <c r="P319" s="549">
        <v>0</v>
      </c>
      <c r="Q319" s="549">
        <v>0</v>
      </c>
    </row>
    <row r="320" spans="1:17" x14ac:dyDescent="0.25">
      <c r="A320" s="549" t="s">
        <v>1003</v>
      </c>
      <c r="B320" s="549" t="s">
        <v>1004</v>
      </c>
      <c r="C320" s="549" t="s">
        <v>673</v>
      </c>
      <c r="D320" s="549" t="s">
        <v>674</v>
      </c>
      <c r="E320" s="549" t="s">
        <v>977</v>
      </c>
      <c r="F320" s="549" t="s">
        <v>1160</v>
      </c>
      <c r="G320" s="549" t="s">
        <v>674</v>
      </c>
      <c r="H320" s="549" t="s">
        <v>673</v>
      </c>
      <c r="I320" s="549" t="s">
        <v>976</v>
      </c>
      <c r="J320" s="549" t="s">
        <v>976</v>
      </c>
      <c r="L320" s="549">
        <v>1853548.83</v>
      </c>
      <c r="M320" s="549">
        <v>139942.94</v>
      </c>
      <c r="N320" s="549">
        <v>40963.43</v>
      </c>
      <c r="P320" s="549">
        <v>100</v>
      </c>
      <c r="Q320" s="549">
        <v>180906.37</v>
      </c>
    </row>
    <row r="321" spans="1:17" x14ac:dyDescent="0.25">
      <c r="A321" s="549" t="s">
        <v>1003</v>
      </c>
      <c r="B321" s="549" t="s">
        <v>1004</v>
      </c>
      <c r="C321" s="549" t="s">
        <v>673</v>
      </c>
      <c r="D321" s="549" t="s">
        <v>674</v>
      </c>
      <c r="E321" s="549" t="s">
        <v>977</v>
      </c>
      <c r="F321" s="549" t="s">
        <v>1160</v>
      </c>
      <c r="G321" s="549" t="s">
        <v>670</v>
      </c>
      <c r="H321" s="549" t="s">
        <v>520</v>
      </c>
      <c r="I321" s="549" t="s">
        <v>976</v>
      </c>
      <c r="J321" s="549" t="s">
        <v>976</v>
      </c>
      <c r="L321" s="549">
        <v>1590620.65</v>
      </c>
      <c r="M321" s="549">
        <v>120091.86</v>
      </c>
      <c r="N321" s="549">
        <v>35152.720000000001</v>
      </c>
      <c r="P321" s="549">
        <v>18.11</v>
      </c>
      <c r="Q321" s="549">
        <v>28114.79</v>
      </c>
    </row>
    <row r="322" spans="1:17" x14ac:dyDescent="0.25">
      <c r="A322" s="549" t="s">
        <v>1003</v>
      </c>
      <c r="B322" s="549" t="s">
        <v>1004</v>
      </c>
      <c r="C322" s="549" t="s">
        <v>520</v>
      </c>
      <c r="D322" s="549" t="s">
        <v>670</v>
      </c>
      <c r="E322" s="549" t="s">
        <v>977</v>
      </c>
      <c r="F322" s="549" t="s">
        <v>1160</v>
      </c>
      <c r="G322" s="549" t="s">
        <v>670</v>
      </c>
      <c r="H322" s="549" t="s">
        <v>520</v>
      </c>
      <c r="I322" s="549" t="s">
        <v>976</v>
      </c>
      <c r="J322" s="549" t="s">
        <v>976</v>
      </c>
      <c r="L322" s="549">
        <v>1590620.65</v>
      </c>
      <c r="M322" s="549">
        <v>120091.86</v>
      </c>
      <c r="N322" s="549">
        <v>35152.720000000001</v>
      </c>
      <c r="P322" s="549">
        <v>20.05</v>
      </c>
      <c r="Q322" s="549">
        <v>31126.54</v>
      </c>
    </row>
    <row r="323" spans="1:17" x14ac:dyDescent="0.25">
      <c r="A323" s="549" t="s">
        <v>1003</v>
      </c>
      <c r="B323" s="549" t="s">
        <v>1004</v>
      </c>
      <c r="C323" s="549" t="s">
        <v>671</v>
      </c>
      <c r="D323" s="549" t="s">
        <v>672</v>
      </c>
      <c r="E323" s="549" t="s">
        <v>973</v>
      </c>
      <c r="F323" s="549" t="s">
        <v>1160</v>
      </c>
      <c r="G323" s="549" t="s">
        <v>670</v>
      </c>
      <c r="H323" s="549" t="s">
        <v>520</v>
      </c>
      <c r="I323" s="549" t="s">
        <v>976</v>
      </c>
      <c r="J323" s="549" t="s">
        <v>976</v>
      </c>
      <c r="L323" s="549">
        <v>1590620.65</v>
      </c>
      <c r="M323" s="549">
        <v>120091.86</v>
      </c>
      <c r="N323" s="549">
        <v>91301.63</v>
      </c>
      <c r="P323" s="549">
        <v>1.65</v>
      </c>
      <c r="Q323" s="549">
        <v>3487.99</v>
      </c>
    </row>
    <row r="324" spans="1:17" x14ac:dyDescent="0.25">
      <c r="A324" s="549" t="s">
        <v>1003</v>
      </c>
      <c r="B324" s="549" t="s">
        <v>1004</v>
      </c>
      <c r="C324" s="549" t="s">
        <v>671</v>
      </c>
      <c r="D324" s="549" t="s">
        <v>672</v>
      </c>
      <c r="E324" s="549" t="s">
        <v>973</v>
      </c>
      <c r="F324" s="549" t="s">
        <v>1160</v>
      </c>
      <c r="G324" s="549" t="s">
        <v>672</v>
      </c>
      <c r="H324" s="549" t="s">
        <v>671</v>
      </c>
      <c r="I324" s="549" t="s">
        <v>976</v>
      </c>
      <c r="J324" s="549" t="s">
        <v>976</v>
      </c>
      <c r="L324" s="549">
        <v>1542263.4</v>
      </c>
      <c r="M324" s="549">
        <v>116440.89</v>
      </c>
      <c r="N324" s="549">
        <v>88525.92</v>
      </c>
      <c r="P324" s="549">
        <v>13.33</v>
      </c>
      <c r="Q324" s="549">
        <v>27322.080000000002</v>
      </c>
    </row>
    <row r="325" spans="1:17" x14ac:dyDescent="0.25">
      <c r="A325" s="549" t="s">
        <v>1003</v>
      </c>
      <c r="B325" s="549" t="s">
        <v>1004</v>
      </c>
      <c r="C325" s="549" t="s">
        <v>671</v>
      </c>
      <c r="D325" s="549" t="s">
        <v>672</v>
      </c>
      <c r="E325" s="549" t="s">
        <v>977</v>
      </c>
      <c r="F325" s="549" t="s">
        <v>1160</v>
      </c>
      <c r="G325" s="549" t="s">
        <v>670</v>
      </c>
      <c r="H325" s="549" t="s">
        <v>520</v>
      </c>
      <c r="I325" s="549" t="s">
        <v>976</v>
      </c>
      <c r="J325" s="549" t="s">
        <v>976</v>
      </c>
      <c r="L325" s="549">
        <v>1590620.65</v>
      </c>
      <c r="M325" s="549">
        <v>120091.86</v>
      </c>
      <c r="N325" s="549">
        <v>35152.720000000001</v>
      </c>
      <c r="P325" s="549">
        <v>10.7</v>
      </c>
      <c r="Q325" s="549">
        <v>16611.169999999998</v>
      </c>
    </row>
    <row r="326" spans="1:17" x14ac:dyDescent="0.25">
      <c r="A326" s="549" t="s">
        <v>1003</v>
      </c>
      <c r="B326" s="549" t="s">
        <v>1004</v>
      </c>
      <c r="C326" s="549" t="s">
        <v>671</v>
      </c>
      <c r="D326" s="549" t="s">
        <v>672</v>
      </c>
      <c r="E326" s="549" t="s">
        <v>977</v>
      </c>
      <c r="F326" s="549" t="s">
        <v>1160</v>
      </c>
      <c r="G326" s="549" t="s">
        <v>672</v>
      </c>
      <c r="H326" s="549" t="s">
        <v>671</v>
      </c>
      <c r="I326" s="549" t="s">
        <v>976</v>
      </c>
      <c r="J326" s="549" t="s">
        <v>976</v>
      </c>
      <c r="L326" s="549">
        <v>1542263.4</v>
      </c>
      <c r="M326" s="549">
        <v>116440.89</v>
      </c>
      <c r="N326" s="549">
        <v>34084.019999999997</v>
      </c>
      <c r="P326" s="549">
        <v>86.67</v>
      </c>
      <c r="Q326" s="549">
        <v>130459.94</v>
      </c>
    </row>
    <row r="327" spans="1:17" x14ac:dyDescent="0.25">
      <c r="A327" s="549" t="s">
        <v>1014</v>
      </c>
      <c r="B327" s="549" t="s">
        <v>1015</v>
      </c>
      <c r="C327" s="549" t="s">
        <v>519</v>
      </c>
      <c r="D327" s="549" t="s">
        <v>492</v>
      </c>
      <c r="E327" s="549" t="s">
        <v>977</v>
      </c>
      <c r="F327" s="549" t="s">
        <v>1160</v>
      </c>
      <c r="G327" s="549" t="s">
        <v>492</v>
      </c>
      <c r="H327" s="549" t="s">
        <v>519</v>
      </c>
      <c r="I327" s="549" t="s">
        <v>976</v>
      </c>
      <c r="J327" s="549" t="s">
        <v>976</v>
      </c>
      <c r="L327" s="549">
        <v>1373509.85</v>
      </c>
      <c r="M327" s="549">
        <v>103699.99</v>
      </c>
      <c r="N327" s="549">
        <v>30354.57</v>
      </c>
      <c r="P327" s="549">
        <v>3.25</v>
      </c>
      <c r="Q327" s="549">
        <v>4356.7700000000004</v>
      </c>
    </row>
    <row r="328" spans="1:17" x14ac:dyDescent="0.25">
      <c r="A328" s="549" t="s">
        <v>1007</v>
      </c>
      <c r="B328" s="549" t="s">
        <v>1008</v>
      </c>
      <c r="C328" s="549" t="s">
        <v>658</v>
      </c>
      <c r="D328" s="549" t="s">
        <v>659</v>
      </c>
      <c r="E328" s="549" t="s">
        <v>973</v>
      </c>
      <c r="F328" s="549" t="s">
        <v>1160</v>
      </c>
      <c r="G328" s="549" t="s">
        <v>659</v>
      </c>
      <c r="H328" s="549" t="s">
        <v>658</v>
      </c>
      <c r="I328" s="549" t="s">
        <v>976</v>
      </c>
      <c r="J328" s="549" t="s">
        <v>976</v>
      </c>
      <c r="L328" s="549">
        <v>2159067.61</v>
      </c>
      <c r="M328" s="549">
        <v>163009.60000000001</v>
      </c>
      <c r="N328" s="549">
        <v>123930.48</v>
      </c>
      <c r="P328" s="549">
        <v>0</v>
      </c>
      <c r="Q328" s="549">
        <v>0</v>
      </c>
    </row>
    <row r="329" spans="1:17" x14ac:dyDescent="0.25">
      <c r="A329" s="549" t="s">
        <v>1007</v>
      </c>
      <c r="B329" s="549" t="s">
        <v>1008</v>
      </c>
      <c r="C329" s="549" t="s">
        <v>658</v>
      </c>
      <c r="D329" s="549" t="s">
        <v>659</v>
      </c>
      <c r="E329" s="549" t="s">
        <v>977</v>
      </c>
      <c r="F329" s="549" t="s">
        <v>1160</v>
      </c>
      <c r="G329" s="549" t="s">
        <v>661</v>
      </c>
      <c r="H329" s="549" t="s">
        <v>660</v>
      </c>
      <c r="I329" s="549" t="s">
        <v>976</v>
      </c>
      <c r="J329" s="549" t="s">
        <v>976</v>
      </c>
      <c r="L329" s="549">
        <v>1653361.83</v>
      </c>
      <c r="M329" s="549">
        <v>124828.82</v>
      </c>
      <c r="N329" s="549">
        <v>36539.300000000003</v>
      </c>
      <c r="P329" s="549">
        <v>1.57</v>
      </c>
      <c r="Q329" s="549">
        <v>2533.48</v>
      </c>
    </row>
    <row r="330" spans="1:17" x14ac:dyDescent="0.25">
      <c r="A330" s="549" t="s">
        <v>1007</v>
      </c>
      <c r="B330" s="549" t="s">
        <v>1008</v>
      </c>
      <c r="C330" s="549" t="s">
        <v>658</v>
      </c>
      <c r="D330" s="549" t="s">
        <v>659</v>
      </c>
      <c r="E330" s="549" t="s">
        <v>977</v>
      </c>
      <c r="F330" s="549" t="s">
        <v>1160</v>
      </c>
      <c r="G330" s="549" t="s">
        <v>659</v>
      </c>
      <c r="H330" s="549" t="s">
        <v>658</v>
      </c>
      <c r="I330" s="549" t="s">
        <v>976</v>
      </c>
      <c r="J330" s="549" t="s">
        <v>976</v>
      </c>
      <c r="L330" s="549">
        <v>2159067.61</v>
      </c>
      <c r="M330" s="549">
        <v>163009.60000000001</v>
      </c>
      <c r="N330" s="549">
        <v>47715.39</v>
      </c>
      <c r="P330" s="549">
        <v>4.21</v>
      </c>
      <c r="Q330" s="549">
        <v>8871.52</v>
      </c>
    </row>
    <row r="331" spans="1:17" x14ac:dyDescent="0.25">
      <c r="A331" s="549" t="s">
        <v>1014</v>
      </c>
      <c r="B331" s="549" t="s">
        <v>1015</v>
      </c>
      <c r="C331" s="549" t="s">
        <v>519</v>
      </c>
      <c r="D331" s="549" t="s">
        <v>492</v>
      </c>
      <c r="E331" s="549" t="s">
        <v>973</v>
      </c>
      <c r="F331" s="549" t="s">
        <v>1160</v>
      </c>
      <c r="G331" s="549" t="s">
        <v>492</v>
      </c>
      <c r="H331" s="549" t="s">
        <v>519</v>
      </c>
      <c r="I331" s="549" t="s">
        <v>976</v>
      </c>
      <c r="J331" s="549" t="s">
        <v>976</v>
      </c>
      <c r="L331" s="549">
        <v>1373509.85</v>
      </c>
      <c r="M331" s="549">
        <v>103699.99</v>
      </c>
      <c r="N331" s="549">
        <v>78839.47</v>
      </c>
      <c r="P331" s="549">
        <v>0</v>
      </c>
      <c r="Q331" s="549">
        <v>0</v>
      </c>
    </row>
    <row r="332" spans="1:17" x14ac:dyDescent="0.25">
      <c r="A332" s="549" t="s">
        <v>1014</v>
      </c>
      <c r="B332" s="549" t="s">
        <v>1015</v>
      </c>
      <c r="C332" s="549" t="s">
        <v>803</v>
      </c>
      <c r="D332" s="549" t="s">
        <v>804</v>
      </c>
      <c r="E332" s="549" t="s">
        <v>977</v>
      </c>
      <c r="F332" s="549" t="s">
        <v>1160</v>
      </c>
      <c r="G332" s="549" t="s">
        <v>804</v>
      </c>
      <c r="H332" s="549" t="s">
        <v>803</v>
      </c>
      <c r="I332" s="549" t="s">
        <v>976</v>
      </c>
      <c r="J332" s="549" t="s">
        <v>976</v>
      </c>
      <c r="L332" s="549">
        <v>1170017.05</v>
      </c>
      <c r="M332" s="549">
        <v>88336.29</v>
      </c>
      <c r="N332" s="549">
        <v>25857.38</v>
      </c>
      <c r="P332" s="549">
        <v>45.51</v>
      </c>
      <c r="Q332" s="549">
        <v>51969.54</v>
      </c>
    </row>
    <row r="333" spans="1:17" x14ac:dyDescent="0.25">
      <c r="A333" s="549" t="s">
        <v>1014</v>
      </c>
      <c r="B333" s="549" t="s">
        <v>1015</v>
      </c>
      <c r="C333" s="549" t="s">
        <v>803</v>
      </c>
      <c r="D333" s="549" t="s">
        <v>804</v>
      </c>
      <c r="E333" s="549" t="s">
        <v>973</v>
      </c>
      <c r="F333" s="549" t="s">
        <v>1160</v>
      </c>
      <c r="G333" s="549" t="s">
        <v>804</v>
      </c>
      <c r="H333" s="549" t="s">
        <v>803</v>
      </c>
      <c r="I333" s="549" t="s">
        <v>976</v>
      </c>
      <c r="J333" s="549" t="s">
        <v>976</v>
      </c>
      <c r="L333" s="549">
        <v>1170017.05</v>
      </c>
      <c r="M333" s="549">
        <v>88336.29</v>
      </c>
      <c r="N333" s="549">
        <v>67158.98</v>
      </c>
      <c r="P333" s="549">
        <v>17.96</v>
      </c>
      <c r="Q333" s="549">
        <v>27926.95</v>
      </c>
    </row>
    <row r="334" spans="1:17" x14ac:dyDescent="0.25">
      <c r="A334" s="549" t="s">
        <v>1014</v>
      </c>
      <c r="B334" s="549" t="s">
        <v>1015</v>
      </c>
      <c r="C334" s="549" t="s">
        <v>776</v>
      </c>
      <c r="D334" s="549" t="s">
        <v>777</v>
      </c>
      <c r="E334" s="549" t="s">
        <v>977</v>
      </c>
      <c r="F334" s="549" t="s">
        <v>1160</v>
      </c>
      <c r="G334" s="549" t="s">
        <v>777</v>
      </c>
      <c r="H334" s="549" t="s">
        <v>776</v>
      </c>
      <c r="I334" s="549" t="s">
        <v>976</v>
      </c>
      <c r="J334" s="549" t="s">
        <v>976</v>
      </c>
      <c r="L334" s="549">
        <v>1596404.65</v>
      </c>
      <c r="M334" s="549">
        <v>120528.55</v>
      </c>
      <c r="N334" s="549">
        <v>35280.54</v>
      </c>
      <c r="P334" s="549">
        <v>35.5</v>
      </c>
      <c r="Q334" s="549">
        <v>55312.23</v>
      </c>
    </row>
    <row r="335" spans="1:17" x14ac:dyDescent="0.25">
      <c r="A335" s="549" t="s">
        <v>1014</v>
      </c>
      <c r="B335" s="549" t="s">
        <v>1015</v>
      </c>
      <c r="C335" s="549" t="s">
        <v>807</v>
      </c>
      <c r="D335" s="549" t="s">
        <v>808</v>
      </c>
      <c r="E335" s="549" t="s">
        <v>977</v>
      </c>
      <c r="F335" s="549" t="s">
        <v>1160</v>
      </c>
      <c r="G335" s="549" t="s">
        <v>808</v>
      </c>
      <c r="H335" s="549" t="s">
        <v>807</v>
      </c>
      <c r="I335" s="549" t="s">
        <v>976</v>
      </c>
      <c r="J335" s="549" t="s">
        <v>976</v>
      </c>
      <c r="L335" s="549">
        <v>451274.73</v>
      </c>
      <c r="M335" s="549">
        <v>34071.24</v>
      </c>
      <c r="N335" s="549">
        <v>9973.17</v>
      </c>
      <c r="P335" s="549">
        <v>99.68</v>
      </c>
      <c r="Q335" s="549">
        <v>43903.47</v>
      </c>
    </row>
    <row r="336" spans="1:17" x14ac:dyDescent="0.25">
      <c r="A336" s="549" t="s">
        <v>1014</v>
      </c>
      <c r="B336" s="549" t="s">
        <v>1015</v>
      </c>
      <c r="C336" s="549" t="s">
        <v>807</v>
      </c>
      <c r="D336" s="549" t="s">
        <v>808</v>
      </c>
      <c r="E336" s="549" t="s">
        <v>973</v>
      </c>
      <c r="F336" s="549" t="s">
        <v>1160</v>
      </c>
      <c r="G336" s="549" t="s">
        <v>808</v>
      </c>
      <c r="H336" s="549" t="s">
        <v>807</v>
      </c>
      <c r="I336" s="549" t="s">
        <v>976</v>
      </c>
      <c r="J336" s="549" t="s">
        <v>976</v>
      </c>
      <c r="L336" s="549">
        <v>451274.73</v>
      </c>
      <c r="M336" s="549">
        <v>34071.24</v>
      </c>
      <c r="N336" s="549">
        <v>25903.17</v>
      </c>
      <c r="P336" s="549">
        <v>0.32</v>
      </c>
      <c r="Q336" s="549">
        <v>191.92</v>
      </c>
    </row>
    <row r="337" spans="1:17" x14ac:dyDescent="0.25">
      <c r="A337" s="549" t="s">
        <v>1014</v>
      </c>
      <c r="B337" s="549" t="s">
        <v>1015</v>
      </c>
      <c r="C337" s="549" t="s">
        <v>805</v>
      </c>
      <c r="D337" s="549" t="s">
        <v>806</v>
      </c>
      <c r="E337" s="549" t="s">
        <v>977</v>
      </c>
      <c r="F337" s="549" t="s">
        <v>1160</v>
      </c>
      <c r="G337" s="549" t="s">
        <v>806</v>
      </c>
      <c r="H337" s="549" t="s">
        <v>805</v>
      </c>
      <c r="I337" s="549" t="s">
        <v>976</v>
      </c>
      <c r="J337" s="549" t="s">
        <v>976</v>
      </c>
      <c r="L337" s="549">
        <v>1316428.27</v>
      </c>
      <c r="M337" s="549">
        <v>99390.33</v>
      </c>
      <c r="N337" s="549">
        <v>29093.06</v>
      </c>
      <c r="P337" s="549">
        <v>100</v>
      </c>
      <c r="Q337" s="549">
        <v>128483.39</v>
      </c>
    </row>
    <row r="338" spans="1:17" x14ac:dyDescent="0.25">
      <c r="A338" s="549" t="s">
        <v>1014</v>
      </c>
      <c r="B338" s="549" t="s">
        <v>1015</v>
      </c>
      <c r="C338" s="549" t="s">
        <v>805</v>
      </c>
      <c r="D338" s="549" t="s">
        <v>806</v>
      </c>
      <c r="E338" s="549" t="s">
        <v>973</v>
      </c>
      <c r="F338" s="549" t="s">
        <v>1160</v>
      </c>
      <c r="G338" s="549" t="s">
        <v>806</v>
      </c>
      <c r="H338" s="549" t="s">
        <v>805</v>
      </c>
      <c r="I338" s="549" t="s">
        <v>976</v>
      </c>
      <c r="J338" s="549" t="s">
        <v>976</v>
      </c>
      <c r="L338" s="549">
        <v>1316428.27</v>
      </c>
      <c r="M338" s="549">
        <v>99390.33</v>
      </c>
      <c r="N338" s="549">
        <v>75562.98</v>
      </c>
      <c r="P338" s="549">
        <v>0</v>
      </c>
      <c r="Q338" s="549">
        <v>0</v>
      </c>
    </row>
    <row r="339" spans="1:17" x14ac:dyDescent="0.25">
      <c r="A339" s="549" t="s">
        <v>518</v>
      </c>
      <c r="B339" s="549" t="s">
        <v>1009</v>
      </c>
      <c r="C339" s="549" t="s">
        <v>536</v>
      </c>
      <c r="D339" s="549" t="s">
        <v>459</v>
      </c>
      <c r="E339" s="549" t="s">
        <v>973</v>
      </c>
      <c r="F339" s="549" t="s">
        <v>1160</v>
      </c>
      <c r="G339" s="549" t="s">
        <v>459</v>
      </c>
      <c r="H339" s="549" t="s">
        <v>536</v>
      </c>
      <c r="I339" s="549" t="s">
        <v>976</v>
      </c>
      <c r="J339" s="549" t="s">
        <v>976</v>
      </c>
      <c r="L339" s="549">
        <v>1336466.3999999999</v>
      </c>
      <c r="M339" s="549">
        <v>100903.21</v>
      </c>
      <c r="N339" s="549">
        <v>76713.17</v>
      </c>
      <c r="P339" s="549">
        <v>15.59</v>
      </c>
      <c r="Q339" s="549">
        <v>27690.39</v>
      </c>
    </row>
    <row r="340" spans="1:17" x14ac:dyDescent="0.25">
      <c r="A340" s="549" t="s">
        <v>518</v>
      </c>
      <c r="B340" s="549" t="s">
        <v>1009</v>
      </c>
      <c r="C340" s="549" t="s">
        <v>536</v>
      </c>
      <c r="D340" s="549" t="s">
        <v>459</v>
      </c>
      <c r="E340" s="549" t="s">
        <v>977</v>
      </c>
      <c r="F340" s="549" t="s">
        <v>1160</v>
      </c>
      <c r="G340" s="549" t="s">
        <v>459</v>
      </c>
      <c r="H340" s="549" t="s">
        <v>536</v>
      </c>
      <c r="I340" s="549" t="s">
        <v>976</v>
      </c>
      <c r="J340" s="549" t="s">
        <v>976</v>
      </c>
      <c r="L340" s="549">
        <v>1336466.3999999999</v>
      </c>
      <c r="M340" s="549">
        <v>100903.21</v>
      </c>
      <c r="N340" s="549">
        <v>29535.91</v>
      </c>
      <c r="P340" s="549">
        <v>1.79</v>
      </c>
      <c r="Q340" s="549">
        <v>2334.86</v>
      </c>
    </row>
    <row r="341" spans="1:17" x14ac:dyDescent="0.25">
      <c r="A341" s="549" t="s">
        <v>518</v>
      </c>
      <c r="B341" s="549" t="s">
        <v>1009</v>
      </c>
      <c r="C341" s="549" t="s">
        <v>517</v>
      </c>
      <c r="D341" s="549" t="s">
        <v>491</v>
      </c>
      <c r="E341" s="549" t="s">
        <v>973</v>
      </c>
      <c r="F341" s="549" t="s">
        <v>1160</v>
      </c>
      <c r="G341" s="549" t="s">
        <v>491</v>
      </c>
      <c r="H341" s="549" t="s">
        <v>517</v>
      </c>
      <c r="I341" s="549" t="s">
        <v>976</v>
      </c>
      <c r="J341" s="549" t="s">
        <v>976</v>
      </c>
      <c r="L341" s="549">
        <v>422118.47</v>
      </c>
      <c r="M341" s="549">
        <v>31869.94</v>
      </c>
      <c r="N341" s="549">
        <v>24229.599999999999</v>
      </c>
      <c r="P341" s="549">
        <v>100</v>
      </c>
      <c r="Q341" s="549">
        <v>56099.54</v>
      </c>
    </row>
    <row r="342" spans="1:17" x14ac:dyDescent="0.25">
      <c r="A342" s="549" t="s">
        <v>518</v>
      </c>
      <c r="B342" s="549" t="s">
        <v>1009</v>
      </c>
      <c r="C342" s="549" t="s">
        <v>517</v>
      </c>
      <c r="D342" s="549" t="s">
        <v>491</v>
      </c>
      <c r="E342" s="549" t="s">
        <v>977</v>
      </c>
      <c r="F342" s="549" t="s">
        <v>1160</v>
      </c>
      <c r="G342" s="549" t="s">
        <v>491</v>
      </c>
      <c r="H342" s="549" t="s">
        <v>517</v>
      </c>
      <c r="I342" s="549" t="s">
        <v>976</v>
      </c>
      <c r="J342" s="549" t="s">
        <v>976</v>
      </c>
      <c r="L342" s="549">
        <v>422118.47</v>
      </c>
      <c r="M342" s="549">
        <v>31869.94</v>
      </c>
      <c r="N342" s="549">
        <v>9328.82</v>
      </c>
      <c r="P342" s="549">
        <v>0</v>
      </c>
      <c r="Q342" s="549">
        <v>0</v>
      </c>
    </row>
    <row r="343" spans="1:17" x14ac:dyDescent="0.25">
      <c r="A343" s="549" t="s">
        <v>518</v>
      </c>
      <c r="B343" s="549" t="s">
        <v>1009</v>
      </c>
      <c r="C343" s="549" t="s">
        <v>534</v>
      </c>
      <c r="D343" s="549" t="s">
        <v>645</v>
      </c>
      <c r="E343" s="549" t="s">
        <v>973</v>
      </c>
      <c r="F343" s="549" t="s">
        <v>1160</v>
      </c>
      <c r="G343" s="549" t="s">
        <v>653</v>
      </c>
      <c r="H343" s="549" t="s">
        <v>652</v>
      </c>
      <c r="I343" s="549" t="s">
        <v>976</v>
      </c>
      <c r="J343" s="549" t="s">
        <v>976</v>
      </c>
      <c r="L343" s="549">
        <v>2028049.75</v>
      </c>
      <c r="M343" s="549">
        <v>153117.76000000001</v>
      </c>
      <c r="N343" s="549">
        <v>116410.06</v>
      </c>
      <c r="P343" s="549">
        <v>2.4300000000000002</v>
      </c>
      <c r="Q343" s="549">
        <v>6549.53</v>
      </c>
    </row>
    <row r="344" spans="1:17" x14ac:dyDescent="0.25">
      <c r="A344" s="549" t="s">
        <v>518</v>
      </c>
      <c r="B344" s="549" t="s">
        <v>1009</v>
      </c>
      <c r="C344" s="549" t="s">
        <v>534</v>
      </c>
      <c r="D344" s="549" t="s">
        <v>645</v>
      </c>
      <c r="E344" s="549" t="s">
        <v>973</v>
      </c>
      <c r="F344" s="549" t="s">
        <v>1160</v>
      </c>
      <c r="G344" s="549" t="s">
        <v>645</v>
      </c>
      <c r="H344" s="549" t="s">
        <v>534</v>
      </c>
      <c r="I344" s="549" t="s">
        <v>976</v>
      </c>
      <c r="J344" s="549" t="s">
        <v>976</v>
      </c>
      <c r="L344" s="549">
        <v>1254659.1000000001</v>
      </c>
      <c r="M344" s="549">
        <v>94726.76</v>
      </c>
      <c r="N344" s="549">
        <v>72017.429999999993</v>
      </c>
      <c r="P344" s="549">
        <v>86.35</v>
      </c>
      <c r="Q344" s="549">
        <v>143983.60999999999</v>
      </c>
    </row>
    <row r="345" spans="1:17" x14ac:dyDescent="0.25">
      <c r="A345" s="549" t="s">
        <v>518</v>
      </c>
      <c r="B345" s="549" t="s">
        <v>1009</v>
      </c>
      <c r="C345" s="549" t="s">
        <v>534</v>
      </c>
      <c r="D345" s="549" t="s">
        <v>645</v>
      </c>
      <c r="E345" s="549" t="s">
        <v>977</v>
      </c>
      <c r="F345" s="549" t="s">
        <v>1160</v>
      </c>
      <c r="G345" s="549" t="s">
        <v>653</v>
      </c>
      <c r="H345" s="549" t="s">
        <v>652</v>
      </c>
      <c r="I345" s="549" t="s">
        <v>976</v>
      </c>
      <c r="J345" s="549" t="s">
        <v>976</v>
      </c>
      <c r="L345" s="549">
        <v>2028049.75</v>
      </c>
      <c r="M345" s="549">
        <v>153117.76000000001</v>
      </c>
      <c r="N345" s="549">
        <v>44819.9</v>
      </c>
      <c r="P345" s="549">
        <v>0.02</v>
      </c>
      <c r="Q345" s="549">
        <v>39.590000000000003</v>
      </c>
    </row>
    <row r="346" spans="1:17" x14ac:dyDescent="0.25">
      <c r="A346" s="549" t="s">
        <v>518</v>
      </c>
      <c r="B346" s="549" t="s">
        <v>1009</v>
      </c>
      <c r="C346" s="549" t="s">
        <v>534</v>
      </c>
      <c r="D346" s="549" t="s">
        <v>645</v>
      </c>
      <c r="E346" s="549" t="s">
        <v>977</v>
      </c>
      <c r="F346" s="549" t="s">
        <v>1160</v>
      </c>
      <c r="G346" s="549" t="s">
        <v>645</v>
      </c>
      <c r="H346" s="549" t="s">
        <v>534</v>
      </c>
      <c r="I346" s="549" t="s">
        <v>976</v>
      </c>
      <c r="J346" s="549" t="s">
        <v>976</v>
      </c>
      <c r="L346" s="549">
        <v>1254659.1000000001</v>
      </c>
      <c r="M346" s="549">
        <v>94726.76</v>
      </c>
      <c r="N346" s="549">
        <v>27727.97</v>
      </c>
      <c r="P346" s="549">
        <v>0.56000000000000005</v>
      </c>
      <c r="Q346" s="549">
        <v>685.75</v>
      </c>
    </row>
    <row r="347" spans="1:17" x14ac:dyDescent="0.25">
      <c r="A347" s="549" t="s">
        <v>518</v>
      </c>
      <c r="B347" s="549" t="s">
        <v>1009</v>
      </c>
      <c r="C347" s="549" t="s">
        <v>533</v>
      </c>
      <c r="D347" s="549" t="s">
        <v>457</v>
      </c>
      <c r="E347" s="549" t="s">
        <v>973</v>
      </c>
      <c r="F347" s="549" t="s">
        <v>1160</v>
      </c>
      <c r="G347" s="549" t="s">
        <v>457</v>
      </c>
      <c r="H347" s="549" t="s">
        <v>533</v>
      </c>
      <c r="I347" s="549" t="s">
        <v>976</v>
      </c>
      <c r="J347" s="549" t="s">
        <v>976</v>
      </c>
      <c r="L347" s="549">
        <v>1162868.76</v>
      </c>
      <c r="M347" s="549">
        <v>87796.59</v>
      </c>
      <c r="N347" s="549">
        <v>66748.67</v>
      </c>
      <c r="P347" s="549">
        <v>100</v>
      </c>
      <c r="Q347" s="549">
        <v>154545.26</v>
      </c>
    </row>
    <row r="348" spans="1:17" x14ac:dyDescent="0.25">
      <c r="A348" s="549" t="s">
        <v>518</v>
      </c>
      <c r="B348" s="549" t="s">
        <v>1009</v>
      </c>
      <c r="C348" s="549" t="s">
        <v>533</v>
      </c>
      <c r="D348" s="549" t="s">
        <v>457</v>
      </c>
      <c r="E348" s="549" t="s">
        <v>977</v>
      </c>
      <c r="F348" s="549" t="s">
        <v>1160</v>
      </c>
      <c r="G348" s="549" t="s">
        <v>457</v>
      </c>
      <c r="H348" s="549" t="s">
        <v>533</v>
      </c>
      <c r="I348" s="549" t="s">
        <v>976</v>
      </c>
      <c r="J348" s="549" t="s">
        <v>976</v>
      </c>
      <c r="L348" s="549">
        <v>1162868.76</v>
      </c>
      <c r="M348" s="549">
        <v>87796.59</v>
      </c>
      <c r="N348" s="549">
        <v>25699.4</v>
      </c>
      <c r="P348" s="549">
        <v>0</v>
      </c>
      <c r="Q348" s="549">
        <v>0</v>
      </c>
    </row>
    <row r="349" spans="1:17" x14ac:dyDescent="0.25">
      <c r="A349" s="549" t="s">
        <v>518</v>
      </c>
      <c r="B349" s="549" t="s">
        <v>1009</v>
      </c>
      <c r="C349" s="549" t="s">
        <v>519</v>
      </c>
      <c r="D349" s="549" t="s">
        <v>492</v>
      </c>
      <c r="E349" s="549" t="s">
        <v>973</v>
      </c>
      <c r="F349" s="549" t="s">
        <v>1160</v>
      </c>
      <c r="G349" s="549" t="s">
        <v>492</v>
      </c>
      <c r="H349" s="549" t="s">
        <v>519</v>
      </c>
      <c r="I349" s="549" t="s">
        <v>976</v>
      </c>
      <c r="J349" s="549" t="s">
        <v>976</v>
      </c>
      <c r="L349" s="549">
        <v>1373509.85</v>
      </c>
      <c r="M349" s="549">
        <v>103699.99</v>
      </c>
      <c r="N349" s="549">
        <v>78839.47</v>
      </c>
      <c r="P349" s="549">
        <v>94.78</v>
      </c>
      <c r="Q349" s="549">
        <v>173010.9</v>
      </c>
    </row>
    <row r="350" spans="1:17" x14ac:dyDescent="0.25">
      <c r="A350" s="549" t="s">
        <v>518</v>
      </c>
      <c r="B350" s="549" t="s">
        <v>1009</v>
      </c>
      <c r="C350" s="549" t="s">
        <v>519</v>
      </c>
      <c r="D350" s="549" t="s">
        <v>492</v>
      </c>
      <c r="E350" s="549" t="s">
        <v>977</v>
      </c>
      <c r="F350" s="549" t="s">
        <v>1160</v>
      </c>
      <c r="G350" s="549" t="s">
        <v>492</v>
      </c>
      <c r="H350" s="549" t="s">
        <v>519</v>
      </c>
      <c r="I350" s="549" t="s">
        <v>976</v>
      </c>
      <c r="J350" s="549" t="s">
        <v>976</v>
      </c>
      <c r="L350" s="549">
        <v>1373509.85</v>
      </c>
      <c r="M350" s="549">
        <v>103699.99</v>
      </c>
      <c r="N350" s="549">
        <v>30354.57</v>
      </c>
      <c r="P350" s="549">
        <v>1.98</v>
      </c>
      <c r="Q350" s="549">
        <v>2654.28</v>
      </c>
    </row>
    <row r="351" spans="1:17" x14ac:dyDescent="0.25">
      <c r="A351" s="549" t="s">
        <v>518</v>
      </c>
      <c r="B351" s="549" t="s">
        <v>1009</v>
      </c>
      <c r="C351" s="549" t="s">
        <v>520</v>
      </c>
      <c r="D351" s="549" t="s">
        <v>670</v>
      </c>
      <c r="E351" s="549" t="s">
        <v>973</v>
      </c>
      <c r="F351" s="549" t="s">
        <v>1160</v>
      </c>
      <c r="G351" s="549" t="s">
        <v>670</v>
      </c>
      <c r="H351" s="549" t="s">
        <v>520</v>
      </c>
      <c r="I351" s="549" t="s">
        <v>976</v>
      </c>
      <c r="J351" s="549" t="s">
        <v>976</v>
      </c>
      <c r="L351" s="549">
        <v>1590620.65</v>
      </c>
      <c r="M351" s="549">
        <v>120091.86</v>
      </c>
      <c r="N351" s="549">
        <v>91301.63</v>
      </c>
      <c r="P351" s="549">
        <v>16.489999999999998</v>
      </c>
      <c r="Q351" s="549">
        <v>34858.79</v>
      </c>
    </row>
    <row r="352" spans="1:17" x14ac:dyDescent="0.25">
      <c r="A352" s="549" t="s">
        <v>1018</v>
      </c>
      <c r="B352" s="549" t="s">
        <v>1019</v>
      </c>
      <c r="C352" s="549" t="s">
        <v>817</v>
      </c>
      <c r="D352" s="549" t="s">
        <v>818</v>
      </c>
      <c r="E352" s="549" t="s">
        <v>977</v>
      </c>
      <c r="F352" s="549" t="s">
        <v>1160</v>
      </c>
      <c r="G352" s="549" t="s">
        <v>818</v>
      </c>
      <c r="H352" s="549" t="s">
        <v>817</v>
      </c>
      <c r="I352" s="549" t="s">
        <v>976</v>
      </c>
      <c r="J352" s="549" t="s">
        <v>976</v>
      </c>
      <c r="L352" s="549">
        <v>1980948.71</v>
      </c>
      <c r="M352" s="549">
        <v>149561.63</v>
      </c>
      <c r="N352" s="549">
        <v>43778.97</v>
      </c>
      <c r="P352" s="549">
        <v>61.06</v>
      </c>
      <c r="Q352" s="549">
        <v>118053.77</v>
      </c>
    </row>
    <row r="353" spans="1:17" x14ac:dyDescent="0.25">
      <c r="A353" s="549" t="s">
        <v>1018</v>
      </c>
      <c r="B353" s="549" t="s">
        <v>1019</v>
      </c>
      <c r="C353" s="549" t="s">
        <v>811</v>
      </c>
      <c r="D353" s="549" t="s">
        <v>812</v>
      </c>
      <c r="E353" s="549" t="s">
        <v>973</v>
      </c>
      <c r="F353" s="549" t="s">
        <v>1160</v>
      </c>
      <c r="G353" s="549" t="s">
        <v>812</v>
      </c>
      <c r="H353" s="549" t="s">
        <v>811</v>
      </c>
      <c r="I353" s="549" t="s">
        <v>976</v>
      </c>
      <c r="J353" s="549" t="s">
        <v>976</v>
      </c>
      <c r="L353" s="549">
        <v>1580792.26</v>
      </c>
      <c r="M353" s="549">
        <v>119349.82</v>
      </c>
      <c r="N353" s="549">
        <v>90737.48</v>
      </c>
      <c r="P353" s="549">
        <v>0</v>
      </c>
      <c r="Q353" s="549">
        <v>0</v>
      </c>
    </row>
    <row r="354" spans="1:17" x14ac:dyDescent="0.25">
      <c r="A354" s="549" t="s">
        <v>1018</v>
      </c>
      <c r="B354" s="549" t="s">
        <v>1019</v>
      </c>
      <c r="C354" s="549" t="s">
        <v>811</v>
      </c>
      <c r="D354" s="549" t="s">
        <v>812</v>
      </c>
      <c r="E354" s="549" t="s">
        <v>977</v>
      </c>
      <c r="F354" s="549" t="s">
        <v>1160</v>
      </c>
      <c r="G354" s="549" t="s">
        <v>812</v>
      </c>
      <c r="H354" s="549" t="s">
        <v>811</v>
      </c>
      <c r="I354" s="549" t="s">
        <v>976</v>
      </c>
      <c r="J354" s="549" t="s">
        <v>976</v>
      </c>
      <c r="L354" s="549">
        <v>1580792.26</v>
      </c>
      <c r="M354" s="549">
        <v>119349.82</v>
      </c>
      <c r="N354" s="549">
        <v>34935.51</v>
      </c>
      <c r="P354" s="549">
        <v>100</v>
      </c>
      <c r="Q354" s="549">
        <v>154285.32999999999</v>
      </c>
    </row>
    <row r="355" spans="1:17" x14ac:dyDescent="0.25">
      <c r="A355" s="549" t="s">
        <v>1018</v>
      </c>
      <c r="B355" s="549" t="s">
        <v>1019</v>
      </c>
      <c r="C355" s="549" t="s">
        <v>821</v>
      </c>
      <c r="D355" s="549" t="s">
        <v>822</v>
      </c>
      <c r="E355" s="549" t="s">
        <v>977</v>
      </c>
      <c r="F355" s="549" t="s">
        <v>1160</v>
      </c>
      <c r="G355" s="549" t="s">
        <v>822</v>
      </c>
      <c r="H355" s="549" t="s">
        <v>821</v>
      </c>
      <c r="I355" s="549" t="s">
        <v>976</v>
      </c>
      <c r="J355" s="549" t="s">
        <v>976</v>
      </c>
      <c r="L355" s="549">
        <v>2404790.63</v>
      </c>
      <c r="M355" s="549">
        <v>181561.69</v>
      </c>
      <c r="N355" s="549">
        <v>53145.87</v>
      </c>
      <c r="P355" s="549">
        <v>27.96</v>
      </c>
      <c r="Q355" s="549">
        <v>65624.23</v>
      </c>
    </row>
    <row r="356" spans="1:17" x14ac:dyDescent="0.25">
      <c r="A356" s="549" t="s">
        <v>1018</v>
      </c>
      <c r="B356" s="549" t="s">
        <v>1019</v>
      </c>
      <c r="C356" s="549" t="s">
        <v>823</v>
      </c>
      <c r="D356" s="549" t="s">
        <v>824</v>
      </c>
      <c r="E356" s="549" t="s">
        <v>973</v>
      </c>
      <c r="F356" s="549" t="s">
        <v>1160</v>
      </c>
      <c r="G356" s="549" t="s">
        <v>824</v>
      </c>
      <c r="H356" s="549" t="s">
        <v>823</v>
      </c>
      <c r="I356" s="549" t="s">
        <v>976</v>
      </c>
      <c r="J356" s="549" t="s">
        <v>976</v>
      </c>
      <c r="L356" s="549">
        <v>1757360.02</v>
      </c>
      <c r="M356" s="549">
        <v>132680.68</v>
      </c>
      <c r="N356" s="549">
        <v>100872.47</v>
      </c>
      <c r="P356" s="549">
        <v>0</v>
      </c>
      <c r="Q356" s="549">
        <v>0</v>
      </c>
    </row>
    <row r="357" spans="1:17" x14ac:dyDescent="0.25">
      <c r="A357" s="549" t="s">
        <v>1018</v>
      </c>
      <c r="B357" s="549" t="s">
        <v>1019</v>
      </c>
      <c r="C357" s="549" t="s">
        <v>823</v>
      </c>
      <c r="D357" s="549" t="s">
        <v>824</v>
      </c>
      <c r="E357" s="549" t="s">
        <v>977</v>
      </c>
      <c r="F357" s="549" t="s">
        <v>1160</v>
      </c>
      <c r="G357" s="549" t="s">
        <v>824</v>
      </c>
      <c r="H357" s="549" t="s">
        <v>823</v>
      </c>
      <c r="I357" s="549" t="s">
        <v>976</v>
      </c>
      <c r="J357" s="549" t="s">
        <v>976</v>
      </c>
      <c r="L357" s="549">
        <v>1757360.02</v>
      </c>
      <c r="M357" s="549">
        <v>132680.68</v>
      </c>
      <c r="N357" s="549">
        <v>38837.660000000003</v>
      </c>
      <c r="P357" s="549">
        <v>100</v>
      </c>
      <c r="Q357" s="549">
        <v>171518.34</v>
      </c>
    </row>
    <row r="358" spans="1:17" x14ac:dyDescent="0.25">
      <c r="A358" s="549" t="s">
        <v>1018</v>
      </c>
      <c r="B358" s="549" t="s">
        <v>1019</v>
      </c>
      <c r="C358" s="549" t="s">
        <v>823</v>
      </c>
      <c r="D358" s="549" t="s">
        <v>824</v>
      </c>
      <c r="E358" s="549" t="s">
        <v>977</v>
      </c>
      <c r="F358" s="549" t="s">
        <v>1160</v>
      </c>
      <c r="G358" s="549" t="s">
        <v>815</v>
      </c>
      <c r="H358" s="549" t="s">
        <v>814</v>
      </c>
      <c r="I358" s="549" t="s">
        <v>976</v>
      </c>
      <c r="J358" s="549" t="s">
        <v>976</v>
      </c>
      <c r="L358" s="549">
        <v>1862685.54</v>
      </c>
      <c r="M358" s="549">
        <v>140632.76</v>
      </c>
      <c r="N358" s="549">
        <v>41165.35</v>
      </c>
      <c r="P358" s="549">
        <v>4.6399999999999997</v>
      </c>
      <c r="Q358" s="549">
        <v>8435.43</v>
      </c>
    </row>
    <row r="359" spans="1:17" x14ac:dyDescent="0.25">
      <c r="A359" s="549" t="s">
        <v>1018</v>
      </c>
      <c r="B359" s="549" t="s">
        <v>1019</v>
      </c>
      <c r="C359" s="549" t="s">
        <v>814</v>
      </c>
      <c r="D359" s="549" t="s">
        <v>815</v>
      </c>
      <c r="E359" s="549" t="s">
        <v>977</v>
      </c>
      <c r="F359" s="549" t="s">
        <v>1160</v>
      </c>
      <c r="G359" s="549" t="s">
        <v>815</v>
      </c>
      <c r="H359" s="549" t="s">
        <v>814</v>
      </c>
      <c r="I359" s="549" t="s">
        <v>976</v>
      </c>
      <c r="J359" s="549" t="s">
        <v>976</v>
      </c>
      <c r="L359" s="549">
        <v>1862685.54</v>
      </c>
      <c r="M359" s="549">
        <v>140632.76</v>
      </c>
      <c r="N359" s="549">
        <v>41165.35</v>
      </c>
      <c r="P359" s="549">
        <v>9.27</v>
      </c>
      <c r="Q359" s="549">
        <v>16852.68</v>
      </c>
    </row>
    <row r="360" spans="1:17" x14ac:dyDescent="0.25">
      <c r="A360" s="549" t="s">
        <v>1018</v>
      </c>
      <c r="B360" s="549" t="s">
        <v>1019</v>
      </c>
      <c r="C360" s="549" t="s">
        <v>507</v>
      </c>
      <c r="D360" s="549" t="s">
        <v>816</v>
      </c>
      <c r="E360" s="549" t="s">
        <v>973</v>
      </c>
      <c r="F360" s="549" t="s">
        <v>1160</v>
      </c>
      <c r="G360" s="549" t="s">
        <v>816</v>
      </c>
      <c r="H360" s="549" t="s">
        <v>507</v>
      </c>
      <c r="I360" s="549" t="s">
        <v>976</v>
      </c>
      <c r="J360" s="549" t="s">
        <v>976</v>
      </c>
      <c r="L360" s="549">
        <v>1677708.7</v>
      </c>
      <c r="M360" s="549">
        <v>126667.01</v>
      </c>
      <c r="N360" s="549">
        <v>96300.479999999996</v>
      </c>
      <c r="P360" s="549">
        <v>29.45</v>
      </c>
      <c r="Q360" s="549">
        <v>65663.929999999993</v>
      </c>
    </row>
    <row r="361" spans="1:17" x14ac:dyDescent="0.25">
      <c r="A361" s="549" t="s">
        <v>1018</v>
      </c>
      <c r="B361" s="549" t="s">
        <v>1019</v>
      </c>
      <c r="C361" s="549" t="s">
        <v>507</v>
      </c>
      <c r="D361" s="549" t="s">
        <v>816</v>
      </c>
      <c r="E361" s="549" t="s">
        <v>977</v>
      </c>
      <c r="F361" s="549" t="s">
        <v>1160</v>
      </c>
      <c r="G361" s="549" t="s">
        <v>816</v>
      </c>
      <c r="H361" s="549" t="s">
        <v>507</v>
      </c>
      <c r="I361" s="549" t="s">
        <v>976</v>
      </c>
      <c r="J361" s="549" t="s">
        <v>976</v>
      </c>
      <c r="L361" s="549">
        <v>1677708.7</v>
      </c>
      <c r="M361" s="549">
        <v>126667.01</v>
      </c>
      <c r="N361" s="549">
        <v>37077.360000000001</v>
      </c>
      <c r="P361" s="549">
        <v>15.35</v>
      </c>
      <c r="Q361" s="549">
        <v>25134.76</v>
      </c>
    </row>
    <row r="362" spans="1:17" x14ac:dyDescent="0.25">
      <c r="A362" s="549" t="s">
        <v>1018</v>
      </c>
      <c r="B362" s="549" t="s">
        <v>1019</v>
      </c>
      <c r="C362" s="549" t="s">
        <v>819</v>
      </c>
      <c r="D362" s="549" t="s">
        <v>820</v>
      </c>
      <c r="E362" s="549" t="s">
        <v>973</v>
      </c>
      <c r="F362" s="549" t="s">
        <v>1160</v>
      </c>
      <c r="G362" s="549" t="s">
        <v>820</v>
      </c>
      <c r="H362" s="549" t="s">
        <v>819</v>
      </c>
      <c r="I362" s="549" t="s">
        <v>976</v>
      </c>
      <c r="J362" s="549" t="s">
        <v>976</v>
      </c>
      <c r="L362" s="549">
        <v>2149489.33</v>
      </c>
      <c r="M362" s="549">
        <v>162286.44</v>
      </c>
      <c r="N362" s="549">
        <v>123380.69</v>
      </c>
      <c r="P362" s="549">
        <v>0</v>
      </c>
      <c r="Q362" s="549">
        <v>0</v>
      </c>
    </row>
    <row r="363" spans="1:17" x14ac:dyDescent="0.25">
      <c r="A363" s="549" t="s">
        <v>1018</v>
      </c>
      <c r="B363" s="549" t="s">
        <v>1019</v>
      </c>
      <c r="C363" s="549" t="s">
        <v>819</v>
      </c>
      <c r="D363" s="549" t="s">
        <v>820</v>
      </c>
      <c r="E363" s="549" t="s">
        <v>977</v>
      </c>
      <c r="F363" s="549" t="s">
        <v>1160</v>
      </c>
      <c r="G363" s="549" t="s">
        <v>822</v>
      </c>
      <c r="H363" s="549" t="s">
        <v>821</v>
      </c>
      <c r="I363" s="549" t="s">
        <v>976</v>
      </c>
      <c r="J363" s="549" t="s">
        <v>976</v>
      </c>
      <c r="L363" s="549">
        <v>2404790.63</v>
      </c>
      <c r="M363" s="549">
        <v>181561.69</v>
      </c>
      <c r="N363" s="549">
        <v>53145.87</v>
      </c>
      <c r="P363" s="549">
        <v>10.15</v>
      </c>
      <c r="Q363" s="549">
        <v>23822.82</v>
      </c>
    </row>
    <row r="364" spans="1:17" x14ac:dyDescent="0.25">
      <c r="A364" s="549" t="s">
        <v>1018</v>
      </c>
      <c r="B364" s="549" t="s">
        <v>1019</v>
      </c>
      <c r="C364" s="549" t="s">
        <v>819</v>
      </c>
      <c r="D364" s="549" t="s">
        <v>820</v>
      </c>
      <c r="E364" s="549" t="s">
        <v>977</v>
      </c>
      <c r="F364" s="549" t="s">
        <v>1160</v>
      </c>
      <c r="G364" s="549" t="s">
        <v>820</v>
      </c>
      <c r="H364" s="549" t="s">
        <v>819</v>
      </c>
      <c r="I364" s="549" t="s">
        <v>976</v>
      </c>
      <c r="J364" s="549" t="s">
        <v>976</v>
      </c>
      <c r="L364" s="549">
        <v>2149489.33</v>
      </c>
      <c r="M364" s="549">
        <v>162286.44</v>
      </c>
      <c r="N364" s="549">
        <v>47503.71</v>
      </c>
      <c r="P364" s="549">
        <v>100</v>
      </c>
      <c r="Q364" s="549">
        <v>209790.15</v>
      </c>
    </row>
    <row r="365" spans="1:17" x14ac:dyDescent="0.25">
      <c r="A365" s="549" t="s">
        <v>1174</v>
      </c>
      <c r="B365" s="549" t="s">
        <v>574</v>
      </c>
      <c r="C365" s="549" t="s">
        <v>515</v>
      </c>
      <c r="D365" s="549" t="s">
        <v>675</v>
      </c>
      <c r="E365" s="549" t="s">
        <v>973</v>
      </c>
      <c r="F365" s="549" t="s">
        <v>1160</v>
      </c>
      <c r="G365" s="549" t="s">
        <v>675</v>
      </c>
      <c r="H365" s="549" t="s">
        <v>515</v>
      </c>
      <c r="I365" s="549" t="s">
        <v>976</v>
      </c>
      <c r="J365" s="549" t="s">
        <v>976</v>
      </c>
      <c r="L365" s="549">
        <v>1381034.83</v>
      </c>
      <c r="M365" s="549">
        <v>104268.13</v>
      </c>
      <c r="N365" s="549">
        <v>79271.399999999994</v>
      </c>
      <c r="P365" s="549">
        <v>30.17</v>
      </c>
      <c r="Q365" s="549">
        <v>55373.88</v>
      </c>
    </row>
    <row r="366" spans="1:17" x14ac:dyDescent="0.25">
      <c r="A366" s="549" t="s">
        <v>1174</v>
      </c>
      <c r="B366" s="549" t="s">
        <v>574</v>
      </c>
      <c r="C366" s="549" t="s">
        <v>515</v>
      </c>
      <c r="D366" s="549" t="s">
        <v>675</v>
      </c>
      <c r="E366" s="549" t="s">
        <v>977</v>
      </c>
      <c r="F366" s="549" t="s">
        <v>1160</v>
      </c>
      <c r="G366" s="549" t="s">
        <v>675</v>
      </c>
      <c r="H366" s="549" t="s">
        <v>515</v>
      </c>
      <c r="I366" s="549" t="s">
        <v>976</v>
      </c>
      <c r="J366" s="549" t="s">
        <v>976</v>
      </c>
      <c r="L366" s="549">
        <v>1381034.83</v>
      </c>
      <c r="M366" s="549">
        <v>104268.13</v>
      </c>
      <c r="N366" s="549">
        <v>30520.87</v>
      </c>
      <c r="P366" s="549">
        <v>68.290000000000006</v>
      </c>
      <c r="Q366" s="549">
        <v>92047.41</v>
      </c>
    </row>
    <row r="367" spans="1:17" x14ac:dyDescent="0.25">
      <c r="A367" s="549" t="s">
        <v>1174</v>
      </c>
      <c r="B367" s="549" t="s">
        <v>574</v>
      </c>
      <c r="C367" s="549" t="s">
        <v>676</v>
      </c>
      <c r="D367" s="549" t="s">
        <v>466</v>
      </c>
      <c r="E367" s="549" t="s">
        <v>977</v>
      </c>
      <c r="F367" s="549" t="s">
        <v>1160</v>
      </c>
      <c r="G367" s="549" t="s">
        <v>466</v>
      </c>
      <c r="H367" s="549" t="s">
        <v>676</v>
      </c>
      <c r="I367" s="549" t="s">
        <v>976</v>
      </c>
      <c r="J367" s="549" t="s">
        <v>976</v>
      </c>
      <c r="L367" s="549">
        <v>1776958.12</v>
      </c>
      <c r="M367" s="549">
        <v>134160.34</v>
      </c>
      <c r="N367" s="549">
        <v>39270.769999999997</v>
      </c>
      <c r="P367" s="549">
        <v>82.79</v>
      </c>
      <c r="Q367" s="549">
        <v>143583.62</v>
      </c>
    </row>
    <row r="368" spans="1:17" x14ac:dyDescent="0.25">
      <c r="A368" s="549" t="s">
        <v>1023</v>
      </c>
      <c r="B368" s="549" t="s">
        <v>1024</v>
      </c>
      <c r="C368" s="549" t="s">
        <v>684</v>
      </c>
      <c r="D368" s="549" t="s">
        <v>685</v>
      </c>
      <c r="E368" s="549" t="s">
        <v>973</v>
      </c>
      <c r="F368" s="549" t="s">
        <v>1160</v>
      </c>
      <c r="G368" s="549" t="s">
        <v>685</v>
      </c>
      <c r="H368" s="549" t="s">
        <v>684</v>
      </c>
      <c r="I368" s="549" t="s">
        <v>1096</v>
      </c>
      <c r="J368" s="549" t="s">
        <v>1096</v>
      </c>
      <c r="L368" s="549">
        <v>1861636.57</v>
      </c>
      <c r="M368" s="549">
        <v>0</v>
      </c>
      <c r="N368" s="549">
        <v>0</v>
      </c>
      <c r="P368" s="549">
        <v>31.63</v>
      </c>
      <c r="Q368" s="549">
        <v>0</v>
      </c>
    </row>
    <row r="369" spans="1:17" x14ac:dyDescent="0.25">
      <c r="A369" s="549" t="s">
        <v>1023</v>
      </c>
      <c r="B369" s="549" t="s">
        <v>1024</v>
      </c>
      <c r="C369" s="549" t="s">
        <v>684</v>
      </c>
      <c r="D369" s="549" t="s">
        <v>685</v>
      </c>
      <c r="E369" s="549" t="s">
        <v>977</v>
      </c>
      <c r="F369" s="549" t="s">
        <v>1160</v>
      </c>
      <c r="G369" s="549" t="s">
        <v>685</v>
      </c>
      <c r="H369" s="549" t="s">
        <v>684</v>
      </c>
      <c r="I369" s="549" t="s">
        <v>1096</v>
      </c>
      <c r="J369" s="549" t="s">
        <v>1096</v>
      </c>
      <c r="L369" s="549">
        <v>1861636.57</v>
      </c>
      <c r="M369" s="549">
        <v>0</v>
      </c>
      <c r="N369" s="549">
        <v>0</v>
      </c>
      <c r="P369" s="549">
        <v>14.02</v>
      </c>
      <c r="Q369" s="549">
        <v>0</v>
      </c>
    </row>
    <row r="370" spans="1:17" x14ac:dyDescent="0.25">
      <c r="A370" s="549" t="s">
        <v>1023</v>
      </c>
      <c r="B370" s="549" t="s">
        <v>1024</v>
      </c>
      <c r="C370" s="549" t="s">
        <v>228</v>
      </c>
      <c r="D370" s="549" t="s">
        <v>683</v>
      </c>
      <c r="E370" s="549" t="s">
        <v>973</v>
      </c>
      <c r="F370" s="549" t="s">
        <v>1160</v>
      </c>
      <c r="G370" s="549" t="s">
        <v>683</v>
      </c>
      <c r="H370" s="549" t="s">
        <v>228</v>
      </c>
      <c r="I370" s="549" t="s">
        <v>976</v>
      </c>
      <c r="J370" s="549" t="s">
        <v>976</v>
      </c>
      <c r="L370" s="549">
        <v>1896404.86</v>
      </c>
      <c r="M370" s="549">
        <v>143178.57</v>
      </c>
      <c r="N370" s="549">
        <v>108853.64</v>
      </c>
      <c r="P370" s="549">
        <v>0.14000000000000001</v>
      </c>
      <c r="Q370" s="549">
        <v>352.85</v>
      </c>
    </row>
    <row r="371" spans="1:17" x14ac:dyDescent="0.25">
      <c r="A371" s="549" t="s">
        <v>1023</v>
      </c>
      <c r="B371" s="549" t="s">
        <v>1024</v>
      </c>
      <c r="C371" s="549" t="s">
        <v>228</v>
      </c>
      <c r="D371" s="549" t="s">
        <v>683</v>
      </c>
      <c r="E371" s="549" t="s">
        <v>977</v>
      </c>
      <c r="F371" s="549" t="s">
        <v>1160</v>
      </c>
      <c r="G371" s="549" t="s">
        <v>683</v>
      </c>
      <c r="H371" s="549" t="s">
        <v>228</v>
      </c>
      <c r="I371" s="549" t="s">
        <v>976</v>
      </c>
      <c r="J371" s="549" t="s">
        <v>976</v>
      </c>
      <c r="L371" s="549">
        <v>1896404.86</v>
      </c>
      <c r="M371" s="549">
        <v>143178.57</v>
      </c>
      <c r="N371" s="549">
        <v>41910.550000000003</v>
      </c>
      <c r="P371" s="549">
        <v>11.26</v>
      </c>
      <c r="Q371" s="549">
        <v>20841.03</v>
      </c>
    </row>
    <row r="372" spans="1:17" x14ac:dyDescent="0.25">
      <c r="A372" s="549" t="s">
        <v>1023</v>
      </c>
      <c r="B372" s="549" t="s">
        <v>1024</v>
      </c>
      <c r="C372" s="549" t="s">
        <v>681</v>
      </c>
      <c r="D372" s="549" t="s">
        <v>682</v>
      </c>
      <c r="E372" s="549" t="s">
        <v>973</v>
      </c>
      <c r="F372" s="549" t="s">
        <v>1160</v>
      </c>
      <c r="G372" s="549" t="s">
        <v>682</v>
      </c>
      <c r="H372" s="549" t="s">
        <v>681</v>
      </c>
      <c r="I372" s="549" t="s">
        <v>976</v>
      </c>
      <c r="J372" s="549" t="s">
        <v>976</v>
      </c>
      <c r="L372" s="549">
        <v>1576780.63</v>
      </c>
      <c r="M372" s="549">
        <v>119046.94</v>
      </c>
      <c r="N372" s="549">
        <v>90507.21</v>
      </c>
      <c r="P372" s="549">
        <v>0</v>
      </c>
      <c r="Q372" s="549">
        <v>0</v>
      </c>
    </row>
    <row r="373" spans="1:17" x14ac:dyDescent="0.25">
      <c r="A373" s="549" t="s">
        <v>1023</v>
      </c>
      <c r="B373" s="549" t="s">
        <v>1024</v>
      </c>
      <c r="C373" s="549" t="s">
        <v>681</v>
      </c>
      <c r="D373" s="549" t="s">
        <v>682</v>
      </c>
      <c r="E373" s="549" t="s">
        <v>977</v>
      </c>
      <c r="F373" s="549" t="s">
        <v>1160</v>
      </c>
      <c r="G373" s="549" t="s">
        <v>685</v>
      </c>
      <c r="H373" s="549" t="s">
        <v>684</v>
      </c>
      <c r="I373" s="549" t="s">
        <v>1096</v>
      </c>
      <c r="J373" s="549" t="s">
        <v>1096</v>
      </c>
      <c r="L373" s="549">
        <v>1861636.57</v>
      </c>
      <c r="M373" s="549">
        <v>0</v>
      </c>
      <c r="N373" s="549">
        <v>0</v>
      </c>
      <c r="P373" s="549">
        <v>0.83</v>
      </c>
      <c r="Q373" s="549">
        <v>0</v>
      </c>
    </row>
    <row r="374" spans="1:17" x14ac:dyDescent="0.25">
      <c r="A374" s="549" t="s">
        <v>1023</v>
      </c>
      <c r="B374" s="549" t="s">
        <v>1024</v>
      </c>
      <c r="C374" s="549" t="s">
        <v>681</v>
      </c>
      <c r="D374" s="549" t="s">
        <v>682</v>
      </c>
      <c r="E374" s="549" t="s">
        <v>977</v>
      </c>
      <c r="F374" s="549" t="s">
        <v>1160</v>
      </c>
      <c r="G374" s="549" t="s">
        <v>682</v>
      </c>
      <c r="H374" s="549" t="s">
        <v>681</v>
      </c>
      <c r="I374" s="549" t="s">
        <v>976</v>
      </c>
      <c r="J374" s="549" t="s">
        <v>976</v>
      </c>
      <c r="L374" s="549">
        <v>1576780.63</v>
      </c>
      <c r="M374" s="549">
        <v>119046.94</v>
      </c>
      <c r="N374" s="549">
        <v>34846.85</v>
      </c>
      <c r="P374" s="549">
        <v>100</v>
      </c>
      <c r="Q374" s="549">
        <v>153893.79</v>
      </c>
    </row>
    <row r="375" spans="1:17" x14ac:dyDescent="0.25">
      <c r="A375" s="549" t="s">
        <v>1023</v>
      </c>
      <c r="B375" s="549" t="s">
        <v>1024</v>
      </c>
      <c r="C375" s="549" t="s">
        <v>679</v>
      </c>
      <c r="D375" s="549" t="s">
        <v>680</v>
      </c>
      <c r="E375" s="549" t="s">
        <v>973</v>
      </c>
      <c r="F375" s="549" t="s">
        <v>1160</v>
      </c>
      <c r="G375" s="549" t="s">
        <v>680</v>
      </c>
      <c r="H375" s="549" t="s">
        <v>679</v>
      </c>
      <c r="I375" s="549" t="s">
        <v>976</v>
      </c>
      <c r="J375" s="549" t="s">
        <v>976</v>
      </c>
      <c r="L375" s="549">
        <v>1455780.63</v>
      </c>
      <c r="M375" s="549">
        <v>109911.44</v>
      </c>
      <c r="N375" s="549">
        <v>83561.81</v>
      </c>
      <c r="P375" s="549">
        <v>0</v>
      </c>
      <c r="Q375" s="549">
        <v>0</v>
      </c>
    </row>
    <row r="376" spans="1:17" x14ac:dyDescent="0.25">
      <c r="A376" s="549" t="s">
        <v>1023</v>
      </c>
      <c r="B376" s="549" t="s">
        <v>1024</v>
      </c>
      <c r="C376" s="549" t="s">
        <v>679</v>
      </c>
      <c r="D376" s="549" t="s">
        <v>680</v>
      </c>
      <c r="E376" s="549" t="s">
        <v>977</v>
      </c>
      <c r="F376" s="549" t="s">
        <v>1160</v>
      </c>
      <c r="G376" s="549" t="s">
        <v>685</v>
      </c>
      <c r="H376" s="549" t="s">
        <v>684</v>
      </c>
      <c r="I376" s="549" t="s">
        <v>1096</v>
      </c>
      <c r="J376" s="549" t="s">
        <v>1096</v>
      </c>
      <c r="L376" s="549">
        <v>1861636.57</v>
      </c>
      <c r="M376" s="549">
        <v>0</v>
      </c>
      <c r="N376" s="549">
        <v>0</v>
      </c>
      <c r="P376" s="549">
        <v>5.2</v>
      </c>
      <c r="Q376" s="549">
        <v>0</v>
      </c>
    </row>
    <row r="377" spans="1:17" x14ac:dyDescent="0.25">
      <c r="A377" s="549" t="s">
        <v>1023</v>
      </c>
      <c r="B377" s="549" t="s">
        <v>1024</v>
      </c>
      <c r="C377" s="549" t="s">
        <v>679</v>
      </c>
      <c r="D377" s="549" t="s">
        <v>680</v>
      </c>
      <c r="E377" s="549" t="s">
        <v>977</v>
      </c>
      <c r="F377" s="549" t="s">
        <v>1160</v>
      </c>
      <c r="G377" s="549" t="s">
        <v>680</v>
      </c>
      <c r="H377" s="549" t="s">
        <v>679</v>
      </c>
      <c r="I377" s="549" t="s">
        <v>976</v>
      </c>
      <c r="J377" s="549" t="s">
        <v>976</v>
      </c>
      <c r="L377" s="549">
        <v>1455780.63</v>
      </c>
      <c r="M377" s="549">
        <v>109911.44</v>
      </c>
      <c r="N377" s="549">
        <v>32172.75</v>
      </c>
      <c r="P377" s="549">
        <v>100</v>
      </c>
      <c r="Q377" s="549">
        <v>142084.19</v>
      </c>
    </row>
    <row r="378" spans="1:17" x14ac:dyDescent="0.25">
      <c r="A378" s="549" t="s">
        <v>1175</v>
      </c>
      <c r="B378" s="549" t="s">
        <v>1176</v>
      </c>
      <c r="C378" s="549" t="s">
        <v>787</v>
      </c>
      <c r="D378" s="549" t="s">
        <v>788</v>
      </c>
      <c r="E378" s="549" t="s">
        <v>973</v>
      </c>
      <c r="F378" s="549" t="s">
        <v>1160</v>
      </c>
      <c r="G378" s="549" t="s">
        <v>788</v>
      </c>
      <c r="H378" s="549" t="s">
        <v>787</v>
      </c>
      <c r="I378" s="549" t="s">
        <v>976</v>
      </c>
      <c r="J378" s="549" t="s">
        <v>976</v>
      </c>
      <c r="L378" s="549">
        <v>1368585.25</v>
      </c>
      <c r="M378" s="549">
        <v>103328.19</v>
      </c>
      <c r="N378" s="549">
        <v>78556.789999999994</v>
      </c>
      <c r="P378" s="549">
        <v>6.59</v>
      </c>
      <c r="Q378" s="549">
        <v>11986.22</v>
      </c>
    </row>
    <row r="379" spans="1:17" x14ac:dyDescent="0.25">
      <c r="A379" s="549" t="s">
        <v>1175</v>
      </c>
      <c r="B379" s="549" t="s">
        <v>1176</v>
      </c>
      <c r="C379" s="549" t="s">
        <v>787</v>
      </c>
      <c r="D379" s="549" t="s">
        <v>788</v>
      </c>
      <c r="E379" s="549" t="s">
        <v>977</v>
      </c>
      <c r="F379" s="549" t="s">
        <v>1160</v>
      </c>
      <c r="G379" s="549" t="s">
        <v>788</v>
      </c>
      <c r="H379" s="549" t="s">
        <v>787</v>
      </c>
      <c r="I379" s="549" t="s">
        <v>976</v>
      </c>
      <c r="J379" s="549" t="s">
        <v>976</v>
      </c>
      <c r="L379" s="549">
        <v>1368585.25</v>
      </c>
      <c r="M379" s="549">
        <v>103328.19</v>
      </c>
      <c r="N379" s="549">
        <v>30245.73</v>
      </c>
      <c r="P379" s="549">
        <v>0.77</v>
      </c>
      <c r="Q379" s="549">
        <v>1028.52</v>
      </c>
    </row>
    <row r="380" spans="1:17" x14ac:dyDescent="0.25">
      <c r="A380" s="549" t="s">
        <v>1177</v>
      </c>
      <c r="B380" s="549" t="s">
        <v>1178</v>
      </c>
      <c r="C380" s="549" t="s">
        <v>787</v>
      </c>
      <c r="D380" s="549" t="s">
        <v>788</v>
      </c>
      <c r="E380" s="549" t="s">
        <v>977</v>
      </c>
      <c r="F380" s="549" t="s">
        <v>1160</v>
      </c>
      <c r="G380" s="549" t="s">
        <v>788</v>
      </c>
      <c r="H380" s="549" t="s">
        <v>787</v>
      </c>
      <c r="I380" s="549" t="s">
        <v>976</v>
      </c>
      <c r="J380" s="549" t="s">
        <v>976</v>
      </c>
      <c r="L380" s="549">
        <v>1368585.25</v>
      </c>
      <c r="M380" s="549">
        <v>103328.19</v>
      </c>
      <c r="N380" s="549">
        <v>30245.73</v>
      </c>
      <c r="P380" s="549">
        <v>20.46</v>
      </c>
      <c r="Q380" s="549">
        <v>27329.22</v>
      </c>
    </row>
    <row r="381" spans="1:17" x14ac:dyDescent="0.25">
      <c r="A381" s="549" t="s">
        <v>1027</v>
      </c>
      <c r="B381" s="549" t="s">
        <v>592</v>
      </c>
      <c r="C381" s="549" t="s">
        <v>883</v>
      </c>
      <c r="D381" s="549" t="s">
        <v>884</v>
      </c>
      <c r="E381" s="549" t="s">
        <v>977</v>
      </c>
      <c r="F381" s="549" t="s">
        <v>1160</v>
      </c>
      <c r="G381" s="549" t="s">
        <v>884</v>
      </c>
      <c r="H381" s="549" t="s">
        <v>883</v>
      </c>
      <c r="I381" s="549" t="s">
        <v>976</v>
      </c>
      <c r="J381" s="549" t="s">
        <v>976</v>
      </c>
      <c r="L381" s="549">
        <v>1443960.71</v>
      </c>
      <c r="M381" s="549">
        <v>109019.03</v>
      </c>
      <c r="N381" s="549">
        <v>31911.53</v>
      </c>
      <c r="P381" s="549">
        <v>41.82</v>
      </c>
      <c r="Q381" s="549">
        <v>58937.16</v>
      </c>
    </row>
    <row r="382" spans="1:17" x14ac:dyDescent="0.25">
      <c r="A382" s="549" t="s">
        <v>1027</v>
      </c>
      <c r="B382" s="549" t="s">
        <v>592</v>
      </c>
      <c r="C382" s="549" t="s">
        <v>879</v>
      </c>
      <c r="D382" s="549" t="s">
        <v>880</v>
      </c>
      <c r="E382" s="549" t="s">
        <v>977</v>
      </c>
      <c r="F382" s="549" t="s">
        <v>1160</v>
      </c>
      <c r="G382" s="549" t="s">
        <v>880</v>
      </c>
      <c r="H382" s="549" t="s">
        <v>879</v>
      </c>
      <c r="I382" s="549" t="s">
        <v>976</v>
      </c>
      <c r="J382" s="549" t="s">
        <v>976</v>
      </c>
      <c r="L382" s="549">
        <v>0</v>
      </c>
      <c r="M382" s="549">
        <v>0</v>
      </c>
      <c r="N382" s="549">
        <v>0</v>
      </c>
      <c r="P382" s="549">
        <v>99.99</v>
      </c>
      <c r="Q382" s="549">
        <v>0</v>
      </c>
    </row>
    <row r="383" spans="1:17" x14ac:dyDescent="0.25">
      <c r="A383" s="549" t="s">
        <v>1027</v>
      </c>
      <c r="B383" s="549" t="s">
        <v>592</v>
      </c>
      <c r="C383" s="549" t="s">
        <v>879</v>
      </c>
      <c r="D383" s="549" t="s">
        <v>880</v>
      </c>
      <c r="E383" s="549" t="s">
        <v>973</v>
      </c>
      <c r="F383" s="549" t="s">
        <v>1160</v>
      </c>
      <c r="G383" s="549" t="s">
        <v>880</v>
      </c>
      <c r="H383" s="549" t="s">
        <v>879</v>
      </c>
      <c r="I383" s="549" t="s">
        <v>976</v>
      </c>
      <c r="J383" s="549" t="s">
        <v>976</v>
      </c>
      <c r="L383" s="549">
        <v>0</v>
      </c>
      <c r="M383" s="549">
        <v>0</v>
      </c>
      <c r="N383" s="549">
        <v>0</v>
      </c>
      <c r="P383" s="549">
        <v>0.01</v>
      </c>
      <c r="Q383" s="549">
        <v>0</v>
      </c>
    </row>
    <row r="384" spans="1:17" x14ac:dyDescent="0.25">
      <c r="A384" s="549" t="s">
        <v>1027</v>
      </c>
      <c r="B384" s="549" t="s">
        <v>592</v>
      </c>
      <c r="C384" s="549" t="s">
        <v>881</v>
      </c>
      <c r="D384" s="549" t="s">
        <v>882</v>
      </c>
      <c r="E384" s="549" t="s">
        <v>977</v>
      </c>
      <c r="F384" s="549" t="s">
        <v>1160</v>
      </c>
      <c r="G384" s="549" t="s">
        <v>882</v>
      </c>
      <c r="H384" s="549" t="s">
        <v>881</v>
      </c>
      <c r="I384" s="549" t="s">
        <v>976</v>
      </c>
      <c r="J384" s="549" t="s">
        <v>976</v>
      </c>
      <c r="L384" s="549">
        <v>1565787.15</v>
      </c>
      <c r="M384" s="549">
        <v>118216.93</v>
      </c>
      <c r="N384" s="549">
        <v>34603.9</v>
      </c>
      <c r="P384" s="549">
        <v>26.1</v>
      </c>
      <c r="Q384" s="549">
        <v>39886.239999999998</v>
      </c>
    </row>
    <row r="385" spans="1:17" x14ac:dyDescent="0.25">
      <c r="A385" s="549" t="s">
        <v>1179</v>
      </c>
      <c r="B385" s="549" t="s">
        <v>577</v>
      </c>
      <c r="C385" s="549" t="s">
        <v>695</v>
      </c>
      <c r="D385" s="549" t="s">
        <v>696</v>
      </c>
      <c r="E385" s="549" t="s">
        <v>977</v>
      </c>
      <c r="F385" s="549" t="s">
        <v>1160</v>
      </c>
      <c r="G385" s="549" t="s">
        <v>696</v>
      </c>
      <c r="H385" s="549" t="s">
        <v>695</v>
      </c>
      <c r="I385" s="549" t="s">
        <v>976</v>
      </c>
      <c r="J385" s="549" t="s">
        <v>976</v>
      </c>
      <c r="L385" s="549">
        <v>1713607.79</v>
      </c>
      <c r="M385" s="549">
        <v>129377.39</v>
      </c>
      <c r="N385" s="549">
        <v>37870.730000000003</v>
      </c>
      <c r="P385" s="549">
        <v>77.41</v>
      </c>
      <c r="Q385" s="549">
        <v>129466.77</v>
      </c>
    </row>
    <row r="386" spans="1:17" x14ac:dyDescent="0.25">
      <c r="A386" s="549" t="s">
        <v>1180</v>
      </c>
      <c r="B386" s="549" t="s">
        <v>1181</v>
      </c>
      <c r="C386" s="549" t="s">
        <v>799</v>
      </c>
      <c r="D386" s="549" t="s">
        <v>800</v>
      </c>
      <c r="E386" s="549" t="s">
        <v>973</v>
      </c>
      <c r="F386" s="549" t="s">
        <v>1160</v>
      </c>
      <c r="G386" s="549" t="s">
        <v>800</v>
      </c>
      <c r="H386" s="549" t="s">
        <v>799</v>
      </c>
      <c r="I386" s="549" t="s">
        <v>976</v>
      </c>
      <c r="J386" s="549" t="s">
        <v>976</v>
      </c>
      <c r="L386" s="549">
        <v>1613237.75</v>
      </c>
      <c r="M386" s="549">
        <v>121799.45</v>
      </c>
      <c r="N386" s="549">
        <v>92599.85</v>
      </c>
      <c r="P386" s="549">
        <v>8.83</v>
      </c>
      <c r="Q386" s="549">
        <v>18931.46</v>
      </c>
    </row>
    <row r="387" spans="1:17" x14ac:dyDescent="0.25">
      <c r="A387" s="549" t="s">
        <v>1180</v>
      </c>
      <c r="B387" s="549" t="s">
        <v>1181</v>
      </c>
      <c r="C387" s="549" t="s">
        <v>799</v>
      </c>
      <c r="D387" s="549" t="s">
        <v>800</v>
      </c>
      <c r="E387" s="549" t="s">
        <v>977</v>
      </c>
      <c r="F387" s="549" t="s">
        <v>1160</v>
      </c>
      <c r="G387" s="549" t="s">
        <v>800</v>
      </c>
      <c r="H387" s="549" t="s">
        <v>799</v>
      </c>
      <c r="I387" s="549" t="s">
        <v>976</v>
      </c>
      <c r="J387" s="549" t="s">
        <v>976</v>
      </c>
      <c r="L387" s="549">
        <v>1613237.75</v>
      </c>
      <c r="M387" s="549">
        <v>121799.45</v>
      </c>
      <c r="N387" s="549">
        <v>35652.550000000003</v>
      </c>
      <c r="P387" s="549">
        <v>0.1</v>
      </c>
      <c r="Q387" s="549">
        <v>157.44999999999999</v>
      </c>
    </row>
    <row r="388" spans="1:17" x14ac:dyDescent="0.25">
      <c r="A388" s="549" t="s">
        <v>1029</v>
      </c>
      <c r="B388" s="549" t="s">
        <v>1030</v>
      </c>
      <c r="C388" s="549" t="s">
        <v>540</v>
      </c>
      <c r="D388" s="549" t="s">
        <v>487</v>
      </c>
      <c r="E388" s="549" t="s">
        <v>973</v>
      </c>
      <c r="F388" s="549" t="s">
        <v>1160</v>
      </c>
      <c r="G388" s="549" t="s">
        <v>874</v>
      </c>
      <c r="H388" s="549" t="s">
        <v>873</v>
      </c>
      <c r="I388" s="549" t="s">
        <v>976</v>
      </c>
      <c r="J388" s="549" t="s">
        <v>976</v>
      </c>
      <c r="L388" s="549">
        <v>9346195.9199999999</v>
      </c>
      <c r="M388" s="549">
        <v>705637.79</v>
      </c>
      <c r="N388" s="549">
        <v>536471.65</v>
      </c>
      <c r="P388" s="549">
        <v>1.99</v>
      </c>
      <c r="Q388" s="549">
        <v>24717.98</v>
      </c>
    </row>
    <row r="389" spans="1:17" x14ac:dyDescent="0.25">
      <c r="A389" s="549" t="s">
        <v>1029</v>
      </c>
      <c r="B389" s="549" t="s">
        <v>1030</v>
      </c>
      <c r="C389" s="549" t="s">
        <v>540</v>
      </c>
      <c r="D389" s="549" t="s">
        <v>487</v>
      </c>
      <c r="E389" s="549" t="s">
        <v>977</v>
      </c>
      <c r="F389" s="549" t="s">
        <v>1160</v>
      </c>
      <c r="G389" s="549" t="s">
        <v>874</v>
      </c>
      <c r="H389" s="549" t="s">
        <v>873</v>
      </c>
      <c r="I389" s="549" t="s">
        <v>976</v>
      </c>
      <c r="J389" s="549" t="s">
        <v>976</v>
      </c>
      <c r="L389" s="549">
        <v>9346195.9199999999</v>
      </c>
      <c r="M389" s="549">
        <v>705637.79</v>
      </c>
      <c r="N389" s="549">
        <v>206550.93</v>
      </c>
      <c r="P389" s="549">
        <v>0.01</v>
      </c>
      <c r="Q389" s="549">
        <v>91.22</v>
      </c>
    </row>
    <row r="390" spans="1:17" x14ac:dyDescent="0.25">
      <c r="A390" s="549" t="s">
        <v>1045</v>
      </c>
      <c r="B390" s="549" t="s">
        <v>1046</v>
      </c>
      <c r="C390" s="549" t="s">
        <v>1047</v>
      </c>
      <c r="D390" s="549" t="s">
        <v>494</v>
      </c>
      <c r="E390" s="549" t="s">
        <v>977</v>
      </c>
      <c r="F390" s="549" t="s">
        <v>1160</v>
      </c>
      <c r="G390" s="549" t="s">
        <v>494</v>
      </c>
      <c r="H390" s="549" t="s">
        <v>1047</v>
      </c>
      <c r="I390" s="549" t="s">
        <v>976</v>
      </c>
      <c r="J390" s="549" t="s">
        <v>976</v>
      </c>
      <c r="L390" s="549">
        <v>1747389.22</v>
      </c>
      <c r="M390" s="549">
        <v>131927.89000000001</v>
      </c>
      <c r="N390" s="549">
        <v>38617.300000000003</v>
      </c>
      <c r="P390" s="549">
        <v>82.8</v>
      </c>
      <c r="Q390" s="549">
        <v>141211.42000000001</v>
      </c>
    </row>
    <row r="391" spans="1:17" x14ac:dyDescent="0.25">
      <c r="A391" s="549" t="s">
        <v>514</v>
      </c>
      <c r="B391" s="549" t="s">
        <v>1032</v>
      </c>
      <c r="C391" s="549" t="s">
        <v>528</v>
      </c>
      <c r="D391" s="549" t="s">
        <v>1182</v>
      </c>
      <c r="E391" s="549" t="s">
        <v>973</v>
      </c>
      <c r="F391" s="549" t="s">
        <v>1160</v>
      </c>
      <c r="G391" s="549" t="s">
        <v>1182</v>
      </c>
      <c r="H391" s="549" t="s">
        <v>528</v>
      </c>
      <c r="I391" s="549" t="s">
        <v>976</v>
      </c>
      <c r="J391" s="549" t="s">
        <v>976</v>
      </c>
      <c r="L391" s="549">
        <v>1450953.69</v>
      </c>
      <c r="M391" s="549">
        <v>109547</v>
      </c>
      <c r="N391" s="549">
        <v>83284.740000000005</v>
      </c>
      <c r="P391" s="549">
        <v>17.77</v>
      </c>
      <c r="Q391" s="549">
        <v>34266.199999999997</v>
      </c>
    </row>
    <row r="392" spans="1:17" x14ac:dyDescent="0.25">
      <c r="A392" s="549" t="s">
        <v>514</v>
      </c>
      <c r="B392" s="549" t="s">
        <v>1032</v>
      </c>
      <c r="C392" s="549" t="s">
        <v>528</v>
      </c>
      <c r="D392" s="549" t="s">
        <v>1182</v>
      </c>
      <c r="E392" s="549" t="s">
        <v>977</v>
      </c>
      <c r="F392" s="549" t="s">
        <v>1160</v>
      </c>
      <c r="G392" s="549" t="s">
        <v>1182</v>
      </c>
      <c r="H392" s="549" t="s">
        <v>528</v>
      </c>
      <c r="I392" s="549" t="s">
        <v>976</v>
      </c>
      <c r="J392" s="549" t="s">
        <v>976</v>
      </c>
      <c r="L392" s="549">
        <v>1450953.69</v>
      </c>
      <c r="M392" s="549">
        <v>109547</v>
      </c>
      <c r="N392" s="549">
        <v>32066.080000000002</v>
      </c>
      <c r="P392" s="549">
        <v>0.04</v>
      </c>
      <c r="Q392" s="549">
        <v>56.65</v>
      </c>
    </row>
    <row r="393" spans="1:17" x14ac:dyDescent="0.25">
      <c r="A393" s="549" t="s">
        <v>514</v>
      </c>
      <c r="B393" s="549" t="s">
        <v>1032</v>
      </c>
      <c r="C393" s="549" t="s">
        <v>529</v>
      </c>
      <c r="D393" s="549" t="s">
        <v>1183</v>
      </c>
      <c r="E393" s="549" t="s">
        <v>973</v>
      </c>
      <c r="F393" s="549" t="s">
        <v>1160</v>
      </c>
      <c r="G393" s="549" t="s">
        <v>1183</v>
      </c>
      <c r="H393" s="549" t="s">
        <v>529</v>
      </c>
      <c r="I393" s="549" t="s">
        <v>976</v>
      </c>
      <c r="J393" s="549" t="s">
        <v>976</v>
      </c>
      <c r="L393" s="549">
        <v>2699610.56</v>
      </c>
      <c r="M393" s="549">
        <v>203820.6</v>
      </c>
      <c r="N393" s="549">
        <v>154957.65</v>
      </c>
      <c r="P393" s="549">
        <v>8.64</v>
      </c>
      <c r="Q393" s="549">
        <v>30998.44</v>
      </c>
    </row>
    <row r="394" spans="1:17" x14ac:dyDescent="0.25">
      <c r="A394" s="549" t="s">
        <v>514</v>
      </c>
      <c r="B394" s="549" t="s">
        <v>1032</v>
      </c>
      <c r="C394" s="549" t="s">
        <v>529</v>
      </c>
      <c r="D394" s="549" t="s">
        <v>1183</v>
      </c>
      <c r="E394" s="549" t="s">
        <v>977</v>
      </c>
      <c r="F394" s="549" t="s">
        <v>1160</v>
      </c>
      <c r="G394" s="549" t="s">
        <v>1183</v>
      </c>
      <c r="H394" s="549" t="s">
        <v>529</v>
      </c>
      <c r="I394" s="549" t="s">
        <v>976</v>
      </c>
      <c r="J394" s="549" t="s">
        <v>976</v>
      </c>
      <c r="L394" s="549">
        <v>2699610.56</v>
      </c>
      <c r="M394" s="549">
        <v>203820.6</v>
      </c>
      <c r="N394" s="549">
        <v>59661.39</v>
      </c>
      <c r="P394" s="549">
        <v>0.14000000000000001</v>
      </c>
      <c r="Q394" s="549">
        <v>368.87</v>
      </c>
    </row>
    <row r="395" spans="1:17" x14ac:dyDescent="0.25">
      <c r="A395" s="549" t="s">
        <v>514</v>
      </c>
      <c r="B395" s="549" t="s">
        <v>1032</v>
      </c>
      <c r="C395" s="549" t="s">
        <v>513</v>
      </c>
      <c r="D395" s="549" t="s">
        <v>456</v>
      </c>
      <c r="E395" s="549" t="s">
        <v>973</v>
      </c>
      <c r="F395" s="549" t="s">
        <v>1160</v>
      </c>
      <c r="G395" s="549" t="s">
        <v>456</v>
      </c>
      <c r="H395" s="549" t="s">
        <v>513</v>
      </c>
      <c r="I395" s="549" t="s">
        <v>976</v>
      </c>
      <c r="J395" s="549" t="s">
        <v>976</v>
      </c>
      <c r="L395" s="549">
        <v>1589141.54</v>
      </c>
      <c r="M395" s="549">
        <v>119980.19</v>
      </c>
      <c r="N395" s="549">
        <v>91216.72</v>
      </c>
      <c r="P395" s="549">
        <v>100</v>
      </c>
      <c r="Q395" s="549">
        <v>211196.91</v>
      </c>
    </row>
    <row r="396" spans="1:17" x14ac:dyDescent="0.25">
      <c r="A396" s="549" t="s">
        <v>514</v>
      </c>
      <c r="B396" s="549" t="s">
        <v>1032</v>
      </c>
      <c r="C396" s="549" t="s">
        <v>513</v>
      </c>
      <c r="D396" s="549" t="s">
        <v>456</v>
      </c>
      <c r="E396" s="549" t="s">
        <v>973</v>
      </c>
      <c r="F396" s="549" t="s">
        <v>1160</v>
      </c>
      <c r="G396" s="549" t="s">
        <v>793</v>
      </c>
      <c r="H396" s="549" t="s">
        <v>792</v>
      </c>
      <c r="I396" s="549" t="s">
        <v>976</v>
      </c>
      <c r="J396" s="549" t="s">
        <v>976</v>
      </c>
      <c r="L396" s="549">
        <v>1848115.68</v>
      </c>
      <c r="M396" s="549">
        <v>139532.73000000001</v>
      </c>
      <c r="N396" s="549">
        <v>106081.84</v>
      </c>
      <c r="P396" s="549">
        <v>15.3</v>
      </c>
      <c r="Q396" s="549">
        <v>37579.03</v>
      </c>
    </row>
    <row r="397" spans="1:17" x14ac:dyDescent="0.25">
      <c r="A397" s="549" t="s">
        <v>514</v>
      </c>
      <c r="B397" s="549" t="s">
        <v>1032</v>
      </c>
      <c r="C397" s="549" t="s">
        <v>513</v>
      </c>
      <c r="D397" s="549" t="s">
        <v>456</v>
      </c>
      <c r="E397" s="549" t="s">
        <v>977</v>
      </c>
      <c r="F397" s="549" t="s">
        <v>1160</v>
      </c>
      <c r="G397" s="549" t="s">
        <v>456</v>
      </c>
      <c r="H397" s="549" t="s">
        <v>513</v>
      </c>
      <c r="I397" s="549" t="s">
        <v>976</v>
      </c>
      <c r="J397" s="549" t="s">
        <v>976</v>
      </c>
      <c r="L397" s="549">
        <v>1589141.54</v>
      </c>
      <c r="M397" s="549">
        <v>119980.19</v>
      </c>
      <c r="N397" s="549">
        <v>35120.03</v>
      </c>
      <c r="P397" s="549">
        <v>0</v>
      </c>
      <c r="Q397" s="549">
        <v>0</v>
      </c>
    </row>
    <row r="398" spans="1:17" x14ac:dyDescent="0.25">
      <c r="A398" s="549" t="s">
        <v>514</v>
      </c>
      <c r="B398" s="549" t="s">
        <v>1032</v>
      </c>
      <c r="C398" s="549" t="s">
        <v>530</v>
      </c>
      <c r="D398" s="549" t="s">
        <v>1035</v>
      </c>
      <c r="E398" s="549" t="s">
        <v>973</v>
      </c>
      <c r="F398" s="549" t="s">
        <v>1160</v>
      </c>
      <c r="G398" s="549" t="s">
        <v>1035</v>
      </c>
      <c r="H398" s="549" t="s">
        <v>530</v>
      </c>
      <c r="I398" s="549" t="s">
        <v>976</v>
      </c>
      <c r="J398" s="549" t="s">
        <v>976</v>
      </c>
      <c r="L398" s="549">
        <v>1424614.31</v>
      </c>
      <c r="M398" s="549">
        <v>107558.38</v>
      </c>
      <c r="N398" s="549">
        <v>81772.86</v>
      </c>
      <c r="P398" s="549">
        <v>98.22</v>
      </c>
      <c r="Q398" s="549">
        <v>185961.14</v>
      </c>
    </row>
    <row r="399" spans="1:17" x14ac:dyDescent="0.25">
      <c r="A399" s="549" t="s">
        <v>514</v>
      </c>
      <c r="B399" s="549" t="s">
        <v>1032</v>
      </c>
      <c r="C399" s="549" t="s">
        <v>530</v>
      </c>
      <c r="D399" s="549" t="s">
        <v>1035</v>
      </c>
      <c r="E399" s="549" t="s">
        <v>973</v>
      </c>
      <c r="F399" s="549" t="s">
        <v>1160</v>
      </c>
      <c r="G399" s="549" t="s">
        <v>649</v>
      </c>
      <c r="H399" s="549" t="s">
        <v>648</v>
      </c>
      <c r="I399" s="549" t="s">
        <v>976</v>
      </c>
      <c r="J399" s="549" t="s">
        <v>976</v>
      </c>
      <c r="L399" s="549">
        <v>1639141.54</v>
      </c>
      <c r="M399" s="549">
        <v>123755.19</v>
      </c>
      <c r="N399" s="549">
        <v>94086.720000000001</v>
      </c>
      <c r="P399" s="549">
        <v>11.82</v>
      </c>
      <c r="Q399" s="549">
        <v>25748.91</v>
      </c>
    </row>
    <row r="400" spans="1:17" x14ac:dyDescent="0.25">
      <c r="A400" s="549" t="s">
        <v>514</v>
      </c>
      <c r="B400" s="549" t="s">
        <v>1032</v>
      </c>
      <c r="C400" s="549" t="s">
        <v>530</v>
      </c>
      <c r="D400" s="549" t="s">
        <v>1035</v>
      </c>
      <c r="E400" s="549" t="s">
        <v>977</v>
      </c>
      <c r="F400" s="549" t="s">
        <v>1160</v>
      </c>
      <c r="G400" s="549" t="s">
        <v>1035</v>
      </c>
      <c r="H400" s="549" t="s">
        <v>530</v>
      </c>
      <c r="I400" s="549" t="s">
        <v>976</v>
      </c>
      <c r="J400" s="549" t="s">
        <v>976</v>
      </c>
      <c r="L400" s="549">
        <v>1424614.31</v>
      </c>
      <c r="M400" s="549">
        <v>107558.38</v>
      </c>
      <c r="N400" s="549">
        <v>31483.98</v>
      </c>
      <c r="P400" s="549">
        <v>1.78</v>
      </c>
      <c r="Q400" s="549">
        <v>2474.9499999999998</v>
      </c>
    </row>
    <row r="401" spans="1:17" x14ac:dyDescent="0.25">
      <c r="A401" s="549" t="s">
        <v>514</v>
      </c>
      <c r="B401" s="549" t="s">
        <v>1032</v>
      </c>
      <c r="C401" s="549" t="s">
        <v>530</v>
      </c>
      <c r="D401" s="549" t="s">
        <v>1035</v>
      </c>
      <c r="E401" s="549" t="s">
        <v>977</v>
      </c>
      <c r="F401" s="549" t="s">
        <v>1160</v>
      </c>
      <c r="G401" s="549" t="s">
        <v>649</v>
      </c>
      <c r="H401" s="549" t="s">
        <v>648</v>
      </c>
      <c r="I401" s="549" t="s">
        <v>976</v>
      </c>
      <c r="J401" s="549" t="s">
        <v>976</v>
      </c>
      <c r="L401" s="549">
        <v>1639141.54</v>
      </c>
      <c r="M401" s="549">
        <v>123755.19</v>
      </c>
      <c r="N401" s="549">
        <v>36225.03</v>
      </c>
      <c r="P401" s="549">
        <v>0.21</v>
      </c>
      <c r="Q401" s="549">
        <v>335.96</v>
      </c>
    </row>
    <row r="402" spans="1:17" x14ac:dyDescent="0.25">
      <c r="A402" s="549" t="s">
        <v>514</v>
      </c>
      <c r="B402" s="549" t="s">
        <v>1032</v>
      </c>
      <c r="C402" s="549" t="s">
        <v>531</v>
      </c>
      <c r="D402" s="549" t="s">
        <v>1184</v>
      </c>
      <c r="E402" s="549" t="s">
        <v>973</v>
      </c>
      <c r="F402" s="549" t="s">
        <v>1160</v>
      </c>
      <c r="G402" s="549" t="s">
        <v>1184</v>
      </c>
      <c r="H402" s="549" t="s">
        <v>531</v>
      </c>
      <c r="I402" s="549" t="s">
        <v>976</v>
      </c>
      <c r="J402" s="549" t="s">
        <v>976</v>
      </c>
      <c r="L402" s="549">
        <v>1424614.31</v>
      </c>
      <c r="M402" s="549">
        <v>107558.38</v>
      </c>
      <c r="N402" s="549">
        <v>81772.86</v>
      </c>
      <c r="P402" s="549">
        <v>20.78</v>
      </c>
      <c r="Q402" s="549">
        <v>39343.03</v>
      </c>
    </row>
    <row r="403" spans="1:17" x14ac:dyDescent="0.25">
      <c r="A403" s="549" t="s">
        <v>514</v>
      </c>
      <c r="B403" s="549" t="s">
        <v>1032</v>
      </c>
      <c r="C403" s="549" t="s">
        <v>531</v>
      </c>
      <c r="D403" s="549" t="s">
        <v>1184</v>
      </c>
      <c r="E403" s="549" t="s">
        <v>977</v>
      </c>
      <c r="F403" s="549" t="s">
        <v>1160</v>
      </c>
      <c r="G403" s="549" t="s">
        <v>1184</v>
      </c>
      <c r="H403" s="549" t="s">
        <v>531</v>
      </c>
      <c r="I403" s="549" t="s">
        <v>976</v>
      </c>
      <c r="J403" s="549" t="s">
        <v>976</v>
      </c>
      <c r="L403" s="549">
        <v>1424614.31</v>
      </c>
      <c r="M403" s="549">
        <v>107558.38</v>
      </c>
      <c r="N403" s="549">
        <v>31483.98</v>
      </c>
      <c r="P403" s="549">
        <v>0.41</v>
      </c>
      <c r="Q403" s="549">
        <v>570.07000000000005</v>
      </c>
    </row>
    <row r="404" spans="1:17" x14ac:dyDescent="0.25">
      <c r="A404" s="549" t="s">
        <v>514</v>
      </c>
      <c r="B404" s="549" t="s">
        <v>1032</v>
      </c>
      <c r="C404" s="549" t="s">
        <v>532</v>
      </c>
      <c r="D404" s="549" t="s">
        <v>1185</v>
      </c>
      <c r="E404" s="549" t="s">
        <v>973</v>
      </c>
      <c r="F404" s="549" t="s">
        <v>1160</v>
      </c>
      <c r="G404" s="549" t="s">
        <v>1185</v>
      </c>
      <c r="H404" s="549" t="s">
        <v>532</v>
      </c>
      <c r="I404" s="549" t="s">
        <v>976</v>
      </c>
      <c r="J404" s="549" t="s">
        <v>976</v>
      </c>
      <c r="L404" s="549">
        <v>1424614.31</v>
      </c>
      <c r="M404" s="549">
        <v>107558.38</v>
      </c>
      <c r="N404" s="549">
        <v>81772.86</v>
      </c>
      <c r="P404" s="549">
        <v>20.81</v>
      </c>
      <c r="Q404" s="549">
        <v>39399.83</v>
      </c>
    </row>
    <row r="405" spans="1:17" x14ac:dyDescent="0.25">
      <c r="A405" s="549" t="s">
        <v>514</v>
      </c>
      <c r="B405" s="549" t="s">
        <v>1032</v>
      </c>
      <c r="C405" s="549" t="s">
        <v>532</v>
      </c>
      <c r="D405" s="549" t="s">
        <v>1185</v>
      </c>
      <c r="E405" s="549" t="s">
        <v>977</v>
      </c>
      <c r="F405" s="549" t="s">
        <v>1160</v>
      </c>
      <c r="G405" s="549" t="s">
        <v>1185</v>
      </c>
      <c r="H405" s="549" t="s">
        <v>532</v>
      </c>
      <c r="I405" s="549" t="s">
        <v>976</v>
      </c>
      <c r="J405" s="549" t="s">
        <v>976</v>
      </c>
      <c r="L405" s="549">
        <v>1424614.31</v>
      </c>
      <c r="M405" s="549">
        <v>107558.38</v>
      </c>
      <c r="N405" s="549">
        <v>31483.98</v>
      </c>
      <c r="P405" s="549">
        <v>0.38</v>
      </c>
      <c r="Q405" s="549">
        <v>528.36</v>
      </c>
    </row>
    <row r="406" spans="1:17" x14ac:dyDescent="0.25">
      <c r="A406" s="549" t="s">
        <v>514</v>
      </c>
      <c r="B406" s="549" t="s">
        <v>1032</v>
      </c>
      <c r="C406" s="549" t="s">
        <v>648</v>
      </c>
      <c r="D406" s="549" t="s">
        <v>649</v>
      </c>
      <c r="E406" s="549" t="s">
        <v>977</v>
      </c>
      <c r="F406" s="549" t="s">
        <v>1160</v>
      </c>
      <c r="G406" s="549" t="s">
        <v>649</v>
      </c>
      <c r="H406" s="549" t="s">
        <v>648</v>
      </c>
      <c r="I406" s="549" t="s">
        <v>976</v>
      </c>
      <c r="J406" s="549" t="s">
        <v>976</v>
      </c>
      <c r="L406" s="549">
        <v>1639141.54</v>
      </c>
      <c r="M406" s="549">
        <v>123755.19</v>
      </c>
      <c r="N406" s="549">
        <v>36225.03</v>
      </c>
      <c r="P406" s="549">
        <v>5.88</v>
      </c>
      <c r="Q406" s="549">
        <v>9406.84</v>
      </c>
    </row>
    <row r="407" spans="1:17" x14ac:dyDescent="0.25">
      <c r="A407" s="549" t="s">
        <v>514</v>
      </c>
      <c r="B407" s="549" t="s">
        <v>1032</v>
      </c>
      <c r="C407" s="549" t="s">
        <v>535</v>
      </c>
      <c r="D407" s="549" t="s">
        <v>711</v>
      </c>
      <c r="E407" s="549" t="s">
        <v>973</v>
      </c>
      <c r="F407" s="549" t="s">
        <v>1160</v>
      </c>
      <c r="G407" s="549" t="s">
        <v>711</v>
      </c>
      <c r="H407" s="549" t="s">
        <v>535</v>
      </c>
      <c r="I407" s="549" t="s">
        <v>976</v>
      </c>
      <c r="J407" s="549" t="s">
        <v>976</v>
      </c>
      <c r="L407" s="549">
        <v>1675487.55</v>
      </c>
      <c r="M407" s="549">
        <v>126499.31</v>
      </c>
      <c r="N407" s="549">
        <v>96172.99</v>
      </c>
      <c r="P407" s="549">
        <v>37.049999999999997</v>
      </c>
      <c r="Q407" s="549">
        <v>82500.09</v>
      </c>
    </row>
    <row r="408" spans="1:17" x14ac:dyDescent="0.25">
      <c r="A408" s="549" t="s">
        <v>514</v>
      </c>
      <c r="B408" s="549" t="s">
        <v>1032</v>
      </c>
      <c r="C408" s="549" t="s">
        <v>535</v>
      </c>
      <c r="D408" s="549" t="s">
        <v>711</v>
      </c>
      <c r="E408" s="549" t="s">
        <v>977</v>
      </c>
      <c r="F408" s="549" t="s">
        <v>1160</v>
      </c>
      <c r="G408" s="549" t="s">
        <v>711</v>
      </c>
      <c r="H408" s="549" t="s">
        <v>535</v>
      </c>
      <c r="I408" s="549" t="s">
        <v>976</v>
      </c>
      <c r="J408" s="549" t="s">
        <v>976</v>
      </c>
      <c r="L408" s="549">
        <v>1675487.55</v>
      </c>
      <c r="M408" s="549">
        <v>126499.31</v>
      </c>
      <c r="N408" s="549">
        <v>37028.269999999997</v>
      </c>
      <c r="P408" s="549">
        <v>0</v>
      </c>
      <c r="Q408" s="549">
        <v>0</v>
      </c>
    </row>
    <row r="409" spans="1:17" x14ac:dyDescent="0.25">
      <c r="A409" s="549" t="s">
        <v>1045</v>
      </c>
      <c r="B409" s="549" t="s">
        <v>1046</v>
      </c>
      <c r="C409" s="549" t="s">
        <v>1047</v>
      </c>
      <c r="D409" s="549" t="s">
        <v>494</v>
      </c>
      <c r="E409" s="549" t="s">
        <v>973</v>
      </c>
      <c r="F409" s="549" t="s">
        <v>1160</v>
      </c>
      <c r="G409" s="549" t="s">
        <v>494</v>
      </c>
      <c r="H409" s="549" t="s">
        <v>1047</v>
      </c>
      <c r="I409" s="549" t="s">
        <v>976</v>
      </c>
      <c r="J409" s="549" t="s">
        <v>976</v>
      </c>
      <c r="L409" s="549">
        <v>1747389.22</v>
      </c>
      <c r="M409" s="549">
        <v>131927.89000000001</v>
      </c>
      <c r="N409" s="549">
        <v>100300.14</v>
      </c>
      <c r="P409" s="549">
        <v>0</v>
      </c>
      <c r="Q409" s="549">
        <v>0</v>
      </c>
    </row>
    <row r="410" spans="1:17" x14ac:dyDescent="0.25">
      <c r="A410" s="549" t="s">
        <v>1186</v>
      </c>
      <c r="B410" s="549" t="s">
        <v>1187</v>
      </c>
      <c r="C410" s="549" t="s">
        <v>1188</v>
      </c>
      <c r="D410" s="549" t="s">
        <v>1189</v>
      </c>
      <c r="E410" s="549" t="s">
        <v>977</v>
      </c>
      <c r="F410" s="549" t="s">
        <v>1160</v>
      </c>
      <c r="G410" s="549" t="s">
        <v>1189</v>
      </c>
      <c r="H410" s="549" t="s">
        <v>1188</v>
      </c>
      <c r="I410" s="549" t="s">
        <v>976</v>
      </c>
      <c r="J410" s="549" t="s">
        <v>976</v>
      </c>
      <c r="L410" s="549">
        <v>1922845.67</v>
      </c>
      <c r="M410" s="549">
        <v>145174.85</v>
      </c>
      <c r="N410" s="549">
        <v>42494.89</v>
      </c>
      <c r="P410" s="549">
        <v>51.42</v>
      </c>
      <c r="Q410" s="549">
        <v>96499.78</v>
      </c>
    </row>
    <row r="411" spans="1:17" x14ac:dyDescent="0.25">
      <c r="A411" s="549" t="s">
        <v>1037</v>
      </c>
      <c r="B411" s="549" t="s">
        <v>1038</v>
      </c>
      <c r="C411" s="549" t="s">
        <v>688</v>
      </c>
      <c r="D411" s="549" t="s">
        <v>689</v>
      </c>
      <c r="E411" s="549" t="s">
        <v>973</v>
      </c>
      <c r="F411" s="549" t="s">
        <v>1160</v>
      </c>
      <c r="G411" s="549" t="s">
        <v>689</v>
      </c>
      <c r="H411" s="549" t="s">
        <v>688</v>
      </c>
      <c r="I411" s="549" t="s">
        <v>976</v>
      </c>
      <c r="J411" s="549" t="s">
        <v>976</v>
      </c>
      <c r="L411" s="549">
        <v>1630787.15</v>
      </c>
      <c r="M411" s="549">
        <v>123124.43</v>
      </c>
      <c r="N411" s="549">
        <v>93607.18</v>
      </c>
      <c r="P411" s="549">
        <v>0</v>
      </c>
      <c r="Q411" s="549">
        <v>0</v>
      </c>
    </row>
    <row r="412" spans="1:17" x14ac:dyDescent="0.25">
      <c r="A412" s="549" t="s">
        <v>1037</v>
      </c>
      <c r="B412" s="549" t="s">
        <v>1038</v>
      </c>
      <c r="C412" s="549" t="s">
        <v>688</v>
      </c>
      <c r="D412" s="549" t="s">
        <v>689</v>
      </c>
      <c r="E412" s="549" t="s">
        <v>977</v>
      </c>
      <c r="F412" s="549" t="s">
        <v>1160</v>
      </c>
      <c r="G412" s="549" t="s">
        <v>689</v>
      </c>
      <c r="H412" s="549" t="s">
        <v>688</v>
      </c>
      <c r="I412" s="549" t="s">
        <v>976</v>
      </c>
      <c r="J412" s="549" t="s">
        <v>976</v>
      </c>
      <c r="L412" s="549">
        <v>1630787.15</v>
      </c>
      <c r="M412" s="549">
        <v>123124.43</v>
      </c>
      <c r="N412" s="549">
        <v>36040.400000000001</v>
      </c>
      <c r="P412" s="549">
        <v>100</v>
      </c>
      <c r="Q412" s="549">
        <v>159164.82999999999</v>
      </c>
    </row>
    <row r="413" spans="1:17" x14ac:dyDescent="0.25">
      <c r="A413" s="549" t="s">
        <v>1037</v>
      </c>
      <c r="B413" s="549" t="s">
        <v>1038</v>
      </c>
      <c r="C413" s="549" t="s">
        <v>688</v>
      </c>
      <c r="D413" s="549" t="s">
        <v>689</v>
      </c>
      <c r="E413" s="549" t="s">
        <v>977</v>
      </c>
      <c r="F413" s="549" t="s">
        <v>1160</v>
      </c>
      <c r="G413" s="549" t="s">
        <v>691</v>
      </c>
      <c r="H413" s="549" t="s">
        <v>690</v>
      </c>
      <c r="I413" s="549" t="s">
        <v>976</v>
      </c>
      <c r="J413" s="549" t="s">
        <v>976</v>
      </c>
      <c r="L413" s="549">
        <v>1994505.04</v>
      </c>
      <c r="M413" s="549">
        <v>150585.13</v>
      </c>
      <c r="N413" s="549">
        <v>44078.559999999998</v>
      </c>
      <c r="P413" s="549">
        <v>6.95</v>
      </c>
      <c r="Q413" s="549">
        <v>13529.13</v>
      </c>
    </row>
    <row r="414" spans="1:17" x14ac:dyDescent="0.25">
      <c r="A414" s="549" t="s">
        <v>1037</v>
      </c>
      <c r="B414" s="549" t="s">
        <v>1038</v>
      </c>
      <c r="C414" s="549" t="s">
        <v>692</v>
      </c>
      <c r="D414" s="549" t="s">
        <v>462</v>
      </c>
      <c r="E414" s="549" t="s">
        <v>973</v>
      </c>
      <c r="F414" s="549" t="s">
        <v>1160</v>
      </c>
      <c r="G414" s="549" t="s">
        <v>462</v>
      </c>
      <c r="H414" s="549" t="s">
        <v>692</v>
      </c>
      <c r="I414" s="549" t="s">
        <v>976</v>
      </c>
      <c r="J414" s="549" t="s">
        <v>976</v>
      </c>
      <c r="L414" s="549">
        <v>1437780.63</v>
      </c>
      <c r="M414" s="549">
        <v>108552.44</v>
      </c>
      <c r="N414" s="549">
        <v>82528.61</v>
      </c>
      <c r="P414" s="549">
        <v>0</v>
      </c>
      <c r="Q414" s="549">
        <v>0</v>
      </c>
    </row>
    <row r="415" spans="1:17" x14ac:dyDescent="0.25">
      <c r="A415" s="549" t="s">
        <v>1037</v>
      </c>
      <c r="B415" s="549" t="s">
        <v>1038</v>
      </c>
      <c r="C415" s="549" t="s">
        <v>692</v>
      </c>
      <c r="D415" s="549" t="s">
        <v>462</v>
      </c>
      <c r="E415" s="549" t="s">
        <v>977</v>
      </c>
      <c r="F415" s="549" t="s">
        <v>1160</v>
      </c>
      <c r="G415" s="549" t="s">
        <v>462</v>
      </c>
      <c r="H415" s="549" t="s">
        <v>692</v>
      </c>
      <c r="I415" s="549" t="s">
        <v>976</v>
      </c>
      <c r="J415" s="549" t="s">
        <v>976</v>
      </c>
      <c r="L415" s="549">
        <v>1437780.63</v>
      </c>
      <c r="M415" s="549">
        <v>108552.44</v>
      </c>
      <c r="N415" s="549">
        <v>31774.95</v>
      </c>
      <c r="P415" s="549">
        <v>100</v>
      </c>
      <c r="Q415" s="549">
        <v>140327.39000000001</v>
      </c>
    </row>
    <row r="416" spans="1:17" x14ac:dyDescent="0.25">
      <c r="A416" s="549" t="s">
        <v>1037</v>
      </c>
      <c r="B416" s="549" t="s">
        <v>1038</v>
      </c>
      <c r="C416" s="549" t="s">
        <v>693</v>
      </c>
      <c r="D416" s="549" t="s">
        <v>694</v>
      </c>
      <c r="E416" s="549" t="s">
        <v>973</v>
      </c>
      <c r="F416" s="549" t="s">
        <v>1160</v>
      </c>
      <c r="G416" s="549" t="s">
        <v>694</v>
      </c>
      <c r="H416" s="549" t="s">
        <v>693</v>
      </c>
      <c r="I416" s="549" t="s">
        <v>976</v>
      </c>
      <c r="J416" s="549" t="s">
        <v>976</v>
      </c>
      <c r="L416" s="549">
        <v>1426168.17</v>
      </c>
      <c r="M416" s="549">
        <v>107675.7</v>
      </c>
      <c r="N416" s="549">
        <v>81862.05</v>
      </c>
      <c r="P416" s="549">
        <v>0</v>
      </c>
      <c r="Q416" s="549">
        <v>0</v>
      </c>
    </row>
    <row r="417" spans="1:17" x14ac:dyDescent="0.25">
      <c r="A417" s="549" t="s">
        <v>1037</v>
      </c>
      <c r="B417" s="549" t="s">
        <v>1038</v>
      </c>
      <c r="C417" s="549" t="s">
        <v>693</v>
      </c>
      <c r="D417" s="549" t="s">
        <v>694</v>
      </c>
      <c r="E417" s="549" t="s">
        <v>977</v>
      </c>
      <c r="F417" s="549" t="s">
        <v>1160</v>
      </c>
      <c r="G417" s="549" t="s">
        <v>694</v>
      </c>
      <c r="H417" s="549" t="s">
        <v>693</v>
      </c>
      <c r="I417" s="549" t="s">
        <v>976</v>
      </c>
      <c r="J417" s="549" t="s">
        <v>976</v>
      </c>
      <c r="L417" s="549">
        <v>1426168.17</v>
      </c>
      <c r="M417" s="549">
        <v>107675.7</v>
      </c>
      <c r="N417" s="549">
        <v>31518.32</v>
      </c>
      <c r="P417" s="549">
        <v>100</v>
      </c>
      <c r="Q417" s="549">
        <v>139194.01999999999</v>
      </c>
    </row>
    <row r="418" spans="1:17" x14ac:dyDescent="0.25">
      <c r="A418" s="549" t="s">
        <v>1037</v>
      </c>
      <c r="B418" s="549" t="s">
        <v>1038</v>
      </c>
      <c r="C418" s="549" t="s">
        <v>693</v>
      </c>
      <c r="D418" s="549" t="s">
        <v>694</v>
      </c>
      <c r="E418" s="549" t="s">
        <v>977</v>
      </c>
      <c r="F418" s="549" t="s">
        <v>1160</v>
      </c>
      <c r="G418" s="549" t="s">
        <v>691</v>
      </c>
      <c r="H418" s="549" t="s">
        <v>690</v>
      </c>
      <c r="I418" s="549" t="s">
        <v>976</v>
      </c>
      <c r="J418" s="549" t="s">
        <v>976</v>
      </c>
      <c r="L418" s="549">
        <v>1994505.04</v>
      </c>
      <c r="M418" s="549">
        <v>150585.13</v>
      </c>
      <c r="N418" s="549">
        <v>44078.559999999998</v>
      </c>
      <c r="P418" s="549">
        <v>13.38</v>
      </c>
      <c r="Q418" s="549">
        <v>26046</v>
      </c>
    </row>
    <row r="419" spans="1:17" x14ac:dyDescent="0.25">
      <c r="A419" s="549" t="s">
        <v>1037</v>
      </c>
      <c r="B419" s="549" t="s">
        <v>1038</v>
      </c>
      <c r="C419" s="549" t="s">
        <v>690</v>
      </c>
      <c r="D419" s="549" t="s">
        <v>691</v>
      </c>
      <c r="E419" s="549" t="s">
        <v>977</v>
      </c>
      <c r="F419" s="549" t="s">
        <v>1160</v>
      </c>
      <c r="G419" s="549" t="s">
        <v>691</v>
      </c>
      <c r="H419" s="549" t="s">
        <v>690</v>
      </c>
      <c r="I419" s="549" t="s">
        <v>976</v>
      </c>
      <c r="J419" s="549" t="s">
        <v>976</v>
      </c>
      <c r="L419" s="549">
        <v>1994505.04</v>
      </c>
      <c r="M419" s="549">
        <v>150585.13</v>
      </c>
      <c r="N419" s="549">
        <v>44078.559999999998</v>
      </c>
      <c r="P419" s="549">
        <v>47.3</v>
      </c>
      <c r="Q419" s="549">
        <v>92075.93</v>
      </c>
    </row>
    <row r="420" spans="1:17" x14ac:dyDescent="0.25">
      <c r="A420" s="549" t="s">
        <v>1037</v>
      </c>
      <c r="B420" s="549" t="s">
        <v>1038</v>
      </c>
      <c r="C420" s="549" t="s">
        <v>686</v>
      </c>
      <c r="D420" s="549" t="s">
        <v>687</v>
      </c>
      <c r="E420" s="549" t="s">
        <v>977</v>
      </c>
      <c r="F420" s="549" t="s">
        <v>1160</v>
      </c>
      <c r="G420" s="549" t="s">
        <v>687</v>
      </c>
      <c r="H420" s="549" t="s">
        <v>686</v>
      </c>
      <c r="I420" s="549" t="s">
        <v>976</v>
      </c>
      <c r="J420" s="549" t="s">
        <v>976</v>
      </c>
      <c r="L420" s="549">
        <v>1640652.33</v>
      </c>
      <c r="M420" s="549">
        <v>123869.25</v>
      </c>
      <c r="N420" s="549">
        <v>36258.42</v>
      </c>
      <c r="P420" s="549">
        <v>26.07</v>
      </c>
      <c r="Q420" s="549">
        <v>41745.279999999999</v>
      </c>
    </row>
    <row r="421" spans="1:17" x14ac:dyDescent="0.25">
      <c r="A421" s="549" t="s">
        <v>1190</v>
      </c>
      <c r="B421" s="549" t="s">
        <v>1191</v>
      </c>
      <c r="C421" s="549" t="s">
        <v>1192</v>
      </c>
      <c r="D421" s="549" t="s">
        <v>1193</v>
      </c>
      <c r="E421" s="549" t="s">
        <v>977</v>
      </c>
      <c r="F421" s="549" t="s">
        <v>1160</v>
      </c>
      <c r="G421" s="549" t="s">
        <v>771</v>
      </c>
      <c r="H421" s="549" t="s">
        <v>770</v>
      </c>
      <c r="I421" s="549" t="s">
        <v>976</v>
      </c>
      <c r="J421" s="549" t="s">
        <v>976</v>
      </c>
      <c r="L421" s="549">
        <v>4523574.3600000003</v>
      </c>
      <c r="M421" s="549">
        <v>341529.86</v>
      </c>
      <c r="N421" s="549">
        <v>99970.99</v>
      </c>
      <c r="P421" s="549">
        <v>0</v>
      </c>
      <c r="Q421" s="549">
        <v>0</v>
      </c>
    </row>
    <row r="422" spans="1:17" x14ac:dyDescent="0.25">
      <c r="A422" s="549" t="s">
        <v>1190</v>
      </c>
      <c r="B422" s="549" t="s">
        <v>1191</v>
      </c>
      <c r="C422" s="549" t="s">
        <v>1192</v>
      </c>
      <c r="D422" s="549" t="s">
        <v>1193</v>
      </c>
      <c r="E422" s="549" t="s">
        <v>973</v>
      </c>
      <c r="F422" s="549" t="s">
        <v>1160</v>
      </c>
      <c r="G422" s="549" t="s">
        <v>866</v>
      </c>
      <c r="H422" s="549" t="s">
        <v>865</v>
      </c>
      <c r="I422" s="549" t="s">
        <v>976</v>
      </c>
      <c r="J422" s="549" t="s">
        <v>976</v>
      </c>
      <c r="L422" s="549">
        <v>17010611.469999999</v>
      </c>
      <c r="M422" s="549">
        <v>1284301.17</v>
      </c>
      <c r="N422" s="549">
        <v>976409.1</v>
      </c>
      <c r="P422" s="549">
        <v>0.33</v>
      </c>
      <c r="Q422" s="549">
        <v>7460.34</v>
      </c>
    </row>
    <row r="423" spans="1:17" x14ac:dyDescent="0.25">
      <c r="A423" s="549" t="s">
        <v>1190</v>
      </c>
      <c r="B423" s="549" t="s">
        <v>1191</v>
      </c>
      <c r="C423" s="549" t="s">
        <v>1192</v>
      </c>
      <c r="D423" s="549" t="s">
        <v>1193</v>
      </c>
      <c r="E423" s="549" t="s">
        <v>973</v>
      </c>
      <c r="F423" s="549" t="s">
        <v>1160</v>
      </c>
      <c r="G423" s="549" t="s">
        <v>771</v>
      </c>
      <c r="H423" s="549" t="s">
        <v>770</v>
      </c>
      <c r="I423" s="549" t="s">
        <v>976</v>
      </c>
      <c r="J423" s="549" t="s">
        <v>976</v>
      </c>
      <c r="L423" s="549">
        <v>4523574.3600000003</v>
      </c>
      <c r="M423" s="549">
        <v>341529.86</v>
      </c>
      <c r="N423" s="549">
        <v>259653.17</v>
      </c>
      <c r="P423" s="549">
        <v>0.36</v>
      </c>
      <c r="Q423" s="549">
        <v>2164.2600000000002</v>
      </c>
    </row>
    <row r="424" spans="1:17" x14ac:dyDescent="0.25">
      <c r="A424" s="549" t="s">
        <v>502</v>
      </c>
      <c r="B424" s="549" t="s">
        <v>1049</v>
      </c>
      <c r="C424" s="549" t="s">
        <v>1194</v>
      </c>
      <c r="D424" s="549" t="s">
        <v>1195</v>
      </c>
      <c r="E424" s="549" t="s">
        <v>973</v>
      </c>
      <c r="F424" s="549" t="s">
        <v>1160</v>
      </c>
      <c r="G424" s="549" t="s">
        <v>1195</v>
      </c>
      <c r="H424" s="549" t="s">
        <v>1194</v>
      </c>
      <c r="I424" s="549" t="s">
        <v>976</v>
      </c>
      <c r="J424" s="549" t="s">
        <v>976</v>
      </c>
      <c r="L424" s="549">
        <v>1191774.28</v>
      </c>
      <c r="M424" s="549">
        <v>89978.96</v>
      </c>
      <c r="N424" s="549">
        <v>68407.839999999997</v>
      </c>
      <c r="P424" s="549">
        <v>23.45</v>
      </c>
      <c r="Q424" s="549">
        <v>37141.699999999997</v>
      </c>
    </row>
    <row r="425" spans="1:17" x14ac:dyDescent="0.25">
      <c r="A425" s="549" t="s">
        <v>502</v>
      </c>
      <c r="B425" s="549" t="s">
        <v>1049</v>
      </c>
      <c r="C425" s="549" t="s">
        <v>1194</v>
      </c>
      <c r="D425" s="549" t="s">
        <v>1195</v>
      </c>
      <c r="E425" s="549" t="s">
        <v>977</v>
      </c>
      <c r="F425" s="549" t="s">
        <v>1160</v>
      </c>
      <c r="G425" s="549" t="s">
        <v>1195</v>
      </c>
      <c r="H425" s="549" t="s">
        <v>1194</v>
      </c>
      <c r="I425" s="549" t="s">
        <v>976</v>
      </c>
      <c r="J425" s="549" t="s">
        <v>976</v>
      </c>
      <c r="L425" s="549">
        <v>1191774.28</v>
      </c>
      <c r="M425" s="549">
        <v>89978.96</v>
      </c>
      <c r="N425" s="549">
        <v>26338.21</v>
      </c>
      <c r="P425" s="549">
        <v>0.13</v>
      </c>
      <c r="Q425" s="549">
        <v>151.21</v>
      </c>
    </row>
    <row r="426" spans="1:17" x14ac:dyDescent="0.25">
      <c r="A426" s="549" t="s">
        <v>502</v>
      </c>
      <c r="B426" s="549" t="s">
        <v>1049</v>
      </c>
      <c r="C426" s="549" t="s">
        <v>521</v>
      </c>
      <c r="D426" s="549" t="s">
        <v>1050</v>
      </c>
      <c r="E426" s="549" t="s">
        <v>973</v>
      </c>
      <c r="F426" s="549" t="s">
        <v>1160</v>
      </c>
      <c r="G426" s="549" t="s">
        <v>1050</v>
      </c>
      <c r="H426" s="549" t="s">
        <v>521</v>
      </c>
      <c r="I426" s="549" t="s">
        <v>976</v>
      </c>
      <c r="J426" s="549" t="s">
        <v>976</v>
      </c>
      <c r="L426" s="549">
        <v>1081263.94</v>
      </c>
      <c r="M426" s="549">
        <v>81635.429999999993</v>
      </c>
      <c r="N426" s="549">
        <v>62064.55</v>
      </c>
      <c r="P426" s="549">
        <v>100</v>
      </c>
      <c r="Q426" s="549">
        <v>143699.98000000001</v>
      </c>
    </row>
    <row r="427" spans="1:17" x14ac:dyDescent="0.25">
      <c r="A427" s="549" t="s">
        <v>502</v>
      </c>
      <c r="B427" s="549" t="s">
        <v>1049</v>
      </c>
      <c r="C427" s="549" t="s">
        <v>521</v>
      </c>
      <c r="D427" s="549" t="s">
        <v>1050</v>
      </c>
      <c r="E427" s="549" t="s">
        <v>973</v>
      </c>
      <c r="F427" s="549" t="s">
        <v>1160</v>
      </c>
      <c r="G427" s="549" t="s">
        <v>816</v>
      </c>
      <c r="H427" s="549" t="s">
        <v>507</v>
      </c>
      <c r="I427" s="549" t="s">
        <v>976</v>
      </c>
      <c r="J427" s="549" t="s">
        <v>976</v>
      </c>
      <c r="L427" s="549">
        <v>1677708.7</v>
      </c>
      <c r="M427" s="549">
        <v>126667.01</v>
      </c>
      <c r="N427" s="549">
        <v>96300.479999999996</v>
      </c>
      <c r="P427" s="549">
        <v>5.0599999999999996</v>
      </c>
      <c r="Q427" s="549">
        <v>11282.15</v>
      </c>
    </row>
    <row r="428" spans="1:17" x14ac:dyDescent="0.25">
      <c r="A428" s="549" t="s">
        <v>502</v>
      </c>
      <c r="B428" s="549" t="s">
        <v>1049</v>
      </c>
      <c r="C428" s="549" t="s">
        <v>521</v>
      </c>
      <c r="D428" s="549" t="s">
        <v>1050</v>
      </c>
      <c r="E428" s="549" t="s">
        <v>977</v>
      </c>
      <c r="F428" s="549" t="s">
        <v>1160</v>
      </c>
      <c r="G428" s="549" t="s">
        <v>1050</v>
      </c>
      <c r="H428" s="549" t="s">
        <v>521</v>
      </c>
      <c r="I428" s="549" t="s">
        <v>976</v>
      </c>
      <c r="J428" s="549" t="s">
        <v>976</v>
      </c>
      <c r="L428" s="549">
        <v>1081263.94</v>
      </c>
      <c r="M428" s="549">
        <v>81635.429999999993</v>
      </c>
      <c r="N428" s="549">
        <v>23895.93</v>
      </c>
      <c r="P428" s="549">
        <v>0</v>
      </c>
      <c r="Q428" s="549">
        <v>0</v>
      </c>
    </row>
    <row r="429" spans="1:17" x14ac:dyDescent="0.25">
      <c r="A429" s="549" t="s">
        <v>502</v>
      </c>
      <c r="B429" s="549" t="s">
        <v>1049</v>
      </c>
      <c r="C429" s="549" t="s">
        <v>522</v>
      </c>
      <c r="D429" s="549" t="s">
        <v>1196</v>
      </c>
      <c r="E429" s="549" t="s">
        <v>973</v>
      </c>
      <c r="F429" s="549" t="s">
        <v>1160</v>
      </c>
      <c r="G429" s="549" t="s">
        <v>1196</v>
      </c>
      <c r="H429" s="549" t="s">
        <v>522</v>
      </c>
      <c r="I429" s="549" t="s">
        <v>976</v>
      </c>
      <c r="J429" s="549" t="s">
        <v>976</v>
      </c>
      <c r="L429" s="549">
        <v>1191774.28</v>
      </c>
      <c r="M429" s="549">
        <v>89978.96</v>
      </c>
      <c r="N429" s="549">
        <v>68407.839999999997</v>
      </c>
      <c r="P429" s="549">
        <v>12.08</v>
      </c>
      <c r="Q429" s="549">
        <v>19133.13</v>
      </c>
    </row>
    <row r="430" spans="1:17" x14ac:dyDescent="0.25">
      <c r="A430" s="549" t="s">
        <v>502</v>
      </c>
      <c r="B430" s="549" t="s">
        <v>1049</v>
      </c>
      <c r="C430" s="549" t="s">
        <v>522</v>
      </c>
      <c r="D430" s="549" t="s">
        <v>1196</v>
      </c>
      <c r="E430" s="549" t="s">
        <v>977</v>
      </c>
      <c r="F430" s="549" t="s">
        <v>1160</v>
      </c>
      <c r="G430" s="549" t="s">
        <v>1196</v>
      </c>
      <c r="H430" s="549" t="s">
        <v>522</v>
      </c>
      <c r="I430" s="549" t="s">
        <v>976</v>
      </c>
      <c r="J430" s="549" t="s">
        <v>976</v>
      </c>
      <c r="L430" s="549">
        <v>1191774.28</v>
      </c>
      <c r="M430" s="549">
        <v>89978.96</v>
      </c>
      <c r="N430" s="549">
        <v>26338.21</v>
      </c>
      <c r="P430" s="549">
        <v>0.49</v>
      </c>
      <c r="Q430" s="549">
        <v>569.95000000000005</v>
      </c>
    </row>
    <row r="431" spans="1:17" x14ac:dyDescent="0.25">
      <c r="A431" s="549" t="s">
        <v>502</v>
      </c>
      <c r="B431" s="549" t="s">
        <v>1049</v>
      </c>
      <c r="C431" s="549" t="s">
        <v>523</v>
      </c>
      <c r="D431" s="549" t="s">
        <v>1052</v>
      </c>
      <c r="E431" s="549" t="s">
        <v>973</v>
      </c>
      <c r="F431" s="549" t="s">
        <v>1160</v>
      </c>
      <c r="G431" s="549" t="s">
        <v>856</v>
      </c>
      <c r="H431" s="549" t="s">
        <v>855</v>
      </c>
      <c r="I431" s="549" t="s">
        <v>976</v>
      </c>
      <c r="J431" s="549" t="s">
        <v>976</v>
      </c>
      <c r="L431" s="549">
        <v>2060111.91</v>
      </c>
      <c r="M431" s="549">
        <v>155538.45000000001</v>
      </c>
      <c r="N431" s="549">
        <v>118250.42</v>
      </c>
      <c r="P431" s="549">
        <v>1.54</v>
      </c>
      <c r="Q431" s="549">
        <v>4216.3500000000004</v>
      </c>
    </row>
    <row r="432" spans="1:17" x14ac:dyDescent="0.25">
      <c r="A432" s="549" t="s">
        <v>502</v>
      </c>
      <c r="B432" s="549" t="s">
        <v>1049</v>
      </c>
      <c r="C432" s="549" t="s">
        <v>523</v>
      </c>
      <c r="D432" s="549" t="s">
        <v>1052</v>
      </c>
      <c r="E432" s="549" t="s">
        <v>973</v>
      </c>
      <c r="F432" s="549" t="s">
        <v>1160</v>
      </c>
      <c r="G432" s="549" t="s">
        <v>1052</v>
      </c>
      <c r="H432" s="549" t="s">
        <v>523</v>
      </c>
      <c r="I432" s="549" t="s">
        <v>976</v>
      </c>
      <c r="J432" s="549" t="s">
        <v>976</v>
      </c>
      <c r="L432" s="549">
        <v>1219236.3400000001</v>
      </c>
      <c r="M432" s="549">
        <v>92052.34</v>
      </c>
      <c r="N432" s="549">
        <v>69984.17</v>
      </c>
      <c r="P432" s="549">
        <v>100</v>
      </c>
      <c r="Q432" s="549">
        <v>162036.51</v>
      </c>
    </row>
    <row r="433" spans="1:17" x14ac:dyDescent="0.25">
      <c r="A433" s="549" t="s">
        <v>502</v>
      </c>
      <c r="B433" s="549" t="s">
        <v>1049</v>
      </c>
      <c r="C433" s="549" t="s">
        <v>523</v>
      </c>
      <c r="D433" s="549" t="s">
        <v>1052</v>
      </c>
      <c r="E433" s="549" t="s">
        <v>977</v>
      </c>
      <c r="F433" s="549" t="s">
        <v>1160</v>
      </c>
      <c r="G433" s="549" t="s">
        <v>1052</v>
      </c>
      <c r="H433" s="549" t="s">
        <v>523</v>
      </c>
      <c r="I433" s="549" t="s">
        <v>976</v>
      </c>
      <c r="J433" s="549" t="s">
        <v>976</v>
      </c>
      <c r="L433" s="549">
        <v>1219236.3400000001</v>
      </c>
      <c r="M433" s="549">
        <v>92052.34</v>
      </c>
      <c r="N433" s="549">
        <v>26945.119999999999</v>
      </c>
      <c r="P433" s="549">
        <v>0</v>
      </c>
      <c r="Q433" s="549">
        <v>0</v>
      </c>
    </row>
    <row r="434" spans="1:17" x14ac:dyDescent="0.25">
      <c r="A434" s="549" t="s">
        <v>502</v>
      </c>
      <c r="B434" s="549" t="s">
        <v>1049</v>
      </c>
      <c r="C434" s="549" t="s">
        <v>524</v>
      </c>
      <c r="D434" s="549" t="s">
        <v>1055</v>
      </c>
      <c r="E434" s="549" t="s">
        <v>973</v>
      </c>
      <c r="F434" s="549" t="s">
        <v>1160</v>
      </c>
      <c r="G434" s="549" t="s">
        <v>1055</v>
      </c>
      <c r="H434" s="549" t="s">
        <v>524</v>
      </c>
      <c r="I434" s="549" t="s">
        <v>976</v>
      </c>
      <c r="J434" s="549" t="s">
        <v>976</v>
      </c>
      <c r="L434" s="549">
        <v>1081263.94</v>
      </c>
      <c r="M434" s="549">
        <v>81635.429999999993</v>
      </c>
      <c r="N434" s="549">
        <v>62064.55</v>
      </c>
      <c r="P434" s="549">
        <v>99.51</v>
      </c>
      <c r="Q434" s="549">
        <v>142995.85</v>
      </c>
    </row>
    <row r="435" spans="1:17" x14ac:dyDescent="0.25">
      <c r="A435" s="549" t="s">
        <v>502</v>
      </c>
      <c r="B435" s="549" t="s">
        <v>1049</v>
      </c>
      <c r="C435" s="549" t="s">
        <v>524</v>
      </c>
      <c r="D435" s="549" t="s">
        <v>1055</v>
      </c>
      <c r="E435" s="549" t="s">
        <v>973</v>
      </c>
      <c r="F435" s="549" t="s">
        <v>1160</v>
      </c>
      <c r="G435" s="549" t="s">
        <v>1197</v>
      </c>
      <c r="H435" s="549" t="s">
        <v>527</v>
      </c>
      <c r="I435" s="549" t="s">
        <v>976</v>
      </c>
      <c r="J435" s="549" t="s">
        <v>976</v>
      </c>
      <c r="L435" s="549">
        <v>1336466.3999999999</v>
      </c>
      <c r="M435" s="549">
        <v>100903.21</v>
      </c>
      <c r="N435" s="549">
        <v>76713.17</v>
      </c>
      <c r="P435" s="549">
        <v>11.97</v>
      </c>
      <c r="Q435" s="549">
        <v>21260.68</v>
      </c>
    </row>
    <row r="436" spans="1:17" x14ac:dyDescent="0.25">
      <c r="A436" s="549" t="s">
        <v>502</v>
      </c>
      <c r="B436" s="549" t="s">
        <v>1049</v>
      </c>
      <c r="C436" s="549" t="s">
        <v>524</v>
      </c>
      <c r="D436" s="549" t="s">
        <v>1055</v>
      </c>
      <c r="E436" s="549" t="s">
        <v>977</v>
      </c>
      <c r="F436" s="549" t="s">
        <v>1160</v>
      </c>
      <c r="G436" s="549" t="s">
        <v>1055</v>
      </c>
      <c r="H436" s="549" t="s">
        <v>524</v>
      </c>
      <c r="I436" s="549" t="s">
        <v>976</v>
      </c>
      <c r="J436" s="549" t="s">
        <v>976</v>
      </c>
      <c r="L436" s="549">
        <v>1081263.94</v>
      </c>
      <c r="M436" s="549">
        <v>81635.429999999993</v>
      </c>
      <c r="N436" s="549">
        <v>23895.93</v>
      </c>
      <c r="P436" s="549">
        <v>0.49</v>
      </c>
      <c r="Q436" s="549">
        <v>517.1</v>
      </c>
    </row>
    <row r="437" spans="1:17" x14ac:dyDescent="0.25">
      <c r="A437" s="549" t="s">
        <v>502</v>
      </c>
      <c r="B437" s="549" t="s">
        <v>1049</v>
      </c>
      <c r="C437" s="549" t="s">
        <v>524</v>
      </c>
      <c r="D437" s="549" t="s">
        <v>1055</v>
      </c>
      <c r="E437" s="549" t="s">
        <v>977</v>
      </c>
      <c r="F437" s="549" t="s">
        <v>1160</v>
      </c>
      <c r="G437" s="549" t="s">
        <v>1197</v>
      </c>
      <c r="H437" s="549" t="s">
        <v>527</v>
      </c>
      <c r="I437" s="549" t="s">
        <v>976</v>
      </c>
      <c r="J437" s="549" t="s">
        <v>976</v>
      </c>
      <c r="L437" s="549">
        <v>1336466.3999999999</v>
      </c>
      <c r="M437" s="549">
        <v>100903.21</v>
      </c>
      <c r="N437" s="549">
        <v>29535.91</v>
      </c>
      <c r="P437" s="549">
        <v>0.06</v>
      </c>
      <c r="Q437" s="549">
        <v>78.260000000000005</v>
      </c>
    </row>
    <row r="438" spans="1:17" x14ac:dyDescent="0.25">
      <c r="A438" s="549" t="s">
        <v>502</v>
      </c>
      <c r="B438" s="549" t="s">
        <v>1049</v>
      </c>
      <c r="C438" s="549" t="s">
        <v>525</v>
      </c>
      <c r="D438" s="549" t="s">
        <v>1198</v>
      </c>
      <c r="E438" s="549" t="s">
        <v>973</v>
      </c>
      <c r="F438" s="549" t="s">
        <v>1160</v>
      </c>
      <c r="G438" s="549" t="s">
        <v>1198</v>
      </c>
      <c r="H438" s="549" t="s">
        <v>525</v>
      </c>
      <c r="I438" s="549" t="s">
        <v>976</v>
      </c>
      <c r="J438" s="549" t="s">
        <v>976</v>
      </c>
      <c r="L438" s="549">
        <v>1723460.78</v>
      </c>
      <c r="M438" s="549">
        <v>130121.29</v>
      </c>
      <c r="N438" s="549">
        <v>98926.65</v>
      </c>
      <c r="P438" s="549">
        <v>17.62</v>
      </c>
      <c r="Q438" s="549">
        <v>40358.25</v>
      </c>
    </row>
    <row r="439" spans="1:17" x14ac:dyDescent="0.25">
      <c r="A439" s="549" t="s">
        <v>502</v>
      </c>
      <c r="B439" s="549" t="s">
        <v>1049</v>
      </c>
      <c r="C439" s="549" t="s">
        <v>525</v>
      </c>
      <c r="D439" s="549" t="s">
        <v>1198</v>
      </c>
      <c r="E439" s="549" t="s">
        <v>977</v>
      </c>
      <c r="F439" s="549" t="s">
        <v>1160</v>
      </c>
      <c r="G439" s="549" t="s">
        <v>1198</v>
      </c>
      <c r="H439" s="549" t="s">
        <v>525</v>
      </c>
      <c r="I439" s="549" t="s">
        <v>976</v>
      </c>
      <c r="J439" s="549" t="s">
        <v>976</v>
      </c>
      <c r="L439" s="549">
        <v>1723460.78</v>
      </c>
      <c r="M439" s="549">
        <v>130121.29</v>
      </c>
      <c r="N439" s="549">
        <v>38088.480000000003</v>
      </c>
      <c r="P439" s="549">
        <v>0.28999999999999998</v>
      </c>
      <c r="Q439" s="549">
        <v>487.81</v>
      </c>
    </row>
    <row r="440" spans="1:17" x14ac:dyDescent="0.25">
      <c r="A440" s="549" t="s">
        <v>502</v>
      </c>
      <c r="B440" s="549" t="s">
        <v>1049</v>
      </c>
      <c r="C440" s="549" t="s">
        <v>526</v>
      </c>
      <c r="D440" s="549" t="s">
        <v>1058</v>
      </c>
      <c r="E440" s="549" t="s">
        <v>973</v>
      </c>
      <c r="F440" s="549" t="s">
        <v>1160</v>
      </c>
      <c r="G440" s="549" t="s">
        <v>1197</v>
      </c>
      <c r="H440" s="549" t="s">
        <v>527</v>
      </c>
      <c r="I440" s="549" t="s">
        <v>976</v>
      </c>
      <c r="J440" s="549" t="s">
        <v>976</v>
      </c>
      <c r="L440" s="549">
        <v>1336466.3999999999</v>
      </c>
      <c r="M440" s="549">
        <v>100903.21</v>
      </c>
      <c r="N440" s="549">
        <v>76713.17</v>
      </c>
      <c r="P440" s="549">
        <v>1.96</v>
      </c>
      <c r="Q440" s="549">
        <v>3481.28</v>
      </c>
    </row>
    <row r="441" spans="1:17" x14ac:dyDescent="0.25">
      <c r="A441" s="549" t="s">
        <v>502</v>
      </c>
      <c r="B441" s="549" t="s">
        <v>1049</v>
      </c>
      <c r="C441" s="549" t="s">
        <v>526</v>
      </c>
      <c r="D441" s="549" t="s">
        <v>1058</v>
      </c>
      <c r="E441" s="549" t="s">
        <v>973</v>
      </c>
      <c r="F441" s="549" t="s">
        <v>1160</v>
      </c>
      <c r="G441" s="549" t="s">
        <v>1058</v>
      </c>
      <c r="H441" s="549" t="s">
        <v>526</v>
      </c>
      <c r="I441" s="549" t="s">
        <v>976</v>
      </c>
      <c r="J441" s="549" t="s">
        <v>976</v>
      </c>
      <c r="L441" s="549">
        <v>1081263.94</v>
      </c>
      <c r="M441" s="549">
        <v>81635.429999999993</v>
      </c>
      <c r="N441" s="549">
        <v>62064.55</v>
      </c>
      <c r="P441" s="549">
        <v>99.69</v>
      </c>
      <c r="Q441" s="549">
        <v>143254.51</v>
      </c>
    </row>
    <row r="442" spans="1:17" x14ac:dyDescent="0.25">
      <c r="A442" s="549" t="s">
        <v>502</v>
      </c>
      <c r="B442" s="549" t="s">
        <v>1049</v>
      </c>
      <c r="C442" s="549" t="s">
        <v>526</v>
      </c>
      <c r="D442" s="549" t="s">
        <v>1058</v>
      </c>
      <c r="E442" s="549" t="s">
        <v>977</v>
      </c>
      <c r="F442" s="549" t="s">
        <v>1160</v>
      </c>
      <c r="G442" s="549" t="s">
        <v>1197</v>
      </c>
      <c r="H442" s="549" t="s">
        <v>527</v>
      </c>
      <c r="I442" s="549" t="s">
        <v>976</v>
      </c>
      <c r="J442" s="549" t="s">
        <v>976</v>
      </c>
      <c r="L442" s="549">
        <v>1336466.3999999999</v>
      </c>
      <c r="M442" s="549">
        <v>100903.21</v>
      </c>
      <c r="N442" s="549">
        <v>29535.91</v>
      </c>
      <c r="P442" s="549">
        <v>0.01</v>
      </c>
      <c r="Q442" s="549">
        <v>13.04</v>
      </c>
    </row>
    <row r="443" spans="1:17" x14ac:dyDescent="0.25">
      <c r="A443" s="549" t="s">
        <v>502</v>
      </c>
      <c r="B443" s="549" t="s">
        <v>1049</v>
      </c>
      <c r="C443" s="549" t="s">
        <v>526</v>
      </c>
      <c r="D443" s="549" t="s">
        <v>1058</v>
      </c>
      <c r="E443" s="549" t="s">
        <v>977</v>
      </c>
      <c r="F443" s="549" t="s">
        <v>1160</v>
      </c>
      <c r="G443" s="549" t="s">
        <v>1058</v>
      </c>
      <c r="H443" s="549" t="s">
        <v>526</v>
      </c>
      <c r="I443" s="549" t="s">
        <v>976</v>
      </c>
      <c r="J443" s="549" t="s">
        <v>976</v>
      </c>
      <c r="L443" s="549">
        <v>1081263.94</v>
      </c>
      <c r="M443" s="549">
        <v>81635.429999999993</v>
      </c>
      <c r="N443" s="549">
        <v>23895.93</v>
      </c>
      <c r="P443" s="549">
        <v>0.31</v>
      </c>
      <c r="Q443" s="549">
        <v>327.14999999999998</v>
      </c>
    </row>
    <row r="444" spans="1:17" x14ac:dyDescent="0.25">
      <c r="A444" s="549" t="s">
        <v>502</v>
      </c>
      <c r="B444" s="549" t="s">
        <v>1049</v>
      </c>
      <c r="C444" s="549" t="s">
        <v>527</v>
      </c>
      <c r="D444" s="549" t="s">
        <v>1197</v>
      </c>
      <c r="E444" s="549" t="s">
        <v>973</v>
      </c>
      <c r="F444" s="549" t="s">
        <v>1160</v>
      </c>
      <c r="G444" s="549" t="s">
        <v>1197</v>
      </c>
      <c r="H444" s="549" t="s">
        <v>527</v>
      </c>
      <c r="I444" s="549" t="s">
        <v>976</v>
      </c>
      <c r="J444" s="549" t="s">
        <v>976</v>
      </c>
      <c r="L444" s="549">
        <v>1336466.3999999999</v>
      </c>
      <c r="M444" s="549">
        <v>100903.21</v>
      </c>
      <c r="N444" s="549">
        <v>76713.17</v>
      </c>
      <c r="P444" s="549">
        <v>8.49</v>
      </c>
      <c r="Q444" s="549">
        <v>15079.63</v>
      </c>
    </row>
    <row r="445" spans="1:17" x14ac:dyDescent="0.25">
      <c r="A445" s="549" t="s">
        <v>1060</v>
      </c>
      <c r="B445" s="549" t="s">
        <v>1061</v>
      </c>
      <c r="C445" s="549" t="s">
        <v>506</v>
      </c>
      <c r="D445" s="549" t="s">
        <v>1062</v>
      </c>
      <c r="E445" s="549" t="s">
        <v>973</v>
      </c>
      <c r="F445" s="549" t="s">
        <v>1160</v>
      </c>
      <c r="G445" s="549" t="s">
        <v>816</v>
      </c>
      <c r="H445" s="549" t="s">
        <v>507</v>
      </c>
      <c r="I445" s="549" t="s">
        <v>976</v>
      </c>
      <c r="J445" s="549" t="s">
        <v>976</v>
      </c>
      <c r="L445" s="549">
        <v>1677708.7</v>
      </c>
      <c r="M445" s="549">
        <v>126667.01</v>
      </c>
      <c r="N445" s="549">
        <v>96300.479999999996</v>
      </c>
      <c r="P445" s="549">
        <v>5.19</v>
      </c>
      <c r="Q445" s="549">
        <v>11572.01</v>
      </c>
    </row>
    <row r="446" spans="1:17" x14ac:dyDescent="0.25">
      <c r="A446" s="549" t="s">
        <v>1060</v>
      </c>
      <c r="B446" s="549" t="s">
        <v>1061</v>
      </c>
      <c r="C446" s="549" t="s">
        <v>506</v>
      </c>
      <c r="D446" s="549" t="s">
        <v>1062</v>
      </c>
      <c r="E446" s="549" t="s">
        <v>977</v>
      </c>
      <c r="F446" s="549" t="s">
        <v>1160</v>
      </c>
      <c r="G446" s="549" t="s">
        <v>816</v>
      </c>
      <c r="H446" s="549" t="s">
        <v>507</v>
      </c>
      <c r="I446" s="549" t="s">
        <v>976</v>
      </c>
      <c r="J446" s="549" t="s">
        <v>976</v>
      </c>
      <c r="L446" s="549">
        <v>1677708.7</v>
      </c>
      <c r="M446" s="549">
        <v>126667.01</v>
      </c>
      <c r="N446" s="549">
        <v>37077.360000000001</v>
      </c>
      <c r="P446" s="549">
        <v>0.17</v>
      </c>
      <c r="Q446" s="549">
        <v>278.37</v>
      </c>
    </row>
    <row r="447" spans="1:17" x14ac:dyDescent="0.25">
      <c r="A447" s="549" t="s">
        <v>1064</v>
      </c>
      <c r="B447" s="549" t="s">
        <v>581</v>
      </c>
      <c r="C447" s="549" t="s">
        <v>716</v>
      </c>
      <c r="D447" s="549" t="s">
        <v>717</v>
      </c>
      <c r="E447" s="549" t="s">
        <v>973</v>
      </c>
      <c r="F447" s="549" t="s">
        <v>1160</v>
      </c>
      <c r="G447" s="549" t="s">
        <v>717</v>
      </c>
      <c r="H447" s="549" t="s">
        <v>716</v>
      </c>
      <c r="I447" s="549" t="s">
        <v>976</v>
      </c>
      <c r="J447" s="549" t="s">
        <v>976</v>
      </c>
      <c r="L447" s="549">
        <v>2016473.97</v>
      </c>
      <c r="M447" s="549">
        <v>152243.78</v>
      </c>
      <c r="N447" s="549">
        <v>115745.61</v>
      </c>
      <c r="P447" s="549">
        <v>0</v>
      </c>
      <c r="Q447" s="549">
        <v>0</v>
      </c>
    </row>
    <row r="448" spans="1:17" x14ac:dyDescent="0.25">
      <c r="A448" s="549" t="s">
        <v>1064</v>
      </c>
      <c r="B448" s="549" t="s">
        <v>581</v>
      </c>
      <c r="C448" s="549" t="s">
        <v>716</v>
      </c>
      <c r="D448" s="549" t="s">
        <v>717</v>
      </c>
      <c r="E448" s="549" t="s">
        <v>977</v>
      </c>
      <c r="F448" s="549" t="s">
        <v>1160</v>
      </c>
      <c r="G448" s="549" t="s">
        <v>717</v>
      </c>
      <c r="H448" s="549" t="s">
        <v>716</v>
      </c>
      <c r="I448" s="549" t="s">
        <v>976</v>
      </c>
      <c r="J448" s="549" t="s">
        <v>976</v>
      </c>
      <c r="L448" s="549">
        <v>2016473.97</v>
      </c>
      <c r="M448" s="549">
        <v>152243.78</v>
      </c>
      <c r="N448" s="549">
        <v>44564.07</v>
      </c>
      <c r="P448" s="549">
        <v>100</v>
      </c>
      <c r="Q448" s="549">
        <v>196807.85</v>
      </c>
    </row>
    <row r="449" spans="1:17" x14ac:dyDescent="0.25">
      <c r="A449" s="549" t="s">
        <v>1064</v>
      </c>
      <c r="B449" s="549" t="s">
        <v>581</v>
      </c>
      <c r="C449" s="549" t="s">
        <v>718</v>
      </c>
      <c r="D449" s="549" t="s">
        <v>719</v>
      </c>
      <c r="E449" s="549" t="s">
        <v>973</v>
      </c>
      <c r="F449" s="549" t="s">
        <v>1160</v>
      </c>
      <c r="G449" s="549" t="s">
        <v>719</v>
      </c>
      <c r="H449" s="549" t="s">
        <v>718</v>
      </c>
      <c r="I449" s="549" t="s">
        <v>976</v>
      </c>
      <c r="J449" s="549" t="s">
        <v>976</v>
      </c>
      <c r="L449" s="549">
        <v>1278911.8400000001</v>
      </c>
      <c r="M449" s="549">
        <v>96557.84</v>
      </c>
      <c r="N449" s="549">
        <v>73409.539999999994</v>
      </c>
      <c r="P449" s="549">
        <v>0</v>
      </c>
      <c r="Q449" s="549">
        <v>0</v>
      </c>
    </row>
    <row r="450" spans="1:17" x14ac:dyDescent="0.25">
      <c r="A450" s="549" t="s">
        <v>1064</v>
      </c>
      <c r="B450" s="549" t="s">
        <v>581</v>
      </c>
      <c r="C450" s="549" t="s">
        <v>718</v>
      </c>
      <c r="D450" s="549" t="s">
        <v>719</v>
      </c>
      <c r="E450" s="549" t="s">
        <v>977</v>
      </c>
      <c r="F450" s="549" t="s">
        <v>1160</v>
      </c>
      <c r="G450" s="549" t="s">
        <v>719</v>
      </c>
      <c r="H450" s="549" t="s">
        <v>718</v>
      </c>
      <c r="I450" s="549" t="s">
        <v>976</v>
      </c>
      <c r="J450" s="549" t="s">
        <v>976</v>
      </c>
      <c r="L450" s="549">
        <v>1278911.8400000001</v>
      </c>
      <c r="M450" s="549">
        <v>96557.84</v>
      </c>
      <c r="N450" s="549">
        <v>28263.95</v>
      </c>
      <c r="P450" s="549">
        <v>100</v>
      </c>
      <c r="Q450" s="549">
        <v>124821.79</v>
      </c>
    </row>
    <row r="451" spans="1:17" x14ac:dyDescent="0.25">
      <c r="A451" s="549" t="s">
        <v>1064</v>
      </c>
      <c r="B451" s="549" t="s">
        <v>581</v>
      </c>
      <c r="C451" s="549" t="s">
        <v>718</v>
      </c>
      <c r="D451" s="549" t="s">
        <v>719</v>
      </c>
      <c r="E451" s="549" t="s">
        <v>977</v>
      </c>
      <c r="F451" s="549" t="s">
        <v>1160</v>
      </c>
      <c r="G451" s="549" t="s">
        <v>713</v>
      </c>
      <c r="H451" s="549" t="s">
        <v>712</v>
      </c>
      <c r="I451" s="549" t="s">
        <v>976</v>
      </c>
      <c r="J451" s="549" t="s">
        <v>976</v>
      </c>
      <c r="L451" s="549">
        <v>1395656.08</v>
      </c>
      <c r="M451" s="549">
        <v>105372.03</v>
      </c>
      <c r="N451" s="549">
        <v>30844</v>
      </c>
      <c r="P451" s="549">
        <v>17.7</v>
      </c>
      <c r="Q451" s="549">
        <v>24110.240000000002</v>
      </c>
    </row>
    <row r="452" spans="1:17" x14ac:dyDescent="0.25">
      <c r="A452" s="549" t="s">
        <v>1064</v>
      </c>
      <c r="B452" s="549" t="s">
        <v>581</v>
      </c>
      <c r="C452" s="549" t="s">
        <v>712</v>
      </c>
      <c r="D452" s="549" t="s">
        <v>713</v>
      </c>
      <c r="E452" s="549" t="s">
        <v>977</v>
      </c>
      <c r="F452" s="549" t="s">
        <v>1160</v>
      </c>
      <c r="G452" s="549" t="s">
        <v>713</v>
      </c>
      <c r="H452" s="549" t="s">
        <v>712</v>
      </c>
      <c r="I452" s="549" t="s">
        <v>976</v>
      </c>
      <c r="J452" s="549" t="s">
        <v>976</v>
      </c>
      <c r="L452" s="549">
        <v>1395656.08</v>
      </c>
      <c r="M452" s="549">
        <v>105372.03</v>
      </c>
      <c r="N452" s="549">
        <v>30844</v>
      </c>
      <c r="P452" s="549">
        <v>24.14</v>
      </c>
      <c r="Q452" s="549">
        <v>32882.550000000003</v>
      </c>
    </row>
    <row r="453" spans="1:17" x14ac:dyDescent="0.25">
      <c r="A453" s="549" t="s">
        <v>1064</v>
      </c>
      <c r="B453" s="549" t="s">
        <v>581</v>
      </c>
      <c r="C453" s="549" t="s">
        <v>714</v>
      </c>
      <c r="D453" s="549" t="s">
        <v>715</v>
      </c>
      <c r="E453" s="549" t="s">
        <v>977</v>
      </c>
      <c r="F453" s="549" t="s">
        <v>1160</v>
      </c>
      <c r="G453" s="549" t="s">
        <v>715</v>
      </c>
      <c r="H453" s="549" t="s">
        <v>714</v>
      </c>
      <c r="I453" s="549" t="s">
        <v>976</v>
      </c>
      <c r="J453" s="549" t="s">
        <v>976</v>
      </c>
      <c r="L453" s="549">
        <v>1272949.76</v>
      </c>
      <c r="M453" s="549">
        <v>96107.71</v>
      </c>
      <c r="N453" s="549">
        <v>28132.19</v>
      </c>
      <c r="P453" s="549">
        <v>73.66</v>
      </c>
      <c r="Q453" s="549">
        <v>91515.11</v>
      </c>
    </row>
    <row r="454" spans="1:17" x14ac:dyDescent="0.25">
      <c r="A454" s="549" t="s">
        <v>1067</v>
      </c>
      <c r="B454" s="549" t="s">
        <v>1068</v>
      </c>
      <c r="C454" s="549" t="s">
        <v>506</v>
      </c>
      <c r="D454" s="549" t="s">
        <v>1062</v>
      </c>
      <c r="E454" s="549" t="s">
        <v>973</v>
      </c>
      <c r="F454" s="549" t="s">
        <v>1160</v>
      </c>
      <c r="G454" s="549" t="s">
        <v>816</v>
      </c>
      <c r="H454" s="549" t="s">
        <v>507</v>
      </c>
      <c r="I454" s="549" t="s">
        <v>976</v>
      </c>
      <c r="J454" s="549" t="s">
        <v>976</v>
      </c>
      <c r="L454" s="549">
        <v>1677708.7</v>
      </c>
      <c r="M454" s="549">
        <v>126667.01</v>
      </c>
      <c r="N454" s="549">
        <v>96300.479999999996</v>
      </c>
      <c r="P454" s="549">
        <v>2.89</v>
      </c>
      <c r="Q454" s="549">
        <v>6443.76</v>
      </c>
    </row>
    <row r="455" spans="1:17" x14ac:dyDescent="0.25">
      <c r="A455" s="549" t="s">
        <v>1067</v>
      </c>
      <c r="B455" s="549" t="s">
        <v>1068</v>
      </c>
      <c r="C455" s="549" t="s">
        <v>506</v>
      </c>
      <c r="D455" s="549" t="s">
        <v>1062</v>
      </c>
      <c r="E455" s="549" t="s">
        <v>977</v>
      </c>
      <c r="F455" s="549" t="s">
        <v>1160</v>
      </c>
      <c r="G455" s="549" t="s">
        <v>816</v>
      </c>
      <c r="H455" s="549" t="s">
        <v>507</v>
      </c>
      <c r="I455" s="549" t="s">
        <v>976</v>
      </c>
      <c r="J455" s="549" t="s">
        <v>976</v>
      </c>
      <c r="L455" s="549">
        <v>1677708.7</v>
      </c>
      <c r="M455" s="549">
        <v>126667.01</v>
      </c>
      <c r="N455" s="549">
        <v>37077.360000000001</v>
      </c>
      <c r="P455" s="549">
        <v>0.11</v>
      </c>
      <c r="Q455" s="549">
        <v>180.12</v>
      </c>
    </row>
    <row r="456" spans="1:17" x14ac:dyDescent="0.25">
      <c r="A456" s="549" t="s">
        <v>44</v>
      </c>
      <c r="B456" s="549" t="s">
        <v>1199</v>
      </c>
      <c r="C456" s="549" t="s">
        <v>1200</v>
      </c>
      <c r="D456" s="549" t="s">
        <v>66</v>
      </c>
      <c r="E456" s="549" t="s">
        <v>977</v>
      </c>
      <c r="F456" s="549" t="s">
        <v>1160</v>
      </c>
      <c r="G456" s="549" t="s">
        <v>793</v>
      </c>
      <c r="H456" s="549" t="s">
        <v>792</v>
      </c>
      <c r="I456" s="549" t="s">
        <v>976</v>
      </c>
      <c r="J456" s="549" t="s">
        <v>976</v>
      </c>
      <c r="L456" s="549">
        <v>1848115.68</v>
      </c>
      <c r="M456" s="549">
        <v>139532.73000000001</v>
      </c>
      <c r="N456" s="549">
        <v>40843.360000000001</v>
      </c>
      <c r="P456" s="549">
        <v>11.03</v>
      </c>
      <c r="Q456" s="549">
        <v>19895.48</v>
      </c>
    </row>
    <row r="457" spans="1:17" x14ac:dyDescent="0.25">
      <c r="A457" s="549" t="s">
        <v>44</v>
      </c>
      <c r="B457" s="549" t="s">
        <v>1199</v>
      </c>
      <c r="C457" s="549" t="s">
        <v>1200</v>
      </c>
      <c r="D457" s="549" t="s">
        <v>66</v>
      </c>
      <c r="E457" s="549" t="s">
        <v>977</v>
      </c>
      <c r="F457" s="549" t="s">
        <v>1160</v>
      </c>
      <c r="G457" s="549" t="s">
        <v>66</v>
      </c>
      <c r="H457" s="549" t="s">
        <v>1200</v>
      </c>
      <c r="I457" s="549" t="s">
        <v>976</v>
      </c>
      <c r="J457" s="549" t="s">
        <v>976</v>
      </c>
      <c r="L457" s="549">
        <v>3033268.94</v>
      </c>
      <c r="M457" s="549">
        <v>229011.8</v>
      </c>
      <c r="N457" s="549">
        <v>67035.240000000005</v>
      </c>
      <c r="P457" s="549">
        <v>42.26</v>
      </c>
      <c r="Q457" s="549">
        <v>125109.48</v>
      </c>
    </row>
    <row r="458" spans="1:17" x14ac:dyDescent="0.25">
      <c r="A458" s="549" t="s">
        <v>1069</v>
      </c>
      <c r="B458" s="549" t="s">
        <v>1070</v>
      </c>
      <c r="C458" s="549" t="s">
        <v>187</v>
      </c>
      <c r="D458" s="549" t="s">
        <v>667</v>
      </c>
      <c r="E458" s="549" t="s">
        <v>973</v>
      </c>
      <c r="F458" s="549" t="s">
        <v>1160</v>
      </c>
      <c r="G458" s="549" t="s">
        <v>667</v>
      </c>
      <c r="H458" s="549" t="s">
        <v>187</v>
      </c>
      <c r="I458" s="549" t="s">
        <v>976</v>
      </c>
      <c r="J458" s="549" t="s">
        <v>976</v>
      </c>
      <c r="L458" s="549">
        <v>1796439.54</v>
      </c>
      <c r="M458" s="549">
        <v>135631.19</v>
      </c>
      <c r="N458" s="549">
        <v>103115.63</v>
      </c>
      <c r="P458" s="549">
        <v>4.41</v>
      </c>
      <c r="Q458" s="549">
        <v>10528.73</v>
      </c>
    </row>
    <row r="459" spans="1:17" x14ac:dyDescent="0.25">
      <c r="A459" s="549" t="s">
        <v>1069</v>
      </c>
      <c r="B459" s="549" t="s">
        <v>1070</v>
      </c>
      <c r="C459" s="549" t="s">
        <v>187</v>
      </c>
      <c r="D459" s="549" t="s">
        <v>667</v>
      </c>
      <c r="E459" s="549" t="s">
        <v>977</v>
      </c>
      <c r="F459" s="549" t="s">
        <v>1160</v>
      </c>
      <c r="G459" s="549" t="s">
        <v>667</v>
      </c>
      <c r="H459" s="549" t="s">
        <v>187</v>
      </c>
      <c r="I459" s="549" t="s">
        <v>976</v>
      </c>
      <c r="J459" s="549" t="s">
        <v>976</v>
      </c>
      <c r="L459" s="549">
        <v>1796439.54</v>
      </c>
      <c r="M459" s="549">
        <v>135631.19</v>
      </c>
      <c r="N459" s="549">
        <v>39701.31</v>
      </c>
      <c r="P459" s="549">
        <v>77.38</v>
      </c>
      <c r="Q459" s="549">
        <v>135672.29</v>
      </c>
    </row>
    <row r="460" spans="1:17" x14ac:dyDescent="0.25">
      <c r="A460" s="549" t="s">
        <v>1071</v>
      </c>
      <c r="B460" s="549" t="s">
        <v>1072</v>
      </c>
      <c r="C460" s="549" t="s">
        <v>731</v>
      </c>
      <c r="D460" s="549" t="s">
        <v>732</v>
      </c>
      <c r="E460" s="549" t="s">
        <v>973</v>
      </c>
      <c r="F460" s="549" t="s">
        <v>1160</v>
      </c>
      <c r="G460" s="549" t="s">
        <v>732</v>
      </c>
      <c r="H460" s="549" t="s">
        <v>731</v>
      </c>
      <c r="I460" s="549" t="s">
        <v>976</v>
      </c>
      <c r="J460" s="549" t="s">
        <v>976</v>
      </c>
      <c r="L460" s="549">
        <v>6121904.0899999999</v>
      </c>
      <c r="M460" s="549">
        <v>462203.76</v>
      </c>
      <c r="N460" s="549">
        <v>351397.29</v>
      </c>
      <c r="P460" s="549">
        <v>0</v>
      </c>
      <c r="Q460" s="549">
        <v>0</v>
      </c>
    </row>
    <row r="461" spans="1:17" x14ac:dyDescent="0.25">
      <c r="A461" s="549" t="s">
        <v>1071</v>
      </c>
      <c r="B461" s="549" t="s">
        <v>1072</v>
      </c>
      <c r="C461" s="549" t="s">
        <v>731</v>
      </c>
      <c r="D461" s="549" t="s">
        <v>732</v>
      </c>
      <c r="E461" s="549" t="s">
        <v>977</v>
      </c>
      <c r="F461" s="549" t="s">
        <v>1160</v>
      </c>
      <c r="G461" s="549" t="s">
        <v>732</v>
      </c>
      <c r="H461" s="549" t="s">
        <v>731</v>
      </c>
      <c r="I461" s="549" t="s">
        <v>976</v>
      </c>
      <c r="J461" s="549" t="s">
        <v>976</v>
      </c>
      <c r="L461" s="549">
        <v>6121904.0899999999</v>
      </c>
      <c r="M461" s="549">
        <v>462203.76</v>
      </c>
      <c r="N461" s="549">
        <v>135294.07999999999</v>
      </c>
      <c r="P461" s="549">
        <v>100</v>
      </c>
      <c r="Q461" s="549">
        <v>597497.84</v>
      </c>
    </row>
    <row r="462" spans="1:17" x14ac:dyDescent="0.25">
      <c r="A462" s="549" t="s">
        <v>1071</v>
      </c>
      <c r="B462" s="549" t="s">
        <v>1072</v>
      </c>
      <c r="C462" s="549" t="s">
        <v>731</v>
      </c>
      <c r="D462" s="549" t="s">
        <v>732</v>
      </c>
      <c r="E462" s="549" t="s">
        <v>977</v>
      </c>
      <c r="F462" s="549" t="s">
        <v>1160</v>
      </c>
      <c r="G462" s="549" t="s">
        <v>734</v>
      </c>
      <c r="H462" s="549" t="s">
        <v>733</v>
      </c>
      <c r="I462" s="549" t="s">
        <v>976</v>
      </c>
      <c r="J462" s="549" t="s">
        <v>976</v>
      </c>
      <c r="L462" s="549">
        <v>8588991.3599999994</v>
      </c>
      <c r="M462" s="549">
        <v>648468.85</v>
      </c>
      <c r="N462" s="549">
        <v>189816.71</v>
      </c>
      <c r="P462" s="549">
        <v>2.08</v>
      </c>
      <c r="Q462" s="549">
        <v>17436.34</v>
      </c>
    </row>
    <row r="463" spans="1:17" x14ac:dyDescent="0.25">
      <c r="A463" s="549" t="s">
        <v>1071</v>
      </c>
      <c r="B463" s="549" t="s">
        <v>1072</v>
      </c>
      <c r="C463" s="549" t="s">
        <v>723</v>
      </c>
      <c r="D463" s="549" t="s">
        <v>724</v>
      </c>
      <c r="E463" s="549" t="s">
        <v>977</v>
      </c>
      <c r="F463" s="549" t="s">
        <v>1160</v>
      </c>
      <c r="G463" s="549" t="s">
        <v>724</v>
      </c>
      <c r="H463" s="549" t="s">
        <v>723</v>
      </c>
      <c r="I463" s="549" t="s">
        <v>976</v>
      </c>
      <c r="J463" s="549" t="s">
        <v>976</v>
      </c>
      <c r="L463" s="549">
        <v>1373498.52</v>
      </c>
      <c r="M463" s="549">
        <v>103699.14</v>
      </c>
      <c r="N463" s="549">
        <v>30354.32</v>
      </c>
      <c r="P463" s="549">
        <v>80.44</v>
      </c>
      <c r="Q463" s="549">
        <v>107832.6</v>
      </c>
    </row>
    <row r="464" spans="1:17" x14ac:dyDescent="0.25">
      <c r="A464" s="549" t="s">
        <v>1071</v>
      </c>
      <c r="B464" s="549" t="s">
        <v>1072</v>
      </c>
      <c r="C464" s="549" t="s">
        <v>729</v>
      </c>
      <c r="D464" s="549" t="s">
        <v>730</v>
      </c>
      <c r="E464" s="549" t="s">
        <v>973</v>
      </c>
      <c r="F464" s="549" t="s">
        <v>1160</v>
      </c>
      <c r="G464" s="549" t="s">
        <v>730</v>
      </c>
      <c r="H464" s="549" t="s">
        <v>729</v>
      </c>
      <c r="I464" s="549" t="s">
        <v>976</v>
      </c>
      <c r="J464" s="549" t="s">
        <v>976</v>
      </c>
      <c r="L464" s="549">
        <v>2405647.34</v>
      </c>
      <c r="M464" s="549">
        <v>181626.37</v>
      </c>
      <c r="N464" s="549">
        <v>138084.16</v>
      </c>
      <c r="P464" s="549">
        <v>0</v>
      </c>
      <c r="Q464" s="549">
        <v>0</v>
      </c>
    </row>
    <row r="465" spans="1:17" x14ac:dyDescent="0.25">
      <c r="A465" s="549" t="s">
        <v>1071</v>
      </c>
      <c r="B465" s="549" t="s">
        <v>1072</v>
      </c>
      <c r="C465" s="549" t="s">
        <v>729</v>
      </c>
      <c r="D465" s="549" t="s">
        <v>730</v>
      </c>
      <c r="E465" s="549" t="s">
        <v>977</v>
      </c>
      <c r="F465" s="549" t="s">
        <v>1160</v>
      </c>
      <c r="G465" s="549" t="s">
        <v>730</v>
      </c>
      <c r="H465" s="549" t="s">
        <v>729</v>
      </c>
      <c r="I465" s="549" t="s">
        <v>976</v>
      </c>
      <c r="J465" s="549" t="s">
        <v>976</v>
      </c>
      <c r="L465" s="549">
        <v>2405647.34</v>
      </c>
      <c r="M465" s="549">
        <v>181626.37</v>
      </c>
      <c r="N465" s="549">
        <v>53164.81</v>
      </c>
      <c r="P465" s="549">
        <v>100</v>
      </c>
      <c r="Q465" s="549">
        <v>234791.18</v>
      </c>
    </row>
    <row r="466" spans="1:17" x14ac:dyDescent="0.25">
      <c r="A466" s="549" t="s">
        <v>1071</v>
      </c>
      <c r="B466" s="549" t="s">
        <v>1072</v>
      </c>
      <c r="C466" s="549" t="s">
        <v>725</v>
      </c>
      <c r="D466" s="549" t="s">
        <v>726</v>
      </c>
      <c r="E466" s="549" t="s">
        <v>977</v>
      </c>
      <c r="F466" s="549" t="s">
        <v>1160</v>
      </c>
      <c r="G466" s="549" t="s">
        <v>726</v>
      </c>
      <c r="H466" s="549" t="s">
        <v>725</v>
      </c>
      <c r="I466" s="549" t="s">
        <v>976</v>
      </c>
      <c r="J466" s="549" t="s">
        <v>976</v>
      </c>
      <c r="L466" s="549">
        <v>1383780.63</v>
      </c>
      <c r="M466" s="549">
        <v>104475.44</v>
      </c>
      <c r="N466" s="549">
        <v>30581.55</v>
      </c>
      <c r="P466" s="549">
        <v>57.73</v>
      </c>
      <c r="Q466" s="549">
        <v>77968.399999999994</v>
      </c>
    </row>
    <row r="467" spans="1:17" x14ac:dyDescent="0.25">
      <c r="A467" s="549" t="s">
        <v>1071</v>
      </c>
      <c r="B467" s="549" t="s">
        <v>1072</v>
      </c>
      <c r="C467" s="549" t="s">
        <v>512</v>
      </c>
      <c r="D467" s="549" t="s">
        <v>722</v>
      </c>
      <c r="E467" s="549" t="s">
        <v>977</v>
      </c>
      <c r="F467" s="549" t="s">
        <v>1160</v>
      </c>
      <c r="G467" s="549" t="s">
        <v>722</v>
      </c>
      <c r="H467" s="549" t="s">
        <v>512</v>
      </c>
      <c r="I467" s="549" t="s">
        <v>976</v>
      </c>
      <c r="J467" s="549" t="s">
        <v>976</v>
      </c>
      <c r="L467" s="549">
        <v>1281719.51</v>
      </c>
      <c r="M467" s="549">
        <v>96769.82</v>
      </c>
      <c r="N467" s="549">
        <v>28326</v>
      </c>
      <c r="P467" s="549">
        <v>30.82</v>
      </c>
      <c r="Q467" s="549">
        <v>38554.53</v>
      </c>
    </row>
    <row r="468" spans="1:17" x14ac:dyDescent="0.25">
      <c r="A468" s="549" t="s">
        <v>1071</v>
      </c>
      <c r="B468" s="549" t="s">
        <v>1072</v>
      </c>
      <c r="C468" s="549" t="s">
        <v>727</v>
      </c>
      <c r="D468" s="549" t="s">
        <v>728</v>
      </c>
      <c r="E468" s="549" t="s">
        <v>977</v>
      </c>
      <c r="F468" s="549" t="s">
        <v>1160</v>
      </c>
      <c r="G468" s="549" t="s">
        <v>728</v>
      </c>
      <c r="H468" s="549" t="s">
        <v>727</v>
      </c>
      <c r="I468" s="549" t="s">
        <v>976</v>
      </c>
      <c r="J468" s="549" t="s">
        <v>976</v>
      </c>
      <c r="L468" s="549">
        <v>1391585.25</v>
      </c>
      <c r="M468" s="549">
        <v>105064.69</v>
      </c>
      <c r="N468" s="549">
        <v>30754.03</v>
      </c>
      <c r="P468" s="549">
        <v>64.98</v>
      </c>
      <c r="Q468" s="549">
        <v>88255</v>
      </c>
    </row>
    <row r="469" spans="1:17" x14ac:dyDescent="0.25">
      <c r="A469" s="549" t="s">
        <v>1071</v>
      </c>
      <c r="B469" s="549" t="s">
        <v>1072</v>
      </c>
      <c r="C469" s="549" t="s">
        <v>733</v>
      </c>
      <c r="D469" s="549" t="s">
        <v>734</v>
      </c>
      <c r="E469" s="549" t="s">
        <v>977</v>
      </c>
      <c r="F469" s="549" t="s">
        <v>1160</v>
      </c>
      <c r="G469" s="549" t="s">
        <v>734</v>
      </c>
      <c r="H469" s="549" t="s">
        <v>733</v>
      </c>
      <c r="I469" s="549" t="s">
        <v>976</v>
      </c>
      <c r="J469" s="549" t="s">
        <v>976</v>
      </c>
      <c r="L469" s="549">
        <v>8588991.3599999994</v>
      </c>
      <c r="M469" s="549">
        <v>648468.85</v>
      </c>
      <c r="N469" s="549">
        <v>189816.71</v>
      </c>
      <c r="P469" s="549">
        <v>10.45</v>
      </c>
      <c r="Q469" s="549">
        <v>87600.84</v>
      </c>
    </row>
    <row r="470" spans="1:17" x14ac:dyDescent="0.25">
      <c r="A470" s="549" t="s">
        <v>1071</v>
      </c>
      <c r="B470" s="549" t="s">
        <v>1072</v>
      </c>
      <c r="C470" s="549" t="s">
        <v>735</v>
      </c>
      <c r="D470" s="549" t="s">
        <v>736</v>
      </c>
      <c r="E470" s="549" t="s">
        <v>973</v>
      </c>
      <c r="F470" s="549" t="s">
        <v>1160</v>
      </c>
      <c r="G470" s="549" t="s">
        <v>736</v>
      </c>
      <c r="H470" s="549" t="s">
        <v>735</v>
      </c>
      <c r="I470" s="549" t="s">
        <v>1161</v>
      </c>
      <c r="J470" s="549" t="s">
        <v>1161</v>
      </c>
      <c r="L470" s="549">
        <v>0</v>
      </c>
      <c r="M470" s="549">
        <v>0</v>
      </c>
      <c r="N470" s="549">
        <v>0</v>
      </c>
      <c r="P470" s="549">
        <v>0</v>
      </c>
      <c r="Q470" s="549">
        <v>0</v>
      </c>
    </row>
    <row r="471" spans="1:17" x14ac:dyDescent="0.25">
      <c r="A471" s="549" t="s">
        <v>1071</v>
      </c>
      <c r="B471" s="549" t="s">
        <v>1072</v>
      </c>
      <c r="C471" s="549" t="s">
        <v>735</v>
      </c>
      <c r="D471" s="549" t="s">
        <v>736</v>
      </c>
      <c r="E471" s="549" t="s">
        <v>977</v>
      </c>
      <c r="F471" s="549" t="s">
        <v>1160</v>
      </c>
      <c r="G471" s="549" t="s">
        <v>734</v>
      </c>
      <c r="H471" s="549" t="s">
        <v>733</v>
      </c>
      <c r="I471" s="549" t="s">
        <v>976</v>
      </c>
      <c r="J471" s="549" t="s">
        <v>976</v>
      </c>
      <c r="L471" s="549">
        <v>8588991.3599999994</v>
      </c>
      <c r="M471" s="549">
        <v>648468.85</v>
      </c>
      <c r="N471" s="549">
        <v>189816.71</v>
      </c>
      <c r="P471" s="549">
        <v>0.4</v>
      </c>
      <c r="Q471" s="549">
        <v>3353.14</v>
      </c>
    </row>
    <row r="472" spans="1:17" x14ac:dyDescent="0.25">
      <c r="A472" s="549" t="s">
        <v>1071</v>
      </c>
      <c r="B472" s="549" t="s">
        <v>1072</v>
      </c>
      <c r="C472" s="549" t="s">
        <v>735</v>
      </c>
      <c r="D472" s="549" t="s">
        <v>736</v>
      </c>
      <c r="E472" s="549" t="s">
        <v>977</v>
      </c>
      <c r="F472" s="549" t="s">
        <v>1160</v>
      </c>
      <c r="G472" s="549" t="s">
        <v>736</v>
      </c>
      <c r="H472" s="549" t="s">
        <v>735</v>
      </c>
      <c r="I472" s="549" t="s">
        <v>1161</v>
      </c>
      <c r="J472" s="549" t="s">
        <v>1161</v>
      </c>
      <c r="L472" s="549">
        <v>0</v>
      </c>
      <c r="M472" s="549">
        <v>0</v>
      </c>
      <c r="N472" s="549">
        <v>0</v>
      </c>
      <c r="P472" s="549">
        <v>100</v>
      </c>
      <c r="Q472" s="549">
        <v>0</v>
      </c>
    </row>
    <row r="473" spans="1:17" x14ac:dyDescent="0.25">
      <c r="A473" s="549" t="s">
        <v>1071</v>
      </c>
      <c r="B473" s="549" t="s">
        <v>1072</v>
      </c>
      <c r="C473" s="549" t="s">
        <v>720</v>
      </c>
      <c r="D473" s="549" t="s">
        <v>721</v>
      </c>
      <c r="E473" s="549" t="s">
        <v>973</v>
      </c>
      <c r="F473" s="549" t="s">
        <v>1160</v>
      </c>
      <c r="G473" s="549" t="s">
        <v>721</v>
      </c>
      <c r="H473" s="549" t="s">
        <v>720</v>
      </c>
      <c r="I473" s="549" t="s">
        <v>976</v>
      </c>
      <c r="J473" s="549" t="s">
        <v>976</v>
      </c>
      <c r="L473" s="549">
        <v>1193263.94</v>
      </c>
      <c r="M473" s="549">
        <v>90091.43</v>
      </c>
      <c r="N473" s="549">
        <v>68493.350000000006</v>
      </c>
      <c r="P473" s="549">
        <v>0</v>
      </c>
      <c r="Q473" s="549">
        <v>0</v>
      </c>
    </row>
    <row r="474" spans="1:17" x14ac:dyDescent="0.25">
      <c r="A474" s="549" t="s">
        <v>1071</v>
      </c>
      <c r="B474" s="549" t="s">
        <v>1072</v>
      </c>
      <c r="C474" s="549" t="s">
        <v>720</v>
      </c>
      <c r="D474" s="549" t="s">
        <v>721</v>
      </c>
      <c r="E474" s="549" t="s">
        <v>977</v>
      </c>
      <c r="F474" s="549" t="s">
        <v>1160</v>
      </c>
      <c r="G474" s="549" t="s">
        <v>734</v>
      </c>
      <c r="H474" s="549" t="s">
        <v>733</v>
      </c>
      <c r="I474" s="549" t="s">
        <v>976</v>
      </c>
      <c r="J474" s="549" t="s">
        <v>976</v>
      </c>
      <c r="L474" s="549">
        <v>8588991.3599999994</v>
      </c>
      <c r="M474" s="549">
        <v>648468.85</v>
      </c>
      <c r="N474" s="549">
        <v>189816.71</v>
      </c>
      <c r="P474" s="549">
        <v>1.24</v>
      </c>
      <c r="Q474" s="549">
        <v>10394.74</v>
      </c>
    </row>
    <row r="475" spans="1:17" x14ac:dyDescent="0.25">
      <c r="A475" s="549" t="s">
        <v>1071</v>
      </c>
      <c r="B475" s="549" t="s">
        <v>1072</v>
      </c>
      <c r="C475" s="549" t="s">
        <v>720</v>
      </c>
      <c r="D475" s="549" t="s">
        <v>721</v>
      </c>
      <c r="E475" s="549" t="s">
        <v>977</v>
      </c>
      <c r="F475" s="549" t="s">
        <v>1160</v>
      </c>
      <c r="G475" s="549" t="s">
        <v>721</v>
      </c>
      <c r="H475" s="549" t="s">
        <v>720</v>
      </c>
      <c r="I475" s="549" t="s">
        <v>976</v>
      </c>
      <c r="J475" s="549" t="s">
        <v>976</v>
      </c>
      <c r="L475" s="549">
        <v>1193263.94</v>
      </c>
      <c r="M475" s="549">
        <v>90091.43</v>
      </c>
      <c r="N475" s="549">
        <v>26371.13</v>
      </c>
      <c r="P475" s="549">
        <v>100</v>
      </c>
      <c r="Q475" s="549">
        <v>116462.56</v>
      </c>
    </row>
    <row r="476" spans="1:17" x14ac:dyDescent="0.25">
      <c r="A476" s="549" t="s">
        <v>1078</v>
      </c>
      <c r="B476" s="549" t="s">
        <v>1079</v>
      </c>
      <c r="C476" s="549" t="s">
        <v>739</v>
      </c>
      <c r="D476" s="549" t="s">
        <v>740</v>
      </c>
      <c r="E476" s="549" t="s">
        <v>973</v>
      </c>
      <c r="F476" s="549" t="s">
        <v>1160</v>
      </c>
      <c r="G476" s="549" t="s">
        <v>740</v>
      </c>
      <c r="H476" s="549" t="s">
        <v>739</v>
      </c>
      <c r="I476" s="549" t="s">
        <v>976</v>
      </c>
      <c r="J476" s="549" t="s">
        <v>976</v>
      </c>
      <c r="L476" s="549">
        <v>1204324.8</v>
      </c>
      <c r="M476" s="549">
        <v>90926.52</v>
      </c>
      <c r="N476" s="549">
        <v>69128.240000000005</v>
      </c>
      <c r="P476" s="549">
        <v>0</v>
      </c>
      <c r="Q476" s="549">
        <v>0</v>
      </c>
    </row>
    <row r="477" spans="1:17" x14ac:dyDescent="0.25">
      <c r="A477" s="549" t="s">
        <v>1078</v>
      </c>
      <c r="B477" s="549" t="s">
        <v>1079</v>
      </c>
      <c r="C477" s="549" t="s">
        <v>739</v>
      </c>
      <c r="D477" s="549" t="s">
        <v>740</v>
      </c>
      <c r="E477" s="549" t="s">
        <v>977</v>
      </c>
      <c r="F477" s="549" t="s">
        <v>1160</v>
      </c>
      <c r="G477" s="549" t="s">
        <v>740</v>
      </c>
      <c r="H477" s="549" t="s">
        <v>739</v>
      </c>
      <c r="I477" s="549" t="s">
        <v>976</v>
      </c>
      <c r="J477" s="549" t="s">
        <v>976</v>
      </c>
      <c r="L477" s="549">
        <v>1204324.8</v>
      </c>
      <c r="M477" s="549">
        <v>90926.52</v>
      </c>
      <c r="N477" s="549">
        <v>26615.58</v>
      </c>
      <c r="P477" s="549">
        <v>100</v>
      </c>
      <c r="Q477" s="549">
        <v>117542.1</v>
      </c>
    </row>
    <row r="478" spans="1:17" x14ac:dyDescent="0.25">
      <c r="A478" s="549" t="s">
        <v>1078</v>
      </c>
      <c r="B478" s="549" t="s">
        <v>1079</v>
      </c>
      <c r="C478" s="549" t="s">
        <v>741</v>
      </c>
      <c r="D478" s="549" t="s">
        <v>455</v>
      </c>
      <c r="E478" s="549" t="s">
        <v>977</v>
      </c>
      <c r="F478" s="549" t="s">
        <v>1160</v>
      </c>
      <c r="G478" s="549" t="s">
        <v>455</v>
      </c>
      <c r="H478" s="549" t="s">
        <v>741</v>
      </c>
      <c r="I478" s="549" t="s">
        <v>976</v>
      </c>
      <c r="J478" s="549" t="s">
        <v>976</v>
      </c>
      <c r="L478" s="549">
        <v>1341370.8500000001</v>
      </c>
      <c r="M478" s="549">
        <v>101273.5</v>
      </c>
      <c r="N478" s="549">
        <v>29644.3</v>
      </c>
      <c r="P478" s="549">
        <v>78.67</v>
      </c>
      <c r="Q478" s="549">
        <v>102993.03</v>
      </c>
    </row>
    <row r="479" spans="1:17" x14ac:dyDescent="0.25">
      <c r="A479" s="549" t="s">
        <v>1078</v>
      </c>
      <c r="B479" s="549" t="s">
        <v>1079</v>
      </c>
      <c r="C479" s="549" t="s">
        <v>737</v>
      </c>
      <c r="D479" s="549" t="s">
        <v>738</v>
      </c>
      <c r="E479" s="549" t="s">
        <v>973</v>
      </c>
      <c r="F479" s="549" t="s">
        <v>1160</v>
      </c>
      <c r="G479" s="549" t="s">
        <v>738</v>
      </c>
      <c r="H479" s="549" t="s">
        <v>737</v>
      </c>
      <c r="I479" s="549" t="s">
        <v>976</v>
      </c>
      <c r="J479" s="549" t="s">
        <v>976</v>
      </c>
      <c r="L479" s="549">
        <v>1158431.92</v>
      </c>
      <c r="M479" s="549">
        <v>87461.61</v>
      </c>
      <c r="N479" s="549">
        <v>66493.990000000005</v>
      </c>
      <c r="P479" s="549">
        <v>0</v>
      </c>
      <c r="Q479" s="549">
        <v>0</v>
      </c>
    </row>
    <row r="480" spans="1:17" x14ac:dyDescent="0.25">
      <c r="A480" s="549" t="s">
        <v>1078</v>
      </c>
      <c r="B480" s="549" t="s">
        <v>1079</v>
      </c>
      <c r="C480" s="549" t="s">
        <v>737</v>
      </c>
      <c r="D480" s="549" t="s">
        <v>738</v>
      </c>
      <c r="E480" s="549" t="s">
        <v>977</v>
      </c>
      <c r="F480" s="549" t="s">
        <v>1160</v>
      </c>
      <c r="G480" s="549" t="s">
        <v>655</v>
      </c>
      <c r="H480" s="549" t="s">
        <v>654</v>
      </c>
      <c r="I480" s="549" t="s">
        <v>976</v>
      </c>
      <c r="J480" s="549" t="s">
        <v>976</v>
      </c>
      <c r="L480" s="549">
        <v>2177601.41</v>
      </c>
      <c r="M480" s="549">
        <v>164408.91</v>
      </c>
      <c r="N480" s="549">
        <v>48124.99</v>
      </c>
      <c r="P480" s="549">
        <v>3.3</v>
      </c>
      <c r="Q480" s="549">
        <v>7013.62</v>
      </c>
    </row>
    <row r="481" spans="1:17" x14ac:dyDescent="0.25">
      <c r="A481" s="549" t="s">
        <v>1078</v>
      </c>
      <c r="B481" s="549" t="s">
        <v>1079</v>
      </c>
      <c r="C481" s="549" t="s">
        <v>737</v>
      </c>
      <c r="D481" s="549" t="s">
        <v>738</v>
      </c>
      <c r="E481" s="549" t="s">
        <v>977</v>
      </c>
      <c r="F481" s="549" t="s">
        <v>1160</v>
      </c>
      <c r="G481" s="549" t="s">
        <v>738</v>
      </c>
      <c r="H481" s="549" t="s">
        <v>737</v>
      </c>
      <c r="I481" s="549" t="s">
        <v>976</v>
      </c>
      <c r="J481" s="549" t="s">
        <v>976</v>
      </c>
      <c r="L481" s="549">
        <v>1158431.92</v>
      </c>
      <c r="M481" s="549">
        <v>87461.61</v>
      </c>
      <c r="N481" s="549">
        <v>25601.35</v>
      </c>
      <c r="P481" s="549">
        <v>100</v>
      </c>
      <c r="Q481" s="549">
        <v>113062.96</v>
      </c>
    </row>
    <row r="482" spans="1:17" x14ac:dyDescent="0.25">
      <c r="A482" s="549" t="s">
        <v>1147</v>
      </c>
      <c r="B482" s="549" t="s">
        <v>1148</v>
      </c>
      <c r="C482" s="549" t="s">
        <v>539</v>
      </c>
      <c r="D482" s="549" t="s">
        <v>1149</v>
      </c>
      <c r="E482" s="549" t="s">
        <v>977</v>
      </c>
      <c r="F482" s="549" t="s">
        <v>1160</v>
      </c>
      <c r="G482" s="549" t="s">
        <v>1149</v>
      </c>
      <c r="H482" s="549" t="s">
        <v>539</v>
      </c>
      <c r="I482" s="549" t="s">
        <v>976</v>
      </c>
      <c r="J482" s="549" t="s">
        <v>976</v>
      </c>
      <c r="L482" s="549">
        <v>1775250.8</v>
      </c>
      <c r="M482" s="549">
        <v>134031.44</v>
      </c>
      <c r="N482" s="549">
        <v>39233.040000000001</v>
      </c>
      <c r="P482" s="549">
        <v>76.16</v>
      </c>
      <c r="Q482" s="549">
        <v>131958.23000000001</v>
      </c>
    </row>
    <row r="483" spans="1:17" x14ac:dyDescent="0.25">
      <c r="A483" s="549" t="s">
        <v>1083</v>
      </c>
      <c r="B483" s="549" t="s">
        <v>584</v>
      </c>
      <c r="C483" s="549" t="s">
        <v>768</v>
      </c>
      <c r="D483" s="549" t="s">
        <v>769</v>
      </c>
      <c r="E483" s="549" t="s">
        <v>977</v>
      </c>
      <c r="F483" s="549" t="s">
        <v>1160</v>
      </c>
      <c r="G483" s="549" t="s">
        <v>769</v>
      </c>
      <c r="H483" s="549" t="s">
        <v>768</v>
      </c>
      <c r="I483" s="549" t="s">
        <v>976</v>
      </c>
      <c r="J483" s="549" t="s">
        <v>976</v>
      </c>
      <c r="L483" s="549">
        <v>1693553.01</v>
      </c>
      <c r="M483" s="549">
        <v>127863.25</v>
      </c>
      <c r="N483" s="549">
        <v>37427.519999999997</v>
      </c>
      <c r="P483" s="549">
        <v>45.62</v>
      </c>
      <c r="Q483" s="549">
        <v>75405.649999999994</v>
      </c>
    </row>
    <row r="484" spans="1:17" x14ac:dyDescent="0.25">
      <c r="A484" s="549" t="s">
        <v>1083</v>
      </c>
      <c r="B484" s="549" t="s">
        <v>584</v>
      </c>
      <c r="C484" s="549" t="s">
        <v>770</v>
      </c>
      <c r="D484" s="549" t="s">
        <v>771</v>
      </c>
      <c r="E484" s="549" t="s">
        <v>973</v>
      </c>
      <c r="F484" s="549" t="s">
        <v>1160</v>
      </c>
      <c r="G484" s="549" t="s">
        <v>771</v>
      </c>
      <c r="H484" s="549" t="s">
        <v>770</v>
      </c>
      <c r="I484" s="549" t="s">
        <v>976</v>
      </c>
      <c r="J484" s="549" t="s">
        <v>976</v>
      </c>
      <c r="L484" s="549">
        <v>4523574.3600000003</v>
      </c>
      <c r="M484" s="549">
        <v>341529.86</v>
      </c>
      <c r="N484" s="549">
        <v>259653.17</v>
      </c>
      <c r="P484" s="549">
        <v>0.65</v>
      </c>
      <c r="Q484" s="549">
        <v>3907.69</v>
      </c>
    </row>
    <row r="485" spans="1:17" x14ac:dyDescent="0.25">
      <c r="A485" s="549" t="s">
        <v>1083</v>
      </c>
      <c r="B485" s="549" t="s">
        <v>584</v>
      </c>
      <c r="C485" s="549" t="s">
        <v>770</v>
      </c>
      <c r="D485" s="549" t="s">
        <v>771</v>
      </c>
      <c r="E485" s="549" t="s">
        <v>977</v>
      </c>
      <c r="F485" s="549" t="s">
        <v>1160</v>
      </c>
      <c r="G485" s="549" t="s">
        <v>771</v>
      </c>
      <c r="H485" s="549" t="s">
        <v>770</v>
      </c>
      <c r="I485" s="549" t="s">
        <v>976</v>
      </c>
      <c r="J485" s="549" t="s">
        <v>976</v>
      </c>
      <c r="L485" s="549">
        <v>4523574.3600000003</v>
      </c>
      <c r="M485" s="549">
        <v>341529.86</v>
      </c>
      <c r="N485" s="549">
        <v>99970.99</v>
      </c>
      <c r="P485" s="549">
        <v>17.52</v>
      </c>
      <c r="Q485" s="549">
        <v>77350.95</v>
      </c>
    </row>
    <row r="486" spans="1:17" x14ac:dyDescent="0.25">
      <c r="A486" s="549" t="s">
        <v>1083</v>
      </c>
      <c r="B486" s="549" t="s">
        <v>584</v>
      </c>
      <c r="C486" s="549" t="s">
        <v>782</v>
      </c>
      <c r="D486" s="549" t="s">
        <v>1201</v>
      </c>
      <c r="E486" s="549" t="s">
        <v>977</v>
      </c>
      <c r="F486" s="549" t="s">
        <v>1160</v>
      </c>
      <c r="G486" s="549" t="s">
        <v>1201</v>
      </c>
      <c r="H486" s="549" t="s">
        <v>782</v>
      </c>
      <c r="I486" s="549" t="s">
        <v>976</v>
      </c>
      <c r="J486" s="549" t="s">
        <v>976</v>
      </c>
      <c r="L486" s="549">
        <v>1915567.03</v>
      </c>
      <c r="M486" s="549">
        <v>144625.31</v>
      </c>
      <c r="N486" s="549">
        <v>42334.03</v>
      </c>
      <c r="P486" s="549">
        <v>63.65</v>
      </c>
      <c r="Q486" s="549">
        <v>118999.62</v>
      </c>
    </row>
    <row r="487" spans="1:17" x14ac:dyDescent="0.25">
      <c r="A487" s="549" t="s">
        <v>1083</v>
      </c>
      <c r="B487" s="549" t="s">
        <v>584</v>
      </c>
      <c r="C487" s="549" t="s">
        <v>745</v>
      </c>
      <c r="D487" s="549" t="s">
        <v>746</v>
      </c>
      <c r="E487" s="549" t="s">
        <v>973</v>
      </c>
      <c r="F487" s="549" t="s">
        <v>1160</v>
      </c>
      <c r="G487" s="549" t="s">
        <v>746</v>
      </c>
      <c r="H487" s="549" t="s">
        <v>745</v>
      </c>
      <c r="I487" s="549" t="s">
        <v>976</v>
      </c>
      <c r="J487" s="549" t="s">
        <v>976</v>
      </c>
      <c r="L487" s="549">
        <v>1431752.72</v>
      </c>
      <c r="M487" s="549">
        <v>108097.33</v>
      </c>
      <c r="N487" s="549">
        <v>82182.61</v>
      </c>
      <c r="P487" s="549">
        <v>16.21</v>
      </c>
      <c r="Q487" s="549">
        <v>30844.38</v>
      </c>
    </row>
    <row r="488" spans="1:17" x14ac:dyDescent="0.25">
      <c r="A488" s="549" t="s">
        <v>1083</v>
      </c>
      <c r="B488" s="549" t="s">
        <v>584</v>
      </c>
      <c r="C488" s="549" t="s">
        <v>745</v>
      </c>
      <c r="D488" s="549" t="s">
        <v>746</v>
      </c>
      <c r="E488" s="549" t="s">
        <v>977</v>
      </c>
      <c r="F488" s="549" t="s">
        <v>1160</v>
      </c>
      <c r="G488" s="549" t="s">
        <v>746</v>
      </c>
      <c r="H488" s="549" t="s">
        <v>745</v>
      </c>
      <c r="I488" s="549" t="s">
        <v>976</v>
      </c>
      <c r="J488" s="549" t="s">
        <v>976</v>
      </c>
      <c r="L488" s="549">
        <v>1431752.72</v>
      </c>
      <c r="M488" s="549">
        <v>108097.33</v>
      </c>
      <c r="N488" s="549">
        <v>31641.74</v>
      </c>
      <c r="P488" s="549">
        <v>58.62</v>
      </c>
      <c r="Q488" s="549">
        <v>81915.039999999994</v>
      </c>
    </row>
    <row r="489" spans="1:17" x14ac:dyDescent="0.25">
      <c r="A489" s="549" t="s">
        <v>1083</v>
      </c>
      <c r="B489" s="549" t="s">
        <v>584</v>
      </c>
      <c r="C489" s="549" t="s">
        <v>787</v>
      </c>
      <c r="D489" s="549" t="s">
        <v>788</v>
      </c>
      <c r="E489" s="549" t="s">
        <v>973</v>
      </c>
      <c r="F489" s="549" t="s">
        <v>1160</v>
      </c>
      <c r="G489" s="549" t="s">
        <v>788</v>
      </c>
      <c r="H489" s="549" t="s">
        <v>787</v>
      </c>
      <c r="I489" s="549" t="s">
        <v>976</v>
      </c>
      <c r="J489" s="549" t="s">
        <v>976</v>
      </c>
      <c r="L489" s="549">
        <v>1368585.25</v>
      </c>
      <c r="M489" s="549">
        <v>103328.19</v>
      </c>
      <c r="N489" s="549">
        <v>78556.789999999994</v>
      </c>
      <c r="P489" s="549">
        <v>20.05</v>
      </c>
      <c r="Q489" s="549">
        <v>36467.94</v>
      </c>
    </row>
    <row r="490" spans="1:17" x14ac:dyDescent="0.25">
      <c r="A490" s="549" t="s">
        <v>1083</v>
      </c>
      <c r="B490" s="549" t="s">
        <v>584</v>
      </c>
      <c r="C490" s="549" t="s">
        <v>787</v>
      </c>
      <c r="D490" s="549" t="s">
        <v>788</v>
      </c>
      <c r="E490" s="549" t="s">
        <v>977</v>
      </c>
      <c r="F490" s="549" t="s">
        <v>1160</v>
      </c>
      <c r="G490" s="549" t="s">
        <v>788</v>
      </c>
      <c r="H490" s="549" t="s">
        <v>787</v>
      </c>
      <c r="I490" s="549" t="s">
        <v>976</v>
      </c>
      <c r="J490" s="549" t="s">
        <v>976</v>
      </c>
      <c r="L490" s="549">
        <v>1368585.25</v>
      </c>
      <c r="M490" s="549">
        <v>103328.19</v>
      </c>
      <c r="N490" s="549">
        <v>30245.73</v>
      </c>
      <c r="P490" s="549">
        <v>20.21</v>
      </c>
      <c r="Q490" s="549">
        <v>26995.29</v>
      </c>
    </row>
    <row r="491" spans="1:17" x14ac:dyDescent="0.25">
      <c r="A491" s="549" t="s">
        <v>1083</v>
      </c>
      <c r="B491" s="549" t="s">
        <v>584</v>
      </c>
      <c r="C491" s="549" t="s">
        <v>756</v>
      </c>
      <c r="D491" s="549" t="s">
        <v>757</v>
      </c>
      <c r="E491" s="549" t="s">
        <v>973</v>
      </c>
      <c r="F491" s="549" t="s">
        <v>1160</v>
      </c>
      <c r="G491" s="549" t="s">
        <v>757</v>
      </c>
      <c r="H491" s="549" t="s">
        <v>756</v>
      </c>
      <c r="I491" s="549" t="s">
        <v>976</v>
      </c>
      <c r="J491" s="549" t="s">
        <v>976</v>
      </c>
      <c r="L491" s="549">
        <v>1345361.3</v>
      </c>
      <c r="M491" s="549">
        <v>101574.78</v>
      </c>
      <c r="N491" s="549">
        <v>77223.740000000005</v>
      </c>
      <c r="P491" s="549">
        <v>0</v>
      </c>
      <c r="Q491" s="549">
        <v>0</v>
      </c>
    </row>
    <row r="492" spans="1:17" x14ac:dyDescent="0.25">
      <c r="A492" s="549" t="s">
        <v>1083</v>
      </c>
      <c r="B492" s="549" t="s">
        <v>584</v>
      </c>
      <c r="C492" s="549" t="s">
        <v>756</v>
      </c>
      <c r="D492" s="549" t="s">
        <v>757</v>
      </c>
      <c r="E492" s="549" t="s">
        <v>977</v>
      </c>
      <c r="F492" s="549" t="s">
        <v>1160</v>
      </c>
      <c r="G492" s="549" t="s">
        <v>856</v>
      </c>
      <c r="H492" s="549" t="s">
        <v>855</v>
      </c>
      <c r="I492" s="549" t="s">
        <v>976</v>
      </c>
      <c r="J492" s="549" t="s">
        <v>976</v>
      </c>
      <c r="L492" s="549">
        <v>2060111.91</v>
      </c>
      <c r="M492" s="549">
        <v>155538.45000000001</v>
      </c>
      <c r="N492" s="549">
        <v>45528.47</v>
      </c>
      <c r="P492" s="549">
        <v>0.76</v>
      </c>
      <c r="Q492" s="549">
        <v>1528.11</v>
      </c>
    </row>
    <row r="493" spans="1:17" x14ac:dyDescent="0.25">
      <c r="A493" s="549" t="s">
        <v>1083</v>
      </c>
      <c r="B493" s="549" t="s">
        <v>584</v>
      </c>
      <c r="C493" s="549" t="s">
        <v>756</v>
      </c>
      <c r="D493" s="549" t="s">
        <v>757</v>
      </c>
      <c r="E493" s="549" t="s">
        <v>977</v>
      </c>
      <c r="F493" s="549" t="s">
        <v>1160</v>
      </c>
      <c r="G493" s="549" t="s">
        <v>757</v>
      </c>
      <c r="H493" s="549" t="s">
        <v>756</v>
      </c>
      <c r="I493" s="549" t="s">
        <v>976</v>
      </c>
      <c r="J493" s="549" t="s">
        <v>976</v>
      </c>
      <c r="L493" s="549">
        <v>1345361.3</v>
      </c>
      <c r="M493" s="549">
        <v>101574.78</v>
      </c>
      <c r="N493" s="549">
        <v>29732.48</v>
      </c>
      <c r="P493" s="549">
        <v>100</v>
      </c>
      <c r="Q493" s="549">
        <v>131307.26</v>
      </c>
    </row>
    <row r="494" spans="1:17" x14ac:dyDescent="0.25">
      <c r="A494" s="549" t="s">
        <v>1083</v>
      </c>
      <c r="B494" s="549" t="s">
        <v>584</v>
      </c>
      <c r="C494" s="549" t="s">
        <v>789</v>
      </c>
      <c r="D494" s="549" t="s">
        <v>790</v>
      </c>
      <c r="E494" s="549" t="s">
        <v>973</v>
      </c>
      <c r="F494" s="549" t="s">
        <v>1160</v>
      </c>
      <c r="G494" s="549" t="s">
        <v>790</v>
      </c>
      <c r="H494" s="549" t="s">
        <v>789</v>
      </c>
      <c r="I494" s="549" t="s">
        <v>976</v>
      </c>
      <c r="J494" s="549" t="s">
        <v>976</v>
      </c>
      <c r="L494" s="549">
        <v>1395604.55</v>
      </c>
      <c r="M494" s="549">
        <v>105368.14</v>
      </c>
      <c r="N494" s="549">
        <v>80107.7</v>
      </c>
      <c r="P494" s="549">
        <v>24.78</v>
      </c>
      <c r="Q494" s="549">
        <v>45960.91</v>
      </c>
    </row>
    <row r="495" spans="1:17" x14ac:dyDescent="0.25">
      <c r="A495" s="549" t="s">
        <v>1083</v>
      </c>
      <c r="B495" s="549" t="s">
        <v>584</v>
      </c>
      <c r="C495" s="549" t="s">
        <v>789</v>
      </c>
      <c r="D495" s="549" t="s">
        <v>790</v>
      </c>
      <c r="E495" s="549" t="s">
        <v>977</v>
      </c>
      <c r="F495" s="549" t="s">
        <v>1160</v>
      </c>
      <c r="G495" s="549" t="s">
        <v>790</v>
      </c>
      <c r="H495" s="549" t="s">
        <v>789</v>
      </c>
      <c r="I495" s="549" t="s">
        <v>976</v>
      </c>
      <c r="J495" s="549" t="s">
        <v>976</v>
      </c>
      <c r="L495" s="549">
        <v>1395604.55</v>
      </c>
      <c r="M495" s="549">
        <v>105368.14</v>
      </c>
      <c r="N495" s="549">
        <v>30842.86</v>
      </c>
      <c r="P495" s="549">
        <v>40.68</v>
      </c>
      <c r="Q495" s="549">
        <v>55410.63</v>
      </c>
    </row>
    <row r="496" spans="1:17" x14ac:dyDescent="0.25">
      <c r="A496" s="549" t="s">
        <v>1083</v>
      </c>
      <c r="B496" s="549" t="s">
        <v>584</v>
      </c>
      <c r="C496" s="549" t="s">
        <v>764</v>
      </c>
      <c r="D496" s="549" t="s">
        <v>765</v>
      </c>
      <c r="E496" s="549" t="s">
        <v>977</v>
      </c>
      <c r="F496" s="549" t="s">
        <v>1160</v>
      </c>
      <c r="G496" s="549" t="s">
        <v>765</v>
      </c>
      <c r="H496" s="549" t="s">
        <v>764</v>
      </c>
      <c r="I496" s="549" t="s">
        <v>976</v>
      </c>
      <c r="J496" s="549" t="s">
        <v>976</v>
      </c>
      <c r="L496" s="549">
        <v>1924955.12</v>
      </c>
      <c r="M496" s="549">
        <v>145334.10999999999</v>
      </c>
      <c r="N496" s="549">
        <v>42541.51</v>
      </c>
      <c r="P496" s="549">
        <v>50.5</v>
      </c>
      <c r="Q496" s="549">
        <v>94877.19</v>
      </c>
    </row>
    <row r="497" spans="1:17" x14ac:dyDescent="0.25">
      <c r="A497" s="549" t="s">
        <v>1083</v>
      </c>
      <c r="B497" s="549" t="s">
        <v>584</v>
      </c>
      <c r="C497" s="549" t="s">
        <v>233</v>
      </c>
      <c r="D497" s="549" t="s">
        <v>744</v>
      </c>
      <c r="E497" s="549" t="s">
        <v>977</v>
      </c>
      <c r="F497" s="549" t="s">
        <v>1160</v>
      </c>
      <c r="G497" s="549" t="s">
        <v>744</v>
      </c>
      <c r="H497" s="549" t="s">
        <v>233</v>
      </c>
      <c r="I497" s="549" t="s">
        <v>976</v>
      </c>
      <c r="J497" s="549" t="s">
        <v>976</v>
      </c>
      <c r="L497" s="549">
        <v>1711357.63</v>
      </c>
      <c r="M497" s="549">
        <v>129207.5</v>
      </c>
      <c r="N497" s="549">
        <v>37821</v>
      </c>
      <c r="P497" s="549">
        <v>71.86</v>
      </c>
      <c r="Q497" s="549">
        <v>120026.68</v>
      </c>
    </row>
    <row r="498" spans="1:17" x14ac:dyDescent="0.25">
      <c r="A498" s="549" t="s">
        <v>1083</v>
      </c>
      <c r="B498" s="549" t="s">
        <v>584</v>
      </c>
      <c r="C498" s="549" t="s">
        <v>758</v>
      </c>
      <c r="D498" s="549" t="s">
        <v>759</v>
      </c>
      <c r="E498" s="549" t="s">
        <v>973</v>
      </c>
      <c r="F498" s="549" t="s">
        <v>1160</v>
      </c>
      <c r="G498" s="549" t="s">
        <v>759</v>
      </c>
      <c r="H498" s="549" t="s">
        <v>758</v>
      </c>
      <c r="I498" s="549" t="s">
        <v>976</v>
      </c>
      <c r="J498" s="549" t="s">
        <v>976</v>
      </c>
      <c r="L498" s="549">
        <v>1355168.17</v>
      </c>
      <c r="M498" s="549">
        <v>102315.2</v>
      </c>
      <c r="N498" s="549">
        <v>77786.649999999994</v>
      </c>
      <c r="P498" s="549">
        <v>0</v>
      </c>
      <c r="Q498" s="549">
        <v>0</v>
      </c>
    </row>
    <row r="499" spans="1:17" x14ac:dyDescent="0.25">
      <c r="A499" s="549" t="s">
        <v>1083</v>
      </c>
      <c r="B499" s="549" t="s">
        <v>584</v>
      </c>
      <c r="C499" s="549" t="s">
        <v>758</v>
      </c>
      <c r="D499" s="549" t="s">
        <v>759</v>
      </c>
      <c r="E499" s="549" t="s">
        <v>977</v>
      </c>
      <c r="F499" s="549" t="s">
        <v>1160</v>
      </c>
      <c r="G499" s="549" t="s">
        <v>856</v>
      </c>
      <c r="H499" s="549" t="s">
        <v>855</v>
      </c>
      <c r="I499" s="549" t="s">
        <v>976</v>
      </c>
      <c r="J499" s="549" t="s">
        <v>976</v>
      </c>
      <c r="L499" s="549">
        <v>2060111.91</v>
      </c>
      <c r="M499" s="549">
        <v>155538.45000000001</v>
      </c>
      <c r="N499" s="549">
        <v>45528.47</v>
      </c>
      <c r="P499" s="549">
        <v>1.1499999999999999</v>
      </c>
      <c r="Q499" s="549">
        <v>2312.27</v>
      </c>
    </row>
    <row r="500" spans="1:17" x14ac:dyDescent="0.25">
      <c r="A500" s="549" t="s">
        <v>1083</v>
      </c>
      <c r="B500" s="549" t="s">
        <v>584</v>
      </c>
      <c r="C500" s="549" t="s">
        <v>758</v>
      </c>
      <c r="D500" s="549" t="s">
        <v>759</v>
      </c>
      <c r="E500" s="549" t="s">
        <v>977</v>
      </c>
      <c r="F500" s="549" t="s">
        <v>1160</v>
      </c>
      <c r="G500" s="549" t="s">
        <v>759</v>
      </c>
      <c r="H500" s="549" t="s">
        <v>758</v>
      </c>
      <c r="I500" s="549" t="s">
        <v>976</v>
      </c>
      <c r="J500" s="549" t="s">
        <v>976</v>
      </c>
      <c r="L500" s="549">
        <v>1355168.17</v>
      </c>
      <c r="M500" s="549">
        <v>102315.2</v>
      </c>
      <c r="N500" s="549">
        <v>29949.22</v>
      </c>
      <c r="P500" s="549">
        <v>100</v>
      </c>
      <c r="Q500" s="549">
        <v>132264.42000000001</v>
      </c>
    </row>
    <row r="501" spans="1:17" x14ac:dyDescent="0.25">
      <c r="A501" s="549" t="s">
        <v>1083</v>
      </c>
      <c r="B501" s="549" t="s">
        <v>584</v>
      </c>
      <c r="C501" s="549" t="s">
        <v>747</v>
      </c>
      <c r="D501" s="549" t="s">
        <v>748</v>
      </c>
      <c r="E501" s="549" t="s">
        <v>973</v>
      </c>
      <c r="F501" s="549" t="s">
        <v>1160</v>
      </c>
      <c r="G501" s="549" t="s">
        <v>748</v>
      </c>
      <c r="H501" s="549" t="s">
        <v>747</v>
      </c>
      <c r="I501" s="549" t="s">
        <v>976</v>
      </c>
      <c r="J501" s="549" t="s">
        <v>976</v>
      </c>
      <c r="L501" s="549">
        <v>1538256.88</v>
      </c>
      <c r="M501" s="549">
        <v>116138.39</v>
      </c>
      <c r="N501" s="549">
        <v>88295.94</v>
      </c>
      <c r="P501" s="549">
        <v>18.940000000000001</v>
      </c>
      <c r="Q501" s="549">
        <v>38719.86</v>
      </c>
    </row>
    <row r="502" spans="1:17" x14ac:dyDescent="0.25">
      <c r="A502" s="549" t="s">
        <v>1083</v>
      </c>
      <c r="B502" s="549" t="s">
        <v>584</v>
      </c>
      <c r="C502" s="549" t="s">
        <v>747</v>
      </c>
      <c r="D502" s="549" t="s">
        <v>748</v>
      </c>
      <c r="E502" s="549" t="s">
        <v>977</v>
      </c>
      <c r="F502" s="549" t="s">
        <v>1160</v>
      </c>
      <c r="G502" s="549" t="s">
        <v>748</v>
      </c>
      <c r="H502" s="549" t="s">
        <v>747</v>
      </c>
      <c r="I502" s="549" t="s">
        <v>976</v>
      </c>
      <c r="J502" s="549" t="s">
        <v>976</v>
      </c>
      <c r="L502" s="549">
        <v>1538256.88</v>
      </c>
      <c r="M502" s="549">
        <v>116138.39</v>
      </c>
      <c r="N502" s="549">
        <v>33995.480000000003</v>
      </c>
      <c r="P502" s="549">
        <v>63.47</v>
      </c>
      <c r="Q502" s="549">
        <v>95289.97</v>
      </c>
    </row>
    <row r="503" spans="1:17" x14ac:dyDescent="0.25">
      <c r="A503" s="549" t="s">
        <v>1083</v>
      </c>
      <c r="B503" s="549" t="s">
        <v>584</v>
      </c>
      <c r="C503" s="549" t="s">
        <v>751</v>
      </c>
      <c r="D503" s="549" t="s">
        <v>752</v>
      </c>
      <c r="E503" s="549" t="s">
        <v>977</v>
      </c>
      <c r="F503" s="549" t="s">
        <v>1160</v>
      </c>
      <c r="G503" s="549" t="s">
        <v>752</v>
      </c>
      <c r="H503" s="549" t="s">
        <v>751</v>
      </c>
      <c r="I503" s="549" t="s">
        <v>976</v>
      </c>
      <c r="J503" s="549" t="s">
        <v>976</v>
      </c>
      <c r="L503" s="549">
        <v>1263934.1399999999</v>
      </c>
      <c r="M503" s="549">
        <v>95427.03</v>
      </c>
      <c r="N503" s="549">
        <v>27932.94</v>
      </c>
      <c r="P503" s="549">
        <v>73.930000000000007</v>
      </c>
      <c r="Q503" s="549">
        <v>91200.03</v>
      </c>
    </row>
    <row r="504" spans="1:17" x14ac:dyDescent="0.25">
      <c r="A504" s="549" t="s">
        <v>1083</v>
      </c>
      <c r="B504" s="549" t="s">
        <v>584</v>
      </c>
      <c r="C504" s="549" t="s">
        <v>766</v>
      </c>
      <c r="D504" s="549" t="s">
        <v>767</v>
      </c>
      <c r="E504" s="549" t="s">
        <v>977</v>
      </c>
      <c r="F504" s="549" t="s">
        <v>1160</v>
      </c>
      <c r="G504" s="549" t="s">
        <v>767</v>
      </c>
      <c r="H504" s="549" t="s">
        <v>766</v>
      </c>
      <c r="I504" s="549" t="s">
        <v>976</v>
      </c>
      <c r="J504" s="549" t="s">
        <v>976</v>
      </c>
      <c r="L504" s="549">
        <v>1377289.45</v>
      </c>
      <c r="M504" s="549">
        <v>103985.35</v>
      </c>
      <c r="N504" s="549">
        <v>30438.1</v>
      </c>
      <c r="P504" s="549">
        <v>100</v>
      </c>
      <c r="Q504" s="549">
        <v>134423.45000000001</v>
      </c>
    </row>
    <row r="505" spans="1:17" x14ac:dyDescent="0.25">
      <c r="A505" s="549" t="s">
        <v>1083</v>
      </c>
      <c r="B505" s="549" t="s">
        <v>584</v>
      </c>
      <c r="C505" s="549" t="s">
        <v>774</v>
      </c>
      <c r="D505" s="549" t="s">
        <v>775</v>
      </c>
      <c r="E505" s="549" t="s">
        <v>977</v>
      </c>
      <c r="F505" s="549" t="s">
        <v>1160</v>
      </c>
      <c r="G505" s="549" t="s">
        <v>775</v>
      </c>
      <c r="H505" s="549" t="s">
        <v>774</v>
      </c>
      <c r="I505" s="549" t="s">
        <v>976</v>
      </c>
      <c r="J505" s="549" t="s">
        <v>976</v>
      </c>
      <c r="L505" s="549">
        <v>1483752.72</v>
      </c>
      <c r="M505" s="549">
        <v>112023.33</v>
      </c>
      <c r="N505" s="549">
        <v>32790.94</v>
      </c>
      <c r="P505" s="549">
        <v>74.650000000000006</v>
      </c>
      <c r="Q505" s="549">
        <v>108103.85</v>
      </c>
    </row>
    <row r="506" spans="1:17" x14ac:dyDescent="0.25">
      <c r="A506" s="549" t="s">
        <v>1083</v>
      </c>
      <c r="B506" s="549" t="s">
        <v>584</v>
      </c>
      <c r="C506" s="549" t="s">
        <v>749</v>
      </c>
      <c r="D506" s="549" t="s">
        <v>750</v>
      </c>
      <c r="E506" s="549" t="s">
        <v>977</v>
      </c>
      <c r="F506" s="549" t="s">
        <v>1160</v>
      </c>
      <c r="G506" s="549" t="s">
        <v>750</v>
      </c>
      <c r="H506" s="549" t="s">
        <v>749</v>
      </c>
      <c r="I506" s="549" t="s">
        <v>976</v>
      </c>
      <c r="J506" s="549" t="s">
        <v>976</v>
      </c>
      <c r="L506" s="549">
        <v>1428398.13</v>
      </c>
      <c r="M506" s="549">
        <v>107844.06</v>
      </c>
      <c r="N506" s="549">
        <v>31567.599999999999</v>
      </c>
      <c r="P506" s="549">
        <v>68.510000000000005</v>
      </c>
      <c r="Q506" s="549">
        <v>95510.93</v>
      </c>
    </row>
    <row r="507" spans="1:17" x14ac:dyDescent="0.25">
      <c r="A507" s="549" t="s">
        <v>1083</v>
      </c>
      <c r="B507" s="549" t="s">
        <v>584</v>
      </c>
      <c r="C507" s="549" t="s">
        <v>783</v>
      </c>
      <c r="D507" s="549" t="s">
        <v>784</v>
      </c>
      <c r="E507" s="549" t="s">
        <v>977</v>
      </c>
      <c r="F507" s="549" t="s">
        <v>1160</v>
      </c>
      <c r="G507" s="549" t="s">
        <v>784</v>
      </c>
      <c r="H507" s="549" t="s">
        <v>783</v>
      </c>
      <c r="I507" s="549" t="s">
        <v>976</v>
      </c>
      <c r="J507" s="549" t="s">
        <v>976</v>
      </c>
      <c r="L507" s="549">
        <v>1792792.26</v>
      </c>
      <c r="M507" s="549">
        <v>135355.82</v>
      </c>
      <c r="N507" s="549">
        <v>39620.71</v>
      </c>
      <c r="P507" s="549">
        <v>66.03</v>
      </c>
      <c r="Q507" s="549">
        <v>115537</v>
      </c>
    </row>
    <row r="508" spans="1:17" x14ac:dyDescent="0.25">
      <c r="A508" s="549" t="s">
        <v>1083</v>
      </c>
      <c r="B508" s="549" t="s">
        <v>584</v>
      </c>
      <c r="C508" s="549" t="s">
        <v>785</v>
      </c>
      <c r="D508" s="549" t="s">
        <v>786</v>
      </c>
      <c r="E508" s="549" t="s">
        <v>977</v>
      </c>
      <c r="F508" s="549" t="s">
        <v>1160</v>
      </c>
      <c r="G508" s="549" t="s">
        <v>786</v>
      </c>
      <c r="H508" s="549" t="s">
        <v>785</v>
      </c>
      <c r="I508" s="549" t="s">
        <v>976</v>
      </c>
      <c r="J508" s="549" t="s">
        <v>976</v>
      </c>
      <c r="L508" s="549">
        <v>1329746.68</v>
      </c>
      <c r="M508" s="549">
        <v>100395.87</v>
      </c>
      <c r="N508" s="549">
        <v>29387.4</v>
      </c>
      <c r="P508" s="549">
        <v>21.39</v>
      </c>
      <c r="Q508" s="549">
        <v>27760.639999999999</v>
      </c>
    </row>
    <row r="509" spans="1:17" x14ac:dyDescent="0.25">
      <c r="A509" s="549" t="s">
        <v>1083</v>
      </c>
      <c r="B509" s="549" t="s">
        <v>584</v>
      </c>
      <c r="C509" s="549" t="s">
        <v>776</v>
      </c>
      <c r="D509" s="549" t="s">
        <v>777</v>
      </c>
      <c r="E509" s="549" t="s">
        <v>977</v>
      </c>
      <c r="F509" s="549" t="s">
        <v>1160</v>
      </c>
      <c r="G509" s="549" t="s">
        <v>777</v>
      </c>
      <c r="H509" s="549" t="s">
        <v>776</v>
      </c>
      <c r="I509" s="549" t="s">
        <v>976</v>
      </c>
      <c r="J509" s="549" t="s">
        <v>976</v>
      </c>
      <c r="L509" s="549">
        <v>1596404.65</v>
      </c>
      <c r="M509" s="549">
        <v>120528.55</v>
      </c>
      <c r="N509" s="549">
        <v>35280.54</v>
      </c>
      <c r="P509" s="549">
        <v>12.93</v>
      </c>
      <c r="Q509" s="549">
        <v>20146.12</v>
      </c>
    </row>
    <row r="510" spans="1:17" x14ac:dyDescent="0.25">
      <c r="A510" s="549" t="s">
        <v>1083</v>
      </c>
      <c r="B510" s="549" t="s">
        <v>584</v>
      </c>
      <c r="C510" s="549" t="s">
        <v>753</v>
      </c>
      <c r="D510" s="549" t="s">
        <v>754</v>
      </c>
      <c r="E510" s="549" t="s">
        <v>973</v>
      </c>
      <c r="F510" s="549" t="s">
        <v>1160</v>
      </c>
      <c r="G510" s="549" t="s">
        <v>754</v>
      </c>
      <c r="H510" s="549" t="s">
        <v>753</v>
      </c>
      <c r="I510" s="549" t="s">
        <v>976</v>
      </c>
      <c r="J510" s="549" t="s">
        <v>976</v>
      </c>
      <c r="L510" s="549">
        <v>1254298.5</v>
      </c>
      <c r="M510" s="549">
        <v>94699.54</v>
      </c>
      <c r="N510" s="549">
        <v>71996.73</v>
      </c>
      <c r="P510" s="549">
        <v>0</v>
      </c>
      <c r="Q510" s="549">
        <v>0</v>
      </c>
    </row>
    <row r="511" spans="1:17" x14ac:dyDescent="0.25">
      <c r="A511" s="549" t="s">
        <v>1083</v>
      </c>
      <c r="B511" s="549" t="s">
        <v>584</v>
      </c>
      <c r="C511" s="549" t="s">
        <v>753</v>
      </c>
      <c r="D511" s="549" t="s">
        <v>754</v>
      </c>
      <c r="E511" s="549" t="s">
        <v>977</v>
      </c>
      <c r="F511" s="549" t="s">
        <v>1160</v>
      </c>
      <c r="G511" s="549" t="s">
        <v>754</v>
      </c>
      <c r="H511" s="549" t="s">
        <v>753</v>
      </c>
      <c r="I511" s="549" t="s">
        <v>976</v>
      </c>
      <c r="J511" s="549" t="s">
        <v>976</v>
      </c>
      <c r="L511" s="549">
        <v>1254298.5</v>
      </c>
      <c r="M511" s="549">
        <v>94699.54</v>
      </c>
      <c r="N511" s="549">
        <v>27720</v>
      </c>
      <c r="P511" s="549">
        <v>100</v>
      </c>
      <c r="Q511" s="549">
        <v>122419.54</v>
      </c>
    </row>
    <row r="512" spans="1:17" x14ac:dyDescent="0.25">
      <c r="A512" s="549" t="s">
        <v>1083</v>
      </c>
      <c r="B512" s="549" t="s">
        <v>584</v>
      </c>
      <c r="C512" s="549" t="s">
        <v>753</v>
      </c>
      <c r="D512" s="549" t="s">
        <v>754</v>
      </c>
      <c r="E512" s="549" t="s">
        <v>977</v>
      </c>
      <c r="F512" s="549" t="s">
        <v>1160</v>
      </c>
      <c r="G512" s="549" t="s">
        <v>755</v>
      </c>
      <c r="H512" s="549" t="s">
        <v>538</v>
      </c>
      <c r="I512" s="549" t="s">
        <v>976</v>
      </c>
      <c r="J512" s="549" t="s">
        <v>976</v>
      </c>
      <c r="L512" s="549">
        <v>2178842.81</v>
      </c>
      <c r="M512" s="549">
        <v>164502.63</v>
      </c>
      <c r="N512" s="549">
        <v>48152.43</v>
      </c>
      <c r="P512" s="549">
        <v>1.81</v>
      </c>
      <c r="Q512" s="549">
        <v>3849.06</v>
      </c>
    </row>
    <row r="513" spans="1:17" x14ac:dyDescent="0.25">
      <c r="A513" s="549" t="s">
        <v>1083</v>
      </c>
      <c r="B513" s="549" t="s">
        <v>584</v>
      </c>
      <c r="C513" s="549" t="s">
        <v>538</v>
      </c>
      <c r="D513" s="549" t="s">
        <v>755</v>
      </c>
      <c r="E513" s="549" t="s">
        <v>977</v>
      </c>
      <c r="F513" s="549" t="s">
        <v>1160</v>
      </c>
      <c r="G513" s="549" t="s">
        <v>755</v>
      </c>
      <c r="H513" s="549" t="s">
        <v>538</v>
      </c>
      <c r="I513" s="549" t="s">
        <v>976</v>
      </c>
      <c r="J513" s="549" t="s">
        <v>976</v>
      </c>
      <c r="L513" s="549">
        <v>2178842.81</v>
      </c>
      <c r="M513" s="549">
        <v>164502.63</v>
      </c>
      <c r="N513" s="549">
        <v>48152.43</v>
      </c>
      <c r="P513" s="549">
        <v>18.36</v>
      </c>
      <c r="Q513" s="549">
        <v>39043.47</v>
      </c>
    </row>
    <row r="514" spans="1:17" x14ac:dyDescent="0.25">
      <c r="A514" s="549" t="s">
        <v>1083</v>
      </c>
      <c r="B514" s="549" t="s">
        <v>584</v>
      </c>
      <c r="C514" s="549" t="s">
        <v>780</v>
      </c>
      <c r="D514" s="549" t="s">
        <v>781</v>
      </c>
      <c r="E514" s="549" t="s">
        <v>973</v>
      </c>
      <c r="F514" s="549" t="s">
        <v>1160</v>
      </c>
      <c r="G514" s="549" t="s">
        <v>781</v>
      </c>
      <c r="H514" s="549" t="s">
        <v>780</v>
      </c>
      <c r="I514" s="549" t="s">
        <v>976</v>
      </c>
      <c r="J514" s="549" t="s">
        <v>976</v>
      </c>
      <c r="L514" s="549">
        <v>2269188.81</v>
      </c>
      <c r="M514" s="549">
        <v>171323.76</v>
      </c>
      <c r="N514" s="549">
        <v>130251.44</v>
      </c>
      <c r="P514" s="549">
        <v>9.99</v>
      </c>
      <c r="Q514" s="549">
        <v>30127.360000000001</v>
      </c>
    </row>
    <row r="515" spans="1:17" x14ac:dyDescent="0.25">
      <c r="A515" s="549" t="s">
        <v>1083</v>
      </c>
      <c r="B515" s="549" t="s">
        <v>584</v>
      </c>
      <c r="C515" s="549" t="s">
        <v>780</v>
      </c>
      <c r="D515" s="549" t="s">
        <v>781</v>
      </c>
      <c r="E515" s="549" t="s">
        <v>977</v>
      </c>
      <c r="F515" s="549" t="s">
        <v>1160</v>
      </c>
      <c r="G515" s="549" t="s">
        <v>781</v>
      </c>
      <c r="H515" s="549" t="s">
        <v>780</v>
      </c>
      <c r="I515" s="549" t="s">
        <v>976</v>
      </c>
      <c r="J515" s="549" t="s">
        <v>976</v>
      </c>
      <c r="L515" s="549">
        <v>2269188.81</v>
      </c>
      <c r="M515" s="549">
        <v>171323.76</v>
      </c>
      <c r="N515" s="549">
        <v>50149.07</v>
      </c>
      <c r="P515" s="549">
        <v>90.01</v>
      </c>
      <c r="Q515" s="549">
        <v>199347.69</v>
      </c>
    </row>
    <row r="516" spans="1:17" x14ac:dyDescent="0.25">
      <c r="A516" s="549" t="s">
        <v>1083</v>
      </c>
      <c r="B516" s="549" t="s">
        <v>584</v>
      </c>
      <c r="C516" s="549" t="s">
        <v>762</v>
      </c>
      <c r="D516" s="549" t="s">
        <v>763</v>
      </c>
      <c r="E516" s="549" t="s">
        <v>977</v>
      </c>
      <c r="F516" s="549" t="s">
        <v>1160</v>
      </c>
      <c r="G516" s="549" t="s">
        <v>763</v>
      </c>
      <c r="H516" s="549" t="s">
        <v>762</v>
      </c>
      <c r="I516" s="549" t="s">
        <v>976</v>
      </c>
      <c r="J516" s="549" t="s">
        <v>976</v>
      </c>
      <c r="L516" s="549">
        <v>1542225.59</v>
      </c>
      <c r="M516" s="549">
        <v>116438.03</v>
      </c>
      <c r="N516" s="549">
        <v>34083.19</v>
      </c>
      <c r="P516" s="549">
        <v>80.59</v>
      </c>
      <c r="Q516" s="549">
        <v>121305.05</v>
      </c>
    </row>
    <row r="517" spans="1:17" x14ac:dyDescent="0.25">
      <c r="A517" s="549" t="s">
        <v>1083</v>
      </c>
      <c r="B517" s="549" t="s">
        <v>584</v>
      </c>
      <c r="C517" s="549" t="s">
        <v>742</v>
      </c>
      <c r="D517" s="549" t="s">
        <v>743</v>
      </c>
      <c r="E517" s="549" t="s">
        <v>973</v>
      </c>
      <c r="F517" s="549" t="s">
        <v>1160</v>
      </c>
      <c r="G517" s="549" t="s">
        <v>743</v>
      </c>
      <c r="H517" s="549" t="s">
        <v>742</v>
      </c>
      <c r="I517" s="549" t="s">
        <v>976</v>
      </c>
      <c r="J517" s="549" t="s">
        <v>976</v>
      </c>
      <c r="L517" s="549">
        <v>1421298.86</v>
      </c>
      <c r="M517" s="549">
        <v>107308.06</v>
      </c>
      <c r="N517" s="549">
        <v>81582.55</v>
      </c>
      <c r="P517" s="549">
        <v>0</v>
      </c>
      <c r="Q517" s="549">
        <v>0</v>
      </c>
    </row>
    <row r="518" spans="1:17" x14ac:dyDescent="0.25">
      <c r="A518" s="549" t="s">
        <v>1083</v>
      </c>
      <c r="B518" s="549" t="s">
        <v>584</v>
      </c>
      <c r="C518" s="549" t="s">
        <v>742</v>
      </c>
      <c r="D518" s="549" t="s">
        <v>743</v>
      </c>
      <c r="E518" s="549" t="s">
        <v>977</v>
      </c>
      <c r="F518" s="549" t="s">
        <v>1160</v>
      </c>
      <c r="G518" s="549" t="s">
        <v>856</v>
      </c>
      <c r="H518" s="549" t="s">
        <v>855</v>
      </c>
      <c r="I518" s="549" t="s">
        <v>976</v>
      </c>
      <c r="J518" s="549" t="s">
        <v>976</v>
      </c>
      <c r="L518" s="549">
        <v>2060111.91</v>
      </c>
      <c r="M518" s="549">
        <v>155538.45000000001</v>
      </c>
      <c r="N518" s="549">
        <v>45528.47</v>
      </c>
      <c r="P518" s="549">
        <v>1.41</v>
      </c>
      <c r="Q518" s="549">
        <v>2835.04</v>
      </c>
    </row>
    <row r="519" spans="1:17" x14ac:dyDescent="0.25">
      <c r="A519" s="549" t="s">
        <v>1083</v>
      </c>
      <c r="B519" s="549" t="s">
        <v>584</v>
      </c>
      <c r="C519" s="549" t="s">
        <v>742</v>
      </c>
      <c r="D519" s="549" t="s">
        <v>743</v>
      </c>
      <c r="E519" s="549" t="s">
        <v>977</v>
      </c>
      <c r="F519" s="549" t="s">
        <v>1160</v>
      </c>
      <c r="G519" s="549" t="s">
        <v>743</v>
      </c>
      <c r="H519" s="549" t="s">
        <v>742</v>
      </c>
      <c r="I519" s="549" t="s">
        <v>976</v>
      </c>
      <c r="J519" s="549" t="s">
        <v>976</v>
      </c>
      <c r="L519" s="549">
        <v>1421298.86</v>
      </c>
      <c r="M519" s="549">
        <v>107308.06</v>
      </c>
      <c r="N519" s="549">
        <v>31410.7</v>
      </c>
      <c r="P519" s="549">
        <v>100</v>
      </c>
      <c r="Q519" s="549">
        <v>138718.76</v>
      </c>
    </row>
    <row r="520" spans="1:17" x14ac:dyDescent="0.25">
      <c r="A520" s="549" t="s">
        <v>1083</v>
      </c>
      <c r="B520" s="549" t="s">
        <v>584</v>
      </c>
      <c r="C520" s="549" t="s">
        <v>760</v>
      </c>
      <c r="D520" s="549" t="s">
        <v>761</v>
      </c>
      <c r="E520" s="549" t="s">
        <v>973</v>
      </c>
      <c r="F520" s="549" t="s">
        <v>1160</v>
      </c>
      <c r="G520" s="549" t="s">
        <v>761</v>
      </c>
      <c r="H520" s="549" t="s">
        <v>760</v>
      </c>
      <c r="I520" s="549" t="s">
        <v>976</v>
      </c>
      <c r="J520" s="549" t="s">
        <v>976</v>
      </c>
      <c r="L520" s="549">
        <v>1341970</v>
      </c>
      <c r="M520" s="549">
        <v>101318.74</v>
      </c>
      <c r="N520" s="549">
        <v>77029.08</v>
      </c>
      <c r="P520" s="549">
        <v>0</v>
      </c>
      <c r="Q520" s="549">
        <v>0</v>
      </c>
    </row>
    <row r="521" spans="1:17" x14ac:dyDescent="0.25">
      <c r="A521" s="549" t="s">
        <v>1083</v>
      </c>
      <c r="B521" s="549" t="s">
        <v>584</v>
      </c>
      <c r="C521" s="549" t="s">
        <v>760</v>
      </c>
      <c r="D521" s="549" t="s">
        <v>761</v>
      </c>
      <c r="E521" s="549" t="s">
        <v>977</v>
      </c>
      <c r="F521" s="549" t="s">
        <v>1160</v>
      </c>
      <c r="G521" s="549" t="s">
        <v>856</v>
      </c>
      <c r="H521" s="549" t="s">
        <v>855</v>
      </c>
      <c r="I521" s="549" t="s">
        <v>976</v>
      </c>
      <c r="J521" s="549" t="s">
        <v>976</v>
      </c>
      <c r="L521" s="549">
        <v>2060111.91</v>
      </c>
      <c r="M521" s="549">
        <v>155538.45000000001</v>
      </c>
      <c r="N521" s="549">
        <v>45528.47</v>
      </c>
      <c r="P521" s="549">
        <v>0.9</v>
      </c>
      <c r="Q521" s="549">
        <v>1809.6</v>
      </c>
    </row>
    <row r="522" spans="1:17" x14ac:dyDescent="0.25">
      <c r="A522" s="549" t="s">
        <v>1083</v>
      </c>
      <c r="B522" s="549" t="s">
        <v>584</v>
      </c>
      <c r="C522" s="549" t="s">
        <v>760</v>
      </c>
      <c r="D522" s="549" t="s">
        <v>761</v>
      </c>
      <c r="E522" s="549" t="s">
        <v>977</v>
      </c>
      <c r="F522" s="549" t="s">
        <v>1160</v>
      </c>
      <c r="G522" s="549" t="s">
        <v>761</v>
      </c>
      <c r="H522" s="549" t="s">
        <v>760</v>
      </c>
      <c r="I522" s="549" t="s">
        <v>976</v>
      </c>
      <c r="J522" s="549" t="s">
        <v>976</v>
      </c>
      <c r="L522" s="549">
        <v>1341970</v>
      </c>
      <c r="M522" s="549">
        <v>101318.74</v>
      </c>
      <c r="N522" s="549">
        <v>29657.54</v>
      </c>
      <c r="P522" s="549">
        <v>100</v>
      </c>
      <c r="Q522" s="549">
        <v>130976.28</v>
      </c>
    </row>
    <row r="523" spans="1:17" x14ac:dyDescent="0.25">
      <c r="A523" s="549" t="s">
        <v>1083</v>
      </c>
      <c r="B523" s="549" t="s">
        <v>584</v>
      </c>
      <c r="C523" s="549" t="s">
        <v>772</v>
      </c>
      <c r="D523" s="549" t="s">
        <v>773</v>
      </c>
      <c r="E523" s="549" t="s">
        <v>977</v>
      </c>
      <c r="F523" s="549" t="s">
        <v>1160</v>
      </c>
      <c r="G523" s="549" t="s">
        <v>773</v>
      </c>
      <c r="H523" s="549" t="s">
        <v>772</v>
      </c>
      <c r="I523" s="549" t="s">
        <v>976</v>
      </c>
      <c r="J523" s="549" t="s">
        <v>976</v>
      </c>
      <c r="L523" s="549">
        <v>1443780.63</v>
      </c>
      <c r="M523" s="549">
        <v>109005.44</v>
      </c>
      <c r="N523" s="549">
        <v>31907.55</v>
      </c>
      <c r="P523" s="549">
        <v>64.930000000000007</v>
      </c>
      <c r="Q523" s="549">
        <v>91494.8</v>
      </c>
    </row>
    <row r="524" spans="1:17" x14ac:dyDescent="0.25">
      <c r="A524" s="549" t="s">
        <v>1083</v>
      </c>
      <c r="B524" s="549" t="s">
        <v>584</v>
      </c>
      <c r="C524" s="549" t="s">
        <v>778</v>
      </c>
      <c r="D524" s="549" t="s">
        <v>779</v>
      </c>
      <c r="E524" s="549" t="s">
        <v>977</v>
      </c>
      <c r="F524" s="549" t="s">
        <v>1160</v>
      </c>
      <c r="G524" s="549" t="s">
        <v>779</v>
      </c>
      <c r="H524" s="549" t="s">
        <v>778</v>
      </c>
      <c r="I524" s="549" t="s">
        <v>976</v>
      </c>
      <c r="J524" s="549" t="s">
        <v>976</v>
      </c>
      <c r="L524" s="549">
        <v>1343493.95</v>
      </c>
      <c r="M524" s="549">
        <v>101433.79</v>
      </c>
      <c r="N524" s="549">
        <v>29691.22</v>
      </c>
      <c r="P524" s="549">
        <v>52.62</v>
      </c>
      <c r="Q524" s="549">
        <v>68997.98</v>
      </c>
    </row>
    <row r="525" spans="1:17" x14ac:dyDescent="0.25">
      <c r="A525" s="549" t="s">
        <v>1091</v>
      </c>
      <c r="B525" s="549" t="s">
        <v>1092</v>
      </c>
      <c r="C525" s="549" t="s">
        <v>853</v>
      </c>
      <c r="D525" s="549" t="s">
        <v>854</v>
      </c>
      <c r="E525" s="549" t="s">
        <v>977</v>
      </c>
      <c r="F525" s="549" t="s">
        <v>1160</v>
      </c>
      <c r="G525" s="549" t="s">
        <v>854</v>
      </c>
      <c r="H525" s="549" t="s">
        <v>853</v>
      </c>
      <c r="I525" s="549" t="s">
        <v>976</v>
      </c>
      <c r="J525" s="549" t="s">
        <v>976</v>
      </c>
      <c r="L525" s="549">
        <v>0</v>
      </c>
      <c r="M525" s="549">
        <v>0</v>
      </c>
      <c r="N525" s="549">
        <v>0</v>
      </c>
      <c r="P525" s="549">
        <v>100</v>
      </c>
      <c r="Q525" s="549">
        <v>0</v>
      </c>
    </row>
    <row r="526" spans="1:17" x14ac:dyDescent="0.25">
      <c r="A526" s="549" t="s">
        <v>1091</v>
      </c>
      <c r="B526" s="549" t="s">
        <v>1092</v>
      </c>
      <c r="C526" s="549" t="s">
        <v>853</v>
      </c>
      <c r="D526" s="549" t="s">
        <v>854</v>
      </c>
      <c r="E526" s="549" t="s">
        <v>977</v>
      </c>
      <c r="F526" s="549" t="s">
        <v>1160</v>
      </c>
      <c r="G526" s="549" t="s">
        <v>669</v>
      </c>
      <c r="H526" s="549" t="s">
        <v>668</v>
      </c>
      <c r="I526" s="549" t="s">
        <v>976</v>
      </c>
      <c r="J526" s="549" t="s">
        <v>976</v>
      </c>
      <c r="L526" s="549">
        <v>2045229.89</v>
      </c>
      <c r="M526" s="549">
        <v>154414.85999999999</v>
      </c>
      <c r="N526" s="549">
        <v>45199.58</v>
      </c>
      <c r="P526" s="549">
        <v>4.83</v>
      </c>
      <c r="Q526" s="549">
        <v>9641.3799999999992</v>
      </c>
    </row>
    <row r="527" spans="1:17" x14ac:dyDescent="0.25">
      <c r="A527" s="549" t="s">
        <v>1091</v>
      </c>
      <c r="B527" s="549" t="s">
        <v>1092</v>
      </c>
      <c r="C527" s="549" t="s">
        <v>853</v>
      </c>
      <c r="D527" s="549" t="s">
        <v>854</v>
      </c>
      <c r="E527" s="549" t="s">
        <v>973</v>
      </c>
      <c r="F527" s="549" t="s">
        <v>1160</v>
      </c>
      <c r="G527" s="549" t="s">
        <v>854</v>
      </c>
      <c r="H527" s="549" t="s">
        <v>853</v>
      </c>
      <c r="I527" s="549" t="s">
        <v>976</v>
      </c>
      <c r="J527" s="549" t="s">
        <v>976</v>
      </c>
      <c r="L527" s="549">
        <v>0</v>
      </c>
      <c r="M527" s="549">
        <v>0</v>
      </c>
      <c r="N527" s="549">
        <v>0</v>
      </c>
      <c r="P527" s="549">
        <v>0</v>
      </c>
      <c r="Q527" s="549">
        <v>0</v>
      </c>
    </row>
    <row r="528" spans="1:17" x14ac:dyDescent="0.25">
      <c r="A528" s="549" t="s">
        <v>1091</v>
      </c>
      <c r="B528" s="549" t="s">
        <v>1092</v>
      </c>
      <c r="C528" s="549" t="s">
        <v>536</v>
      </c>
      <c r="D528" s="549" t="s">
        <v>459</v>
      </c>
      <c r="E528" s="549" t="s">
        <v>977</v>
      </c>
      <c r="F528" s="549" t="s">
        <v>1160</v>
      </c>
      <c r="G528" s="549" t="s">
        <v>459</v>
      </c>
      <c r="H528" s="549" t="s">
        <v>536</v>
      </c>
      <c r="I528" s="549" t="s">
        <v>976</v>
      </c>
      <c r="J528" s="549" t="s">
        <v>976</v>
      </c>
      <c r="L528" s="549">
        <v>1336466.3999999999</v>
      </c>
      <c r="M528" s="549">
        <v>100903.21</v>
      </c>
      <c r="N528" s="549">
        <v>29535.91</v>
      </c>
      <c r="P528" s="549">
        <v>29.57</v>
      </c>
      <c r="Q528" s="549">
        <v>38570.85</v>
      </c>
    </row>
    <row r="529" spans="1:17" x14ac:dyDescent="0.25">
      <c r="A529" s="549" t="s">
        <v>1091</v>
      </c>
      <c r="B529" s="549" t="s">
        <v>1092</v>
      </c>
      <c r="C529" s="549" t="s">
        <v>855</v>
      </c>
      <c r="D529" s="549" t="s">
        <v>856</v>
      </c>
      <c r="E529" s="549" t="s">
        <v>977</v>
      </c>
      <c r="F529" s="549" t="s">
        <v>1160</v>
      </c>
      <c r="G529" s="549" t="s">
        <v>856</v>
      </c>
      <c r="H529" s="549" t="s">
        <v>855</v>
      </c>
      <c r="I529" s="549" t="s">
        <v>976</v>
      </c>
      <c r="J529" s="549" t="s">
        <v>976</v>
      </c>
      <c r="L529" s="549">
        <v>2060111.91</v>
      </c>
      <c r="M529" s="549">
        <v>155538.45000000001</v>
      </c>
      <c r="N529" s="549">
        <v>45528.47</v>
      </c>
      <c r="P529" s="549">
        <v>40.020000000000003</v>
      </c>
      <c r="Q529" s="549">
        <v>80466.98</v>
      </c>
    </row>
    <row r="530" spans="1:17" x14ac:dyDescent="0.25">
      <c r="A530" s="549" t="s">
        <v>1151</v>
      </c>
      <c r="B530" s="549" t="s">
        <v>791</v>
      </c>
      <c r="C530" s="549" t="s">
        <v>794</v>
      </c>
      <c r="D530" s="549" t="s">
        <v>795</v>
      </c>
      <c r="E530" s="549" t="s">
        <v>977</v>
      </c>
      <c r="F530" s="549" t="s">
        <v>1160</v>
      </c>
      <c r="G530" s="549" t="s">
        <v>795</v>
      </c>
      <c r="H530" s="549" t="s">
        <v>794</v>
      </c>
      <c r="I530" s="549" t="s">
        <v>976</v>
      </c>
      <c r="J530" s="549" t="s">
        <v>976</v>
      </c>
      <c r="L530" s="549">
        <v>1315054.3799999999</v>
      </c>
      <c r="M530" s="549">
        <v>99286.61</v>
      </c>
      <c r="N530" s="549">
        <v>29062.7</v>
      </c>
      <c r="P530" s="549">
        <v>81.03</v>
      </c>
      <c r="Q530" s="549">
        <v>104001.45</v>
      </c>
    </row>
    <row r="531" spans="1:17" x14ac:dyDescent="0.25">
      <c r="A531" s="549" t="s">
        <v>1151</v>
      </c>
      <c r="B531" s="549" t="s">
        <v>791</v>
      </c>
      <c r="C531" s="549" t="s">
        <v>796</v>
      </c>
      <c r="D531" s="549" t="s">
        <v>493</v>
      </c>
      <c r="E531" s="549" t="s">
        <v>977</v>
      </c>
      <c r="F531" s="549" t="s">
        <v>1160</v>
      </c>
      <c r="G531" s="549" t="s">
        <v>493</v>
      </c>
      <c r="H531" s="549" t="s">
        <v>796</v>
      </c>
      <c r="I531" s="549" t="s">
        <v>976</v>
      </c>
      <c r="J531" s="549" t="s">
        <v>976</v>
      </c>
      <c r="L531" s="549">
        <v>1353257.06</v>
      </c>
      <c r="M531" s="549">
        <v>102170.91</v>
      </c>
      <c r="N531" s="549">
        <v>29906.98</v>
      </c>
      <c r="P531" s="549">
        <v>76.61</v>
      </c>
      <c r="Q531" s="549">
        <v>101184.87</v>
      </c>
    </row>
    <row r="532" spans="1:17" x14ac:dyDescent="0.25">
      <c r="A532" s="549" t="s">
        <v>1151</v>
      </c>
      <c r="B532" s="549" t="s">
        <v>791</v>
      </c>
      <c r="C532" s="549" t="s">
        <v>797</v>
      </c>
      <c r="D532" s="549" t="s">
        <v>798</v>
      </c>
      <c r="E532" s="549" t="s">
        <v>977</v>
      </c>
      <c r="F532" s="549" t="s">
        <v>1160</v>
      </c>
      <c r="G532" s="549" t="s">
        <v>798</v>
      </c>
      <c r="H532" s="549" t="s">
        <v>797</v>
      </c>
      <c r="I532" s="549" t="s">
        <v>976</v>
      </c>
      <c r="J532" s="549" t="s">
        <v>976</v>
      </c>
      <c r="L532" s="549">
        <v>1932136.73</v>
      </c>
      <c r="M532" s="549">
        <v>145876.32</v>
      </c>
      <c r="N532" s="549">
        <v>42700.22</v>
      </c>
      <c r="P532" s="549">
        <v>42.19</v>
      </c>
      <c r="Q532" s="549">
        <v>79560.44</v>
      </c>
    </row>
    <row r="533" spans="1:17" x14ac:dyDescent="0.25">
      <c r="A533" s="549" t="s">
        <v>1151</v>
      </c>
      <c r="B533" s="549" t="s">
        <v>791</v>
      </c>
      <c r="C533" s="549" t="s">
        <v>792</v>
      </c>
      <c r="D533" s="549" t="s">
        <v>793</v>
      </c>
      <c r="E533" s="549" t="s">
        <v>973</v>
      </c>
      <c r="F533" s="549" t="s">
        <v>1160</v>
      </c>
      <c r="G533" s="549" t="s">
        <v>793</v>
      </c>
      <c r="H533" s="549" t="s">
        <v>792</v>
      </c>
      <c r="I533" s="549" t="s">
        <v>976</v>
      </c>
      <c r="J533" s="549" t="s">
        <v>976</v>
      </c>
      <c r="L533" s="549">
        <v>1848115.68</v>
      </c>
      <c r="M533" s="549">
        <v>139532.73000000001</v>
      </c>
      <c r="N533" s="549">
        <v>106081.84</v>
      </c>
      <c r="P533" s="549">
        <v>13.14</v>
      </c>
      <c r="Q533" s="549">
        <v>32273.75</v>
      </c>
    </row>
    <row r="534" spans="1:17" x14ac:dyDescent="0.25">
      <c r="A534" s="549" t="s">
        <v>1151</v>
      </c>
      <c r="B534" s="549" t="s">
        <v>791</v>
      </c>
      <c r="C534" s="549" t="s">
        <v>792</v>
      </c>
      <c r="D534" s="549" t="s">
        <v>793</v>
      </c>
      <c r="E534" s="549" t="s">
        <v>977</v>
      </c>
      <c r="F534" s="549" t="s">
        <v>1160</v>
      </c>
      <c r="G534" s="549" t="s">
        <v>793</v>
      </c>
      <c r="H534" s="549" t="s">
        <v>792</v>
      </c>
      <c r="I534" s="549" t="s">
        <v>976</v>
      </c>
      <c r="J534" s="549" t="s">
        <v>976</v>
      </c>
      <c r="L534" s="549">
        <v>1848115.68</v>
      </c>
      <c r="M534" s="549">
        <v>139532.73000000001</v>
      </c>
      <c r="N534" s="549">
        <v>40843.360000000001</v>
      </c>
      <c r="P534" s="549">
        <v>16.38</v>
      </c>
      <c r="Q534" s="549">
        <v>29545.599999999999</v>
      </c>
    </row>
    <row r="535" spans="1:17" x14ac:dyDescent="0.25">
      <c r="A535" s="549" t="s">
        <v>1094</v>
      </c>
      <c r="B535" s="549" t="s">
        <v>580</v>
      </c>
      <c r="C535" s="549" t="s">
        <v>535</v>
      </c>
      <c r="D535" s="549" t="s">
        <v>711</v>
      </c>
      <c r="E535" s="549" t="s">
        <v>977</v>
      </c>
      <c r="F535" s="549" t="s">
        <v>1160</v>
      </c>
      <c r="G535" s="549" t="s">
        <v>711</v>
      </c>
      <c r="H535" s="549" t="s">
        <v>535</v>
      </c>
      <c r="I535" s="549" t="s">
        <v>976</v>
      </c>
      <c r="J535" s="549" t="s">
        <v>976</v>
      </c>
      <c r="L535" s="549">
        <v>1675487.55</v>
      </c>
      <c r="M535" s="549">
        <v>126499.31</v>
      </c>
      <c r="N535" s="549">
        <v>37028.269999999997</v>
      </c>
      <c r="P535" s="549">
        <v>7.09</v>
      </c>
      <c r="Q535" s="549">
        <v>11594.11</v>
      </c>
    </row>
    <row r="536" spans="1:17" x14ac:dyDescent="0.25">
      <c r="A536" s="549" t="s">
        <v>1094</v>
      </c>
      <c r="B536" s="549" t="s">
        <v>580</v>
      </c>
      <c r="C536" s="549" t="s">
        <v>648</v>
      </c>
      <c r="D536" s="549" t="s">
        <v>649</v>
      </c>
      <c r="E536" s="549" t="s">
        <v>977</v>
      </c>
      <c r="F536" s="549" t="s">
        <v>1160</v>
      </c>
      <c r="G536" s="549" t="s">
        <v>649</v>
      </c>
      <c r="H536" s="549" t="s">
        <v>648</v>
      </c>
      <c r="I536" s="549" t="s">
        <v>976</v>
      </c>
      <c r="J536" s="549" t="s">
        <v>976</v>
      </c>
      <c r="L536" s="549">
        <v>1639141.54</v>
      </c>
      <c r="M536" s="549">
        <v>123755.19</v>
      </c>
      <c r="N536" s="549">
        <v>36225.03</v>
      </c>
      <c r="P536" s="549">
        <v>10.25</v>
      </c>
      <c r="Q536" s="549">
        <v>16397.97</v>
      </c>
    </row>
    <row r="537" spans="1:17" x14ac:dyDescent="0.25">
      <c r="A537" s="549" t="s">
        <v>1094</v>
      </c>
      <c r="B537" s="549" t="s">
        <v>580</v>
      </c>
      <c r="C537" s="549" t="s">
        <v>709</v>
      </c>
      <c r="D537" s="549" t="s">
        <v>710</v>
      </c>
      <c r="E537" s="549" t="s">
        <v>977</v>
      </c>
      <c r="F537" s="549" t="s">
        <v>1160</v>
      </c>
      <c r="G537" s="549" t="s">
        <v>710</v>
      </c>
      <c r="H537" s="549" t="s">
        <v>709</v>
      </c>
      <c r="I537" s="549" t="s">
        <v>976</v>
      </c>
      <c r="J537" s="549" t="s">
        <v>976</v>
      </c>
      <c r="L537" s="549">
        <v>1444767.4</v>
      </c>
      <c r="M537" s="549">
        <v>109079.94</v>
      </c>
      <c r="N537" s="549">
        <v>31929.360000000001</v>
      </c>
      <c r="P537" s="549">
        <v>100</v>
      </c>
      <c r="Q537" s="549">
        <v>141009.29999999999</v>
      </c>
    </row>
    <row r="538" spans="1:17" x14ac:dyDescent="0.25">
      <c r="A538" s="549" t="s">
        <v>1094</v>
      </c>
      <c r="B538" s="549" t="s">
        <v>580</v>
      </c>
      <c r="C538" s="549" t="s">
        <v>709</v>
      </c>
      <c r="D538" s="549" t="s">
        <v>710</v>
      </c>
      <c r="E538" s="549" t="s">
        <v>973</v>
      </c>
      <c r="F538" s="549" t="s">
        <v>1160</v>
      </c>
      <c r="G538" s="549" t="s">
        <v>710</v>
      </c>
      <c r="H538" s="549" t="s">
        <v>709</v>
      </c>
      <c r="I538" s="549" t="s">
        <v>976</v>
      </c>
      <c r="J538" s="549" t="s">
        <v>976</v>
      </c>
      <c r="L538" s="549">
        <v>1444767.4</v>
      </c>
      <c r="M538" s="549">
        <v>109079.94</v>
      </c>
      <c r="N538" s="549">
        <v>82929.649999999994</v>
      </c>
      <c r="P538" s="549">
        <v>0</v>
      </c>
      <c r="Q538" s="549">
        <v>0</v>
      </c>
    </row>
    <row r="539" spans="1:17" x14ac:dyDescent="0.25">
      <c r="A539" s="549" t="s">
        <v>1094</v>
      </c>
      <c r="B539" s="549" t="s">
        <v>580</v>
      </c>
      <c r="C539" s="549" t="s">
        <v>707</v>
      </c>
      <c r="D539" s="549" t="s">
        <v>708</v>
      </c>
      <c r="E539" s="549" t="s">
        <v>977</v>
      </c>
      <c r="F539" s="549" t="s">
        <v>1160</v>
      </c>
      <c r="G539" s="549" t="s">
        <v>708</v>
      </c>
      <c r="H539" s="549" t="s">
        <v>707</v>
      </c>
      <c r="I539" s="549" t="s">
        <v>1096</v>
      </c>
      <c r="J539" s="549" t="s">
        <v>1096</v>
      </c>
      <c r="L539" s="549">
        <v>0</v>
      </c>
      <c r="M539" s="549">
        <v>0</v>
      </c>
      <c r="N539" s="549">
        <v>0</v>
      </c>
      <c r="P539" s="549">
        <v>100</v>
      </c>
      <c r="Q539" s="549">
        <v>0</v>
      </c>
    </row>
    <row r="540" spans="1:17" x14ac:dyDescent="0.25">
      <c r="A540" s="549" t="s">
        <v>1094</v>
      </c>
      <c r="B540" s="549" t="s">
        <v>580</v>
      </c>
      <c r="C540" s="549" t="s">
        <v>707</v>
      </c>
      <c r="D540" s="549" t="s">
        <v>708</v>
      </c>
      <c r="E540" s="549" t="s">
        <v>973</v>
      </c>
      <c r="F540" s="549" t="s">
        <v>1160</v>
      </c>
      <c r="G540" s="549" t="s">
        <v>708</v>
      </c>
      <c r="H540" s="549" t="s">
        <v>707</v>
      </c>
      <c r="I540" s="549" t="s">
        <v>1096</v>
      </c>
      <c r="J540" s="549" t="s">
        <v>1096</v>
      </c>
      <c r="L540" s="549">
        <v>0</v>
      </c>
      <c r="M540" s="549">
        <v>0</v>
      </c>
      <c r="N540" s="549">
        <v>0</v>
      </c>
      <c r="P540" s="549">
        <v>0</v>
      </c>
      <c r="Q540" s="549">
        <v>0</v>
      </c>
    </row>
    <row r="541" spans="1:17" x14ac:dyDescent="0.25">
      <c r="A541" s="549" t="s">
        <v>1153</v>
      </c>
      <c r="B541" s="549" t="s">
        <v>585</v>
      </c>
      <c r="C541" s="549" t="s">
        <v>801</v>
      </c>
      <c r="D541" s="549" t="s">
        <v>802</v>
      </c>
      <c r="E541" s="549" t="s">
        <v>977</v>
      </c>
      <c r="F541" s="549" t="s">
        <v>1160</v>
      </c>
      <c r="G541" s="549" t="s">
        <v>802</v>
      </c>
      <c r="H541" s="549" t="s">
        <v>801</v>
      </c>
      <c r="I541" s="549" t="s">
        <v>976</v>
      </c>
      <c r="J541" s="549" t="s">
        <v>976</v>
      </c>
      <c r="L541" s="549">
        <v>1568787.15</v>
      </c>
      <c r="M541" s="549">
        <v>118443.43</v>
      </c>
      <c r="N541" s="549">
        <v>34670.199999999997</v>
      </c>
      <c r="P541" s="549">
        <v>79.91</v>
      </c>
      <c r="Q541" s="549">
        <v>122353.1</v>
      </c>
    </row>
    <row r="542" spans="1:17" x14ac:dyDescent="0.25">
      <c r="A542" s="549" t="s">
        <v>1153</v>
      </c>
      <c r="B542" s="549" t="s">
        <v>585</v>
      </c>
      <c r="C542" s="549" t="s">
        <v>799</v>
      </c>
      <c r="D542" s="549" t="s">
        <v>800</v>
      </c>
      <c r="E542" s="549" t="s">
        <v>977</v>
      </c>
      <c r="F542" s="549" t="s">
        <v>1160</v>
      </c>
      <c r="G542" s="549" t="s">
        <v>800</v>
      </c>
      <c r="H542" s="549" t="s">
        <v>799</v>
      </c>
      <c r="I542" s="549" t="s">
        <v>976</v>
      </c>
      <c r="J542" s="549" t="s">
        <v>976</v>
      </c>
      <c r="L542" s="549">
        <v>1613237.75</v>
      </c>
      <c r="M542" s="549">
        <v>121799.45</v>
      </c>
      <c r="N542" s="549">
        <v>35652.550000000003</v>
      </c>
      <c r="P542" s="549">
        <v>46.61</v>
      </c>
      <c r="Q542" s="549">
        <v>73388.38</v>
      </c>
    </row>
    <row r="543" spans="1:17" x14ac:dyDescent="0.25">
      <c r="A543" s="549" t="s">
        <v>1154</v>
      </c>
      <c r="B543" s="549" t="s">
        <v>1155</v>
      </c>
      <c r="C543" s="549" t="s">
        <v>537</v>
      </c>
      <c r="D543" s="549" t="s">
        <v>1156</v>
      </c>
      <c r="E543" s="549" t="s">
        <v>973</v>
      </c>
      <c r="F543" s="549" t="s">
        <v>1160</v>
      </c>
      <c r="G543" s="549" t="s">
        <v>1156</v>
      </c>
      <c r="H543" s="549" t="s">
        <v>537</v>
      </c>
      <c r="I543" s="549" t="s">
        <v>1096</v>
      </c>
      <c r="J543" s="549" t="s">
        <v>1096</v>
      </c>
      <c r="L543" s="549">
        <v>1020060.32</v>
      </c>
      <c r="M543" s="549">
        <v>0</v>
      </c>
      <c r="N543" s="549">
        <v>0</v>
      </c>
      <c r="P543" s="549">
        <v>98.19</v>
      </c>
      <c r="Q543" s="549">
        <v>0</v>
      </c>
    </row>
    <row r="544" spans="1:17" x14ac:dyDescent="0.25">
      <c r="A544" s="549" t="s">
        <v>1154</v>
      </c>
      <c r="B544" s="549" t="s">
        <v>1155</v>
      </c>
      <c r="C544" s="549" t="s">
        <v>537</v>
      </c>
      <c r="D544" s="549" t="s">
        <v>1156</v>
      </c>
      <c r="E544" s="549" t="s">
        <v>977</v>
      </c>
      <c r="F544" s="549" t="s">
        <v>1160</v>
      </c>
      <c r="G544" s="549" t="s">
        <v>1156</v>
      </c>
      <c r="H544" s="549" t="s">
        <v>537</v>
      </c>
      <c r="I544" s="549" t="s">
        <v>1096</v>
      </c>
      <c r="J544" s="549" t="s">
        <v>1096</v>
      </c>
      <c r="L544" s="549">
        <v>1020060.32</v>
      </c>
      <c r="M544" s="549">
        <v>0</v>
      </c>
      <c r="N544" s="549">
        <v>0</v>
      </c>
      <c r="P544" s="549">
        <v>1.81</v>
      </c>
      <c r="Q544" s="549">
        <v>0</v>
      </c>
    </row>
    <row r="545" spans="1:17" x14ac:dyDescent="0.25">
      <c r="A545" s="549" t="s">
        <v>1202</v>
      </c>
      <c r="B545" s="549" t="s">
        <v>1203</v>
      </c>
      <c r="C545" s="549" t="s">
        <v>843</v>
      </c>
      <c r="D545" s="549" t="s">
        <v>844</v>
      </c>
      <c r="E545" s="549" t="s">
        <v>977</v>
      </c>
      <c r="F545" s="549" t="s">
        <v>1160</v>
      </c>
      <c r="G545" s="549" t="s">
        <v>844</v>
      </c>
      <c r="H545" s="549" t="s">
        <v>843</v>
      </c>
      <c r="I545" s="549" t="s">
        <v>976</v>
      </c>
      <c r="J545" s="549" t="s">
        <v>976</v>
      </c>
      <c r="L545" s="549">
        <v>7974915.5499999998</v>
      </c>
      <c r="M545" s="549">
        <v>602106.12</v>
      </c>
      <c r="N545" s="549">
        <v>176245.63</v>
      </c>
      <c r="P545" s="549">
        <v>1.03</v>
      </c>
      <c r="Q545" s="549">
        <v>8017.02</v>
      </c>
    </row>
    <row r="546" spans="1:17" x14ac:dyDescent="0.25">
      <c r="A546" s="549" t="s">
        <v>1204</v>
      </c>
      <c r="B546" s="549" t="s">
        <v>1205</v>
      </c>
      <c r="C546" s="549" t="s">
        <v>228</v>
      </c>
      <c r="D546" s="549" t="s">
        <v>683</v>
      </c>
      <c r="E546" s="549" t="s">
        <v>973</v>
      </c>
      <c r="F546" s="549" t="s">
        <v>1160</v>
      </c>
      <c r="G546" s="549" t="s">
        <v>683</v>
      </c>
      <c r="H546" s="549" t="s">
        <v>228</v>
      </c>
      <c r="I546" s="549" t="s">
        <v>976</v>
      </c>
      <c r="J546" s="549" t="s">
        <v>976</v>
      </c>
      <c r="L546" s="549">
        <v>1896404.86</v>
      </c>
      <c r="M546" s="549">
        <v>143178.57</v>
      </c>
      <c r="N546" s="549">
        <v>108853.64</v>
      </c>
      <c r="P546" s="549">
        <v>21.8</v>
      </c>
      <c r="Q546" s="549">
        <v>54943.02</v>
      </c>
    </row>
    <row r="547" spans="1:17" x14ac:dyDescent="0.25">
      <c r="A547" s="549" t="s">
        <v>1204</v>
      </c>
      <c r="B547" s="549" t="s">
        <v>1205</v>
      </c>
      <c r="C547" s="549" t="s">
        <v>228</v>
      </c>
      <c r="D547" s="549" t="s">
        <v>683</v>
      </c>
      <c r="E547" s="549" t="s">
        <v>977</v>
      </c>
      <c r="F547" s="549" t="s">
        <v>1160</v>
      </c>
      <c r="G547" s="549" t="s">
        <v>683</v>
      </c>
      <c r="H547" s="549" t="s">
        <v>228</v>
      </c>
      <c r="I547" s="549" t="s">
        <v>976</v>
      </c>
      <c r="J547" s="549" t="s">
        <v>976</v>
      </c>
      <c r="L547" s="549">
        <v>1896404.86</v>
      </c>
      <c r="M547" s="549">
        <v>143178.57</v>
      </c>
      <c r="N547" s="549">
        <v>41910.550000000003</v>
      </c>
      <c r="P547" s="549">
        <v>30.76</v>
      </c>
      <c r="Q547" s="549">
        <v>56933.41</v>
      </c>
    </row>
    <row r="548" spans="1:17" x14ac:dyDescent="0.25">
      <c r="A548" s="549" t="s">
        <v>1097</v>
      </c>
      <c r="B548" s="549" t="s">
        <v>579</v>
      </c>
      <c r="C548" s="549" t="s">
        <v>705</v>
      </c>
      <c r="D548" s="549" t="s">
        <v>706</v>
      </c>
      <c r="E548" s="549" t="s">
        <v>977</v>
      </c>
      <c r="F548" s="549" t="s">
        <v>1160</v>
      </c>
      <c r="G548" s="549" t="s">
        <v>706</v>
      </c>
      <c r="H548" s="549" t="s">
        <v>705</v>
      </c>
      <c r="I548" s="549" t="s">
        <v>976</v>
      </c>
      <c r="J548" s="549" t="s">
        <v>976</v>
      </c>
      <c r="L548" s="549">
        <v>2133488.2799999998</v>
      </c>
      <c r="M548" s="549">
        <v>161078.37</v>
      </c>
      <c r="N548" s="549">
        <v>47150.09</v>
      </c>
      <c r="P548" s="549">
        <v>3.13</v>
      </c>
      <c r="Q548" s="549">
        <v>6517.55</v>
      </c>
    </row>
    <row r="549" spans="1:17" x14ac:dyDescent="0.25">
      <c r="A549" s="549" t="s">
        <v>1097</v>
      </c>
      <c r="B549" s="549" t="s">
        <v>579</v>
      </c>
      <c r="C549" s="549" t="s">
        <v>701</v>
      </c>
      <c r="D549" s="549" t="s">
        <v>702</v>
      </c>
      <c r="E549" s="549" t="s">
        <v>973</v>
      </c>
      <c r="F549" s="549" t="s">
        <v>1160</v>
      </c>
      <c r="G549" s="549" t="s">
        <v>702</v>
      </c>
      <c r="H549" s="549" t="s">
        <v>701</v>
      </c>
      <c r="I549" s="549" t="s">
        <v>976</v>
      </c>
      <c r="J549" s="549" t="s">
        <v>976</v>
      </c>
      <c r="L549" s="549">
        <v>1731787.15</v>
      </c>
      <c r="M549" s="549">
        <v>130749.93</v>
      </c>
      <c r="N549" s="549">
        <v>99404.58</v>
      </c>
      <c r="P549" s="549">
        <v>0</v>
      </c>
      <c r="Q549" s="549">
        <v>0</v>
      </c>
    </row>
    <row r="550" spans="1:17" x14ac:dyDescent="0.25">
      <c r="A550" s="549" t="s">
        <v>1097</v>
      </c>
      <c r="B550" s="549" t="s">
        <v>579</v>
      </c>
      <c r="C550" s="549" t="s">
        <v>701</v>
      </c>
      <c r="D550" s="549" t="s">
        <v>702</v>
      </c>
      <c r="E550" s="549" t="s">
        <v>977</v>
      </c>
      <c r="F550" s="549" t="s">
        <v>1160</v>
      </c>
      <c r="G550" s="549" t="s">
        <v>702</v>
      </c>
      <c r="H550" s="549" t="s">
        <v>701</v>
      </c>
      <c r="I550" s="549" t="s">
        <v>976</v>
      </c>
      <c r="J550" s="549" t="s">
        <v>976</v>
      </c>
      <c r="L550" s="549">
        <v>1731787.15</v>
      </c>
      <c r="M550" s="549">
        <v>130749.93</v>
      </c>
      <c r="N550" s="549">
        <v>38272.5</v>
      </c>
      <c r="P550" s="549">
        <v>100</v>
      </c>
      <c r="Q550" s="549">
        <v>169022.43</v>
      </c>
    </row>
    <row r="551" spans="1:17" x14ac:dyDescent="0.25">
      <c r="A551" s="549" t="s">
        <v>1097</v>
      </c>
      <c r="B551" s="549" t="s">
        <v>579</v>
      </c>
      <c r="C551" s="549" t="s">
        <v>701</v>
      </c>
      <c r="D551" s="549" t="s">
        <v>702</v>
      </c>
      <c r="E551" s="549" t="s">
        <v>977</v>
      </c>
      <c r="F551" s="549" t="s">
        <v>1160</v>
      </c>
      <c r="G551" s="549" t="s">
        <v>698</v>
      </c>
      <c r="H551" s="549" t="s">
        <v>697</v>
      </c>
      <c r="I551" s="549" t="s">
        <v>976</v>
      </c>
      <c r="J551" s="549" t="s">
        <v>976</v>
      </c>
      <c r="L551" s="549">
        <v>2368999.2200000002</v>
      </c>
      <c r="M551" s="549">
        <v>178859.44</v>
      </c>
      <c r="N551" s="549">
        <v>52354.879999999997</v>
      </c>
      <c r="P551" s="549">
        <v>5.89</v>
      </c>
      <c r="Q551" s="549">
        <v>13618.52</v>
      </c>
    </row>
    <row r="552" spans="1:17" x14ac:dyDescent="0.25">
      <c r="A552" s="549" t="s">
        <v>1097</v>
      </c>
      <c r="B552" s="549" t="s">
        <v>579</v>
      </c>
      <c r="C552" s="549" t="s">
        <v>701</v>
      </c>
      <c r="D552" s="549" t="s">
        <v>702</v>
      </c>
      <c r="E552" s="549" t="s">
        <v>977</v>
      </c>
      <c r="F552" s="549" t="s">
        <v>1160</v>
      </c>
      <c r="G552" s="549" t="s">
        <v>1166</v>
      </c>
      <c r="H552" s="549" t="s">
        <v>1167</v>
      </c>
      <c r="I552" s="549" t="s">
        <v>976</v>
      </c>
      <c r="J552" s="549" t="s">
        <v>976</v>
      </c>
      <c r="L552" s="549">
        <v>1498607.79</v>
      </c>
      <c r="M552" s="549">
        <v>113144.89</v>
      </c>
      <c r="N552" s="549">
        <v>33119.230000000003</v>
      </c>
      <c r="P552" s="549">
        <v>32.04</v>
      </c>
      <c r="Q552" s="549">
        <v>46863.02</v>
      </c>
    </row>
    <row r="553" spans="1:17" x14ac:dyDescent="0.25">
      <c r="A553" s="549" t="s">
        <v>1097</v>
      </c>
      <c r="B553" s="549" t="s">
        <v>579</v>
      </c>
      <c r="C553" s="549" t="s">
        <v>703</v>
      </c>
      <c r="D553" s="549" t="s">
        <v>704</v>
      </c>
      <c r="E553" s="549" t="s">
        <v>973</v>
      </c>
      <c r="F553" s="549" t="s">
        <v>1160</v>
      </c>
      <c r="G553" s="549" t="s">
        <v>704</v>
      </c>
      <c r="H553" s="549" t="s">
        <v>703</v>
      </c>
      <c r="I553" s="549" t="s">
        <v>976</v>
      </c>
      <c r="J553" s="549" t="s">
        <v>976</v>
      </c>
      <c r="L553" s="549">
        <v>0.01</v>
      </c>
      <c r="M553" s="549">
        <v>0</v>
      </c>
      <c r="N553" s="549">
        <v>0</v>
      </c>
      <c r="P553" s="549">
        <v>0</v>
      </c>
      <c r="Q553" s="549">
        <v>0</v>
      </c>
    </row>
    <row r="554" spans="1:17" x14ac:dyDescent="0.25">
      <c r="A554" s="549" t="s">
        <v>1097</v>
      </c>
      <c r="B554" s="549" t="s">
        <v>579</v>
      </c>
      <c r="C554" s="549" t="s">
        <v>703</v>
      </c>
      <c r="D554" s="549" t="s">
        <v>704</v>
      </c>
      <c r="E554" s="549" t="s">
        <v>977</v>
      </c>
      <c r="F554" s="549" t="s">
        <v>1160</v>
      </c>
      <c r="G554" s="549" t="s">
        <v>704</v>
      </c>
      <c r="H554" s="549" t="s">
        <v>703</v>
      </c>
      <c r="I554" s="549" t="s">
        <v>976</v>
      </c>
      <c r="J554" s="549" t="s">
        <v>976</v>
      </c>
      <c r="L554" s="549">
        <v>0.01</v>
      </c>
      <c r="M554" s="549">
        <v>0</v>
      </c>
      <c r="N554" s="549">
        <v>0</v>
      </c>
      <c r="P554" s="549">
        <v>100</v>
      </c>
      <c r="Q554" s="549">
        <v>0</v>
      </c>
    </row>
    <row r="555" spans="1:17" x14ac:dyDescent="0.25">
      <c r="A555" s="549" t="s">
        <v>1097</v>
      </c>
      <c r="B555" s="549" t="s">
        <v>579</v>
      </c>
      <c r="C555" s="549" t="s">
        <v>703</v>
      </c>
      <c r="D555" s="549" t="s">
        <v>704</v>
      </c>
      <c r="E555" s="549" t="s">
        <v>977</v>
      </c>
      <c r="F555" s="549" t="s">
        <v>1160</v>
      </c>
      <c r="G555" s="549" t="s">
        <v>698</v>
      </c>
      <c r="H555" s="549" t="s">
        <v>697</v>
      </c>
      <c r="I555" s="549" t="s">
        <v>976</v>
      </c>
      <c r="J555" s="549" t="s">
        <v>976</v>
      </c>
      <c r="L555" s="549">
        <v>2368999.2200000002</v>
      </c>
      <c r="M555" s="549">
        <v>178859.44</v>
      </c>
      <c r="N555" s="549">
        <v>52354.879999999997</v>
      </c>
      <c r="P555" s="549">
        <v>2.14</v>
      </c>
      <c r="Q555" s="549">
        <v>4947.99</v>
      </c>
    </row>
    <row r="556" spans="1:17" x14ac:dyDescent="0.25">
      <c r="A556" s="549" t="s">
        <v>1097</v>
      </c>
      <c r="B556" s="549" t="s">
        <v>579</v>
      </c>
      <c r="C556" s="549" t="s">
        <v>703</v>
      </c>
      <c r="D556" s="549" t="s">
        <v>704</v>
      </c>
      <c r="E556" s="549" t="s">
        <v>977</v>
      </c>
      <c r="F556" s="549" t="s">
        <v>1160</v>
      </c>
      <c r="G556" s="549" t="s">
        <v>1166</v>
      </c>
      <c r="H556" s="549" t="s">
        <v>1167</v>
      </c>
      <c r="I556" s="549" t="s">
        <v>976</v>
      </c>
      <c r="J556" s="549" t="s">
        <v>976</v>
      </c>
      <c r="L556" s="549">
        <v>1498607.79</v>
      </c>
      <c r="M556" s="549">
        <v>113144.89</v>
      </c>
      <c r="N556" s="549">
        <v>33119.230000000003</v>
      </c>
      <c r="P556" s="549">
        <v>11.63</v>
      </c>
      <c r="Q556" s="549">
        <v>17010.52</v>
      </c>
    </row>
    <row r="557" spans="1:17" x14ac:dyDescent="0.25">
      <c r="A557" s="549" t="s">
        <v>1097</v>
      </c>
      <c r="B557" s="549" t="s">
        <v>579</v>
      </c>
      <c r="C557" s="549" t="s">
        <v>699</v>
      </c>
      <c r="D557" s="549" t="s">
        <v>700</v>
      </c>
      <c r="E557" s="549" t="s">
        <v>977</v>
      </c>
      <c r="F557" s="549" t="s">
        <v>1160</v>
      </c>
      <c r="G557" s="549" t="s">
        <v>700</v>
      </c>
      <c r="H557" s="549" t="s">
        <v>699</v>
      </c>
      <c r="I557" s="549" t="s">
        <v>976</v>
      </c>
      <c r="J557" s="549" t="s">
        <v>976</v>
      </c>
      <c r="L557" s="549">
        <v>1431780.63</v>
      </c>
      <c r="M557" s="549">
        <v>108099.44</v>
      </c>
      <c r="N557" s="549">
        <v>31642.35</v>
      </c>
      <c r="P557" s="549">
        <v>65.09</v>
      </c>
      <c r="Q557" s="549">
        <v>90957.93</v>
      </c>
    </row>
    <row r="558" spans="1:17" x14ac:dyDescent="0.25">
      <c r="A558" s="549" t="s">
        <v>1097</v>
      </c>
      <c r="B558" s="549" t="s">
        <v>579</v>
      </c>
      <c r="C558" s="549" t="s">
        <v>697</v>
      </c>
      <c r="D558" s="549" t="s">
        <v>698</v>
      </c>
      <c r="E558" s="549" t="s">
        <v>977</v>
      </c>
      <c r="F558" s="549" t="s">
        <v>1160</v>
      </c>
      <c r="G558" s="549" t="s">
        <v>698</v>
      </c>
      <c r="H558" s="549" t="s">
        <v>697</v>
      </c>
      <c r="I558" s="549" t="s">
        <v>976</v>
      </c>
      <c r="J558" s="549" t="s">
        <v>976</v>
      </c>
      <c r="L558" s="549">
        <v>2368999.2200000002</v>
      </c>
      <c r="M558" s="549">
        <v>178859.44</v>
      </c>
      <c r="N558" s="549">
        <v>52354.879999999997</v>
      </c>
      <c r="P558" s="549">
        <v>36.85</v>
      </c>
      <c r="Q558" s="549">
        <v>85202.48</v>
      </c>
    </row>
    <row r="559" spans="1:17" x14ac:dyDescent="0.25">
      <c r="A559" s="549" t="s">
        <v>1099</v>
      </c>
      <c r="B559" s="549" t="s">
        <v>1100</v>
      </c>
      <c r="C559" s="549" t="s">
        <v>1101</v>
      </c>
      <c r="D559" s="549" t="s">
        <v>1102</v>
      </c>
      <c r="E559" s="549" t="s">
        <v>973</v>
      </c>
      <c r="F559" s="549" t="s">
        <v>1160</v>
      </c>
      <c r="G559" s="549" t="s">
        <v>1102</v>
      </c>
      <c r="H559" s="549" t="s">
        <v>1101</v>
      </c>
      <c r="I559" s="549" t="s">
        <v>976</v>
      </c>
      <c r="J559" s="549" t="s">
        <v>976</v>
      </c>
      <c r="L559" s="549">
        <v>0</v>
      </c>
      <c r="M559" s="549">
        <v>0</v>
      </c>
      <c r="N559" s="549">
        <v>0</v>
      </c>
      <c r="P559" s="549">
        <v>99.97</v>
      </c>
      <c r="Q559" s="549">
        <v>0</v>
      </c>
    </row>
    <row r="560" spans="1:17" x14ac:dyDescent="0.25">
      <c r="A560" s="549" t="s">
        <v>1099</v>
      </c>
      <c r="B560" s="549" t="s">
        <v>1100</v>
      </c>
      <c r="C560" s="549" t="s">
        <v>1101</v>
      </c>
      <c r="D560" s="549" t="s">
        <v>1102</v>
      </c>
      <c r="E560" s="549" t="s">
        <v>973</v>
      </c>
      <c r="F560" s="549" t="s">
        <v>1160</v>
      </c>
      <c r="G560" s="549" t="s">
        <v>755</v>
      </c>
      <c r="H560" s="549" t="s">
        <v>538</v>
      </c>
      <c r="I560" s="549" t="s">
        <v>976</v>
      </c>
      <c r="J560" s="549" t="s">
        <v>976</v>
      </c>
      <c r="L560" s="549">
        <v>2178842.81</v>
      </c>
      <c r="M560" s="549">
        <v>164502.63</v>
      </c>
      <c r="N560" s="549">
        <v>125065.58</v>
      </c>
      <c r="P560" s="549">
        <v>3.57</v>
      </c>
      <c r="Q560" s="549">
        <v>10337.59</v>
      </c>
    </row>
    <row r="561" spans="1:17" x14ac:dyDescent="0.25">
      <c r="A561" s="549" t="s">
        <v>1099</v>
      </c>
      <c r="B561" s="549" t="s">
        <v>1100</v>
      </c>
      <c r="C561" s="549" t="s">
        <v>1101</v>
      </c>
      <c r="D561" s="549" t="s">
        <v>1102</v>
      </c>
      <c r="E561" s="549" t="s">
        <v>977</v>
      </c>
      <c r="F561" s="549" t="s">
        <v>1160</v>
      </c>
      <c r="G561" s="549" t="s">
        <v>1102</v>
      </c>
      <c r="H561" s="549" t="s">
        <v>1101</v>
      </c>
      <c r="I561" s="549" t="s">
        <v>976</v>
      </c>
      <c r="J561" s="549" t="s">
        <v>976</v>
      </c>
      <c r="L561" s="549">
        <v>0</v>
      </c>
      <c r="M561" s="549">
        <v>0</v>
      </c>
      <c r="N561" s="549">
        <v>0</v>
      </c>
      <c r="P561" s="549">
        <v>0.03</v>
      </c>
      <c r="Q561" s="549">
        <v>0</v>
      </c>
    </row>
    <row r="562" spans="1:17" x14ac:dyDescent="0.25">
      <c r="A562" s="549" t="s">
        <v>1099</v>
      </c>
      <c r="B562" s="549" t="s">
        <v>1100</v>
      </c>
      <c r="C562" s="549" t="s">
        <v>1101</v>
      </c>
      <c r="D562" s="549" t="s">
        <v>1102</v>
      </c>
      <c r="E562" s="549" t="s">
        <v>977</v>
      </c>
      <c r="F562" s="549" t="s">
        <v>1160</v>
      </c>
      <c r="G562" s="549" t="s">
        <v>755</v>
      </c>
      <c r="H562" s="549" t="s">
        <v>538</v>
      </c>
      <c r="I562" s="549" t="s">
        <v>976</v>
      </c>
      <c r="J562" s="549" t="s">
        <v>976</v>
      </c>
      <c r="L562" s="549">
        <v>2178842.81</v>
      </c>
      <c r="M562" s="549">
        <v>164502.63</v>
      </c>
      <c r="N562" s="549">
        <v>48152.43</v>
      </c>
      <c r="P562" s="549">
        <v>0</v>
      </c>
      <c r="Q562" s="549">
        <v>0</v>
      </c>
    </row>
    <row r="563" spans="1:17" x14ac:dyDescent="0.25">
      <c r="A563" s="549" t="s">
        <v>1099</v>
      </c>
      <c r="B563" s="549" t="s">
        <v>1100</v>
      </c>
      <c r="C563" s="549" t="s">
        <v>516</v>
      </c>
      <c r="D563" s="549" t="s">
        <v>1103</v>
      </c>
      <c r="E563" s="549" t="s">
        <v>973</v>
      </c>
      <c r="F563" s="549" t="s">
        <v>1160</v>
      </c>
      <c r="G563" s="549" t="s">
        <v>683</v>
      </c>
      <c r="H563" s="549" t="s">
        <v>228</v>
      </c>
      <c r="I563" s="549" t="s">
        <v>976</v>
      </c>
      <c r="J563" s="549" t="s">
        <v>976</v>
      </c>
      <c r="L563" s="549">
        <v>1896404.86</v>
      </c>
      <c r="M563" s="549">
        <v>143178.57</v>
      </c>
      <c r="N563" s="549">
        <v>108853.64</v>
      </c>
      <c r="P563" s="549">
        <v>0</v>
      </c>
      <c r="Q563" s="549">
        <v>0</v>
      </c>
    </row>
    <row r="564" spans="1:17" x14ac:dyDescent="0.25">
      <c r="A564" s="549" t="s">
        <v>1099</v>
      </c>
      <c r="B564" s="549" t="s">
        <v>1100</v>
      </c>
      <c r="C564" s="549" t="s">
        <v>516</v>
      </c>
      <c r="D564" s="549" t="s">
        <v>1103</v>
      </c>
      <c r="E564" s="549" t="s">
        <v>973</v>
      </c>
      <c r="F564" s="549" t="s">
        <v>1160</v>
      </c>
      <c r="G564" s="549" t="s">
        <v>1103</v>
      </c>
      <c r="H564" s="549" t="s">
        <v>516</v>
      </c>
      <c r="I564" s="549" t="s">
        <v>1096</v>
      </c>
      <c r="J564" s="549" t="s">
        <v>1096</v>
      </c>
      <c r="L564" s="549">
        <v>1162868.76</v>
      </c>
      <c r="M564" s="549">
        <v>0</v>
      </c>
      <c r="N564" s="549">
        <v>0</v>
      </c>
      <c r="P564" s="549">
        <v>14.34</v>
      </c>
      <c r="Q564" s="549">
        <v>0</v>
      </c>
    </row>
    <row r="565" spans="1:17" x14ac:dyDescent="0.25">
      <c r="A565" s="549" t="s">
        <v>1099</v>
      </c>
      <c r="B565" s="549" t="s">
        <v>1100</v>
      </c>
      <c r="C565" s="549" t="s">
        <v>516</v>
      </c>
      <c r="D565" s="549" t="s">
        <v>1103</v>
      </c>
      <c r="E565" s="549" t="s">
        <v>977</v>
      </c>
      <c r="F565" s="549" t="s">
        <v>1160</v>
      </c>
      <c r="G565" s="549" t="s">
        <v>683</v>
      </c>
      <c r="H565" s="549" t="s">
        <v>228</v>
      </c>
      <c r="I565" s="549" t="s">
        <v>976</v>
      </c>
      <c r="J565" s="549" t="s">
        <v>976</v>
      </c>
      <c r="L565" s="549">
        <v>1896404.86</v>
      </c>
      <c r="M565" s="549">
        <v>143178.57</v>
      </c>
      <c r="N565" s="549">
        <v>41910.550000000003</v>
      </c>
      <c r="P565" s="549">
        <v>0</v>
      </c>
      <c r="Q565" s="549">
        <v>0</v>
      </c>
    </row>
    <row r="566" spans="1:17" x14ac:dyDescent="0.25">
      <c r="A566" s="549" t="s">
        <v>1099</v>
      </c>
      <c r="B566" s="549" t="s">
        <v>1100</v>
      </c>
      <c r="C566" s="549" t="s">
        <v>516</v>
      </c>
      <c r="D566" s="549" t="s">
        <v>1103</v>
      </c>
      <c r="E566" s="549" t="s">
        <v>977</v>
      </c>
      <c r="F566" s="549" t="s">
        <v>1160</v>
      </c>
      <c r="G566" s="549" t="s">
        <v>1103</v>
      </c>
      <c r="H566" s="549" t="s">
        <v>516</v>
      </c>
      <c r="I566" s="549" t="s">
        <v>1096</v>
      </c>
      <c r="J566" s="549" t="s">
        <v>1096</v>
      </c>
      <c r="L566" s="549">
        <v>1162868.76</v>
      </c>
      <c r="M566" s="549">
        <v>0</v>
      </c>
      <c r="N566" s="549">
        <v>0</v>
      </c>
      <c r="P566" s="549">
        <v>0</v>
      </c>
      <c r="Q566" s="549">
        <v>0</v>
      </c>
    </row>
    <row r="567" spans="1:17" x14ac:dyDescent="0.25">
      <c r="A567" s="549" t="s">
        <v>1105</v>
      </c>
      <c r="B567" s="549" t="s">
        <v>586</v>
      </c>
      <c r="C567" s="549" t="s">
        <v>809</v>
      </c>
      <c r="D567" s="549" t="s">
        <v>810</v>
      </c>
      <c r="E567" s="549" t="s">
        <v>973</v>
      </c>
      <c r="F567" s="549" t="s">
        <v>1160</v>
      </c>
      <c r="G567" s="549" t="s">
        <v>810</v>
      </c>
      <c r="H567" s="549" t="s">
        <v>809</v>
      </c>
      <c r="I567" s="549" t="s">
        <v>1161</v>
      </c>
      <c r="J567" s="549" t="s">
        <v>1161</v>
      </c>
      <c r="L567" s="549">
        <v>0.01</v>
      </c>
      <c r="M567" s="549">
        <v>0</v>
      </c>
      <c r="N567" s="549">
        <v>0</v>
      </c>
      <c r="P567" s="549">
        <v>4.67</v>
      </c>
      <c r="Q567" s="549">
        <v>0</v>
      </c>
    </row>
    <row r="568" spans="1:17" x14ac:dyDescent="0.25">
      <c r="A568" s="549" t="s">
        <v>1105</v>
      </c>
      <c r="B568" s="549" t="s">
        <v>586</v>
      </c>
      <c r="C568" s="549" t="s">
        <v>809</v>
      </c>
      <c r="D568" s="549" t="s">
        <v>810</v>
      </c>
      <c r="E568" s="549" t="s">
        <v>973</v>
      </c>
      <c r="F568" s="549" t="s">
        <v>1160</v>
      </c>
      <c r="G568" s="549" t="s">
        <v>713</v>
      </c>
      <c r="H568" s="549" t="s">
        <v>712</v>
      </c>
      <c r="I568" s="549" t="s">
        <v>976</v>
      </c>
      <c r="J568" s="549" t="s">
        <v>976</v>
      </c>
      <c r="L568" s="549">
        <v>1395656.08</v>
      </c>
      <c r="M568" s="549">
        <v>105372.03</v>
      </c>
      <c r="N568" s="549">
        <v>80110.66</v>
      </c>
      <c r="P568" s="549">
        <v>0.9</v>
      </c>
      <c r="Q568" s="549">
        <v>1669.34</v>
      </c>
    </row>
    <row r="569" spans="1:17" x14ac:dyDescent="0.25">
      <c r="A569" s="549" t="s">
        <v>1105</v>
      </c>
      <c r="B569" s="549" t="s">
        <v>586</v>
      </c>
      <c r="C569" s="549" t="s">
        <v>809</v>
      </c>
      <c r="D569" s="549" t="s">
        <v>810</v>
      </c>
      <c r="E569" s="549" t="s">
        <v>977</v>
      </c>
      <c r="F569" s="549" t="s">
        <v>1160</v>
      </c>
      <c r="G569" s="549" t="s">
        <v>810</v>
      </c>
      <c r="H569" s="549" t="s">
        <v>809</v>
      </c>
      <c r="I569" s="549" t="s">
        <v>1161</v>
      </c>
      <c r="J569" s="549" t="s">
        <v>1161</v>
      </c>
      <c r="L569" s="549">
        <v>0.01</v>
      </c>
      <c r="M569" s="549">
        <v>0</v>
      </c>
      <c r="N569" s="549">
        <v>0</v>
      </c>
      <c r="P569" s="549">
        <v>95.33</v>
      </c>
      <c r="Q569" s="549">
        <v>0</v>
      </c>
    </row>
    <row r="570" spans="1:17" x14ac:dyDescent="0.25">
      <c r="A570" s="549" t="s">
        <v>1105</v>
      </c>
      <c r="B570" s="549" t="s">
        <v>586</v>
      </c>
      <c r="C570" s="549" t="s">
        <v>809</v>
      </c>
      <c r="D570" s="549" t="s">
        <v>810</v>
      </c>
      <c r="E570" s="549" t="s">
        <v>977</v>
      </c>
      <c r="F570" s="549" t="s">
        <v>1160</v>
      </c>
      <c r="G570" s="549" t="s">
        <v>713</v>
      </c>
      <c r="H570" s="549" t="s">
        <v>712</v>
      </c>
      <c r="I570" s="549" t="s">
        <v>976</v>
      </c>
      <c r="J570" s="549" t="s">
        <v>976</v>
      </c>
      <c r="L570" s="549">
        <v>1395656.08</v>
      </c>
      <c r="M570" s="549">
        <v>105372.03</v>
      </c>
      <c r="N570" s="549">
        <v>30844</v>
      </c>
      <c r="P570" s="549">
        <v>18.440000000000001</v>
      </c>
      <c r="Q570" s="549">
        <v>25118.240000000002</v>
      </c>
    </row>
    <row r="571" spans="1:17" x14ac:dyDescent="0.25">
      <c r="A571" s="549" t="s">
        <v>1108</v>
      </c>
      <c r="B571" s="549" t="s">
        <v>1109</v>
      </c>
      <c r="C571" s="549" t="s">
        <v>770</v>
      </c>
      <c r="D571" s="549" t="s">
        <v>771</v>
      </c>
      <c r="E571" s="549" t="s">
        <v>973</v>
      </c>
      <c r="F571" s="549" t="s">
        <v>1160</v>
      </c>
      <c r="G571" s="549" t="s">
        <v>771</v>
      </c>
      <c r="H571" s="549" t="s">
        <v>770</v>
      </c>
      <c r="I571" s="549" t="s">
        <v>976</v>
      </c>
      <c r="J571" s="549" t="s">
        <v>976</v>
      </c>
      <c r="L571" s="549">
        <v>4523574.3600000003</v>
      </c>
      <c r="M571" s="549">
        <v>341529.86</v>
      </c>
      <c r="N571" s="549">
        <v>259653.17</v>
      </c>
      <c r="P571" s="549">
        <v>0.01</v>
      </c>
      <c r="Q571" s="549">
        <v>60.12</v>
      </c>
    </row>
    <row r="572" spans="1:17" x14ac:dyDescent="0.25">
      <c r="A572" s="549" t="s">
        <v>1108</v>
      </c>
      <c r="B572" s="549" t="s">
        <v>1109</v>
      </c>
      <c r="C572" s="549" t="s">
        <v>770</v>
      </c>
      <c r="D572" s="549" t="s">
        <v>771</v>
      </c>
      <c r="E572" s="549" t="s">
        <v>977</v>
      </c>
      <c r="F572" s="549" t="s">
        <v>1160</v>
      </c>
      <c r="G572" s="549" t="s">
        <v>771</v>
      </c>
      <c r="H572" s="549" t="s">
        <v>770</v>
      </c>
      <c r="I572" s="549" t="s">
        <v>976</v>
      </c>
      <c r="J572" s="549" t="s">
        <v>976</v>
      </c>
      <c r="L572" s="549">
        <v>4523574.3600000003</v>
      </c>
      <c r="M572" s="549">
        <v>341529.86</v>
      </c>
      <c r="N572" s="549">
        <v>99970.99</v>
      </c>
      <c r="P572" s="549">
        <v>11.03</v>
      </c>
      <c r="Q572" s="549">
        <v>48697.54</v>
      </c>
    </row>
    <row r="573" spans="1:17" x14ac:dyDescent="0.25">
      <c r="A573" s="549" t="s">
        <v>1108</v>
      </c>
      <c r="B573" s="549" t="s">
        <v>1109</v>
      </c>
      <c r="C573" s="549" t="s">
        <v>855</v>
      </c>
      <c r="D573" s="549" t="s">
        <v>856</v>
      </c>
      <c r="E573" s="549" t="s">
        <v>973</v>
      </c>
      <c r="F573" s="549" t="s">
        <v>1160</v>
      </c>
      <c r="G573" s="549" t="s">
        <v>856</v>
      </c>
      <c r="H573" s="549" t="s">
        <v>855</v>
      </c>
      <c r="I573" s="549" t="s">
        <v>976</v>
      </c>
      <c r="J573" s="549" t="s">
        <v>976</v>
      </c>
      <c r="L573" s="549">
        <v>2060111.91</v>
      </c>
      <c r="M573" s="549">
        <v>155538.45000000001</v>
      </c>
      <c r="N573" s="549">
        <v>118250.42</v>
      </c>
      <c r="P573" s="549">
        <v>0.86</v>
      </c>
      <c r="Q573" s="549">
        <v>2354.58</v>
      </c>
    </row>
    <row r="574" spans="1:17" x14ac:dyDescent="0.25">
      <c r="A574" s="549" t="s">
        <v>1108</v>
      </c>
      <c r="B574" s="549" t="s">
        <v>1109</v>
      </c>
      <c r="C574" s="549" t="s">
        <v>855</v>
      </c>
      <c r="D574" s="549" t="s">
        <v>856</v>
      </c>
      <c r="E574" s="549" t="s">
        <v>977</v>
      </c>
      <c r="F574" s="549" t="s">
        <v>1160</v>
      </c>
      <c r="G574" s="549" t="s">
        <v>856</v>
      </c>
      <c r="H574" s="549" t="s">
        <v>855</v>
      </c>
      <c r="I574" s="549" t="s">
        <v>976</v>
      </c>
      <c r="J574" s="549" t="s">
        <v>976</v>
      </c>
      <c r="L574" s="549">
        <v>2060111.91</v>
      </c>
      <c r="M574" s="549">
        <v>155538.45000000001</v>
      </c>
      <c r="N574" s="549">
        <v>45528.47</v>
      </c>
      <c r="P574" s="549">
        <v>12.53</v>
      </c>
      <c r="Q574" s="549">
        <v>25193.69</v>
      </c>
    </row>
    <row r="575" spans="1:17" x14ac:dyDescent="0.25">
      <c r="A575" s="549" t="s">
        <v>1108</v>
      </c>
      <c r="B575" s="549" t="s">
        <v>1109</v>
      </c>
      <c r="C575" s="549" t="s">
        <v>843</v>
      </c>
      <c r="D575" s="549" t="s">
        <v>844</v>
      </c>
      <c r="E575" s="549" t="s">
        <v>977</v>
      </c>
      <c r="F575" s="549" t="s">
        <v>1160</v>
      </c>
      <c r="G575" s="549" t="s">
        <v>844</v>
      </c>
      <c r="H575" s="549" t="s">
        <v>843</v>
      </c>
      <c r="I575" s="549" t="s">
        <v>976</v>
      </c>
      <c r="J575" s="549" t="s">
        <v>976</v>
      </c>
      <c r="L575" s="549">
        <v>7974915.5499999998</v>
      </c>
      <c r="M575" s="549">
        <v>602106.12</v>
      </c>
      <c r="N575" s="549">
        <v>176245.63</v>
      </c>
      <c r="P575" s="549">
        <v>11.56</v>
      </c>
      <c r="Q575" s="549">
        <v>89977.46</v>
      </c>
    </row>
    <row r="576" spans="1:17" x14ac:dyDescent="0.25">
      <c r="A576" s="549" t="s">
        <v>1108</v>
      </c>
      <c r="B576" s="549" t="s">
        <v>1109</v>
      </c>
      <c r="C576" s="549" t="s">
        <v>1047</v>
      </c>
      <c r="D576" s="549" t="s">
        <v>494</v>
      </c>
      <c r="E576" s="549" t="s">
        <v>973</v>
      </c>
      <c r="F576" s="549" t="s">
        <v>1160</v>
      </c>
      <c r="G576" s="549" t="s">
        <v>494</v>
      </c>
      <c r="H576" s="549" t="s">
        <v>1047</v>
      </c>
      <c r="I576" s="549" t="s">
        <v>976</v>
      </c>
      <c r="J576" s="549" t="s">
        <v>976</v>
      </c>
      <c r="L576" s="549">
        <v>1747389.22</v>
      </c>
      <c r="M576" s="549">
        <v>131927.89000000001</v>
      </c>
      <c r="N576" s="549">
        <v>100300.14</v>
      </c>
      <c r="P576" s="549">
        <v>1.97</v>
      </c>
      <c r="Q576" s="549">
        <v>4574.8900000000003</v>
      </c>
    </row>
    <row r="577" spans="1:17" x14ac:dyDescent="0.25">
      <c r="A577" s="549" t="s">
        <v>1108</v>
      </c>
      <c r="B577" s="549" t="s">
        <v>1109</v>
      </c>
      <c r="C577" s="549" t="s">
        <v>1047</v>
      </c>
      <c r="D577" s="549" t="s">
        <v>494</v>
      </c>
      <c r="E577" s="549" t="s">
        <v>977</v>
      </c>
      <c r="F577" s="549" t="s">
        <v>1160</v>
      </c>
      <c r="G577" s="549" t="s">
        <v>494</v>
      </c>
      <c r="H577" s="549" t="s">
        <v>1047</v>
      </c>
      <c r="I577" s="549" t="s">
        <v>976</v>
      </c>
      <c r="J577" s="549" t="s">
        <v>976</v>
      </c>
      <c r="L577" s="549">
        <v>1747389.22</v>
      </c>
      <c r="M577" s="549">
        <v>131927.89000000001</v>
      </c>
      <c r="N577" s="549">
        <v>38617.300000000003</v>
      </c>
      <c r="P577" s="549">
        <v>15.23</v>
      </c>
      <c r="Q577" s="549">
        <v>25974.03</v>
      </c>
    </row>
    <row r="578" spans="1:17" x14ac:dyDescent="0.25">
      <c r="A578" s="549" t="s">
        <v>1108</v>
      </c>
      <c r="B578" s="549" t="s">
        <v>1109</v>
      </c>
      <c r="C578" s="549" t="s">
        <v>1206</v>
      </c>
      <c r="D578" s="549" t="s">
        <v>1207</v>
      </c>
      <c r="E578" s="549" t="s">
        <v>973</v>
      </c>
      <c r="F578" s="549" t="s">
        <v>1160</v>
      </c>
      <c r="G578" s="549" t="s">
        <v>1207</v>
      </c>
      <c r="H578" s="549" t="s">
        <v>1206</v>
      </c>
      <c r="I578" s="549" t="s">
        <v>976</v>
      </c>
      <c r="J578" s="549" t="s">
        <v>976</v>
      </c>
      <c r="L578" s="549">
        <v>1585121.66</v>
      </c>
      <c r="M578" s="549">
        <v>119676.69</v>
      </c>
      <c r="N578" s="549">
        <v>90985.98</v>
      </c>
      <c r="P578" s="549">
        <v>10.210000000000001</v>
      </c>
      <c r="Q578" s="549">
        <v>21508.66</v>
      </c>
    </row>
    <row r="579" spans="1:17" x14ac:dyDescent="0.25">
      <c r="A579" s="549" t="s">
        <v>1108</v>
      </c>
      <c r="B579" s="549" t="s">
        <v>1109</v>
      </c>
      <c r="C579" s="549" t="s">
        <v>1206</v>
      </c>
      <c r="D579" s="549" t="s">
        <v>1207</v>
      </c>
      <c r="E579" s="549" t="s">
        <v>977</v>
      </c>
      <c r="F579" s="549" t="s">
        <v>1160</v>
      </c>
      <c r="G579" s="549" t="s">
        <v>1207</v>
      </c>
      <c r="H579" s="549" t="s">
        <v>1206</v>
      </c>
      <c r="I579" s="549" t="s">
        <v>976</v>
      </c>
      <c r="J579" s="549" t="s">
        <v>976</v>
      </c>
      <c r="L579" s="549">
        <v>1585121.66</v>
      </c>
      <c r="M579" s="549">
        <v>119676.69</v>
      </c>
      <c r="N579" s="549">
        <v>35031.19</v>
      </c>
      <c r="P579" s="549">
        <v>61.86</v>
      </c>
      <c r="Q579" s="549">
        <v>95702.29</v>
      </c>
    </row>
    <row r="580" spans="1:17" x14ac:dyDescent="0.25">
      <c r="A580" s="549" t="s">
        <v>1116</v>
      </c>
      <c r="B580" s="549" t="s">
        <v>589</v>
      </c>
      <c r="C580" s="549" t="s">
        <v>851</v>
      </c>
      <c r="D580" s="549" t="s">
        <v>852</v>
      </c>
      <c r="E580" s="549" t="s">
        <v>977</v>
      </c>
      <c r="F580" s="549" t="s">
        <v>1160</v>
      </c>
      <c r="G580" s="549" t="s">
        <v>852</v>
      </c>
      <c r="H580" s="549" t="s">
        <v>851</v>
      </c>
      <c r="I580" s="549" t="s">
        <v>976</v>
      </c>
      <c r="J580" s="549" t="s">
        <v>976</v>
      </c>
      <c r="L580" s="549">
        <v>1609025.96</v>
      </c>
      <c r="M580" s="549">
        <v>121481.46</v>
      </c>
      <c r="N580" s="549">
        <v>35559.47</v>
      </c>
      <c r="P580" s="549">
        <v>100</v>
      </c>
      <c r="Q580" s="549">
        <v>157040.93</v>
      </c>
    </row>
    <row r="581" spans="1:17" x14ac:dyDescent="0.25">
      <c r="A581" s="549" t="s">
        <v>1116</v>
      </c>
      <c r="B581" s="549" t="s">
        <v>589</v>
      </c>
      <c r="C581" s="549" t="s">
        <v>851</v>
      </c>
      <c r="D581" s="549" t="s">
        <v>852</v>
      </c>
      <c r="E581" s="549" t="s">
        <v>977</v>
      </c>
      <c r="F581" s="549" t="s">
        <v>1160</v>
      </c>
      <c r="G581" s="549" t="s">
        <v>856</v>
      </c>
      <c r="H581" s="549" t="s">
        <v>855</v>
      </c>
      <c r="I581" s="549" t="s">
        <v>976</v>
      </c>
      <c r="J581" s="549" t="s">
        <v>976</v>
      </c>
      <c r="L581" s="549">
        <v>2060111.91</v>
      </c>
      <c r="M581" s="549">
        <v>155538.45000000001</v>
      </c>
      <c r="N581" s="549">
        <v>45528.47</v>
      </c>
      <c r="P581" s="549">
        <v>0.57999999999999996</v>
      </c>
      <c r="Q581" s="549">
        <v>1166.19</v>
      </c>
    </row>
    <row r="582" spans="1:17" x14ac:dyDescent="0.25">
      <c r="A582" s="549" t="s">
        <v>1116</v>
      </c>
      <c r="B582" s="549" t="s">
        <v>589</v>
      </c>
      <c r="C582" s="549" t="s">
        <v>851</v>
      </c>
      <c r="D582" s="549" t="s">
        <v>852</v>
      </c>
      <c r="E582" s="549" t="s">
        <v>973</v>
      </c>
      <c r="F582" s="549" t="s">
        <v>1160</v>
      </c>
      <c r="G582" s="549" t="s">
        <v>852</v>
      </c>
      <c r="H582" s="549" t="s">
        <v>851</v>
      </c>
      <c r="I582" s="549" t="s">
        <v>976</v>
      </c>
      <c r="J582" s="549" t="s">
        <v>976</v>
      </c>
      <c r="L582" s="549">
        <v>1609025.96</v>
      </c>
      <c r="M582" s="549">
        <v>121481.46</v>
      </c>
      <c r="N582" s="549">
        <v>92358.09</v>
      </c>
      <c r="P582" s="549">
        <v>0</v>
      </c>
      <c r="Q582" s="549">
        <v>0</v>
      </c>
    </row>
    <row r="583" spans="1:17" x14ac:dyDescent="0.25">
      <c r="A583" s="549" t="s">
        <v>508</v>
      </c>
      <c r="B583" s="549" t="s">
        <v>1110</v>
      </c>
      <c r="C583" s="549" t="s">
        <v>1208</v>
      </c>
      <c r="D583" s="549" t="s">
        <v>1209</v>
      </c>
      <c r="E583" s="549" t="s">
        <v>973</v>
      </c>
      <c r="F583" s="549" t="s">
        <v>1160</v>
      </c>
      <c r="G583" s="549" t="s">
        <v>1209</v>
      </c>
      <c r="H583" s="549" t="s">
        <v>1208</v>
      </c>
      <c r="I583" s="549" t="s">
        <v>976</v>
      </c>
      <c r="J583" s="549" t="s">
        <v>976</v>
      </c>
      <c r="L583" s="549">
        <v>23081.99</v>
      </c>
      <c r="M583" s="549">
        <v>1742.69</v>
      </c>
      <c r="N583" s="549">
        <v>1324.91</v>
      </c>
      <c r="P583" s="549">
        <v>37.18</v>
      </c>
      <c r="Q583" s="549">
        <v>1140.53</v>
      </c>
    </row>
    <row r="584" spans="1:17" x14ac:dyDescent="0.25">
      <c r="A584" s="549" t="s">
        <v>508</v>
      </c>
      <c r="B584" s="549" t="s">
        <v>1110</v>
      </c>
      <c r="C584" s="549" t="s">
        <v>1208</v>
      </c>
      <c r="D584" s="549" t="s">
        <v>1209</v>
      </c>
      <c r="E584" s="549" t="s">
        <v>977</v>
      </c>
      <c r="F584" s="549" t="s">
        <v>1160</v>
      </c>
      <c r="G584" s="549" t="s">
        <v>1209</v>
      </c>
      <c r="H584" s="549" t="s">
        <v>1208</v>
      </c>
      <c r="I584" s="549" t="s">
        <v>976</v>
      </c>
      <c r="J584" s="549" t="s">
        <v>976</v>
      </c>
      <c r="L584" s="549">
        <v>23081.99</v>
      </c>
      <c r="M584" s="549">
        <v>1742.69</v>
      </c>
      <c r="N584" s="549">
        <v>510.11</v>
      </c>
      <c r="P584" s="549">
        <v>0.83</v>
      </c>
      <c r="Q584" s="549">
        <v>18.7</v>
      </c>
    </row>
    <row r="585" spans="1:17" x14ac:dyDescent="0.25">
      <c r="A585" s="549" t="s">
        <v>508</v>
      </c>
      <c r="B585" s="549" t="s">
        <v>1110</v>
      </c>
      <c r="C585" s="549" t="s">
        <v>1210</v>
      </c>
      <c r="D585" s="549" t="s">
        <v>1211</v>
      </c>
      <c r="E585" s="549" t="s">
        <v>973</v>
      </c>
      <c r="F585" s="549" t="s">
        <v>1160</v>
      </c>
      <c r="G585" s="549" t="s">
        <v>1211</v>
      </c>
      <c r="H585" s="549" t="s">
        <v>1210</v>
      </c>
      <c r="I585" s="549" t="s">
        <v>976</v>
      </c>
      <c r="J585" s="549" t="s">
        <v>976</v>
      </c>
      <c r="L585" s="549">
        <v>1142931.92</v>
      </c>
      <c r="M585" s="549">
        <v>86291.36</v>
      </c>
      <c r="N585" s="549">
        <v>65604.289999999994</v>
      </c>
      <c r="P585" s="549">
        <v>0</v>
      </c>
      <c r="Q585" s="549">
        <v>0</v>
      </c>
    </row>
    <row r="586" spans="1:17" x14ac:dyDescent="0.25">
      <c r="A586" s="549" t="s">
        <v>508</v>
      </c>
      <c r="B586" s="549" t="s">
        <v>1110</v>
      </c>
      <c r="C586" s="549" t="s">
        <v>1210</v>
      </c>
      <c r="D586" s="549" t="s">
        <v>1211</v>
      </c>
      <c r="E586" s="549" t="s">
        <v>977</v>
      </c>
      <c r="F586" s="549" t="s">
        <v>1160</v>
      </c>
      <c r="G586" s="549" t="s">
        <v>1211</v>
      </c>
      <c r="H586" s="549" t="s">
        <v>1210</v>
      </c>
      <c r="I586" s="549" t="s">
        <v>976</v>
      </c>
      <c r="J586" s="549" t="s">
        <v>976</v>
      </c>
      <c r="L586" s="549">
        <v>1142931.92</v>
      </c>
      <c r="M586" s="549">
        <v>86291.36</v>
      </c>
      <c r="N586" s="549">
        <v>25258.799999999999</v>
      </c>
      <c r="P586" s="549">
        <v>0</v>
      </c>
      <c r="Q586" s="549">
        <v>0</v>
      </c>
    </row>
    <row r="587" spans="1:17" x14ac:dyDescent="0.25">
      <c r="A587" s="549" t="s">
        <v>508</v>
      </c>
      <c r="B587" s="549" t="s">
        <v>1110</v>
      </c>
      <c r="C587" s="549" t="s">
        <v>512</v>
      </c>
      <c r="D587" s="549" t="s">
        <v>722</v>
      </c>
      <c r="E587" s="549" t="s">
        <v>973</v>
      </c>
      <c r="F587" s="549" t="s">
        <v>1160</v>
      </c>
      <c r="G587" s="549" t="s">
        <v>722</v>
      </c>
      <c r="H587" s="549" t="s">
        <v>512</v>
      </c>
      <c r="I587" s="549" t="s">
        <v>976</v>
      </c>
      <c r="J587" s="549" t="s">
        <v>976</v>
      </c>
      <c r="L587" s="549">
        <v>1281719.51</v>
      </c>
      <c r="M587" s="549">
        <v>96769.82</v>
      </c>
      <c r="N587" s="549">
        <v>73570.7</v>
      </c>
      <c r="P587" s="549">
        <v>7.46</v>
      </c>
      <c r="Q587" s="549">
        <v>12707.4</v>
      </c>
    </row>
    <row r="588" spans="1:17" x14ac:dyDescent="0.25">
      <c r="A588" s="549" t="s">
        <v>508</v>
      </c>
      <c r="B588" s="549" t="s">
        <v>1110</v>
      </c>
      <c r="C588" s="549" t="s">
        <v>512</v>
      </c>
      <c r="D588" s="549" t="s">
        <v>722</v>
      </c>
      <c r="E588" s="549" t="s">
        <v>977</v>
      </c>
      <c r="F588" s="549" t="s">
        <v>1160</v>
      </c>
      <c r="G588" s="549" t="s">
        <v>722</v>
      </c>
      <c r="H588" s="549" t="s">
        <v>512</v>
      </c>
      <c r="I588" s="549" t="s">
        <v>976</v>
      </c>
      <c r="J588" s="549" t="s">
        <v>976</v>
      </c>
      <c r="L588" s="549">
        <v>1281719.51</v>
      </c>
      <c r="M588" s="549">
        <v>96769.82</v>
      </c>
      <c r="N588" s="549">
        <v>28326</v>
      </c>
      <c r="P588" s="549">
        <v>0.02</v>
      </c>
      <c r="Q588" s="549">
        <v>25.02</v>
      </c>
    </row>
    <row r="589" spans="1:17" x14ac:dyDescent="0.25">
      <c r="A589" s="549" t="s">
        <v>508</v>
      </c>
      <c r="B589" s="549" t="s">
        <v>1110</v>
      </c>
      <c r="C589" s="549" t="s">
        <v>787</v>
      </c>
      <c r="D589" s="549" t="s">
        <v>788</v>
      </c>
      <c r="E589" s="549" t="s">
        <v>973</v>
      </c>
      <c r="F589" s="549" t="s">
        <v>1160</v>
      </c>
      <c r="G589" s="549" t="s">
        <v>788</v>
      </c>
      <c r="H589" s="549" t="s">
        <v>787</v>
      </c>
      <c r="I589" s="549" t="s">
        <v>976</v>
      </c>
      <c r="J589" s="549" t="s">
        <v>976</v>
      </c>
      <c r="L589" s="549">
        <v>1368585.25</v>
      </c>
      <c r="M589" s="549">
        <v>103328.19</v>
      </c>
      <c r="N589" s="549">
        <v>78556.789999999994</v>
      </c>
      <c r="P589" s="549">
        <v>0</v>
      </c>
      <c r="Q589" s="549">
        <v>0</v>
      </c>
    </row>
    <row r="590" spans="1:17" x14ac:dyDescent="0.25">
      <c r="A590" s="549" t="s">
        <v>508</v>
      </c>
      <c r="B590" s="549" t="s">
        <v>1110</v>
      </c>
      <c r="C590" s="549" t="s">
        <v>787</v>
      </c>
      <c r="D590" s="549" t="s">
        <v>788</v>
      </c>
      <c r="E590" s="549" t="s">
        <v>977</v>
      </c>
      <c r="F590" s="549" t="s">
        <v>1160</v>
      </c>
      <c r="G590" s="549" t="s">
        <v>788</v>
      </c>
      <c r="H590" s="549" t="s">
        <v>787</v>
      </c>
      <c r="I590" s="549" t="s">
        <v>976</v>
      </c>
      <c r="J590" s="549" t="s">
        <v>976</v>
      </c>
      <c r="L590" s="549">
        <v>1368585.25</v>
      </c>
      <c r="M590" s="549">
        <v>103328.19</v>
      </c>
      <c r="N590" s="549">
        <v>30245.73</v>
      </c>
      <c r="P590" s="549">
        <v>0</v>
      </c>
      <c r="Q590" s="549">
        <v>0</v>
      </c>
    </row>
    <row r="591" spans="1:17" x14ac:dyDescent="0.25">
      <c r="A591" s="549" t="s">
        <v>508</v>
      </c>
      <c r="B591" s="549" t="s">
        <v>1110</v>
      </c>
      <c r="C591" s="549" t="s">
        <v>516</v>
      </c>
      <c r="D591" s="549" t="s">
        <v>1103</v>
      </c>
      <c r="E591" s="549" t="s">
        <v>973</v>
      </c>
      <c r="F591" s="549" t="s">
        <v>1160</v>
      </c>
      <c r="G591" s="549" t="s">
        <v>683</v>
      </c>
      <c r="H591" s="549" t="s">
        <v>228</v>
      </c>
      <c r="I591" s="549" t="s">
        <v>976</v>
      </c>
      <c r="J591" s="549" t="s">
        <v>976</v>
      </c>
      <c r="L591" s="549">
        <v>1896404.86</v>
      </c>
      <c r="M591" s="549">
        <v>143178.57</v>
      </c>
      <c r="N591" s="549">
        <v>108853.64</v>
      </c>
      <c r="P591" s="549">
        <v>0</v>
      </c>
      <c r="Q591" s="549">
        <v>0</v>
      </c>
    </row>
    <row r="592" spans="1:17" x14ac:dyDescent="0.25">
      <c r="A592" s="549" t="s">
        <v>508</v>
      </c>
      <c r="B592" s="549" t="s">
        <v>1110</v>
      </c>
      <c r="C592" s="549" t="s">
        <v>516</v>
      </c>
      <c r="D592" s="549" t="s">
        <v>1103</v>
      </c>
      <c r="E592" s="549" t="s">
        <v>973</v>
      </c>
      <c r="F592" s="549" t="s">
        <v>1160</v>
      </c>
      <c r="G592" s="549" t="s">
        <v>1103</v>
      </c>
      <c r="H592" s="549" t="s">
        <v>516</v>
      </c>
      <c r="I592" s="549" t="s">
        <v>1096</v>
      </c>
      <c r="J592" s="549" t="s">
        <v>1096</v>
      </c>
      <c r="L592" s="549">
        <v>1162868.76</v>
      </c>
      <c r="M592" s="549">
        <v>0</v>
      </c>
      <c r="N592" s="549">
        <v>0</v>
      </c>
      <c r="P592" s="549">
        <v>85.66</v>
      </c>
      <c r="Q592" s="549">
        <v>0</v>
      </c>
    </row>
    <row r="593" spans="1:17" x14ac:dyDescent="0.25">
      <c r="A593" s="549" t="s">
        <v>508</v>
      </c>
      <c r="B593" s="549" t="s">
        <v>1110</v>
      </c>
      <c r="C593" s="549" t="s">
        <v>516</v>
      </c>
      <c r="D593" s="549" t="s">
        <v>1103</v>
      </c>
      <c r="E593" s="549" t="s">
        <v>977</v>
      </c>
      <c r="F593" s="549" t="s">
        <v>1160</v>
      </c>
      <c r="G593" s="549" t="s">
        <v>683</v>
      </c>
      <c r="H593" s="549" t="s">
        <v>228</v>
      </c>
      <c r="I593" s="549" t="s">
        <v>976</v>
      </c>
      <c r="J593" s="549" t="s">
        <v>976</v>
      </c>
      <c r="L593" s="549">
        <v>1896404.86</v>
      </c>
      <c r="M593" s="549">
        <v>143178.57</v>
      </c>
      <c r="N593" s="549">
        <v>41910.550000000003</v>
      </c>
      <c r="P593" s="549">
        <v>0</v>
      </c>
      <c r="Q593" s="549">
        <v>0</v>
      </c>
    </row>
    <row r="594" spans="1:17" x14ac:dyDescent="0.25">
      <c r="A594" s="549" t="s">
        <v>508</v>
      </c>
      <c r="B594" s="549" t="s">
        <v>1110</v>
      </c>
      <c r="C594" s="549" t="s">
        <v>516</v>
      </c>
      <c r="D594" s="549" t="s">
        <v>1103</v>
      </c>
      <c r="E594" s="549" t="s">
        <v>977</v>
      </c>
      <c r="F594" s="549" t="s">
        <v>1160</v>
      </c>
      <c r="G594" s="549" t="s">
        <v>1103</v>
      </c>
      <c r="H594" s="549" t="s">
        <v>516</v>
      </c>
      <c r="I594" s="549" t="s">
        <v>1096</v>
      </c>
      <c r="J594" s="549" t="s">
        <v>1096</v>
      </c>
      <c r="L594" s="549">
        <v>1162868.76</v>
      </c>
      <c r="M594" s="549">
        <v>0</v>
      </c>
      <c r="N594" s="549">
        <v>0</v>
      </c>
      <c r="P594" s="549">
        <v>0</v>
      </c>
      <c r="Q594" s="549">
        <v>0</v>
      </c>
    </row>
    <row r="595" spans="1:17" x14ac:dyDescent="0.25">
      <c r="A595" s="549" t="s">
        <v>508</v>
      </c>
      <c r="B595" s="549" t="s">
        <v>1110</v>
      </c>
      <c r="C595" s="549" t="s">
        <v>823</v>
      </c>
      <c r="D595" s="549" t="s">
        <v>824</v>
      </c>
      <c r="E595" s="549" t="s">
        <v>973</v>
      </c>
      <c r="F595" s="549" t="s">
        <v>1160</v>
      </c>
      <c r="G595" s="549" t="s">
        <v>824</v>
      </c>
      <c r="H595" s="549" t="s">
        <v>823</v>
      </c>
      <c r="I595" s="549" t="s">
        <v>976</v>
      </c>
      <c r="J595" s="549" t="s">
        <v>976</v>
      </c>
      <c r="L595" s="549">
        <v>1757360.02</v>
      </c>
      <c r="M595" s="549">
        <v>132680.68</v>
      </c>
      <c r="N595" s="549">
        <v>100872.47</v>
      </c>
      <c r="P595" s="549">
        <v>0</v>
      </c>
      <c r="Q595" s="549">
        <v>0</v>
      </c>
    </row>
    <row r="596" spans="1:17" x14ac:dyDescent="0.25">
      <c r="A596" s="549" t="s">
        <v>508</v>
      </c>
      <c r="B596" s="549" t="s">
        <v>1110</v>
      </c>
      <c r="C596" s="549" t="s">
        <v>823</v>
      </c>
      <c r="D596" s="549" t="s">
        <v>824</v>
      </c>
      <c r="E596" s="549" t="s">
        <v>977</v>
      </c>
      <c r="F596" s="549" t="s">
        <v>1160</v>
      </c>
      <c r="G596" s="549" t="s">
        <v>824</v>
      </c>
      <c r="H596" s="549" t="s">
        <v>823</v>
      </c>
      <c r="I596" s="549" t="s">
        <v>976</v>
      </c>
      <c r="J596" s="549" t="s">
        <v>976</v>
      </c>
      <c r="L596" s="549">
        <v>1757360.02</v>
      </c>
      <c r="M596" s="549">
        <v>132680.68</v>
      </c>
      <c r="N596" s="549">
        <v>38837.660000000003</v>
      </c>
      <c r="P596" s="549">
        <v>0</v>
      </c>
      <c r="Q596" s="549">
        <v>0</v>
      </c>
    </row>
    <row r="597" spans="1:17" x14ac:dyDescent="0.25">
      <c r="A597" s="549" t="s">
        <v>1116</v>
      </c>
      <c r="B597" s="549" t="s">
        <v>589</v>
      </c>
      <c r="C597" s="549" t="s">
        <v>849</v>
      </c>
      <c r="D597" s="549" t="s">
        <v>850</v>
      </c>
      <c r="E597" s="549" t="s">
        <v>977</v>
      </c>
      <c r="F597" s="549" t="s">
        <v>1160</v>
      </c>
      <c r="G597" s="549" t="s">
        <v>856</v>
      </c>
      <c r="H597" s="549" t="s">
        <v>855</v>
      </c>
      <c r="I597" s="549" t="s">
        <v>976</v>
      </c>
      <c r="J597" s="549" t="s">
        <v>976</v>
      </c>
      <c r="L597" s="549">
        <v>2060111.91</v>
      </c>
      <c r="M597" s="549">
        <v>155538.45000000001</v>
      </c>
      <c r="N597" s="549">
        <v>45528.47</v>
      </c>
      <c r="P597" s="549">
        <v>0.56999999999999995</v>
      </c>
      <c r="Q597" s="549">
        <v>1146.08</v>
      </c>
    </row>
    <row r="598" spans="1:17" x14ac:dyDescent="0.25">
      <c r="A598" s="549" t="s">
        <v>1116</v>
      </c>
      <c r="B598" s="549" t="s">
        <v>589</v>
      </c>
      <c r="C598" s="549" t="s">
        <v>849</v>
      </c>
      <c r="D598" s="549" t="s">
        <v>850</v>
      </c>
      <c r="E598" s="549" t="s">
        <v>977</v>
      </c>
      <c r="F598" s="549" t="s">
        <v>1160</v>
      </c>
      <c r="G598" s="549" t="s">
        <v>850</v>
      </c>
      <c r="H598" s="549" t="s">
        <v>849</v>
      </c>
      <c r="I598" s="549" t="s">
        <v>976</v>
      </c>
      <c r="J598" s="549" t="s">
        <v>976</v>
      </c>
      <c r="L598" s="549">
        <v>1667824.13</v>
      </c>
      <c r="M598" s="549">
        <v>125920.72</v>
      </c>
      <c r="N598" s="549">
        <v>36858.910000000003</v>
      </c>
      <c r="P598" s="549">
        <v>100</v>
      </c>
      <c r="Q598" s="549">
        <v>162779.63</v>
      </c>
    </row>
    <row r="599" spans="1:17" x14ac:dyDescent="0.25">
      <c r="A599" s="549" t="s">
        <v>1116</v>
      </c>
      <c r="B599" s="549" t="s">
        <v>589</v>
      </c>
      <c r="C599" s="549" t="s">
        <v>849</v>
      </c>
      <c r="D599" s="549" t="s">
        <v>850</v>
      </c>
      <c r="E599" s="549" t="s">
        <v>973</v>
      </c>
      <c r="F599" s="549" t="s">
        <v>1160</v>
      </c>
      <c r="G599" s="549" t="s">
        <v>850</v>
      </c>
      <c r="H599" s="549" t="s">
        <v>849</v>
      </c>
      <c r="I599" s="549" t="s">
        <v>976</v>
      </c>
      <c r="J599" s="549" t="s">
        <v>976</v>
      </c>
      <c r="L599" s="549">
        <v>1667824.13</v>
      </c>
      <c r="M599" s="549">
        <v>125920.72</v>
      </c>
      <c r="N599" s="549">
        <v>95733.11</v>
      </c>
      <c r="P599" s="549">
        <v>0</v>
      </c>
      <c r="Q599" s="549">
        <v>0</v>
      </c>
    </row>
    <row r="600" spans="1:17" x14ac:dyDescent="0.25">
      <c r="A600" s="549" t="s">
        <v>1111</v>
      </c>
      <c r="B600" s="549" t="s">
        <v>1112</v>
      </c>
      <c r="C600" s="549" t="s">
        <v>827</v>
      </c>
      <c r="D600" s="549" t="s">
        <v>828</v>
      </c>
      <c r="E600" s="549" t="s">
        <v>977</v>
      </c>
      <c r="F600" s="549" t="s">
        <v>1160</v>
      </c>
      <c r="G600" s="549" t="s">
        <v>828</v>
      </c>
      <c r="H600" s="549" t="s">
        <v>827</v>
      </c>
      <c r="I600" s="549" t="s">
        <v>976</v>
      </c>
      <c r="J600" s="549" t="s">
        <v>976</v>
      </c>
      <c r="L600" s="549">
        <v>3220365.04</v>
      </c>
      <c r="M600" s="549">
        <v>243137.56</v>
      </c>
      <c r="N600" s="549">
        <v>71170.070000000007</v>
      </c>
      <c r="P600" s="549">
        <v>31.45</v>
      </c>
      <c r="Q600" s="549">
        <v>98849.75</v>
      </c>
    </row>
    <row r="601" spans="1:17" x14ac:dyDescent="0.25">
      <c r="A601" s="549" t="s">
        <v>1111</v>
      </c>
      <c r="B601" s="549" t="s">
        <v>1112</v>
      </c>
      <c r="C601" s="549" t="s">
        <v>834</v>
      </c>
      <c r="D601" s="549" t="s">
        <v>835</v>
      </c>
      <c r="E601" s="549" t="s">
        <v>977</v>
      </c>
      <c r="F601" s="549" t="s">
        <v>1160</v>
      </c>
      <c r="G601" s="549" t="s">
        <v>835</v>
      </c>
      <c r="H601" s="549" t="s">
        <v>834</v>
      </c>
      <c r="I601" s="549" t="s">
        <v>976</v>
      </c>
      <c r="J601" s="549" t="s">
        <v>976</v>
      </c>
      <c r="L601" s="549">
        <v>3906541.92</v>
      </c>
      <c r="M601" s="549">
        <v>294943.90999999997</v>
      </c>
      <c r="N601" s="549">
        <v>86334.58</v>
      </c>
      <c r="P601" s="549">
        <v>29.05</v>
      </c>
      <c r="Q601" s="549">
        <v>110761.4</v>
      </c>
    </row>
    <row r="602" spans="1:17" x14ac:dyDescent="0.25">
      <c r="A602" s="549" t="s">
        <v>1111</v>
      </c>
      <c r="B602" s="549" t="s">
        <v>1112</v>
      </c>
      <c r="C602" s="549" t="s">
        <v>838</v>
      </c>
      <c r="D602" s="549" t="s">
        <v>839</v>
      </c>
      <c r="E602" s="549" t="s">
        <v>977</v>
      </c>
      <c r="F602" s="549" t="s">
        <v>1160</v>
      </c>
      <c r="G602" s="549" t="s">
        <v>839</v>
      </c>
      <c r="H602" s="549" t="s">
        <v>838</v>
      </c>
      <c r="I602" s="549" t="s">
        <v>976</v>
      </c>
      <c r="J602" s="549" t="s">
        <v>976</v>
      </c>
      <c r="L602" s="549">
        <v>2297245.92</v>
      </c>
      <c r="M602" s="549">
        <v>173442.07</v>
      </c>
      <c r="N602" s="549">
        <v>50769.13</v>
      </c>
      <c r="P602" s="549">
        <v>59.19</v>
      </c>
      <c r="Q602" s="549">
        <v>132710.60999999999</v>
      </c>
    </row>
    <row r="603" spans="1:17" x14ac:dyDescent="0.25">
      <c r="A603" s="549" t="s">
        <v>1111</v>
      </c>
      <c r="B603" s="549" t="s">
        <v>1112</v>
      </c>
      <c r="C603" s="549" t="s">
        <v>831</v>
      </c>
      <c r="D603" s="549" t="s">
        <v>832</v>
      </c>
      <c r="E603" s="549" t="s">
        <v>977</v>
      </c>
      <c r="F603" s="549" t="s">
        <v>1160</v>
      </c>
      <c r="G603" s="549" t="s">
        <v>832</v>
      </c>
      <c r="H603" s="549" t="s">
        <v>831</v>
      </c>
      <c r="I603" s="549" t="s">
        <v>976</v>
      </c>
      <c r="J603" s="549" t="s">
        <v>976</v>
      </c>
      <c r="L603" s="549">
        <v>2023596.34</v>
      </c>
      <c r="M603" s="549">
        <v>152781.51999999999</v>
      </c>
      <c r="N603" s="549">
        <v>44721.48</v>
      </c>
      <c r="P603" s="549">
        <v>75.5</v>
      </c>
      <c r="Q603" s="549">
        <v>149114.76</v>
      </c>
    </row>
    <row r="604" spans="1:17" x14ac:dyDescent="0.25">
      <c r="A604" s="549" t="s">
        <v>1111</v>
      </c>
      <c r="B604" s="549" t="s">
        <v>1112</v>
      </c>
      <c r="C604" s="549" t="s">
        <v>840</v>
      </c>
      <c r="D604" s="549" t="s">
        <v>841</v>
      </c>
      <c r="E604" s="549" t="s">
        <v>977</v>
      </c>
      <c r="F604" s="549" t="s">
        <v>1160</v>
      </c>
      <c r="G604" s="549" t="s">
        <v>841</v>
      </c>
      <c r="H604" s="549" t="s">
        <v>840</v>
      </c>
      <c r="I604" s="549" t="s">
        <v>976</v>
      </c>
      <c r="J604" s="549" t="s">
        <v>976</v>
      </c>
      <c r="L604" s="549">
        <v>2600358.88</v>
      </c>
      <c r="M604" s="549">
        <v>196327.1</v>
      </c>
      <c r="N604" s="549">
        <v>57467.93</v>
      </c>
      <c r="P604" s="549">
        <v>69.819999999999993</v>
      </c>
      <c r="Q604" s="549">
        <v>177199.69</v>
      </c>
    </row>
    <row r="605" spans="1:17" x14ac:dyDescent="0.25">
      <c r="A605" s="549" t="s">
        <v>1111</v>
      </c>
      <c r="B605" s="549" t="s">
        <v>1112</v>
      </c>
      <c r="C605" s="549" t="s">
        <v>833</v>
      </c>
      <c r="D605" s="549" t="s">
        <v>1130</v>
      </c>
      <c r="E605" s="549" t="s">
        <v>977</v>
      </c>
      <c r="F605" s="549" t="s">
        <v>1160</v>
      </c>
      <c r="G605" s="549" t="s">
        <v>1130</v>
      </c>
      <c r="H605" s="549" t="s">
        <v>833</v>
      </c>
      <c r="I605" s="549" t="s">
        <v>976</v>
      </c>
      <c r="J605" s="549" t="s">
        <v>976</v>
      </c>
      <c r="L605" s="549">
        <v>48706934.259999998</v>
      </c>
      <c r="M605" s="549">
        <v>3677373.54</v>
      </c>
      <c r="N605" s="549">
        <v>1076423.25</v>
      </c>
      <c r="P605" s="549">
        <v>5.7</v>
      </c>
      <c r="Q605" s="549">
        <v>270966.42</v>
      </c>
    </row>
    <row r="606" spans="1:17" x14ac:dyDescent="0.25">
      <c r="A606" s="549" t="s">
        <v>1111</v>
      </c>
      <c r="B606" s="549" t="s">
        <v>1112</v>
      </c>
      <c r="C606" s="549" t="s">
        <v>836</v>
      </c>
      <c r="D606" s="549" t="s">
        <v>837</v>
      </c>
      <c r="E606" s="549" t="s">
        <v>977</v>
      </c>
      <c r="F606" s="549" t="s">
        <v>1160</v>
      </c>
      <c r="G606" s="549" t="s">
        <v>837</v>
      </c>
      <c r="H606" s="549" t="s">
        <v>836</v>
      </c>
      <c r="I606" s="549" t="s">
        <v>976</v>
      </c>
      <c r="J606" s="549" t="s">
        <v>976</v>
      </c>
      <c r="L606" s="549">
        <v>6105777.04</v>
      </c>
      <c r="M606" s="549">
        <v>460986.17</v>
      </c>
      <c r="N606" s="549">
        <v>134937.67000000001</v>
      </c>
      <c r="P606" s="549">
        <v>63.58</v>
      </c>
      <c r="Q606" s="549">
        <v>378888.38</v>
      </c>
    </row>
    <row r="607" spans="1:17" x14ac:dyDescent="0.25">
      <c r="A607" s="549" t="s">
        <v>1111</v>
      </c>
      <c r="B607" s="549" t="s">
        <v>1112</v>
      </c>
      <c r="C607" s="549" t="s">
        <v>843</v>
      </c>
      <c r="D607" s="549" t="s">
        <v>844</v>
      </c>
      <c r="E607" s="549" t="s">
        <v>973</v>
      </c>
      <c r="F607" s="549" t="s">
        <v>1160</v>
      </c>
      <c r="G607" s="549" t="s">
        <v>844</v>
      </c>
      <c r="H607" s="549" t="s">
        <v>843</v>
      </c>
      <c r="I607" s="549" t="s">
        <v>976</v>
      </c>
      <c r="J607" s="549" t="s">
        <v>976</v>
      </c>
      <c r="L607" s="549">
        <v>7974915.5499999998</v>
      </c>
      <c r="M607" s="549">
        <v>602106.12</v>
      </c>
      <c r="N607" s="549">
        <v>457760.15</v>
      </c>
      <c r="P607" s="549">
        <v>0</v>
      </c>
      <c r="Q607" s="549">
        <v>0</v>
      </c>
    </row>
    <row r="608" spans="1:17" x14ac:dyDescent="0.25">
      <c r="A608" s="549" t="s">
        <v>1111</v>
      </c>
      <c r="B608" s="549" t="s">
        <v>1112</v>
      </c>
      <c r="C608" s="549" t="s">
        <v>843</v>
      </c>
      <c r="D608" s="549" t="s">
        <v>844</v>
      </c>
      <c r="E608" s="549" t="s">
        <v>977</v>
      </c>
      <c r="F608" s="549" t="s">
        <v>1160</v>
      </c>
      <c r="G608" s="549" t="s">
        <v>844</v>
      </c>
      <c r="H608" s="549" t="s">
        <v>843</v>
      </c>
      <c r="I608" s="549" t="s">
        <v>976</v>
      </c>
      <c r="J608" s="549" t="s">
        <v>976</v>
      </c>
      <c r="L608" s="549">
        <v>7974915.5499999998</v>
      </c>
      <c r="M608" s="549">
        <v>602106.12</v>
      </c>
      <c r="N608" s="549">
        <v>176245.63</v>
      </c>
      <c r="P608" s="549">
        <v>52.5</v>
      </c>
      <c r="Q608" s="549">
        <v>408634.67</v>
      </c>
    </row>
    <row r="609" spans="1:17" x14ac:dyDescent="0.25">
      <c r="A609" s="549" t="s">
        <v>1111</v>
      </c>
      <c r="B609" s="549" t="s">
        <v>1112</v>
      </c>
      <c r="C609" s="549" t="s">
        <v>847</v>
      </c>
      <c r="D609" s="549" t="s">
        <v>848</v>
      </c>
      <c r="E609" s="549" t="s">
        <v>977</v>
      </c>
      <c r="F609" s="549" t="s">
        <v>1160</v>
      </c>
      <c r="G609" s="549" t="s">
        <v>828</v>
      </c>
      <c r="H609" s="549" t="s">
        <v>827</v>
      </c>
      <c r="I609" s="549" t="s">
        <v>976</v>
      </c>
      <c r="J609" s="549" t="s">
        <v>976</v>
      </c>
      <c r="L609" s="549">
        <v>3220365.04</v>
      </c>
      <c r="M609" s="549">
        <v>243137.56</v>
      </c>
      <c r="N609" s="549">
        <v>71170.070000000007</v>
      </c>
      <c r="P609" s="549">
        <v>2.09</v>
      </c>
      <c r="Q609" s="549">
        <v>6569.03</v>
      </c>
    </row>
    <row r="610" spans="1:17" x14ac:dyDescent="0.25">
      <c r="A610" s="549" t="s">
        <v>1111</v>
      </c>
      <c r="B610" s="549" t="s">
        <v>1112</v>
      </c>
      <c r="C610" s="549" t="s">
        <v>845</v>
      </c>
      <c r="D610" s="549" t="s">
        <v>846</v>
      </c>
      <c r="E610" s="549" t="s">
        <v>973</v>
      </c>
      <c r="F610" s="549" t="s">
        <v>1160</v>
      </c>
      <c r="G610" s="549" t="s">
        <v>846</v>
      </c>
      <c r="H610" s="549" t="s">
        <v>845</v>
      </c>
      <c r="I610" s="549" t="s">
        <v>976</v>
      </c>
      <c r="J610" s="549" t="s">
        <v>976</v>
      </c>
      <c r="L610" s="549">
        <v>1655930.93</v>
      </c>
      <c r="M610" s="549">
        <v>125022.79</v>
      </c>
      <c r="N610" s="549">
        <v>95050.44</v>
      </c>
      <c r="P610" s="549">
        <v>0</v>
      </c>
      <c r="Q610" s="549">
        <v>0</v>
      </c>
    </row>
    <row r="611" spans="1:17" x14ac:dyDescent="0.25">
      <c r="A611" s="549" t="s">
        <v>1111</v>
      </c>
      <c r="B611" s="549" t="s">
        <v>1112</v>
      </c>
      <c r="C611" s="549" t="s">
        <v>845</v>
      </c>
      <c r="D611" s="549" t="s">
        <v>846</v>
      </c>
      <c r="E611" s="549" t="s">
        <v>977</v>
      </c>
      <c r="F611" s="549" t="s">
        <v>1160</v>
      </c>
      <c r="G611" s="549" t="s">
        <v>846</v>
      </c>
      <c r="H611" s="549" t="s">
        <v>845</v>
      </c>
      <c r="I611" s="549" t="s">
        <v>976</v>
      </c>
      <c r="J611" s="549" t="s">
        <v>976</v>
      </c>
      <c r="L611" s="549">
        <v>1655930.93</v>
      </c>
      <c r="M611" s="549">
        <v>125022.79</v>
      </c>
      <c r="N611" s="549">
        <v>36596.07</v>
      </c>
      <c r="P611" s="549">
        <v>100</v>
      </c>
      <c r="Q611" s="549">
        <v>161618.85999999999</v>
      </c>
    </row>
    <row r="612" spans="1:17" x14ac:dyDescent="0.25">
      <c r="A612" s="549" t="s">
        <v>1111</v>
      </c>
      <c r="B612" s="549" t="s">
        <v>1112</v>
      </c>
      <c r="C612" s="549" t="s">
        <v>39</v>
      </c>
      <c r="D612" s="549" t="s">
        <v>842</v>
      </c>
      <c r="E612" s="549" t="s">
        <v>977</v>
      </c>
      <c r="F612" s="549" t="s">
        <v>1160</v>
      </c>
      <c r="G612" s="549" t="s">
        <v>842</v>
      </c>
      <c r="H612" s="549" t="s">
        <v>39</v>
      </c>
      <c r="I612" s="549" t="s">
        <v>976</v>
      </c>
      <c r="J612" s="549" t="s">
        <v>976</v>
      </c>
      <c r="L612" s="549">
        <v>1450513.36</v>
      </c>
      <c r="M612" s="549">
        <v>109513.76</v>
      </c>
      <c r="N612" s="549">
        <v>32056.35</v>
      </c>
      <c r="P612" s="549">
        <v>72.290000000000006</v>
      </c>
      <c r="Q612" s="549">
        <v>102341.03</v>
      </c>
    </row>
    <row r="613" spans="1:17" x14ac:dyDescent="0.25">
      <c r="A613" s="549" t="s">
        <v>1111</v>
      </c>
      <c r="B613" s="549" t="s">
        <v>1112</v>
      </c>
      <c r="C613" s="549" t="s">
        <v>829</v>
      </c>
      <c r="D613" s="549" t="s">
        <v>830</v>
      </c>
      <c r="E613" s="549" t="s">
        <v>973</v>
      </c>
      <c r="F613" s="549" t="s">
        <v>1160</v>
      </c>
      <c r="G613" s="549" t="s">
        <v>830</v>
      </c>
      <c r="H613" s="549" t="s">
        <v>829</v>
      </c>
      <c r="I613" s="549" t="s">
        <v>976</v>
      </c>
      <c r="J613" s="549" t="s">
        <v>976</v>
      </c>
      <c r="L613" s="549">
        <v>4437746.05</v>
      </c>
      <c r="M613" s="549">
        <v>335049.83</v>
      </c>
      <c r="N613" s="549">
        <v>254726.62</v>
      </c>
      <c r="P613" s="549">
        <v>0</v>
      </c>
      <c r="Q613" s="549">
        <v>0</v>
      </c>
    </row>
    <row r="614" spans="1:17" x14ac:dyDescent="0.25">
      <c r="A614" s="549" t="s">
        <v>1111</v>
      </c>
      <c r="B614" s="549" t="s">
        <v>1112</v>
      </c>
      <c r="C614" s="549" t="s">
        <v>829</v>
      </c>
      <c r="D614" s="549" t="s">
        <v>830</v>
      </c>
      <c r="E614" s="549" t="s">
        <v>977</v>
      </c>
      <c r="F614" s="549" t="s">
        <v>1160</v>
      </c>
      <c r="G614" s="549" t="s">
        <v>830</v>
      </c>
      <c r="H614" s="549" t="s">
        <v>829</v>
      </c>
      <c r="I614" s="549" t="s">
        <v>976</v>
      </c>
      <c r="J614" s="549" t="s">
        <v>976</v>
      </c>
      <c r="L614" s="549">
        <v>4437746.05</v>
      </c>
      <c r="M614" s="549">
        <v>335049.83</v>
      </c>
      <c r="N614" s="549">
        <v>98074.19</v>
      </c>
      <c r="P614" s="549">
        <v>100</v>
      </c>
      <c r="Q614" s="549">
        <v>433124.02</v>
      </c>
    </row>
    <row r="615" spans="1:17" x14ac:dyDescent="0.25">
      <c r="A615" s="549" t="s">
        <v>1118</v>
      </c>
      <c r="B615" s="549" t="s">
        <v>1119</v>
      </c>
      <c r="C615" s="549" t="s">
        <v>869</v>
      </c>
      <c r="D615" s="549" t="s">
        <v>870</v>
      </c>
      <c r="E615" s="549" t="s">
        <v>973</v>
      </c>
      <c r="F615" s="549" t="s">
        <v>1160</v>
      </c>
      <c r="G615" s="549" t="s">
        <v>870</v>
      </c>
      <c r="H615" s="549" t="s">
        <v>869</v>
      </c>
      <c r="I615" s="549" t="s">
        <v>976</v>
      </c>
      <c r="J615" s="549" t="s">
        <v>976</v>
      </c>
      <c r="L615" s="549">
        <v>2329503.08</v>
      </c>
      <c r="M615" s="549">
        <v>175877.48</v>
      </c>
      <c r="N615" s="549">
        <v>133713.48000000001</v>
      </c>
      <c r="P615" s="549">
        <v>0</v>
      </c>
      <c r="Q615" s="549">
        <v>0</v>
      </c>
    </row>
    <row r="616" spans="1:17" x14ac:dyDescent="0.25">
      <c r="A616" s="549" t="s">
        <v>1118</v>
      </c>
      <c r="B616" s="549" t="s">
        <v>1119</v>
      </c>
      <c r="C616" s="549" t="s">
        <v>869</v>
      </c>
      <c r="D616" s="549" t="s">
        <v>870</v>
      </c>
      <c r="E616" s="549" t="s">
        <v>977</v>
      </c>
      <c r="F616" s="549" t="s">
        <v>1160</v>
      </c>
      <c r="G616" s="549" t="s">
        <v>870</v>
      </c>
      <c r="H616" s="549" t="s">
        <v>869</v>
      </c>
      <c r="I616" s="549" t="s">
        <v>976</v>
      </c>
      <c r="J616" s="549" t="s">
        <v>976</v>
      </c>
      <c r="L616" s="549">
        <v>2329503.08</v>
      </c>
      <c r="M616" s="549">
        <v>175877.48</v>
      </c>
      <c r="N616" s="549">
        <v>51482.02</v>
      </c>
      <c r="P616" s="549">
        <v>100</v>
      </c>
      <c r="Q616" s="549">
        <v>227359.5</v>
      </c>
    </row>
    <row r="617" spans="1:17" x14ac:dyDescent="0.25">
      <c r="A617" s="549" t="s">
        <v>1118</v>
      </c>
      <c r="B617" s="549" t="s">
        <v>1119</v>
      </c>
      <c r="C617" s="549" t="s">
        <v>869</v>
      </c>
      <c r="D617" s="549" t="s">
        <v>870</v>
      </c>
      <c r="E617" s="549" t="s">
        <v>977</v>
      </c>
      <c r="F617" s="549" t="s">
        <v>1160</v>
      </c>
      <c r="G617" s="549" t="s">
        <v>874</v>
      </c>
      <c r="H617" s="549" t="s">
        <v>873</v>
      </c>
      <c r="I617" s="549" t="s">
        <v>976</v>
      </c>
      <c r="J617" s="549" t="s">
        <v>976</v>
      </c>
      <c r="L617" s="549">
        <v>9346195.9199999999</v>
      </c>
      <c r="M617" s="549">
        <v>705637.79</v>
      </c>
      <c r="N617" s="549">
        <v>206550.93</v>
      </c>
      <c r="P617" s="549">
        <v>4.95</v>
      </c>
      <c r="Q617" s="549">
        <v>45153.34</v>
      </c>
    </row>
    <row r="618" spans="1:17" x14ac:dyDescent="0.25">
      <c r="A618" s="549" t="s">
        <v>1118</v>
      </c>
      <c r="B618" s="549" t="s">
        <v>1119</v>
      </c>
      <c r="C618" s="549" t="s">
        <v>875</v>
      </c>
      <c r="D618" s="549" t="s">
        <v>876</v>
      </c>
      <c r="E618" s="549" t="s">
        <v>973</v>
      </c>
      <c r="F618" s="549" t="s">
        <v>1160</v>
      </c>
      <c r="G618" s="549" t="s">
        <v>876</v>
      </c>
      <c r="H618" s="549" t="s">
        <v>875</v>
      </c>
      <c r="I618" s="549" t="s">
        <v>976</v>
      </c>
      <c r="J618" s="549" t="s">
        <v>976</v>
      </c>
      <c r="L618" s="549">
        <v>2128967.23</v>
      </c>
      <c r="M618" s="549">
        <v>160737.03</v>
      </c>
      <c r="N618" s="549">
        <v>122202.72</v>
      </c>
      <c r="P618" s="549">
        <v>0</v>
      </c>
      <c r="Q618" s="549">
        <v>0</v>
      </c>
    </row>
    <row r="619" spans="1:17" x14ac:dyDescent="0.25">
      <c r="A619" s="549" t="s">
        <v>1118</v>
      </c>
      <c r="B619" s="549" t="s">
        <v>1119</v>
      </c>
      <c r="C619" s="549" t="s">
        <v>875</v>
      </c>
      <c r="D619" s="549" t="s">
        <v>876</v>
      </c>
      <c r="E619" s="549" t="s">
        <v>977</v>
      </c>
      <c r="F619" s="549" t="s">
        <v>1160</v>
      </c>
      <c r="G619" s="549" t="s">
        <v>876</v>
      </c>
      <c r="H619" s="549" t="s">
        <v>875</v>
      </c>
      <c r="I619" s="549" t="s">
        <v>976</v>
      </c>
      <c r="J619" s="549" t="s">
        <v>976</v>
      </c>
      <c r="L619" s="549">
        <v>2128967.23</v>
      </c>
      <c r="M619" s="549">
        <v>160737.03</v>
      </c>
      <c r="N619" s="549">
        <v>47050.18</v>
      </c>
      <c r="P619" s="549">
        <v>100</v>
      </c>
      <c r="Q619" s="549">
        <v>207787.21</v>
      </c>
    </row>
    <row r="620" spans="1:17" x14ac:dyDescent="0.25">
      <c r="A620" s="549" t="s">
        <v>1118</v>
      </c>
      <c r="B620" s="549" t="s">
        <v>1119</v>
      </c>
      <c r="C620" s="549" t="s">
        <v>875</v>
      </c>
      <c r="D620" s="549" t="s">
        <v>876</v>
      </c>
      <c r="E620" s="549" t="s">
        <v>977</v>
      </c>
      <c r="F620" s="549" t="s">
        <v>1160</v>
      </c>
      <c r="G620" s="549" t="s">
        <v>866</v>
      </c>
      <c r="H620" s="549" t="s">
        <v>865</v>
      </c>
      <c r="I620" s="549" t="s">
        <v>976</v>
      </c>
      <c r="J620" s="549" t="s">
        <v>976</v>
      </c>
      <c r="L620" s="549">
        <v>17010611.469999999</v>
      </c>
      <c r="M620" s="549">
        <v>1284301.17</v>
      </c>
      <c r="N620" s="549">
        <v>375934.51</v>
      </c>
      <c r="P620" s="549">
        <v>2.94</v>
      </c>
      <c r="Q620" s="549">
        <v>48810.93</v>
      </c>
    </row>
    <row r="621" spans="1:17" x14ac:dyDescent="0.25">
      <c r="A621" s="549" t="s">
        <v>1118</v>
      </c>
      <c r="B621" s="549" t="s">
        <v>1119</v>
      </c>
      <c r="C621" s="549" t="s">
        <v>865</v>
      </c>
      <c r="D621" s="549" t="s">
        <v>866</v>
      </c>
      <c r="E621" s="549" t="s">
        <v>977</v>
      </c>
      <c r="F621" s="549" t="s">
        <v>1160</v>
      </c>
      <c r="G621" s="549" t="s">
        <v>866</v>
      </c>
      <c r="H621" s="549" t="s">
        <v>865</v>
      </c>
      <c r="I621" s="549" t="s">
        <v>976</v>
      </c>
      <c r="J621" s="549" t="s">
        <v>976</v>
      </c>
      <c r="L621" s="549">
        <v>17010611.469999999</v>
      </c>
      <c r="M621" s="549">
        <v>1284301.17</v>
      </c>
      <c r="N621" s="549">
        <v>375934.51</v>
      </c>
      <c r="P621" s="549">
        <v>13.57</v>
      </c>
      <c r="Q621" s="549">
        <v>225293.98</v>
      </c>
    </row>
    <row r="622" spans="1:17" x14ac:dyDescent="0.25">
      <c r="A622" s="549" t="s">
        <v>1118</v>
      </c>
      <c r="B622" s="549" t="s">
        <v>1119</v>
      </c>
      <c r="C622" s="549" t="s">
        <v>859</v>
      </c>
      <c r="D622" s="549" t="s">
        <v>860</v>
      </c>
      <c r="E622" s="549" t="s">
        <v>977</v>
      </c>
      <c r="F622" s="549" t="s">
        <v>1160</v>
      </c>
      <c r="G622" s="549" t="s">
        <v>874</v>
      </c>
      <c r="H622" s="549" t="s">
        <v>873</v>
      </c>
      <c r="I622" s="549" t="s">
        <v>976</v>
      </c>
      <c r="J622" s="549" t="s">
        <v>976</v>
      </c>
      <c r="L622" s="549">
        <v>9346195.9199999999</v>
      </c>
      <c r="M622" s="549">
        <v>705637.79</v>
      </c>
      <c r="N622" s="549">
        <v>206550.93</v>
      </c>
      <c r="P622" s="549">
        <v>31.89</v>
      </c>
      <c r="Q622" s="549">
        <v>290896.98</v>
      </c>
    </row>
    <row r="623" spans="1:17" x14ac:dyDescent="0.25">
      <c r="A623" s="549" t="s">
        <v>1118</v>
      </c>
      <c r="B623" s="549" t="s">
        <v>1119</v>
      </c>
      <c r="C623" s="549" t="s">
        <v>863</v>
      </c>
      <c r="D623" s="549" t="s">
        <v>864</v>
      </c>
      <c r="E623" s="549" t="s">
        <v>973</v>
      </c>
      <c r="F623" s="549" t="s">
        <v>1160</v>
      </c>
      <c r="G623" s="549" t="s">
        <v>864</v>
      </c>
      <c r="H623" s="549" t="s">
        <v>863</v>
      </c>
      <c r="I623" s="549" t="s">
        <v>976</v>
      </c>
      <c r="J623" s="549" t="s">
        <v>976</v>
      </c>
      <c r="L623" s="549">
        <v>2289663.0299999998</v>
      </c>
      <c r="M623" s="549">
        <v>172869.56</v>
      </c>
      <c r="N623" s="549">
        <v>131426.66</v>
      </c>
      <c r="P623" s="549">
        <v>0</v>
      </c>
      <c r="Q623" s="549">
        <v>0</v>
      </c>
    </row>
    <row r="624" spans="1:17" x14ac:dyDescent="0.25">
      <c r="A624" s="549" t="s">
        <v>1118</v>
      </c>
      <c r="B624" s="549" t="s">
        <v>1119</v>
      </c>
      <c r="C624" s="549" t="s">
        <v>863</v>
      </c>
      <c r="D624" s="549" t="s">
        <v>864</v>
      </c>
      <c r="E624" s="549" t="s">
        <v>977</v>
      </c>
      <c r="F624" s="549" t="s">
        <v>1160</v>
      </c>
      <c r="G624" s="549" t="s">
        <v>866</v>
      </c>
      <c r="H624" s="549" t="s">
        <v>865</v>
      </c>
      <c r="I624" s="549" t="s">
        <v>976</v>
      </c>
      <c r="J624" s="549" t="s">
        <v>976</v>
      </c>
      <c r="L624" s="549">
        <v>17010611.469999999</v>
      </c>
      <c r="M624" s="549">
        <v>1284301.17</v>
      </c>
      <c r="N624" s="549">
        <v>375934.51</v>
      </c>
      <c r="P624" s="549">
        <v>2.91</v>
      </c>
      <c r="Q624" s="549">
        <v>48312.86</v>
      </c>
    </row>
    <row r="625" spans="1:17" x14ac:dyDescent="0.25">
      <c r="A625" s="549" t="s">
        <v>1118</v>
      </c>
      <c r="B625" s="549" t="s">
        <v>1119</v>
      </c>
      <c r="C625" s="549" t="s">
        <v>863</v>
      </c>
      <c r="D625" s="549" t="s">
        <v>864</v>
      </c>
      <c r="E625" s="549" t="s">
        <v>977</v>
      </c>
      <c r="F625" s="549" t="s">
        <v>1160</v>
      </c>
      <c r="G625" s="549" t="s">
        <v>864</v>
      </c>
      <c r="H625" s="549" t="s">
        <v>863</v>
      </c>
      <c r="I625" s="549" t="s">
        <v>976</v>
      </c>
      <c r="J625" s="549" t="s">
        <v>976</v>
      </c>
      <c r="L625" s="549">
        <v>2289663.0299999998</v>
      </c>
      <c r="M625" s="549">
        <v>172869.56</v>
      </c>
      <c r="N625" s="549">
        <v>50601.55</v>
      </c>
      <c r="P625" s="549">
        <v>100</v>
      </c>
      <c r="Q625" s="549">
        <v>223471.11</v>
      </c>
    </row>
    <row r="626" spans="1:17" x14ac:dyDescent="0.25">
      <c r="A626" s="549" t="s">
        <v>1118</v>
      </c>
      <c r="B626" s="549" t="s">
        <v>1119</v>
      </c>
      <c r="C626" s="549" t="s">
        <v>857</v>
      </c>
      <c r="D626" s="549" t="s">
        <v>858</v>
      </c>
      <c r="E626" s="549" t="s">
        <v>977</v>
      </c>
      <c r="F626" s="549" t="s">
        <v>1160</v>
      </c>
      <c r="G626" s="549" t="s">
        <v>858</v>
      </c>
      <c r="H626" s="549" t="s">
        <v>857</v>
      </c>
      <c r="I626" s="549" t="s">
        <v>976</v>
      </c>
      <c r="J626" s="549" t="s">
        <v>976</v>
      </c>
      <c r="L626" s="549">
        <v>0</v>
      </c>
      <c r="M626" s="549">
        <v>0</v>
      </c>
      <c r="N626" s="549">
        <v>0</v>
      </c>
      <c r="P626" s="549">
        <v>0</v>
      </c>
      <c r="Q626" s="549">
        <v>0</v>
      </c>
    </row>
    <row r="627" spans="1:17" x14ac:dyDescent="0.25">
      <c r="A627" s="549" t="s">
        <v>1118</v>
      </c>
      <c r="B627" s="549" t="s">
        <v>1119</v>
      </c>
      <c r="C627" s="549" t="s">
        <v>857</v>
      </c>
      <c r="D627" s="549" t="s">
        <v>858</v>
      </c>
      <c r="E627" s="549" t="s">
        <v>977</v>
      </c>
      <c r="F627" s="549" t="s">
        <v>1160</v>
      </c>
      <c r="G627" s="549" t="s">
        <v>872</v>
      </c>
      <c r="H627" s="549" t="s">
        <v>871</v>
      </c>
      <c r="I627" s="549" t="s">
        <v>976</v>
      </c>
      <c r="J627" s="549" t="s">
        <v>976</v>
      </c>
      <c r="L627" s="549">
        <v>1885948.71</v>
      </c>
      <c r="M627" s="549">
        <v>142389.13</v>
      </c>
      <c r="N627" s="549">
        <v>41679.47</v>
      </c>
      <c r="P627" s="549">
        <v>0</v>
      </c>
      <c r="Q627" s="549">
        <v>0</v>
      </c>
    </row>
    <row r="628" spans="1:17" x14ac:dyDescent="0.25">
      <c r="A628" s="549" t="s">
        <v>1118</v>
      </c>
      <c r="B628" s="549" t="s">
        <v>1119</v>
      </c>
      <c r="C628" s="549" t="s">
        <v>861</v>
      </c>
      <c r="D628" s="549" t="s">
        <v>862</v>
      </c>
      <c r="E628" s="549" t="s">
        <v>977</v>
      </c>
      <c r="F628" s="549" t="s">
        <v>1160</v>
      </c>
      <c r="G628" s="549" t="s">
        <v>862</v>
      </c>
      <c r="H628" s="549" t="s">
        <v>861</v>
      </c>
      <c r="I628" s="549" t="s">
        <v>976</v>
      </c>
      <c r="J628" s="549" t="s">
        <v>976</v>
      </c>
      <c r="L628" s="549">
        <v>1705652.33</v>
      </c>
      <c r="M628" s="549">
        <v>128776.75</v>
      </c>
      <c r="N628" s="549">
        <v>37694.92</v>
      </c>
      <c r="P628" s="549">
        <v>74.75</v>
      </c>
      <c r="Q628" s="549">
        <v>124437.57</v>
      </c>
    </row>
    <row r="629" spans="1:17" x14ac:dyDescent="0.25">
      <c r="A629" s="549" t="s">
        <v>1118</v>
      </c>
      <c r="B629" s="549" t="s">
        <v>1119</v>
      </c>
      <c r="C629" s="549" t="s">
        <v>871</v>
      </c>
      <c r="D629" s="549" t="s">
        <v>872</v>
      </c>
      <c r="E629" s="549" t="s">
        <v>977</v>
      </c>
      <c r="F629" s="549" t="s">
        <v>1160</v>
      </c>
      <c r="G629" s="549" t="s">
        <v>872</v>
      </c>
      <c r="H629" s="549" t="s">
        <v>871</v>
      </c>
      <c r="I629" s="549" t="s">
        <v>976</v>
      </c>
      <c r="J629" s="549" t="s">
        <v>976</v>
      </c>
      <c r="L629" s="549">
        <v>1885948.71</v>
      </c>
      <c r="M629" s="549">
        <v>142389.13</v>
      </c>
      <c r="N629" s="549">
        <v>41679.47</v>
      </c>
      <c r="P629" s="549">
        <v>61.28</v>
      </c>
      <c r="Q629" s="549">
        <v>112797.24</v>
      </c>
    </row>
    <row r="630" spans="1:17" x14ac:dyDescent="0.25">
      <c r="A630" s="549" t="s">
        <v>1118</v>
      </c>
      <c r="B630" s="549" t="s">
        <v>1119</v>
      </c>
      <c r="C630" s="549" t="s">
        <v>867</v>
      </c>
      <c r="D630" s="549" t="s">
        <v>868</v>
      </c>
      <c r="E630" s="549" t="s">
        <v>977</v>
      </c>
      <c r="F630" s="549" t="s">
        <v>1160</v>
      </c>
      <c r="G630" s="549" t="s">
        <v>868</v>
      </c>
      <c r="H630" s="549" t="s">
        <v>867</v>
      </c>
      <c r="I630" s="549" t="s">
        <v>976</v>
      </c>
      <c r="J630" s="549" t="s">
        <v>976</v>
      </c>
      <c r="L630" s="549">
        <v>1535034.83</v>
      </c>
      <c r="M630" s="549">
        <v>115895.13</v>
      </c>
      <c r="N630" s="549">
        <v>33924.269999999997</v>
      </c>
      <c r="P630" s="549">
        <v>70.64</v>
      </c>
      <c r="Q630" s="549">
        <v>105832.42</v>
      </c>
    </row>
    <row r="631" spans="1:17" x14ac:dyDescent="0.25">
      <c r="A631" s="549" t="s">
        <v>1118</v>
      </c>
      <c r="B631" s="549" t="s">
        <v>1119</v>
      </c>
      <c r="C631" s="549" t="s">
        <v>873</v>
      </c>
      <c r="D631" s="549" t="s">
        <v>874</v>
      </c>
      <c r="E631" s="549" t="s">
        <v>977</v>
      </c>
      <c r="F631" s="549" t="s">
        <v>1160</v>
      </c>
      <c r="G631" s="549" t="s">
        <v>874</v>
      </c>
      <c r="H631" s="549" t="s">
        <v>873</v>
      </c>
      <c r="I631" s="549" t="s">
        <v>976</v>
      </c>
      <c r="J631" s="549" t="s">
        <v>976</v>
      </c>
      <c r="L631" s="549">
        <v>9346195.9199999999</v>
      </c>
      <c r="M631" s="549">
        <v>705637.79</v>
      </c>
      <c r="N631" s="549">
        <v>206550.93</v>
      </c>
      <c r="P631" s="549">
        <v>4.6399999999999997</v>
      </c>
      <c r="Q631" s="549">
        <v>42325.56</v>
      </c>
    </row>
    <row r="632" spans="1:17" x14ac:dyDescent="0.25">
      <c r="A632" s="549" t="s">
        <v>971</v>
      </c>
      <c r="B632" s="549" t="s">
        <v>972</v>
      </c>
      <c r="C632" s="549" t="s">
        <v>641</v>
      </c>
      <c r="D632" s="549" t="s">
        <v>642</v>
      </c>
      <c r="E632" s="549" t="s">
        <v>973</v>
      </c>
      <c r="F632" s="549" t="s">
        <v>1212</v>
      </c>
      <c r="G632" s="549">
        <v>62</v>
      </c>
      <c r="H632" s="549" t="s">
        <v>641</v>
      </c>
      <c r="I632" s="549" t="s">
        <v>976</v>
      </c>
      <c r="J632" s="549" t="s">
        <v>976</v>
      </c>
      <c r="K632" s="549" t="s">
        <v>976</v>
      </c>
      <c r="L632" s="549">
        <v>344086.71</v>
      </c>
      <c r="M632" s="549">
        <v>25978.55</v>
      </c>
      <c r="N632" s="549">
        <v>19750.580000000002</v>
      </c>
      <c r="O632" s="549">
        <v>1984</v>
      </c>
      <c r="P632" s="549">
        <v>59.84</v>
      </c>
      <c r="Q632" s="549">
        <v>28551.54</v>
      </c>
    </row>
    <row r="633" spans="1:17" x14ac:dyDescent="0.25">
      <c r="A633" s="549" t="s">
        <v>971</v>
      </c>
      <c r="B633" s="549" t="s">
        <v>972</v>
      </c>
      <c r="C633" s="549" t="s">
        <v>641</v>
      </c>
      <c r="D633" s="549" t="s">
        <v>642</v>
      </c>
      <c r="E633" s="549" t="s">
        <v>973</v>
      </c>
      <c r="F633" s="549" t="s">
        <v>1212</v>
      </c>
      <c r="G633" s="549">
        <v>72</v>
      </c>
      <c r="H633" s="549" t="s">
        <v>641</v>
      </c>
      <c r="I633" s="549" t="s">
        <v>976</v>
      </c>
      <c r="J633" s="549" t="s">
        <v>976</v>
      </c>
      <c r="K633" s="549" t="s">
        <v>976</v>
      </c>
      <c r="L633" s="549">
        <v>504629.39</v>
      </c>
      <c r="M633" s="549">
        <v>38099.519999999997</v>
      </c>
      <c r="N633" s="549">
        <v>28965.73</v>
      </c>
      <c r="O633" s="549">
        <v>3968</v>
      </c>
      <c r="P633" s="549">
        <v>14.36</v>
      </c>
      <c r="Q633" s="549">
        <v>10200.370000000001</v>
      </c>
    </row>
    <row r="634" spans="1:17" x14ac:dyDescent="0.25">
      <c r="A634" s="549" t="s">
        <v>971</v>
      </c>
      <c r="B634" s="549" t="s">
        <v>972</v>
      </c>
      <c r="C634" s="549" t="s">
        <v>641</v>
      </c>
      <c r="D634" s="549" t="s">
        <v>642</v>
      </c>
      <c r="E634" s="549" t="s">
        <v>973</v>
      </c>
      <c r="F634" s="549" t="s">
        <v>1212</v>
      </c>
      <c r="G634" s="549">
        <v>2712</v>
      </c>
      <c r="H634" s="549" t="s">
        <v>641</v>
      </c>
      <c r="I634" s="549" t="s">
        <v>976</v>
      </c>
      <c r="J634" s="549" t="s">
        <v>976</v>
      </c>
      <c r="K634" s="549" t="s">
        <v>976</v>
      </c>
      <c r="L634" s="549">
        <v>77761.23</v>
      </c>
      <c r="M634" s="549">
        <v>5870.97</v>
      </c>
      <c r="N634" s="549">
        <v>4463.49</v>
      </c>
      <c r="O634" s="549">
        <v>992</v>
      </c>
      <c r="P634" s="549">
        <v>59.84</v>
      </c>
      <c r="Q634" s="549">
        <v>6777.75</v>
      </c>
    </row>
    <row r="635" spans="1:17" x14ac:dyDescent="0.25">
      <c r="A635" s="549" t="s">
        <v>971</v>
      </c>
      <c r="B635" s="549" t="s">
        <v>972</v>
      </c>
      <c r="C635" s="549" t="s">
        <v>641</v>
      </c>
      <c r="D635" s="549" t="s">
        <v>642</v>
      </c>
      <c r="E635" s="549" t="s">
        <v>973</v>
      </c>
      <c r="F635" s="549" t="s">
        <v>1212</v>
      </c>
      <c r="G635" s="549">
        <v>2722</v>
      </c>
      <c r="H635" s="549" t="s">
        <v>641</v>
      </c>
      <c r="I635" s="549" t="s">
        <v>976</v>
      </c>
      <c r="J635" s="549" t="s">
        <v>976</v>
      </c>
      <c r="K635" s="549" t="s">
        <v>976</v>
      </c>
      <c r="L635" s="549">
        <v>73527.31</v>
      </c>
      <c r="M635" s="549">
        <v>5551.31</v>
      </c>
      <c r="N635" s="549">
        <v>4220.47</v>
      </c>
      <c r="O635" s="549">
        <v>892.8</v>
      </c>
      <c r="P635" s="549">
        <v>59.84</v>
      </c>
      <c r="Q635" s="549">
        <v>6381.68</v>
      </c>
    </row>
    <row r="636" spans="1:17" x14ac:dyDescent="0.25">
      <c r="A636" s="549" t="s">
        <v>971</v>
      </c>
      <c r="B636" s="549" t="s">
        <v>972</v>
      </c>
      <c r="C636" s="549" t="s">
        <v>641</v>
      </c>
      <c r="D636" s="549" t="s">
        <v>642</v>
      </c>
      <c r="E636" s="549" t="s">
        <v>973</v>
      </c>
      <c r="F636" s="549" t="s">
        <v>1212</v>
      </c>
      <c r="G636" s="549">
        <v>2732</v>
      </c>
      <c r="H636" s="549" t="s">
        <v>641</v>
      </c>
      <c r="I636" s="549" t="s">
        <v>976</v>
      </c>
      <c r="J636" s="549" t="s">
        <v>976</v>
      </c>
      <c r="K636" s="549" t="s">
        <v>976</v>
      </c>
      <c r="L636" s="549">
        <v>73527.31</v>
      </c>
      <c r="M636" s="549">
        <v>5551.31</v>
      </c>
      <c r="N636" s="549">
        <v>4220.47</v>
      </c>
      <c r="O636" s="549">
        <v>892.8</v>
      </c>
      <c r="P636" s="549">
        <v>59.84</v>
      </c>
      <c r="Q636" s="549">
        <v>6381.68</v>
      </c>
    </row>
    <row r="637" spans="1:17" x14ac:dyDescent="0.25">
      <c r="A637" s="549" t="s">
        <v>971</v>
      </c>
      <c r="B637" s="549" t="s">
        <v>972</v>
      </c>
      <c r="C637" s="549" t="s">
        <v>641</v>
      </c>
      <c r="D637" s="549" t="s">
        <v>642</v>
      </c>
      <c r="E637" s="549" t="s">
        <v>973</v>
      </c>
      <c r="F637" s="549" t="s">
        <v>1212</v>
      </c>
      <c r="G637" s="549">
        <v>2742</v>
      </c>
      <c r="H637" s="549" t="s">
        <v>641</v>
      </c>
      <c r="I637" s="549" t="s">
        <v>976</v>
      </c>
      <c r="J637" s="549" t="s">
        <v>976</v>
      </c>
      <c r="K637" s="549" t="s">
        <v>976</v>
      </c>
      <c r="L637" s="549">
        <v>73527.31</v>
      </c>
      <c r="M637" s="549">
        <v>5551.31</v>
      </c>
      <c r="N637" s="549">
        <v>4220.47</v>
      </c>
      <c r="O637" s="549">
        <v>892.8</v>
      </c>
      <c r="P637" s="549">
        <v>59.84</v>
      </c>
      <c r="Q637" s="549">
        <v>6381.68</v>
      </c>
    </row>
    <row r="638" spans="1:17" x14ac:dyDescent="0.25">
      <c r="A638" s="549" t="s">
        <v>971</v>
      </c>
      <c r="B638" s="549" t="s">
        <v>972</v>
      </c>
      <c r="C638" s="549" t="s">
        <v>641</v>
      </c>
      <c r="D638" s="549" t="s">
        <v>642</v>
      </c>
      <c r="E638" s="549" t="s">
        <v>973</v>
      </c>
      <c r="F638" s="549" t="s">
        <v>1212</v>
      </c>
      <c r="G638" s="549" t="s">
        <v>1213</v>
      </c>
      <c r="H638" s="549" t="s">
        <v>641</v>
      </c>
      <c r="I638" s="549" t="s">
        <v>976</v>
      </c>
      <c r="J638" s="549" t="s">
        <v>976</v>
      </c>
      <c r="K638" s="549" t="s">
        <v>976</v>
      </c>
      <c r="L638" s="549">
        <v>31102.38</v>
      </c>
      <c r="M638" s="549">
        <v>2348.23</v>
      </c>
      <c r="N638" s="549">
        <v>1785.28</v>
      </c>
      <c r="O638" s="549">
        <v>0</v>
      </c>
      <c r="P638" s="549">
        <v>59.84</v>
      </c>
      <c r="Q638" s="549">
        <v>2473.4899999999998</v>
      </c>
    </row>
    <row r="639" spans="1:17" x14ac:dyDescent="0.25">
      <c r="A639" s="549" t="s">
        <v>971</v>
      </c>
      <c r="B639" s="549" t="s">
        <v>972</v>
      </c>
      <c r="C639" s="549" t="s">
        <v>641</v>
      </c>
      <c r="D639" s="549" t="s">
        <v>642</v>
      </c>
      <c r="E639" s="549" t="s">
        <v>973</v>
      </c>
      <c r="F639" s="549" t="s">
        <v>1212</v>
      </c>
      <c r="G639" s="549" t="s">
        <v>1214</v>
      </c>
      <c r="H639" s="549" t="s">
        <v>641</v>
      </c>
      <c r="I639" s="549" t="s">
        <v>976</v>
      </c>
      <c r="J639" s="549" t="s">
        <v>976</v>
      </c>
      <c r="K639" s="549" t="s">
        <v>976</v>
      </c>
      <c r="L639" s="549">
        <v>48805.45</v>
      </c>
      <c r="M639" s="549">
        <v>3684.81</v>
      </c>
      <c r="N639" s="549">
        <v>2801.43</v>
      </c>
      <c r="O639" s="549">
        <v>0</v>
      </c>
      <c r="P639" s="549">
        <v>59.84</v>
      </c>
      <c r="Q639" s="549">
        <v>3881.37</v>
      </c>
    </row>
    <row r="640" spans="1:17" x14ac:dyDescent="0.25">
      <c r="A640" s="549" t="s">
        <v>971</v>
      </c>
      <c r="B640" s="549" t="s">
        <v>972</v>
      </c>
      <c r="C640" s="549" t="s">
        <v>641</v>
      </c>
      <c r="D640" s="549" t="s">
        <v>642</v>
      </c>
      <c r="E640" s="549" t="s">
        <v>973</v>
      </c>
      <c r="F640" s="549" t="s">
        <v>1212</v>
      </c>
      <c r="G640" s="549">
        <v>132</v>
      </c>
      <c r="H640" s="549" t="s">
        <v>652</v>
      </c>
      <c r="I640" s="549" t="s">
        <v>976</v>
      </c>
      <c r="J640" s="549" t="s">
        <v>976</v>
      </c>
      <c r="K640" s="549" t="s">
        <v>976</v>
      </c>
      <c r="L640" s="549">
        <v>504629.39</v>
      </c>
      <c r="M640" s="549">
        <v>38099.519999999997</v>
      </c>
      <c r="N640" s="549">
        <v>28965.73</v>
      </c>
      <c r="O640" s="549">
        <v>4960</v>
      </c>
      <c r="P640" s="549">
        <v>14.36</v>
      </c>
      <c r="Q640" s="549">
        <v>10342.83</v>
      </c>
    </row>
    <row r="641" spans="1:17" x14ac:dyDescent="0.25">
      <c r="A641" s="549" t="s">
        <v>971</v>
      </c>
      <c r="B641" s="549" t="s">
        <v>972</v>
      </c>
      <c r="C641" s="549" t="s">
        <v>641</v>
      </c>
      <c r="D641" s="549" t="s">
        <v>642</v>
      </c>
      <c r="E641" s="549" t="s">
        <v>973</v>
      </c>
      <c r="F641" s="549" t="s">
        <v>1212</v>
      </c>
      <c r="G641" s="549" t="s">
        <v>1215</v>
      </c>
      <c r="H641" s="549" t="s">
        <v>652</v>
      </c>
      <c r="I641" s="549" t="s">
        <v>976</v>
      </c>
      <c r="J641" s="549" t="s">
        <v>976</v>
      </c>
      <c r="K641" s="549" t="s">
        <v>976</v>
      </c>
      <c r="L641" s="549">
        <v>48805.45</v>
      </c>
      <c r="M641" s="549">
        <v>3684.81</v>
      </c>
      <c r="N641" s="549">
        <v>2801.43</v>
      </c>
      <c r="O641" s="549">
        <v>0</v>
      </c>
      <c r="P641" s="549">
        <v>14.36</v>
      </c>
      <c r="Q641" s="549">
        <v>931.42</v>
      </c>
    </row>
    <row r="642" spans="1:17" x14ac:dyDescent="0.25">
      <c r="A642" s="549" t="s">
        <v>971</v>
      </c>
      <c r="B642" s="549" t="s">
        <v>972</v>
      </c>
      <c r="C642" s="549" t="s">
        <v>641</v>
      </c>
      <c r="D642" s="549" t="s">
        <v>642</v>
      </c>
      <c r="E642" s="549" t="s">
        <v>977</v>
      </c>
      <c r="F642" s="549" t="s">
        <v>1212</v>
      </c>
      <c r="G642" s="549">
        <v>62</v>
      </c>
      <c r="H642" s="549" t="s">
        <v>641</v>
      </c>
      <c r="I642" s="549" t="s">
        <v>976</v>
      </c>
      <c r="J642" s="549" t="s">
        <v>976</v>
      </c>
      <c r="K642" s="549" t="s">
        <v>976</v>
      </c>
      <c r="L642" s="549">
        <v>344086.71</v>
      </c>
      <c r="M642" s="549">
        <v>25978.55</v>
      </c>
      <c r="N642" s="549">
        <v>7604.32</v>
      </c>
      <c r="O642" s="549">
        <v>1984</v>
      </c>
      <c r="P642" s="549">
        <v>40.159999999999997</v>
      </c>
      <c r="Q642" s="549">
        <v>14283.65</v>
      </c>
    </row>
    <row r="643" spans="1:17" x14ac:dyDescent="0.25">
      <c r="A643" s="549" t="s">
        <v>971</v>
      </c>
      <c r="B643" s="549" t="s">
        <v>972</v>
      </c>
      <c r="C643" s="549" t="s">
        <v>641</v>
      </c>
      <c r="D643" s="549" t="s">
        <v>642</v>
      </c>
      <c r="E643" s="549" t="s">
        <v>977</v>
      </c>
      <c r="F643" s="549" t="s">
        <v>1212</v>
      </c>
      <c r="G643" s="549">
        <v>72</v>
      </c>
      <c r="H643" s="549" t="s">
        <v>641</v>
      </c>
      <c r="I643" s="549" t="s">
        <v>976</v>
      </c>
      <c r="J643" s="549" t="s">
        <v>976</v>
      </c>
      <c r="K643" s="549" t="s">
        <v>976</v>
      </c>
      <c r="L643" s="549">
        <v>504629.39</v>
      </c>
      <c r="M643" s="549">
        <v>38099.519999999997</v>
      </c>
      <c r="N643" s="549">
        <v>11152.31</v>
      </c>
      <c r="O643" s="549">
        <v>3968</v>
      </c>
      <c r="P643" s="549">
        <v>9.64</v>
      </c>
      <c r="Q643" s="549">
        <v>5130.3900000000003</v>
      </c>
    </row>
    <row r="644" spans="1:17" x14ac:dyDescent="0.25">
      <c r="A644" s="549" t="s">
        <v>971</v>
      </c>
      <c r="B644" s="549" t="s">
        <v>972</v>
      </c>
      <c r="C644" s="549" t="s">
        <v>641</v>
      </c>
      <c r="D644" s="549" t="s">
        <v>642</v>
      </c>
      <c r="E644" s="549" t="s">
        <v>977</v>
      </c>
      <c r="F644" s="549" t="s">
        <v>1212</v>
      </c>
      <c r="G644" s="549">
        <v>2712</v>
      </c>
      <c r="H644" s="549" t="s">
        <v>641</v>
      </c>
      <c r="I644" s="549" t="s">
        <v>976</v>
      </c>
      <c r="J644" s="549" t="s">
        <v>976</v>
      </c>
      <c r="K644" s="549" t="s">
        <v>976</v>
      </c>
      <c r="L644" s="549">
        <v>77761.23</v>
      </c>
      <c r="M644" s="549">
        <v>5870.97</v>
      </c>
      <c r="N644" s="549">
        <v>1718.52</v>
      </c>
      <c r="O644" s="549">
        <v>992</v>
      </c>
      <c r="P644" s="549">
        <v>40.159999999999997</v>
      </c>
      <c r="Q644" s="549">
        <v>3446.33</v>
      </c>
    </row>
    <row r="645" spans="1:17" x14ac:dyDescent="0.25">
      <c r="A645" s="549" t="s">
        <v>971</v>
      </c>
      <c r="B645" s="549" t="s">
        <v>972</v>
      </c>
      <c r="C645" s="549" t="s">
        <v>641</v>
      </c>
      <c r="D645" s="549" t="s">
        <v>642</v>
      </c>
      <c r="E645" s="549" t="s">
        <v>977</v>
      </c>
      <c r="F645" s="549" t="s">
        <v>1212</v>
      </c>
      <c r="G645" s="549">
        <v>2722</v>
      </c>
      <c r="H645" s="549" t="s">
        <v>641</v>
      </c>
      <c r="I645" s="549" t="s">
        <v>976</v>
      </c>
      <c r="J645" s="549" t="s">
        <v>976</v>
      </c>
      <c r="K645" s="549" t="s">
        <v>976</v>
      </c>
      <c r="L645" s="549">
        <v>73527.31</v>
      </c>
      <c r="M645" s="549">
        <v>5551.31</v>
      </c>
      <c r="N645" s="549">
        <v>1624.95</v>
      </c>
      <c r="O645" s="549">
        <v>892.8</v>
      </c>
      <c r="P645" s="549">
        <v>40.159999999999997</v>
      </c>
      <c r="Q645" s="549">
        <v>3240.53</v>
      </c>
    </row>
    <row r="646" spans="1:17" x14ac:dyDescent="0.25">
      <c r="A646" s="549" t="s">
        <v>971</v>
      </c>
      <c r="B646" s="549" t="s">
        <v>972</v>
      </c>
      <c r="C646" s="549" t="s">
        <v>641</v>
      </c>
      <c r="D646" s="549" t="s">
        <v>642</v>
      </c>
      <c r="E646" s="549" t="s">
        <v>977</v>
      </c>
      <c r="F646" s="549" t="s">
        <v>1212</v>
      </c>
      <c r="G646" s="549">
        <v>2732</v>
      </c>
      <c r="H646" s="549" t="s">
        <v>641</v>
      </c>
      <c r="I646" s="549" t="s">
        <v>976</v>
      </c>
      <c r="J646" s="549" t="s">
        <v>976</v>
      </c>
      <c r="K646" s="549" t="s">
        <v>976</v>
      </c>
      <c r="L646" s="549">
        <v>73527.31</v>
      </c>
      <c r="M646" s="549">
        <v>5551.31</v>
      </c>
      <c r="N646" s="549">
        <v>1624.95</v>
      </c>
      <c r="O646" s="549">
        <v>892.8</v>
      </c>
      <c r="P646" s="549">
        <v>40.159999999999997</v>
      </c>
      <c r="Q646" s="549">
        <v>3240.53</v>
      </c>
    </row>
    <row r="647" spans="1:17" x14ac:dyDescent="0.25">
      <c r="A647" s="549" t="s">
        <v>971</v>
      </c>
      <c r="B647" s="549" t="s">
        <v>972</v>
      </c>
      <c r="C647" s="549" t="s">
        <v>641</v>
      </c>
      <c r="D647" s="549" t="s">
        <v>642</v>
      </c>
      <c r="E647" s="549" t="s">
        <v>977</v>
      </c>
      <c r="F647" s="549" t="s">
        <v>1212</v>
      </c>
      <c r="G647" s="549">
        <v>2742</v>
      </c>
      <c r="H647" s="549" t="s">
        <v>641</v>
      </c>
      <c r="I647" s="549" t="s">
        <v>976</v>
      </c>
      <c r="J647" s="549" t="s">
        <v>976</v>
      </c>
      <c r="K647" s="549" t="s">
        <v>976</v>
      </c>
      <c r="L647" s="549">
        <v>73527.31</v>
      </c>
      <c r="M647" s="549">
        <v>5551.31</v>
      </c>
      <c r="N647" s="549">
        <v>1624.95</v>
      </c>
      <c r="O647" s="549">
        <v>892.8</v>
      </c>
      <c r="P647" s="549">
        <v>40.159999999999997</v>
      </c>
      <c r="Q647" s="549">
        <v>3240.53</v>
      </c>
    </row>
    <row r="648" spans="1:17" x14ac:dyDescent="0.25">
      <c r="A648" s="549" t="s">
        <v>971</v>
      </c>
      <c r="B648" s="549" t="s">
        <v>972</v>
      </c>
      <c r="C648" s="549" t="s">
        <v>641</v>
      </c>
      <c r="D648" s="549" t="s">
        <v>642</v>
      </c>
      <c r="E648" s="549" t="s">
        <v>977</v>
      </c>
      <c r="F648" s="549" t="s">
        <v>1212</v>
      </c>
      <c r="G648" s="549" t="s">
        <v>1213</v>
      </c>
      <c r="H648" s="549" t="s">
        <v>641</v>
      </c>
      <c r="I648" s="549" t="s">
        <v>976</v>
      </c>
      <c r="J648" s="549" t="s">
        <v>976</v>
      </c>
      <c r="K648" s="549" t="s">
        <v>976</v>
      </c>
      <c r="L648" s="549">
        <v>31102.38</v>
      </c>
      <c r="M648" s="549">
        <v>2348.23</v>
      </c>
      <c r="N648" s="549">
        <v>687.36</v>
      </c>
      <c r="O648" s="549">
        <v>0</v>
      </c>
      <c r="P648" s="549">
        <v>40.159999999999997</v>
      </c>
      <c r="Q648" s="549">
        <v>1219.0899999999999</v>
      </c>
    </row>
    <row r="649" spans="1:17" x14ac:dyDescent="0.25">
      <c r="A649" s="549" t="s">
        <v>971</v>
      </c>
      <c r="B649" s="549" t="s">
        <v>972</v>
      </c>
      <c r="C649" s="549" t="s">
        <v>641</v>
      </c>
      <c r="D649" s="549" t="s">
        <v>642</v>
      </c>
      <c r="E649" s="549" t="s">
        <v>977</v>
      </c>
      <c r="F649" s="549" t="s">
        <v>1212</v>
      </c>
      <c r="G649" s="549" t="s">
        <v>1214</v>
      </c>
      <c r="H649" s="549" t="s">
        <v>641</v>
      </c>
      <c r="I649" s="549" t="s">
        <v>976</v>
      </c>
      <c r="J649" s="549" t="s">
        <v>976</v>
      </c>
      <c r="K649" s="549" t="s">
        <v>976</v>
      </c>
      <c r="L649" s="549">
        <v>48805.45</v>
      </c>
      <c r="M649" s="549">
        <v>3684.81</v>
      </c>
      <c r="N649" s="549">
        <v>1078.5999999999999</v>
      </c>
      <c r="O649" s="549">
        <v>0</v>
      </c>
      <c r="P649" s="549">
        <v>40.159999999999997</v>
      </c>
      <c r="Q649" s="549">
        <v>1912.99</v>
      </c>
    </row>
    <row r="650" spans="1:17" x14ac:dyDescent="0.25">
      <c r="A650" s="549" t="s">
        <v>971</v>
      </c>
      <c r="B650" s="549" t="s">
        <v>972</v>
      </c>
      <c r="C650" s="549" t="s">
        <v>641</v>
      </c>
      <c r="D650" s="549" t="s">
        <v>642</v>
      </c>
      <c r="E650" s="549" t="s">
        <v>977</v>
      </c>
      <c r="F650" s="549" t="s">
        <v>1212</v>
      </c>
      <c r="G650" s="549">
        <v>132</v>
      </c>
      <c r="H650" s="549" t="s">
        <v>652</v>
      </c>
      <c r="I650" s="549" t="s">
        <v>976</v>
      </c>
      <c r="J650" s="549" t="s">
        <v>976</v>
      </c>
      <c r="K650" s="549" t="s">
        <v>976</v>
      </c>
      <c r="L650" s="549">
        <v>504629.39</v>
      </c>
      <c r="M650" s="549">
        <v>38099.519999999997</v>
      </c>
      <c r="N650" s="549">
        <v>11152.31</v>
      </c>
      <c r="O650" s="549">
        <v>4960</v>
      </c>
      <c r="P650" s="549">
        <v>9.64</v>
      </c>
      <c r="Q650" s="549">
        <v>5226.0200000000004</v>
      </c>
    </row>
    <row r="651" spans="1:17" x14ac:dyDescent="0.25">
      <c r="A651" s="549" t="s">
        <v>971</v>
      </c>
      <c r="B651" s="549" t="s">
        <v>972</v>
      </c>
      <c r="C651" s="549" t="s">
        <v>641</v>
      </c>
      <c r="D651" s="549" t="s">
        <v>642</v>
      </c>
      <c r="E651" s="549" t="s">
        <v>977</v>
      </c>
      <c r="F651" s="549" t="s">
        <v>1212</v>
      </c>
      <c r="G651" s="549" t="s">
        <v>1215</v>
      </c>
      <c r="H651" s="549" t="s">
        <v>652</v>
      </c>
      <c r="I651" s="549" t="s">
        <v>976</v>
      </c>
      <c r="J651" s="549" t="s">
        <v>976</v>
      </c>
      <c r="K651" s="549" t="s">
        <v>976</v>
      </c>
      <c r="L651" s="549">
        <v>48805.45</v>
      </c>
      <c r="M651" s="549">
        <v>3684.81</v>
      </c>
      <c r="N651" s="549">
        <v>1078.5999999999999</v>
      </c>
      <c r="O651" s="549">
        <v>0</v>
      </c>
      <c r="P651" s="549">
        <v>9.64</v>
      </c>
      <c r="Q651" s="549">
        <v>459.19</v>
      </c>
    </row>
    <row r="652" spans="1:17" x14ac:dyDescent="0.25">
      <c r="A652" s="549" t="s">
        <v>971</v>
      </c>
      <c r="B652" s="549" t="s">
        <v>972</v>
      </c>
      <c r="C652" s="549" t="s">
        <v>646</v>
      </c>
      <c r="D652" s="549" t="s">
        <v>647</v>
      </c>
      <c r="E652" s="549" t="s">
        <v>977</v>
      </c>
      <c r="F652" s="549" t="s">
        <v>1212</v>
      </c>
      <c r="G652" s="549" t="s">
        <v>1216</v>
      </c>
      <c r="H652" s="549" t="s">
        <v>646</v>
      </c>
      <c r="I652" s="549" t="s">
        <v>976</v>
      </c>
      <c r="J652" s="549" t="s">
        <v>976</v>
      </c>
      <c r="K652" s="549" t="s">
        <v>976</v>
      </c>
      <c r="L652" s="549">
        <v>31102.38</v>
      </c>
      <c r="M652" s="549">
        <v>2348.23</v>
      </c>
      <c r="N652" s="549">
        <v>687.36</v>
      </c>
      <c r="O652" s="549">
        <v>0</v>
      </c>
      <c r="P652" s="549">
        <v>100</v>
      </c>
      <c r="Q652" s="549">
        <v>3035.59</v>
      </c>
    </row>
    <row r="653" spans="1:17" x14ac:dyDescent="0.25">
      <c r="A653" s="549" t="s">
        <v>971</v>
      </c>
      <c r="B653" s="549" t="s">
        <v>972</v>
      </c>
      <c r="C653" s="549" t="s">
        <v>646</v>
      </c>
      <c r="D653" s="549" t="s">
        <v>647</v>
      </c>
      <c r="E653" s="549" t="s">
        <v>977</v>
      </c>
      <c r="F653" s="549" t="s">
        <v>1212</v>
      </c>
      <c r="G653" s="549" t="s">
        <v>1217</v>
      </c>
      <c r="H653" s="549" t="s">
        <v>646</v>
      </c>
      <c r="I653" s="549" t="s">
        <v>976</v>
      </c>
      <c r="J653" s="549" t="s">
        <v>976</v>
      </c>
      <c r="K653" s="549" t="s">
        <v>976</v>
      </c>
      <c r="L653" s="549">
        <v>31102.38</v>
      </c>
      <c r="M653" s="549">
        <v>2348.23</v>
      </c>
      <c r="N653" s="549">
        <v>687.36</v>
      </c>
      <c r="O653" s="549">
        <v>0</v>
      </c>
      <c r="P653" s="549">
        <v>100</v>
      </c>
      <c r="Q653" s="549">
        <v>3035.59</v>
      </c>
    </row>
    <row r="654" spans="1:17" x14ac:dyDescent="0.25">
      <c r="A654" s="549" t="s">
        <v>971</v>
      </c>
      <c r="B654" s="549" t="s">
        <v>972</v>
      </c>
      <c r="C654" s="549" t="s">
        <v>646</v>
      </c>
      <c r="D654" s="549" t="s">
        <v>647</v>
      </c>
      <c r="E654" s="549" t="s">
        <v>977</v>
      </c>
      <c r="F654" s="549" t="s">
        <v>1212</v>
      </c>
      <c r="G654" s="549" t="s">
        <v>1218</v>
      </c>
      <c r="H654" s="549" t="s">
        <v>646</v>
      </c>
      <c r="I654" s="549" t="s">
        <v>976</v>
      </c>
      <c r="J654" s="549" t="s">
        <v>976</v>
      </c>
      <c r="K654" s="549" t="s">
        <v>976</v>
      </c>
      <c r="L654" s="549">
        <v>194677.76000000001</v>
      </c>
      <c r="M654" s="549">
        <v>14698.17</v>
      </c>
      <c r="N654" s="549">
        <v>4302.38</v>
      </c>
      <c r="O654" s="549">
        <v>0</v>
      </c>
      <c r="P654" s="549">
        <v>100</v>
      </c>
      <c r="Q654" s="549">
        <v>19000.55</v>
      </c>
    </row>
    <row r="655" spans="1:17" x14ac:dyDescent="0.25">
      <c r="A655" s="549" t="s">
        <v>971</v>
      </c>
      <c r="B655" s="549" t="s">
        <v>972</v>
      </c>
      <c r="C655" s="549" t="s">
        <v>646</v>
      </c>
      <c r="D655" s="549" t="s">
        <v>647</v>
      </c>
      <c r="E655" s="549" t="s">
        <v>977</v>
      </c>
      <c r="F655" s="549" t="s">
        <v>1212</v>
      </c>
      <c r="G655" s="549" t="s">
        <v>1219</v>
      </c>
      <c r="H655" s="549" t="s">
        <v>646</v>
      </c>
      <c r="I655" s="549" t="s">
        <v>976</v>
      </c>
      <c r="J655" s="549" t="s">
        <v>976</v>
      </c>
      <c r="K655" s="549" t="s">
        <v>976</v>
      </c>
      <c r="L655" s="549">
        <v>194677.76000000001</v>
      </c>
      <c r="M655" s="549">
        <v>14698.17</v>
      </c>
      <c r="N655" s="549">
        <v>4302.38</v>
      </c>
      <c r="O655" s="549">
        <v>0</v>
      </c>
      <c r="P655" s="549">
        <v>100</v>
      </c>
      <c r="Q655" s="549">
        <v>19000.55</v>
      </c>
    </row>
    <row r="656" spans="1:17" x14ac:dyDescent="0.25">
      <c r="A656" s="549" t="s">
        <v>971</v>
      </c>
      <c r="B656" s="549" t="s">
        <v>972</v>
      </c>
      <c r="C656" s="549" t="s">
        <v>534</v>
      </c>
      <c r="D656" s="549" t="s">
        <v>645</v>
      </c>
      <c r="E656" s="549" t="s">
        <v>977</v>
      </c>
      <c r="F656" s="549" t="s">
        <v>1212</v>
      </c>
      <c r="G656" s="549">
        <v>42</v>
      </c>
      <c r="H656" s="549" t="s">
        <v>641</v>
      </c>
      <c r="I656" s="549" t="s">
        <v>976</v>
      </c>
      <c r="J656" s="549" t="s">
        <v>976</v>
      </c>
      <c r="K656" s="549" t="s">
        <v>976</v>
      </c>
      <c r="L656" s="549">
        <v>504629.39</v>
      </c>
      <c r="M656" s="549">
        <v>38099.519999999997</v>
      </c>
      <c r="N656" s="549">
        <v>11152.31</v>
      </c>
      <c r="O656" s="549">
        <v>3968</v>
      </c>
      <c r="P656" s="549">
        <v>13.09</v>
      </c>
      <c r="Q656" s="549">
        <v>6966.48</v>
      </c>
    </row>
    <row r="657" spans="1:17" x14ac:dyDescent="0.25">
      <c r="A657" s="549" t="s">
        <v>971</v>
      </c>
      <c r="B657" s="549" t="s">
        <v>972</v>
      </c>
      <c r="C657" s="549" t="s">
        <v>534</v>
      </c>
      <c r="D657" s="549" t="s">
        <v>645</v>
      </c>
      <c r="E657" s="549" t="s">
        <v>977</v>
      </c>
      <c r="F657" s="549" t="s">
        <v>1212</v>
      </c>
      <c r="G657" s="549">
        <v>72</v>
      </c>
      <c r="H657" s="549" t="s">
        <v>641</v>
      </c>
      <c r="I657" s="549" t="s">
        <v>976</v>
      </c>
      <c r="J657" s="549" t="s">
        <v>976</v>
      </c>
      <c r="K657" s="549" t="s">
        <v>976</v>
      </c>
      <c r="L657" s="549">
        <v>504629.39</v>
      </c>
      <c r="M657" s="549">
        <v>38099.519999999997</v>
      </c>
      <c r="N657" s="549">
        <v>11152.31</v>
      </c>
      <c r="O657" s="549">
        <v>3968</v>
      </c>
      <c r="P657" s="549">
        <v>9.9499999999999993</v>
      </c>
      <c r="Q657" s="549">
        <v>5295.37</v>
      </c>
    </row>
    <row r="658" spans="1:17" x14ac:dyDescent="0.25">
      <c r="A658" s="549" t="s">
        <v>971</v>
      </c>
      <c r="B658" s="549" t="s">
        <v>972</v>
      </c>
      <c r="C658" s="549" t="s">
        <v>534</v>
      </c>
      <c r="D658" s="549" t="s">
        <v>645</v>
      </c>
      <c r="E658" s="549" t="s">
        <v>977</v>
      </c>
      <c r="F658" s="549" t="s">
        <v>1212</v>
      </c>
      <c r="G658" s="549">
        <v>132</v>
      </c>
      <c r="H658" s="549" t="s">
        <v>652</v>
      </c>
      <c r="I658" s="549" t="s">
        <v>976</v>
      </c>
      <c r="J658" s="549" t="s">
        <v>976</v>
      </c>
      <c r="K658" s="549" t="s">
        <v>976</v>
      </c>
      <c r="L658" s="549">
        <v>504629.39</v>
      </c>
      <c r="M658" s="549">
        <v>38099.519999999997</v>
      </c>
      <c r="N658" s="549">
        <v>11152.31</v>
      </c>
      <c r="O658" s="549">
        <v>4960</v>
      </c>
      <c r="P658" s="549">
        <v>9.9499999999999993</v>
      </c>
      <c r="Q658" s="549">
        <v>5394.08</v>
      </c>
    </row>
    <row r="659" spans="1:17" x14ac:dyDescent="0.25">
      <c r="A659" s="549" t="s">
        <v>971</v>
      </c>
      <c r="B659" s="549" t="s">
        <v>972</v>
      </c>
      <c r="C659" s="549" t="s">
        <v>534</v>
      </c>
      <c r="D659" s="549" t="s">
        <v>645</v>
      </c>
      <c r="E659" s="549" t="s">
        <v>977</v>
      </c>
      <c r="F659" s="549" t="s">
        <v>1212</v>
      </c>
      <c r="G659" s="549" t="s">
        <v>1215</v>
      </c>
      <c r="H659" s="549" t="s">
        <v>652</v>
      </c>
      <c r="I659" s="549" t="s">
        <v>976</v>
      </c>
      <c r="J659" s="549" t="s">
        <v>976</v>
      </c>
      <c r="K659" s="549" t="s">
        <v>976</v>
      </c>
      <c r="L659" s="549">
        <v>48805.45</v>
      </c>
      <c r="M659" s="549">
        <v>3684.81</v>
      </c>
      <c r="N659" s="549">
        <v>1078.5999999999999</v>
      </c>
      <c r="O659" s="549">
        <v>0</v>
      </c>
      <c r="P659" s="549">
        <v>9.9499999999999993</v>
      </c>
      <c r="Q659" s="549">
        <v>473.96</v>
      </c>
    </row>
    <row r="660" spans="1:17" x14ac:dyDescent="0.25">
      <c r="A660" s="549" t="s">
        <v>971</v>
      </c>
      <c r="B660" s="549" t="s">
        <v>972</v>
      </c>
      <c r="C660" s="549" t="s">
        <v>534</v>
      </c>
      <c r="D660" s="549" t="s">
        <v>645</v>
      </c>
      <c r="E660" s="549" t="s">
        <v>977</v>
      </c>
      <c r="F660" s="549" t="s">
        <v>1212</v>
      </c>
      <c r="G660" s="549">
        <v>32</v>
      </c>
      <c r="H660" s="549" t="s">
        <v>534</v>
      </c>
      <c r="I660" s="549" t="s">
        <v>976</v>
      </c>
      <c r="J660" s="549" t="s">
        <v>976</v>
      </c>
      <c r="K660" s="549" t="s">
        <v>976</v>
      </c>
      <c r="L660" s="549">
        <v>49969.68</v>
      </c>
      <c r="M660" s="549">
        <v>3772.71</v>
      </c>
      <c r="N660" s="549">
        <v>1104.33</v>
      </c>
      <c r="O660" s="549">
        <v>992</v>
      </c>
      <c r="P660" s="549">
        <v>100</v>
      </c>
      <c r="Q660" s="549">
        <v>5869.04</v>
      </c>
    </row>
    <row r="661" spans="1:17" x14ac:dyDescent="0.25">
      <c r="A661" s="549" t="s">
        <v>971</v>
      </c>
      <c r="B661" s="549" t="s">
        <v>972</v>
      </c>
      <c r="C661" s="549" t="s">
        <v>534</v>
      </c>
      <c r="D661" s="549" t="s">
        <v>645</v>
      </c>
      <c r="E661" s="549" t="s">
        <v>977</v>
      </c>
      <c r="F661" s="549" t="s">
        <v>1212</v>
      </c>
      <c r="G661" s="549">
        <v>37</v>
      </c>
      <c r="H661" s="549" t="s">
        <v>534</v>
      </c>
      <c r="I661" s="549" t="s">
        <v>976</v>
      </c>
      <c r="J661" s="549" t="s">
        <v>976</v>
      </c>
      <c r="K661" s="549" t="s">
        <v>976</v>
      </c>
      <c r="L661" s="549">
        <v>52847.08</v>
      </c>
      <c r="M661" s="549">
        <v>3989.95</v>
      </c>
      <c r="N661" s="549">
        <v>1167.92</v>
      </c>
      <c r="O661" s="549">
        <v>992</v>
      </c>
      <c r="P661" s="549">
        <v>13.09</v>
      </c>
      <c r="Q661" s="549">
        <v>805.02</v>
      </c>
    </row>
    <row r="662" spans="1:17" x14ac:dyDescent="0.25">
      <c r="A662" s="549" t="s">
        <v>971</v>
      </c>
      <c r="B662" s="549" t="s">
        <v>972</v>
      </c>
      <c r="C662" s="549" t="s">
        <v>534</v>
      </c>
      <c r="D662" s="549" t="s">
        <v>645</v>
      </c>
      <c r="E662" s="549" t="s">
        <v>977</v>
      </c>
      <c r="F662" s="549" t="s">
        <v>1212</v>
      </c>
      <c r="G662" s="549">
        <v>72</v>
      </c>
      <c r="H662" s="549" t="s">
        <v>534</v>
      </c>
      <c r="I662" s="549" t="s">
        <v>976</v>
      </c>
      <c r="J662" s="549" t="s">
        <v>976</v>
      </c>
      <c r="K662" s="549" t="s">
        <v>976</v>
      </c>
      <c r="L662" s="549">
        <v>431100.46</v>
      </c>
      <c r="M662" s="549">
        <v>32548.080000000002</v>
      </c>
      <c r="N662" s="549">
        <v>9527.32</v>
      </c>
      <c r="O662" s="549">
        <v>3968</v>
      </c>
      <c r="P662" s="549">
        <v>13.09</v>
      </c>
      <c r="Q662" s="549">
        <v>6027.08</v>
      </c>
    </row>
    <row r="663" spans="1:17" x14ac:dyDescent="0.25">
      <c r="A663" s="549" t="s">
        <v>971</v>
      </c>
      <c r="B663" s="549" t="s">
        <v>972</v>
      </c>
      <c r="C663" s="549" t="s">
        <v>534</v>
      </c>
      <c r="D663" s="549" t="s">
        <v>645</v>
      </c>
      <c r="E663" s="549" t="s">
        <v>977</v>
      </c>
      <c r="F663" s="549" t="s">
        <v>1212</v>
      </c>
      <c r="G663" s="549">
        <v>1042</v>
      </c>
      <c r="H663" s="549" t="s">
        <v>534</v>
      </c>
      <c r="I663" s="549" t="s">
        <v>976</v>
      </c>
      <c r="J663" s="549" t="s">
        <v>976</v>
      </c>
      <c r="K663" s="549" t="s">
        <v>976</v>
      </c>
      <c r="L663" s="549">
        <v>216723.36</v>
      </c>
      <c r="M663" s="549">
        <v>16362.61</v>
      </c>
      <c r="N663" s="549">
        <v>4789.59</v>
      </c>
      <c r="O663" s="549">
        <v>1984</v>
      </c>
      <c r="P663" s="549">
        <v>100</v>
      </c>
      <c r="Q663" s="549">
        <v>23136.2</v>
      </c>
    </row>
    <row r="664" spans="1:17" x14ac:dyDescent="0.25">
      <c r="A664" s="549" t="s">
        <v>971</v>
      </c>
      <c r="B664" s="549" t="s">
        <v>972</v>
      </c>
      <c r="C664" s="549" t="s">
        <v>534</v>
      </c>
      <c r="D664" s="549" t="s">
        <v>645</v>
      </c>
      <c r="E664" s="549" t="s">
        <v>977</v>
      </c>
      <c r="F664" s="549" t="s">
        <v>1212</v>
      </c>
      <c r="G664" s="549" t="s">
        <v>1220</v>
      </c>
      <c r="H664" s="549" t="s">
        <v>534</v>
      </c>
      <c r="I664" s="549" t="s">
        <v>976</v>
      </c>
      <c r="J664" s="549" t="s">
        <v>976</v>
      </c>
      <c r="K664" s="549" t="s">
        <v>976</v>
      </c>
      <c r="L664" s="549">
        <v>0</v>
      </c>
      <c r="M664" s="549">
        <v>0</v>
      </c>
      <c r="N664" s="549">
        <v>0</v>
      </c>
      <c r="O664" s="549">
        <v>0</v>
      </c>
      <c r="P664" s="549">
        <v>100</v>
      </c>
      <c r="Q664" s="549">
        <v>0</v>
      </c>
    </row>
    <row r="665" spans="1:17" x14ac:dyDescent="0.25">
      <c r="A665" s="549" t="s">
        <v>971</v>
      </c>
      <c r="B665" s="549" t="s">
        <v>972</v>
      </c>
      <c r="C665" s="549" t="s">
        <v>650</v>
      </c>
      <c r="D665" s="549" t="s">
        <v>651</v>
      </c>
      <c r="E665" s="549" t="s">
        <v>977</v>
      </c>
      <c r="F665" s="549" t="s">
        <v>1212</v>
      </c>
      <c r="G665" s="549">
        <v>62</v>
      </c>
      <c r="H665" s="549" t="s">
        <v>652</v>
      </c>
      <c r="I665" s="549" t="s">
        <v>976</v>
      </c>
      <c r="J665" s="549" t="s">
        <v>976</v>
      </c>
      <c r="K665" s="549" t="s">
        <v>976</v>
      </c>
      <c r="L665" s="549">
        <v>504629.39</v>
      </c>
      <c r="M665" s="549">
        <v>38099.519999999997</v>
      </c>
      <c r="N665" s="549">
        <v>11152.31</v>
      </c>
      <c r="O665" s="549">
        <v>4960</v>
      </c>
      <c r="P665" s="549">
        <v>100</v>
      </c>
      <c r="Q665" s="549">
        <v>54211.83</v>
      </c>
    </row>
    <row r="666" spans="1:17" x14ac:dyDescent="0.25">
      <c r="A666" s="549" t="s">
        <v>971</v>
      </c>
      <c r="B666" s="549" t="s">
        <v>972</v>
      </c>
      <c r="C666" s="549" t="s">
        <v>650</v>
      </c>
      <c r="D666" s="549" t="s">
        <v>651</v>
      </c>
      <c r="E666" s="549" t="s">
        <v>977</v>
      </c>
      <c r="F666" s="549" t="s">
        <v>1212</v>
      </c>
      <c r="G666" s="549">
        <v>122</v>
      </c>
      <c r="H666" s="549" t="s">
        <v>652</v>
      </c>
      <c r="I666" s="549" t="s">
        <v>976</v>
      </c>
      <c r="J666" s="549" t="s">
        <v>976</v>
      </c>
      <c r="K666" s="549" t="s">
        <v>976</v>
      </c>
      <c r="L666" s="549">
        <v>504629.39</v>
      </c>
      <c r="M666" s="549">
        <v>38099.519999999997</v>
      </c>
      <c r="N666" s="549">
        <v>11152.31</v>
      </c>
      <c r="O666" s="549">
        <v>4960</v>
      </c>
      <c r="P666" s="549">
        <v>100</v>
      </c>
      <c r="Q666" s="549">
        <v>54211.83</v>
      </c>
    </row>
    <row r="667" spans="1:17" x14ac:dyDescent="0.25">
      <c r="A667" s="549" t="s">
        <v>971</v>
      </c>
      <c r="B667" s="549" t="s">
        <v>972</v>
      </c>
      <c r="C667" s="549" t="s">
        <v>650</v>
      </c>
      <c r="D667" s="549" t="s">
        <v>651</v>
      </c>
      <c r="E667" s="549" t="s">
        <v>977</v>
      </c>
      <c r="F667" s="549" t="s">
        <v>1212</v>
      </c>
      <c r="G667" s="549">
        <v>112</v>
      </c>
      <c r="H667" s="549" t="s">
        <v>650</v>
      </c>
      <c r="I667" s="549" t="s">
        <v>976</v>
      </c>
      <c r="J667" s="549" t="s">
        <v>976</v>
      </c>
      <c r="K667" s="549" t="s">
        <v>976</v>
      </c>
      <c r="L667" s="549">
        <v>266331.3</v>
      </c>
      <c r="M667" s="549">
        <v>20108.009999999998</v>
      </c>
      <c r="N667" s="549">
        <v>5885.92</v>
      </c>
      <c r="O667" s="549">
        <v>1984</v>
      </c>
      <c r="P667" s="549">
        <v>100</v>
      </c>
      <c r="Q667" s="549">
        <v>27977.93</v>
      </c>
    </row>
    <row r="668" spans="1:17" x14ac:dyDescent="0.25">
      <c r="A668" s="549" t="s">
        <v>971</v>
      </c>
      <c r="B668" s="549" t="s">
        <v>972</v>
      </c>
      <c r="C668" s="549" t="s">
        <v>650</v>
      </c>
      <c r="D668" s="549" t="s">
        <v>651</v>
      </c>
      <c r="E668" s="549" t="s">
        <v>977</v>
      </c>
      <c r="F668" s="549" t="s">
        <v>1212</v>
      </c>
      <c r="G668" s="549">
        <v>132</v>
      </c>
      <c r="H668" s="549" t="s">
        <v>650</v>
      </c>
      <c r="I668" s="549" t="s">
        <v>976</v>
      </c>
      <c r="J668" s="549" t="s">
        <v>976</v>
      </c>
      <c r="K668" s="549" t="s">
        <v>976</v>
      </c>
      <c r="L668" s="549">
        <v>266331.3</v>
      </c>
      <c r="M668" s="549">
        <v>20108.009999999998</v>
      </c>
      <c r="N668" s="549">
        <v>5885.92</v>
      </c>
      <c r="O668" s="549">
        <v>1984</v>
      </c>
      <c r="P668" s="549">
        <v>100</v>
      </c>
      <c r="Q668" s="549">
        <v>27977.93</v>
      </c>
    </row>
    <row r="669" spans="1:17" x14ac:dyDescent="0.25">
      <c r="A669" s="549" t="s">
        <v>971</v>
      </c>
      <c r="B669" s="549" t="s">
        <v>972</v>
      </c>
      <c r="C669" s="549" t="s">
        <v>650</v>
      </c>
      <c r="D669" s="549" t="s">
        <v>651</v>
      </c>
      <c r="E669" s="549" t="s">
        <v>977</v>
      </c>
      <c r="F669" s="549" t="s">
        <v>1212</v>
      </c>
      <c r="G669" s="549">
        <v>1202</v>
      </c>
      <c r="H669" s="549" t="s">
        <v>650</v>
      </c>
      <c r="I669" s="549" t="s">
        <v>976</v>
      </c>
      <c r="J669" s="549" t="s">
        <v>976</v>
      </c>
      <c r="K669" s="549" t="s">
        <v>976</v>
      </c>
      <c r="L669" s="549">
        <v>91839.02</v>
      </c>
      <c r="M669" s="549">
        <v>6933.85</v>
      </c>
      <c r="N669" s="549">
        <v>2029.64</v>
      </c>
      <c r="O669" s="549">
        <v>892.8</v>
      </c>
      <c r="P669" s="549">
        <v>100</v>
      </c>
      <c r="Q669" s="549">
        <v>9856.2900000000009</v>
      </c>
    </row>
    <row r="670" spans="1:17" x14ac:dyDescent="0.25">
      <c r="A670" s="549" t="s">
        <v>971</v>
      </c>
      <c r="B670" s="549" t="s">
        <v>972</v>
      </c>
      <c r="C670" s="549" t="s">
        <v>650</v>
      </c>
      <c r="D670" s="549" t="s">
        <v>651</v>
      </c>
      <c r="E670" s="549" t="s">
        <v>977</v>
      </c>
      <c r="F670" s="549" t="s">
        <v>1212</v>
      </c>
      <c r="G670" s="549">
        <v>1212</v>
      </c>
      <c r="H670" s="549" t="s">
        <v>650</v>
      </c>
      <c r="I670" s="549" t="s">
        <v>976</v>
      </c>
      <c r="J670" s="549" t="s">
        <v>976</v>
      </c>
      <c r="K670" s="549" t="s">
        <v>976</v>
      </c>
      <c r="L670" s="549">
        <v>91839.02</v>
      </c>
      <c r="M670" s="549">
        <v>6933.85</v>
      </c>
      <c r="N670" s="549">
        <v>2029.64</v>
      </c>
      <c r="O670" s="549">
        <v>892.8</v>
      </c>
      <c r="P670" s="549">
        <v>100</v>
      </c>
      <c r="Q670" s="549">
        <v>9856.2900000000009</v>
      </c>
    </row>
    <row r="671" spans="1:17" x14ac:dyDescent="0.25">
      <c r="A671" s="549" t="s">
        <v>971</v>
      </c>
      <c r="B671" s="549" t="s">
        <v>972</v>
      </c>
      <c r="C671" s="549" t="s">
        <v>650</v>
      </c>
      <c r="D671" s="549" t="s">
        <v>651</v>
      </c>
      <c r="E671" s="549" t="s">
        <v>977</v>
      </c>
      <c r="F671" s="549" t="s">
        <v>1212</v>
      </c>
      <c r="G671" s="549">
        <v>1222</v>
      </c>
      <c r="H671" s="549" t="s">
        <v>650</v>
      </c>
      <c r="I671" s="549" t="s">
        <v>976</v>
      </c>
      <c r="J671" s="549" t="s">
        <v>976</v>
      </c>
      <c r="K671" s="549" t="s">
        <v>976</v>
      </c>
      <c r="L671" s="549">
        <v>91839.02</v>
      </c>
      <c r="M671" s="549">
        <v>6933.85</v>
      </c>
      <c r="N671" s="549">
        <v>2029.64</v>
      </c>
      <c r="O671" s="549">
        <v>892.8</v>
      </c>
      <c r="P671" s="549">
        <v>100</v>
      </c>
      <c r="Q671" s="549">
        <v>9856.2900000000009</v>
      </c>
    </row>
    <row r="672" spans="1:17" x14ac:dyDescent="0.25">
      <c r="A672" s="549" t="s">
        <v>971</v>
      </c>
      <c r="B672" s="549" t="s">
        <v>972</v>
      </c>
      <c r="C672" s="549" t="s">
        <v>650</v>
      </c>
      <c r="D672" s="549" t="s">
        <v>651</v>
      </c>
      <c r="E672" s="549" t="s">
        <v>977</v>
      </c>
      <c r="F672" s="549" t="s">
        <v>1212</v>
      </c>
      <c r="G672" s="549">
        <v>1232</v>
      </c>
      <c r="H672" s="549" t="s">
        <v>650</v>
      </c>
      <c r="I672" s="549" t="s">
        <v>976</v>
      </c>
      <c r="J672" s="549" t="s">
        <v>976</v>
      </c>
      <c r="K672" s="549" t="s">
        <v>976</v>
      </c>
      <c r="L672" s="549">
        <v>98189.9</v>
      </c>
      <c r="M672" s="549">
        <v>7413.34</v>
      </c>
      <c r="N672" s="549">
        <v>2170</v>
      </c>
      <c r="O672" s="549">
        <v>992</v>
      </c>
      <c r="P672" s="549">
        <v>100</v>
      </c>
      <c r="Q672" s="549">
        <v>10575.34</v>
      </c>
    </row>
    <row r="673" spans="1:17" x14ac:dyDescent="0.25">
      <c r="A673" s="549" t="s">
        <v>971</v>
      </c>
      <c r="B673" s="549" t="s">
        <v>972</v>
      </c>
      <c r="C673" s="549" t="s">
        <v>650</v>
      </c>
      <c r="D673" s="549" t="s">
        <v>651</v>
      </c>
      <c r="E673" s="549" t="s">
        <v>977</v>
      </c>
      <c r="F673" s="549" t="s">
        <v>1212</v>
      </c>
      <c r="G673" s="549">
        <v>1248</v>
      </c>
      <c r="H673" s="549" t="s">
        <v>650</v>
      </c>
      <c r="I673" s="549" t="s">
        <v>976</v>
      </c>
      <c r="J673" s="549" t="s">
        <v>976</v>
      </c>
      <c r="K673" s="549" t="s">
        <v>976</v>
      </c>
      <c r="L673" s="549">
        <v>105387.56</v>
      </c>
      <c r="M673" s="549">
        <v>7956.76</v>
      </c>
      <c r="N673" s="549">
        <v>2329.0700000000002</v>
      </c>
      <c r="O673" s="549">
        <v>992</v>
      </c>
      <c r="P673" s="549">
        <v>100</v>
      </c>
      <c r="Q673" s="549">
        <v>11277.83</v>
      </c>
    </row>
    <row r="674" spans="1:17" x14ac:dyDescent="0.25">
      <c r="A674" s="549" t="s">
        <v>971</v>
      </c>
      <c r="B674" s="549" t="s">
        <v>972</v>
      </c>
      <c r="C674" s="549" t="s">
        <v>650</v>
      </c>
      <c r="D674" s="549" t="s">
        <v>651</v>
      </c>
      <c r="E674" s="549" t="s">
        <v>977</v>
      </c>
      <c r="F674" s="549" t="s">
        <v>1212</v>
      </c>
      <c r="G674" s="549">
        <v>1252</v>
      </c>
      <c r="H674" s="549" t="s">
        <v>650</v>
      </c>
      <c r="I674" s="549" t="s">
        <v>976</v>
      </c>
      <c r="J674" s="549" t="s">
        <v>976</v>
      </c>
      <c r="K674" s="549" t="s">
        <v>976</v>
      </c>
      <c r="L674" s="549">
        <v>98189.9</v>
      </c>
      <c r="M674" s="549">
        <v>7413.34</v>
      </c>
      <c r="N674" s="549">
        <v>2170</v>
      </c>
      <c r="O674" s="549">
        <v>992</v>
      </c>
      <c r="P674" s="549">
        <v>100</v>
      </c>
      <c r="Q674" s="549">
        <v>10575.34</v>
      </c>
    </row>
    <row r="675" spans="1:17" x14ac:dyDescent="0.25">
      <c r="A675" s="549" t="s">
        <v>971</v>
      </c>
      <c r="B675" s="549" t="s">
        <v>972</v>
      </c>
      <c r="C675" s="549" t="s">
        <v>650</v>
      </c>
      <c r="D675" s="549" t="s">
        <v>651</v>
      </c>
      <c r="E675" s="549" t="s">
        <v>977</v>
      </c>
      <c r="F675" s="549" t="s">
        <v>1212</v>
      </c>
      <c r="G675" s="549">
        <v>1262</v>
      </c>
      <c r="H675" s="549" t="s">
        <v>650</v>
      </c>
      <c r="I675" s="549" t="s">
        <v>976</v>
      </c>
      <c r="J675" s="549" t="s">
        <v>976</v>
      </c>
      <c r="K675" s="549" t="s">
        <v>976</v>
      </c>
      <c r="L675" s="549">
        <v>91839.02</v>
      </c>
      <c r="M675" s="549">
        <v>6933.85</v>
      </c>
      <c r="N675" s="549">
        <v>2029.64</v>
      </c>
      <c r="O675" s="549">
        <v>892.8</v>
      </c>
      <c r="P675" s="549">
        <v>100</v>
      </c>
      <c r="Q675" s="549">
        <v>9856.2900000000009</v>
      </c>
    </row>
    <row r="676" spans="1:17" x14ac:dyDescent="0.25">
      <c r="A676" s="549" t="s">
        <v>971</v>
      </c>
      <c r="B676" s="549" t="s">
        <v>972</v>
      </c>
      <c r="C676" s="549" t="s">
        <v>650</v>
      </c>
      <c r="D676" s="549" t="s">
        <v>651</v>
      </c>
      <c r="E676" s="549" t="s">
        <v>977</v>
      </c>
      <c r="F676" s="549" t="s">
        <v>1212</v>
      </c>
      <c r="G676" s="549">
        <v>1272</v>
      </c>
      <c r="H676" s="549" t="s">
        <v>650</v>
      </c>
      <c r="I676" s="549" t="s">
        <v>976</v>
      </c>
      <c r="J676" s="549" t="s">
        <v>976</v>
      </c>
      <c r="K676" s="549" t="s">
        <v>976</v>
      </c>
      <c r="L676" s="549">
        <v>91839.02</v>
      </c>
      <c r="M676" s="549">
        <v>6933.85</v>
      </c>
      <c r="N676" s="549">
        <v>2029.64</v>
      </c>
      <c r="O676" s="549">
        <v>892.8</v>
      </c>
      <c r="P676" s="549">
        <v>100</v>
      </c>
      <c r="Q676" s="549">
        <v>9856.2900000000009</v>
      </c>
    </row>
    <row r="677" spans="1:17" x14ac:dyDescent="0.25">
      <c r="A677" s="549" t="s">
        <v>971</v>
      </c>
      <c r="B677" s="549" t="s">
        <v>972</v>
      </c>
      <c r="C677" s="549" t="s">
        <v>650</v>
      </c>
      <c r="D677" s="549" t="s">
        <v>651</v>
      </c>
      <c r="E677" s="549" t="s">
        <v>977</v>
      </c>
      <c r="F677" s="549" t="s">
        <v>1212</v>
      </c>
      <c r="G677" s="549" t="s">
        <v>1221</v>
      </c>
      <c r="H677" s="549" t="s">
        <v>650</v>
      </c>
      <c r="I677" s="549" t="s">
        <v>976</v>
      </c>
      <c r="J677" s="549" t="s">
        <v>976</v>
      </c>
      <c r="K677" s="549" t="s">
        <v>976</v>
      </c>
      <c r="L677" s="549">
        <v>31102.38</v>
      </c>
      <c r="M677" s="549">
        <v>2348.23</v>
      </c>
      <c r="N677" s="549">
        <v>687.36</v>
      </c>
      <c r="O677" s="549">
        <v>0</v>
      </c>
      <c r="P677" s="549">
        <v>100</v>
      </c>
      <c r="Q677" s="549">
        <v>3035.59</v>
      </c>
    </row>
    <row r="678" spans="1:17" x14ac:dyDescent="0.25">
      <c r="A678" s="549" t="s">
        <v>971</v>
      </c>
      <c r="B678" s="549" t="s">
        <v>972</v>
      </c>
      <c r="C678" s="549" t="s">
        <v>650</v>
      </c>
      <c r="D678" s="549" t="s">
        <v>651</v>
      </c>
      <c r="E678" s="549" t="s">
        <v>977</v>
      </c>
      <c r="F678" s="549" t="s">
        <v>1212</v>
      </c>
      <c r="G678" s="549" t="s">
        <v>1222</v>
      </c>
      <c r="H678" s="549" t="s">
        <v>650</v>
      </c>
      <c r="I678" s="549" t="s">
        <v>976</v>
      </c>
      <c r="J678" s="549" t="s">
        <v>976</v>
      </c>
      <c r="K678" s="549" t="s">
        <v>976</v>
      </c>
      <c r="L678" s="549">
        <v>31102.38</v>
      </c>
      <c r="M678" s="549">
        <v>2348.23</v>
      </c>
      <c r="N678" s="549">
        <v>687.36</v>
      </c>
      <c r="O678" s="549">
        <v>0</v>
      </c>
      <c r="P678" s="549">
        <v>100</v>
      </c>
      <c r="Q678" s="549">
        <v>3035.59</v>
      </c>
    </row>
    <row r="679" spans="1:17" x14ac:dyDescent="0.25">
      <c r="A679" s="549" t="s">
        <v>971</v>
      </c>
      <c r="B679" s="549" t="s">
        <v>972</v>
      </c>
      <c r="C679" s="549" t="s">
        <v>650</v>
      </c>
      <c r="D679" s="549" t="s">
        <v>651</v>
      </c>
      <c r="E679" s="549" t="s">
        <v>977</v>
      </c>
      <c r="F679" s="549" t="s">
        <v>1212</v>
      </c>
      <c r="G679" s="549" t="s">
        <v>1223</v>
      </c>
      <c r="H679" s="549" t="s">
        <v>650</v>
      </c>
      <c r="I679" s="549" t="s">
        <v>976</v>
      </c>
      <c r="J679" s="549" t="s">
        <v>976</v>
      </c>
      <c r="K679" s="549" t="s">
        <v>976</v>
      </c>
      <c r="L679" s="549">
        <v>48805.45</v>
      </c>
      <c r="M679" s="549">
        <v>3684.81</v>
      </c>
      <c r="N679" s="549">
        <v>1078.5999999999999</v>
      </c>
      <c r="O679" s="549">
        <v>0</v>
      </c>
      <c r="P679" s="549">
        <v>100</v>
      </c>
      <c r="Q679" s="549">
        <v>4763.41</v>
      </c>
    </row>
    <row r="680" spans="1:17" x14ac:dyDescent="0.25">
      <c r="A680" s="549" t="s">
        <v>971</v>
      </c>
      <c r="B680" s="549" t="s">
        <v>972</v>
      </c>
      <c r="C680" s="549" t="s">
        <v>650</v>
      </c>
      <c r="D680" s="549" t="s">
        <v>651</v>
      </c>
      <c r="E680" s="549" t="s">
        <v>977</v>
      </c>
      <c r="F680" s="549" t="s">
        <v>1212</v>
      </c>
      <c r="G680" s="549" t="s">
        <v>1224</v>
      </c>
      <c r="H680" s="549" t="s">
        <v>650</v>
      </c>
      <c r="I680" s="549" t="s">
        <v>976</v>
      </c>
      <c r="J680" s="549" t="s">
        <v>976</v>
      </c>
      <c r="K680" s="549" t="s">
        <v>976</v>
      </c>
      <c r="L680" s="549">
        <v>48805.45</v>
      </c>
      <c r="M680" s="549">
        <v>3684.81</v>
      </c>
      <c r="N680" s="549">
        <v>1078.5999999999999</v>
      </c>
      <c r="O680" s="549">
        <v>0</v>
      </c>
      <c r="P680" s="549">
        <v>100</v>
      </c>
      <c r="Q680" s="549">
        <v>4763.41</v>
      </c>
    </row>
    <row r="681" spans="1:17" x14ac:dyDescent="0.25">
      <c r="A681" s="549" t="s">
        <v>971</v>
      </c>
      <c r="B681" s="549" t="s">
        <v>972</v>
      </c>
      <c r="C681" s="549" t="s">
        <v>652</v>
      </c>
      <c r="D681" s="549" t="s">
        <v>653</v>
      </c>
      <c r="E681" s="549" t="s">
        <v>977</v>
      </c>
      <c r="F681" s="549" t="s">
        <v>1212</v>
      </c>
      <c r="G681" s="549">
        <v>42</v>
      </c>
      <c r="H681" s="549" t="s">
        <v>652</v>
      </c>
      <c r="I681" s="549" t="s">
        <v>976</v>
      </c>
      <c r="J681" s="549" t="s">
        <v>976</v>
      </c>
      <c r="K681" s="549" t="s">
        <v>976</v>
      </c>
      <c r="L681" s="549">
        <v>344086.71</v>
      </c>
      <c r="M681" s="549">
        <v>25978.55</v>
      </c>
      <c r="N681" s="549">
        <v>7604.32</v>
      </c>
      <c r="O681" s="549">
        <v>2976</v>
      </c>
      <c r="P681" s="549">
        <v>100</v>
      </c>
      <c r="Q681" s="549">
        <v>36558.870000000003</v>
      </c>
    </row>
    <row r="682" spans="1:17" x14ac:dyDescent="0.25">
      <c r="A682" s="549" t="s">
        <v>971</v>
      </c>
      <c r="B682" s="549" t="s">
        <v>972</v>
      </c>
      <c r="C682" s="549" t="s">
        <v>652</v>
      </c>
      <c r="D682" s="549" t="s">
        <v>653</v>
      </c>
      <c r="E682" s="549" t="s">
        <v>977</v>
      </c>
      <c r="F682" s="549" t="s">
        <v>1212</v>
      </c>
      <c r="G682" s="549">
        <v>72</v>
      </c>
      <c r="H682" s="549" t="s">
        <v>652</v>
      </c>
      <c r="I682" s="549" t="s">
        <v>976</v>
      </c>
      <c r="J682" s="549" t="s">
        <v>976</v>
      </c>
      <c r="K682" s="549" t="s">
        <v>976</v>
      </c>
      <c r="L682" s="549">
        <v>344086.71</v>
      </c>
      <c r="M682" s="549">
        <v>25978.55</v>
      </c>
      <c r="N682" s="549">
        <v>7604.32</v>
      </c>
      <c r="O682" s="549">
        <v>2976</v>
      </c>
      <c r="P682" s="549">
        <v>100</v>
      </c>
      <c r="Q682" s="549">
        <v>36558.870000000003</v>
      </c>
    </row>
    <row r="683" spans="1:17" x14ac:dyDescent="0.25">
      <c r="A683" s="549" t="s">
        <v>971</v>
      </c>
      <c r="B683" s="549" t="s">
        <v>972</v>
      </c>
      <c r="C683" s="549" t="s">
        <v>652</v>
      </c>
      <c r="D683" s="549" t="s">
        <v>653</v>
      </c>
      <c r="E683" s="549" t="s">
        <v>977</v>
      </c>
      <c r="F683" s="549" t="s">
        <v>1212</v>
      </c>
      <c r="G683" s="549">
        <v>92</v>
      </c>
      <c r="H683" s="549" t="s">
        <v>652</v>
      </c>
      <c r="I683" s="549" t="s">
        <v>976</v>
      </c>
      <c r="J683" s="549" t="s">
        <v>976</v>
      </c>
      <c r="K683" s="549" t="s">
        <v>976</v>
      </c>
      <c r="L683" s="549">
        <v>344086.71</v>
      </c>
      <c r="M683" s="549">
        <v>25978.55</v>
      </c>
      <c r="N683" s="549">
        <v>7604.32</v>
      </c>
      <c r="O683" s="549">
        <v>2976</v>
      </c>
      <c r="P683" s="549">
        <v>100</v>
      </c>
      <c r="Q683" s="549">
        <v>36558.870000000003</v>
      </c>
    </row>
    <row r="684" spans="1:17" x14ac:dyDescent="0.25">
      <c r="A684" s="549" t="s">
        <v>1014</v>
      </c>
      <c r="B684" s="549" t="s">
        <v>1015</v>
      </c>
      <c r="C684" s="549" t="s">
        <v>519</v>
      </c>
      <c r="D684" s="549" t="s">
        <v>492</v>
      </c>
      <c r="E684" s="549" t="s">
        <v>977</v>
      </c>
      <c r="F684" s="549" t="s">
        <v>1212</v>
      </c>
      <c r="G684" s="549" t="s">
        <v>1225</v>
      </c>
      <c r="H684" s="549" t="s">
        <v>519</v>
      </c>
      <c r="I684" s="549" t="s">
        <v>976</v>
      </c>
      <c r="J684" s="549" t="s">
        <v>976</v>
      </c>
      <c r="K684" s="549" t="s">
        <v>976</v>
      </c>
      <c r="L684" s="549">
        <v>286934.52</v>
      </c>
      <c r="M684" s="549">
        <v>21663.56</v>
      </c>
      <c r="N684" s="549">
        <v>6341.25</v>
      </c>
      <c r="O684" s="549">
        <v>992</v>
      </c>
      <c r="P684" s="549">
        <v>3.25</v>
      </c>
      <c r="Q684" s="549">
        <v>942.4</v>
      </c>
    </row>
    <row r="685" spans="1:17" x14ac:dyDescent="0.25">
      <c r="A685" s="549" t="s">
        <v>971</v>
      </c>
      <c r="B685" s="549" t="s">
        <v>972</v>
      </c>
      <c r="C685" s="549" t="s">
        <v>652</v>
      </c>
      <c r="D685" s="549" t="s">
        <v>653</v>
      </c>
      <c r="E685" s="549" t="s">
        <v>977</v>
      </c>
      <c r="F685" s="549" t="s">
        <v>1212</v>
      </c>
      <c r="G685" s="549">
        <v>2732</v>
      </c>
      <c r="H685" s="549" t="s">
        <v>652</v>
      </c>
      <c r="I685" s="549" t="s">
        <v>976</v>
      </c>
      <c r="J685" s="549" t="s">
        <v>976</v>
      </c>
      <c r="K685" s="549" t="s">
        <v>976</v>
      </c>
      <c r="L685" s="549">
        <v>73527.31</v>
      </c>
      <c r="M685" s="549">
        <v>5551.31</v>
      </c>
      <c r="N685" s="549">
        <v>1624.95</v>
      </c>
      <c r="O685" s="549">
        <v>892.8</v>
      </c>
      <c r="P685" s="549">
        <v>100</v>
      </c>
      <c r="Q685" s="549">
        <v>8069.06</v>
      </c>
    </row>
    <row r="686" spans="1:17" x14ac:dyDescent="0.25">
      <c r="A686" s="549" t="s">
        <v>971</v>
      </c>
      <c r="B686" s="549" t="s">
        <v>972</v>
      </c>
      <c r="C686" s="549" t="s">
        <v>652</v>
      </c>
      <c r="D686" s="549" t="s">
        <v>653</v>
      </c>
      <c r="E686" s="549" t="s">
        <v>977</v>
      </c>
      <c r="F686" s="549" t="s">
        <v>1212</v>
      </c>
      <c r="G686" s="549">
        <v>2742</v>
      </c>
      <c r="H686" s="549" t="s">
        <v>652</v>
      </c>
      <c r="I686" s="549" t="s">
        <v>976</v>
      </c>
      <c r="J686" s="549" t="s">
        <v>976</v>
      </c>
      <c r="K686" s="549" t="s">
        <v>976</v>
      </c>
      <c r="L686" s="549">
        <v>73527.31</v>
      </c>
      <c r="M686" s="549">
        <v>5551.31</v>
      </c>
      <c r="N686" s="549">
        <v>1624.95</v>
      </c>
      <c r="O686" s="549">
        <v>892.8</v>
      </c>
      <c r="P686" s="549">
        <v>100</v>
      </c>
      <c r="Q686" s="549">
        <v>8069.06</v>
      </c>
    </row>
    <row r="687" spans="1:17" x14ac:dyDescent="0.25">
      <c r="A687" s="549" t="s">
        <v>971</v>
      </c>
      <c r="B687" s="549" t="s">
        <v>972</v>
      </c>
      <c r="C687" s="549" t="s">
        <v>652</v>
      </c>
      <c r="D687" s="549" t="s">
        <v>653</v>
      </c>
      <c r="E687" s="549" t="s">
        <v>977</v>
      </c>
      <c r="F687" s="549" t="s">
        <v>1212</v>
      </c>
      <c r="G687" s="549">
        <v>2752</v>
      </c>
      <c r="H687" s="549" t="s">
        <v>652</v>
      </c>
      <c r="I687" s="549" t="s">
        <v>976</v>
      </c>
      <c r="J687" s="549" t="s">
        <v>976</v>
      </c>
      <c r="K687" s="549" t="s">
        <v>976</v>
      </c>
      <c r="L687" s="549">
        <v>77761.23</v>
      </c>
      <c r="M687" s="549">
        <v>5870.97</v>
      </c>
      <c r="N687" s="549">
        <v>1718.52</v>
      </c>
      <c r="O687" s="549">
        <v>992</v>
      </c>
      <c r="P687" s="549">
        <v>100</v>
      </c>
      <c r="Q687" s="549">
        <v>8581.49</v>
      </c>
    </row>
    <row r="688" spans="1:17" x14ac:dyDescent="0.25">
      <c r="A688" s="549" t="s">
        <v>971</v>
      </c>
      <c r="B688" s="549" t="s">
        <v>972</v>
      </c>
      <c r="C688" s="549" t="s">
        <v>652</v>
      </c>
      <c r="D688" s="549" t="s">
        <v>653</v>
      </c>
      <c r="E688" s="549" t="s">
        <v>977</v>
      </c>
      <c r="F688" s="549" t="s">
        <v>1212</v>
      </c>
      <c r="G688" s="549">
        <v>2762</v>
      </c>
      <c r="H688" s="549" t="s">
        <v>652</v>
      </c>
      <c r="I688" s="549" t="s">
        <v>976</v>
      </c>
      <c r="J688" s="549" t="s">
        <v>976</v>
      </c>
      <c r="K688" s="549" t="s">
        <v>976</v>
      </c>
      <c r="L688" s="549">
        <v>73527.31</v>
      </c>
      <c r="M688" s="549">
        <v>5551.31</v>
      </c>
      <c r="N688" s="549">
        <v>1624.95</v>
      </c>
      <c r="O688" s="549">
        <v>892.8</v>
      </c>
      <c r="P688" s="549">
        <v>100</v>
      </c>
      <c r="Q688" s="549">
        <v>8069.06</v>
      </c>
    </row>
    <row r="689" spans="1:17" x14ac:dyDescent="0.25">
      <c r="A689" s="549" t="s">
        <v>971</v>
      </c>
      <c r="B689" s="549" t="s">
        <v>972</v>
      </c>
      <c r="C689" s="549" t="s">
        <v>652</v>
      </c>
      <c r="D689" s="549" t="s">
        <v>653</v>
      </c>
      <c r="E689" s="549" t="s">
        <v>977</v>
      </c>
      <c r="F689" s="549" t="s">
        <v>1212</v>
      </c>
      <c r="G689" s="549">
        <v>2772</v>
      </c>
      <c r="H689" s="549" t="s">
        <v>652</v>
      </c>
      <c r="I689" s="549" t="s">
        <v>976</v>
      </c>
      <c r="J689" s="549" t="s">
        <v>976</v>
      </c>
      <c r="K689" s="549" t="s">
        <v>976</v>
      </c>
      <c r="L689" s="549">
        <v>73527.31</v>
      </c>
      <c r="M689" s="549">
        <v>5551.31</v>
      </c>
      <c r="N689" s="549">
        <v>1624.95</v>
      </c>
      <c r="O689" s="549">
        <v>892.8</v>
      </c>
      <c r="P689" s="549">
        <v>100</v>
      </c>
      <c r="Q689" s="549">
        <v>8069.06</v>
      </c>
    </row>
    <row r="690" spans="1:17" x14ac:dyDescent="0.25">
      <c r="A690" s="549" t="s">
        <v>971</v>
      </c>
      <c r="B690" s="549" t="s">
        <v>972</v>
      </c>
      <c r="C690" s="549" t="s">
        <v>652</v>
      </c>
      <c r="D690" s="549" t="s">
        <v>653</v>
      </c>
      <c r="E690" s="549" t="s">
        <v>977</v>
      </c>
      <c r="F690" s="549" t="s">
        <v>1212</v>
      </c>
      <c r="G690" s="549">
        <v>2788</v>
      </c>
      <c r="H690" s="549" t="s">
        <v>652</v>
      </c>
      <c r="I690" s="549" t="s">
        <v>976</v>
      </c>
      <c r="J690" s="549" t="s">
        <v>976</v>
      </c>
      <c r="K690" s="549" t="s">
        <v>976</v>
      </c>
      <c r="L690" s="549">
        <v>75220.88</v>
      </c>
      <c r="M690" s="549">
        <v>5679.18</v>
      </c>
      <c r="N690" s="549">
        <v>1662.38</v>
      </c>
      <c r="O690" s="549">
        <v>992</v>
      </c>
      <c r="P690" s="549">
        <v>100</v>
      </c>
      <c r="Q690" s="549">
        <v>8333.56</v>
      </c>
    </row>
    <row r="691" spans="1:17" x14ac:dyDescent="0.25">
      <c r="A691" s="549" t="s">
        <v>971</v>
      </c>
      <c r="B691" s="549" t="s">
        <v>972</v>
      </c>
      <c r="C691" s="549" t="s">
        <v>652</v>
      </c>
      <c r="D691" s="549" t="s">
        <v>653</v>
      </c>
      <c r="E691" s="549" t="s">
        <v>977</v>
      </c>
      <c r="F691" s="549" t="s">
        <v>1212</v>
      </c>
      <c r="G691" s="549">
        <v>2812</v>
      </c>
      <c r="H691" s="549" t="s">
        <v>652</v>
      </c>
      <c r="I691" s="549" t="s">
        <v>976</v>
      </c>
      <c r="J691" s="549" t="s">
        <v>976</v>
      </c>
      <c r="K691" s="549" t="s">
        <v>976</v>
      </c>
      <c r="L691" s="549">
        <v>73527.31</v>
      </c>
      <c r="M691" s="549">
        <v>5551.31</v>
      </c>
      <c r="N691" s="549">
        <v>1624.95</v>
      </c>
      <c r="O691" s="549">
        <v>892.8</v>
      </c>
      <c r="P691" s="549">
        <v>100</v>
      </c>
      <c r="Q691" s="549">
        <v>8069.06</v>
      </c>
    </row>
    <row r="692" spans="1:17" x14ac:dyDescent="0.25">
      <c r="A692" s="549" t="s">
        <v>971</v>
      </c>
      <c r="B692" s="549" t="s">
        <v>972</v>
      </c>
      <c r="C692" s="549" t="s">
        <v>652</v>
      </c>
      <c r="D692" s="549" t="s">
        <v>653</v>
      </c>
      <c r="E692" s="549" t="s">
        <v>977</v>
      </c>
      <c r="F692" s="549" t="s">
        <v>1212</v>
      </c>
      <c r="G692" s="549">
        <v>2822</v>
      </c>
      <c r="H692" s="549" t="s">
        <v>652</v>
      </c>
      <c r="I692" s="549" t="s">
        <v>976</v>
      </c>
      <c r="J692" s="549" t="s">
        <v>976</v>
      </c>
      <c r="K692" s="549" t="s">
        <v>976</v>
      </c>
      <c r="L692" s="549">
        <v>73527.31</v>
      </c>
      <c r="M692" s="549">
        <v>5551.31</v>
      </c>
      <c r="N692" s="549">
        <v>1624.95</v>
      </c>
      <c r="O692" s="549">
        <v>892.8</v>
      </c>
      <c r="P692" s="549">
        <v>100</v>
      </c>
      <c r="Q692" s="549">
        <v>8069.06</v>
      </c>
    </row>
    <row r="693" spans="1:17" x14ac:dyDescent="0.25">
      <c r="A693" s="549" t="s">
        <v>971</v>
      </c>
      <c r="B693" s="549" t="s">
        <v>972</v>
      </c>
      <c r="C693" s="549" t="s">
        <v>652</v>
      </c>
      <c r="D693" s="549" t="s">
        <v>653</v>
      </c>
      <c r="E693" s="549" t="s">
        <v>977</v>
      </c>
      <c r="F693" s="549" t="s">
        <v>1212</v>
      </c>
      <c r="G693" s="549">
        <v>2832</v>
      </c>
      <c r="H693" s="549" t="s">
        <v>652</v>
      </c>
      <c r="I693" s="549" t="s">
        <v>976</v>
      </c>
      <c r="J693" s="549" t="s">
        <v>976</v>
      </c>
      <c r="K693" s="549" t="s">
        <v>976</v>
      </c>
      <c r="L693" s="549">
        <v>73527.31</v>
      </c>
      <c r="M693" s="549">
        <v>5551.31</v>
      </c>
      <c r="N693" s="549">
        <v>1624.95</v>
      </c>
      <c r="O693" s="549">
        <v>892.8</v>
      </c>
      <c r="P693" s="549">
        <v>100</v>
      </c>
      <c r="Q693" s="549">
        <v>8069.06</v>
      </c>
    </row>
    <row r="694" spans="1:17" x14ac:dyDescent="0.25">
      <c r="A694" s="549" t="s">
        <v>971</v>
      </c>
      <c r="B694" s="549" t="s">
        <v>972</v>
      </c>
      <c r="C694" s="549" t="s">
        <v>652</v>
      </c>
      <c r="D694" s="549" t="s">
        <v>653</v>
      </c>
      <c r="E694" s="549" t="s">
        <v>977</v>
      </c>
      <c r="F694" s="549" t="s">
        <v>1212</v>
      </c>
      <c r="G694" s="549">
        <v>2842</v>
      </c>
      <c r="H694" s="549" t="s">
        <v>652</v>
      </c>
      <c r="I694" s="549" t="s">
        <v>976</v>
      </c>
      <c r="J694" s="549" t="s">
        <v>976</v>
      </c>
      <c r="K694" s="549" t="s">
        <v>976</v>
      </c>
      <c r="L694" s="549">
        <v>77761.23</v>
      </c>
      <c r="M694" s="549">
        <v>5870.97</v>
      </c>
      <c r="N694" s="549">
        <v>1718.52</v>
      </c>
      <c r="O694" s="549">
        <v>992</v>
      </c>
      <c r="P694" s="549">
        <v>100</v>
      </c>
      <c r="Q694" s="549">
        <v>8581.49</v>
      </c>
    </row>
    <row r="695" spans="1:17" x14ac:dyDescent="0.25">
      <c r="A695" s="549" t="s">
        <v>971</v>
      </c>
      <c r="B695" s="549" t="s">
        <v>972</v>
      </c>
      <c r="C695" s="549" t="s">
        <v>652</v>
      </c>
      <c r="D695" s="549" t="s">
        <v>653</v>
      </c>
      <c r="E695" s="549" t="s">
        <v>977</v>
      </c>
      <c r="F695" s="549" t="s">
        <v>1212</v>
      </c>
      <c r="G695" s="549">
        <v>2852</v>
      </c>
      <c r="H695" s="549" t="s">
        <v>652</v>
      </c>
      <c r="I695" s="549" t="s">
        <v>976</v>
      </c>
      <c r="J695" s="549" t="s">
        <v>976</v>
      </c>
      <c r="K695" s="549" t="s">
        <v>976</v>
      </c>
      <c r="L695" s="549">
        <v>73527.31</v>
      </c>
      <c r="M695" s="549">
        <v>5551.31</v>
      </c>
      <c r="N695" s="549">
        <v>1624.95</v>
      </c>
      <c r="O695" s="549">
        <v>892.8</v>
      </c>
      <c r="P695" s="549">
        <v>100</v>
      </c>
      <c r="Q695" s="549">
        <v>8069.06</v>
      </c>
    </row>
    <row r="696" spans="1:17" x14ac:dyDescent="0.25">
      <c r="A696" s="549" t="s">
        <v>971</v>
      </c>
      <c r="B696" s="549" t="s">
        <v>972</v>
      </c>
      <c r="C696" s="549" t="s">
        <v>652</v>
      </c>
      <c r="D696" s="549" t="s">
        <v>653</v>
      </c>
      <c r="E696" s="549" t="s">
        <v>977</v>
      </c>
      <c r="F696" s="549" t="s">
        <v>1212</v>
      </c>
      <c r="G696" s="549">
        <v>2862</v>
      </c>
      <c r="H696" s="549" t="s">
        <v>652</v>
      </c>
      <c r="I696" s="549" t="s">
        <v>976</v>
      </c>
      <c r="J696" s="549" t="s">
        <v>976</v>
      </c>
      <c r="K696" s="549" t="s">
        <v>976</v>
      </c>
      <c r="L696" s="549">
        <v>73527.31</v>
      </c>
      <c r="M696" s="549">
        <v>5551.31</v>
      </c>
      <c r="N696" s="549">
        <v>1624.95</v>
      </c>
      <c r="O696" s="549">
        <v>892.8</v>
      </c>
      <c r="P696" s="549">
        <v>100</v>
      </c>
      <c r="Q696" s="549">
        <v>8069.06</v>
      </c>
    </row>
    <row r="697" spans="1:17" x14ac:dyDescent="0.25">
      <c r="A697" s="549" t="s">
        <v>971</v>
      </c>
      <c r="B697" s="549" t="s">
        <v>972</v>
      </c>
      <c r="C697" s="549" t="s">
        <v>652</v>
      </c>
      <c r="D697" s="549" t="s">
        <v>653</v>
      </c>
      <c r="E697" s="549" t="s">
        <v>977</v>
      </c>
      <c r="F697" s="549" t="s">
        <v>1212</v>
      </c>
      <c r="G697" s="549">
        <v>2878</v>
      </c>
      <c r="H697" s="549" t="s">
        <v>652</v>
      </c>
      <c r="I697" s="549" t="s">
        <v>976</v>
      </c>
      <c r="J697" s="549" t="s">
        <v>976</v>
      </c>
      <c r="K697" s="549" t="s">
        <v>976</v>
      </c>
      <c r="L697" s="549">
        <v>75220.88</v>
      </c>
      <c r="M697" s="549">
        <v>5679.18</v>
      </c>
      <c r="N697" s="549">
        <v>1662.38</v>
      </c>
      <c r="O697" s="549">
        <v>992</v>
      </c>
      <c r="P697" s="549">
        <v>100</v>
      </c>
      <c r="Q697" s="549">
        <v>8333.56</v>
      </c>
    </row>
    <row r="698" spans="1:17" x14ac:dyDescent="0.25">
      <c r="A698" s="549" t="s">
        <v>971</v>
      </c>
      <c r="B698" s="549" t="s">
        <v>972</v>
      </c>
      <c r="C698" s="549" t="s">
        <v>652</v>
      </c>
      <c r="D698" s="549" t="s">
        <v>653</v>
      </c>
      <c r="E698" s="549" t="s">
        <v>977</v>
      </c>
      <c r="F698" s="549" t="s">
        <v>1212</v>
      </c>
      <c r="G698" s="549">
        <v>2912</v>
      </c>
      <c r="H698" s="549" t="s">
        <v>652</v>
      </c>
      <c r="I698" s="549" t="s">
        <v>976</v>
      </c>
      <c r="J698" s="549" t="s">
        <v>976</v>
      </c>
      <c r="K698" s="549" t="s">
        <v>976</v>
      </c>
      <c r="L698" s="549">
        <v>73527.31</v>
      </c>
      <c r="M698" s="549">
        <v>5551.31</v>
      </c>
      <c r="N698" s="549">
        <v>1624.95</v>
      </c>
      <c r="O698" s="549">
        <v>892.8</v>
      </c>
      <c r="P698" s="549">
        <v>100</v>
      </c>
      <c r="Q698" s="549">
        <v>8069.06</v>
      </c>
    </row>
    <row r="699" spans="1:17" x14ac:dyDescent="0.25">
      <c r="A699" s="549" t="s">
        <v>971</v>
      </c>
      <c r="B699" s="549" t="s">
        <v>972</v>
      </c>
      <c r="C699" s="549" t="s">
        <v>652</v>
      </c>
      <c r="D699" s="549" t="s">
        <v>653</v>
      </c>
      <c r="E699" s="549" t="s">
        <v>977</v>
      </c>
      <c r="F699" s="549" t="s">
        <v>1212</v>
      </c>
      <c r="G699" s="549">
        <v>2922</v>
      </c>
      <c r="H699" s="549" t="s">
        <v>652</v>
      </c>
      <c r="I699" s="549" t="s">
        <v>976</v>
      </c>
      <c r="J699" s="549" t="s">
        <v>976</v>
      </c>
      <c r="K699" s="549" t="s">
        <v>976</v>
      </c>
      <c r="L699" s="549">
        <v>73527.31</v>
      </c>
      <c r="M699" s="549">
        <v>5551.31</v>
      </c>
      <c r="N699" s="549">
        <v>1624.95</v>
      </c>
      <c r="O699" s="549">
        <v>892.8</v>
      </c>
      <c r="P699" s="549">
        <v>100</v>
      </c>
      <c r="Q699" s="549">
        <v>8069.06</v>
      </c>
    </row>
    <row r="700" spans="1:17" x14ac:dyDescent="0.25">
      <c r="A700" s="549" t="s">
        <v>971</v>
      </c>
      <c r="B700" s="549" t="s">
        <v>972</v>
      </c>
      <c r="C700" s="549" t="s">
        <v>652</v>
      </c>
      <c r="D700" s="549" t="s">
        <v>653</v>
      </c>
      <c r="E700" s="549" t="s">
        <v>977</v>
      </c>
      <c r="F700" s="549" t="s">
        <v>1212</v>
      </c>
      <c r="G700" s="549">
        <v>2932</v>
      </c>
      <c r="H700" s="549" t="s">
        <v>652</v>
      </c>
      <c r="I700" s="549" t="s">
        <v>976</v>
      </c>
      <c r="J700" s="549" t="s">
        <v>976</v>
      </c>
      <c r="K700" s="549" t="s">
        <v>976</v>
      </c>
      <c r="L700" s="549">
        <v>75220.88</v>
      </c>
      <c r="M700" s="549">
        <v>5679.18</v>
      </c>
      <c r="N700" s="549">
        <v>1662.38</v>
      </c>
      <c r="O700" s="549">
        <v>992</v>
      </c>
      <c r="P700" s="549">
        <v>100</v>
      </c>
      <c r="Q700" s="549">
        <v>8333.56</v>
      </c>
    </row>
    <row r="701" spans="1:17" x14ac:dyDescent="0.25">
      <c r="A701" s="549" t="s">
        <v>971</v>
      </c>
      <c r="B701" s="549" t="s">
        <v>972</v>
      </c>
      <c r="C701" s="549" t="s">
        <v>652</v>
      </c>
      <c r="D701" s="549" t="s">
        <v>653</v>
      </c>
      <c r="E701" s="549" t="s">
        <v>977</v>
      </c>
      <c r="F701" s="549" t="s">
        <v>1212</v>
      </c>
      <c r="G701" s="549">
        <v>2942</v>
      </c>
      <c r="H701" s="549" t="s">
        <v>652</v>
      </c>
      <c r="I701" s="549" t="s">
        <v>976</v>
      </c>
      <c r="J701" s="549" t="s">
        <v>976</v>
      </c>
      <c r="K701" s="549" t="s">
        <v>976</v>
      </c>
      <c r="L701" s="549">
        <v>73527.31</v>
      </c>
      <c r="M701" s="549">
        <v>5551.31</v>
      </c>
      <c r="N701" s="549">
        <v>1624.95</v>
      </c>
      <c r="O701" s="549">
        <v>892.8</v>
      </c>
      <c r="P701" s="549">
        <v>100</v>
      </c>
      <c r="Q701" s="549">
        <v>8069.06</v>
      </c>
    </row>
    <row r="702" spans="1:17" x14ac:dyDescent="0.25">
      <c r="A702" s="549" t="s">
        <v>971</v>
      </c>
      <c r="B702" s="549" t="s">
        <v>972</v>
      </c>
      <c r="C702" s="549" t="s">
        <v>652</v>
      </c>
      <c r="D702" s="549" t="s">
        <v>653</v>
      </c>
      <c r="E702" s="549" t="s">
        <v>977</v>
      </c>
      <c r="F702" s="549" t="s">
        <v>1212</v>
      </c>
      <c r="G702" s="549">
        <v>2952</v>
      </c>
      <c r="H702" s="549" t="s">
        <v>652</v>
      </c>
      <c r="I702" s="549" t="s">
        <v>976</v>
      </c>
      <c r="J702" s="549" t="s">
        <v>976</v>
      </c>
      <c r="K702" s="549" t="s">
        <v>976</v>
      </c>
      <c r="L702" s="549">
        <v>73527.31</v>
      </c>
      <c r="M702" s="549">
        <v>5551.31</v>
      </c>
      <c r="N702" s="549">
        <v>1624.95</v>
      </c>
      <c r="O702" s="549">
        <v>892.8</v>
      </c>
      <c r="P702" s="549">
        <v>100</v>
      </c>
      <c r="Q702" s="549">
        <v>8069.06</v>
      </c>
    </row>
    <row r="703" spans="1:17" x14ac:dyDescent="0.25">
      <c r="A703" s="549" t="s">
        <v>971</v>
      </c>
      <c r="B703" s="549" t="s">
        <v>972</v>
      </c>
      <c r="C703" s="549" t="s">
        <v>652</v>
      </c>
      <c r="D703" s="549" t="s">
        <v>653</v>
      </c>
      <c r="E703" s="549" t="s">
        <v>977</v>
      </c>
      <c r="F703" s="549" t="s">
        <v>1212</v>
      </c>
      <c r="G703" s="549">
        <v>2962</v>
      </c>
      <c r="H703" s="549" t="s">
        <v>652</v>
      </c>
      <c r="I703" s="549" t="s">
        <v>976</v>
      </c>
      <c r="J703" s="549" t="s">
        <v>976</v>
      </c>
      <c r="K703" s="549" t="s">
        <v>976</v>
      </c>
      <c r="L703" s="549">
        <v>77761.23</v>
      </c>
      <c r="M703" s="549">
        <v>5870.97</v>
      </c>
      <c r="N703" s="549">
        <v>1718.52</v>
      </c>
      <c r="O703" s="549">
        <v>992</v>
      </c>
      <c r="P703" s="549">
        <v>100</v>
      </c>
      <c r="Q703" s="549">
        <v>8581.49</v>
      </c>
    </row>
    <row r="704" spans="1:17" x14ac:dyDescent="0.25">
      <c r="A704" s="549" t="s">
        <v>971</v>
      </c>
      <c r="B704" s="549" t="s">
        <v>972</v>
      </c>
      <c r="C704" s="549" t="s">
        <v>652</v>
      </c>
      <c r="D704" s="549" t="s">
        <v>653</v>
      </c>
      <c r="E704" s="549" t="s">
        <v>977</v>
      </c>
      <c r="F704" s="549" t="s">
        <v>1212</v>
      </c>
      <c r="G704" s="549">
        <v>2972</v>
      </c>
      <c r="H704" s="549" t="s">
        <v>652</v>
      </c>
      <c r="I704" s="549" t="s">
        <v>976</v>
      </c>
      <c r="J704" s="549" t="s">
        <v>976</v>
      </c>
      <c r="K704" s="549" t="s">
        <v>976</v>
      </c>
      <c r="L704" s="549">
        <v>73527.31</v>
      </c>
      <c r="M704" s="549">
        <v>5551.31</v>
      </c>
      <c r="N704" s="549">
        <v>1624.95</v>
      </c>
      <c r="O704" s="549">
        <v>892.8</v>
      </c>
      <c r="P704" s="549">
        <v>100</v>
      </c>
      <c r="Q704" s="549">
        <v>8069.06</v>
      </c>
    </row>
    <row r="705" spans="1:17" x14ac:dyDescent="0.25">
      <c r="A705" s="549" t="s">
        <v>1014</v>
      </c>
      <c r="B705" s="549" t="s">
        <v>1015</v>
      </c>
      <c r="C705" s="549" t="s">
        <v>519</v>
      </c>
      <c r="D705" s="549" t="s">
        <v>492</v>
      </c>
      <c r="E705" s="549" t="s">
        <v>977</v>
      </c>
      <c r="F705" s="549" t="s">
        <v>1212</v>
      </c>
      <c r="G705" s="549" t="s">
        <v>1226</v>
      </c>
      <c r="H705" s="549" t="s">
        <v>519</v>
      </c>
      <c r="I705" s="549" t="s">
        <v>976</v>
      </c>
      <c r="J705" s="549" t="s">
        <v>976</v>
      </c>
      <c r="K705" s="549" t="s">
        <v>976</v>
      </c>
      <c r="L705" s="549">
        <v>32316.799999999999</v>
      </c>
      <c r="M705" s="549">
        <v>2439.92</v>
      </c>
      <c r="N705" s="549">
        <v>714.2</v>
      </c>
      <c r="O705" s="549">
        <v>0</v>
      </c>
      <c r="P705" s="549">
        <v>100</v>
      </c>
      <c r="Q705" s="549">
        <v>3154.12</v>
      </c>
    </row>
    <row r="706" spans="1:17" x14ac:dyDescent="0.25">
      <c r="A706" s="549" t="s">
        <v>1014</v>
      </c>
      <c r="B706" s="549" t="s">
        <v>1015</v>
      </c>
      <c r="C706" s="549" t="s">
        <v>519</v>
      </c>
      <c r="D706" s="549" t="s">
        <v>492</v>
      </c>
      <c r="E706" s="549" t="s">
        <v>977</v>
      </c>
      <c r="F706" s="549" t="s">
        <v>1212</v>
      </c>
      <c r="G706" s="549" t="s">
        <v>1227</v>
      </c>
      <c r="H706" s="549" t="s">
        <v>519</v>
      </c>
      <c r="I706" s="549" t="s">
        <v>976</v>
      </c>
      <c r="J706" s="549" t="s">
        <v>976</v>
      </c>
      <c r="K706" s="549" t="s">
        <v>976</v>
      </c>
      <c r="L706" s="549">
        <v>32316.799999999999</v>
      </c>
      <c r="M706" s="549">
        <v>2439.92</v>
      </c>
      <c r="N706" s="549">
        <v>714.2</v>
      </c>
      <c r="O706" s="549">
        <v>0</v>
      </c>
      <c r="P706" s="549">
        <v>100</v>
      </c>
      <c r="Q706" s="549">
        <v>3154.12</v>
      </c>
    </row>
    <row r="707" spans="1:17" x14ac:dyDescent="0.25">
      <c r="A707" s="549" t="s">
        <v>971</v>
      </c>
      <c r="B707" s="549" t="s">
        <v>972</v>
      </c>
      <c r="C707" s="549" t="s">
        <v>652</v>
      </c>
      <c r="D707" s="549" t="s">
        <v>653</v>
      </c>
      <c r="E707" s="549" t="s">
        <v>977</v>
      </c>
      <c r="F707" s="549" t="s">
        <v>1212</v>
      </c>
      <c r="G707" s="549" t="s">
        <v>1228</v>
      </c>
      <c r="H707" s="549" t="s">
        <v>652</v>
      </c>
      <c r="I707" s="549" t="s">
        <v>976</v>
      </c>
      <c r="J707" s="549" t="s">
        <v>976</v>
      </c>
      <c r="K707" s="549" t="s">
        <v>976</v>
      </c>
      <c r="L707" s="549">
        <v>31102.38</v>
      </c>
      <c r="M707" s="549">
        <v>2348.23</v>
      </c>
      <c r="N707" s="549">
        <v>687.36</v>
      </c>
      <c r="O707" s="549">
        <v>0</v>
      </c>
      <c r="P707" s="549">
        <v>100</v>
      </c>
      <c r="Q707" s="549">
        <v>3035.59</v>
      </c>
    </row>
    <row r="708" spans="1:17" x14ac:dyDescent="0.25">
      <c r="A708" s="549" t="s">
        <v>971</v>
      </c>
      <c r="B708" s="549" t="s">
        <v>972</v>
      </c>
      <c r="C708" s="549" t="s">
        <v>652</v>
      </c>
      <c r="D708" s="549" t="s">
        <v>653</v>
      </c>
      <c r="E708" s="549" t="s">
        <v>977</v>
      </c>
      <c r="F708" s="549" t="s">
        <v>1212</v>
      </c>
      <c r="G708" s="549" t="s">
        <v>1229</v>
      </c>
      <c r="H708" s="549" t="s">
        <v>652</v>
      </c>
      <c r="I708" s="549" t="s">
        <v>976</v>
      </c>
      <c r="J708" s="549" t="s">
        <v>976</v>
      </c>
      <c r="K708" s="549" t="s">
        <v>976</v>
      </c>
      <c r="L708" s="549">
        <v>31102.38</v>
      </c>
      <c r="M708" s="549">
        <v>2348.23</v>
      </c>
      <c r="N708" s="549">
        <v>687.36</v>
      </c>
      <c r="O708" s="549">
        <v>0</v>
      </c>
      <c r="P708" s="549">
        <v>100</v>
      </c>
      <c r="Q708" s="549">
        <v>3035.59</v>
      </c>
    </row>
    <row r="709" spans="1:17" x14ac:dyDescent="0.25">
      <c r="A709" s="549" t="s">
        <v>971</v>
      </c>
      <c r="B709" s="549" t="s">
        <v>972</v>
      </c>
      <c r="C709" s="549" t="s">
        <v>652</v>
      </c>
      <c r="D709" s="549" t="s">
        <v>653</v>
      </c>
      <c r="E709" s="549" t="s">
        <v>977</v>
      </c>
      <c r="F709" s="549" t="s">
        <v>1212</v>
      </c>
      <c r="G709" s="549" t="s">
        <v>1230</v>
      </c>
      <c r="H709" s="549" t="s">
        <v>652</v>
      </c>
      <c r="I709" s="549" t="s">
        <v>976</v>
      </c>
      <c r="J709" s="549" t="s">
        <v>976</v>
      </c>
      <c r="K709" s="549" t="s">
        <v>976</v>
      </c>
      <c r="L709" s="549">
        <v>31102.38</v>
      </c>
      <c r="M709" s="549">
        <v>2348.23</v>
      </c>
      <c r="N709" s="549">
        <v>687.36</v>
      </c>
      <c r="O709" s="549">
        <v>0</v>
      </c>
      <c r="P709" s="549">
        <v>100</v>
      </c>
      <c r="Q709" s="549">
        <v>3035.59</v>
      </c>
    </row>
    <row r="710" spans="1:17" x14ac:dyDescent="0.25">
      <c r="A710" s="549" t="s">
        <v>971</v>
      </c>
      <c r="B710" s="549" t="s">
        <v>972</v>
      </c>
      <c r="C710" s="549" t="s">
        <v>648</v>
      </c>
      <c r="D710" s="549" t="s">
        <v>649</v>
      </c>
      <c r="E710" s="549" t="s">
        <v>977</v>
      </c>
      <c r="F710" s="549" t="s">
        <v>1212</v>
      </c>
      <c r="G710" s="549">
        <v>2492</v>
      </c>
      <c r="H710" s="549" t="s">
        <v>648</v>
      </c>
      <c r="I710" s="549" t="s">
        <v>976</v>
      </c>
      <c r="J710" s="549" t="s">
        <v>976</v>
      </c>
      <c r="K710" s="549" t="s">
        <v>976</v>
      </c>
      <c r="L710" s="549">
        <v>633521.49</v>
      </c>
      <c r="M710" s="549">
        <v>47830.87</v>
      </c>
      <c r="N710" s="549">
        <v>14000.82</v>
      </c>
      <c r="O710" s="549">
        <v>2976</v>
      </c>
      <c r="P710" s="549">
        <v>45</v>
      </c>
      <c r="Q710" s="549">
        <v>29163.46</v>
      </c>
    </row>
    <row r="711" spans="1:17" x14ac:dyDescent="0.25">
      <c r="A711" s="549" t="s">
        <v>971</v>
      </c>
      <c r="B711" s="549" t="s">
        <v>972</v>
      </c>
      <c r="C711" s="549" t="s">
        <v>648</v>
      </c>
      <c r="D711" s="549" t="s">
        <v>649</v>
      </c>
      <c r="E711" s="549" t="s">
        <v>977</v>
      </c>
      <c r="F711" s="549" t="s">
        <v>1212</v>
      </c>
      <c r="G711" s="549">
        <v>2522</v>
      </c>
      <c r="H711" s="549" t="s">
        <v>648</v>
      </c>
      <c r="I711" s="549" t="s">
        <v>976</v>
      </c>
      <c r="J711" s="549" t="s">
        <v>976</v>
      </c>
      <c r="K711" s="549" t="s">
        <v>976</v>
      </c>
      <c r="L711" s="549">
        <v>633521.49</v>
      </c>
      <c r="M711" s="549">
        <v>47830.87</v>
      </c>
      <c r="N711" s="549">
        <v>14000.82</v>
      </c>
      <c r="O711" s="549">
        <v>2976</v>
      </c>
      <c r="P711" s="549">
        <v>45</v>
      </c>
      <c r="Q711" s="549">
        <v>29163.46</v>
      </c>
    </row>
    <row r="712" spans="1:17" x14ac:dyDescent="0.25">
      <c r="A712" s="549" t="s">
        <v>971</v>
      </c>
      <c r="B712" s="549" t="s">
        <v>972</v>
      </c>
      <c r="C712" s="549" t="s">
        <v>648</v>
      </c>
      <c r="D712" s="549" t="s">
        <v>649</v>
      </c>
      <c r="E712" s="549" t="s">
        <v>977</v>
      </c>
      <c r="F712" s="549" t="s">
        <v>1212</v>
      </c>
      <c r="G712" s="549">
        <v>6302</v>
      </c>
      <c r="H712" s="549" t="s">
        <v>648</v>
      </c>
      <c r="I712" s="549" t="s">
        <v>976</v>
      </c>
      <c r="J712" s="549" t="s">
        <v>976</v>
      </c>
      <c r="K712" s="549" t="s">
        <v>976</v>
      </c>
      <c r="L712" s="549">
        <v>136264.03</v>
      </c>
      <c r="M712" s="549">
        <v>10287.93</v>
      </c>
      <c r="N712" s="549">
        <v>3011.44</v>
      </c>
      <c r="O712" s="549">
        <v>1984</v>
      </c>
      <c r="P712" s="549">
        <v>45</v>
      </c>
      <c r="Q712" s="549">
        <v>6877.52</v>
      </c>
    </row>
    <row r="713" spans="1:17" x14ac:dyDescent="0.25">
      <c r="A713" s="549" t="s">
        <v>971</v>
      </c>
      <c r="B713" s="549" t="s">
        <v>972</v>
      </c>
      <c r="C713" s="549" t="s">
        <v>648</v>
      </c>
      <c r="D713" s="549" t="s">
        <v>649</v>
      </c>
      <c r="E713" s="549" t="s">
        <v>977</v>
      </c>
      <c r="F713" s="549" t="s">
        <v>1212</v>
      </c>
      <c r="G713" s="549">
        <v>6312</v>
      </c>
      <c r="H713" s="549" t="s">
        <v>648</v>
      </c>
      <c r="I713" s="549" t="s">
        <v>976</v>
      </c>
      <c r="J713" s="549" t="s">
        <v>976</v>
      </c>
      <c r="K713" s="549" t="s">
        <v>976</v>
      </c>
      <c r="L713" s="549">
        <v>149535.56</v>
      </c>
      <c r="M713" s="549">
        <v>11289.93</v>
      </c>
      <c r="N713" s="549">
        <v>3304.74</v>
      </c>
      <c r="O713" s="549">
        <v>3968</v>
      </c>
      <c r="P713" s="549">
        <v>100</v>
      </c>
      <c r="Q713" s="549">
        <v>18562.669999999998</v>
      </c>
    </row>
    <row r="714" spans="1:17" x14ac:dyDescent="0.25">
      <c r="A714" s="549" t="s">
        <v>971</v>
      </c>
      <c r="B714" s="549" t="s">
        <v>972</v>
      </c>
      <c r="C714" s="549" t="s">
        <v>648</v>
      </c>
      <c r="D714" s="549" t="s">
        <v>649</v>
      </c>
      <c r="E714" s="549" t="s">
        <v>977</v>
      </c>
      <c r="F714" s="549" t="s">
        <v>1212</v>
      </c>
      <c r="G714" s="549">
        <v>6382</v>
      </c>
      <c r="H714" s="549" t="s">
        <v>648</v>
      </c>
      <c r="I714" s="549" t="s">
        <v>976</v>
      </c>
      <c r="J714" s="549" t="s">
        <v>976</v>
      </c>
      <c r="K714" s="549" t="s">
        <v>976</v>
      </c>
      <c r="L714" s="549">
        <v>136264.03</v>
      </c>
      <c r="M714" s="549">
        <v>10287.93</v>
      </c>
      <c r="N714" s="549">
        <v>3011.44</v>
      </c>
      <c r="O714" s="549">
        <v>1984</v>
      </c>
      <c r="P714" s="549">
        <v>45</v>
      </c>
      <c r="Q714" s="549">
        <v>6877.52</v>
      </c>
    </row>
    <row r="715" spans="1:17" x14ac:dyDescent="0.25">
      <c r="A715" s="549" t="s">
        <v>971</v>
      </c>
      <c r="B715" s="549" t="s">
        <v>972</v>
      </c>
      <c r="C715" s="549" t="s">
        <v>648</v>
      </c>
      <c r="D715" s="549" t="s">
        <v>649</v>
      </c>
      <c r="E715" s="549" t="s">
        <v>977</v>
      </c>
      <c r="F715" s="549" t="s">
        <v>1212</v>
      </c>
      <c r="G715" s="549" t="s">
        <v>1231</v>
      </c>
      <c r="H715" s="549" t="s">
        <v>648</v>
      </c>
      <c r="I715" s="549" t="s">
        <v>976</v>
      </c>
      <c r="J715" s="549" t="s">
        <v>976</v>
      </c>
      <c r="K715" s="549" t="s">
        <v>976</v>
      </c>
      <c r="L715" s="549">
        <v>35209.17</v>
      </c>
      <c r="M715" s="549">
        <v>2658.29</v>
      </c>
      <c r="N715" s="549">
        <v>778.12</v>
      </c>
      <c r="O715" s="549">
        <v>1984</v>
      </c>
      <c r="P715" s="549">
        <v>45</v>
      </c>
      <c r="Q715" s="549">
        <v>2439.1799999999998</v>
      </c>
    </row>
    <row r="716" spans="1:17" x14ac:dyDescent="0.25">
      <c r="A716" s="549" t="s">
        <v>971</v>
      </c>
      <c r="B716" s="549" t="s">
        <v>972</v>
      </c>
      <c r="C716" s="549" t="s">
        <v>648</v>
      </c>
      <c r="D716" s="549" t="s">
        <v>649</v>
      </c>
      <c r="E716" s="549" t="s">
        <v>977</v>
      </c>
      <c r="F716" s="549" t="s">
        <v>1212</v>
      </c>
      <c r="G716" s="549" t="s">
        <v>1232</v>
      </c>
      <c r="H716" s="549" t="s">
        <v>648</v>
      </c>
      <c r="I716" s="549" t="s">
        <v>976</v>
      </c>
      <c r="J716" s="549" t="s">
        <v>976</v>
      </c>
      <c r="K716" s="549" t="s">
        <v>976</v>
      </c>
      <c r="L716" s="549">
        <v>30946.23</v>
      </c>
      <c r="M716" s="549">
        <v>2336.44</v>
      </c>
      <c r="N716" s="549">
        <v>683.91</v>
      </c>
      <c r="O716" s="549">
        <v>0</v>
      </c>
      <c r="P716" s="549">
        <v>100</v>
      </c>
      <c r="Q716" s="549">
        <v>3020.35</v>
      </c>
    </row>
    <row r="717" spans="1:17" x14ac:dyDescent="0.25">
      <c r="A717" s="549" t="s">
        <v>1014</v>
      </c>
      <c r="B717" s="549" t="s">
        <v>1015</v>
      </c>
      <c r="C717" s="549" t="s">
        <v>519</v>
      </c>
      <c r="D717" s="549" t="s">
        <v>492</v>
      </c>
      <c r="E717" s="549" t="s">
        <v>977</v>
      </c>
      <c r="F717" s="549" t="s">
        <v>1212</v>
      </c>
      <c r="G717" s="549" t="s">
        <v>1233</v>
      </c>
      <c r="H717" s="549" t="s">
        <v>519</v>
      </c>
      <c r="I717" s="549" t="s">
        <v>976</v>
      </c>
      <c r="J717" s="549" t="s">
        <v>976</v>
      </c>
      <c r="K717" s="549" t="s">
        <v>976</v>
      </c>
      <c r="L717" s="549">
        <v>61764.51</v>
      </c>
      <c r="M717" s="549">
        <v>4663.22</v>
      </c>
      <c r="N717" s="549">
        <v>1365</v>
      </c>
      <c r="O717" s="549">
        <v>1984</v>
      </c>
      <c r="P717" s="549">
        <v>3.25</v>
      </c>
      <c r="Q717" s="549">
        <v>260.39999999999998</v>
      </c>
    </row>
    <row r="718" spans="1:17" x14ac:dyDescent="0.25">
      <c r="A718" s="549" t="s">
        <v>1014</v>
      </c>
      <c r="B718" s="549" t="s">
        <v>1015</v>
      </c>
      <c r="C718" s="549" t="s">
        <v>519</v>
      </c>
      <c r="D718" s="549" t="s">
        <v>492</v>
      </c>
      <c r="E718" s="549" t="s">
        <v>977</v>
      </c>
      <c r="F718" s="549" t="s">
        <v>1212</v>
      </c>
      <c r="G718" s="549">
        <v>1102</v>
      </c>
      <c r="H718" s="549" t="s">
        <v>519</v>
      </c>
      <c r="I718" s="549" t="s">
        <v>976</v>
      </c>
      <c r="J718" s="549" t="s">
        <v>976</v>
      </c>
      <c r="K718" s="549" t="s">
        <v>976</v>
      </c>
      <c r="L718" s="549">
        <v>262326.90000000002</v>
      </c>
      <c r="M718" s="549">
        <v>19805.68</v>
      </c>
      <c r="N718" s="549">
        <v>5797.42</v>
      </c>
      <c r="O718" s="549">
        <v>3968</v>
      </c>
      <c r="P718" s="549">
        <v>100</v>
      </c>
      <c r="Q718" s="549">
        <v>29571.1</v>
      </c>
    </row>
    <row r="719" spans="1:17" x14ac:dyDescent="0.25">
      <c r="A719" s="549" t="s">
        <v>1014</v>
      </c>
      <c r="B719" s="549" t="s">
        <v>1015</v>
      </c>
      <c r="C719" s="549" t="s">
        <v>519</v>
      </c>
      <c r="D719" s="549" t="s">
        <v>492</v>
      </c>
      <c r="E719" s="549" t="s">
        <v>977</v>
      </c>
      <c r="F719" s="549" t="s">
        <v>1212</v>
      </c>
      <c r="G719" s="549">
        <v>1092</v>
      </c>
      <c r="H719" s="549" t="s">
        <v>519</v>
      </c>
      <c r="I719" s="549" t="s">
        <v>976</v>
      </c>
      <c r="J719" s="549" t="s">
        <v>976</v>
      </c>
      <c r="K719" s="549" t="s">
        <v>976</v>
      </c>
      <c r="L719" s="549">
        <v>239044.95</v>
      </c>
      <c r="M719" s="549">
        <v>18047.89</v>
      </c>
      <c r="N719" s="549">
        <v>5282.89</v>
      </c>
      <c r="O719" s="549">
        <v>1984</v>
      </c>
      <c r="P719" s="549">
        <v>3.25</v>
      </c>
      <c r="Q719" s="549">
        <v>822.73</v>
      </c>
    </row>
    <row r="720" spans="1:17" x14ac:dyDescent="0.25">
      <c r="A720" s="549" t="s">
        <v>1014</v>
      </c>
      <c r="B720" s="549" t="s">
        <v>1015</v>
      </c>
      <c r="C720" s="549" t="s">
        <v>519</v>
      </c>
      <c r="D720" s="549" t="s">
        <v>492</v>
      </c>
      <c r="E720" s="549" t="s">
        <v>977</v>
      </c>
      <c r="F720" s="549" t="s">
        <v>1212</v>
      </c>
      <c r="G720" s="549">
        <v>1072</v>
      </c>
      <c r="H720" s="549" t="s">
        <v>519</v>
      </c>
      <c r="I720" s="549" t="s">
        <v>976</v>
      </c>
      <c r="J720" s="549" t="s">
        <v>976</v>
      </c>
      <c r="K720" s="549" t="s">
        <v>976</v>
      </c>
      <c r="L720" s="549">
        <v>239044.95</v>
      </c>
      <c r="M720" s="549">
        <v>18047.89</v>
      </c>
      <c r="N720" s="549">
        <v>5282.89</v>
      </c>
      <c r="O720" s="549">
        <v>1984</v>
      </c>
      <c r="P720" s="549">
        <v>3.25</v>
      </c>
      <c r="Q720" s="549">
        <v>822.73</v>
      </c>
    </row>
    <row r="721" spans="1:17" x14ac:dyDescent="0.25">
      <c r="A721" s="549" t="s">
        <v>980</v>
      </c>
      <c r="B721" s="549" t="s">
        <v>981</v>
      </c>
      <c r="C721" s="549" t="s">
        <v>663</v>
      </c>
      <c r="D721" s="549" t="s">
        <v>664</v>
      </c>
      <c r="E721" s="549" t="s">
        <v>977</v>
      </c>
      <c r="F721" s="549" t="s">
        <v>1212</v>
      </c>
      <c r="G721" s="549">
        <v>6</v>
      </c>
      <c r="H721" s="549" t="s">
        <v>663</v>
      </c>
      <c r="I721" s="549" t="s">
        <v>976</v>
      </c>
      <c r="J721" s="549" t="s">
        <v>976</v>
      </c>
      <c r="K721" s="549" t="s">
        <v>976</v>
      </c>
      <c r="L721" s="549">
        <v>85577.98</v>
      </c>
      <c r="M721" s="549">
        <v>6461.14</v>
      </c>
      <c r="N721" s="549">
        <v>1891.27</v>
      </c>
      <c r="O721" s="549">
        <v>992</v>
      </c>
      <c r="P721" s="549">
        <v>100</v>
      </c>
      <c r="Q721" s="549">
        <v>9344.41</v>
      </c>
    </row>
    <row r="722" spans="1:17" x14ac:dyDescent="0.25">
      <c r="A722" s="549" t="s">
        <v>980</v>
      </c>
      <c r="B722" s="549" t="s">
        <v>981</v>
      </c>
      <c r="C722" s="549" t="s">
        <v>663</v>
      </c>
      <c r="D722" s="549" t="s">
        <v>664</v>
      </c>
      <c r="E722" s="549" t="s">
        <v>977</v>
      </c>
      <c r="F722" s="549" t="s">
        <v>1212</v>
      </c>
      <c r="G722" s="549">
        <v>7</v>
      </c>
      <c r="H722" s="549" t="s">
        <v>663</v>
      </c>
      <c r="I722" s="549" t="s">
        <v>976</v>
      </c>
      <c r="J722" s="549" t="s">
        <v>976</v>
      </c>
      <c r="K722" s="549" t="s">
        <v>976</v>
      </c>
      <c r="L722" s="549">
        <v>85577.98</v>
      </c>
      <c r="M722" s="549">
        <v>6461.14</v>
      </c>
      <c r="N722" s="549">
        <v>1891.27</v>
      </c>
      <c r="O722" s="549">
        <v>992</v>
      </c>
      <c r="P722" s="549">
        <v>100</v>
      </c>
      <c r="Q722" s="549">
        <v>9344.41</v>
      </c>
    </row>
    <row r="723" spans="1:17" x14ac:dyDescent="0.25">
      <c r="A723" s="549" t="s">
        <v>980</v>
      </c>
      <c r="B723" s="549" t="s">
        <v>981</v>
      </c>
      <c r="C723" s="549" t="s">
        <v>663</v>
      </c>
      <c r="D723" s="549" t="s">
        <v>664</v>
      </c>
      <c r="E723" s="549" t="s">
        <v>977</v>
      </c>
      <c r="F723" s="549" t="s">
        <v>1212</v>
      </c>
      <c r="G723" s="549">
        <v>8</v>
      </c>
      <c r="H723" s="549" t="s">
        <v>663</v>
      </c>
      <c r="I723" s="549" t="s">
        <v>976</v>
      </c>
      <c r="J723" s="549" t="s">
        <v>976</v>
      </c>
      <c r="K723" s="549" t="s">
        <v>976</v>
      </c>
      <c r="L723" s="549">
        <v>85577.98</v>
      </c>
      <c r="M723" s="549">
        <v>6461.14</v>
      </c>
      <c r="N723" s="549">
        <v>1891.27</v>
      </c>
      <c r="O723" s="549">
        <v>992</v>
      </c>
      <c r="P723" s="549">
        <v>100</v>
      </c>
      <c r="Q723" s="549">
        <v>9344.41</v>
      </c>
    </row>
    <row r="724" spans="1:17" x14ac:dyDescent="0.25">
      <c r="A724" s="549" t="s">
        <v>980</v>
      </c>
      <c r="B724" s="549" t="s">
        <v>981</v>
      </c>
      <c r="C724" s="549" t="s">
        <v>663</v>
      </c>
      <c r="D724" s="549" t="s">
        <v>664</v>
      </c>
      <c r="E724" s="549" t="s">
        <v>977</v>
      </c>
      <c r="F724" s="549" t="s">
        <v>1212</v>
      </c>
      <c r="G724" s="549">
        <v>9</v>
      </c>
      <c r="H724" s="549" t="s">
        <v>663</v>
      </c>
      <c r="I724" s="549" t="s">
        <v>976</v>
      </c>
      <c r="J724" s="549" t="s">
        <v>976</v>
      </c>
      <c r="K724" s="549" t="s">
        <v>976</v>
      </c>
      <c r="L724" s="549">
        <v>85577.98</v>
      </c>
      <c r="M724" s="549">
        <v>6461.14</v>
      </c>
      <c r="N724" s="549">
        <v>1891.27</v>
      </c>
      <c r="O724" s="549">
        <v>992</v>
      </c>
      <c r="P724" s="549">
        <v>100</v>
      </c>
      <c r="Q724" s="549">
        <v>9344.41</v>
      </c>
    </row>
    <row r="725" spans="1:17" x14ac:dyDescent="0.25">
      <c r="A725" s="549" t="s">
        <v>980</v>
      </c>
      <c r="B725" s="549" t="s">
        <v>981</v>
      </c>
      <c r="C725" s="549" t="s">
        <v>663</v>
      </c>
      <c r="D725" s="549" t="s">
        <v>664</v>
      </c>
      <c r="E725" s="549" t="s">
        <v>977</v>
      </c>
      <c r="F725" s="549" t="s">
        <v>1212</v>
      </c>
      <c r="G725" s="549">
        <v>10</v>
      </c>
      <c r="H725" s="549" t="s">
        <v>663</v>
      </c>
      <c r="I725" s="549" t="s">
        <v>976</v>
      </c>
      <c r="J725" s="549" t="s">
        <v>976</v>
      </c>
      <c r="K725" s="549" t="s">
        <v>976</v>
      </c>
      <c r="L725" s="549">
        <v>85577.98</v>
      </c>
      <c r="M725" s="549">
        <v>6461.14</v>
      </c>
      <c r="N725" s="549">
        <v>1891.27</v>
      </c>
      <c r="O725" s="549">
        <v>992</v>
      </c>
      <c r="P725" s="549">
        <v>100</v>
      </c>
      <c r="Q725" s="549">
        <v>9344.41</v>
      </c>
    </row>
    <row r="726" spans="1:17" x14ac:dyDescent="0.25">
      <c r="A726" s="549" t="s">
        <v>980</v>
      </c>
      <c r="B726" s="549" t="s">
        <v>981</v>
      </c>
      <c r="C726" s="549" t="s">
        <v>663</v>
      </c>
      <c r="D726" s="549" t="s">
        <v>664</v>
      </c>
      <c r="E726" s="549" t="s">
        <v>977</v>
      </c>
      <c r="F726" s="549" t="s">
        <v>1212</v>
      </c>
      <c r="G726" s="549">
        <v>11</v>
      </c>
      <c r="H726" s="549" t="s">
        <v>663</v>
      </c>
      <c r="I726" s="549" t="s">
        <v>976</v>
      </c>
      <c r="J726" s="549" t="s">
        <v>976</v>
      </c>
      <c r="K726" s="549" t="s">
        <v>976</v>
      </c>
      <c r="L726" s="549">
        <v>85577.98</v>
      </c>
      <c r="M726" s="549">
        <v>6461.14</v>
      </c>
      <c r="N726" s="549">
        <v>1891.27</v>
      </c>
      <c r="O726" s="549">
        <v>992</v>
      </c>
      <c r="P726" s="549">
        <v>100</v>
      </c>
      <c r="Q726" s="549">
        <v>9344.41</v>
      </c>
    </row>
    <row r="727" spans="1:17" x14ac:dyDescent="0.25">
      <c r="A727" s="549" t="s">
        <v>980</v>
      </c>
      <c r="B727" s="549" t="s">
        <v>981</v>
      </c>
      <c r="C727" s="549" t="s">
        <v>663</v>
      </c>
      <c r="D727" s="549" t="s">
        <v>664</v>
      </c>
      <c r="E727" s="549" t="s">
        <v>977</v>
      </c>
      <c r="F727" s="549" t="s">
        <v>1212</v>
      </c>
      <c r="G727" s="549">
        <v>38</v>
      </c>
      <c r="H727" s="549" t="s">
        <v>663</v>
      </c>
      <c r="I727" s="549" t="s">
        <v>976</v>
      </c>
      <c r="J727" s="549" t="s">
        <v>976</v>
      </c>
      <c r="K727" s="549" t="s">
        <v>976</v>
      </c>
      <c r="L727" s="549">
        <v>88207.85</v>
      </c>
      <c r="M727" s="549">
        <v>6659.69</v>
      </c>
      <c r="N727" s="549">
        <v>1949.39</v>
      </c>
      <c r="O727" s="549">
        <v>992</v>
      </c>
      <c r="P727" s="549">
        <v>100</v>
      </c>
      <c r="Q727" s="549">
        <v>9601.08</v>
      </c>
    </row>
    <row r="728" spans="1:17" x14ac:dyDescent="0.25">
      <c r="A728" s="549" t="s">
        <v>980</v>
      </c>
      <c r="B728" s="549" t="s">
        <v>981</v>
      </c>
      <c r="C728" s="549" t="s">
        <v>663</v>
      </c>
      <c r="D728" s="549" t="s">
        <v>664</v>
      </c>
      <c r="E728" s="549" t="s">
        <v>977</v>
      </c>
      <c r="F728" s="549" t="s">
        <v>1212</v>
      </c>
      <c r="G728" s="549">
        <v>39</v>
      </c>
      <c r="H728" s="549" t="s">
        <v>663</v>
      </c>
      <c r="I728" s="549" t="s">
        <v>976</v>
      </c>
      <c r="J728" s="549" t="s">
        <v>976</v>
      </c>
      <c r="K728" s="549" t="s">
        <v>976</v>
      </c>
      <c r="L728" s="549">
        <v>88207.85</v>
      </c>
      <c r="M728" s="549">
        <v>6659.69</v>
      </c>
      <c r="N728" s="549">
        <v>1949.39</v>
      </c>
      <c r="O728" s="549">
        <v>992</v>
      </c>
      <c r="P728" s="549">
        <v>100</v>
      </c>
      <c r="Q728" s="549">
        <v>9601.08</v>
      </c>
    </row>
    <row r="729" spans="1:17" x14ac:dyDescent="0.25">
      <c r="A729" s="549" t="s">
        <v>980</v>
      </c>
      <c r="B729" s="549" t="s">
        <v>981</v>
      </c>
      <c r="C729" s="549" t="s">
        <v>663</v>
      </c>
      <c r="D729" s="549" t="s">
        <v>664</v>
      </c>
      <c r="E729" s="549" t="s">
        <v>977</v>
      </c>
      <c r="F729" s="549" t="s">
        <v>1212</v>
      </c>
      <c r="G729" s="549">
        <v>82</v>
      </c>
      <c r="H729" s="549" t="s">
        <v>663</v>
      </c>
      <c r="I729" s="549" t="s">
        <v>976</v>
      </c>
      <c r="J729" s="549" t="s">
        <v>976</v>
      </c>
      <c r="K729" s="549" t="s">
        <v>976</v>
      </c>
      <c r="L729" s="549">
        <v>347493.52</v>
      </c>
      <c r="M729" s="549">
        <v>26235.759999999998</v>
      </c>
      <c r="N729" s="549">
        <v>7679.61</v>
      </c>
      <c r="O729" s="549">
        <v>3968</v>
      </c>
      <c r="P729" s="549">
        <v>100</v>
      </c>
      <c r="Q729" s="549">
        <v>37883.370000000003</v>
      </c>
    </row>
    <row r="730" spans="1:17" x14ac:dyDescent="0.25">
      <c r="A730" s="549" t="s">
        <v>980</v>
      </c>
      <c r="B730" s="549" t="s">
        <v>981</v>
      </c>
      <c r="C730" s="549" t="s">
        <v>663</v>
      </c>
      <c r="D730" s="549" t="s">
        <v>664</v>
      </c>
      <c r="E730" s="549" t="s">
        <v>977</v>
      </c>
      <c r="F730" s="549" t="s">
        <v>1212</v>
      </c>
      <c r="G730" s="549">
        <v>102</v>
      </c>
      <c r="H730" s="549" t="s">
        <v>663</v>
      </c>
      <c r="I730" s="549" t="s">
        <v>976</v>
      </c>
      <c r="J730" s="549" t="s">
        <v>976</v>
      </c>
      <c r="K730" s="549" t="s">
        <v>976</v>
      </c>
      <c r="L730" s="549">
        <v>347493.52</v>
      </c>
      <c r="M730" s="549">
        <v>26235.759999999998</v>
      </c>
      <c r="N730" s="549">
        <v>7679.61</v>
      </c>
      <c r="O730" s="549">
        <v>3968</v>
      </c>
      <c r="P730" s="549">
        <v>100</v>
      </c>
      <c r="Q730" s="549">
        <v>37883.370000000003</v>
      </c>
    </row>
    <row r="731" spans="1:17" x14ac:dyDescent="0.25">
      <c r="A731" s="549" t="s">
        <v>980</v>
      </c>
      <c r="B731" s="549" t="s">
        <v>981</v>
      </c>
      <c r="C731" s="549" t="s">
        <v>663</v>
      </c>
      <c r="D731" s="549" t="s">
        <v>664</v>
      </c>
      <c r="E731" s="549" t="s">
        <v>977</v>
      </c>
      <c r="F731" s="549" t="s">
        <v>1212</v>
      </c>
      <c r="G731" s="549" t="s">
        <v>1234</v>
      </c>
      <c r="H731" s="549" t="s">
        <v>663</v>
      </c>
      <c r="I731" s="549" t="s">
        <v>976</v>
      </c>
      <c r="J731" s="549" t="s">
        <v>976</v>
      </c>
      <c r="K731" s="549" t="s">
        <v>976</v>
      </c>
      <c r="L731" s="549">
        <v>108121.03</v>
      </c>
      <c r="M731" s="549">
        <v>8163.14</v>
      </c>
      <c r="N731" s="549">
        <v>2389.4699999999998</v>
      </c>
      <c r="O731" s="549">
        <v>1984</v>
      </c>
      <c r="P731" s="549">
        <v>100</v>
      </c>
      <c r="Q731" s="549">
        <v>12536.61</v>
      </c>
    </row>
    <row r="732" spans="1:17" x14ac:dyDescent="0.25">
      <c r="A732" s="549" t="s">
        <v>980</v>
      </c>
      <c r="B732" s="549" t="s">
        <v>981</v>
      </c>
      <c r="C732" s="549" t="s">
        <v>663</v>
      </c>
      <c r="D732" s="549" t="s">
        <v>664</v>
      </c>
      <c r="E732" s="549" t="s">
        <v>977</v>
      </c>
      <c r="F732" s="549" t="s">
        <v>1212</v>
      </c>
      <c r="G732" s="549" t="s">
        <v>1235</v>
      </c>
      <c r="H732" s="549" t="s">
        <v>663</v>
      </c>
      <c r="I732" s="549" t="s">
        <v>976</v>
      </c>
      <c r="J732" s="549" t="s">
        <v>976</v>
      </c>
      <c r="K732" s="549" t="s">
        <v>976</v>
      </c>
      <c r="L732" s="549">
        <v>271431.39</v>
      </c>
      <c r="M732" s="549">
        <v>20493.07</v>
      </c>
      <c r="N732" s="549">
        <v>5998.63</v>
      </c>
      <c r="O732" s="549">
        <v>992</v>
      </c>
      <c r="P732" s="549">
        <v>100</v>
      </c>
      <c r="Q732" s="549">
        <v>27483.7</v>
      </c>
    </row>
    <row r="733" spans="1:17" x14ac:dyDescent="0.25">
      <c r="A733" s="549" t="s">
        <v>980</v>
      </c>
      <c r="B733" s="549" t="s">
        <v>981</v>
      </c>
      <c r="C733" s="549" t="s">
        <v>663</v>
      </c>
      <c r="D733" s="549" t="s">
        <v>664</v>
      </c>
      <c r="E733" s="549" t="s">
        <v>977</v>
      </c>
      <c r="F733" s="549" t="s">
        <v>1212</v>
      </c>
      <c r="G733" s="549" t="s">
        <v>1236</v>
      </c>
      <c r="H733" s="549" t="s">
        <v>663</v>
      </c>
      <c r="I733" s="549" t="s">
        <v>976</v>
      </c>
      <c r="J733" s="549" t="s">
        <v>976</v>
      </c>
      <c r="K733" s="549" t="s">
        <v>976</v>
      </c>
      <c r="L733" s="549">
        <v>271431.39</v>
      </c>
      <c r="M733" s="549">
        <v>20493.07</v>
      </c>
      <c r="N733" s="549">
        <v>5998.63</v>
      </c>
      <c r="O733" s="549">
        <v>992</v>
      </c>
      <c r="P733" s="549">
        <v>100</v>
      </c>
      <c r="Q733" s="549">
        <v>27483.7</v>
      </c>
    </row>
    <row r="734" spans="1:17" x14ac:dyDescent="0.25">
      <c r="A734" s="549" t="s">
        <v>980</v>
      </c>
      <c r="B734" s="549" t="s">
        <v>981</v>
      </c>
      <c r="C734" s="549" t="s">
        <v>663</v>
      </c>
      <c r="D734" s="549" t="s">
        <v>664</v>
      </c>
      <c r="E734" s="549" t="s">
        <v>977</v>
      </c>
      <c r="F734" s="549" t="s">
        <v>1212</v>
      </c>
      <c r="G734" s="549" t="s">
        <v>1237</v>
      </c>
      <c r="H734" s="549" t="s">
        <v>663</v>
      </c>
      <c r="I734" s="549" t="s">
        <v>976</v>
      </c>
      <c r="J734" s="549" t="s">
        <v>976</v>
      </c>
      <c r="K734" s="549" t="s">
        <v>976</v>
      </c>
      <c r="L734" s="549">
        <v>31410.32</v>
      </c>
      <c r="M734" s="549">
        <v>2371.48</v>
      </c>
      <c r="N734" s="549">
        <v>694.17</v>
      </c>
      <c r="O734" s="549">
        <v>0</v>
      </c>
      <c r="P734" s="549">
        <v>100</v>
      </c>
      <c r="Q734" s="549">
        <v>3065.65</v>
      </c>
    </row>
    <row r="735" spans="1:17" x14ac:dyDescent="0.25">
      <c r="A735" s="549" t="s">
        <v>980</v>
      </c>
      <c r="B735" s="549" t="s">
        <v>981</v>
      </c>
      <c r="C735" s="549" t="s">
        <v>663</v>
      </c>
      <c r="D735" s="549" t="s">
        <v>664</v>
      </c>
      <c r="E735" s="549" t="s">
        <v>977</v>
      </c>
      <c r="F735" s="549" t="s">
        <v>1212</v>
      </c>
      <c r="G735" s="549" t="s">
        <v>1238</v>
      </c>
      <c r="H735" s="549" t="s">
        <v>663</v>
      </c>
      <c r="I735" s="549" t="s">
        <v>976</v>
      </c>
      <c r="J735" s="549" t="s">
        <v>976</v>
      </c>
      <c r="K735" s="549" t="s">
        <v>976</v>
      </c>
      <c r="L735" s="549">
        <v>31410.32</v>
      </c>
      <c r="M735" s="549">
        <v>2371.48</v>
      </c>
      <c r="N735" s="549">
        <v>694.17</v>
      </c>
      <c r="O735" s="549">
        <v>0</v>
      </c>
      <c r="P735" s="549">
        <v>100</v>
      </c>
      <c r="Q735" s="549">
        <v>3065.65</v>
      </c>
    </row>
    <row r="736" spans="1:17" x14ac:dyDescent="0.25">
      <c r="A736" s="549" t="s">
        <v>980</v>
      </c>
      <c r="B736" s="549" t="s">
        <v>981</v>
      </c>
      <c r="C736" s="549" t="s">
        <v>663</v>
      </c>
      <c r="D736" s="549" t="s">
        <v>664</v>
      </c>
      <c r="E736" s="549" t="s">
        <v>977</v>
      </c>
      <c r="F736" s="549" t="s">
        <v>1212</v>
      </c>
      <c r="G736" s="549" t="s">
        <v>1239</v>
      </c>
      <c r="H736" s="549" t="s">
        <v>663</v>
      </c>
      <c r="I736" s="549" t="s">
        <v>976</v>
      </c>
      <c r="J736" s="549" t="s">
        <v>976</v>
      </c>
      <c r="K736" s="549" t="s">
        <v>976</v>
      </c>
      <c r="L736" s="549">
        <v>49288.68</v>
      </c>
      <c r="M736" s="549">
        <v>3721.3</v>
      </c>
      <c r="N736" s="549">
        <v>1089.28</v>
      </c>
      <c r="O736" s="549">
        <v>0</v>
      </c>
      <c r="P736" s="549">
        <v>100</v>
      </c>
      <c r="Q736" s="549">
        <v>4810.58</v>
      </c>
    </row>
    <row r="737" spans="1:17" x14ac:dyDescent="0.25">
      <c r="A737" s="549" t="s">
        <v>980</v>
      </c>
      <c r="B737" s="549" t="s">
        <v>981</v>
      </c>
      <c r="C737" s="549" t="s">
        <v>663</v>
      </c>
      <c r="D737" s="549" t="s">
        <v>664</v>
      </c>
      <c r="E737" s="549" t="s">
        <v>977</v>
      </c>
      <c r="F737" s="549" t="s">
        <v>1212</v>
      </c>
      <c r="G737" s="549" t="s">
        <v>1240</v>
      </c>
      <c r="H737" s="549" t="s">
        <v>663</v>
      </c>
      <c r="I737" s="549" t="s">
        <v>976</v>
      </c>
      <c r="J737" s="549" t="s">
        <v>976</v>
      </c>
      <c r="K737" s="549" t="s">
        <v>976</v>
      </c>
      <c r="L737" s="549">
        <v>49288.68</v>
      </c>
      <c r="M737" s="549">
        <v>3721.3</v>
      </c>
      <c r="N737" s="549">
        <v>1089.28</v>
      </c>
      <c r="O737" s="549">
        <v>0</v>
      </c>
      <c r="P737" s="549">
        <v>100</v>
      </c>
      <c r="Q737" s="549">
        <v>4810.58</v>
      </c>
    </row>
    <row r="738" spans="1:17" x14ac:dyDescent="0.25">
      <c r="A738" s="549" t="s">
        <v>1014</v>
      </c>
      <c r="B738" s="549" t="s">
        <v>1015</v>
      </c>
      <c r="C738" s="549" t="s">
        <v>519</v>
      </c>
      <c r="D738" s="549" t="s">
        <v>492</v>
      </c>
      <c r="E738" s="549" t="s">
        <v>977</v>
      </c>
      <c r="F738" s="549" t="s">
        <v>1212</v>
      </c>
      <c r="G738" s="549">
        <v>1062</v>
      </c>
      <c r="H738" s="549" t="s">
        <v>519</v>
      </c>
      <c r="I738" s="549" t="s">
        <v>976</v>
      </c>
      <c r="J738" s="549" t="s">
        <v>976</v>
      </c>
      <c r="K738" s="549" t="s">
        <v>976</v>
      </c>
      <c r="L738" s="549">
        <v>262326.90000000002</v>
      </c>
      <c r="M738" s="549">
        <v>19805.68</v>
      </c>
      <c r="N738" s="549">
        <v>5797.42</v>
      </c>
      <c r="O738" s="549">
        <v>3968</v>
      </c>
      <c r="P738" s="549">
        <v>100</v>
      </c>
      <c r="Q738" s="549">
        <v>29571.1</v>
      </c>
    </row>
    <row r="739" spans="1:17" x14ac:dyDescent="0.25">
      <c r="A739" s="549" t="s">
        <v>1162</v>
      </c>
      <c r="B739" s="549" t="s">
        <v>1163</v>
      </c>
      <c r="C739" s="549" t="s">
        <v>665</v>
      </c>
      <c r="D739" s="549" t="s">
        <v>666</v>
      </c>
      <c r="E739" s="549" t="s">
        <v>977</v>
      </c>
      <c r="F739" s="549" t="s">
        <v>1212</v>
      </c>
      <c r="G739" s="549">
        <v>52</v>
      </c>
      <c r="H739" s="549" t="s">
        <v>665</v>
      </c>
      <c r="I739" s="549" t="s">
        <v>976</v>
      </c>
      <c r="J739" s="549" t="s">
        <v>976</v>
      </c>
      <c r="K739" s="549" t="s">
        <v>976</v>
      </c>
      <c r="L739" s="549">
        <v>347493.52</v>
      </c>
      <c r="M739" s="549">
        <v>26235.759999999998</v>
      </c>
      <c r="N739" s="549">
        <v>7679.61</v>
      </c>
      <c r="O739" s="549">
        <v>1984</v>
      </c>
      <c r="P739" s="549">
        <v>100</v>
      </c>
      <c r="Q739" s="549">
        <v>35899.370000000003</v>
      </c>
    </row>
    <row r="740" spans="1:17" x14ac:dyDescent="0.25">
      <c r="A740" s="549" t="s">
        <v>1162</v>
      </c>
      <c r="B740" s="549" t="s">
        <v>1163</v>
      </c>
      <c r="C740" s="549" t="s">
        <v>665</v>
      </c>
      <c r="D740" s="549" t="s">
        <v>666</v>
      </c>
      <c r="E740" s="549" t="s">
        <v>977</v>
      </c>
      <c r="F740" s="549" t="s">
        <v>1212</v>
      </c>
      <c r="G740" s="549">
        <v>62</v>
      </c>
      <c r="H740" s="549" t="s">
        <v>665</v>
      </c>
      <c r="I740" s="549" t="s">
        <v>976</v>
      </c>
      <c r="J740" s="549" t="s">
        <v>976</v>
      </c>
      <c r="K740" s="549" t="s">
        <v>976</v>
      </c>
      <c r="L740" s="549">
        <v>347493.52</v>
      </c>
      <c r="M740" s="549">
        <v>26235.759999999998</v>
      </c>
      <c r="N740" s="549">
        <v>7679.61</v>
      </c>
      <c r="O740" s="549">
        <v>1984</v>
      </c>
      <c r="P740" s="549">
        <v>100</v>
      </c>
      <c r="Q740" s="549">
        <v>35899.370000000003</v>
      </c>
    </row>
    <row r="741" spans="1:17" x14ac:dyDescent="0.25">
      <c r="A741" s="549" t="s">
        <v>1162</v>
      </c>
      <c r="B741" s="549" t="s">
        <v>1163</v>
      </c>
      <c r="C741" s="549" t="s">
        <v>665</v>
      </c>
      <c r="D741" s="549" t="s">
        <v>666</v>
      </c>
      <c r="E741" s="549" t="s">
        <v>977</v>
      </c>
      <c r="F741" s="549" t="s">
        <v>1212</v>
      </c>
      <c r="G741" s="549">
        <v>212</v>
      </c>
      <c r="H741" s="549" t="s">
        <v>665</v>
      </c>
      <c r="I741" s="549" t="s">
        <v>976</v>
      </c>
      <c r="J741" s="549" t="s">
        <v>976</v>
      </c>
      <c r="K741" s="549" t="s">
        <v>976</v>
      </c>
      <c r="L741" s="549">
        <v>151202.22</v>
      </c>
      <c r="M741" s="549">
        <v>11415.77</v>
      </c>
      <c r="N741" s="549">
        <v>3341.57</v>
      </c>
      <c r="O741" s="549">
        <v>3968</v>
      </c>
      <c r="P741" s="549">
        <v>100</v>
      </c>
      <c r="Q741" s="549">
        <v>18725.34</v>
      </c>
    </row>
    <row r="742" spans="1:17" x14ac:dyDescent="0.25">
      <c r="A742" s="549" t="s">
        <v>1162</v>
      </c>
      <c r="B742" s="549" t="s">
        <v>1163</v>
      </c>
      <c r="C742" s="549" t="s">
        <v>665</v>
      </c>
      <c r="D742" s="549" t="s">
        <v>666</v>
      </c>
      <c r="E742" s="549" t="s">
        <v>977</v>
      </c>
      <c r="F742" s="549" t="s">
        <v>1212</v>
      </c>
      <c r="G742" s="549">
        <v>217</v>
      </c>
      <c r="H742" s="549" t="s">
        <v>665</v>
      </c>
      <c r="I742" s="549" t="s">
        <v>976</v>
      </c>
      <c r="J742" s="549" t="s">
        <v>976</v>
      </c>
      <c r="K742" s="549" t="s">
        <v>976</v>
      </c>
      <c r="L742" s="549">
        <v>20789.05</v>
      </c>
      <c r="M742" s="549">
        <v>1569.57</v>
      </c>
      <c r="N742" s="549">
        <v>459.44</v>
      </c>
      <c r="O742" s="549">
        <v>992</v>
      </c>
      <c r="P742" s="549">
        <v>100</v>
      </c>
      <c r="Q742" s="549">
        <v>3021.01</v>
      </c>
    </row>
    <row r="743" spans="1:17" x14ac:dyDescent="0.25">
      <c r="A743" s="549" t="s">
        <v>1014</v>
      </c>
      <c r="B743" s="549" t="s">
        <v>1015</v>
      </c>
      <c r="C743" s="549" t="s">
        <v>519</v>
      </c>
      <c r="D743" s="549" t="s">
        <v>492</v>
      </c>
      <c r="E743" s="549" t="s">
        <v>977</v>
      </c>
      <c r="F743" s="549" t="s">
        <v>1212</v>
      </c>
      <c r="G743" s="549">
        <v>177</v>
      </c>
      <c r="H743" s="549" t="s">
        <v>519</v>
      </c>
      <c r="I743" s="549" t="s">
        <v>976</v>
      </c>
      <c r="J743" s="549" t="s">
        <v>976</v>
      </c>
      <c r="K743" s="549" t="s">
        <v>976</v>
      </c>
      <c r="L743" s="549">
        <v>22696.29</v>
      </c>
      <c r="M743" s="549">
        <v>1713.57</v>
      </c>
      <c r="N743" s="549">
        <v>501.59</v>
      </c>
      <c r="O743" s="549">
        <v>992</v>
      </c>
      <c r="P743" s="549">
        <v>3.25</v>
      </c>
      <c r="Q743" s="549">
        <v>104.23</v>
      </c>
    </row>
    <row r="744" spans="1:17" x14ac:dyDescent="0.25">
      <c r="A744" s="549" t="s">
        <v>1162</v>
      </c>
      <c r="B744" s="549" t="s">
        <v>1163</v>
      </c>
      <c r="C744" s="549" t="s">
        <v>665</v>
      </c>
      <c r="D744" s="549" t="s">
        <v>666</v>
      </c>
      <c r="E744" s="549" t="s">
        <v>977</v>
      </c>
      <c r="F744" s="549" t="s">
        <v>1212</v>
      </c>
      <c r="G744" s="549">
        <v>232</v>
      </c>
      <c r="H744" s="549" t="s">
        <v>665</v>
      </c>
      <c r="I744" s="549" t="s">
        <v>976</v>
      </c>
      <c r="J744" s="549" t="s">
        <v>976</v>
      </c>
      <c r="K744" s="549" t="s">
        <v>976</v>
      </c>
      <c r="L744" s="549">
        <v>137782.76</v>
      </c>
      <c r="M744" s="549">
        <v>10402.6</v>
      </c>
      <c r="N744" s="549">
        <v>3045</v>
      </c>
      <c r="O744" s="549">
        <v>1984</v>
      </c>
      <c r="P744" s="549">
        <v>100</v>
      </c>
      <c r="Q744" s="549">
        <v>15431.6</v>
      </c>
    </row>
    <row r="745" spans="1:17" x14ac:dyDescent="0.25">
      <c r="A745" s="549" t="s">
        <v>1162</v>
      </c>
      <c r="B745" s="549" t="s">
        <v>1163</v>
      </c>
      <c r="C745" s="549" t="s">
        <v>665</v>
      </c>
      <c r="D745" s="549" t="s">
        <v>666</v>
      </c>
      <c r="E745" s="549" t="s">
        <v>977</v>
      </c>
      <c r="F745" s="549" t="s">
        <v>1212</v>
      </c>
      <c r="G745" s="549">
        <v>242</v>
      </c>
      <c r="H745" s="549" t="s">
        <v>665</v>
      </c>
      <c r="I745" s="549" t="s">
        <v>976</v>
      </c>
      <c r="J745" s="549" t="s">
        <v>976</v>
      </c>
      <c r="K745" s="549" t="s">
        <v>976</v>
      </c>
      <c r="L745" s="549">
        <v>151202.22</v>
      </c>
      <c r="M745" s="549">
        <v>11415.77</v>
      </c>
      <c r="N745" s="549">
        <v>3341.57</v>
      </c>
      <c r="O745" s="549">
        <v>3968</v>
      </c>
      <c r="P745" s="549">
        <v>100</v>
      </c>
      <c r="Q745" s="549">
        <v>18725.34</v>
      </c>
    </row>
    <row r="746" spans="1:17" x14ac:dyDescent="0.25">
      <c r="A746" s="549" t="s">
        <v>1162</v>
      </c>
      <c r="B746" s="549" t="s">
        <v>1163</v>
      </c>
      <c r="C746" s="549" t="s">
        <v>665</v>
      </c>
      <c r="D746" s="549" t="s">
        <v>666</v>
      </c>
      <c r="E746" s="549" t="s">
        <v>977</v>
      </c>
      <c r="F746" s="549" t="s">
        <v>1212</v>
      </c>
      <c r="G746" s="549">
        <v>282</v>
      </c>
      <c r="H746" s="549" t="s">
        <v>665</v>
      </c>
      <c r="I746" s="549" t="s">
        <v>976</v>
      </c>
      <c r="J746" s="549" t="s">
        <v>976</v>
      </c>
      <c r="K746" s="549" t="s">
        <v>976</v>
      </c>
      <c r="L746" s="549">
        <v>151202.22</v>
      </c>
      <c r="M746" s="549">
        <v>11415.77</v>
      </c>
      <c r="N746" s="549">
        <v>3341.57</v>
      </c>
      <c r="O746" s="549">
        <v>3968</v>
      </c>
      <c r="P746" s="549">
        <v>100</v>
      </c>
      <c r="Q746" s="549">
        <v>18725.34</v>
      </c>
    </row>
    <row r="747" spans="1:17" x14ac:dyDescent="0.25">
      <c r="A747" s="549" t="s">
        <v>1162</v>
      </c>
      <c r="B747" s="549" t="s">
        <v>1163</v>
      </c>
      <c r="C747" s="549" t="s">
        <v>665</v>
      </c>
      <c r="D747" s="549" t="s">
        <v>666</v>
      </c>
      <c r="E747" s="549" t="s">
        <v>977</v>
      </c>
      <c r="F747" s="549" t="s">
        <v>1212</v>
      </c>
      <c r="G747" s="549">
        <v>292</v>
      </c>
      <c r="H747" s="549" t="s">
        <v>665</v>
      </c>
      <c r="I747" s="549" t="s">
        <v>976</v>
      </c>
      <c r="J747" s="549" t="s">
        <v>976</v>
      </c>
      <c r="K747" s="549" t="s">
        <v>976</v>
      </c>
      <c r="L747" s="549">
        <v>181697.61</v>
      </c>
      <c r="M747" s="549">
        <v>13718.17</v>
      </c>
      <c r="N747" s="549">
        <v>4015.52</v>
      </c>
      <c r="O747" s="549">
        <v>1984</v>
      </c>
      <c r="P747" s="549">
        <v>100</v>
      </c>
      <c r="Q747" s="549">
        <v>19717.689999999999</v>
      </c>
    </row>
    <row r="748" spans="1:17" x14ac:dyDescent="0.25">
      <c r="A748" s="549" t="s">
        <v>1162</v>
      </c>
      <c r="B748" s="549" t="s">
        <v>1163</v>
      </c>
      <c r="C748" s="549" t="s">
        <v>665</v>
      </c>
      <c r="D748" s="549" t="s">
        <v>666</v>
      </c>
      <c r="E748" s="549" t="s">
        <v>977</v>
      </c>
      <c r="F748" s="549" t="s">
        <v>1212</v>
      </c>
      <c r="G748" s="549">
        <v>302</v>
      </c>
      <c r="H748" s="549" t="s">
        <v>665</v>
      </c>
      <c r="I748" s="549" t="s">
        <v>976</v>
      </c>
      <c r="J748" s="549" t="s">
        <v>976</v>
      </c>
      <c r="K748" s="549" t="s">
        <v>976</v>
      </c>
      <c r="L748" s="549">
        <v>151202.22</v>
      </c>
      <c r="M748" s="549">
        <v>11415.77</v>
      </c>
      <c r="N748" s="549">
        <v>3341.57</v>
      </c>
      <c r="O748" s="549">
        <v>3968</v>
      </c>
      <c r="P748" s="549">
        <v>100</v>
      </c>
      <c r="Q748" s="549">
        <v>18725.34</v>
      </c>
    </row>
    <row r="749" spans="1:17" x14ac:dyDescent="0.25">
      <c r="A749" s="549" t="s">
        <v>1162</v>
      </c>
      <c r="B749" s="549" t="s">
        <v>1163</v>
      </c>
      <c r="C749" s="549" t="s">
        <v>665</v>
      </c>
      <c r="D749" s="549" t="s">
        <v>666</v>
      </c>
      <c r="E749" s="549" t="s">
        <v>977</v>
      </c>
      <c r="F749" s="549" t="s">
        <v>1212</v>
      </c>
      <c r="G749" s="549" t="s">
        <v>1241</v>
      </c>
      <c r="H749" s="549" t="s">
        <v>665</v>
      </c>
      <c r="I749" s="549" t="s">
        <v>976</v>
      </c>
      <c r="J749" s="549" t="s">
        <v>976</v>
      </c>
      <c r="K749" s="549" t="s">
        <v>976</v>
      </c>
      <c r="L749" s="549">
        <v>35601.589999999997</v>
      </c>
      <c r="M749" s="549">
        <v>2687.92</v>
      </c>
      <c r="N749" s="549">
        <v>786.8</v>
      </c>
      <c r="O749" s="549">
        <v>1984</v>
      </c>
      <c r="P749" s="549">
        <v>100</v>
      </c>
      <c r="Q749" s="549">
        <v>5458.72</v>
      </c>
    </row>
    <row r="750" spans="1:17" x14ac:dyDescent="0.25">
      <c r="A750" s="549" t="s">
        <v>1162</v>
      </c>
      <c r="B750" s="549" t="s">
        <v>1163</v>
      </c>
      <c r="C750" s="549" t="s">
        <v>665</v>
      </c>
      <c r="D750" s="549" t="s">
        <v>666</v>
      </c>
      <c r="E750" s="549" t="s">
        <v>977</v>
      </c>
      <c r="F750" s="549" t="s">
        <v>1212</v>
      </c>
      <c r="G750" s="549" t="s">
        <v>1242</v>
      </c>
      <c r="H750" s="549" t="s">
        <v>665</v>
      </c>
      <c r="I750" s="549" t="s">
        <v>976</v>
      </c>
      <c r="J750" s="549" t="s">
        <v>976</v>
      </c>
      <c r="K750" s="549" t="s">
        <v>976</v>
      </c>
      <c r="L750" s="549">
        <v>30966.48</v>
      </c>
      <c r="M750" s="549">
        <v>2337.9699999999998</v>
      </c>
      <c r="N750" s="549">
        <v>684.36</v>
      </c>
      <c r="O750" s="549">
        <v>0</v>
      </c>
      <c r="P750" s="549">
        <v>100</v>
      </c>
      <c r="Q750" s="549">
        <v>3022.33</v>
      </c>
    </row>
    <row r="751" spans="1:17" x14ac:dyDescent="0.25">
      <c r="A751" s="549" t="s">
        <v>1162</v>
      </c>
      <c r="B751" s="549" t="s">
        <v>1163</v>
      </c>
      <c r="C751" s="549" t="s">
        <v>665</v>
      </c>
      <c r="D751" s="549" t="s">
        <v>666</v>
      </c>
      <c r="E751" s="549" t="s">
        <v>977</v>
      </c>
      <c r="F751" s="549" t="s">
        <v>1212</v>
      </c>
      <c r="G751" s="549" t="s">
        <v>1243</v>
      </c>
      <c r="H751" s="549" t="s">
        <v>665</v>
      </c>
      <c r="I751" s="549" t="s">
        <v>976</v>
      </c>
      <c r="J751" s="549" t="s">
        <v>976</v>
      </c>
      <c r="K751" s="549" t="s">
        <v>976</v>
      </c>
      <c r="L751" s="549">
        <v>30966.48</v>
      </c>
      <c r="M751" s="549">
        <v>2337.9699999999998</v>
      </c>
      <c r="N751" s="549">
        <v>684.36</v>
      </c>
      <c r="O751" s="549">
        <v>0</v>
      </c>
      <c r="P751" s="549">
        <v>100</v>
      </c>
      <c r="Q751" s="549">
        <v>3022.33</v>
      </c>
    </row>
    <row r="752" spans="1:17" x14ac:dyDescent="0.25">
      <c r="A752" s="549" t="s">
        <v>1014</v>
      </c>
      <c r="B752" s="549" t="s">
        <v>1015</v>
      </c>
      <c r="C752" s="549" t="s">
        <v>519</v>
      </c>
      <c r="D752" s="549" t="s">
        <v>492</v>
      </c>
      <c r="E752" s="549" t="s">
        <v>977</v>
      </c>
      <c r="F752" s="549" t="s">
        <v>1212</v>
      </c>
      <c r="G752" s="549">
        <v>167</v>
      </c>
      <c r="H752" s="549" t="s">
        <v>519</v>
      </c>
      <c r="I752" s="549" t="s">
        <v>976</v>
      </c>
      <c r="J752" s="549" t="s">
        <v>976</v>
      </c>
      <c r="K752" s="549" t="s">
        <v>976</v>
      </c>
      <c r="L752" s="549">
        <v>22696.29</v>
      </c>
      <c r="M752" s="549">
        <v>1713.57</v>
      </c>
      <c r="N752" s="549">
        <v>501.59</v>
      </c>
      <c r="O752" s="549">
        <v>992</v>
      </c>
      <c r="P752" s="549">
        <v>3.25</v>
      </c>
      <c r="Q752" s="549">
        <v>104.23</v>
      </c>
    </row>
    <row r="753" spans="1:17" x14ac:dyDescent="0.25">
      <c r="A753" s="549" t="s">
        <v>1164</v>
      </c>
      <c r="B753" s="549" t="s">
        <v>1165</v>
      </c>
      <c r="C753" s="549" t="s">
        <v>233</v>
      </c>
      <c r="D753" s="549" t="s">
        <v>744</v>
      </c>
      <c r="E753" s="549" t="s">
        <v>973</v>
      </c>
      <c r="F753" s="549" t="s">
        <v>1212</v>
      </c>
      <c r="G753" s="549">
        <v>312</v>
      </c>
      <c r="H753" s="549" t="s">
        <v>233</v>
      </c>
      <c r="I753" s="549" t="s">
        <v>976</v>
      </c>
      <c r="J753" s="549" t="s">
        <v>976</v>
      </c>
      <c r="K753" s="549" t="s">
        <v>976</v>
      </c>
      <c r="L753" s="549">
        <v>344086.71</v>
      </c>
      <c r="M753" s="549">
        <v>25978.55</v>
      </c>
      <c r="N753" s="549">
        <v>19750.580000000002</v>
      </c>
      <c r="O753" s="549">
        <v>1984</v>
      </c>
      <c r="P753" s="549">
        <v>21.5</v>
      </c>
      <c r="Q753" s="549">
        <v>10258.32</v>
      </c>
    </row>
    <row r="754" spans="1:17" x14ac:dyDescent="0.25">
      <c r="A754" s="549" t="s">
        <v>1014</v>
      </c>
      <c r="B754" s="549" t="s">
        <v>1015</v>
      </c>
      <c r="C754" s="549" t="s">
        <v>519</v>
      </c>
      <c r="D754" s="549" t="s">
        <v>492</v>
      </c>
      <c r="E754" s="549" t="s">
        <v>977</v>
      </c>
      <c r="F754" s="549" t="s">
        <v>1212</v>
      </c>
      <c r="G754" s="549">
        <v>162</v>
      </c>
      <c r="H754" s="549" t="s">
        <v>519</v>
      </c>
      <c r="I754" s="549" t="s">
        <v>976</v>
      </c>
      <c r="J754" s="549" t="s">
        <v>976</v>
      </c>
      <c r="K754" s="549" t="s">
        <v>976</v>
      </c>
      <c r="L754" s="549">
        <v>892972.4</v>
      </c>
      <c r="M754" s="549">
        <v>67419.42</v>
      </c>
      <c r="N754" s="549">
        <v>19734.689999999999</v>
      </c>
      <c r="O754" s="549">
        <v>3968</v>
      </c>
      <c r="P754" s="549">
        <v>3.25</v>
      </c>
      <c r="Q754" s="549">
        <v>2961.47</v>
      </c>
    </row>
    <row r="755" spans="1:17" x14ac:dyDescent="0.25">
      <c r="A755" s="549" t="s">
        <v>1014</v>
      </c>
      <c r="B755" s="549" t="s">
        <v>1015</v>
      </c>
      <c r="C755" s="549" t="s">
        <v>519</v>
      </c>
      <c r="D755" s="549" t="s">
        <v>492</v>
      </c>
      <c r="E755" s="549" t="s">
        <v>977</v>
      </c>
      <c r="F755" s="549" t="s">
        <v>1212</v>
      </c>
      <c r="G755" s="549">
        <v>157</v>
      </c>
      <c r="H755" s="549" t="s">
        <v>519</v>
      </c>
      <c r="I755" s="549" t="s">
        <v>976</v>
      </c>
      <c r="J755" s="549" t="s">
        <v>976</v>
      </c>
      <c r="K755" s="549" t="s">
        <v>976</v>
      </c>
      <c r="L755" s="549">
        <v>22696.29</v>
      </c>
      <c r="M755" s="549">
        <v>1713.57</v>
      </c>
      <c r="N755" s="549">
        <v>501.59</v>
      </c>
      <c r="O755" s="549">
        <v>992</v>
      </c>
      <c r="P755" s="549">
        <v>3.25</v>
      </c>
      <c r="Q755" s="549">
        <v>104.23</v>
      </c>
    </row>
    <row r="756" spans="1:17" x14ac:dyDescent="0.25">
      <c r="A756" s="549" t="s">
        <v>1014</v>
      </c>
      <c r="B756" s="549" t="s">
        <v>1015</v>
      </c>
      <c r="C756" s="549" t="s">
        <v>519</v>
      </c>
      <c r="D756" s="549" t="s">
        <v>492</v>
      </c>
      <c r="E756" s="549" t="s">
        <v>977</v>
      </c>
      <c r="F756" s="549" t="s">
        <v>1212</v>
      </c>
      <c r="G756" s="549">
        <v>147</v>
      </c>
      <c r="H756" s="549" t="s">
        <v>519</v>
      </c>
      <c r="I756" s="549" t="s">
        <v>976</v>
      </c>
      <c r="J756" s="549" t="s">
        <v>976</v>
      </c>
      <c r="K756" s="549" t="s">
        <v>976</v>
      </c>
      <c r="L756" s="549">
        <v>22696.29</v>
      </c>
      <c r="M756" s="549">
        <v>1713.57</v>
      </c>
      <c r="N756" s="549">
        <v>501.59</v>
      </c>
      <c r="O756" s="549">
        <v>992</v>
      </c>
      <c r="P756" s="549">
        <v>3.25</v>
      </c>
      <c r="Q756" s="549">
        <v>104.23</v>
      </c>
    </row>
    <row r="757" spans="1:17" x14ac:dyDescent="0.25">
      <c r="A757" s="549" t="s">
        <v>1014</v>
      </c>
      <c r="B757" s="549" t="s">
        <v>1015</v>
      </c>
      <c r="C757" s="549" t="s">
        <v>519</v>
      </c>
      <c r="D757" s="549" t="s">
        <v>492</v>
      </c>
      <c r="E757" s="549" t="s">
        <v>977</v>
      </c>
      <c r="F757" s="549" t="s">
        <v>1212</v>
      </c>
      <c r="G757" s="549">
        <v>142</v>
      </c>
      <c r="H757" s="549" t="s">
        <v>519</v>
      </c>
      <c r="I757" s="549" t="s">
        <v>976</v>
      </c>
      <c r="J757" s="549" t="s">
        <v>976</v>
      </c>
      <c r="K757" s="549" t="s">
        <v>976</v>
      </c>
      <c r="L757" s="549">
        <v>892972.4</v>
      </c>
      <c r="M757" s="549">
        <v>67419.42</v>
      </c>
      <c r="N757" s="549">
        <v>19734.689999999999</v>
      </c>
      <c r="O757" s="549">
        <v>3968</v>
      </c>
      <c r="P757" s="549">
        <v>3.25</v>
      </c>
      <c r="Q757" s="549">
        <v>2961.47</v>
      </c>
    </row>
    <row r="758" spans="1:17" x14ac:dyDescent="0.25">
      <c r="A758" s="549" t="s">
        <v>1164</v>
      </c>
      <c r="B758" s="549" t="s">
        <v>1165</v>
      </c>
      <c r="C758" s="549" t="s">
        <v>233</v>
      </c>
      <c r="D758" s="549" t="s">
        <v>744</v>
      </c>
      <c r="E758" s="549" t="s">
        <v>973</v>
      </c>
      <c r="F758" s="549" t="s">
        <v>1212</v>
      </c>
      <c r="G758" s="549">
        <v>2222</v>
      </c>
      <c r="H758" s="549" t="s">
        <v>233</v>
      </c>
      <c r="I758" s="549" t="s">
        <v>976</v>
      </c>
      <c r="J758" s="549" t="s">
        <v>976</v>
      </c>
      <c r="K758" s="549" t="s">
        <v>976</v>
      </c>
      <c r="L758" s="549">
        <v>98189.9</v>
      </c>
      <c r="M758" s="549">
        <v>7413.34</v>
      </c>
      <c r="N758" s="549">
        <v>5636.1</v>
      </c>
      <c r="O758" s="549">
        <v>992</v>
      </c>
      <c r="P758" s="549">
        <v>21.5</v>
      </c>
      <c r="Q758" s="549">
        <v>3018.91</v>
      </c>
    </row>
    <row r="759" spans="1:17" x14ac:dyDescent="0.25">
      <c r="A759" s="549" t="s">
        <v>1014</v>
      </c>
      <c r="B759" s="549" t="s">
        <v>1015</v>
      </c>
      <c r="C759" s="549" t="s">
        <v>519</v>
      </c>
      <c r="D759" s="549" t="s">
        <v>492</v>
      </c>
      <c r="E759" s="549" t="s">
        <v>977</v>
      </c>
      <c r="F759" s="549" t="s">
        <v>1212</v>
      </c>
      <c r="G759" s="549">
        <v>137</v>
      </c>
      <c r="H759" s="549" t="s">
        <v>519</v>
      </c>
      <c r="I759" s="549" t="s">
        <v>976</v>
      </c>
      <c r="J759" s="549" t="s">
        <v>976</v>
      </c>
      <c r="K759" s="549" t="s">
        <v>976</v>
      </c>
      <c r="L759" s="549">
        <v>22696.29</v>
      </c>
      <c r="M759" s="549">
        <v>1713.57</v>
      </c>
      <c r="N759" s="549">
        <v>501.59</v>
      </c>
      <c r="O759" s="549">
        <v>992</v>
      </c>
      <c r="P759" s="549">
        <v>3.25</v>
      </c>
      <c r="Q759" s="549">
        <v>104.23</v>
      </c>
    </row>
    <row r="760" spans="1:17" x14ac:dyDescent="0.25">
      <c r="A760" s="549" t="s">
        <v>1014</v>
      </c>
      <c r="B760" s="549" t="s">
        <v>1015</v>
      </c>
      <c r="C760" s="549" t="s">
        <v>519</v>
      </c>
      <c r="D760" s="549" t="s">
        <v>492</v>
      </c>
      <c r="E760" s="549" t="s">
        <v>977</v>
      </c>
      <c r="F760" s="549" t="s">
        <v>1212</v>
      </c>
      <c r="G760" s="549">
        <v>128</v>
      </c>
      <c r="H760" s="549" t="s">
        <v>519</v>
      </c>
      <c r="I760" s="549" t="s">
        <v>976</v>
      </c>
      <c r="J760" s="549" t="s">
        <v>976</v>
      </c>
      <c r="K760" s="549" t="s">
        <v>976</v>
      </c>
      <c r="L760" s="549">
        <v>281765.2</v>
      </c>
      <c r="M760" s="549">
        <v>21273.27</v>
      </c>
      <c r="N760" s="549">
        <v>6227.01</v>
      </c>
      <c r="O760" s="549">
        <v>2976</v>
      </c>
      <c r="P760" s="549">
        <v>3.25</v>
      </c>
      <c r="Q760" s="549">
        <v>990.48</v>
      </c>
    </row>
    <row r="761" spans="1:17" x14ac:dyDescent="0.25">
      <c r="A761" s="549" t="s">
        <v>1014</v>
      </c>
      <c r="B761" s="549" t="s">
        <v>1015</v>
      </c>
      <c r="C761" s="549" t="s">
        <v>519</v>
      </c>
      <c r="D761" s="549" t="s">
        <v>492</v>
      </c>
      <c r="E761" s="549" t="s">
        <v>977</v>
      </c>
      <c r="F761" s="549" t="s">
        <v>1212</v>
      </c>
      <c r="G761" s="549">
        <v>127</v>
      </c>
      <c r="H761" s="549" t="s">
        <v>519</v>
      </c>
      <c r="I761" s="549" t="s">
        <v>976</v>
      </c>
      <c r="J761" s="549" t="s">
        <v>976</v>
      </c>
      <c r="K761" s="549" t="s">
        <v>976</v>
      </c>
      <c r="L761" s="549">
        <v>22696.29</v>
      </c>
      <c r="M761" s="549">
        <v>1713.57</v>
      </c>
      <c r="N761" s="549">
        <v>501.59</v>
      </c>
      <c r="O761" s="549">
        <v>992</v>
      </c>
      <c r="P761" s="549">
        <v>3.25</v>
      </c>
      <c r="Q761" s="549">
        <v>104.23</v>
      </c>
    </row>
    <row r="762" spans="1:17" x14ac:dyDescent="0.25">
      <c r="A762" s="549" t="s">
        <v>1164</v>
      </c>
      <c r="B762" s="549" t="s">
        <v>1165</v>
      </c>
      <c r="C762" s="549" t="s">
        <v>233</v>
      </c>
      <c r="D762" s="549" t="s">
        <v>744</v>
      </c>
      <c r="E762" s="549" t="s">
        <v>973</v>
      </c>
      <c r="F762" s="549" t="s">
        <v>1212</v>
      </c>
      <c r="G762" s="549" t="s">
        <v>1244</v>
      </c>
      <c r="H762" s="549" t="s">
        <v>233</v>
      </c>
      <c r="I762" s="549" t="s">
        <v>976</v>
      </c>
      <c r="J762" s="549" t="s">
        <v>976</v>
      </c>
      <c r="K762" s="549" t="s">
        <v>976</v>
      </c>
      <c r="L762" s="549">
        <v>31102.38</v>
      </c>
      <c r="M762" s="549">
        <v>2348.23</v>
      </c>
      <c r="N762" s="549">
        <v>1785.28</v>
      </c>
      <c r="O762" s="549">
        <v>0</v>
      </c>
      <c r="P762" s="549">
        <v>21.5</v>
      </c>
      <c r="Q762" s="549">
        <v>888.7</v>
      </c>
    </row>
    <row r="763" spans="1:17" x14ac:dyDescent="0.25">
      <c r="A763" s="549" t="s">
        <v>1014</v>
      </c>
      <c r="B763" s="549" t="s">
        <v>1015</v>
      </c>
      <c r="C763" s="549" t="s">
        <v>519</v>
      </c>
      <c r="D763" s="549" t="s">
        <v>492</v>
      </c>
      <c r="E763" s="549" t="s">
        <v>977</v>
      </c>
      <c r="F763" s="549" t="s">
        <v>1212</v>
      </c>
      <c r="G763" s="549">
        <v>117</v>
      </c>
      <c r="H763" s="549" t="s">
        <v>519</v>
      </c>
      <c r="I763" s="549" t="s">
        <v>976</v>
      </c>
      <c r="J763" s="549" t="s">
        <v>976</v>
      </c>
      <c r="K763" s="549" t="s">
        <v>976</v>
      </c>
      <c r="L763" s="549">
        <v>22696.29</v>
      </c>
      <c r="M763" s="549">
        <v>1713.57</v>
      </c>
      <c r="N763" s="549">
        <v>501.59</v>
      </c>
      <c r="O763" s="549">
        <v>992</v>
      </c>
      <c r="P763" s="549">
        <v>3.25</v>
      </c>
      <c r="Q763" s="549">
        <v>104.23</v>
      </c>
    </row>
    <row r="764" spans="1:17" x14ac:dyDescent="0.25">
      <c r="A764" s="549" t="s">
        <v>1164</v>
      </c>
      <c r="B764" s="549" t="s">
        <v>1165</v>
      </c>
      <c r="C764" s="549" t="s">
        <v>233</v>
      </c>
      <c r="D764" s="549" t="s">
        <v>744</v>
      </c>
      <c r="E764" s="549" t="s">
        <v>977</v>
      </c>
      <c r="F764" s="549" t="s">
        <v>1212</v>
      </c>
      <c r="G764" s="549">
        <v>312</v>
      </c>
      <c r="H764" s="549" t="s">
        <v>233</v>
      </c>
      <c r="I764" s="549" t="s">
        <v>976</v>
      </c>
      <c r="J764" s="549" t="s">
        <v>976</v>
      </c>
      <c r="K764" s="549" t="s">
        <v>976</v>
      </c>
      <c r="L764" s="549">
        <v>344086.71</v>
      </c>
      <c r="M764" s="549">
        <v>25978.55</v>
      </c>
      <c r="N764" s="549">
        <v>7604.32</v>
      </c>
      <c r="O764" s="549">
        <v>1984</v>
      </c>
      <c r="P764" s="549">
        <v>12.7</v>
      </c>
      <c r="Q764" s="549">
        <v>4516.99</v>
      </c>
    </row>
    <row r="765" spans="1:17" x14ac:dyDescent="0.25">
      <c r="A765" s="549" t="s">
        <v>1014</v>
      </c>
      <c r="B765" s="549" t="s">
        <v>1015</v>
      </c>
      <c r="C765" s="549" t="s">
        <v>519</v>
      </c>
      <c r="D765" s="549" t="s">
        <v>492</v>
      </c>
      <c r="E765" s="549" t="s">
        <v>977</v>
      </c>
      <c r="F765" s="549" t="s">
        <v>1212</v>
      </c>
      <c r="G765" s="549">
        <v>107</v>
      </c>
      <c r="H765" s="549" t="s">
        <v>519</v>
      </c>
      <c r="I765" s="549" t="s">
        <v>976</v>
      </c>
      <c r="J765" s="549" t="s">
        <v>976</v>
      </c>
      <c r="K765" s="549" t="s">
        <v>976</v>
      </c>
      <c r="L765" s="549">
        <v>65372.09</v>
      </c>
      <c r="M765" s="549">
        <v>4935.59</v>
      </c>
      <c r="N765" s="549">
        <v>1444.72</v>
      </c>
      <c r="O765" s="549">
        <v>992</v>
      </c>
      <c r="P765" s="549">
        <v>3.25</v>
      </c>
      <c r="Q765" s="549">
        <v>239.6</v>
      </c>
    </row>
    <row r="766" spans="1:17" x14ac:dyDescent="0.25">
      <c r="A766" s="549" t="s">
        <v>1014</v>
      </c>
      <c r="B766" s="549" t="s">
        <v>1015</v>
      </c>
      <c r="C766" s="549" t="s">
        <v>519</v>
      </c>
      <c r="D766" s="549" t="s">
        <v>492</v>
      </c>
      <c r="E766" s="549" t="s">
        <v>977</v>
      </c>
      <c r="F766" s="549" t="s">
        <v>1212</v>
      </c>
      <c r="G766" s="549">
        <v>97</v>
      </c>
      <c r="H766" s="549" t="s">
        <v>519</v>
      </c>
      <c r="I766" s="549" t="s">
        <v>976</v>
      </c>
      <c r="J766" s="549" t="s">
        <v>976</v>
      </c>
      <c r="K766" s="549" t="s">
        <v>976</v>
      </c>
      <c r="L766" s="549">
        <v>22696.29</v>
      </c>
      <c r="M766" s="549">
        <v>1713.57</v>
      </c>
      <c r="N766" s="549">
        <v>501.59</v>
      </c>
      <c r="O766" s="549">
        <v>992</v>
      </c>
      <c r="P766" s="549">
        <v>3.25</v>
      </c>
      <c r="Q766" s="549">
        <v>104.23</v>
      </c>
    </row>
    <row r="767" spans="1:17" x14ac:dyDescent="0.25">
      <c r="A767" s="549" t="s">
        <v>1014</v>
      </c>
      <c r="B767" s="549" t="s">
        <v>1015</v>
      </c>
      <c r="C767" s="549" t="s">
        <v>519</v>
      </c>
      <c r="D767" s="549" t="s">
        <v>492</v>
      </c>
      <c r="E767" s="549" t="s">
        <v>977</v>
      </c>
      <c r="F767" s="549" t="s">
        <v>1212</v>
      </c>
      <c r="G767" s="549">
        <v>87</v>
      </c>
      <c r="H767" s="549" t="s">
        <v>519</v>
      </c>
      <c r="I767" s="549" t="s">
        <v>976</v>
      </c>
      <c r="J767" s="549" t="s">
        <v>976</v>
      </c>
      <c r="K767" s="549" t="s">
        <v>976</v>
      </c>
      <c r="L767" s="549">
        <v>0.02</v>
      </c>
      <c r="M767" s="549">
        <v>0</v>
      </c>
      <c r="N767" s="549">
        <v>0</v>
      </c>
      <c r="O767" s="549">
        <v>992</v>
      </c>
      <c r="P767" s="549">
        <v>3.25</v>
      </c>
      <c r="Q767" s="549">
        <v>32.24</v>
      </c>
    </row>
    <row r="768" spans="1:17" x14ac:dyDescent="0.25">
      <c r="A768" s="549" t="s">
        <v>1014</v>
      </c>
      <c r="B768" s="549" t="s">
        <v>1015</v>
      </c>
      <c r="C768" s="549" t="s">
        <v>519</v>
      </c>
      <c r="D768" s="549" t="s">
        <v>492</v>
      </c>
      <c r="E768" s="549" t="s">
        <v>977</v>
      </c>
      <c r="F768" s="549" t="s">
        <v>1212</v>
      </c>
      <c r="G768" s="549">
        <v>82</v>
      </c>
      <c r="H768" s="549" t="s">
        <v>519</v>
      </c>
      <c r="I768" s="549" t="s">
        <v>976</v>
      </c>
      <c r="J768" s="549" t="s">
        <v>976</v>
      </c>
      <c r="K768" s="549" t="s">
        <v>976</v>
      </c>
      <c r="L768" s="549">
        <v>892972.4</v>
      </c>
      <c r="M768" s="549">
        <v>67419.42</v>
      </c>
      <c r="N768" s="549">
        <v>19734.689999999999</v>
      </c>
      <c r="O768" s="549">
        <v>3968</v>
      </c>
      <c r="P768" s="549">
        <v>3.25</v>
      </c>
      <c r="Q768" s="549">
        <v>2961.47</v>
      </c>
    </row>
    <row r="769" spans="1:17" x14ac:dyDescent="0.25">
      <c r="A769" s="549" t="s">
        <v>1164</v>
      </c>
      <c r="B769" s="549" t="s">
        <v>1165</v>
      </c>
      <c r="C769" s="549" t="s">
        <v>233</v>
      </c>
      <c r="D769" s="549" t="s">
        <v>744</v>
      </c>
      <c r="E769" s="549" t="s">
        <v>977</v>
      </c>
      <c r="F769" s="549" t="s">
        <v>1212</v>
      </c>
      <c r="G769" s="549">
        <v>2222</v>
      </c>
      <c r="H769" s="549" t="s">
        <v>233</v>
      </c>
      <c r="I769" s="549" t="s">
        <v>976</v>
      </c>
      <c r="J769" s="549" t="s">
        <v>976</v>
      </c>
      <c r="K769" s="549" t="s">
        <v>976</v>
      </c>
      <c r="L769" s="549">
        <v>98189.9</v>
      </c>
      <c r="M769" s="549">
        <v>7413.34</v>
      </c>
      <c r="N769" s="549">
        <v>2170</v>
      </c>
      <c r="O769" s="549">
        <v>992</v>
      </c>
      <c r="P769" s="549">
        <v>12.7</v>
      </c>
      <c r="Q769" s="549">
        <v>1343.07</v>
      </c>
    </row>
    <row r="770" spans="1:17" x14ac:dyDescent="0.25">
      <c r="A770" s="549" t="s">
        <v>1014</v>
      </c>
      <c r="B770" s="549" t="s">
        <v>1015</v>
      </c>
      <c r="C770" s="549" t="s">
        <v>519</v>
      </c>
      <c r="D770" s="549" t="s">
        <v>492</v>
      </c>
      <c r="E770" s="549" t="s">
        <v>977</v>
      </c>
      <c r="F770" s="549" t="s">
        <v>1212</v>
      </c>
      <c r="G770" s="549">
        <v>77</v>
      </c>
      <c r="H770" s="549" t="s">
        <v>519</v>
      </c>
      <c r="I770" s="549" t="s">
        <v>976</v>
      </c>
      <c r="J770" s="549" t="s">
        <v>976</v>
      </c>
      <c r="K770" s="549" t="s">
        <v>976</v>
      </c>
      <c r="L770" s="549">
        <v>22696.29</v>
      </c>
      <c r="M770" s="549">
        <v>1713.57</v>
      </c>
      <c r="N770" s="549">
        <v>501.59</v>
      </c>
      <c r="O770" s="549">
        <v>992</v>
      </c>
      <c r="P770" s="549">
        <v>3.25</v>
      </c>
      <c r="Q770" s="549">
        <v>104.23</v>
      </c>
    </row>
    <row r="771" spans="1:17" x14ac:dyDescent="0.25">
      <c r="A771" s="549" t="s">
        <v>1014</v>
      </c>
      <c r="B771" s="549" t="s">
        <v>1015</v>
      </c>
      <c r="C771" s="549" t="s">
        <v>519</v>
      </c>
      <c r="D771" s="549" t="s">
        <v>492</v>
      </c>
      <c r="E771" s="549" t="s">
        <v>977</v>
      </c>
      <c r="F771" s="549" t="s">
        <v>1212</v>
      </c>
      <c r="G771" s="549">
        <v>72</v>
      </c>
      <c r="H771" s="549" t="s">
        <v>519</v>
      </c>
      <c r="I771" s="549" t="s">
        <v>976</v>
      </c>
      <c r="J771" s="549" t="s">
        <v>976</v>
      </c>
      <c r="K771" s="549" t="s">
        <v>976</v>
      </c>
      <c r="L771" s="549">
        <v>473331.21</v>
      </c>
      <c r="M771" s="549">
        <v>35736.51</v>
      </c>
      <c r="N771" s="549">
        <v>10460.620000000001</v>
      </c>
      <c r="O771" s="549">
        <v>1984</v>
      </c>
      <c r="P771" s="549">
        <v>3.25</v>
      </c>
      <c r="Q771" s="549">
        <v>1565.89</v>
      </c>
    </row>
    <row r="772" spans="1:17" x14ac:dyDescent="0.25">
      <c r="A772" s="549" t="s">
        <v>1014</v>
      </c>
      <c r="B772" s="549" t="s">
        <v>1015</v>
      </c>
      <c r="C772" s="549" t="s">
        <v>519</v>
      </c>
      <c r="D772" s="549" t="s">
        <v>492</v>
      </c>
      <c r="E772" s="549" t="s">
        <v>977</v>
      </c>
      <c r="F772" s="549" t="s">
        <v>1212</v>
      </c>
      <c r="G772" s="549">
        <v>67</v>
      </c>
      <c r="H772" s="549" t="s">
        <v>519</v>
      </c>
      <c r="I772" s="549" t="s">
        <v>976</v>
      </c>
      <c r="J772" s="549" t="s">
        <v>976</v>
      </c>
      <c r="K772" s="549" t="s">
        <v>976</v>
      </c>
      <c r="L772" s="549">
        <v>22696.29</v>
      </c>
      <c r="M772" s="549">
        <v>1713.57</v>
      </c>
      <c r="N772" s="549">
        <v>501.59</v>
      </c>
      <c r="O772" s="549">
        <v>992</v>
      </c>
      <c r="P772" s="549">
        <v>3.25</v>
      </c>
      <c r="Q772" s="549">
        <v>104.23</v>
      </c>
    </row>
    <row r="773" spans="1:17" x14ac:dyDescent="0.25">
      <c r="A773" s="549" t="s">
        <v>1164</v>
      </c>
      <c r="B773" s="549" t="s">
        <v>1165</v>
      </c>
      <c r="C773" s="549" t="s">
        <v>233</v>
      </c>
      <c r="D773" s="549" t="s">
        <v>744</v>
      </c>
      <c r="E773" s="549" t="s">
        <v>977</v>
      </c>
      <c r="F773" s="549" t="s">
        <v>1212</v>
      </c>
      <c r="G773" s="549" t="s">
        <v>1244</v>
      </c>
      <c r="H773" s="549" t="s">
        <v>233</v>
      </c>
      <c r="I773" s="549" t="s">
        <v>976</v>
      </c>
      <c r="J773" s="549" t="s">
        <v>976</v>
      </c>
      <c r="K773" s="549" t="s">
        <v>976</v>
      </c>
      <c r="L773" s="549">
        <v>31102.38</v>
      </c>
      <c r="M773" s="549">
        <v>2348.23</v>
      </c>
      <c r="N773" s="549">
        <v>687.36</v>
      </c>
      <c r="O773" s="549">
        <v>0</v>
      </c>
      <c r="P773" s="549">
        <v>12.7</v>
      </c>
      <c r="Q773" s="549">
        <v>385.52</v>
      </c>
    </row>
    <row r="774" spans="1:17" x14ac:dyDescent="0.25">
      <c r="A774" s="549" t="s">
        <v>1014</v>
      </c>
      <c r="B774" s="549" t="s">
        <v>1015</v>
      </c>
      <c r="C774" s="549" t="s">
        <v>519</v>
      </c>
      <c r="D774" s="549" t="s">
        <v>492</v>
      </c>
      <c r="E774" s="549" t="s">
        <v>977</v>
      </c>
      <c r="F774" s="549" t="s">
        <v>1212</v>
      </c>
      <c r="G774" s="549">
        <v>62</v>
      </c>
      <c r="H774" s="549" t="s">
        <v>519</v>
      </c>
      <c r="I774" s="549" t="s">
        <v>976</v>
      </c>
      <c r="J774" s="549" t="s">
        <v>976</v>
      </c>
      <c r="K774" s="549" t="s">
        <v>976</v>
      </c>
      <c r="L774" s="549">
        <v>892972.4</v>
      </c>
      <c r="M774" s="549">
        <v>67419.42</v>
      </c>
      <c r="N774" s="549">
        <v>19734.689999999999</v>
      </c>
      <c r="O774" s="549">
        <v>3968</v>
      </c>
      <c r="P774" s="549">
        <v>3.25</v>
      </c>
      <c r="Q774" s="549">
        <v>2961.47</v>
      </c>
    </row>
    <row r="775" spans="1:17" x14ac:dyDescent="0.25">
      <c r="A775" s="549" t="s">
        <v>1014</v>
      </c>
      <c r="B775" s="549" t="s">
        <v>1015</v>
      </c>
      <c r="C775" s="549" t="s">
        <v>519</v>
      </c>
      <c r="D775" s="549" t="s">
        <v>492</v>
      </c>
      <c r="E775" s="549" t="s">
        <v>973</v>
      </c>
      <c r="F775" s="549" t="s">
        <v>1212</v>
      </c>
      <c r="G775" s="549" t="s">
        <v>1225</v>
      </c>
      <c r="H775" s="549" t="s">
        <v>519</v>
      </c>
      <c r="I775" s="549" t="s">
        <v>976</v>
      </c>
      <c r="J775" s="549" t="s">
        <v>976</v>
      </c>
      <c r="K775" s="549" t="s">
        <v>976</v>
      </c>
      <c r="L775" s="549">
        <v>286934.52</v>
      </c>
      <c r="M775" s="549">
        <v>21663.56</v>
      </c>
      <c r="N775" s="549">
        <v>16470.04</v>
      </c>
      <c r="O775" s="549">
        <v>992</v>
      </c>
      <c r="P775" s="549">
        <v>0</v>
      </c>
      <c r="Q775" s="549">
        <v>0</v>
      </c>
    </row>
    <row r="776" spans="1:17" x14ac:dyDescent="0.25">
      <c r="A776" s="549" t="s">
        <v>1014</v>
      </c>
      <c r="B776" s="549" t="s">
        <v>1015</v>
      </c>
      <c r="C776" s="549" t="s">
        <v>519</v>
      </c>
      <c r="D776" s="549" t="s">
        <v>492</v>
      </c>
      <c r="E776" s="549" t="s">
        <v>973</v>
      </c>
      <c r="F776" s="549" t="s">
        <v>1212</v>
      </c>
      <c r="G776" s="549" t="s">
        <v>1226</v>
      </c>
      <c r="H776" s="549" t="s">
        <v>519</v>
      </c>
      <c r="I776" s="549" t="s">
        <v>976</v>
      </c>
      <c r="J776" s="549" t="s">
        <v>976</v>
      </c>
      <c r="K776" s="549" t="s">
        <v>976</v>
      </c>
      <c r="L776" s="549">
        <v>32316.799999999999</v>
      </c>
      <c r="M776" s="549">
        <v>2439.92</v>
      </c>
      <c r="N776" s="549">
        <v>1854.98</v>
      </c>
      <c r="O776" s="549">
        <v>0</v>
      </c>
      <c r="P776" s="549">
        <v>0</v>
      </c>
      <c r="Q776" s="549">
        <v>0</v>
      </c>
    </row>
    <row r="777" spans="1:17" x14ac:dyDescent="0.25">
      <c r="A777" s="549" t="s">
        <v>986</v>
      </c>
      <c r="B777" s="549" t="s">
        <v>987</v>
      </c>
      <c r="C777" s="549" t="s">
        <v>511</v>
      </c>
      <c r="D777" s="549" t="s">
        <v>988</v>
      </c>
      <c r="E777" s="549" t="s">
        <v>973</v>
      </c>
      <c r="F777" s="549" t="s">
        <v>1212</v>
      </c>
      <c r="G777" s="549">
        <v>42</v>
      </c>
      <c r="H777" s="549" t="s">
        <v>511</v>
      </c>
      <c r="I777" s="549" t="s">
        <v>976</v>
      </c>
      <c r="J777" s="549" t="s">
        <v>976</v>
      </c>
      <c r="K777" s="549" t="s">
        <v>976</v>
      </c>
      <c r="L777" s="549">
        <v>120068.26</v>
      </c>
      <c r="M777" s="549">
        <v>9065.15</v>
      </c>
      <c r="N777" s="549">
        <v>6891.92</v>
      </c>
      <c r="O777" s="549">
        <v>892.8</v>
      </c>
      <c r="P777" s="549">
        <v>99.73</v>
      </c>
      <c r="Q777" s="549">
        <v>16804.38</v>
      </c>
    </row>
    <row r="778" spans="1:17" x14ac:dyDescent="0.25">
      <c r="A778" s="549" t="s">
        <v>986</v>
      </c>
      <c r="B778" s="549" t="s">
        <v>987</v>
      </c>
      <c r="C778" s="549" t="s">
        <v>511</v>
      </c>
      <c r="D778" s="549" t="s">
        <v>988</v>
      </c>
      <c r="E778" s="549" t="s">
        <v>973</v>
      </c>
      <c r="F778" s="549" t="s">
        <v>1212</v>
      </c>
      <c r="G778" s="549">
        <v>47</v>
      </c>
      <c r="H778" s="549" t="s">
        <v>511</v>
      </c>
      <c r="I778" s="549" t="s">
        <v>976</v>
      </c>
      <c r="J778" s="549" t="s">
        <v>976</v>
      </c>
      <c r="K778" s="549" t="s">
        <v>976</v>
      </c>
      <c r="L778" s="549">
        <v>63595.63</v>
      </c>
      <c r="M778" s="549">
        <v>4801.47</v>
      </c>
      <c r="N778" s="549">
        <v>3650.39</v>
      </c>
      <c r="O778" s="549">
        <v>992</v>
      </c>
      <c r="P778" s="549">
        <v>56.18</v>
      </c>
      <c r="Q778" s="549">
        <v>5305.56</v>
      </c>
    </row>
    <row r="779" spans="1:17" x14ac:dyDescent="0.25">
      <c r="A779" s="549" t="s">
        <v>986</v>
      </c>
      <c r="B779" s="549" t="s">
        <v>987</v>
      </c>
      <c r="C779" s="549" t="s">
        <v>511</v>
      </c>
      <c r="D779" s="549" t="s">
        <v>988</v>
      </c>
      <c r="E779" s="549" t="s">
        <v>973</v>
      </c>
      <c r="F779" s="549" t="s">
        <v>1212</v>
      </c>
      <c r="G779" s="549">
        <v>57</v>
      </c>
      <c r="H779" s="549" t="s">
        <v>511</v>
      </c>
      <c r="I779" s="549" t="s">
        <v>976</v>
      </c>
      <c r="J779" s="549" t="s">
        <v>976</v>
      </c>
      <c r="K779" s="549" t="s">
        <v>976</v>
      </c>
      <c r="L779" s="549">
        <v>63595.63</v>
      </c>
      <c r="M779" s="549">
        <v>4801.47</v>
      </c>
      <c r="N779" s="549">
        <v>3650.39</v>
      </c>
      <c r="O779" s="549">
        <v>992</v>
      </c>
      <c r="P779" s="549">
        <v>99.73</v>
      </c>
      <c r="Q779" s="549">
        <v>9418.36</v>
      </c>
    </row>
    <row r="780" spans="1:17" x14ac:dyDescent="0.25">
      <c r="A780" s="549" t="s">
        <v>986</v>
      </c>
      <c r="B780" s="549" t="s">
        <v>987</v>
      </c>
      <c r="C780" s="549" t="s">
        <v>511</v>
      </c>
      <c r="D780" s="549" t="s">
        <v>988</v>
      </c>
      <c r="E780" s="549" t="s">
        <v>973</v>
      </c>
      <c r="F780" s="549" t="s">
        <v>1212</v>
      </c>
      <c r="G780" s="549">
        <v>62</v>
      </c>
      <c r="H780" s="549" t="s">
        <v>511</v>
      </c>
      <c r="I780" s="549" t="s">
        <v>976</v>
      </c>
      <c r="J780" s="549" t="s">
        <v>976</v>
      </c>
      <c r="K780" s="549" t="s">
        <v>976</v>
      </c>
      <c r="L780" s="549">
        <v>120068.26</v>
      </c>
      <c r="M780" s="549">
        <v>9065.15</v>
      </c>
      <c r="N780" s="549">
        <v>6891.92</v>
      </c>
      <c r="O780" s="549">
        <v>892.8</v>
      </c>
      <c r="P780" s="549">
        <v>99.73</v>
      </c>
      <c r="Q780" s="549">
        <v>16804.38</v>
      </c>
    </row>
    <row r="781" spans="1:17" x14ac:dyDescent="0.25">
      <c r="A781" s="549" t="s">
        <v>986</v>
      </c>
      <c r="B781" s="549" t="s">
        <v>987</v>
      </c>
      <c r="C781" s="549" t="s">
        <v>511</v>
      </c>
      <c r="D781" s="549" t="s">
        <v>988</v>
      </c>
      <c r="E781" s="549" t="s">
        <v>973</v>
      </c>
      <c r="F781" s="549" t="s">
        <v>1212</v>
      </c>
      <c r="G781" s="549">
        <v>72</v>
      </c>
      <c r="H781" s="549" t="s">
        <v>511</v>
      </c>
      <c r="I781" s="549" t="s">
        <v>976</v>
      </c>
      <c r="J781" s="549" t="s">
        <v>976</v>
      </c>
      <c r="K781" s="549" t="s">
        <v>976</v>
      </c>
      <c r="L781" s="549">
        <v>485426.5</v>
      </c>
      <c r="M781" s="549">
        <v>36649.699999999997</v>
      </c>
      <c r="N781" s="549">
        <v>27863.48</v>
      </c>
      <c r="O781" s="549">
        <v>3968</v>
      </c>
      <c r="P781" s="549">
        <v>56.18</v>
      </c>
      <c r="Q781" s="549">
        <v>38472.730000000003</v>
      </c>
    </row>
    <row r="782" spans="1:17" x14ac:dyDescent="0.25">
      <c r="A782" s="549" t="s">
        <v>986</v>
      </c>
      <c r="B782" s="549" t="s">
        <v>987</v>
      </c>
      <c r="C782" s="549" t="s">
        <v>511</v>
      </c>
      <c r="D782" s="549" t="s">
        <v>988</v>
      </c>
      <c r="E782" s="549" t="s">
        <v>973</v>
      </c>
      <c r="F782" s="549" t="s">
        <v>1212</v>
      </c>
      <c r="G782" s="549">
        <v>82</v>
      </c>
      <c r="H782" s="549" t="s">
        <v>511</v>
      </c>
      <c r="I782" s="549" t="s">
        <v>976</v>
      </c>
      <c r="J782" s="549" t="s">
        <v>976</v>
      </c>
      <c r="K782" s="549" t="s">
        <v>976</v>
      </c>
      <c r="L782" s="549">
        <v>485426.5</v>
      </c>
      <c r="M782" s="549">
        <v>36649.699999999997</v>
      </c>
      <c r="N782" s="549">
        <v>27863.48</v>
      </c>
      <c r="O782" s="549">
        <v>3968</v>
      </c>
      <c r="P782" s="549">
        <v>56.18</v>
      </c>
      <c r="Q782" s="549">
        <v>38472.730000000003</v>
      </c>
    </row>
    <row r="783" spans="1:17" x14ac:dyDescent="0.25">
      <c r="A783" s="549" t="s">
        <v>986</v>
      </c>
      <c r="B783" s="549" t="s">
        <v>987</v>
      </c>
      <c r="C783" s="549" t="s">
        <v>511</v>
      </c>
      <c r="D783" s="549" t="s">
        <v>988</v>
      </c>
      <c r="E783" s="549" t="s">
        <v>973</v>
      </c>
      <c r="F783" s="549" t="s">
        <v>1212</v>
      </c>
      <c r="G783" s="549" t="s">
        <v>1245</v>
      </c>
      <c r="H783" s="549" t="s">
        <v>511</v>
      </c>
      <c r="I783" s="549" t="s">
        <v>976</v>
      </c>
      <c r="J783" s="549" t="s">
        <v>976</v>
      </c>
      <c r="K783" s="549" t="s">
        <v>976</v>
      </c>
      <c r="L783" s="549">
        <v>41641.339999999997</v>
      </c>
      <c r="M783" s="549">
        <v>3143.92</v>
      </c>
      <c r="N783" s="549">
        <v>2390.21</v>
      </c>
      <c r="O783" s="549">
        <v>0</v>
      </c>
      <c r="P783" s="549">
        <v>56.18</v>
      </c>
      <c r="Q783" s="549">
        <v>3109.07</v>
      </c>
    </row>
    <row r="784" spans="1:17" x14ac:dyDescent="0.25">
      <c r="A784" s="549" t="s">
        <v>986</v>
      </c>
      <c r="B784" s="549" t="s">
        <v>987</v>
      </c>
      <c r="C784" s="549" t="s">
        <v>511</v>
      </c>
      <c r="D784" s="549" t="s">
        <v>988</v>
      </c>
      <c r="E784" s="549" t="s">
        <v>973</v>
      </c>
      <c r="F784" s="549" t="s">
        <v>1212</v>
      </c>
      <c r="G784" s="549">
        <v>47</v>
      </c>
      <c r="H784" s="549" t="s">
        <v>701</v>
      </c>
      <c r="I784" s="549" t="s">
        <v>976</v>
      </c>
      <c r="J784" s="549" t="s">
        <v>976</v>
      </c>
      <c r="K784" s="549" t="s">
        <v>976</v>
      </c>
      <c r="L784" s="549">
        <v>30332.1</v>
      </c>
      <c r="M784" s="549">
        <v>2290.0700000000002</v>
      </c>
      <c r="N784" s="549">
        <v>1741.06</v>
      </c>
      <c r="O784" s="549">
        <v>992</v>
      </c>
      <c r="P784" s="549">
        <v>56.18</v>
      </c>
      <c r="Q784" s="549">
        <v>2821.99</v>
      </c>
    </row>
    <row r="785" spans="1:17" x14ac:dyDescent="0.25">
      <c r="A785" s="549" t="s">
        <v>986</v>
      </c>
      <c r="B785" s="549" t="s">
        <v>987</v>
      </c>
      <c r="C785" s="549" t="s">
        <v>511</v>
      </c>
      <c r="D785" s="549" t="s">
        <v>988</v>
      </c>
      <c r="E785" s="549" t="s">
        <v>973</v>
      </c>
      <c r="F785" s="549" t="s">
        <v>1212</v>
      </c>
      <c r="G785" s="549">
        <v>107</v>
      </c>
      <c r="H785" s="549" t="s">
        <v>701</v>
      </c>
      <c r="I785" s="549" t="s">
        <v>976</v>
      </c>
      <c r="J785" s="549" t="s">
        <v>976</v>
      </c>
      <c r="K785" s="549" t="s">
        <v>976</v>
      </c>
      <c r="L785" s="549">
        <v>30332.1</v>
      </c>
      <c r="M785" s="549">
        <v>2290.0700000000002</v>
      </c>
      <c r="N785" s="549">
        <v>1741.06</v>
      </c>
      <c r="O785" s="549">
        <v>992</v>
      </c>
      <c r="P785" s="549">
        <v>56.18</v>
      </c>
      <c r="Q785" s="549">
        <v>2821.99</v>
      </c>
    </row>
    <row r="786" spans="1:17" x14ac:dyDescent="0.25">
      <c r="A786" s="549" t="s">
        <v>986</v>
      </c>
      <c r="B786" s="549" t="s">
        <v>987</v>
      </c>
      <c r="C786" s="549" t="s">
        <v>511</v>
      </c>
      <c r="D786" s="549" t="s">
        <v>988</v>
      </c>
      <c r="E786" s="549" t="s">
        <v>973</v>
      </c>
      <c r="F786" s="549" t="s">
        <v>1212</v>
      </c>
      <c r="G786" s="549" t="s">
        <v>1246</v>
      </c>
      <c r="H786" s="549" t="s">
        <v>701</v>
      </c>
      <c r="I786" s="549" t="s">
        <v>976</v>
      </c>
      <c r="J786" s="549" t="s">
        <v>976</v>
      </c>
      <c r="K786" s="549" t="s">
        <v>976</v>
      </c>
      <c r="L786" s="549">
        <v>55317.97</v>
      </c>
      <c r="M786" s="549">
        <v>4176.51</v>
      </c>
      <c r="N786" s="549">
        <v>3175.25</v>
      </c>
      <c r="O786" s="549">
        <v>1984</v>
      </c>
      <c r="P786" s="549">
        <v>56.18</v>
      </c>
      <c r="Q786" s="549">
        <v>5244.83</v>
      </c>
    </row>
    <row r="787" spans="1:17" x14ac:dyDescent="0.25">
      <c r="A787" s="549" t="s">
        <v>986</v>
      </c>
      <c r="B787" s="549" t="s">
        <v>987</v>
      </c>
      <c r="C787" s="549" t="s">
        <v>511</v>
      </c>
      <c r="D787" s="549" t="s">
        <v>988</v>
      </c>
      <c r="E787" s="549" t="s">
        <v>973</v>
      </c>
      <c r="F787" s="549" t="s">
        <v>1212</v>
      </c>
      <c r="G787" s="549" t="s">
        <v>1235</v>
      </c>
      <c r="H787" s="549" t="s">
        <v>701</v>
      </c>
      <c r="I787" s="549" t="s">
        <v>976</v>
      </c>
      <c r="J787" s="549" t="s">
        <v>976</v>
      </c>
      <c r="K787" s="549" t="s">
        <v>976</v>
      </c>
      <c r="L787" s="549">
        <v>300918.65999999997</v>
      </c>
      <c r="M787" s="549">
        <v>22719.360000000001</v>
      </c>
      <c r="N787" s="549">
        <v>17272.73</v>
      </c>
      <c r="O787" s="549">
        <v>992</v>
      </c>
      <c r="P787" s="549">
        <v>56.18</v>
      </c>
      <c r="Q787" s="549">
        <v>23024.86</v>
      </c>
    </row>
    <row r="788" spans="1:17" x14ac:dyDescent="0.25">
      <c r="A788" s="549" t="s">
        <v>986</v>
      </c>
      <c r="B788" s="549" t="s">
        <v>987</v>
      </c>
      <c r="C788" s="549" t="s">
        <v>511</v>
      </c>
      <c r="D788" s="549" t="s">
        <v>988</v>
      </c>
      <c r="E788" s="549" t="s">
        <v>973</v>
      </c>
      <c r="F788" s="549" t="s">
        <v>1212</v>
      </c>
      <c r="G788" s="549" t="s">
        <v>1236</v>
      </c>
      <c r="H788" s="549" t="s">
        <v>701</v>
      </c>
      <c r="I788" s="549" t="s">
        <v>976</v>
      </c>
      <c r="J788" s="549" t="s">
        <v>976</v>
      </c>
      <c r="K788" s="549" t="s">
        <v>976</v>
      </c>
      <c r="L788" s="549">
        <v>260986.59</v>
      </c>
      <c r="M788" s="549">
        <v>19704.490000000002</v>
      </c>
      <c r="N788" s="549">
        <v>14980.63</v>
      </c>
      <c r="O788" s="549">
        <v>992</v>
      </c>
      <c r="P788" s="549">
        <v>56.18</v>
      </c>
      <c r="Q788" s="549">
        <v>20043.41</v>
      </c>
    </row>
    <row r="789" spans="1:17" x14ac:dyDescent="0.25">
      <c r="A789" s="549" t="s">
        <v>986</v>
      </c>
      <c r="B789" s="549" t="s">
        <v>987</v>
      </c>
      <c r="C789" s="549" t="s">
        <v>511</v>
      </c>
      <c r="D789" s="549" t="s">
        <v>988</v>
      </c>
      <c r="E789" s="549" t="s">
        <v>973</v>
      </c>
      <c r="F789" s="549" t="s">
        <v>1212</v>
      </c>
      <c r="G789" s="549" t="s">
        <v>1247</v>
      </c>
      <c r="H789" s="549" t="s">
        <v>701</v>
      </c>
      <c r="I789" s="549" t="s">
        <v>976</v>
      </c>
      <c r="J789" s="549" t="s">
        <v>976</v>
      </c>
      <c r="K789" s="549" t="s">
        <v>976</v>
      </c>
      <c r="L789" s="549">
        <v>300918.65999999997</v>
      </c>
      <c r="M789" s="549">
        <v>22719.360000000001</v>
      </c>
      <c r="N789" s="549">
        <v>17272.73</v>
      </c>
      <c r="O789" s="549">
        <v>992</v>
      </c>
      <c r="P789" s="549">
        <v>56.18</v>
      </c>
      <c r="Q789" s="549">
        <v>23024.86</v>
      </c>
    </row>
    <row r="790" spans="1:17" x14ac:dyDescent="0.25">
      <c r="A790" s="549" t="s">
        <v>986</v>
      </c>
      <c r="B790" s="549" t="s">
        <v>987</v>
      </c>
      <c r="C790" s="549" t="s">
        <v>511</v>
      </c>
      <c r="D790" s="549" t="s">
        <v>988</v>
      </c>
      <c r="E790" s="549" t="s">
        <v>973</v>
      </c>
      <c r="F790" s="549" t="s">
        <v>1212</v>
      </c>
      <c r="G790" s="549" t="s">
        <v>1248</v>
      </c>
      <c r="H790" s="549" t="s">
        <v>701</v>
      </c>
      <c r="I790" s="549" t="s">
        <v>976</v>
      </c>
      <c r="J790" s="549" t="s">
        <v>976</v>
      </c>
      <c r="K790" s="549" t="s">
        <v>976</v>
      </c>
      <c r="L790" s="549">
        <v>260986.59</v>
      </c>
      <c r="M790" s="549">
        <v>19704.490000000002</v>
      </c>
      <c r="N790" s="549">
        <v>14980.63</v>
      </c>
      <c r="O790" s="549">
        <v>992</v>
      </c>
      <c r="P790" s="549">
        <v>56.18</v>
      </c>
      <c r="Q790" s="549">
        <v>20043.41</v>
      </c>
    </row>
    <row r="791" spans="1:17" x14ac:dyDescent="0.25">
      <c r="A791" s="549" t="s">
        <v>986</v>
      </c>
      <c r="B791" s="549" t="s">
        <v>987</v>
      </c>
      <c r="C791" s="549" t="s">
        <v>511</v>
      </c>
      <c r="D791" s="549" t="s">
        <v>988</v>
      </c>
      <c r="E791" s="549" t="s">
        <v>973</v>
      </c>
      <c r="F791" s="549" t="s">
        <v>1212</v>
      </c>
      <c r="G791" s="549" t="s">
        <v>1249</v>
      </c>
      <c r="H791" s="549" t="s">
        <v>701</v>
      </c>
      <c r="I791" s="549" t="s">
        <v>976</v>
      </c>
      <c r="J791" s="549" t="s">
        <v>976</v>
      </c>
      <c r="K791" s="549" t="s">
        <v>976</v>
      </c>
      <c r="L791" s="549">
        <v>41641.339999999997</v>
      </c>
      <c r="M791" s="549">
        <v>3143.92</v>
      </c>
      <c r="N791" s="549">
        <v>2390.21</v>
      </c>
      <c r="O791" s="549">
        <v>0</v>
      </c>
      <c r="P791" s="549">
        <v>56.18</v>
      </c>
      <c r="Q791" s="549">
        <v>3109.07</v>
      </c>
    </row>
    <row r="792" spans="1:17" x14ac:dyDescent="0.25">
      <c r="A792" s="549" t="s">
        <v>986</v>
      </c>
      <c r="B792" s="549" t="s">
        <v>987</v>
      </c>
      <c r="C792" s="549" t="s">
        <v>511</v>
      </c>
      <c r="D792" s="549" t="s">
        <v>988</v>
      </c>
      <c r="E792" s="549" t="s">
        <v>973</v>
      </c>
      <c r="F792" s="549" t="s">
        <v>1212</v>
      </c>
      <c r="G792" s="549" t="s">
        <v>1250</v>
      </c>
      <c r="H792" s="549" t="s">
        <v>701</v>
      </c>
      <c r="I792" s="549" t="s">
        <v>976</v>
      </c>
      <c r="J792" s="549" t="s">
        <v>976</v>
      </c>
      <c r="K792" s="549" t="s">
        <v>976</v>
      </c>
      <c r="L792" s="549">
        <v>41641.339999999997</v>
      </c>
      <c r="M792" s="549">
        <v>3143.92</v>
      </c>
      <c r="N792" s="549">
        <v>2390.21</v>
      </c>
      <c r="O792" s="549">
        <v>0</v>
      </c>
      <c r="P792" s="549">
        <v>56.18</v>
      </c>
      <c r="Q792" s="549">
        <v>3109.07</v>
      </c>
    </row>
    <row r="793" spans="1:17" x14ac:dyDescent="0.25">
      <c r="A793" s="549" t="s">
        <v>986</v>
      </c>
      <c r="B793" s="549" t="s">
        <v>987</v>
      </c>
      <c r="C793" s="549" t="s">
        <v>511</v>
      </c>
      <c r="D793" s="549" t="s">
        <v>988</v>
      </c>
      <c r="E793" s="549" t="s">
        <v>973</v>
      </c>
      <c r="F793" s="549" t="s">
        <v>1212</v>
      </c>
      <c r="G793" s="549">
        <v>67</v>
      </c>
      <c r="H793" s="549" t="s">
        <v>697</v>
      </c>
      <c r="I793" s="549" t="s">
        <v>976</v>
      </c>
      <c r="J793" s="549" t="s">
        <v>976</v>
      </c>
      <c r="K793" s="549" t="s">
        <v>976</v>
      </c>
      <c r="L793" s="549">
        <v>63595.63</v>
      </c>
      <c r="M793" s="549">
        <v>4801.47</v>
      </c>
      <c r="N793" s="549">
        <v>3650.39</v>
      </c>
      <c r="O793" s="549">
        <v>992</v>
      </c>
      <c r="P793" s="549">
        <v>56.18</v>
      </c>
      <c r="Q793" s="549">
        <v>5305.56</v>
      </c>
    </row>
    <row r="794" spans="1:17" x14ac:dyDescent="0.25">
      <c r="A794" s="549" t="s">
        <v>986</v>
      </c>
      <c r="B794" s="549" t="s">
        <v>987</v>
      </c>
      <c r="C794" s="549" t="s">
        <v>511</v>
      </c>
      <c r="D794" s="549" t="s">
        <v>988</v>
      </c>
      <c r="E794" s="549" t="s">
        <v>973</v>
      </c>
      <c r="F794" s="549" t="s">
        <v>1212</v>
      </c>
      <c r="G794" s="549">
        <v>92</v>
      </c>
      <c r="H794" s="549" t="s">
        <v>697</v>
      </c>
      <c r="I794" s="549" t="s">
        <v>976</v>
      </c>
      <c r="J794" s="549" t="s">
        <v>976</v>
      </c>
      <c r="K794" s="549" t="s">
        <v>976</v>
      </c>
      <c r="L794" s="549">
        <v>485426.5</v>
      </c>
      <c r="M794" s="549">
        <v>36649.699999999997</v>
      </c>
      <c r="N794" s="549">
        <v>27863.48</v>
      </c>
      <c r="O794" s="549">
        <v>3968</v>
      </c>
      <c r="P794" s="549">
        <v>56.18</v>
      </c>
      <c r="Q794" s="549">
        <v>38472.730000000003</v>
      </c>
    </row>
    <row r="795" spans="1:17" x14ac:dyDescent="0.25">
      <c r="A795" s="549" t="s">
        <v>986</v>
      </c>
      <c r="B795" s="549" t="s">
        <v>987</v>
      </c>
      <c r="C795" s="549" t="s">
        <v>511</v>
      </c>
      <c r="D795" s="549" t="s">
        <v>988</v>
      </c>
      <c r="E795" s="549" t="s">
        <v>973</v>
      </c>
      <c r="F795" s="549" t="s">
        <v>1212</v>
      </c>
      <c r="G795" s="549">
        <v>102</v>
      </c>
      <c r="H795" s="549" t="s">
        <v>697</v>
      </c>
      <c r="I795" s="549" t="s">
        <v>976</v>
      </c>
      <c r="J795" s="549" t="s">
        <v>976</v>
      </c>
      <c r="K795" s="549" t="s">
        <v>976</v>
      </c>
      <c r="L795" s="549">
        <v>485426.5</v>
      </c>
      <c r="M795" s="549">
        <v>36649.699999999997</v>
      </c>
      <c r="N795" s="549">
        <v>27863.48</v>
      </c>
      <c r="O795" s="549">
        <v>3968</v>
      </c>
      <c r="P795" s="549">
        <v>56.18</v>
      </c>
      <c r="Q795" s="549">
        <v>38472.730000000003</v>
      </c>
    </row>
    <row r="796" spans="1:17" x14ac:dyDescent="0.25">
      <c r="A796" s="549" t="s">
        <v>986</v>
      </c>
      <c r="B796" s="549" t="s">
        <v>987</v>
      </c>
      <c r="C796" s="549" t="s">
        <v>511</v>
      </c>
      <c r="D796" s="549" t="s">
        <v>988</v>
      </c>
      <c r="E796" s="549" t="s">
        <v>973</v>
      </c>
      <c r="F796" s="549" t="s">
        <v>1212</v>
      </c>
      <c r="G796" s="549">
        <v>212</v>
      </c>
      <c r="H796" s="549" t="s">
        <v>697</v>
      </c>
      <c r="I796" s="549" t="s">
        <v>976</v>
      </c>
      <c r="J796" s="549" t="s">
        <v>976</v>
      </c>
      <c r="K796" s="549" t="s">
        <v>976</v>
      </c>
      <c r="L796" s="549">
        <v>347493.52</v>
      </c>
      <c r="M796" s="549">
        <v>26235.759999999998</v>
      </c>
      <c r="N796" s="549">
        <v>19946.13</v>
      </c>
      <c r="O796" s="549">
        <v>1984</v>
      </c>
      <c r="P796" s="549">
        <v>56.18</v>
      </c>
      <c r="Q796" s="549">
        <v>27059.599999999999</v>
      </c>
    </row>
    <row r="797" spans="1:17" x14ac:dyDescent="0.25">
      <c r="A797" s="549" t="s">
        <v>986</v>
      </c>
      <c r="B797" s="549" t="s">
        <v>987</v>
      </c>
      <c r="C797" s="549" t="s">
        <v>511</v>
      </c>
      <c r="D797" s="549" t="s">
        <v>988</v>
      </c>
      <c r="E797" s="549" t="s">
        <v>973</v>
      </c>
      <c r="F797" s="549" t="s">
        <v>1212</v>
      </c>
      <c r="G797" s="549" t="s">
        <v>1251</v>
      </c>
      <c r="H797" s="549" t="s">
        <v>697</v>
      </c>
      <c r="I797" s="549" t="s">
        <v>976</v>
      </c>
      <c r="J797" s="549" t="s">
        <v>976</v>
      </c>
      <c r="K797" s="549" t="s">
        <v>976</v>
      </c>
      <c r="L797" s="549">
        <v>196605.25</v>
      </c>
      <c r="M797" s="549">
        <v>14843.7</v>
      </c>
      <c r="N797" s="549">
        <v>11285.14</v>
      </c>
      <c r="O797" s="549">
        <v>0</v>
      </c>
      <c r="P797" s="549">
        <v>56.18</v>
      </c>
      <c r="Q797" s="549">
        <v>14679.18</v>
      </c>
    </row>
    <row r="798" spans="1:17" x14ac:dyDescent="0.25">
      <c r="A798" s="549" t="s">
        <v>986</v>
      </c>
      <c r="B798" s="549" t="s">
        <v>987</v>
      </c>
      <c r="C798" s="549" t="s">
        <v>511</v>
      </c>
      <c r="D798" s="549" t="s">
        <v>988</v>
      </c>
      <c r="E798" s="549" t="s">
        <v>973</v>
      </c>
      <c r="F798" s="549" t="s">
        <v>1212</v>
      </c>
      <c r="G798" s="549" t="s">
        <v>1252</v>
      </c>
      <c r="H798" s="549" t="s">
        <v>697</v>
      </c>
      <c r="I798" s="549" t="s">
        <v>976</v>
      </c>
      <c r="J798" s="549" t="s">
        <v>976</v>
      </c>
      <c r="K798" s="549" t="s">
        <v>976</v>
      </c>
      <c r="L798" s="549">
        <v>0.01</v>
      </c>
      <c r="M798" s="549">
        <v>0</v>
      </c>
      <c r="N798" s="549">
        <v>0</v>
      </c>
      <c r="O798" s="549">
        <v>0</v>
      </c>
      <c r="P798" s="549">
        <v>56.18</v>
      </c>
      <c r="Q798" s="549">
        <v>0</v>
      </c>
    </row>
    <row r="799" spans="1:17" x14ac:dyDescent="0.25">
      <c r="A799" s="549" t="s">
        <v>986</v>
      </c>
      <c r="B799" s="549" t="s">
        <v>987</v>
      </c>
      <c r="C799" s="549" t="s">
        <v>511</v>
      </c>
      <c r="D799" s="549" t="s">
        <v>988</v>
      </c>
      <c r="E799" s="549" t="s">
        <v>973</v>
      </c>
      <c r="F799" s="549" t="s">
        <v>1212</v>
      </c>
      <c r="G799" s="549" t="s">
        <v>1253</v>
      </c>
      <c r="H799" s="549" t="s">
        <v>697</v>
      </c>
      <c r="I799" s="549" t="s">
        <v>976</v>
      </c>
      <c r="J799" s="549" t="s">
        <v>976</v>
      </c>
      <c r="K799" s="549" t="s">
        <v>976</v>
      </c>
      <c r="L799" s="549">
        <v>0.01</v>
      </c>
      <c r="M799" s="549">
        <v>0</v>
      </c>
      <c r="N799" s="549">
        <v>0</v>
      </c>
      <c r="O799" s="549">
        <v>0</v>
      </c>
      <c r="P799" s="549">
        <v>56.18</v>
      </c>
      <c r="Q799" s="549">
        <v>0</v>
      </c>
    </row>
    <row r="800" spans="1:17" x14ac:dyDescent="0.25">
      <c r="A800" s="549" t="s">
        <v>986</v>
      </c>
      <c r="B800" s="549" t="s">
        <v>987</v>
      </c>
      <c r="C800" s="549" t="s">
        <v>511</v>
      </c>
      <c r="D800" s="549" t="s">
        <v>988</v>
      </c>
      <c r="E800" s="549" t="s">
        <v>973</v>
      </c>
      <c r="F800" s="549" t="s">
        <v>1212</v>
      </c>
      <c r="G800" s="549">
        <v>192</v>
      </c>
      <c r="H800" s="549" t="s">
        <v>1167</v>
      </c>
      <c r="I800" s="549" t="s">
        <v>976</v>
      </c>
      <c r="J800" s="549" t="s">
        <v>976</v>
      </c>
      <c r="K800" s="549" t="s">
        <v>976</v>
      </c>
      <c r="L800" s="549">
        <v>485426.5</v>
      </c>
      <c r="M800" s="549">
        <v>36649.699999999997</v>
      </c>
      <c r="N800" s="549">
        <v>27863.48</v>
      </c>
      <c r="O800" s="549">
        <v>3968</v>
      </c>
      <c r="P800" s="549">
        <v>56.18</v>
      </c>
      <c r="Q800" s="549">
        <v>38472.730000000003</v>
      </c>
    </row>
    <row r="801" spans="1:17" x14ac:dyDescent="0.25">
      <c r="A801" s="549" t="s">
        <v>986</v>
      </c>
      <c r="B801" s="549" t="s">
        <v>987</v>
      </c>
      <c r="C801" s="549" t="s">
        <v>511</v>
      </c>
      <c r="D801" s="549" t="s">
        <v>988</v>
      </c>
      <c r="E801" s="549" t="s">
        <v>973</v>
      </c>
      <c r="F801" s="549" t="s">
        <v>1212</v>
      </c>
      <c r="G801" s="549">
        <v>202</v>
      </c>
      <c r="H801" s="549" t="s">
        <v>1167</v>
      </c>
      <c r="I801" s="549" t="s">
        <v>976</v>
      </c>
      <c r="J801" s="549" t="s">
        <v>976</v>
      </c>
      <c r="K801" s="549" t="s">
        <v>976</v>
      </c>
      <c r="L801" s="549">
        <v>485426.5</v>
      </c>
      <c r="M801" s="549">
        <v>36649.699999999997</v>
      </c>
      <c r="N801" s="549">
        <v>27863.48</v>
      </c>
      <c r="O801" s="549">
        <v>3968</v>
      </c>
      <c r="P801" s="549">
        <v>56.18</v>
      </c>
      <c r="Q801" s="549">
        <v>38472.730000000003</v>
      </c>
    </row>
    <row r="802" spans="1:17" x14ac:dyDescent="0.25">
      <c r="A802" s="549" t="s">
        <v>986</v>
      </c>
      <c r="B802" s="549" t="s">
        <v>987</v>
      </c>
      <c r="C802" s="549" t="s">
        <v>511</v>
      </c>
      <c r="D802" s="549" t="s">
        <v>988</v>
      </c>
      <c r="E802" s="549" t="s">
        <v>973</v>
      </c>
      <c r="F802" s="549" t="s">
        <v>1212</v>
      </c>
      <c r="G802" s="549">
        <v>207</v>
      </c>
      <c r="H802" s="549" t="s">
        <v>1167</v>
      </c>
      <c r="I802" s="549" t="s">
        <v>976</v>
      </c>
      <c r="J802" s="549" t="s">
        <v>976</v>
      </c>
      <c r="K802" s="549" t="s">
        <v>976</v>
      </c>
      <c r="L802" s="549">
        <v>63595.63</v>
      </c>
      <c r="M802" s="549">
        <v>4801.47</v>
      </c>
      <c r="N802" s="549">
        <v>3650.39</v>
      </c>
      <c r="O802" s="549">
        <v>992</v>
      </c>
      <c r="P802" s="549">
        <v>56.18</v>
      </c>
      <c r="Q802" s="549">
        <v>5305.56</v>
      </c>
    </row>
    <row r="803" spans="1:17" x14ac:dyDescent="0.25">
      <c r="A803" s="549" t="s">
        <v>986</v>
      </c>
      <c r="B803" s="549" t="s">
        <v>987</v>
      </c>
      <c r="C803" s="549" t="s">
        <v>511</v>
      </c>
      <c r="D803" s="549" t="s">
        <v>988</v>
      </c>
      <c r="E803" s="549" t="s">
        <v>973</v>
      </c>
      <c r="F803" s="549" t="s">
        <v>1212</v>
      </c>
      <c r="G803" s="549" t="s">
        <v>1250</v>
      </c>
      <c r="H803" s="549" t="s">
        <v>1167</v>
      </c>
      <c r="I803" s="549" t="s">
        <v>976</v>
      </c>
      <c r="J803" s="549" t="s">
        <v>976</v>
      </c>
      <c r="K803" s="549" t="s">
        <v>976</v>
      </c>
      <c r="L803" s="549">
        <v>41641.339999999997</v>
      </c>
      <c r="M803" s="549">
        <v>3143.92</v>
      </c>
      <c r="N803" s="549">
        <v>2390.21</v>
      </c>
      <c r="O803" s="549">
        <v>0</v>
      </c>
      <c r="P803" s="549">
        <v>56.18</v>
      </c>
      <c r="Q803" s="549">
        <v>3109.07</v>
      </c>
    </row>
    <row r="804" spans="1:17" x14ac:dyDescent="0.25">
      <c r="A804" s="549" t="s">
        <v>986</v>
      </c>
      <c r="B804" s="549" t="s">
        <v>987</v>
      </c>
      <c r="C804" s="549" t="s">
        <v>511</v>
      </c>
      <c r="D804" s="549" t="s">
        <v>988</v>
      </c>
      <c r="E804" s="549" t="s">
        <v>977</v>
      </c>
      <c r="F804" s="549" t="s">
        <v>1212</v>
      </c>
      <c r="G804" s="549">
        <v>42</v>
      </c>
      <c r="H804" s="549" t="s">
        <v>511</v>
      </c>
      <c r="I804" s="549" t="s">
        <v>976</v>
      </c>
      <c r="J804" s="549" t="s">
        <v>976</v>
      </c>
      <c r="K804" s="549" t="s">
        <v>976</v>
      </c>
      <c r="L804" s="549">
        <v>120068.26</v>
      </c>
      <c r="M804" s="549">
        <v>9065.15</v>
      </c>
      <c r="N804" s="549">
        <v>2653.51</v>
      </c>
      <c r="O804" s="549">
        <v>892.8</v>
      </c>
      <c r="P804" s="549">
        <v>0.27</v>
      </c>
      <c r="Q804" s="549">
        <v>34.049999999999997</v>
      </c>
    </row>
    <row r="805" spans="1:17" x14ac:dyDescent="0.25">
      <c r="A805" s="549" t="s">
        <v>986</v>
      </c>
      <c r="B805" s="549" t="s">
        <v>987</v>
      </c>
      <c r="C805" s="549" t="s">
        <v>511</v>
      </c>
      <c r="D805" s="549" t="s">
        <v>988</v>
      </c>
      <c r="E805" s="549" t="s">
        <v>977</v>
      </c>
      <c r="F805" s="549" t="s">
        <v>1212</v>
      </c>
      <c r="G805" s="549">
        <v>47</v>
      </c>
      <c r="H805" s="549" t="s">
        <v>511</v>
      </c>
      <c r="I805" s="549" t="s">
        <v>976</v>
      </c>
      <c r="J805" s="549" t="s">
        <v>976</v>
      </c>
      <c r="K805" s="549" t="s">
        <v>976</v>
      </c>
      <c r="L805" s="549">
        <v>63595.63</v>
      </c>
      <c r="M805" s="549">
        <v>4801.47</v>
      </c>
      <c r="N805" s="549">
        <v>1405.46</v>
      </c>
      <c r="O805" s="549">
        <v>992</v>
      </c>
      <c r="P805" s="549">
        <v>0.15</v>
      </c>
      <c r="Q805" s="549">
        <v>10.8</v>
      </c>
    </row>
    <row r="806" spans="1:17" x14ac:dyDescent="0.25">
      <c r="A806" s="549" t="s">
        <v>986</v>
      </c>
      <c r="B806" s="549" t="s">
        <v>987</v>
      </c>
      <c r="C806" s="549" t="s">
        <v>511</v>
      </c>
      <c r="D806" s="549" t="s">
        <v>988</v>
      </c>
      <c r="E806" s="549" t="s">
        <v>977</v>
      </c>
      <c r="F806" s="549" t="s">
        <v>1212</v>
      </c>
      <c r="G806" s="549">
        <v>57</v>
      </c>
      <c r="H806" s="549" t="s">
        <v>511</v>
      </c>
      <c r="I806" s="549" t="s">
        <v>976</v>
      </c>
      <c r="J806" s="549" t="s">
        <v>976</v>
      </c>
      <c r="K806" s="549" t="s">
        <v>976</v>
      </c>
      <c r="L806" s="549">
        <v>63595.63</v>
      </c>
      <c r="M806" s="549">
        <v>4801.47</v>
      </c>
      <c r="N806" s="549">
        <v>1405.46</v>
      </c>
      <c r="O806" s="549">
        <v>992</v>
      </c>
      <c r="P806" s="549">
        <v>0.27</v>
      </c>
      <c r="Q806" s="549">
        <v>19.440000000000001</v>
      </c>
    </row>
    <row r="807" spans="1:17" x14ac:dyDescent="0.25">
      <c r="A807" s="549" t="s">
        <v>986</v>
      </c>
      <c r="B807" s="549" t="s">
        <v>987</v>
      </c>
      <c r="C807" s="549" t="s">
        <v>511</v>
      </c>
      <c r="D807" s="549" t="s">
        <v>988</v>
      </c>
      <c r="E807" s="549" t="s">
        <v>977</v>
      </c>
      <c r="F807" s="549" t="s">
        <v>1212</v>
      </c>
      <c r="G807" s="549">
        <v>62</v>
      </c>
      <c r="H807" s="549" t="s">
        <v>511</v>
      </c>
      <c r="I807" s="549" t="s">
        <v>976</v>
      </c>
      <c r="J807" s="549" t="s">
        <v>976</v>
      </c>
      <c r="K807" s="549" t="s">
        <v>976</v>
      </c>
      <c r="L807" s="549">
        <v>120068.26</v>
      </c>
      <c r="M807" s="549">
        <v>9065.15</v>
      </c>
      <c r="N807" s="549">
        <v>2653.51</v>
      </c>
      <c r="O807" s="549">
        <v>892.8</v>
      </c>
      <c r="P807" s="549">
        <v>0.27</v>
      </c>
      <c r="Q807" s="549">
        <v>34.049999999999997</v>
      </c>
    </row>
    <row r="808" spans="1:17" x14ac:dyDescent="0.25">
      <c r="A808" s="549" t="s">
        <v>986</v>
      </c>
      <c r="B808" s="549" t="s">
        <v>987</v>
      </c>
      <c r="C808" s="549" t="s">
        <v>511</v>
      </c>
      <c r="D808" s="549" t="s">
        <v>988</v>
      </c>
      <c r="E808" s="549" t="s">
        <v>977</v>
      </c>
      <c r="F808" s="549" t="s">
        <v>1212</v>
      </c>
      <c r="G808" s="549">
        <v>72</v>
      </c>
      <c r="H808" s="549" t="s">
        <v>511</v>
      </c>
      <c r="I808" s="549" t="s">
        <v>976</v>
      </c>
      <c r="J808" s="549" t="s">
        <v>976</v>
      </c>
      <c r="K808" s="549" t="s">
        <v>976</v>
      </c>
      <c r="L808" s="549">
        <v>485426.5</v>
      </c>
      <c r="M808" s="549">
        <v>36649.699999999997</v>
      </c>
      <c r="N808" s="549">
        <v>10727.93</v>
      </c>
      <c r="O808" s="549">
        <v>3968</v>
      </c>
      <c r="P808" s="549">
        <v>0.15</v>
      </c>
      <c r="Q808" s="549">
        <v>77.02</v>
      </c>
    </row>
    <row r="809" spans="1:17" x14ac:dyDescent="0.25">
      <c r="A809" s="549" t="s">
        <v>986</v>
      </c>
      <c r="B809" s="549" t="s">
        <v>987</v>
      </c>
      <c r="C809" s="549" t="s">
        <v>511</v>
      </c>
      <c r="D809" s="549" t="s">
        <v>988</v>
      </c>
      <c r="E809" s="549" t="s">
        <v>977</v>
      </c>
      <c r="F809" s="549" t="s">
        <v>1212</v>
      </c>
      <c r="G809" s="549">
        <v>82</v>
      </c>
      <c r="H809" s="549" t="s">
        <v>511</v>
      </c>
      <c r="I809" s="549" t="s">
        <v>976</v>
      </c>
      <c r="J809" s="549" t="s">
        <v>976</v>
      </c>
      <c r="K809" s="549" t="s">
        <v>976</v>
      </c>
      <c r="L809" s="549">
        <v>485426.5</v>
      </c>
      <c r="M809" s="549">
        <v>36649.699999999997</v>
      </c>
      <c r="N809" s="549">
        <v>10727.93</v>
      </c>
      <c r="O809" s="549">
        <v>3968</v>
      </c>
      <c r="P809" s="549">
        <v>0.15</v>
      </c>
      <c r="Q809" s="549">
        <v>77.02</v>
      </c>
    </row>
    <row r="810" spans="1:17" x14ac:dyDescent="0.25">
      <c r="A810" s="549" t="s">
        <v>986</v>
      </c>
      <c r="B810" s="549" t="s">
        <v>987</v>
      </c>
      <c r="C810" s="549" t="s">
        <v>511</v>
      </c>
      <c r="D810" s="549" t="s">
        <v>988</v>
      </c>
      <c r="E810" s="549" t="s">
        <v>977</v>
      </c>
      <c r="F810" s="549" t="s">
        <v>1212</v>
      </c>
      <c r="G810" s="549" t="s">
        <v>1245</v>
      </c>
      <c r="H810" s="549" t="s">
        <v>511</v>
      </c>
      <c r="I810" s="549" t="s">
        <v>976</v>
      </c>
      <c r="J810" s="549" t="s">
        <v>976</v>
      </c>
      <c r="K810" s="549" t="s">
        <v>976</v>
      </c>
      <c r="L810" s="549">
        <v>41641.339999999997</v>
      </c>
      <c r="M810" s="549">
        <v>3143.92</v>
      </c>
      <c r="N810" s="549">
        <v>920.27</v>
      </c>
      <c r="O810" s="549">
        <v>0</v>
      </c>
      <c r="P810" s="549">
        <v>0.15</v>
      </c>
      <c r="Q810" s="549">
        <v>6.1</v>
      </c>
    </row>
    <row r="811" spans="1:17" x14ac:dyDescent="0.25">
      <c r="A811" s="549" t="s">
        <v>986</v>
      </c>
      <c r="B811" s="549" t="s">
        <v>987</v>
      </c>
      <c r="C811" s="549" t="s">
        <v>511</v>
      </c>
      <c r="D811" s="549" t="s">
        <v>988</v>
      </c>
      <c r="E811" s="549" t="s">
        <v>977</v>
      </c>
      <c r="F811" s="549" t="s">
        <v>1212</v>
      </c>
      <c r="G811" s="549">
        <v>47</v>
      </c>
      <c r="H811" s="549" t="s">
        <v>701</v>
      </c>
      <c r="I811" s="549" t="s">
        <v>976</v>
      </c>
      <c r="J811" s="549" t="s">
        <v>976</v>
      </c>
      <c r="K811" s="549" t="s">
        <v>976</v>
      </c>
      <c r="L811" s="549">
        <v>30332.1</v>
      </c>
      <c r="M811" s="549">
        <v>2290.0700000000002</v>
      </c>
      <c r="N811" s="549">
        <v>670.34</v>
      </c>
      <c r="O811" s="549">
        <v>992</v>
      </c>
      <c r="P811" s="549">
        <v>0.15</v>
      </c>
      <c r="Q811" s="549">
        <v>5.93</v>
      </c>
    </row>
    <row r="812" spans="1:17" x14ac:dyDescent="0.25">
      <c r="A812" s="549" t="s">
        <v>986</v>
      </c>
      <c r="B812" s="549" t="s">
        <v>987</v>
      </c>
      <c r="C812" s="549" t="s">
        <v>511</v>
      </c>
      <c r="D812" s="549" t="s">
        <v>988</v>
      </c>
      <c r="E812" s="549" t="s">
        <v>977</v>
      </c>
      <c r="F812" s="549" t="s">
        <v>1212</v>
      </c>
      <c r="G812" s="549">
        <v>107</v>
      </c>
      <c r="H812" s="549" t="s">
        <v>701</v>
      </c>
      <c r="I812" s="549" t="s">
        <v>976</v>
      </c>
      <c r="J812" s="549" t="s">
        <v>976</v>
      </c>
      <c r="K812" s="549" t="s">
        <v>976</v>
      </c>
      <c r="L812" s="549">
        <v>30332.1</v>
      </c>
      <c r="M812" s="549">
        <v>2290.0700000000002</v>
      </c>
      <c r="N812" s="549">
        <v>670.34</v>
      </c>
      <c r="O812" s="549">
        <v>992</v>
      </c>
      <c r="P812" s="549">
        <v>0.15</v>
      </c>
      <c r="Q812" s="549">
        <v>5.93</v>
      </c>
    </row>
    <row r="813" spans="1:17" x14ac:dyDescent="0.25">
      <c r="A813" s="549" t="s">
        <v>986</v>
      </c>
      <c r="B813" s="549" t="s">
        <v>987</v>
      </c>
      <c r="C813" s="549" t="s">
        <v>511</v>
      </c>
      <c r="D813" s="549" t="s">
        <v>988</v>
      </c>
      <c r="E813" s="549" t="s">
        <v>977</v>
      </c>
      <c r="F813" s="549" t="s">
        <v>1212</v>
      </c>
      <c r="G813" s="549" t="s">
        <v>1246</v>
      </c>
      <c r="H813" s="549" t="s">
        <v>701</v>
      </c>
      <c r="I813" s="549" t="s">
        <v>976</v>
      </c>
      <c r="J813" s="549" t="s">
        <v>976</v>
      </c>
      <c r="K813" s="549" t="s">
        <v>976</v>
      </c>
      <c r="L813" s="549">
        <v>55317.97</v>
      </c>
      <c r="M813" s="549">
        <v>4176.51</v>
      </c>
      <c r="N813" s="549">
        <v>1222.53</v>
      </c>
      <c r="O813" s="549">
        <v>1984</v>
      </c>
      <c r="P813" s="549">
        <v>0.15</v>
      </c>
      <c r="Q813" s="549">
        <v>11.07</v>
      </c>
    </row>
    <row r="814" spans="1:17" x14ac:dyDescent="0.25">
      <c r="A814" s="549" t="s">
        <v>986</v>
      </c>
      <c r="B814" s="549" t="s">
        <v>987</v>
      </c>
      <c r="C814" s="549" t="s">
        <v>511</v>
      </c>
      <c r="D814" s="549" t="s">
        <v>988</v>
      </c>
      <c r="E814" s="549" t="s">
        <v>977</v>
      </c>
      <c r="F814" s="549" t="s">
        <v>1212</v>
      </c>
      <c r="G814" s="549" t="s">
        <v>1235</v>
      </c>
      <c r="H814" s="549" t="s">
        <v>701</v>
      </c>
      <c r="I814" s="549" t="s">
        <v>976</v>
      </c>
      <c r="J814" s="549" t="s">
        <v>976</v>
      </c>
      <c r="K814" s="549" t="s">
        <v>976</v>
      </c>
      <c r="L814" s="549">
        <v>300918.65999999997</v>
      </c>
      <c r="M814" s="549">
        <v>22719.360000000001</v>
      </c>
      <c r="N814" s="549">
        <v>6650.3</v>
      </c>
      <c r="O814" s="549">
        <v>992</v>
      </c>
      <c r="P814" s="549">
        <v>0.15</v>
      </c>
      <c r="Q814" s="549">
        <v>45.54</v>
      </c>
    </row>
    <row r="815" spans="1:17" x14ac:dyDescent="0.25">
      <c r="A815" s="549" t="s">
        <v>986</v>
      </c>
      <c r="B815" s="549" t="s">
        <v>987</v>
      </c>
      <c r="C815" s="549" t="s">
        <v>511</v>
      </c>
      <c r="D815" s="549" t="s">
        <v>988</v>
      </c>
      <c r="E815" s="549" t="s">
        <v>977</v>
      </c>
      <c r="F815" s="549" t="s">
        <v>1212</v>
      </c>
      <c r="G815" s="549" t="s">
        <v>1236</v>
      </c>
      <c r="H815" s="549" t="s">
        <v>701</v>
      </c>
      <c r="I815" s="549" t="s">
        <v>976</v>
      </c>
      <c r="J815" s="549" t="s">
        <v>976</v>
      </c>
      <c r="K815" s="549" t="s">
        <v>976</v>
      </c>
      <c r="L815" s="549">
        <v>260986.59</v>
      </c>
      <c r="M815" s="549">
        <v>19704.490000000002</v>
      </c>
      <c r="N815" s="549">
        <v>5767.8</v>
      </c>
      <c r="O815" s="549">
        <v>992</v>
      </c>
      <c r="P815" s="549">
        <v>0.15</v>
      </c>
      <c r="Q815" s="549">
        <v>39.700000000000003</v>
      </c>
    </row>
    <row r="816" spans="1:17" x14ac:dyDescent="0.25">
      <c r="A816" s="549" t="s">
        <v>986</v>
      </c>
      <c r="B816" s="549" t="s">
        <v>987</v>
      </c>
      <c r="C816" s="549" t="s">
        <v>511</v>
      </c>
      <c r="D816" s="549" t="s">
        <v>988</v>
      </c>
      <c r="E816" s="549" t="s">
        <v>977</v>
      </c>
      <c r="F816" s="549" t="s">
        <v>1212</v>
      </c>
      <c r="G816" s="549" t="s">
        <v>1247</v>
      </c>
      <c r="H816" s="549" t="s">
        <v>701</v>
      </c>
      <c r="I816" s="549" t="s">
        <v>976</v>
      </c>
      <c r="J816" s="549" t="s">
        <v>976</v>
      </c>
      <c r="K816" s="549" t="s">
        <v>976</v>
      </c>
      <c r="L816" s="549">
        <v>300918.65999999997</v>
      </c>
      <c r="M816" s="549">
        <v>22719.360000000001</v>
      </c>
      <c r="N816" s="549">
        <v>6650.3</v>
      </c>
      <c r="O816" s="549">
        <v>992</v>
      </c>
      <c r="P816" s="549">
        <v>0.15</v>
      </c>
      <c r="Q816" s="549">
        <v>45.54</v>
      </c>
    </row>
    <row r="817" spans="1:17" x14ac:dyDescent="0.25">
      <c r="A817" s="549" t="s">
        <v>986</v>
      </c>
      <c r="B817" s="549" t="s">
        <v>987</v>
      </c>
      <c r="C817" s="549" t="s">
        <v>511</v>
      </c>
      <c r="D817" s="549" t="s">
        <v>988</v>
      </c>
      <c r="E817" s="549" t="s">
        <v>977</v>
      </c>
      <c r="F817" s="549" t="s">
        <v>1212</v>
      </c>
      <c r="G817" s="549" t="s">
        <v>1248</v>
      </c>
      <c r="H817" s="549" t="s">
        <v>701</v>
      </c>
      <c r="I817" s="549" t="s">
        <v>976</v>
      </c>
      <c r="J817" s="549" t="s">
        <v>976</v>
      </c>
      <c r="K817" s="549" t="s">
        <v>976</v>
      </c>
      <c r="L817" s="549">
        <v>260986.59</v>
      </c>
      <c r="M817" s="549">
        <v>19704.490000000002</v>
      </c>
      <c r="N817" s="549">
        <v>5767.8</v>
      </c>
      <c r="O817" s="549">
        <v>992</v>
      </c>
      <c r="P817" s="549">
        <v>0.15</v>
      </c>
      <c r="Q817" s="549">
        <v>39.700000000000003</v>
      </c>
    </row>
    <row r="818" spans="1:17" x14ac:dyDescent="0.25">
      <c r="A818" s="549" t="s">
        <v>986</v>
      </c>
      <c r="B818" s="549" t="s">
        <v>987</v>
      </c>
      <c r="C818" s="549" t="s">
        <v>511</v>
      </c>
      <c r="D818" s="549" t="s">
        <v>988</v>
      </c>
      <c r="E818" s="549" t="s">
        <v>977</v>
      </c>
      <c r="F818" s="549" t="s">
        <v>1212</v>
      </c>
      <c r="G818" s="549" t="s">
        <v>1249</v>
      </c>
      <c r="H818" s="549" t="s">
        <v>701</v>
      </c>
      <c r="I818" s="549" t="s">
        <v>976</v>
      </c>
      <c r="J818" s="549" t="s">
        <v>976</v>
      </c>
      <c r="K818" s="549" t="s">
        <v>976</v>
      </c>
      <c r="L818" s="549">
        <v>41641.339999999997</v>
      </c>
      <c r="M818" s="549">
        <v>3143.92</v>
      </c>
      <c r="N818" s="549">
        <v>920.27</v>
      </c>
      <c r="O818" s="549">
        <v>0</v>
      </c>
      <c r="P818" s="549">
        <v>0.15</v>
      </c>
      <c r="Q818" s="549">
        <v>6.1</v>
      </c>
    </row>
    <row r="819" spans="1:17" x14ac:dyDescent="0.25">
      <c r="A819" s="549" t="s">
        <v>986</v>
      </c>
      <c r="B819" s="549" t="s">
        <v>987</v>
      </c>
      <c r="C819" s="549" t="s">
        <v>511</v>
      </c>
      <c r="D819" s="549" t="s">
        <v>988</v>
      </c>
      <c r="E819" s="549" t="s">
        <v>977</v>
      </c>
      <c r="F819" s="549" t="s">
        <v>1212</v>
      </c>
      <c r="G819" s="549" t="s">
        <v>1250</v>
      </c>
      <c r="H819" s="549" t="s">
        <v>701</v>
      </c>
      <c r="I819" s="549" t="s">
        <v>976</v>
      </c>
      <c r="J819" s="549" t="s">
        <v>976</v>
      </c>
      <c r="K819" s="549" t="s">
        <v>976</v>
      </c>
      <c r="L819" s="549">
        <v>41641.339999999997</v>
      </c>
      <c r="M819" s="549">
        <v>3143.92</v>
      </c>
      <c r="N819" s="549">
        <v>920.27</v>
      </c>
      <c r="O819" s="549">
        <v>0</v>
      </c>
      <c r="P819" s="549">
        <v>0.15</v>
      </c>
      <c r="Q819" s="549">
        <v>6.1</v>
      </c>
    </row>
    <row r="820" spans="1:17" x14ac:dyDescent="0.25">
      <c r="A820" s="549" t="s">
        <v>986</v>
      </c>
      <c r="B820" s="549" t="s">
        <v>987</v>
      </c>
      <c r="C820" s="549" t="s">
        <v>511</v>
      </c>
      <c r="D820" s="549" t="s">
        <v>988</v>
      </c>
      <c r="E820" s="549" t="s">
        <v>977</v>
      </c>
      <c r="F820" s="549" t="s">
        <v>1212</v>
      </c>
      <c r="G820" s="549">
        <v>67</v>
      </c>
      <c r="H820" s="549" t="s">
        <v>697</v>
      </c>
      <c r="I820" s="549" t="s">
        <v>976</v>
      </c>
      <c r="J820" s="549" t="s">
        <v>976</v>
      </c>
      <c r="K820" s="549" t="s">
        <v>976</v>
      </c>
      <c r="L820" s="549">
        <v>63595.63</v>
      </c>
      <c r="M820" s="549">
        <v>4801.47</v>
      </c>
      <c r="N820" s="549">
        <v>1405.46</v>
      </c>
      <c r="O820" s="549">
        <v>992</v>
      </c>
      <c r="P820" s="549">
        <v>0.15</v>
      </c>
      <c r="Q820" s="549">
        <v>10.8</v>
      </c>
    </row>
    <row r="821" spans="1:17" x14ac:dyDescent="0.25">
      <c r="A821" s="549" t="s">
        <v>986</v>
      </c>
      <c r="B821" s="549" t="s">
        <v>987</v>
      </c>
      <c r="C821" s="549" t="s">
        <v>511</v>
      </c>
      <c r="D821" s="549" t="s">
        <v>988</v>
      </c>
      <c r="E821" s="549" t="s">
        <v>977</v>
      </c>
      <c r="F821" s="549" t="s">
        <v>1212</v>
      </c>
      <c r="G821" s="549">
        <v>92</v>
      </c>
      <c r="H821" s="549" t="s">
        <v>697</v>
      </c>
      <c r="I821" s="549" t="s">
        <v>976</v>
      </c>
      <c r="J821" s="549" t="s">
        <v>976</v>
      </c>
      <c r="K821" s="549" t="s">
        <v>976</v>
      </c>
      <c r="L821" s="549">
        <v>485426.5</v>
      </c>
      <c r="M821" s="549">
        <v>36649.699999999997</v>
      </c>
      <c r="N821" s="549">
        <v>10727.93</v>
      </c>
      <c r="O821" s="549">
        <v>3968</v>
      </c>
      <c r="P821" s="549">
        <v>0.15</v>
      </c>
      <c r="Q821" s="549">
        <v>77.02</v>
      </c>
    </row>
    <row r="822" spans="1:17" x14ac:dyDescent="0.25">
      <c r="A822" s="549" t="s">
        <v>986</v>
      </c>
      <c r="B822" s="549" t="s">
        <v>987</v>
      </c>
      <c r="C822" s="549" t="s">
        <v>511</v>
      </c>
      <c r="D822" s="549" t="s">
        <v>988</v>
      </c>
      <c r="E822" s="549" t="s">
        <v>977</v>
      </c>
      <c r="F822" s="549" t="s">
        <v>1212</v>
      </c>
      <c r="G822" s="549">
        <v>102</v>
      </c>
      <c r="H822" s="549" t="s">
        <v>697</v>
      </c>
      <c r="I822" s="549" t="s">
        <v>976</v>
      </c>
      <c r="J822" s="549" t="s">
        <v>976</v>
      </c>
      <c r="K822" s="549" t="s">
        <v>976</v>
      </c>
      <c r="L822" s="549">
        <v>485426.5</v>
      </c>
      <c r="M822" s="549">
        <v>36649.699999999997</v>
      </c>
      <c r="N822" s="549">
        <v>10727.93</v>
      </c>
      <c r="O822" s="549">
        <v>3968</v>
      </c>
      <c r="P822" s="549">
        <v>0.15</v>
      </c>
      <c r="Q822" s="549">
        <v>77.02</v>
      </c>
    </row>
    <row r="823" spans="1:17" x14ac:dyDescent="0.25">
      <c r="A823" s="549" t="s">
        <v>986</v>
      </c>
      <c r="B823" s="549" t="s">
        <v>987</v>
      </c>
      <c r="C823" s="549" t="s">
        <v>511</v>
      </c>
      <c r="D823" s="549" t="s">
        <v>988</v>
      </c>
      <c r="E823" s="549" t="s">
        <v>977</v>
      </c>
      <c r="F823" s="549" t="s">
        <v>1212</v>
      </c>
      <c r="G823" s="549">
        <v>212</v>
      </c>
      <c r="H823" s="549" t="s">
        <v>697</v>
      </c>
      <c r="I823" s="549" t="s">
        <v>976</v>
      </c>
      <c r="J823" s="549" t="s">
        <v>976</v>
      </c>
      <c r="K823" s="549" t="s">
        <v>976</v>
      </c>
      <c r="L823" s="549">
        <v>347493.52</v>
      </c>
      <c r="M823" s="549">
        <v>26235.759999999998</v>
      </c>
      <c r="N823" s="549">
        <v>7679.61</v>
      </c>
      <c r="O823" s="549">
        <v>1984</v>
      </c>
      <c r="P823" s="549">
        <v>0.15</v>
      </c>
      <c r="Q823" s="549">
        <v>53.85</v>
      </c>
    </row>
    <row r="824" spans="1:17" x14ac:dyDescent="0.25">
      <c r="A824" s="549" t="s">
        <v>986</v>
      </c>
      <c r="B824" s="549" t="s">
        <v>987</v>
      </c>
      <c r="C824" s="549" t="s">
        <v>511</v>
      </c>
      <c r="D824" s="549" t="s">
        <v>988</v>
      </c>
      <c r="E824" s="549" t="s">
        <v>977</v>
      </c>
      <c r="F824" s="549" t="s">
        <v>1212</v>
      </c>
      <c r="G824" s="549" t="s">
        <v>1251</v>
      </c>
      <c r="H824" s="549" t="s">
        <v>697</v>
      </c>
      <c r="I824" s="549" t="s">
        <v>976</v>
      </c>
      <c r="J824" s="549" t="s">
        <v>976</v>
      </c>
      <c r="K824" s="549" t="s">
        <v>976</v>
      </c>
      <c r="L824" s="549">
        <v>196605.25</v>
      </c>
      <c r="M824" s="549">
        <v>14843.7</v>
      </c>
      <c r="N824" s="549">
        <v>4344.9799999999996</v>
      </c>
      <c r="O824" s="549">
        <v>0</v>
      </c>
      <c r="P824" s="549">
        <v>0.15</v>
      </c>
      <c r="Q824" s="549">
        <v>28.78</v>
      </c>
    </row>
    <row r="825" spans="1:17" x14ac:dyDescent="0.25">
      <c r="A825" s="549" t="s">
        <v>986</v>
      </c>
      <c r="B825" s="549" t="s">
        <v>987</v>
      </c>
      <c r="C825" s="549" t="s">
        <v>511</v>
      </c>
      <c r="D825" s="549" t="s">
        <v>988</v>
      </c>
      <c r="E825" s="549" t="s">
        <v>977</v>
      </c>
      <c r="F825" s="549" t="s">
        <v>1212</v>
      </c>
      <c r="G825" s="549" t="s">
        <v>1252</v>
      </c>
      <c r="H825" s="549" t="s">
        <v>697</v>
      </c>
      <c r="I825" s="549" t="s">
        <v>976</v>
      </c>
      <c r="J825" s="549" t="s">
        <v>976</v>
      </c>
      <c r="K825" s="549" t="s">
        <v>976</v>
      </c>
      <c r="L825" s="549">
        <v>0.01</v>
      </c>
      <c r="M825" s="549">
        <v>0</v>
      </c>
      <c r="N825" s="549">
        <v>0</v>
      </c>
      <c r="O825" s="549">
        <v>0</v>
      </c>
      <c r="P825" s="549">
        <v>0.15</v>
      </c>
      <c r="Q825" s="549">
        <v>0</v>
      </c>
    </row>
    <row r="826" spans="1:17" x14ac:dyDescent="0.25">
      <c r="A826" s="549" t="s">
        <v>986</v>
      </c>
      <c r="B826" s="549" t="s">
        <v>987</v>
      </c>
      <c r="C826" s="549" t="s">
        <v>511</v>
      </c>
      <c r="D826" s="549" t="s">
        <v>988</v>
      </c>
      <c r="E826" s="549" t="s">
        <v>977</v>
      </c>
      <c r="F826" s="549" t="s">
        <v>1212</v>
      </c>
      <c r="G826" s="549" t="s">
        <v>1253</v>
      </c>
      <c r="H826" s="549" t="s">
        <v>697</v>
      </c>
      <c r="I826" s="549" t="s">
        <v>976</v>
      </c>
      <c r="J826" s="549" t="s">
        <v>976</v>
      </c>
      <c r="K826" s="549" t="s">
        <v>976</v>
      </c>
      <c r="L826" s="549">
        <v>0.01</v>
      </c>
      <c r="M826" s="549">
        <v>0</v>
      </c>
      <c r="N826" s="549">
        <v>0</v>
      </c>
      <c r="O826" s="549">
        <v>0</v>
      </c>
      <c r="P826" s="549">
        <v>0.15</v>
      </c>
      <c r="Q826" s="549">
        <v>0</v>
      </c>
    </row>
    <row r="827" spans="1:17" x14ac:dyDescent="0.25">
      <c r="A827" s="549" t="s">
        <v>986</v>
      </c>
      <c r="B827" s="549" t="s">
        <v>987</v>
      </c>
      <c r="C827" s="549" t="s">
        <v>511</v>
      </c>
      <c r="D827" s="549" t="s">
        <v>988</v>
      </c>
      <c r="E827" s="549" t="s">
        <v>977</v>
      </c>
      <c r="F827" s="549" t="s">
        <v>1212</v>
      </c>
      <c r="G827" s="549">
        <v>192</v>
      </c>
      <c r="H827" s="549" t="s">
        <v>1167</v>
      </c>
      <c r="I827" s="549" t="s">
        <v>976</v>
      </c>
      <c r="J827" s="549" t="s">
        <v>976</v>
      </c>
      <c r="K827" s="549" t="s">
        <v>976</v>
      </c>
      <c r="L827" s="549">
        <v>485426.5</v>
      </c>
      <c r="M827" s="549">
        <v>36649.699999999997</v>
      </c>
      <c r="N827" s="549">
        <v>10727.93</v>
      </c>
      <c r="O827" s="549">
        <v>3968</v>
      </c>
      <c r="P827" s="549">
        <v>0.15</v>
      </c>
      <c r="Q827" s="549">
        <v>77.02</v>
      </c>
    </row>
    <row r="828" spans="1:17" x14ac:dyDescent="0.25">
      <c r="A828" s="549" t="s">
        <v>986</v>
      </c>
      <c r="B828" s="549" t="s">
        <v>987</v>
      </c>
      <c r="C828" s="549" t="s">
        <v>511</v>
      </c>
      <c r="D828" s="549" t="s">
        <v>988</v>
      </c>
      <c r="E828" s="549" t="s">
        <v>977</v>
      </c>
      <c r="F828" s="549" t="s">
        <v>1212</v>
      </c>
      <c r="G828" s="549">
        <v>202</v>
      </c>
      <c r="H828" s="549" t="s">
        <v>1167</v>
      </c>
      <c r="I828" s="549" t="s">
        <v>976</v>
      </c>
      <c r="J828" s="549" t="s">
        <v>976</v>
      </c>
      <c r="K828" s="549" t="s">
        <v>976</v>
      </c>
      <c r="L828" s="549">
        <v>485426.5</v>
      </c>
      <c r="M828" s="549">
        <v>36649.699999999997</v>
      </c>
      <c r="N828" s="549">
        <v>10727.93</v>
      </c>
      <c r="O828" s="549">
        <v>3968</v>
      </c>
      <c r="P828" s="549">
        <v>0.15</v>
      </c>
      <c r="Q828" s="549">
        <v>77.02</v>
      </c>
    </row>
    <row r="829" spans="1:17" x14ac:dyDescent="0.25">
      <c r="A829" s="549" t="s">
        <v>986</v>
      </c>
      <c r="B829" s="549" t="s">
        <v>987</v>
      </c>
      <c r="C829" s="549" t="s">
        <v>511</v>
      </c>
      <c r="D829" s="549" t="s">
        <v>988</v>
      </c>
      <c r="E829" s="549" t="s">
        <v>977</v>
      </c>
      <c r="F829" s="549" t="s">
        <v>1212</v>
      </c>
      <c r="G829" s="549">
        <v>207</v>
      </c>
      <c r="H829" s="549" t="s">
        <v>1167</v>
      </c>
      <c r="I829" s="549" t="s">
        <v>976</v>
      </c>
      <c r="J829" s="549" t="s">
        <v>976</v>
      </c>
      <c r="K829" s="549" t="s">
        <v>976</v>
      </c>
      <c r="L829" s="549">
        <v>63595.63</v>
      </c>
      <c r="M829" s="549">
        <v>4801.47</v>
      </c>
      <c r="N829" s="549">
        <v>1405.46</v>
      </c>
      <c r="O829" s="549">
        <v>992</v>
      </c>
      <c r="P829" s="549">
        <v>0.15</v>
      </c>
      <c r="Q829" s="549">
        <v>10.8</v>
      </c>
    </row>
    <row r="830" spans="1:17" x14ac:dyDescent="0.25">
      <c r="A830" s="549" t="s">
        <v>986</v>
      </c>
      <c r="B830" s="549" t="s">
        <v>987</v>
      </c>
      <c r="C830" s="549" t="s">
        <v>511</v>
      </c>
      <c r="D830" s="549" t="s">
        <v>988</v>
      </c>
      <c r="E830" s="549" t="s">
        <v>977</v>
      </c>
      <c r="F830" s="549" t="s">
        <v>1212</v>
      </c>
      <c r="G830" s="549" t="s">
        <v>1250</v>
      </c>
      <c r="H830" s="549" t="s">
        <v>1167</v>
      </c>
      <c r="I830" s="549" t="s">
        <v>976</v>
      </c>
      <c r="J830" s="549" t="s">
        <v>976</v>
      </c>
      <c r="K830" s="549" t="s">
        <v>976</v>
      </c>
      <c r="L830" s="549">
        <v>41641.339999999997</v>
      </c>
      <c r="M830" s="549">
        <v>3143.92</v>
      </c>
      <c r="N830" s="549">
        <v>920.27</v>
      </c>
      <c r="O830" s="549">
        <v>0</v>
      </c>
      <c r="P830" s="549">
        <v>0.15</v>
      </c>
      <c r="Q830" s="549">
        <v>6.1</v>
      </c>
    </row>
    <row r="831" spans="1:17" x14ac:dyDescent="0.25">
      <c r="A831" s="549" t="s">
        <v>993</v>
      </c>
      <c r="B831" s="549" t="s">
        <v>994</v>
      </c>
      <c r="C831" s="549" t="s">
        <v>668</v>
      </c>
      <c r="D831" s="549" t="s">
        <v>669</v>
      </c>
      <c r="E831" s="549" t="s">
        <v>977</v>
      </c>
      <c r="F831" s="549" t="s">
        <v>1212</v>
      </c>
      <c r="G831" s="549">
        <v>62</v>
      </c>
      <c r="H831" s="549" t="s">
        <v>668</v>
      </c>
      <c r="I831" s="549" t="s">
        <v>976</v>
      </c>
      <c r="J831" s="549" t="s">
        <v>976</v>
      </c>
      <c r="K831" s="549" t="s">
        <v>976</v>
      </c>
      <c r="L831" s="549">
        <v>183914.87</v>
      </c>
      <c r="M831" s="549">
        <v>13885.57</v>
      </c>
      <c r="N831" s="549">
        <v>4064.52</v>
      </c>
      <c r="O831" s="549">
        <v>3968</v>
      </c>
      <c r="P831" s="549">
        <v>100</v>
      </c>
      <c r="Q831" s="549">
        <v>21918.09</v>
      </c>
    </row>
    <row r="832" spans="1:17" x14ac:dyDescent="0.25">
      <c r="A832" s="549" t="s">
        <v>993</v>
      </c>
      <c r="B832" s="549" t="s">
        <v>994</v>
      </c>
      <c r="C832" s="549" t="s">
        <v>668</v>
      </c>
      <c r="D832" s="549" t="s">
        <v>669</v>
      </c>
      <c r="E832" s="549" t="s">
        <v>977</v>
      </c>
      <c r="F832" s="549" t="s">
        <v>1212</v>
      </c>
      <c r="G832" s="549">
        <v>72</v>
      </c>
      <c r="H832" s="549" t="s">
        <v>668</v>
      </c>
      <c r="I832" s="549" t="s">
        <v>976</v>
      </c>
      <c r="J832" s="549" t="s">
        <v>976</v>
      </c>
      <c r="K832" s="549" t="s">
        <v>976</v>
      </c>
      <c r="L832" s="549">
        <v>128993.5</v>
      </c>
      <c r="M832" s="549">
        <v>9739.01</v>
      </c>
      <c r="N832" s="549">
        <v>2850.76</v>
      </c>
      <c r="O832" s="549">
        <v>1984</v>
      </c>
      <c r="P832" s="549">
        <v>89.56</v>
      </c>
      <c r="Q832" s="549">
        <v>13052.27</v>
      </c>
    </row>
    <row r="833" spans="1:17" x14ac:dyDescent="0.25">
      <c r="A833" s="549" t="s">
        <v>993</v>
      </c>
      <c r="B833" s="549" t="s">
        <v>994</v>
      </c>
      <c r="C833" s="549" t="s">
        <v>668</v>
      </c>
      <c r="D833" s="549" t="s">
        <v>669</v>
      </c>
      <c r="E833" s="549" t="s">
        <v>977</v>
      </c>
      <c r="F833" s="549" t="s">
        <v>1212</v>
      </c>
      <c r="G833" s="549">
        <v>82</v>
      </c>
      <c r="H833" s="549" t="s">
        <v>668</v>
      </c>
      <c r="I833" s="549" t="s">
        <v>976</v>
      </c>
      <c r="J833" s="549" t="s">
        <v>976</v>
      </c>
      <c r="K833" s="549" t="s">
        <v>976</v>
      </c>
      <c r="L833" s="549">
        <v>183914.87</v>
      </c>
      <c r="M833" s="549">
        <v>13885.57</v>
      </c>
      <c r="N833" s="549">
        <v>4064.52</v>
      </c>
      <c r="O833" s="549">
        <v>3968</v>
      </c>
      <c r="P833" s="549">
        <v>100</v>
      </c>
      <c r="Q833" s="549">
        <v>21918.09</v>
      </c>
    </row>
    <row r="834" spans="1:17" x14ac:dyDescent="0.25">
      <c r="A834" s="549" t="s">
        <v>993</v>
      </c>
      <c r="B834" s="549" t="s">
        <v>994</v>
      </c>
      <c r="C834" s="549" t="s">
        <v>668</v>
      </c>
      <c r="D834" s="549" t="s">
        <v>669</v>
      </c>
      <c r="E834" s="549" t="s">
        <v>977</v>
      </c>
      <c r="F834" s="549" t="s">
        <v>1212</v>
      </c>
      <c r="G834" s="549">
        <v>102</v>
      </c>
      <c r="H834" s="549" t="s">
        <v>668</v>
      </c>
      <c r="I834" s="549" t="s">
        <v>976</v>
      </c>
      <c r="J834" s="549" t="s">
        <v>976</v>
      </c>
      <c r="K834" s="549" t="s">
        <v>976</v>
      </c>
      <c r="L834" s="549">
        <v>138574.92000000001</v>
      </c>
      <c r="M834" s="549">
        <v>10462.41</v>
      </c>
      <c r="N834" s="549">
        <v>3062.51</v>
      </c>
      <c r="O834" s="549">
        <v>3968</v>
      </c>
      <c r="P834" s="549">
        <v>100</v>
      </c>
      <c r="Q834" s="549">
        <v>17492.919999999998</v>
      </c>
    </row>
    <row r="835" spans="1:17" x14ac:dyDescent="0.25">
      <c r="A835" s="549" t="s">
        <v>993</v>
      </c>
      <c r="B835" s="549" t="s">
        <v>994</v>
      </c>
      <c r="C835" s="549" t="s">
        <v>668</v>
      </c>
      <c r="D835" s="549" t="s">
        <v>669</v>
      </c>
      <c r="E835" s="549" t="s">
        <v>977</v>
      </c>
      <c r="F835" s="549" t="s">
        <v>1212</v>
      </c>
      <c r="G835" s="549">
        <v>127</v>
      </c>
      <c r="H835" s="549" t="s">
        <v>668</v>
      </c>
      <c r="I835" s="549" t="s">
        <v>976</v>
      </c>
      <c r="J835" s="549" t="s">
        <v>976</v>
      </c>
      <c r="K835" s="549" t="s">
        <v>976</v>
      </c>
      <c r="L835" s="549">
        <v>19462.91</v>
      </c>
      <c r="M835" s="549">
        <v>1469.45</v>
      </c>
      <c r="N835" s="549">
        <v>430.13</v>
      </c>
      <c r="O835" s="549">
        <v>992</v>
      </c>
      <c r="P835" s="549">
        <v>89.56</v>
      </c>
      <c r="Q835" s="549">
        <v>2589.6999999999998</v>
      </c>
    </row>
    <row r="836" spans="1:17" x14ac:dyDescent="0.25">
      <c r="A836" s="549" t="s">
        <v>993</v>
      </c>
      <c r="B836" s="549" t="s">
        <v>994</v>
      </c>
      <c r="C836" s="549" t="s">
        <v>668</v>
      </c>
      <c r="D836" s="549" t="s">
        <v>669</v>
      </c>
      <c r="E836" s="549" t="s">
        <v>977</v>
      </c>
      <c r="F836" s="549" t="s">
        <v>1212</v>
      </c>
      <c r="G836" s="549">
        <v>142</v>
      </c>
      <c r="H836" s="549" t="s">
        <v>668</v>
      </c>
      <c r="I836" s="549" t="s">
        <v>976</v>
      </c>
      <c r="J836" s="549" t="s">
        <v>976</v>
      </c>
      <c r="K836" s="549" t="s">
        <v>976</v>
      </c>
      <c r="L836" s="549">
        <v>141556.91</v>
      </c>
      <c r="M836" s="549">
        <v>10687.55</v>
      </c>
      <c r="N836" s="549">
        <v>3128.41</v>
      </c>
      <c r="O836" s="549">
        <v>3968</v>
      </c>
      <c r="P836" s="549">
        <v>100</v>
      </c>
      <c r="Q836" s="549">
        <v>17783.96</v>
      </c>
    </row>
    <row r="837" spans="1:17" x14ac:dyDescent="0.25">
      <c r="A837" s="549" t="s">
        <v>993</v>
      </c>
      <c r="B837" s="549" t="s">
        <v>994</v>
      </c>
      <c r="C837" s="549" t="s">
        <v>668</v>
      </c>
      <c r="D837" s="549" t="s">
        <v>669</v>
      </c>
      <c r="E837" s="549" t="s">
        <v>977</v>
      </c>
      <c r="F837" s="549" t="s">
        <v>1212</v>
      </c>
      <c r="G837" s="549">
        <v>162</v>
      </c>
      <c r="H837" s="549" t="s">
        <v>668</v>
      </c>
      <c r="I837" s="549" t="s">
        <v>976</v>
      </c>
      <c r="J837" s="549" t="s">
        <v>976</v>
      </c>
      <c r="K837" s="549" t="s">
        <v>976</v>
      </c>
      <c r="L837" s="549">
        <v>141556.91</v>
      </c>
      <c r="M837" s="549">
        <v>10687.55</v>
      </c>
      <c r="N837" s="549">
        <v>3128.41</v>
      </c>
      <c r="O837" s="549">
        <v>3968</v>
      </c>
      <c r="P837" s="549">
        <v>100</v>
      </c>
      <c r="Q837" s="549">
        <v>17783.96</v>
      </c>
    </row>
    <row r="838" spans="1:17" x14ac:dyDescent="0.25">
      <c r="A838" s="549" t="s">
        <v>993</v>
      </c>
      <c r="B838" s="549" t="s">
        <v>994</v>
      </c>
      <c r="C838" s="549" t="s">
        <v>668</v>
      </c>
      <c r="D838" s="549" t="s">
        <v>669</v>
      </c>
      <c r="E838" s="549" t="s">
        <v>977</v>
      </c>
      <c r="F838" s="549" t="s">
        <v>1212</v>
      </c>
      <c r="G838" s="549">
        <v>192</v>
      </c>
      <c r="H838" s="549" t="s">
        <v>668</v>
      </c>
      <c r="I838" s="549" t="s">
        <v>976</v>
      </c>
      <c r="J838" s="549" t="s">
        <v>976</v>
      </c>
      <c r="K838" s="549" t="s">
        <v>976</v>
      </c>
      <c r="L838" s="549">
        <v>128993.5</v>
      </c>
      <c r="M838" s="549">
        <v>9739.01</v>
      </c>
      <c r="N838" s="549">
        <v>2850.76</v>
      </c>
      <c r="O838" s="549">
        <v>1984</v>
      </c>
      <c r="P838" s="549">
        <v>89.56</v>
      </c>
      <c r="Q838" s="549">
        <v>13052.27</v>
      </c>
    </row>
    <row r="839" spans="1:17" x14ac:dyDescent="0.25">
      <c r="A839" s="549" t="s">
        <v>1014</v>
      </c>
      <c r="B839" s="549" t="s">
        <v>1015</v>
      </c>
      <c r="C839" s="549" t="s">
        <v>519</v>
      </c>
      <c r="D839" s="549" t="s">
        <v>492</v>
      </c>
      <c r="E839" s="549" t="s">
        <v>973</v>
      </c>
      <c r="F839" s="549" t="s">
        <v>1212</v>
      </c>
      <c r="G839" s="549" t="s">
        <v>1227</v>
      </c>
      <c r="H839" s="549" t="s">
        <v>519</v>
      </c>
      <c r="I839" s="549" t="s">
        <v>976</v>
      </c>
      <c r="J839" s="549" t="s">
        <v>976</v>
      </c>
      <c r="K839" s="549" t="s">
        <v>976</v>
      </c>
      <c r="L839" s="549">
        <v>32316.799999999999</v>
      </c>
      <c r="M839" s="549">
        <v>2439.92</v>
      </c>
      <c r="N839" s="549">
        <v>1854.98</v>
      </c>
      <c r="O839" s="549">
        <v>0</v>
      </c>
      <c r="P839" s="549">
        <v>0</v>
      </c>
      <c r="Q839" s="549">
        <v>0</v>
      </c>
    </row>
    <row r="840" spans="1:17" x14ac:dyDescent="0.25">
      <c r="A840" s="549" t="s">
        <v>993</v>
      </c>
      <c r="B840" s="549" t="s">
        <v>994</v>
      </c>
      <c r="C840" s="549" t="s">
        <v>668</v>
      </c>
      <c r="D840" s="549" t="s">
        <v>669</v>
      </c>
      <c r="E840" s="549" t="s">
        <v>977</v>
      </c>
      <c r="F840" s="549" t="s">
        <v>1212</v>
      </c>
      <c r="G840" s="549">
        <v>242</v>
      </c>
      <c r="H840" s="549" t="s">
        <v>668</v>
      </c>
      <c r="I840" s="549" t="s">
        <v>976</v>
      </c>
      <c r="J840" s="549" t="s">
        <v>976</v>
      </c>
      <c r="K840" s="549" t="s">
        <v>976</v>
      </c>
      <c r="L840" s="549">
        <v>340679.91</v>
      </c>
      <c r="M840" s="549">
        <v>25721.33</v>
      </c>
      <c r="N840" s="549">
        <v>7529.03</v>
      </c>
      <c r="O840" s="549">
        <v>1984</v>
      </c>
      <c r="P840" s="549">
        <v>89.56</v>
      </c>
      <c r="Q840" s="549">
        <v>31555.89</v>
      </c>
    </row>
    <row r="841" spans="1:17" x14ac:dyDescent="0.25">
      <c r="A841" s="549" t="s">
        <v>993</v>
      </c>
      <c r="B841" s="549" t="s">
        <v>994</v>
      </c>
      <c r="C841" s="549" t="s">
        <v>668</v>
      </c>
      <c r="D841" s="549" t="s">
        <v>669</v>
      </c>
      <c r="E841" s="549" t="s">
        <v>977</v>
      </c>
      <c r="F841" s="549" t="s">
        <v>1212</v>
      </c>
      <c r="G841" s="549">
        <v>262</v>
      </c>
      <c r="H841" s="549" t="s">
        <v>668</v>
      </c>
      <c r="I841" s="549" t="s">
        <v>976</v>
      </c>
      <c r="J841" s="549" t="s">
        <v>976</v>
      </c>
      <c r="K841" s="549" t="s">
        <v>976</v>
      </c>
      <c r="L841" s="549">
        <v>340679.91</v>
      </c>
      <c r="M841" s="549">
        <v>25721.33</v>
      </c>
      <c r="N841" s="549">
        <v>7529.03</v>
      </c>
      <c r="O841" s="549">
        <v>1984</v>
      </c>
      <c r="P841" s="549">
        <v>89.56</v>
      </c>
      <c r="Q841" s="549">
        <v>31555.89</v>
      </c>
    </row>
    <row r="842" spans="1:17" x14ac:dyDescent="0.25">
      <c r="A842" s="549" t="s">
        <v>1014</v>
      </c>
      <c r="B842" s="549" t="s">
        <v>1015</v>
      </c>
      <c r="C842" s="549" t="s">
        <v>519</v>
      </c>
      <c r="D842" s="549" t="s">
        <v>492</v>
      </c>
      <c r="E842" s="549" t="s">
        <v>973</v>
      </c>
      <c r="F842" s="549" t="s">
        <v>1212</v>
      </c>
      <c r="G842" s="549" t="s">
        <v>1233</v>
      </c>
      <c r="H842" s="549" t="s">
        <v>519</v>
      </c>
      <c r="I842" s="549" t="s">
        <v>976</v>
      </c>
      <c r="J842" s="549" t="s">
        <v>976</v>
      </c>
      <c r="K842" s="549" t="s">
        <v>976</v>
      </c>
      <c r="L842" s="549">
        <v>61764.51</v>
      </c>
      <c r="M842" s="549">
        <v>4663.22</v>
      </c>
      <c r="N842" s="549">
        <v>3545.28</v>
      </c>
      <c r="O842" s="549">
        <v>1984</v>
      </c>
      <c r="P842" s="549">
        <v>0</v>
      </c>
      <c r="Q842" s="549">
        <v>0</v>
      </c>
    </row>
    <row r="843" spans="1:17" x14ac:dyDescent="0.25">
      <c r="A843" s="549" t="s">
        <v>1014</v>
      </c>
      <c r="B843" s="549" t="s">
        <v>1015</v>
      </c>
      <c r="C843" s="549" t="s">
        <v>519</v>
      </c>
      <c r="D843" s="549" t="s">
        <v>492</v>
      </c>
      <c r="E843" s="549" t="s">
        <v>973</v>
      </c>
      <c r="F843" s="549" t="s">
        <v>1212</v>
      </c>
      <c r="G843" s="549">
        <v>1102</v>
      </c>
      <c r="H843" s="549" t="s">
        <v>519</v>
      </c>
      <c r="I843" s="549" t="s">
        <v>976</v>
      </c>
      <c r="J843" s="549" t="s">
        <v>976</v>
      </c>
      <c r="K843" s="549" t="s">
        <v>976</v>
      </c>
      <c r="L843" s="549">
        <v>262326.90000000002</v>
      </c>
      <c r="M843" s="549">
        <v>19805.68</v>
      </c>
      <c r="N843" s="549">
        <v>15057.56</v>
      </c>
      <c r="O843" s="549">
        <v>3968</v>
      </c>
      <c r="P843" s="549">
        <v>0</v>
      </c>
      <c r="Q843" s="549">
        <v>0</v>
      </c>
    </row>
    <row r="844" spans="1:17" x14ac:dyDescent="0.25">
      <c r="A844" s="549" t="s">
        <v>1014</v>
      </c>
      <c r="B844" s="549" t="s">
        <v>1015</v>
      </c>
      <c r="C844" s="549" t="s">
        <v>519</v>
      </c>
      <c r="D844" s="549" t="s">
        <v>492</v>
      </c>
      <c r="E844" s="549" t="s">
        <v>973</v>
      </c>
      <c r="F844" s="549" t="s">
        <v>1212</v>
      </c>
      <c r="G844" s="549">
        <v>1092</v>
      </c>
      <c r="H844" s="549" t="s">
        <v>519</v>
      </c>
      <c r="I844" s="549" t="s">
        <v>976</v>
      </c>
      <c r="J844" s="549" t="s">
        <v>976</v>
      </c>
      <c r="K844" s="549" t="s">
        <v>976</v>
      </c>
      <c r="L844" s="549">
        <v>239044.95</v>
      </c>
      <c r="M844" s="549">
        <v>18047.89</v>
      </c>
      <c r="N844" s="549">
        <v>13721.18</v>
      </c>
      <c r="O844" s="549">
        <v>1984</v>
      </c>
      <c r="P844" s="549">
        <v>0</v>
      </c>
      <c r="Q844" s="549">
        <v>0</v>
      </c>
    </row>
    <row r="845" spans="1:17" x14ac:dyDescent="0.25">
      <c r="A845" s="549" t="s">
        <v>993</v>
      </c>
      <c r="B845" s="549" t="s">
        <v>994</v>
      </c>
      <c r="C845" s="549" t="s">
        <v>668</v>
      </c>
      <c r="D845" s="549" t="s">
        <v>669</v>
      </c>
      <c r="E845" s="549" t="s">
        <v>977</v>
      </c>
      <c r="F845" s="549" t="s">
        <v>1212</v>
      </c>
      <c r="G845" s="549" t="s">
        <v>1254</v>
      </c>
      <c r="H845" s="549" t="s">
        <v>668</v>
      </c>
      <c r="I845" s="549" t="s">
        <v>976</v>
      </c>
      <c r="J845" s="549" t="s">
        <v>976</v>
      </c>
      <c r="K845" s="549" t="s">
        <v>976</v>
      </c>
      <c r="L845" s="549">
        <v>33330.54</v>
      </c>
      <c r="M845" s="549">
        <v>2516.46</v>
      </c>
      <c r="N845" s="549">
        <v>736.6</v>
      </c>
      <c r="O845" s="549">
        <v>1984</v>
      </c>
      <c r="P845" s="549">
        <v>89.56</v>
      </c>
      <c r="Q845" s="549">
        <v>4690.3100000000004</v>
      </c>
    </row>
    <row r="846" spans="1:17" x14ac:dyDescent="0.25">
      <c r="A846" s="549" t="s">
        <v>993</v>
      </c>
      <c r="B846" s="549" t="s">
        <v>994</v>
      </c>
      <c r="C846" s="549" t="s">
        <v>668</v>
      </c>
      <c r="D846" s="549" t="s">
        <v>669</v>
      </c>
      <c r="E846" s="549" t="s">
        <v>977</v>
      </c>
      <c r="F846" s="549" t="s">
        <v>1212</v>
      </c>
      <c r="G846" s="549" t="s">
        <v>1255</v>
      </c>
      <c r="H846" s="549" t="s">
        <v>668</v>
      </c>
      <c r="I846" s="549" t="s">
        <v>976</v>
      </c>
      <c r="J846" s="549" t="s">
        <v>976</v>
      </c>
      <c r="K846" s="549" t="s">
        <v>976</v>
      </c>
      <c r="L846" s="549">
        <v>30278.12</v>
      </c>
      <c r="M846" s="549">
        <v>2286</v>
      </c>
      <c r="N846" s="549">
        <v>669.15</v>
      </c>
      <c r="O846" s="549">
        <v>0</v>
      </c>
      <c r="P846" s="549">
        <v>100</v>
      </c>
      <c r="Q846" s="549">
        <v>2955.15</v>
      </c>
    </row>
    <row r="847" spans="1:17" x14ac:dyDescent="0.25">
      <c r="A847" s="549" t="s">
        <v>1014</v>
      </c>
      <c r="B847" s="549" t="s">
        <v>1015</v>
      </c>
      <c r="C847" s="549" t="s">
        <v>519</v>
      </c>
      <c r="D847" s="549" t="s">
        <v>492</v>
      </c>
      <c r="E847" s="549" t="s">
        <v>973</v>
      </c>
      <c r="F847" s="549" t="s">
        <v>1212</v>
      </c>
      <c r="G847" s="549">
        <v>1072</v>
      </c>
      <c r="H847" s="549" t="s">
        <v>519</v>
      </c>
      <c r="I847" s="549" t="s">
        <v>976</v>
      </c>
      <c r="J847" s="549" t="s">
        <v>976</v>
      </c>
      <c r="K847" s="549" t="s">
        <v>976</v>
      </c>
      <c r="L847" s="549">
        <v>239044.95</v>
      </c>
      <c r="M847" s="549">
        <v>18047.89</v>
      </c>
      <c r="N847" s="549">
        <v>13721.18</v>
      </c>
      <c r="O847" s="549">
        <v>1984</v>
      </c>
      <c r="P847" s="549">
        <v>0</v>
      </c>
      <c r="Q847" s="549">
        <v>0</v>
      </c>
    </row>
    <row r="848" spans="1:17" x14ac:dyDescent="0.25">
      <c r="A848" s="549" t="s">
        <v>1014</v>
      </c>
      <c r="B848" s="549" t="s">
        <v>1015</v>
      </c>
      <c r="C848" s="549" t="s">
        <v>519</v>
      </c>
      <c r="D848" s="549" t="s">
        <v>492</v>
      </c>
      <c r="E848" s="549" t="s">
        <v>973</v>
      </c>
      <c r="F848" s="549" t="s">
        <v>1212</v>
      </c>
      <c r="G848" s="549">
        <v>1062</v>
      </c>
      <c r="H848" s="549" t="s">
        <v>519</v>
      </c>
      <c r="I848" s="549" t="s">
        <v>976</v>
      </c>
      <c r="J848" s="549" t="s">
        <v>976</v>
      </c>
      <c r="K848" s="549" t="s">
        <v>976</v>
      </c>
      <c r="L848" s="549">
        <v>262326.90000000002</v>
      </c>
      <c r="M848" s="549">
        <v>19805.68</v>
      </c>
      <c r="N848" s="549">
        <v>15057.56</v>
      </c>
      <c r="O848" s="549">
        <v>3968</v>
      </c>
      <c r="P848" s="549">
        <v>0</v>
      </c>
      <c r="Q848" s="549">
        <v>0</v>
      </c>
    </row>
    <row r="849" spans="1:17" x14ac:dyDescent="0.25">
      <c r="A849" s="549" t="s">
        <v>1014</v>
      </c>
      <c r="B849" s="549" t="s">
        <v>1015</v>
      </c>
      <c r="C849" s="549" t="s">
        <v>519</v>
      </c>
      <c r="D849" s="549" t="s">
        <v>492</v>
      </c>
      <c r="E849" s="549" t="s">
        <v>973</v>
      </c>
      <c r="F849" s="549" t="s">
        <v>1212</v>
      </c>
      <c r="G849" s="549">
        <v>177</v>
      </c>
      <c r="H849" s="549" t="s">
        <v>519</v>
      </c>
      <c r="I849" s="549" t="s">
        <v>976</v>
      </c>
      <c r="J849" s="549" t="s">
        <v>976</v>
      </c>
      <c r="K849" s="549" t="s">
        <v>976</v>
      </c>
      <c r="L849" s="549">
        <v>22696.29</v>
      </c>
      <c r="M849" s="549">
        <v>1713.57</v>
      </c>
      <c r="N849" s="549">
        <v>1302.77</v>
      </c>
      <c r="O849" s="549">
        <v>992</v>
      </c>
      <c r="P849" s="549">
        <v>0</v>
      </c>
      <c r="Q849" s="549">
        <v>0</v>
      </c>
    </row>
    <row r="850" spans="1:17" x14ac:dyDescent="0.25">
      <c r="A850" s="549" t="s">
        <v>1014</v>
      </c>
      <c r="B850" s="549" t="s">
        <v>1015</v>
      </c>
      <c r="C850" s="549" t="s">
        <v>519</v>
      </c>
      <c r="D850" s="549" t="s">
        <v>492</v>
      </c>
      <c r="E850" s="549" t="s">
        <v>973</v>
      </c>
      <c r="F850" s="549" t="s">
        <v>1212</v>
      </c>
      <c r="G850" s="549">
        <v>167</v>
      </c>
      <c r="H850" s="549" t="s">
        <v>519</v>
      </c>
      <c r="I850" s="549" t="s">
        <v>976</v>
      </c>
      <c r="J850" s="549" t="s">
        <v>976</v>
      </c>
      <c r="K850" s="549" t="s">
        <v>976</v>
      </c>
      <c r="L850" s="549">
        <v>22696.29</v>
      </c>
      <c r="M850" s="549">
        <v>1713.57</v>
      </c>
      <c r="N850" s="549">
        <v>1302.77</v>
      </c>
      <c r="O850" s="549">
        <v>992</v>
      </c>
      <c r="P850" s="549">
        <v>0</v>
      </c>
      <c r="Q850" s="549">
        <v>0</v>
      </c>
    </row>
    <row r="851" spans="1:17" x14ac:dyDescent="0.25">
      <c r="A851" s="549" t="s">
        <v>993</v>
      </c>
      <c r="B851" s="549" t="s">
        <v>994</v>
      </c>
      <c r="C851" s="549" t="s">
        <v>668</v>
      </c>
      <c r="D851" s="549" t="s">
        <v>669</v>
      </c>
      <c r="E851" s="549" t="s">
        <v>977</v>
      </c>
      <c r="F851" s="549" t="s">
        <v>1212</v>
      </c>
      <c r="G851" s="549" t="s">
        <v>1256</v>
      </c>
      <c r="H851" s="549" t="s">
        <v>668</v>
      </c>
      <c r="I851" s="549" t="s">
        <v>976</v>
      </c>
      <c r="J851" s="549" t="s">
        <v>976</v>
      </c>
      <c r="K851" s="549" t="s">
        <v>976</v>
      </c>
      <c r="L851" s="549">
        <v>30278.12</v>
      </c>
      <c r="M851" s="549">
        <v>2286</v>
      </c>
      <c r="N851" s="549">
        <v>669.15</v>
      </c>
      <c r="O851" s="549">
        <v>0</v>
      </c>
      <c r="P851" s="549">
        <v>100</v>
      </c>
      <c r="Q851" s="549">
        <v>2955.15</v>
      </c>
    </row>
    <row r="852" spans="1:17" x14ac:dyDescent="0.25">
      <c r="A852" s="549" t="s">
        <v>993</v>
      </c>
      <c r="B852" s="549" t="s">
        <v>994</v>
      </c>
      <c r="C852" s="549" t="s">
        <v>187</v>
      </c>
      <c r="D852" s="549" t="s">
        <v>667</v>
      </c>
      <c r="E852" s="549" t="s">
        <v>977</v>
      </c>
      <c r="F852" s="549" t="s">
        <v>1212</v>
      </c>
      <c r="G852" s="549">
        <v>602</v>
      </c>
      <c r="H852" s="549" t="s">
        <v>187</v>
      </c>
      <c r="I852" s="549" t="s">
        <v>976</v>
      </c>
      <c r="J852" s="549" t="s">
        <v>976</v>
      </c>
      <c r="K852" s="549" t="s">
        <v>976</v>
      </c>
      <c r="L852" s="549">
        <v>621099.49</v>
      </c>
      <c r="M852" s="549">
        <v>46893.01</v>
      </c>
      <c r="N852" s="549">
        <v>13726.3</v>
      </c>
      <c r="O852" s="549">
        <v>2976</v>
      </c>
      <c r="P852" s="549">
        <v>0</v>
      </c>
      <c r="Q852" s="549">
        <v>0</v>
      </c>
    </row>
    <row r="853" spans="1:17" x14ac:dyDescent="0.25">
      <c r="A853" s="549" t="s">
        <v>993</v>
      </c>
      <c r="B853" s="549" t="s">
        <v>994</v>
      </c>
      <c r="C853" s="549" t="s">
        <v>187</v>
      </c>
      <c r="D853" s="549" t="s">
        <v>667</v>
      </c>
      <c r="E853" s="549" t="s">
        <v>977</v>
      </c>
      <c r="F853" s="549" t="s">
        <v>1212</v>
      </c>
      <c r="G853" s="549">
        <v>612</v>
      </c>
      <c r="H853" s="549" t="s">
        <v>187</v>
      </c>
      <c r="I853" s="549" t="s">
        <v>976</v>
      </c>
      <c r="J853" s="549" t="s">
        <v>976</v>
      </c>
      <c r="K853" s="549" t="s">
        <v>976</v>
      </c>
      <c r="L853" s="549">
        <v>1032512.44</v>
      </c>
      <c r="M853" s="549">
        <v>77954.69</v>
      </c>
      <c r="N853" s="549">
        <v>22818.52</v>
      </c>
      <c r="O853" s="549">
        <v>4960</v>
      </c>
      <c r="P853" s="549">
        <v>18.21</v>
      </c>
      <c r="Q853" s="549">
        <v>19254.02</v>
      </c>
    </row>
    <row r="854" spans="1:17" x14ac:dyDescent="0.25">
      <c r="A854" s="549" t="s">
        <v>993</v>
      </c>
      <c r="B854" s="549" t="s">
        <v>994</v>
      </c>
      <c r="C854" s="549" t="s">
        <v>187</v>
      </c>
      <c r="D854" s="549" t="s">
        <v>667</v>
      </c>
      <c r="E854" s="549" t="s">
        <v>977</v>
      </c>
      <c r="F854" s="549" t="s">
        <v>1212</v>
      </c>
      <c r="G854" s="549">
        <v>622</v>
      </c>
      <c r="H854" s="549" t="s">
        <v>187</v>
      </c>
      <c r="I854" s="549" t="s">
        <v>976</v>
      </c>
      <c r="J854" s="549" t="s">
        <v>976</v>
      </c>
      <c r="K854" s="549" t="s">
        <v>976</v>
      </c>
      <c r="L854" s="549">
        <v>621099.49</v>
      </c>
      <c r="M854" s="549">
        <v>46893.01</v>
      </c>
      <c r="N854" s="549">
        <v>13726.3</v>
      </c>
      <c r="O854" s="549">
        <v>2976</v>
      </c>
      <c r="P854" s="549">
        <v>18.21</v>
      </c>
      <c r="Q854" s="549">
        <v>11580.71</v>
      </c>
    </row>
    <row r="855" spans="1:17" x14ac:dyDescent="0.25">
      <c r="A855" s="549" t="s">
        <v>993</v>
      </c>
      <c r="B855" s="549" t="s">
        <v>994</v>
      </c>
      <c r="C855" s="549" t="s">
        <v>187</v>
      </c>
      <c r="D855" s="549" t="s">
        <v>667</v>
      </c>
      <c r="E855" s="549" t="s">
        <v>977</v>
      </c>
      <c r="F855" s="549" t="s">
        <v>1212</v>
      </c>
      <c r="G855" s="549">
        <v>632</v>
      </c>
      <c r="H855" s="549" t="s">
        <v>187</v>
      </c>
      <c r="I855" s="549" t="s">
        <v>976</v>
      </c>
      <c r="J855" s="549" t="s">
        <v>976</v>
      </c>
      <c r="K855" s="549" t="s">
        <v>976</v>
      </c>
      <c r="L855" s="549">
        <v>1032512.44</v>
      </c>
      <c r="M855" s="549">
        <v>77954.69</v>
      </c>
      <c r="N855" s="549">
        <v>22818.52</v>
      </c>
      <c r="O855" s="549">
        <v>4960</v>
      </c>
      <c r="P855" s="549">
        <v>18.21</v>
      </c>
      <c r="Q855" s="549">
        <v>19254.02</v>
      </c>
    </row>
    <row r="856" spans="1:17" x14ac:dyDescent="0.25">
      <c r="A856" s="549" t="s">
        <v>993</v>
      </c>
      <c r="B856" s="549" t="s">
        <v>994</v>
      </c>
      <c r="C856" s="549" t="s">
        <v>187</v>
      </c>
      <c r="D856" s="549" t="s">
        <v>667</v>
      </c>
      <c r="E856" s="549" t="s">
        <v>977</v>
      </c>
      <c r="F856" s="549" t="s">
        <v>1212</v>
      </c>
      <c r="G856" s="549">
        <v>642</v>
      </c>
      <c r="H856" s="549" t="s">
        <v>187</v>
      </c>
      <c r="I856" s="549" t="s">
        <v>976</v>
      </c>
      <c r="J856" s="549" t="s">
        <v>976</v>
      </c>
      <c r="K856" s="549" t="s">
        <v>976</v>
      </c>
      <c r="L856" s="549">
        <v>621099.49</v>
      </c>
      <c r="M856" s="549">
        <v>46893.01</v>
      </c>
      <c r="N856" s="549">
        <v>13726.3</v>
      </c>
      <c r="O856" s="549">
        <v>2976</v>
      </c>
      <c r="P856" s="549">
        <v>18.21</v>
      </c>
      <c r="Q856" s="549">
        <v>11580.71</v>
      </c>
    </row>
    <row r="857" spans="1:17" x14ac:dyDescent="0.25">
      <c r="A857" s="549" t="s">
        <v>993</v>
      </c>
      <c r="B857" s="549" t="s">
        <v>994</v>
      </c>
      <c r="C857" s="549" t="s">
        <v>187</v>
      </c>
      <c r="D857" s="549" t="s">
        <v>667</v>
      </c>
      <c r="E857" s="549" t="s">
        <v>977</v>
      </c>
      <c r="F857" s="549" t="s">
        <v>1212</v>
      </c>
      <c r="G857" s="549">
        <v>658</v>
      </c>
      <c r="H857" s="549" t="s">
        <v>187</v>
      </c>
      <c r="I857" s="549" t="s">
        <v>976</v>
      </c>
      <c r="J857" s="549" t="s">
        <v>976</v>
      </c>
      <c r="K857" s="549" t="s">
        <v>976</v>
      </c>
      <c r="L857" s="549">
        <v>1027061.68</v>
      </c>
      <c r="M857" s="549">
        <v>77543.16</v>
      </c>
      <c r="N857" s="549">
        <v>22698.06</v>
      </c>
      <c r="O857" s="549">
        <v>2976</v>
      </c>
      <c r="P857" s="549">
        <v>18.21</v>
      </c>
      <c r="Q857" s="549">
        <v>18795.86</v>
      </c>
    </row>
    <row r="858" spans="1:17" x14ac:dyDescent="0.25">
      <c r="A858" s="549" t="s">
        <v>993</v>
      </c>
      <c r="B858" s="549" t="s">
        <v>994</v>
      </c>
      <c r="C858" s="549" t="s">
        <v>187</v>
      </c>
      <c r="D858" s="549" t="s">
        <v>667</v>
      </c>
      <c r="E858" s="549" t="s">
        <v>977</v>
      </c>
      <c r="F858" s="549" t="s">
        <v>1212</v>
      </c>
      <c r="G858" s="549">
        <v>1482</v>
      </c>
      <c r="H858" s="549" t="s">
        <v>187</v>
      </c>
      <c r="I858" s="549" t="s">
        <v>976</v>
      </c>
      <c r="J858" s="549" t="s">
        <v>976</v>
      </c>
      <c r="K858" s="549" t="s">
        <v>976</v>
      </c>
      <c r="L858" s="549">
        <v>112256.79</v>
      </c>
      <c r="M858" s="549">
        <v>8475.39</v>
      </c>
      <c r="N858" s="549">
        <v>2480.88</v>
      </c>
      <c r="O858" s="549">
        <v>2976</v>
      </c>
      <c r="P858" s="549">
        <v>0</v>
      </c>
      <c r="Q858" s="549">
        <v>0</v>
      </c>
    </row>
    <row r="859" spans="1:17" x14ac:dyDescent="0.25">
      <c r="A859" s="549" t="s">
        <v>993</v>
      </c>
      <c r="B859" s="549" t="s">
        <v>994</v>
      </c>
      <c r="C859" s="549" t="s">
        <v>187</v>
      </c>
      <c r="D859" s="549" t="s">
        <v>667</v>
      </c>
      <c r="E859" s="549" t="s">
        <v>977</v>
      </c>
      <c r="F859" s="549" t="s">
        <v>1212</v>
      </c>
      <c r="G859" s="549">
        <v>1492</v>
      </c>
      <c r="H859" s="549" t="s">
        <v>187</v>
      </c>
      <c r="I859" s="549" t="s">
        <v>976</v>
      </c>
      <c r="J859" s="549" t="s">
        <v>976</v>
      </c>
      <c r="K859" s="549" t="s">
        <v>976</v>
      </c>
      <c r="L859" s="549">
        <v>121596.97</v>
      </c>
      <c r="M859" s="549">
        <v>9180.57</v>
      </c>
      <c r="N859" s="549">
        <v>2687.29</v>
      </c>
      <c r="O859" s="549">
        <v>4960</v>
      </c>
      <c r="P859" s="549">
        <v>0</v>
      </c>
      <c r="Q859" s="549">
        <v>0</v>
      </c>
    </row>
    <row r="860" spans="1:17" x14ac:dyDescent="0.25">
      <c r="A860" s="549" t="s">
        <v>993</v>
      </c>
      <c r="B860" s="549" t="s">
        <v>994</v>
      </c>
      <c r="C860" s="549" t="s">
        <v>187</v>
      </c>
      <c r="D860" s="549" t="s">
        <v>667</v>
      </c>
      <c r="E860" s="549" t="s">
        <v>977</v>
      </c>
      <c r="F860" s="549" t="s">
        <v>1212</v>
      </c>
      <c r="G860" s="549">
        <v>1547</v>
      </c>
      <c r="H860" s="549" t="s">
        <v>187</v>
      </c>
      <c r="I860" s="549" t="s">
        <v>976</v>
      </c>
      <c r="J860" s="549" t="s">
        <v>976</v>
      </c>
      <c r="K860" s="549" t="s">
        <v>976</v>
      </c>
      <c r="L860" s="549">
        <v>24632.04</v>
      </c>
      <c r="M860" s="549">
        <v>1859.72</v>
      </c>
      <c r="N860" s="549">
        <v>544.37</v>
      </c>
      <c r="O860" s="549">
        <v>992</v>
      </c>
      <c r="P860" s="549">
        <v>0</v>
      </c>
      <c r="Q860" s="549">
        <v>0</v>
      </c>
    </row>
    <row r="861" spans="1:17" x14ac:dyDescent="0.25">
      <c r="A861" s="549" t="s">
        <v>993</v>
      </c>
      <c r="B861" s="549" t="s">
        <v>994</v>
      </c>
      <c r="C861" s="549" t="s">
        <v>187</v>
      </c>
      <c r="D861" s="549" t="s">
        <v>667</v>
      </c>
      <c r="E861" s="549" t="s">
        <v>977</v>
      </c>
      <c r="F861" s="549" t="s">
        <v>1212</v>
      </c>
      <c r="G861" s="549">
        <v>1557</v>
      </c>
      <c r="H861" s="549" t="s">
        <v>187</v>
      </c>
      <c r="I861" s="549" t="s">
        <v>976</v>
      </c>
      <c r="J861" s="549" t="s">
        <v>976</v>
      </c>
      <c r="K861" s="549" t="s">
        <v>976</v>
      </c>
      <c r="L861" s="549">
        <v>24632.04</v>
      </c>
      <c r="M861" s="549">
        <v>1859.72</v>
      </c>
      <c r="N861" s="549">
        <v>544.37</v>
      </c>
      <c r="O861" s="549">
        <v>992</v>
      </c>
      <c r="P861" s="549">
        <v>0</v>
      </c>
      <c r="Q861" s="549">
        <v>0</v>
      </c>
    </row>
    <row r="862" spans="1:17" x14ac:dyDescent="0.25">
      <c r="A862" s="549" t="s">
        <v>993</v>
      </c>
      <c r="B862" s="549" t="s">
        <v>994</v>
      </c>
      <c r="C862" s="549" t="s">
        <v>187</v>
      </c>
      <c r="D862" s="549" t="s">
        <v>667</v>
      </c>
      <c r="E862" s="549" t="s">
        <v>977</v>
      </c>
      <c r="F862" s="549" t="s">
        <v>1212</v>
      </c>
      <c r="G862" s="549">
        <v>1562</v>
      </c>
      <c r="H862" s="549" t="s">
        <v>187</v>
      </c>
      <c r="I862" s="549" t="s">
        <v>976</v>
      </c>
      <c r="J862" s="549" t="s">
        <v>976</v>
      </c>
      <c r="K862" s="549" t="s">
        <v>976</v>
      </c>
      <c r="L862" s="549">
        <v>112256.79</v>
      </c>
      <c r="M862" s="549">
        <v>8475.39</v>
      </c>
      <c r="N862" s="549">
        <v>2480.88</v>
      </c>
      <c r="O862" s="549">
        <v>2976</v>
      </c>
      <c r="P862" s="549">
        <v>18.21</v>
      </c>
      <c r="Q862" s="549">
        <v>2537.0700000000002</v>
      </c>
    </row>
    <row r="863" spans="1:17" x14ac:dyDescent="0.25">
      <c r="A863" s="549" t="s">
        <v>993</v>
      </c>
      <c r="B863" s="549" t="s">
        <v>994</v>
      </c>
      <c r="C863" s="549" t="s">
        <v>187</v>
      </c>
      <c r="D863" s="549" t="s">
        <v>667</v>
      </c>
      <c r="E863" s="549" t="s">
        <v>977</v>
      </c>
      <c r="F863" s="549" t="s">
        <v>1212</v>
      </c>
      <c r="G863" s="549">
        <v>1572</v>
      </c>
      <c r="H863" s="549" t="s">
        <v>187</v>
      </c>
      <c r="I863" s="549" t="s">
        <v>976</v>
      </c>
      <c r="J863" s="549" t="s">
        <v>976</v>
      </c>
      <c r="K863" s="549" t="s">
        <v>976</v>
      </c>
      <c r="L863" s="549">
        <v>121596.97</v>
      </c>
      <c r="M863" s="549">
        <v>9180.57</v>
      </c>
      <c r="N863" s="549">
        <v>2687.29</v>
      </c>
      <c r="O863" s="549">
        <v>4960</v>
      </c>
      <c r="P863" s="549">
        <v>18.21</v>
      </c>
      <c r="Q863" s="549">
        <v>3064.35</v>
      </c>
    </row>
    <row r="864" spans="1:17" x14ac:dyDescent="0.25">
      <c r="A864" s="549" t="s">
        <v>993</v>
      </c>
      <c r="B864" s="549" t="s">
        <v>994</v>
      </c>
      <c r="C864" s="549" t="s">
        <v>187</v>
      </c>
      <c r="D864" s="549" t="s">
        <v>667</v>
      </c>
      <c r="E864" s="549" t="s">
        <v>977</v>
      </c>
      <c r="F864" s="549" t="s">
        <v>1212</v>
      </c>
      <c r="G864" s="549">
        <v>1587</v>
      </c>
      <c r="H864" s="549" t="s">
        <v>187</v>
      </c>
      <c r="I864" s="549" t="s">
        <v>976</v>
      </c>
      <c r="J864" s="549" t="s">
        <v>976</v>
      </c>
      <c r="K864" s="549" t="s">
        <v>976</v>
      </c>
      <c r="L864" s="549">
        <v>0.02</v>
      </c>
      <c r="M864" s="549">
        <v>0</v>
      </c>
      <c r="N864" s="549">
        <v>0</v>
      </c>
      <c r="O864" s="549">
        <v>992</v>
      </c>
      <c r="P864" s="549">
        <v>18.21</v>
      </c>
      <c r="Q864" s="549">
        <v>180.64</v>
      </c>
    </row>
    <row r="865" spans="1:17" x14ac:dyDescent="0.25">
      <c r="A865" s="549" t="s">
        <v>993</v>
      </c>
      <c r="B865" s="549" t="s">
        <v>994</v>
      </c>
      <c r="C865" s="549" t="s">
        <v>187</v>
      </c>
      <c r="D865" s="549" t="s">
        <v>667</v>
      </c>
      <c r="E865" s="549" t="s">
        <v>977</v>
      </c>
      <c r="F865" s="549" t="s">
        <v>1212</v>
      </c>
      <c r="G865" s="549">
        <v>1597</v>
      </c>
      <c r="H865" s="549" t="s">
        <v>187</v>
      </c>
      <c r="I865" s="549" t="s">
        <v>976</v>
      </c>
      <c r="J865" s="549" t="s">
        <v>976</v>
      </c>
      <c r="K865" s="549" t="s">
        <v>976</v>
      </c>
      <c r="L865" s="549">
        <v>0.02</v>
      </c>
      <c r="M865" s="549">
        <v>0</v>
      </c>
      <c r="N865" s="549">
        <v>0</v>
      </c>
      <c r="O865" s="549">
        <v>992</v>
      </c>
      <c r="P865" s="549">
        <v>18.21</v>
      </c>
      <c r="Q865" s="549">
        <v>180.64</v>
      </c>
    </row>
    <row r="866" spans="1:17" x14ac:dyDescent="0.25">
      <c r="A866" s="549" t="s">
        <v>993</v>
      </c>
      <c r="B866" s="549" t="s">
        <v>994</v>
      </c>
      <c r="C866" s="549" t="s">
        <v>187</v>
      </c>
      <c r="D866" s="549" t="s">
        <v>667</v>
      </c>
      <c r="E866" s="549" t="s">
        <v>977</v>
      </c>
      <c r="F866" s="549" t="s">
        <v>1212</v>
      </c>
      <c r="G866" s="549">
        <v>1632</v>
      </c>
      <c r="H866" s="549" t="s">
        <v>187</v>
      </c>
      <c r="I866" s="549" t="s">
        <v>976</v>
      </c>
      <c r="J866" s="549" t="s">
        <v>976</v>
      </c>
      <c r="K866" s="549" t="s">
        <v>976</v>
      </c>
      <c r="L866" s="549">
        <v>121596.97</v>
      </c>
      <c r="M866" s="549">
        <v>9180.57</v>
      </c>
      <c r="N866" s="549">
        <v>2687.29</v>
      </c>
      <c r="O866" s="549">
        <v>4960</v>
      </c>
      <c r="P866" s="549">
        <v>100</v>
      </c>
      <c r="Q866" s="549">
        <v>16827.86</v>
      </c>
    </row>
    <row r="867" spans="1:17" x14ac:dyDescent="0.25">
      <c r="A867" s="549" t="s">
        <v>993</v>
      </c>
      <c r="B867" s="549" t="s">
        <v>994</v>
      </c>
      <c r="C867" s="549" t="s">
        <v>187</v>
      </c>
      <c r="D867" s="549" t="s">
        <v>667</v>
      </c>
      <c r="E867" s="549" t="s">
        <v>977</v>
      </c>
      <c r="F867" s="549" t="s">
        <v>1212</v>
      </c>
      <c r="G867" s="549">
        <v>1652</v>
      </c>
      <c r="H867" s="549" t="s">
        <v>187</v>
      </c>
      <c r="I867" s="549" t="s">
        <v>976</v>
      </c>
      <c r="J867" s="549" t="s">
        <v>976</v>
      </c>
      <c r="K867" s="549" t="s">
        <v>976</v>
      </c>
      <c r="L867" s="549">
        <v>121596.97</v>
      </c>
      <c r="M867" s="549">
        <v>9180.57</v>
      </c>
      <c r="N867" s="549">
        <v>2687.29</v>
      </c>
      <c r="O867" s="549">
        <v>4960</v>
      </c>
      <c r="P867" s="549">
        <v>100</v>
      </c>
      <c r="Q867" s="549">
        <v>16827.86</v>
      </c>
    </row>
    <row r="868" spans="1:17" x14ac:dyDescent="0.25">
      <c r="A868" s="549" t="s">
        <v>993</v>
      </c>
      <c r="B868" s="549" t="s">
        <v>994</v>
      </c>
      <c r="C868" s="549" t="s">
        <v>187</v>
      </c>
      <c r="D868" s="549" t="s">
        <v>667</v>
      </c>
      <c r="E868" s="549" t="s">
        <v>977</v>
      </c>
      <c r="F868" s="549" t="s">
        <v>1212</v>
      </c>
      <c r="G868" s="549">
        <v>1662</v>
      </c>
      <c r="H868" s="549" t="s">
        <v>187</v>
      </c>
      <c r="I868" s="549" t="s">
        <v>976</v>
      </c>
      <c r="J868" s="549" t="s">
        <v>976</v>
      </c>
      <c r="K868" s="549" t="s">
        <v>976</v>
      </c>
      <c r="L868" s="549">
        <v>112256.79</v>
      </c>
      <c r="M868" s="549">
        <v>8475.39</v>
      </c>
      <c r="N868" s="549">
        <v>2480.88</v>
      </c>
      <c r="O868" s="549">
        <v>2976</v>
      </c>
      <c r="P868" s="549">
        <v>18.21</v>
      </c>
      <c r="Q868" s="549">
        <v>2537.0700000000002</v>
      </c>
    </row>
    <row r="869" spans="1:17" x14ac:dyDescent="0.25">
      <c r="A869" s="549" t="s">
        <v>993</v>
      </c>
      <c r="B869" s="549" t="s">
        <v>994</v>
      </c>
      <c r="C869" s="549" t="s">
        <v>187</v>
      </c>
      <c r="D869" s="549" t="s">
        <v>667</v>
      </c>
      <c r="E869" s="549" t="s">
        <v>977</v>
      </c>
      <c r="F869" s="549" t="s">
        <v>1212</v>
      </c>
      <c r="G869" s="549">
        <v>1672</v>
      </c>
      <c r="H869" s="549" t="s">
        <v>187</v>
      </c>
      <c r="I869" s="549" t="s">
        <v>976</v>
      </c>
      <c r="J869" s="549" t="s">
        <v>976</v>
      </c>
      <c r="K869" s="549" t="s">
        <v>976</v>
      </c>
      <c r="L869" s="549">
        <v>121596.97</v>
      </c>
      <c r="M869" s="549">
        <v>9180.57</v>
      </c>
      <c r="N869" s="549">
        <v>2687.29</v>
      </c>
      <c r="O869" s="549">
        <v>4960</v>
      </c>
      <c r="P869" s="549">
        <v>18.21</v>
      </c>
      <c r="Q869" s="549">
        <v>3064.35</v>
      </c>
    </row>
    <row r="870" spans="1:17" x14ac:dyDescent="0.25">
      <c r="A870" s="549" t="s">
        <v>993</v>
      </c>
      <c r="B870" s="549" t="s">
        <v>994</v>
      </c>
      <c r="C870" s="549" t="s">
        <v>187</v>
      </c>
      <c r="D870" s="549" t="s">
        <v>667</v>
      </c>
      <c r="E870" s="549" t="s">
        <v>977</v>
      </c>
      <c r="F870" s="549" t="s">
        <v>1212</v>
      </c>
      <c r="G870" s="549">
        <v>1692</v>
      </c>
      <c r="H870" s="549" t="s">
        <v>187</v>
      </c>
      <c r="I870" s="549" t="s">
        <v>976</v>
      </c>
      <c r="J870" s="549" t="s">
        <v>976</v>
      </c>
      <c r="K870" s="549" t="s">
        <v>976</v>
      </c>
      <c r="L870" s="549">
        <v>121596.97</v>
      </c>
      <c r="M870" s="549">
        <v>9180.57</v>
      </c>
      <c r="N870" s="549">
        <v>2687.29</v>
      </c>
      <c r="O870" s="549">
        <v>4960</v>
      </c>
      <c r="P870" s="549">
        <v>100</v>
      </c>
      <c r="Q870" s="549">
        <v>16827.86</v>
      </c>
    </row>
    <row r="871" spans="1:17" x14ac:dyDescent="0.25">
      <c r="A871" s="549" t="s">
        <v>1014</v>
      </c>
      <c r="B871" s="549" t="s">
        <v>1015</v>
      </c>
      <c r="C871" s="549" t="s">
        <v>519</v>
      </c>
      <c r="D871" s="549" t="s">
        <v>492</v>
      </c>
      <c r="E871" s="549" t="s">
        <v>973</v>
      </c>
      <c r="F871" s="549" t="s">
        <v>1212</v>
      </c>
      <c r="G871" s="549">
        <v>162</v>
      </c>
      <c r="H871" s="549" t="s">
        <v>519</v>
      </c>
      <c r="I871" s="549" t="s">
        <v>976</v>
      </c>
      <c r="J871" s="549" t="s">
        <v>976</v>
      </c>
      <c r="K871" s="549" t="s">
        <v>976</v>
      </c>
      <c r="L871" s="549">
        <v>892972.4</v>
      </c>
      <c r="M871" s="549">
        <v>67419.42</v>
      </c>
      <c r="N871" s="549">
        <v>51256.62</v>
      </c>
      <c r="O871" s="549">
        <v>3968</v>
      </c>
      <c r="P871" s="549">
        <v>0</v>
      </c>
      <c r="Q871" s="549">
        <v>0</v>
      </c>
    </row>
    <row r="872" spans="1:17" x14ac:dyDescent="0.25">
      <c r="A872" s="549" t="s">
        <v>1014</v>
      </c>
      <c r="B872" s="549" t="s">
        <v>1015</v>
      </c>
      <c r="C872" s="549" t="s">
        <v>519</v>
      </c>
      <c r="D872" s="549" t="s">
        <v>492</v>
      </c>
      <c r="E872" s="549" t="s">
        <v>973</v>
      </c>
      <c r="F872" s="549" t="s">
        <v>1212</v>
      </c>
      <c r="G872" s="549">
        <v>157</v>
      </c>
      <c r="H872" s="549" t="s">
        <v>519</v>
      </c>
      <c r="I872" s="549" t="s">
        <v>976</v>
      </c>
      <c r="J872" s="549" t="s">
        <v>976</v>
      </c>
      <c r="K872" s="549" t="s">
        <v>976</v>
      </c>
      <c r="L872" s="549">
        <v>22696.29</v>
      </c>
      <c r="M872" s="549">
        <v>1713.57</v>
      </c>
      <c r="N872" s="549">
        <v>1302.77</v>
      </c>
      <c r="O872" s="549">
        <v>992</v>
      </c>
      <c r="P872" s="549">
        <v>0</v>
      </c>
      <c r="Q872" s="549">
        <v>0</v>
      </c>
    </row>
    <row r="873" spans="1:17" x14ac:dyDescent="0.25">
      <c r="A873" s="549" t="s">
        <v>993</v>
      </c>
      <c r="B873" s="549" t="s">
        <v>994</v>
      </c>
      <c r="C873" s="549" t="s">
        <v>187</v>
      </c>
      <c r="D873" s="549" t="s">
        <v>667</v>
      </c>
      <c r="E873" s="549" t="s">
        <v>977</v>
      </c>
      <c r="F873" s="549" t="s">
        <v>1212</v>
      </c>
      <c r="G873" s="549" t="s">
        <v>1257</v>
      </c>
      <c r="H873" s="549" t="s">
        <v>187</v>
      </c>
      <c r="I873" s="549" t="s">
        <v>976</v>
      </c>
      <c r="J873" s="549" t="s">
        <v>976</v>
      </c>
      <c r="K873" s="549" t="s">
        <v>976</v>
      </c>
      <c r="L873" s="549">
        <v>0</v>
      </c>
      <c r="M873" s="549">
        <v>0</v>
      </c>
      <c r="N873" s="549">
        <v>0</v>
      </c>
      <c r="O873" s="549">
        <v>0</v>
      </c>
      <c r="P873" s="549">
        <v>18.21</v>
      </c>
      <c r="Q873" s="549">
        <v>0</v>
      </c>
    </row>
    <row r="874" spans="1:17" x14ac:dyDescent="0.25">
      <c r="A874" s="549" t="s">
        <v>993</v>
      </c>
      <c r="B874" s="549" t="s">
        <v>994</v>
      </c>
      <c r="C874" s="549" t="s">
        <v>187</v>
      </c>
      <c r="D874" s="549" t="s">
        <v>667</v>
      </c>
      <c r="E874" s="549" t="s">
        <v>977</v>
      </c>
      <c r="F874" s="549" t="s">
        <v>1212</v>
      </c>
      <c r="G874" s="549" t="s">
        <v>1258</v>
      </c>
      <c r="H874" s="549" t="s">
        <v>187</v>
      </c>
      <c r="I874" s="549" t="s">
        <v>976</v>
      </c>
      <c r="J874" s="549" t="s">
        <v>976</v>
      </c>
      <c r="K874" s="549" t="s">
        <v>976</v>
      </c>
      <c r="L874" s="549">
        <v>12964.75</v>
      </c>
      <c r="M874" s="549">
        <v>978.84</v>
      </c>
      <c r="N874" s="549">
        <v>286.52</v>
      </c>
      <c r="O874" s="549">
        <v>0</v>
      </c>
      <c r="P874" s="549">
        <v>0</v>
      </c>
      <c r="Q874" s="549">
        <v>0</v>
      </c>
    </row>
    <row r="875" spans="1:17" x14ac:dyDescent="0.25">
      <c r="A875" s="549" t="s">
        <v>993</v>
      </c>
      <c r="B875" s="549" t="s">
        <v>994</v>
      </c>
      <c r="C875" s="549" t="s">
        <v>187</v>
      </c>
      <c r="D875" s="549" t="s">
        <v>667</v>
      </c>
      <c r="E875" s="549" t="s">
        <v>977</v>
      </c>
      <c r="F875" s="549" t="s">
        <v>1212</v>
      </c>
      <c r="G875" s="549" t="s">
        <v>1259</v>
      </c>
      <c r="H875" s="549" t="s">
        <v>187</v>
      </c>
      <c r="I875" s="549" t="s">
        <v>976</v>
      </c>
      <c r="J875" s="549" t="s">
        <v>976</v>
      </c>
      <c r="K875" s="549" t="s">
        <v>976</v>
      </c>
      <c r="L875" s="549">
        <v>12964.75</v>
      </c>
      <c r="M875" s="549">
        <v>978.84</v>
      </c>
      <c r="N875" s="549">
        <v>286.52</v>
      </c>
      <c r="O875" s="549">
        <v>0</v>
      </c>
      <c r="P875" s="549">
        <v>0</v>
      </c>
      <c r="Q875" s="549">
        <v>0</v>
      </c>
    </row>
    <row r="876" spans="1:17" x14ac:dyDescent="0.25">
      <c r="A876" s="549" t="s">
        <v>993</v>
      </c>
      <c r="B876" s="549" t="s">
        <v>994</v>
      </c>
      <c r="C876" s="549" t="s">
        <v>187</v>
      </c>
      <c r="D876" s="549" t="s">
        <v>667</v>
      </c>
      <c r="E876" s="549" t="s">
        <v>977</v>
      </c>
      <c r="F876" s="549" t="s">
        <v>1212</v>
      </c>
      <c r="G876" s="549" t="s">
        <v>1260</v>
      </c>
      <c r="H876" s="549" t="s">
        <v>187</v>
      </c>
      <c r="I876" s="549" t="s">
        <v>976</v>
      </c>
      <c r="J876" s="549" t="s">
        <v>976</v>
      </c>
      <c r="K876" s="549" t="s">
        <v>976</v>
      </c>
      <c r="L876" s="549">
        <v>12964.75</v>
      </c>
      <c r="M876" s="549">
        <v>978.84</v>
      </c>
      <c r="N876" s="549">
        <v>286.52</v>
      </c>
      <c r="O876" s="549">
        <v>0</v>
      </c>
      <c r="P876" s="549">
        <v>0</v>
      </c>
      <c r="Q876" s="549">
        <v>0</v>
      </c>
    </row>
    <row r="877" spans="1:17" x14ac:dyDescent="0.25">
      <c r="A877" s="549" t="s">
        <v>993</v>
      </c>
      <c r="B877" s="549" t="s">
        <v>994</v>
      </c>
      <c r="C877" s="549" t="s">
        <v>187</v>
      </c>
      <c r="D877" s="549" t="s">
        <v>667</v>
      </c>
      <c r="E877" s="549" t="s">
        <v>977</v>
      </c>
      <c r="F877" s="549" t="s">
        <v>1212</v>
      </c>
      <c r="G877" s="549" t="s">
        <v>1261</v>
      </c>
      <c r="H877" s="549" t="s">
        <v>187</v>
      </c>
      <c r="I877" s="549" t="s">
        <v>976</v>
      </c>
      <c r="J877" s="549" t="s">
        <v>976</v>
      </c>
      <c r="K877" s="549" t="s">
        <v>976</v>
      </c>
      <c r="L877" s="549">
        <v>12964.75</v>
      </c>
      <c r="M877" s="549">
        <v>978.84</v>
      </c>
      <c r="N877" s="549">
        <v>286.52</v>
      </c>
      <c r="O877" s="549">
        <v>0</v>
      </c>
      <c r="P877" s="549">
        <v>0</v>
      </c>
      <c r="Q877" s="549">
        <v>0</v>
      </c>
    </row>
    <row r="878" spans="1:17" x14ac:dyDescent="0.25">
      <c r="A878" s="549" t="s">
        <v>993</v>
      </c>
      <c r="B878" s="549" t="s">
        <v>994</v>
      </c>
      <c r="C878" s="549" t="s">
        <v>187</v>
      </c>
      <c r="D878" s="549" t="s">
        <v>667</v>
      </c>
      <c r="E878" s="549" t="s">
        <v>977</v>
      </c>
      <c r="F878" s="549" t="s">
        <v>1212</v>
      </c>
      <c r="G878" s="549" t="s">
        <v>1262</v>
      </c>
      <c r="H878" s="549" t="s">
        <v>187</v>
      </c>
      <c r="I878" s="549" t="s">
        <v>976</v>
      </c>
      <c r="J878" s="549" t="s">
        <v>976</v>
      </c>
      <c r="K878" s="549" t="s">
        <v>976</v>
      </c>
      <c r="L878" s="549">
        <v>12964.75</v>
      </c>
      <c r="M878" s="549">
        <v>978.84</v>
      </c>
      <c r="N878" s="549">
        <v>286.52</v>
      </c>
      <c r="O878" s="549">
        <v>0</v>
      </c>
      <c r="P878" s="549">
        <v>100</v>
      </c>
      <c r="Q878" s="549">
        <v>1265.3599999999999</v>
      </c>
    </row>
    <row r="879" spans="1:17" x14ac:dyDescent="0.25">
      <c r="A879" s="549" t="s">
        <v>993</v>
      </c>
      <c r="B879" s="549" t="s">
        <v>994</v>
      </c>
      <c r="C879" s="549" t="s">
        <v>187</v>
      </c>
      <c r="D879" s="549" t="s">
        <v>667</v>
      </c>
      <c r="E879" s="549" t="s">
        <v>977</v>
      </c>
      <c r="F879" s="549" t="s">
        <v>1212</v>
      </c>
      <c r="G879" s="549" t="s">
        <v>1263</v>
      </c>
      <c r="H879" s="549" t="s">
        <v>187</v>
      </c>
      <c r="I879" s="549" t="s">
        <v>976</v>
      </c>
      <c r="J879" s="549" t="s">
        <v>976</v>
      </c>
      <c r="K879" s="549" t="s">
        <v>976</v>
      </c>
      <c r="L879" s="549">
        <v>12964.75</v>
      </c>
      <c r="M879" s="549">
        <v>978.84</v>
      </c>
      <c r="N879" s="549">
        <v>286.52</v>
      </c>
      <c r="O879" s="549">
        <v>0</v>
      </c>
      <c r="P879" s="549">
        <v>100</v>
      </c>
      <c r="Q879" s="549">
        <v>1265.3599999999999</v>
      </c>
    </row>
    <row r="880" spans="1:17" x14ac:dyDescent="0.25">
      <c r="A880" s="549" t="s">
        <v>993</v>
      </c>
      <c r="B880" s="549" t="s">
        <v>994</v>
      </c>
      <c r="C880" s="549" t="s">
        <v>187</v>
      </c>
      <c r="D880" s="549" t="s">
        <v>667</v>
      </c>
      <c r="E880" s="549" t="s">
        <v>977</v>
      </c>
      <c r="F880" s="549" t="s">
        <v>1212</v>
      </c>
      <c r="G880" s="549" t="s">
        <v>1264</v>
      </c>
      <c r="H880" s="549" t="s">
        <v>187</v>
      </c>
      <c r="I880" s="549" t="s">
        <v>976</v>
      </c>
      <c r="J880" s="549" t="s">
        <v>976</v>
      </c>
      <c r="K880" s="549" t="s">
        <v>976</v>
      </c>
      <c r="L880" s="549">
        <v>12964.75</v>
      </c>
      <c r="M880" s="549">
        <v>978.84</v>
      </c>
      <c r="N880" s="549">
        <v>286.52</v>
      </c>
      <c r="O880" s="549">
        <v>0</v>
      </c>
      <c r="P880" s="549">
        <v>0</v>
      </c>
      <c r="Q880" s="549">
        <v>0</v>
      </c>
    </row>
    <row r="881" spans="1:17" x14ac:dyDescent="0.25">
      <c r="A881" s="549" t="s">
        <v>993</v>
      </c>
      <c r="B881" s="549" t="s">
        <v>994</v>
      </c>
      <c r="C881" s="549" t="s">
        <v>187</v>
      </c>
      <c r="D881" s="549" t="s">
        <v>667</v>
      </c>
      <c r="E881" s="549" t="s">
        <v>977</v>
      </c>
      <c r="F881" s="549" t="s">
        <v>1212</v>
      </c>
      <c r="G881" s="549" t="s">
        <v>1265</v>
      </c>
      <c r="H881" s="549" t="s">
        <v>187</v>
      </c>
      <c r="I881" s="549" t="s">
        <v>976</v>
      </c>
      <c r="J881" s="549" t="s">
        <v>976</v>
      </c>
      <c r="K881" s="549" t="s">
        <v>976</v>
      </c>
      <c r="L881" s="549">
        <v>12964.75</v>
      </c>
      <c r="M881" s="549">
        <v>978.84</v>
      </c>
      <c r="N881" s="549">
        <v>286.52</v>
      </c>
      <c r="O881" s="549">
        <v>0</v>
      </c>
      <c r="P881" s="549">
        <v>0</v>
      </c>
      <c r="Q881" s="549">
        <v>0</v>
      </c>
    </row>
    <row r="882" spans="1:17" x14ac:dyDescent="0.25">
      <c r="A882" s="549" t="s">
        <v>993</v>
      </c>
      <c r="B882" s="549" t="s">
        <v>994</v>
      </c>
      <c r="C882" s="549" t="s">
        <v>187</v>
      </c>
      <c r="D882" s="549" t="s">
        <v>667</v>
      </c>
      <c r="E882" s="549" t="s">
        <v>977</v>
      </c>
      <c r="F882" s="549" t="s">
        <v>1212</v>
      </c>
      <c r="G882" s="549" t="s">
        <v>1266</v>
      </c>
      <c r="H882" s="549" t="s">
        <v>187</v>
      </c>
      <c r="I882" s="549" t="s">
        <v>976</v>
      </c>
      <c r="J882" s="549" t="s">
        <v>976</v>
      </c>
      <c r="K882" s="549" t="s">
        <v>976</v>
      </c>
      <c r="L882" s="549">
        <v>12964.75</v>
      </c>
      <c r="M882" s="549">
        <v>978.84</v>
      </c>
      <c r="N882" s="549">
        <v>286.52</v>
      </c>
      <c r="O882" s="549">
        <v>0</v>
      </c>
      <c r="P882" s="549">
        <v>100</v>
      </c>
      <c r="Q882" s="549">
        <v>1265.3599999999999</v>
      </c>
    </row>
    <row r="883" spans="1:17" x14ac:dyDescent="0.25">
      <c r="A883" s="549" t="s">
        <v>1014</v>
      </c>
      <c r="B883" s="549" t="s">
        <v>1015</v>
      </c>
      <c r="C883" s="549" t="s">
        <v>519</v>
      </c>
      <c r="D883" s="549" t="s">
        <v>492</v>
      </c>
      <c r="E883" s="549" t="s">
        <v>973</v>
      </c>
      <c r="F883" s="549" t="s">
        <v>1212</v>
      </c>
      <c r="G883" s="549">
        <v>147</v>
      </c>
      <c r="H883" s="549" t="s">
        <v>519</v>
      </c>
      <c r="I883" s="549" t="s">
        <v>976</v>
      </c>
      <c r="J883" s="549" t="s">
        <v>976</v>
      </c>
      <c r="K883" s="549" t="s">
        <v>976</v>
      </c>
      <c r="L883" s="549">
        <v>22696.29</v>
      </c>
      <c r="M883" s="549">
        <v>1713.57</v>
      </c>
      <c r="N883" s="549">
        <v>1302.77</v>
      </c>
      <c r="O883" s="549">
        <v>992</v>
      </c>
      <c r="P883" s="549">
        <v>0</v>
      </c>
      <c r="Q883" s="549">
        <v>0</v>
      </c>
    </row>
    <row r="884" spans="1:17" x14ac:dyDescent="0.25">
      <c r="A884" s="549" t="s">
        <v>993</v>
      </c>
      <c r="B884" s="549" t="s">
        <v>994</v>
      </c>
      <c r="C884" s="549" t="s">
        <v>187</v>
      </c>
      <c r="D884" s="549" t="s">
        <v>667</v>
      </c>
      <c r="E884" s="549" t="s">
        <v>977</v>
      </c>
      <c r="F884" s="549" t="s">
        <v>1212</v>
      </c>
      <c r="G884" s="549" t="s">
        <v>1267</v>
      </c>
      <c r="H884" s="549" t="s">
        <v>187</v>
      </c>
      <c r="I884" s="549" t="s">
        <v>976</v>
      </c>
      <c r="J884" s="549" t="s">
        <v>976</v>
      </c>
      <c r="K884" s="549" t="s">
        <v>976</v>
      </c>
      <c r="L884" s="549">
        <v>0.02</v>
      </c>
      <c r="M884" s="549">
        <v>0</v>
      </c>
      <c r="N884" s="549">
        <v>0</v>
      </c>
      <c r="O884" s="549">
        <v>0</v>
      </c>
      <c r="P884" s="549">
        <v>18.21</v>
      </c>
      <c r="Q884" s="549">
        <v>0</v>
      </c>
    </row>
    <row r="885" spans="1:17" x14ac:dyDescent="0.25">
      <c r="A885" s="549" t="s">
        <v>993</v>
      </c>
      <c r="B885" s="549" t="s">
        <v>994</v>
      </c>
      <c r="C885" s="549" t="s">
        <v>187</v>
      </c>
      <c r="D885" s="549" t="s">
        <v>667</v>
      </c>
      <c r="E885" s="549" t="s">
        <v>977</v>
      </c>
      <c r="F885" s="549" t="s">
        <v>1212</v>
      </c>
      <c r="G885" s="549" t="s">
        <v>1268</v>
      </c>
      <c r="H885" s="549" t="s">
        <v>187</v>
      </c>
      <c r="I885" s="549" t="s">
        <v>976</v>
      </c>
      <c r="J885" s="549" t="s">
        <v>976</v>
      </c>
      <c r="K885" s="549" t="s">
        <v>976</v>
      </c>
      <c r="L885" s="549">
        <v>0.02</v>
      </c>
      <c r="M885" s="549">
        <v>0</v>
      </c>
      <c r="N885" s="549">
        <v>0</v>
      </c>
      <c r="O885" s="549">
        <v>0</v>
      </c>
      <c r="P885" s="549">
        <v>18.21</v>
      </c>
      <c r="Q885" s="549">
        <v>0</v>
      </c>
    </row>
    <row r="886" spans="1:17" x14ac:dyDescent="0.25">
      <c r="A886" s="549" t="s">
        <v>1014</v>
      </c>
      <c r="B886" s="549" t="s">
        <v>1015</v>
      </c>
      <c r="C886" s="549" t="s">
        <v>519</v>
      </c>
      <c r="D886" s="549" t="s">
        <v>492</v>
      </c>
      <c r="E886" s="549" t="s">
        <v>973</v>
      </c>
      <c r="F886" s="549" t="s">
        <v>1212</v>
      </c>
      <c r="G886" s="549">
        <v>142</v>
      </c>
      <c r="H886" s="549" t="s">
        <v>519</v>
      </c>
      <c r="I886" s="549" t="s">
        <v>976</v>
      </c>
      <c r="J886" s="549" t="s">
        <v>976</v>
      </c>
      <c r="K886" s="549" t="s">
        <v>976</v>
      </c>
      <c r="L886" s="549">
        <v>892972.4</v>
      </c>
      <c r="M886" s="549">
        <v>67419.42</v>
      </c>
      <c r="N886" s="549">
        <v>51256.62</v>
      </c>
      <c r="O886" s="549">
        <v>3968</v>
      </c>
      <c r="P886" s="549">
        <v>0</v>
      </c>
      <c r="Q886" s="549">
        <v>0</v>
      </c>
    </row>
    <row r="887" spans="1:17" x14ac:dyDescent="0.25">
      <c r="A887" s="549" t="s">
        <v>1014</v>
      </c>
      <c r="B887" s="549" t="s">
        <v>1015</v>
      </c>
      <c r="C887" s="549" t="s">
        <v>519</v>
      </c>
      <c r="D887" s="549" t="s">
        <v>492</v>
      </c>
      <c r="E887" s="549" t="s">
        <v>973</v>
      </c>
      <c r="F887" s="549" t="s">
        <v>1212</v>
      </c>
      <c r="G887" s="549">
        <v>137</v>
      </c>
      <c r="H887" s="549" t="s">
        <v>519</v>
      </c>
      <c r="I887" s="549" t="s">
        <v>976</v>
      </c>
      <c r="J887" s="549" t="s">
        <v>976</v>
      </c>
      <c r="K887" s="549" t="s">
        <v>976</v>
      </c>
      <c r="L887" s="549">
        <v>22696.29</v>
      </c>
      <c r="M887" s="549">
        <v>1713.57</v>
      </c>
      <c r="N887" s="549">
        <v>1302.77</v>
      </c>
      <c r="O887" s="549">
        <v>992</v>
      </c>
      <c r="P887" s="549">
        <v>0</v>
      </c>
      <c r="Q887" s="549">
        <v>0</v>
      </c>
    </row>
    <row r="888" spans="1:17" x14ac:dyDescent="0.25">
      <c r="A888" s="549" t="s">
        <v>1014</v>
      </c>
      <c r="B888" s="549" t="s">
        <v>1015</v>
      </c>
      <c r="C888" s="549" t="s">
        <v>519</v>
      </c>
      <c r="D888" s="549" t="s">
        <v>492</v>
      </c>
      <c r="E888" s="549" t="s">
        <v>973</v>
      </c>
      <c r="F888" s="549" t="s">
        <v>1212</v>
      </c>
      <c r="G888" s="549">
        <v>128</v>
      </c>
      <c r="H888" s="549" t="s">
        <v>519</v>
      </c>
      <c r="I888" s="549" t="s">
        <v>976</v>
      </c>
      <c r="J888" s="549" t="s">
        <v>976</v>
      </c>
      <c r="K888" s="549" t="s">
        <v>976</v>
      </c>
      <c r="L888" s="549">
        <v>281765.2</v>
      </c>
      <c r="M888" s="549">
        <v>21273.27</v>
      </c>
      <c r="N888" s="549">
        <v>16173.32</v>
      </c>
      <c r="O888" s="549">
        <v>2976</v>
      </c>
      <c r="P888" s="549">
        <v>0</v>
      </c>
      <c r="Q888" s="549">
        <v>0</v>
      </c>
    </row>
    <row r="889" spans="1:17" x14ac:dyDescent="0.25">
      <c r="A889" s="549" t="s">
        <v>1014</v>
      </c>
      <c r="B889" s="549" t="s">
        <v>1015</v>
      </c>
      <c r="C889" s="549" t="s">
        <v>519</v>
      </c>
      <c r="D889" s="549" t="s">
        <v>492</v>
      </c>
      <c r="E889" s="549" t="s">
        <v>973</v>
      </c>
      <c r="F889" s="549" t="s">
        <v>1212</v>
      </c>
      <c r="G889" s="549">
        <v>127</v>
      </c>
      <c r="H889" s="549" t="s">
        <v>519</v>
      </c>
      <c r="I889" s="549" t="s">
        <v>976</v>
      </c>
      <c r="J889" s="549" t="s">
        <v>976</v>
      </c>
      <c r="K889" s="549" t="s">
        <v>976</v>
      </c>
      <c r="L889" s="549">
        <v>22696.29</v>
      </c>
      <c r="M889" s="549">
        <v>1713.57</v>
      </c>
      <c r="N889" s="549">
        <v>1302.77</v>
      </c>
      <c r="O889" s="549">
        <v>992</v>
      </c>
      <c r="P889" s="549">
        <v>0</v>
      </c>
      <c r="Q889" s="549">
        <v>0</v>
      </c>
    </row>
    <row r="890" spans="1:17" x14ac:dyDescent="0.25">
      <c r="A890" s="549" t="s">
        <v>1014</v>
      </c>
      <c r="B890" s="549" t="s">
        <v>1015</v>
      </c>
      <c r="C890" s="549" t="s">
        <v>519</v>
      </c>
      <c r="D890" s="549" t="s">
        <v>492</v>
      </c>
      <c r="E890" s="549" t="s">
        <v>973</v>
      </c>
      <c r="F890" s="549" t="s">
        <v>1212</v>
      </c>
      <c r="G890" s="549">
        <v>117</v>
      </c>
      <c r="H890" s="549" t="s">
        <v>519</v>
      </c>
      <c r="I890" s="549" t="s">
        <v>976</v>
      </c>
      <c r="J890" s="549" t="s">
        <v>976</v>
      </c>
      <c r="K890" s="549" t="s">
        <v>976</v>
      </c>
      <c r="L890" s="549">
        <v>22696.29</v>
      </c>
      <c r="M890" s="549">
        <v>1713.57</v>
      </c>
      <c r="N890" s="549">
        <v>1302.77</v>
      </c>
      <c r="O890" s="549">
        <v>992</v>
      </c>
      <c r="P890" s="549">
        <v>0</v>
      </c>
      <c r="Q890" s="549">
        <v>0</v>
      </c>
    </row>
    <row r="891" spans="1:17" x14ac:dyDescent="0.25">
      <c r="A891" s="549" t="s">
        <v>1014</v>
      </c>
      <c r="B891" s="549" t="s">
        <v>1015</v>
      </c>
      <c r="C891" s="549" t="s">
        <v>519</v>
      </c>
      <c r="D891" s="549" t="s">
        <v>492</v>
      </c>
      <c r="E891" s="549" t="s">
        <v>973</v>
      </c>
      <c r="F891" s="549" t="s">
        <v>1212</v>
      </c>
      <c r="G891" s="549">
        <v>107</v>
      </c>
      <c r="H891" s="549" t="s">
        <v>519</v>
      </c>
      <c r="I891" s="549" t="s">
        <v>976</v>
      </c>
      <c r="J891" s="549" t="s">
        <v>976</v>
      </c>
      <c r="K891" s="549" t="s">
        <v>976</v>
      </c>
      <c r="L891" s="549">
        <v>65372.09</v>
      </c>
      <c r="M891" s="549">
        <v>4935.59</v>
      </c>
      <c r="N891" s="549">
        <v>3752.36</v>
      </c>
      <c r="O891" s="549">
        <v>992</v>
      </c>
      <c r="P891" s="549">
        <v>0</v>
      </c>
      <c r="Q891" s="549">
        <v>0</v>
      </c>
    </row>
    <row r="892" spans="1:17" x14ac:dyDescent="0.25">
      <c r="A892" s="549" t="s">
        <v>1014</v>
      </c>
      <c r="B892" s="549" t="s">
        <v>1015</v>
      </c>
      <c r="C892" s="549" t="s">
        <v>519</v>
      </c>
      <c r="D892" s="549" t="s">
        <v>492</v>
      </c>
      <c r="E892" s="549" t="s">
        <v>973</v>
      </c>
      <c r="F892" s="549" t="s">
        <v>1212</v>
      </c>
      <c r="G892" s="549">
        <v>97</v>
      </c>
      <c r="H892" s="549" t="s">
        <v>519</v>
      </c>
      <c r="I892" s="549" t="s">
        <v>976</v>
      </c>
      <c r="J892" s="549" t="s">
        <v>976</v>
      </c>
      <c r="K892" s="549" t="s">
        <v>976</v>
      </c>
      <c r="L892" s="549">
        <v>22696.29</v>
      </c>
      <c r="M892" s="549">
        <v>1713.57</v>
      </c>
      <c r="N892" s="549">
        <v>1302.77</v>
      </c>
      <c r="O892" s="549">
        <v>992</v>
      </c>
      <c r="P892" s="549">
        <v>0</v>
      </c>
      <c r="Q892" s="549">
        <v>0</v>
      </c>
    </row>
    <row r="893" spans="1:17" x14ac:dyDescent="0.25">
      <c r="A893" s="549" t="s">
        <v>504</v>
      </c>
      <c r="B893" s="549" t="s">
        <v>996</v>
      </c>
      <c r="C893" s="549" t="s">
        <v>509</v>
      </c>
      <c r="D893" s="549" t="s">
        <v>656</v>
      </c>
      <c r="E893" s="549" t="s">
        <v>973</v>
      </c>
      <c r="F893" s="549" t="s">
        <v>1212</v>
      </c>
      <c r="G893" s="549">
        <v>412</v>
      </c>
      <c r="H893" s="549" t="s">
        <v>509</v>
      </c>
      <c r="I893" s="549" t="s">
        <v>976</v>
      </c>
      <c r="J893" s="549" t="s">
        <v>976</v>
      </c>
      <c r="K893" s="549" t="s">
        <v>976</v>
      </c>
      <c r="L893" s="549">
        <v>2180902.88</v>
      </c>
      <c r="M893" s="549">
        <v>164658.17000000001</v>
      </c>
      <c r="N893" s="549">
        <v>125183.83</v>
      </c>
      <c r="O893" s="549">
        <v>6745.6</v>
      </c>
      <c r="P893" s="549">
        <v>98.27</v>
      </c>
      <c r="Q893" s="549">
        <v>291456.63</v>
      </c>
    </row>
    <row r="894" spans="1:17" x14ac:dyDescent="0.25">
      <c r="A894" s="549" t="s">
        <v>504</v>
      </c>
      <c r="B894" s="549" t="s">
        <v>996</v>
      </c>
      <c r="C894" s="549" t="s">
        <v>509</v>
      </c>
      <c r="D894" s="549" t="s">
        <v>656</v>
      </c>
      <c r="E894" s="549" t="s">
        <v>973</v>
      </c>
      <c r="F894" s="549" t="s">
        <v>1212</v>
      </c>
      <c r="G894" s="549">
        <v>432</v>
      </c>
      <c r="H894" s="549" t="s">
        <v>509</v>
      </c>
      <c r="I894" s="549" t="s">
        <v>976</v>
      </c>
      <c r="J894" s="549" t="s">
        <v>976</v>
      </c>
      <c r="K894" s="549" t="s">
        <v>976</v>
      </c>
      <c r="L894" s="549">
        <v>2180902.88</v>
      </c>
      <c r="M894" s="549">
        <v>164658.17000000001</v>
      </c>
      <c r="N894" s="549">
        <v>125183.83</v>
      </c>
      <c r="O894" s="549">
        <v>6745.6</v>
      </c>
      <c r="P894" s="549">
        <v>98.27</v>
      </c>
      <c r="Q894" s="549">
        <v>291456.63</v>
      </c>
    </row>
    <row r="895" spans="1:17" x14ac:dyDescent="0.25">
      <c r="A895" s="549" t="s">
        <v>504</v>
      </c>
      <c r="B895" s="549" t="s">
        <v>996</v>
      </c>
      <c r="C895" s="549" t="s">
        <v>509</v>
      </c>
      <c r="D895" s="549" t="s">
        <v>656</v>
      </c>
      <c r="E895" s="549" t="s">
        <v>973</v>
      </c>
      <c r="F895" s="549" t="s">
        <v>1212</v>
      </c>
      <c r="G895" s="549">
        <v>452</v>
      </c>
      <c r="H895" s="549" t="s">
        <v>509</v>
      </c>
      <c r="I895" s="549" t="s">
        <v>976</v>
      </c>
      <c r="J895" s="549" t="s">
        <v>976</v>
      </c>
      <c r="K895" s="549" t="s">
        <v>976</v>
      </c>
      <c r="L895" s="549">
        <v>2180902.88</v>
      </c>
      <c r="M895" s="549">
        <v>164658.17000000001</v>
      </c>
      <c r="N895" s="549">
        <v>125183.83</v>
      </c>
      <c r="O895" s="549">
        <v>6745.6</v>
      </c>
      <c r="P895" s="549">
        <v>98.27</v>
      </c>
      <c r="Q895" s="549">
        <v>291456.63</v>
      </c>
    </row>
    <row r="896" spans="1:17" x14ac:dyDescent="0.25">
      <c r="A896" s="549" t="s">
        <v>504</v>
      </c>
      <c r="B896" s="549" t="s">
        <v>996</v>
      </c>
      <c r="C896" s="549" t="s">
        <v>509</v>
      </c>
      <c r="D896" s="549" t="s">
        <v>656</v>
      </c>
      <c r="E896" s="549" t="s">
        <v>973</v>
      </c>
      <c r="F896" s="549" t="s">
        <v>1212</v>
      </c>
      <c r="G896" s="549">
        <v>472</v>
      </c>
      <c r="H896" s="549" t="s">
        <v>509</v>
      </c>
      <c r="I896" s="549" t="s">
        <v>976</v>
      </c>
      <c r="J896" s="549" t="s">
        <v>976</v>
      </c>
      <c r="K896" s="549" t="s">
        <v>976</v>
      </c>
      <c r="L896" s="549">
        <v>2180902.88</v>
      </c>
      <c r="M896" s="549">
        <v>164658.17000000001</v>
      </c>
      <c r="N896" s="549">
        <v>125183.83</v>
      </c>
      <c r="O896" s="549">
        <v>6745.6</v>
      </c>
      <c r="P896" s="549">
        <v>98.27</v>
      </c>
      <c r="Q896" s="549">
        <v>291456.63</v>
      </c>
    </row>
    <row r="897" spans="1:17" x14ac:dyDescent="0.25">
      <c r="A897" s="549" t="s">
        <v>504</v>
      </c>
      <c r="B897" s="549" t="s">
        <v>996</v>
      </c>
      <c r="C897" s="549" t="s">
        <v>509</v>
      </c>
      <c r="D897" s="549" t="s">
        <v>656</v>
      </c>
      <c r="E897" s="549" t="s">
        <v>977</v>
      </c>
      <c r="F897" s="549" t="s">
        <v>1212</v>
      </c>
      <c r="G897" s="549">
        <v>412</v>
      </c>
      <c r="H897" s="549" t="s">
        <v>509</v>
      </c>
      <c r="I897" s="549" t="s">
        <v>976</v>
      </c>
      <c r="J897" s="549" t="s">
        <v>976</v>
      </c>
      <c r="K897" s="549" t="s">
        <v>976</v>
      </c>
      <c r="L897" s="549">
        <v>2180902.88</v>
      </c>
      <c r="M897" s="549">
        <v>164658.17000000001</v>
      </c>
      <c r="N897" s="549">
        <v>48197.95</v>
      </c>
      <c r="O897" s="549">
        <v>6745.6</v>
      </c>
      <c r="P897" s="549">
        <v>1.73</v>
      </c>
      <c r="Q897" s="549">
        <v>3799.11</v>
      </c>
    </row>
    <row r="898" spans="1:17" x14ac:dyDescent="0.25">
      <c r="A898" s="549" t="s">
        <v>504</v>
      </c>
      <c r="B898" s="549" t="s">
        <v>996</v>
      </c>
      <c r="C898" s="549" t="s">
        <v>509</v>
      </c>
      <c r="D898" s="549" t="s">
        <v>656</v>
      </c>
      <c r="E898" s="549" t="s">
        <v>977</v>
      </c>
      <c r="F898" s="549" t="s">
        <v>1212</v>
      </c>
      <c r="G898" s="549">
        <v>432</v>
      </c>
      <c r="H898" s="549" t="s">
        <v>509</v>
      </c>
      <c r="I898" s="549" t="s">
        <v>976</v>
      </c>
      <c r="J898" s="549" t="s">
        <v>976</v>
      </c>
      <c r="K898" s="549" t="s">
        <v>976</v>
      </c>
      <c r="L898" s="549">
        <v>2180902.88</v>
      </c>
      <c r="M898" s="549">
        <v>164658.17000000001</v>
      </c>
      <c r="N898" s="549">
        <v>48197.95</v>
      </c>
      <c r="O898" s="549">
        <v>6745.6</v>
      </c>
      <c r="P898" s="549">
        <v>1.73</v>
      </c>
      <c r="Q898" s="549">
        <v>3799.11</v>
      </c>
    </row>
    <row r="899" spans="1:17" x14ac:dyDescent="0.25">
      <c r="A899" s="549" t="s">
        <v>504</v>
      </c>
      <c r="B899" s="549" t="s">
        <v>996</v>
      </c>
      <c r="C899" s="549" t="s">
        <v>509</v>
      </c>
      <c r="D899" s="549" t="s">
        <v>656</v>
      </c>
      <c r="E899" s="549" t="s">
        <v>977</v>
      </c>
      <c r="F899" s="549" t="s">
        <v>1212</v>
      </c>
      <c r="G899" s="549">
        <v>452</v>
      </c>
      <c r="H899" s="549" t="s">
        <v>509</v>
      </c>
      <c r="I899" s="549" t="s">
        <v>976</v>
      </c>
      <c r="J899" s="549" t="s">
        <v>976</v>
      </c>
      <c r="K899" s="549" t="s">
        <v>976</v>
      </c>
      <c r="L899" s="549">
        <v>2180902.88</v>
      </c>
      <c r="M899" s="549">
        <v>164658.17000000001</v>
      </c>
      <c r="N899" s="549">
        <v>48197.95</v>
      </c>
      <c r="O899" s="549">
        <v>6745.6</v>
      </c>
      <c r="P899" s="549">
        <v>1.73</v>
      </c>
      <c r="Q899" s="549">
        <v>3799.11</v>
      </c>
    </row>
    <row r="900" spans="1:17" x14ac:dyDescent="0.25">
      <c r="A900" s="549" t="s">
        <v>504</v>
      </c>
      <c r="B900" s="549" t="s">
        <v>996</v>
      </c>
      <c r="C900" s="549" t="s">
        <v>509</v>
      </c>
      <c r="D900" s="549" t="s">
        <v>656</v>
      </c>
      <c r="E900" s="549" t="s">
        <v>977</v>
      </c>
      <c r="F900" s="549" t="s">
        <v>1212</v>
      </c>
      <c r="G900" s="549">
        <v>472</v>
      </c>
      <c r="H900" s="549" t="s">
        <v>509</v>
      </c>
      <c r="I900" s="549" t="s">
        <v>976</v>
      </c>
      <c r="J900" s="549" t="s">
        <v>976</v>
      </c>
      <c r="K900" s="549" t="s">
        <v>976</v>
      </c>
      <c r="L900" s="549">
        <v>2180902.88</v>
      </c>
      <c r="M900" s="549">
        <v>164658.17000000001</v>
      </c>
      <c r="N900" s="549">
        <v>48197.95</v>
      </c>
      <c r="O900" s="549">
        <v>6745.6</v>
      </c>
      <c r="P900" s="549">
        <v>1.73</v>
      </c>
      <c r="Q900" s="549">
        <v>3799.11</v>
      </c>
    </row>
    <row r="901" spans="1:17" x14ac:dyDescent="0.25">
      <c r="A901" s="549" t="s">
        <v>504</v>
      </c>
      <c r="B901" s="549" t="s">
        <v>996</v>
      </c>
      <c r="C901" s="549" t="s">
        <v>785</v>
      </c>
      <c r="D901" s="549" t="s">
        <v>786</v>
      </c>
      <c r="E901" s="549" t="s">
        <v>977</v>
      </c>
      <c r="F901" s="549" t="s">
        <v>1212</v>
      </c>
      <c r="G901" s="549">
        <v>62</v>
      </c>
      <c r="H901" s="549" t="s">
        <v>785</v>
      </c>
      <c r="I901" s="549" t="s">
        <v>976</v>
      </c>
      <c r="J901" s="549" t="s">
        <v>976</v>
      </c>
      <c r="K901" s="549" t="s">
        <v>976</v>
      </c>
      <c r="L901" s="549">
        <v>344086.71</v>
      </c>
      <c r="M901" s="549">
        <v>25978.55</v>
      </c>
      <c r="N901" s="549">
        <v>7604.32</v>
      </c>
      <c r="O901" s="549">
        <v>1984</v>
      </c>
      <c r="P901" s="549">
        <v>5.15</v>
      </c>
      <c r="Q901" s="549">
        <v>1831.69</v>
      </c>
    </row>
    <row r="902" spans="1:17" x14ac:dyDescent="0.25">
      <c r="A902" s="549" t="s">
        <v>504</v>
      </c>
      <c r="B902" s="549" t="s">
        <v>996</v>
      </c>
      <c r="C902" s="549" t="s">
        <v>785</v>
      </c>
      <c r="D902" s="549" t="s">
        <v>786</v>
      </c>
      <c r="E902" s="549" t="s">
        <v>977</v>
      </c>
      <c r="F902" s="549" t="s">
        <v>1212</v>
      </c>
      <c r="G902" s="549">
        <v>92</v>
      </c>
      <c r="H902" s="549" t="s">
        <v>785</v>
      </c>
      <c r="I902" s="549" t="s">
        <v>976</v>
      </c>
      <c r="J902" s="549" t="s">
        <v>976</v>
      </c>
      <c r="K902" s="549" t="s">
        <v>976</v>
      </c>
      <c r="L902" s="549">
        <v>344086.71</v>
      </c>
      <c r="M902" s="549">
        <v>25978.55</v>
      </c>
      <c r="N902" s="549">
        <v>7604.32</v>
      </c>
      <c r="O902" s="549">
        <v>1984</v>
      </c>
      <c r="P902" s="549">
        <v>5.15</v>
      </c>
      <c r="Q902" s="549">
        <v>1831.69</v>
      </c>
    </row>
    <row r="903" spans="1:17" x14ac:dyDescent="0.25">
      <c r="A903" s="549" t="s">
        <v>504</v>
      </c>
      <c r="B903" s="549" t="s">
        <v>996</v>
      </c>
      <c r="C903" s="549" t="s">
        <v>785</v>
      </c>
      <c r="D903" s="549" t="s">
        <v>786</v>
      </c>
      <c r="E903" s="549" t="s">
        <v>977</v>
      </c>
      <c r="F903" s="549" t="s">
        <v>1212</v>
      </c>
      <c r="G903" s="549">
        <v>1052</v>
      </c>
      <c r="H903" s="549" t="s">
        <v>785</v>
      </c>
      <c r="I903" s="549" t="s">
        <v>976</v>
      </c>
      <c r="J903" s="549" t="s">
        <v>976</v>
      </c>
      <c r="K903" s="549" t="s">
        <v>976</v>
      </c>
      <c r="L903" s="549">
        <v>134767.66</v>
      </c>
      <c r="M903" s="549">
        <v>10174.959999999999</v>
      </c>
      <c r="N903" s="549">
        <v>2978.37</v>
      </c>
      <c r="O903" s="549">
        <v>1984</v>
      </c>
      <c r="P903" s="549">
        <v>5.15</v>
      </c>
      <c r="Q903" s="549">
        <v>779.57</v>
      </c>
    </row>
    <row r="904" spans="1:17" x14ac:dyDescent="0.25">
      <c r="A904" s="549" t="s">
        <v>504</v>
      </c>
      <c r="B904" s="549" t="s">
        <v>996</v>
      </c>
      <c r="C904" s="549" t="s">
        <v>785</v>
      </c>
      <c r="D904" s="549" t="s">
        <v>786</v>
      </c>
      <c r="E904" s="549" t="s">
        <v>977</v>
      </c>
      <c r="F904" s="549" t="s">
        <v>1212</v>
      </c>
      <c r="G904" s="549">
        <v>1057</v>
      </c>
      <c r="H904" s="549" t="s">
        <v>785</v>
      </c>
      <c r="I904" s="549" t="s">
        <v>976</v>
      </c>
      <c r="J904" s="549" t="s">
        <v>976</v>
      </c>
      <c r="K904" s="549" t="s">
        <v>976</v>
      </c>
      <c r="L904" s="549">
        <v>41214.54</v>
      </c>
      <c r="M904" s="549">
        <v>3111.7</v>
      </c>
      <c r="N904" s="549">
        <v>910.84</v>
      </c>
      <c r="O904" s="549">
        <v>992</v>
      </c>
      <c r="P904" s="549">
        <v>5.15</v>
      </c>
      <c r="Q904" s="549">
        <v>258.25</v>
      </c>
    </row>
    <row r="905" spans="1:17" x14ac:dyDescent="0.25">
      <c r="A905" s="549" t="s">
        <v>504</v>
      </c>
      <c r="B905" s="549" t="s">
        <v>996</v>
      </c>
      <c r="C905" s="549" t="s">
        <v>785</v>
      </c>
      <c r="D905" s="549" t="s">
        <v>786</v>
      </c>
      <c r="E905" s="549" t="s">
        <v>977</v>
      </c>
      <c r="F905" s="549" t="s">
        <v>1212</v>
      </c>
      <c r="G905" s="549">
        <v>1062</v>
      </c>
      <c r="H905" s="549" t="s">
        <v>785</v>
      </c>
      <c r="I905" s="549" t="s">
        <v>976</v>
      </c>
      <c r="J905" s="549" t="s">
        <v>976</v>
      </c>
      <c r="K905" s="549" t="s">
        <v>976</v>
      </c>
      <c r="L905" s="549">
        <v>47369.52</v>
      </c>
      <c r="M905" s="549">
        <v>3576.4</v>
      </c>
      <c r="N905" s="549">
        <v>1046.8699999999999</v>
      </c>
      <c r="O905" s="549">
        <v>892.8</v>
      </c>
      <c r="P905" s="549">
        <v>100</v>
      </c>
      <c r="Q905" s="549">
        <v>5516.07</v>
      </c>
    </row>
    <row r="906" spans="1:17" x14ac:dyDescent="0.25">
      <c r="A906" s="549" t="s">
        <v>504</v>
      </c>
      <c r="B906" s="549" t="s">
        <v>996</v>
      </c>
      <c r="C906" s="549" t="s">
        <v>785</v>
      </c>
      <c r="D906" s="549" t="s">
        <v>786</v>
      </c>
      <c r="E906" s="549" t="s">
        <v>977</v>
      </c>
      <c r="F906" s="549" t="s">
        <v>1212</v>
      </c>
      <c r="G906" s="549">
        <v>1072</v>
      </c>
      <c r="H906" s="549" t="s">
        <v>785</v>
      </c>
      <c r="I906" s="549" t="s">
        <v>976</v>
      </c>
      <c r="J906" s="549" t="s">
        <v>976</v>
      </c>
      <c r="K906" s="549" t="s">
        <v>976</v>
      </c>
      <c r="L906" s="549">
        <v>47369.52</v>
      </c>
      <c r="M906" s="549">
        <v>3576.4</v>
      </c>
      <c r="N906" s="549">
        <v>1046.8699999999999</v>
      </c>
      <c r="O906" s="549">
        <v>892.8</v>
      </c>
      <c r="P906" s="549">
        <v>100</v>
      </c>
      <c r="Q906" s="549">
        <v>5516.07</v>
      </c>
    </row>
    <row r="907" spans="1:17" x14ac:dyDescent="0.25">
      <c r="A907" s="549" t="s">
        <v>504</v>
      </c>
      <c r="B907" s="549" t="s">
        <v>996</v>
      </c>
      <c r="C907" s="549" t="s">
        <v>785</v>
      </c>
      <c r="D907" s="549" t="s">
        <v>786</v>
      </c>
      <c r="E907" s="549" t="s">
        <v>977</v>
      </c>
      <c r="F907" s="549" t="s">
        <v>1212</v>
      </c>
      <c r="G907" s="549">
        <v>1082</v>
      </c>
      <c r="H907" s="549" t="s">
        <v>785</v>
      </c>
      <c r="I907" s="549" t="s">
        <v>976</v>
      </c>
      <c r="J907" s="549" t="s">
        <v>976</v>
      </c>
      <c r="K907" s="549" t="s">
        <v>976</v>
      </c>
      <c r="L907" s="549">
        <v>134767.66</v>
      </c>
      <c r="M907" s="549">
        <v>10174.959999999999</v>
      </c>
      <c r="N907" s="549">
        <v>2978.37</v>
      </c>
      <c r="O907" s="549">
        <v>1984</v>
      </c>
      <c r="P907" s="549">
        <v>5.15</v>
      </c>
      <c r="Q907" s="549">
        <v>779.57</v>
      </c>
    </row>
    <row r="908" spans="1:17" x14ac:dyDescent="0.25">
      <c r="A908" s="549" t="s">
        <v>504</v>
      </c>
      <c r="B908" s="549" t="s">
        <v>996</v>
      </c>
      <c r="C908" s="549" t="s">
        <v>785</v>
      </c>
      <c r="D908" s="549" t="s">
        <v>786</v>
      </c>
      <c r="E908" s="549" t="s">
        <v>977</v>
      </c>
      <c r="F908" s="549" t="s">
        <v>1212</v>
      </c>
      <c r="G908" s="549">
        <v>1087</v>
      </c>
      <c r="H908" s="549" t="s">
        <v>785</v>
      </c>
      <c r="I908" s="549" t="s">
        <v>976</v>
      </c>
      <c r="J908" s="549" t="s">
        <v>976</v>
      </c>
      <c r="K908" s="549" t="s">
        <v>976</v>
      </c>
      <c r="L908" s="549">
        <v>41214.54</v>
      </c>
      <c r="M908" s="549">
        <v>3111.7</v>
      </c>
      <c r="N908" s="549">
        <v>910.84</v>
      </c>
      <c r="O908" s="549">
        <v>992</v>
      </c>
      <c r="P908" s="549">
        <v>5.15</v>
      </c>
      <c r="Q908" s="549">
        <v>258.25</v>
      </c>
    </row>
    <row r="909" spans="1:17" x14ac:dyDescent="0.25">
      <c r="A909" s="549" t="s">
        <v>504</v>
      </c>
      <c r="B909" s="549" t="s">
        <v>996</v>
      </c>
      <c r="C909" s="549" t="s">
        <v>785</v>
      </c>
      <c r="D909" s="549" t="s">
        <v>786</v>
      </c>
      <c r="E909" s="549" t="s">
        <v>977</v>
      </c>
      <c r="F909" s="549" t="s">
        <v>1212</v>
      </c>
      <c r="G909" s="549" t="s">
        <v>1269</v>
      </c>
      <c r="H909" s="549" t="s">
        <v>785</v>
      </c>
      <c r="I909" s="549" t="s">
        <v>976</v>
      </c>
      <c r="J909" s="549" t="s">
        <v>976</v>
      </c>
      <c r="K909" s="549" t="s">
        <v>976</v>
      </c>
      <c r="L909" s="549">
        <v>60955.97</v>
      </c>
      <c r="M909" s="549">
        <v>4602.18</v>
      </c>
      <c r="N909" s="549">
        <v>1347.13</v>
      </c>
      <c r="O909" s="549">
        <v>1984</v>
      </c>
      <c r="P909" s="549">
        <v>5.15</v>
      </c>
      <c r="Q909" s="549">
        <v>408.57</v>
      </c>
    </row>
    <row r="910" spans="1:17" x14ac:dyDescent="0.25">
      <c r="A910" s="549" t="s">
        <v>504</v>
      </c>
      <c r="B910" s="549" t="s">
        <v>996</v>
      </c>
      <c r="C910" s="549" t="s">
        <v>503</v>
      </c>
      <c r="D910" s="549" t="s">
        <v>813</v>
      </c>
      <c r="E910" s="549" t="s">
        <v>973</v>
      </c>
      <c r="F910" s="549" t="s">
        <v>1212</v>
      </c>
      <c r="G910" s="549">
        <v>238</v>
      </c>
      <c r="H910" s="549" t="s">
        <v>503</v>
      </c>
      <c r="I910" s="549" t="s">
        <v>976</v>
      </c>
      <c r="J910" s="549" t="s">
        <v>976</v>
      </c>
      <c r="K910" s="549" t="s">
        <v>976</v>
      </c>
      <c r="L910" s="549">
        <v>902249.85</v>
      </c>
      <c r="M910" s="549">
        <v>68119.86</v>
      </c>
      <c r="N910" s="549">
        <v>51789.14</v>
      </c>
      <c r="O910" s="549">
        <v>2976</v>
      </c>
      <c r="P910" s="549">
        <v>94.81</v>
      </c>
      <c r="Q910" s="549">
        <v>116507.27</v>
      </c>
    </row>
    <row r="911" spans="1:17" x14ac:dyDescent="0.25">
      <c r="A911" s="549" t="s">
        <v>504</v>
      </c>
      <c r="B911" s="549" t="s">
        <v>996</v>
      </c>
      <c r="C911" s="549" t="s">
        <v>503</v>
      </c>
      <c r="D911" s="549" t="s">
        <v>813</v>
      </c>
      <c r="E911" s="549" t="s">
        <v>973</v>
      </c>
      <c r="F911" s="549" t="s">
        <v>1212</v>
      </c>
      <c r="G911" s="549">
        <v>272</v>
      </c>
      <c r="H911" s="549" t="s">
        <v>503</v>
      </c>
      <c r="I911" s="549" t="s">
        <v>976</v>
      </c>
      <c r="J911" s="549" t="s">
        <v>976</v>
      </c>
      <c r="K911" s="549" t="s">
        <v>976</v>
      </c>
      <c r="L911" s="549">
        <v>1053162.69</v>
      </c>
      <c r="M911" s="549">
        <v>79513.78</v>
      </c>
      <c r="N911" s="549">
        <v>60451.54</v>
      </c>
      <c r="O911" s="549">
        <v>4960</v>
      </c>
      <c r="P911" s="549">
        <v>94.81</v>
      </c>
      <c r="Q911" s="549">
        <v>137403.70000000001</v>
      </c>
    </row>
    <row r="912" spans="1:17" x14ac:dyDescent="0.25">
      <c r="A912" s="549" t="s">
        <v>504</v>
      </c>
      <c r="B912" s="549" t="s">
        <v>996</v>
      </c>
      <c r="C912" s="549" t="s">
        <v>503</v>
      </c>
      <c r="D912" s="549" t="s">
        <v>813</v>
      </c>
      <c r="E912" s="549" t="s">
        <v>973</v>
      </c>
      <c r="F912" s="549" t="s">
        <v>1212</v>
      </c>
      <c r="G912" s="549">
        <v>302</v>
      </c>
      <c r="H912" s="549" t="s">
        <v>503</v>
      </c>
      <c r="I912" s="549" t="s">
        <v>976</v>
      </c>
      <c r="J912" s="549" t="s">
        <v>976</v>
      </c>
      <c r="K912" s="549" t="s">
        <v>976</v>
      </c>
      <c r="L912" s="549">
        <v>1053162.69</v>
      </c>
      <c r="M912" s="549">
        <v>79513.78</v>
      </c>
      <c r="N912" s="549">
        <v>60451.54</v>
      </c>
      <c r="O912" s="549">
        <v>4960</v>
      </c>
      <c r="P912" s="549">
        <v>94.81</v>
      </c>
      <c r="Q912" s="549">
        <v>137403.70000000001</v>
      </c>
    </row>
    <row r="913" spans="1:17" x14ac:dyDescent="0.25">
      <c r="A913" s="549" t="s">
        <v>504</v>
      </c>
      <c r="B913" s="549" t="s">
        <v>996</v>
      </c>
      <c r="C913" s="549" t="s">
        <v>503</v>
      </c>
      <c r="D913" s="549" t="s">
        <v>813</v>
      </c>
      <c r="E913" s="549" t="s">
        <v>973</v>
      </c>
      <c r="F913" s="549" t="s">
        <v>1212</v>
      </c>
      <c r="G913" s="549">
        <v>317</v>
      </c>
      <c r="H913" s="549" t="s">
        <v>503</v>
      </c>
      <c r="I913" s="549" t="s">
        <v>976</v>
      </c>
      <c r="J913" s="549" t="s">
        <v>976</v>
      </c>
      <c r="K913" s="549" t="s">
        <v>976</v>
      </c>
      <c r="L913" s="549">
        <v>72676.53</v>
      </c>
      <c r="M913" s="549">
        <v>5487.08</v>
      </c>
      <c r="N913" s="549">
        <v>4171.63</v>
      </c>
      <c r="O913" s="549">
        <v>992</v>
      </c>
      <c r="P913" s="549">
        <v>94.81</v>
      </c>
      <c r="Q913" s="549">
        <v>10097.94</v>
      </c>
    </row>
    <row r="914" spans="1:17" x14ac:dyDescent="0.25">
      <c r="A914" s="549" t="s">
        <v>504</v>
      </c>
      <c r="B914" s="549" t="s">
        <v>996</v>
      </c>
      <c r="C914" s="549" t="s">
        <v>503</v>
      </c>
      <c r="D914" s="549" t="s">
        <v>813</v>
      </c>
      <c r="E914" s="549" t="s">
        <v>973</v>
      </c>
      <c r="F914" s="549" t="s">
        <v>1212</v>
      </c>
      <c r="G914" s="549">
        <v>337</v>
      </c>
      <c r="H914" s="549" t="s">
        <v>503</v>
      </c>
      <c r="I914" s="549" t="s">
        <v>976</v>
      </c>
      <c r="J914" s="549" t="s">
        <v>976</v>
      </c>
      <c r="K914" s="549" t="s">
        <v>976</v>
      </c>
      <c r="L914" s="549">
        <v>72676.53</v>
      </c>
      <c r="M914" s="549">
        <v>5487.08</v>
      </c>
      <c r="N914" s="549">
        <v>4171.63</v>
      </c>
      <c r="O914" s="549">
        <v>992</v>
      </c>
      <c r="P914" s="549">
        <v>94.81</v>
      </c>
      <c r="Q914" s="549">
        <v>10097.94</v>
      </c>
    </row>
    <row r="915" spans="1:17" x14ac:dyDescent="0.25">
      <c r="A915" s="549" t="s">
        <v>504</v>
      </c>
      <c r="B915" s="549" t="s">
        <v>996</v>
      </c>
      <c r="C915" s="549" t="s">
        <v>503</v>
      </c>
      <c r="D915" s="549" t="s">
        <v>813</v>
      </c>
      <c r="E915" s="549" t="s">
        <v>973</v>
      </c>
      <c r="F915" s="549" t="s">
        <v>1212</v>
      </c>
      <c r="G915" s="549">
        <v>342</v>
      </c>
      <c r="H915" s="549" t="s">
        <v>503</v>
      </c>
      <c r="I915" s="549" t="s">
        <v>976</v>
      </c>
      <c r="J915" s="549" t="s">
        <v>976</v>
      </c>
      <c r="K915" s="549" t="s">
        <v>976</v>
      </c>
      <c r="L915" s="549">
        <v>319720.27</v>
      </c>
      <c r="M915" s="549">
        <v>24138.880000000001</v>
      </c>
      <c r="N915" s="549">
        <v>18351.939999999999</v>
      </c>
      <c r="O915" s="549">
        <v>1785.6</v>
      </c>
      <c r="P915" s="549">
        <v>94.81</v>
      </c>
      <c r="Q915" s="549">
        <v>41978.47</v>
      </c>
    </row>
    <row r="916" spans="1:17" x14ac:dyDescent="0.25">
      <c r="A916" s="549" t="s">
        <v>504</v>
      </c>
      <c r="B916" s="549" t="s">
        <v>996</v>
      </c>
      <c r="C916" s="549" t="s">
        <v>503</v>
      </c>
      <c r="D916" s="549" t="s">
        <v>813</v>
      </c>
      <c r="E916" s="549" t="s">
        <v>973</v>
      </c>
      <c r="F916" s="549" t="s">
        <v>1212</v>
      </c>
      <c r="G916" s="549">
        <v>352</v>
      </c>
      <c r="H916" s="549" t="s">
        <v>503</v>
      </c>
      <c r="I916" s="549" t="s">
        <v>976</v>
      </c>
      <c r="J916" s="549" t="s">
        <v>976</v>
      </c>
      <c r="K916" s="549" t="s">
        <v>976</v>
      </c>
      <c r="L916" s="549">
        <v>319720.27</v>
      </c>
      <c r="M916" s="549">
        <v>24138.880000000001</v>
      </c>
      <c r="N916" s="549">
        <v>18351.939999999999</v>
      </c>
      <c r="O916" s="549">
        <v>1785.6</v>
      </c>
      <c r="P916" s="549">
        <v>94.81</v>
      </c>
      <c r="Q916" s="549">
        <v>41978.47</v>
      </c>
    </row>
    <row r="917" spans="1:17" x14ac:dyDescent="0.25">
      <c r="A917" s="549" t="s">
        <v>504</v>
      </c>
      <c r="B917" s="549" t="s">
        <v>996</v>
      </c>
      <c r="C917" s="549" t="s">
        <v>503</v>
      </c>
      <c r="D917" s="549" t="s">
        <v>813</v>
      </c>
      <c r="E917" s="549" t="s">
        <v>973</v>
      </c>
      <c r="F917" s="549" t="s">
        <v>1212</v>
      </c>
      <c r="G917" s="549">
        <v>372</v>
      </c>
      <c r="H917" s="549" t="s">
        <v>503</v>
      </c>
      <c r="I917" s="549" t="s">
        <v>976</v>
      </c>
      <c r="J917" s="549" t="s">
        <v>976</v>
      </c>
      <c r="K917" s="549" t="s">
        <v>976</v>
      </c>
      <c r="L917" s="549">
        <v>319720.27</v>
      </c>
      <c r="M917" s="549">
        <v>24138.880000000001</v>
      </c>
      <c r="N917" s="549">
        <v>18351.939999999999</v>
      </c>
      <c r="O917" s="549">
        <v>1785.6</v>
      </c>
      <c r="P917" s="549">
        <v>94.81</v>
      </c>
      <c r="Q917" s="549">
        <v>41978.47</v>
      </c>
    </row>
    <row r="918" spans="1:17" x14ac:dyDescent="0.25">
      <c r="A918" s="549" t="s">
        <v>504</v>
      </c>
      <c r="B918" s="549" t="s">
        <v>996</v>
      </c>
      <c r="C918" s="549" t="s">
        <v>503</v>
      </c>
      <c r="D918" s="549" t="s">
        <v>813</v>
      </c>
      <c r="E918" s="549" t="s">
        <v>973</v>
      </c>
      <c r="F918" s="549" t="s">
        <v>1212</v>
      </c>
      <c r="G918" s="549">
        <v>142</v>
      </c>
      <c r="H918" s="549" t="s">
        <v>507</v>
      </c>
      <c r="I918" s="549" t="s">
        <v>976</v>
      </c>
      <c r="J918" s="549" t="s">
        <v>976</v>
      </c>
      <c r="K918" s="549" t="s">
        <v>976</v>
      </c>
      <c r="L918" s="549">
        <v>844794.19</v>
      </c>
      <c r="M918" s="549">
        <v>63781.96</v>
      </c>
      <c r="N918" s="549">
        <v>48491.19</v>
      </c>
      <c r="O918" s="549">
        <v>3968</v>
      </c>
      <c r="P918" s="549">
        <v>16.38</v>
      </c>
      <c r="Q918" s="549">
        <v>19040.3</v>
      </c>
    </row>
    <row r="919" spans="1:17" x14ac:dyDescent="0.25">
      <c r="A919" s="549" t="s">
        <v>504</v>
      </c>
      <c r="B919" s="549" t="s">
        <v>996</v>
      </c>
      <c r="C919" s="549" t="s">
        <v>503</v>
      </c>
      <c r="D919" s="549" t="s">
        <v>813</v>
      </c>
      <c r="E919" s="549" t="s">
        <v>973</v>
      </c>
      <c r="F919" s="549" t="s">
        <v>1212</v>
      </c>
      <c r="G919" s="549">
        <v>192</v>
      </c>
      <c r="H919" s="549" t="s">
        <v>507</v>
      </c>
      <c r="I919" s="549" t="s">
        <v>976</v>
      </c>
      <c r="J919" s="549" t="s">
        <v>976</v>
      </c>
      <c r="K919" s="549" t="s">
        <v>976</v>
      </c>
      <c r="L919" s="549">
        <v>844794.19</v>
      </c>
      <c r="M919" s="549">
        <v>63781.96</v>
      </c>
      <c r="N919" s="549">
        <v>48491.19</v>
      </c>
      <c r="O919" s="549">
        <v>3968</v>
      </c>
      <c r="P919" s="549">
        <v>16.38</v>
      </c>
      <c r="Q919" s="549">
        <v>19040.3</v>
      </c>
    </row>
    <row r="920" spans="1:17" x14ac:dyDescent="0.25">
      <c r="A920" s="549" t="s">
        <v>504</v>
      </c>
      <c r="B920" s="549" t="s">
        <v>996</v>
      </c>
      <c r="C920" s="549" t="s">
        <v>503</v>
      </c>
      <c r="D920" s="549" t="s">
        <v>813</v>
      </c>
      <c r="E920" s="549" t="s">
        <v>977</v>
      </c>
      <c r="F920" s="549" t="s">
        <v>1212</v>
      </c>
      <c r="G920" s="549">
        <v>238</v>
      </c>
      <c r="H920" s="549" t="s">
        <v>503</v>
      </c>
      <c r="I920" s="549" t="s">
        <v>976</v>
      </c>
      <c r="J920" s="549" t="s">
        <v>976</v>
      </c>
      <c r="K920" s="549" t="s">
        <v>976</v>
      </c>
      <c r="L920" s="549">
        <v>902249.85</v>
      </c>
      <c r="M920" s="549">
        <v>68119.86</v>
      </c>
      <c r="N920" s="549">
        <v>19939.72</v>
      </c>
      <c r="O920" s="549">
        <v>2976</v>
      </c>
      <c r="P920" s="549">
        <v>5.19</v>
      </c>
      <c r="Q920" s="549">
        <v>4724.75</v>
      </c>
    </row>
    <row r="921" spans="1:17" x14ac:dyDescent="0.25">
      <c r="A921" s="549" t="s">
        <v>504</v>
      </c>
      <c r="B921" s="549" t="s">
        <v>996</v>
      </c>
      <c r="C921" s="549" t="s">
        <v>503</v>
      </c>
      <c r="D921" s="549" t="s">
        <v>813</v>
      </c>
      <c r="E921" s="549" t="s">
        <v>977</v>
      </c>
      <c r="F921" s="549" t="s">
        <v>1212</v>
      </c>
      <c r="G921" s="549">
        <v>272</v>
      </c>
      <c r="H921" s="549" t="s">
        <v>503</v>
      </c>
      <c r="I921" s="549" t="s">
        <v>976</v>
      </c>
      <c r="J921" s="549" t="s">
        <v>976</v>
      </c>
      <c r="K921" s="549" t="s">
        <v>976</v>
      </c>
      <c r="L921" s="549">
        <v>1053162.69</v>
      </c>
      <c r="M921" s="549">
        <v>79513.78</v>
      </c>
      <c r="N921" s="549">
        <v>23274.9</v>
      </c>
      <c r="O921" s="549">
        <v>4960</v>
      </c>
      <c r="P921" s="549">
        <v>5.19</v>
      </c>
      <c r="Q921" s="549">
        <v>5592.16</v>
      </c>
    </row>
    <row r="922" spans="1:17" x14ac:dyDescent="0.25">
      <c r="A922" s="549" t="s">
        <v>504</v>
      </c>
      <c r="B922" s="549" t="s">
        <v>996</v>
      </c>
      <c r="C922" s="549" t="s">
        <v>503</v>
      </c>
      <c r="D922" s="549" t="s">
        <v>813</v>
      </c>
      <c r="E922" s="549" t="s">
        <v>977</v>
      </c>
      <c r="F922" s="549" t="s">
        <v>1212</v>
      </c>
      <c r="G922" s="549">
        <v>302</v>
      </c>
      <c r="H922" s="549" t="s">
        <v>503</v>
      </c>
      <c r="I922" s="549" t="s">
        <v>976</v>
      </c>
      <c r="J922" s="549" t="s">
        <v>976</v>
      </c>
      <c r="K922" s="549" t="s">
        <v>976</v>
      </c>
      <c r="L922" s="549">
        <v>1053162.69</v>
      </c>
      <c r="M922" s="549">
        <v>79513.78</v>
      </c>
      <c r="N922" s="549">
        <v>23274.9</v>
      </c>
      <c r="O922" s="549">
        <v>4960</v>
      </c>
      <c r="P922" s="549">
        <v>5.19</v>
      </c>
      <c r="Q922" s="549">
        <v>5592.16</v>
      </c>
    </row>
    <row r="923" spans="1:17" x14ac:dyDescent="0.25">
      <c r="A923" s="549" t="s">
        <v>504</v>
      </c>
      <c r="B923" s="549" t="s">
        <v>996</v>
      </c>
      <c r="C923" s="549" t="s">
        <v>503</v>
      </c>
      <c r="D923" s="549" t="s">
        <v>813</v>
      </c>
      <c r="E923" s="549" t="s">
        <v>977</v>
      </c>
      <c r="F923" s="549" t="s">
        <v>1212</v>
      </c>
      <c r="G923" s="549">
        <v>317</v>
      </c>
      <c r="H923" s="549" t="s">
        <v>503</v>
      </c>
      <c r="I923" s="549" t="s">
        <v>976</v>
      </c>
      <c r="J923" s="549" t="s">
        <v>976</v>
      </c>
      <c r="K923" s="549" t="s">
        <v>976</v>
      </c>
      <c r="L923" s="549">
        <v>72676.53</v>
      </c>
      <c r="M923" s="549">
        <v>5487.08</v>
      </c>
      <c r="N923" s="549">
        <v>1606.15</v>
      </c>
      <c r="O923" s="549">
        <v>992</v>
      </c>
      <c r="P923" s="549">
        <v>5.19</v>
      </c>
      <c r="Q923" s="549">
        <v>419.62</v>
      </c>
    </row>
    <row r="924" spans="1:17" x14ac:dyDescent="0.25">
      <c r="A924" s="549" t="s">
        <v>504</v>
      </c>
      <c r="B924" s="549" t="s">
        <v>996</v>
      </c>
      <c r="C924" s="549" t="s">
        <v>503</v>
      </c>
      <c r="D924" s="549" t="s">
        <v>813</v>
      </c>
      <c r="E924" s="549" t="s">
        <v>977</v>
      </c>
      <c r="F924" s="549" t="s">
        <v>1212</v>
      </c>
      <c r="G924" s="549">
        <v>337</v>
      </c>
      <c r="H924" s="549" t="s">
        <v>503</v>
      </c>
      <c r="I924" s="549" t="s">
        <v>976</v>
      </c>
      <c r="J924" s="549" t="s">
        <v>976</v>
      </c>
      <c r="K924" s="549" t="s">
        <v>976</v>
      </c>
      <c r="L924" s="549">
        <v>72676.53</v>
      </c>
      <c r="M924" s="549">
        <v>5487.08</v>
      </c>
      <c r="N924" s="549">
        <v>1606.15</v>
      </c>
      <c r="O924" s="549">
        <v>992</v>
      </c>
      <c r="P924" s="549">
        <v>5.19</v>
      </c>
      <c r="Q924" s="549">
        <v>419.62</v>
      </c>
    </row>
    <row r="925" spans="1:17" x14ac:dyDescent="0.25">
      <c r="A925" s="549" t="s">
        <v>504</v>
      </c>
      <c r="B925" s="549" t="s">
        <v>996</v>
      </c>
      <c r="C925" s="549" t="s">
        <v>503</v>
      </c>
      <c r="D925" s="549" t="s">
        <v>813</v>
      </c>
      <c r="E925" s="549" t="s">
        <v>977</v>
      </c>
      <c r="F925" s="549" t="s">
        <v>1212</v>
      </c>
      <c r="G925" s="549">
        <v>342</v>
      </c>
      <c r="H925" s="549" t="s">
        <v>503</v>
      </c>
      <c r="I925" s="549" t="s">
        <v>976</v>
      </c>
      <c r="J925" s="549" t="s">
        <v>976</v>
      </c>
      <c r="K925" s="549" t="s">
        <v>976</v>
      </c>
      <c r="L925" s="549">
        <v>319720.27</v>
      </c>
      <c r="M925" s="549">
        <v>24138.880000000001</v>
      </c>
      <c r="N925" s="549">
        <v>7065.82</v>
      </c>
      <c r="O925" s="549">
        <v>1785.6</v>
      </c>
      <c r="P925" s="549">
        <v>5.19</v>
      </c>
      <c r="Q925" s="549">
        <v>1712.2</v>
      </c>
    </row>
    <row r="926" spans="1:17" x14ac:dyDescent="0.25">
      <c r="A926" s="549" t="s">
        <v>504</v>
      </c>
      <c r="B926" s="549" t="s">
        <v>996</v>
      </c>
      <c r="C926" s="549" t="s">
        <v>503</v>
      </c>
      <c r="D926" s="549" t="s">
        <v>813</v>
      </c>
      <c r="E926" s="549" t="s">
        <v>977</v>
      </c>
      <c r="F926" s="549" t="s">
        <v>1212</v>
      </c>
      <c r="G926" s="549">
        <v>352</v>
      </c>
      <c r="H926" s="549" t="s">
        <v>503</v>
      </c>
      <c r="I926" s="549" t="s">
        <v>976</v>
      </c>
      <c r="J926" s="549" t="s">
        <v>976</v>
      </c>
      <c r="K926" s="549" t="s">
        <v>976</v>
      </c>
      <c r="L926" s="549">
        <v>319720.27</v>
      </c>
      <c r="M926" s="549">
        <v>24138.880000000001</v>
      </c>
      <c r="N926" s="549">
        <v>7065.82</v>
      </c>
      <c r="O926" s="549">
        <v>1785.6</v>
      </c>
      <c r="P926" s="549">
        <v>5.19</v>
      </c>
      <c r="Q926" s="549">
        <v>1712.2</v>
      </c>
    </row>
    <row r="927" spans="1:17" x14ac:dyDescent="0.25">
      <c r="A927" s="549" t="s">
        <v>504</v>
      </c>
      <c r="B927" s="549" t="s">
        <v>996</v>
      </c>
      <c r="C927" s="549" t="s">
        <v>503</v>
      </c>
      <c r="D927" s="549" t="s">
        <v>813</v>
      </c>
      <c r="E927" s="549" t="s">
        <v>977</v>
      </c>
      <c r="F927" s="549" t="s">
        <v>1212</v>
      </c>
      <c r="G927" s="549">
        <v>372</v>
      </c>
      <c r="H927" s="549" t="s">
        <v>503</v>
      </c>
      <c r="I927" s="549" t="s">
        <v>976</v>
      </c>
      <c r="J927" s="549" t="s">
        <v>976</v>
      </c>
      <c r="K927" s="549" t="s">
        <v>976</v>
      </c>
      <c r="L927" s="549">
        <v>319720.27</v>
      </c>
      <c r="M927" s="549">
        <v>24138.880000000001</v>
      </c>
      <c r="N927" s="549">
        <v>7065.82</v>
      </c>
      <c r="O927" s="549">
        <v>1785.6</v>
      </c>
      <c r="P927" s="549">
        <v>5.19</v>
      </c>
      <c r="Q927" s="549">
        <v>1712.2</v>
      </c>
    </row>
    <row r="928" spans="1:17" x14ac:dyDescent="0.25">
      <c r="A928" s="549" t="s">
        <v>504</v>
      </c>
      <c r="B928" s="549" t="s">
        <v>996</v>
      </c>
      <c r="C928" s="549" t="s">
        <v>503</v>
      </c>
      <c r="D928" s="549" t="s">
        <v>813</v>
      </c>
      <c r="E928" s="549" t="s">
        <v>977</v>
      </c>
      <c r="F928" s="549" t="s">
        <v>1212</v>
      </c>
      <c r="G928" s="549">
        <v>142</v>
      </c>
      <c r="H928" s="549" t="s">
        <v>507</v>
      </c>
      <c r="I928" s="549" t="s">
        <v>976</v>
      </c>
      <c r="J928" s="549" t="s">
        <v>976</v>
      </c>
      <c r="K928" s="549" t="s">
        <v>976</v>
      </c>
      <c r="L928" s="549">
        <v>844794.19</v>
      </c>
      <c r="M928" s="549">
        <v>63781.96</v>
      </c>
      <c r="N928" s="549">
        <v>18669.95</v>
      </c>
      <c r="O928" s="549">
        <v>3968</v>
      </c>
      <c r="P928" s="549">
        <v>0.9</v>
      </c>
      <c r="Q928" s="549">
        <v>777.78</v>
      </c>
    </row>
    <row r="929" spans="1:17" x14ac:dyDescent="0.25">
      <c r="A929" s="549" t="s">
        <v>504</v>
      </c>
      <c r="B929" s="549" t="s">
        <v>996</v>
      </c>
      <c r="C929" s="549" t="s">
        <v>503</v>
      </c>
      <c r="D929" s="549" t="s">
        <v>813</v>
      </c>
      <c r="E929" s="549" t="s">
        <v>977</v>
      </c>
      <c r="F929" s="549" t="s">
        <v>1212</v>
      </c>
      <c r="G929" s="549">
        <v>192</v>
      </c>
      <c r="H929" s="549" t="s">
        <v>507</v>
      </c>
      <c r="I929" s="549" t="s">
        <v>976</v>
      </c>
      <c r="J929" s="549" t="s">
        <v>976</v>
      </c>
      <c r="K929" s="549" t="s">
        <v>976</v>
      </c>
      <c r="L929" s="549">
        <v>844794.19</v>
      </c>
      <c r="M929" s="549">
        <v>63781.96</v>
      </c>
      <c r="N929" s="549">
        <v>18669.95</v>
      </c>
      <c r="O929" s="549">
        <v>3968</v>
      </c>
      <c r="P929" s="549">
        <v>0.9</v>
      </c>
      <c r="Q929" s="549">
        <v>777.78</v>
      </c>
    </row>
    <row r="930" spans="1:17" x14ac:dyDescent="0.25">
      <c r="A930" s="549" t="s">
        <v>504</v>
      </c>
      <c r="B930" s="549" t="s">
        <v>996</v>
      </c>
      <c r="C930" s="549" t="s">
        <v>833</v>
      </c>
      <c r="D930" s="549" t="s">
        <v>1130</v>
      </c>
      <c r="E930" s="549" t="s">
        <v>973</v>
      </c>
      <c r="F930" s="549" t="s">
        <v>1212</v>
      </c>
      <c r="G930" s="549">
        <v>612</v>
      </c>
      <c r="H930" s="549" t="s">
        <v>833</v>
      </c>
      <c r="I930" s="549" t="s">
        <v>976</v>
      </c>
      <c r="J930" s="549" t="s">
        <v>976</v>
      </c>
      <c r="K930" s="549" t="s">
        <v>976</v>
      </c>
      <c r="L930" s="549">
        <v>129965.1</v>
      </c>
      <c r="M930" s="549">
        <v>9812.3700000000008</v>
      </c>
      <c r="N930" s="549">
        <v>7460</v>
      </c>
      <c r="O930" s="549">
        <v>892.8</v>
      </c>
      <c r="P930" s="549">
        <v>0</v>
      </c>
      <c r="Q930" s="549">
        <v>0</v>
      </c>
    </row>
    <row r="931" spans="1:17" x14ac:dyDescent="0.25">
      <c r="A931" s="549" t="s">
        <v>504</v>
      </c>
      <c r="B931" s="549" t="s">
        <v>996</v>
      </c>
      <c r="C931" s="549" t="s">
        <v>833</v>
      </c>
      <c r="D931" s="549" t="s">
        <v>1130</v>
      </c>
      <c r="E931" s="549" t="s">
        <v>973</v>
      </c>
      <c r="F931" s="549" t="s">
        <v>1212</v>
      </c>
      <c r="G931" s="549">
        <v>622</v>
      </c>
      <c r="H931" s="549" t="s">
        <v>833</v>
      </c>
      <c r="I931" s="549" t="s">
        <v>976</v>
      </c>
      <c r="J931" s="549" t="s">
        <v>976</v>
      </c>
      <c r="K931" s="549" t="s">
        <v>976</v>
      </c>
      <c r="L931" s="549">
        <v>129965.1</v>
      </c>
      <c r="M931" s="549">
        <v>9812.3700000000008</v>
      </c>
      <c r="N931" s="549">
        <v>7460</v>
      </c>
      <c r="O931" s="549">
        <v>892.8</v>
      </c>
      <c r="P931" s="549">
        <v>0</v>
      </c>
      <c r="Q931" s="549">
        <v>0</v>
      </c>
    </row>
    <row r="932" spans="1:17" x14ac:dyDescent="0.25">
      <c r="A932" s="549" t="s">
        <v>504</v>
      </c>
      <c r="B932" s="549" t="s">
        <v>996</v>
      </c>
      <c r="C932" s="549" t="s">
        <v>833</v>
      </c>
      <c r="D932" s="549" t="s">
        <v>1130</v>
      </c>
      <c r="E932" s="549" t="s">
        <v>973</v>
      </c>
      <c r="F932" s="549" t="s">
        <v>1212</v>
      </c>
      <c r="G932" s="549">
        <v>642</v>
      </c>
      <c r="H932" s="549" t="s">
        <v>833</v>
      </c>
      <c r="I932" s="549" t="s">
        <v>976</v>
      </c>
      <c r="J932" s="549" t="s">
        <v>976</v>
      </c>
      <c r="K932" s="549" t="s">
        <v>976</v>
      </c>
      <c r="L932" s="549">
        <v>129965.1</v>
      </c>
      <c r="M932" s="549">
        <v>9812.3700000000008</v>
      </c>
      <c r="N932" s="549">
        <v>7460</v>
      </c>
      <c r="O932" s="549">
        <v>892.8</v>
      </c>
      <c r="P932" s="549">
        <v>0</v>
      </c>
      <c r="Q932" s="549">
        <v>0</v>
      </c>
    </row>
    <row r="933" spans="1:17" x14ac:dyDescent="0.25">
      <c r="A933" s="549" t="s">
        <v>504</v>
      </c>
      <c r="B933" s="549" t="s">
        <v>996</v>
      </c>
      <c r="C933" s="549" t="s">
        <v>833</v>
      </c>
      <c r="D933" s="549" t="s">
        <v>1130</v>
      </c>
      <c r="E933" s="549" t="s">
        <v>973</v>
      </c>
      <c r="F933" s="549" t="s">
        <v>1212</v>
      </c>
      <c r="G933" s="549">
        <v>652</v>
      </c>
      <c r="H933" s="549" t="s">
        <v>833</v>
      </c>
      <c r="I933" s="549" t="s">
        <v>976</v>
      </c>
      <c r="J933" s="549" t="s">
        <v>976</v>
      </c>
      <c r="K933" s="549" t="s">
        <v>976</v>
      </c>
      <c r="L933" s="549">
        <v>129965.1</v>
      </c>
      <c r="M933" s="549">
        <v>9812.3700000000008</v>
      </c>
      <c r="N933" s="549">
        <v>7460</v>
      </c>
      <c r="O933" s="549">
        <v>892.8</v>
      </c>
      <c r="P933" s="549">
        <v>0</v>
      </c>
      <c r="Q933" s="549">
        <v>0</v>
      </c>
    </row>
    <row r="934" spans="1:17" x14ac:dyDescent="0.25">
      <c r="A934" s="549" t="s">
        <v>504</v>
      </c>
      <c r="B934" s="549" t="s">
        <v>996</v>
      </c>
      <c r="C934" s="549" t="s">
        <v>833</v>
      </c>
      <c r="D934" s="549" t="s">
        <v>1130</v>
      </c>
      <c r="E934" s="549" t="s">
        <v>973</v>
      </c>
      <c r="F934" s="549" t="s">
        <v>1212</v>
      </c>
      <c r="G934" s="549">
        <v>662</v>
      </c>
      <c r="H934" s="549" t="s">
        <v>833</v>
      </c>
      <c r="I934" s="549" t="s">
        <v>976</v>
      </c>
      <c r="J934" s="549" t="s">
        <v>976</v>
      </c>
      <c r="K934" s="549" t="s">
        <v>976</v>
      </c>
      <c r="L934" s="549">
        <v>129965.1</v>
      </c>
      <c r="M934" s="549">
        <v>9812.3700000000008</v>
      </c>
      <c r="N934" s="549">
        <v>7460</v>
      </c>
      <c r="O934" s="549">
        <v>892.8</v>
      </c>
      <c r="P934" s="549">
        <v>0</v>
      </c>
      <c r="Q934" s="549">
        <v>0</v>
      </c>
    </row>
    <row r="935" spans="1:17" x14ac:dyDescent="0.25">
      <c r="A935" s="549" t="s">
        <v>504</v>
      </c>
      <c r="B935" s="549" t="s">
        <v>996</v>
      </c>
      <c r="C935" s="549" t="s">
        <v>833</v>
      </c>
      <c r="D935" s="549" t="s">
        <v>1130</v>
      </c>
      <c r="E935" s="549" t="s">
        <v>977</v>
      </c>
      <c r="F935" s="549" t="s">
        <v>1212</v>
      </c>
      <c r="G935" s="549">
        <v>472</v>
      </c>
      <c r="H935" s="549" t="s">
        <v>833</v>
      </c>
      <c r="I935" s="549" t="s">
        <v>976</v>
      </c>
      <c r="J935" s="549" t="s">
        <v>976</v>
      </c>
      <c r="K935" s="549" t="s">
        <v>976</v>
      </c>
      <c r="L935" s="549">
        <v>575289.63</v>
      </c>
      <c r="M935" s="549">
        <v>43434.37</v>
      </c>
      <c r="N935" s="549">
        <v>12713.9</v>
      </c>
      <c r="O935" s="549">
        <v>2976</v>
      </c>
      <c r="P935" s="549">
        <v>11.58</v>
      </c>
      <c r="Q935" s="549">
        <v>6846.59</v>
      </c>
    </row>
    <row r="936" spans="1:17" x14ac:dyDescent="0.25">
      <c r="A936" s="549" t="s">
        <v>504</v>
      </c>
      <c r="B936" s="549" t="s">
        <v>996</v>
      </c>
      <c r="C936" s="549" t="s">
        <v>833</v>
      </c>
      <c r="D936" s="549" t="s">
        <v>1130</v>
      </c>
      <c r="E936" s="549" t="s">
        <v>977</v>
      </c>
      <c r="F936" s="549" t="s">
        <v>1212</v>
      </c>
      <c r="G936" s="549">
        <v>492</v>
      </c>
      <c r="H936" s="549" t="s">
        <v>833</v>
      </c>
      <c r="I936" s="549" t="s">
        <v>976</v>
      </c>
      <c r="J936" s="549" t="s">
        <v>976</v>
      </c>
      <c r="K936" s="549" t="s">
        <v>976</v>
      </c>
      <c r="L936" s="549">
        <v>575289.63</v>
      </c>
      <c r="M936" s="549">
        <v>43434.37</v>
      </c>
      <c r="N936" s="549">
        <v>12713.9</v>
      </c>
      <c r="O936" s="549">
        <v>2976</v>
      </c>
      <c r="P936" s="549">
        <v>11.58</v>
      </c>
      <c r="Q936" s="549">
        <v>6846.59</v>
      </c>
    </row>
    <row r="937" spans="1:17" x14ac:dyDescent="0.25">
      <c r="A937" s="549" t="s">
        <v>504</v>
      </c>
      <c r="B937" s="549" t="s">
        <v>996</v>
      </c>
      <c r="C937" s="549" t="s">
        <v>833</v>
      </c>
      <c r="D937" s="549" t="s">
        <v>1130</v>
      </c>
      <c r="E937" s="549" t="s">
        <v>977</v>
      </c>
      <c r="F937" s="549" t="s">
        <v>1212</v>
      </c>
      <c r="G937" s="549">
        <v>612</v>
      </c>
      <c r="H937" s="549" t="s">
        <v>833</v>
      </c>
      <c r="I937" s="549" t="s">
        <v>976</v>
      </c>
      <c r="J937" s="549" t="s">
        <v>976</v>
      </c>
      <c r="K937" s="549" t="s">
        <v>976</v>
      </c>
      <c r="L937" s="549">
        <v>129965.1</v>
      </c>
      <c r="M937" s="549">
        <v>9812.3700000000008</v>
      </c>
      <c r="N937" s="549">
        <v>2872.23</v>
      </c>
      <c r="O937" s="549">
        <v>892.8</v>
      </c>
      <c r="P937" s="549">
        <v>100</v>
      </c>
      <c r="Q937" s="549">
        <v>13577.4</v>
      </c>
    </row>
    <row r="938" spans="1:17" x14ac:dyDescent="0.25">
      <c r="A938" s="549" t="s">
        <v>504</v>
      </c>
      <c r="B938" s="549" t="s">
        <v>996</v>
      </c>
      <c r="C938" s="549" t="s">
        <v>833</v>
      </c>
      <c r="D938" s="549" t="s">
        <v>1130</v>
      </c>
      <c r="E938" s="549" t="s">
        <v>977</v>
      </c>
      <c r="F938" s="549" t="s">
        <v>1212</v>
      </c>
      <c r="G938" s="549">
        <v>622</v>
      </c>
      <c r="H938" s="549" t="s">
        <v>833</v>
      </c>
      <c r="I938" s="549" t="s">
        <v>976</v>
      </c>
      <c r="J938" s="549" t="s">
        <v>976</v>
      </c>
      <c r="K938" s="549" t="s">
        <v>976</v>
      </c>
      <c r="L938" s="549">
        <v>129965.1</v>
      </c>
      <c r="M938" s="549">
        <v>9812.3700000000008</v>
      </c>
      <c r="N938" s="549">
        <v>2872.23</v>
      </c>
      <c r="O938" s="549">
        <v>892.8</v>
      </c>
      <c r="P938" s="549">
        <v>100</v>
      </c>
      <c r="Q938" s="549">
        <v>13577.4</v>
      </c>
    </row>
    <row r="939" spans="1:17" x14ac:dyDescent="0.25">
      <c r="A939" s="549" t="s">
        <v>504</v>
      </c>
      <c r="B939" s="549" t="s">
        <v>996</v>
      </c>
      <c r="C939" s="549" t="s">
        <v>833</v>
      </c>
      <c r="D939" s="549" t="s">
        <v>1130</v>
      </c>
      <c r="E939" s="549" t="s">
        <v>977</v>
      </c>
      <c r="F939" s="549" t="s">
        <v>1212</v>
      </c>
      <c r="G939" s="549">
        <v>642</v>
      </c>
      <c r="H939" s="549" t="s">
        <v>833</v>
      </c>
      <c r="I939" s="549" t="s">
        <v>976</v>
      </c>
      <c r="J939" s="549" t="s">
        <v>976</v>
      </c>
      <c r="K939" s="549" t="s">
        <v>976</v>
      </c>
      <c r="L939" s="549">
        <v>129965.1</v>
      </c>
      <c r="M939" s="549">
        <v>9812.3700000000008</v>
      </c>
      <c r="N939" s="549">
        <v>2872.23</v>
      </c>
      <c r="O939" s="549">
        <v>892.8</v>
      </c>
      <c r="P939" s="549">
        <v>100</v>
      </c>
      <c r="Q939" s="549">
        <v>13577.4</v>
      </c>
    </row>
    <row r="940" spans="1:17" x14ac:dyDescent="0.25">
      <c r="A940" s="549" t="s">
        <v>504</v>
      </c>
      <c r="B940" s="549" t="s">
        <v>996</v>
      </c>
      <c r="C940" s="549" t="s">
        <v>833</v>
      </c>
      <c r="D940" s="549" t="s">
        <v>1130</v>
      </c>
      <c r="E940" s="549" t="s">
        <v>977</v>
      </c>
      <c r="F940" s="549" t="s">
        <v>1212</v>
      </c>
      <c r="G940" s="549">
        <v>652</v>
      </c>
      <c r="H940" s="549" t="s">
        <v>833</v>
      </c>
      <c r="I940" s="549" t="s">
        <v>976</v>
      </c>
      <c r="J940" s="549" t="s">
        <v>976</v>
      </c>
      <c r="K940" s="549" t="s">
        <v>976</v>
      </c>
      <c r="L940" s="549">
        <v>129965.1</v>
      </c>
      <c r="M940" s="549">
        <v>9812.3700000000008</v>
      </c>
      <c r="N940" s="549">
        <v>2872.23</v>
      </c>
      <c r="O940" s="549">
        <v>892.8</v>
      </c>
      <c r="P940" s="549">
        <v>100</v>
      </c>
      <c r="Q940" s="549">
        <v>13577.4</v>
      </c>
    </row>
    <row r="941" spans="1:17" x14ac:dyDescent="0.25">
      <c r="A941" s="549" t="s">
        <v>504</v>
      </c>
      <c r="B941" s="549" t="s">
        <v>996</v>
      </c>
      <c r="C941" s="549" t="s">
        <v>833</v>
      </c>
      <c r="D941" s="549" t="s">
        <v>1130</v>
      </c>
      <c r="E941" s="549" t="s">
        <v>977</v>
      </c>
      <c r="F941" s="549" t="s">
        <v>1212</v>
      </c>
      <c r="G941" s="549">
        <v>662</v>
      </c>
      <c r="H941" s="549" t="s">
        <v>833</v>
      </c>
      <c r="I941" s="549" t="s">
        <v>976</v>
      </c>
      <c r="J941" s="549" t="s">
        <v>976</v>
      </c>
      <c r="K941" s="549" t="s">
        <v>976</v>
      </c>
      <c r="L941" s="549">
        <v>129965.1</v>
      </c>
      <c r="M941" s="549">
        <v>9812.3700000000008</v>
      </c>
      <c r="N941" s="549">
        <v>2872.23</v>
      </c>
      <c r="O941" s="549">
        <v>892.8</v>
      </c>
      <c r="P941" s="549">
        <v>100</v>
      </c>
      <c r="Q941" s="549">
        <v>13577.4</v>
      </c>
    </row>
    <row r="942" spans="1:17" x14ac:dyDescent="0.25">
      <c r="A942" s="549" t="s">
        <v>504</v>
      </c>
      <c r="B942" s="549" t="s">
        <v>996</v>
      </c>
      <c r="C942" s="549" t="s">
        <v>833</v>
      </c>
      <c r="D942" s="549" t="s">
        <v>1130</v>
      </c>
      <c r="E942" s="549" t="s">
        <v>977</v>
      </c>
      <c r="F942" s="549" t="s">
        <v>1212</v>
      </c>
      <c r="G942" s="549">
        <v>2662</v>
      </c>
      <c r="H942" s="549" t="s">
        <v>833</v>
      </c>
      <c r="I942" s="549" t="s">
        <v>976</v>
      </c>
      <c r="J942" s="549" t="s">
        <v>976</v>
      </c>
      <c r="K942" s="549" t="s">
        <v>976</v>
      </c>
      <c r="L942" s="549">
        <v>87246</v>
      </c>
      <c r="M942" s="549">
        <v>6587.07</v>
      </c>
      <c r="N942" s="549">
        <v>1928.14</v>
      </c>
      <c r="O942" s="549">
        <v>992</v>
      </c>
      <c r="P942" s="549">
        <v>100</v>
      </c>
      <c r="Q942" s="549">
        <v>9507.2099999999991</v>
      </c>
    </row>
    <row r="943" spans="1:17" x14ac:dyDescent="0.25">
      <c r="A943" s="549" t="s">
        <v>504</v>
      </c>
      <c r="B943" s="549" t="s">
        <v>996</v>
      </c>
      <c r="C943" s="549" t="s">
        <v>833</v>
      </c>
      <c r="D943" s="549" t="s">
        <v>1130</v>
      </c>
      <c r="E943" s="549" t="s">
        <v>977</v>
      </c>
      <c r="F943" s="549" t="s">
        <v>1212</v>
      </c>
      <c r="G943" s="549">
        <v>2672</v>
      </c>
      <c r="H943" s="549" t="s">
        <v>833</v>
      </c>
      <c r="I943" s="549" t="s">
        <v>976</v>
      </c>
      <c r="J943" s="549" t="s">
        <v>976</v>
      </c>
      <c r="K943" s="549" t="s">
        <v>976</v>
      </c>
      <c r="L943" s="549">
        <v>88503.6</v>
      </c>
      <c r="M943" s="549">
        <v>6682.02</v>
      </c>
      <c r="N943" s="549">
        <v>1955.93</v>
      </c>
      <c r="O943" s="549">
        <v>992</v>
      </c>
      <c r="P943" s="549">
        <v>11.58</v>
      </c>
      <c r="Q943" s="549">
        <v>1115.1500000000001</v>
      </c>
    </row>
    <row r="944" spans="1:17" x14ac:dyDescent="0.25">
      <c r="A944" s="549" t="s">
        <v>504</v>
      </c>
      <c r="B944" s="549" t="s">
        <v>996</v>
      </c>
      <c r="C944" s="549" t="s">
        <v>833</v>
      </c>
      <c r="D944" s="549" t="s">
        <v>1130</v>
      </c>
      <c r="E944" s="549" t="s">
        <v>977</v>
      </c>
      <c r="F944" s="549" t="s">
        <v>1212</v>
      </c>
      <c r="G944" s="549">
        <v>2688</v>
      </c>
      <c r="H944" s="549" t="s">
        <v>833</v>
      </c>
      <c r="I944" s="549" t="s">
        <v>976</v>
      </c>
      <c r="J944" s="549" t="s">
        <v>976</v>
      </c>
      <c r="K944" s="549" t="s">
        <v>976</v>
      </c>
      <c r="L944" s="549">
        <v>126493.6</v>
      </c>
      <c r="M944" s="549">
        <v>9550.27</v>
      </c>
      <c r="N944" s="549">
        <v>2795.51</v>
      </c>
      <c r="O944" s="549">
        <v>992</v>
      </c>
      <c r="P944" s="549">
        <v>11.58</v>
      </c>
      <c r="Q944" s="549">
        <v>1544.51</v>
      </c>
    </row>
    <row r="945" spans="1:17" x14ac:dyDescent="0.25">
      <c r="A945" s="549" t="s">
        <v>504</v>
      </c>
      <c r="B945" s="549" t="s">
        <v>996</v>
      </c>
      <c r="C945" s="549" t="s">
        <v>833</v>
      </c>
      <c r="D945" s="549" t="s">
        <v>1130</v>
      </c>
      <c r="E945" s="549" t="s">
        <v>977</v>
      </c>
      <c r="F945" s="549" t="s">
        <v>1212</v>
      </c>
      <c r="G945" s="549">
        <v>2778</v>
      </c>
      <c r="H945" s="549" t="s">
        <v>833</v>
      </c>
      <c r="I945" s="549" t="s">
        <v>976</v>
      </c>
      <c r="J945" s="549" t="s">
        <v>976</v>
      </c>
      <c r="K945" s="549" t="s">
        <v>976</v>
      </c>
      <c r="L945" s="549">
        <v>126493.6</v>
      </c>
      <c r="M945" s="549">
        <v>9550.27</v>
      </c>
      <c r="N945" s="549">
        <v>2795.51</v>
      </c>
      <c r="O945" s="549">
        <v>992</v>
      </c>
      <c r="P945" s="549">
        <v>11.58</v>
      </c>
      <c r="Q945" s="549">
        <v>1544.51</v>
      </c>
    </row>
    <row r="946" spans="1:17" x14ac:dyDescent="0.25">
      <c r="A946" s="549" t="s">
        <v>504</v>
      </c>
      <c r="B946" s="549" t="s">
        <v>996</v>
      </c>
      <c r="C946" s="549" t="s">
        <v>833</v>
      </c>
      <c r="D946" s="549" t="s">
        <v>1130</v>
      </c>
      <c r="E946" s="549" t="s">
        <v>977</v>
      </c>
      <c r="F946" s="549" t="s">
        <v>1212</v>
      </c>
      <c r="G946" s="549">
        <v>2832</v>
      </c>
      <c r="H946" s="549" t="s">
        <v>833</v>
      </c>
      <c r="I946" s="549" t="s">
        <v>976</v>
      </c>
      <c r="J946" s="549" t="s">
        <v>976</v>
      </c>
      <c r="K946" s="549" t="s">
        <v>976</v>
      </c>
      <c r="L946" s="549">
        <v>88503.6</v>
      </c>
      <c r="M946" s="549">
        <v>6682.02</v>
      </c>
      <c r="N946" s="549">
        <v>1955.93</v>
      </c>
      <c r="O946" s="549">
        <v>992</v>
      </c>
      <c r="P946" s="549">
        <v>11.58</v>
      </c>
      <c r="Q946" s="549">
        <v>1115.1500000000001</v>
      </c>
    </row>
    <row r="947" spans="1:17" x14ac:dyDescent="0.25">
      <c r="A947" s="549" t="s">
        <v>504</v>
      </c>
      <c r="B947" s="549" t="s">
        <v>996</v>
      </c>
      <c r="C947" s="549" t="s">
        <v>833</v>
      </c>
      <c r="D947" s="549" t="s">
        <v>1130</v>
      </c>
      <c r="E947" s="549" t="s">
        <v>977</v>
      </c>
      <c r="F947" s="549" t="s">
        <v>1212</v>
      </c>
      <c r="G947" s="549">
        <v>2852</v>
      </c>
      <c r="H947" s="549" t="s">
        <v>833</v>
      </c>
      <c r="I947" s="549" t="s">
        <v>976</v>
      </c>
      <c r="J947" s="549" t="s">
        <v>976</v>
      </c>
      <c r="K947" s="549" t="s">
        <v>976</v>
      </c>
      <c r="L947" s="549">
        <v>87246</v>
      </c>
      <c r="M947" s="549">
        <v>6587.07</v>
      </c>
      <c r="N947" s="549">
        <v>1928.14</v>
      </c>
      <c r="O947" s="549">
        <v>992</v>
      </c>
      <c r="P947" s="549">
        <v>100</v>
      </c>
      <c r="Q947" s="549">
        <v>9507.2099999999991</v>
      </c>
    </row>
    <row r="948" spans="1:17" x14ac:dyDescent="0.25">
      <c r="A948" s="549" t="s">
        <v>1014</v>
      </c>
      <c r="B948" s="549" t="s">
        <v>1015</v>
      </c>
      <c r="C948" s="549" t="s">
        <v>519</v>
      </c>
      <c r="D948" s="549" t="s">
        <v>492</v>
      </c>
      <c r="E948" s="549" t="s">
        <v>973</v>
      </c>
      <c r="F948" s="549" t="s">
        <v>1212</v>
      </c>
      <c r="G948" s="549">
        <v>87</v>
      </c>
      <c r="H948" s="549" t="s">
        <v>519</v>
      </c>
      <c r="I948" s="549" t="s">
        <v>976</v>
      </c>
      <c r="J948" s="549" t="s">
        <v>976</v>
      </c>
      <c r="K948" s="549" t="s">
        <v>976</v>
      </c>
      <c r="L948" s="549">
        <v>0.02</v>
      </c>
      <c r="M948" s="549">
        <v>0</v>
      </c>
      <c r="N948" s="549">
        <v>0</v>
      </c>
      <c r="O948" s="549">
        <v>992</v>
      </c>
      <c r="P948" s="549">
        <v>0</v>
      </c>
      <c r="Q948" s="549">
        <v>0</v>
      </c>
    </row>
    <row r="949" spans="1:17" x14ac:dyDescent="0.25">
      <c r="A949" s="549" t="s">
        <v>504</v>
      </c>
      <c r="B949" s="549" t="s">
        <v>996</v>
      </c>
      <c r="C949" s="549" t="s">
        <v>833</v>
      </c>
      <c r="D949" s="549" t="s">
        <v>1130</v>
      </c>
      <c r="E949" s="549" t="s">
        <v>977</v>
      </c>
      <c r="F949" s="549" t="s">
        <v>1212</v>
      </c>
      <c r="G949" s="549" t="s">
        <v>1270</v>
      </c>
      <c r="H949" s="549" t="s">
        <v>833</v>
      </c>
      <c r="I949" s="549" t="s">
        <v>976</v>
      </c>
      <c r="J949" s="549" t="s">
        <v>976</v>
      </c>
      <c r="K949" s="549" t="s">
        <v>976</v>
      </c>
      <c r="L949" s="549">
        <v>30794.43</v>
      </c>
      <c r="M949" s="549">
        <v>2324.98</v>
      </c>
      <c r="N949" s="549">
        <v>680.56</v>
      </c>
      <c r="O949" s="549">
        <v>0</v>
      </c>
      <c r="P949" s="549">
        <v>100</v>
      </c>
      <c r="Q949" s="549">
        <v>3005.54</v>
      </c>
    </row>
    <row r="950" spans="1:17" x14ac:dyDescent="0.25">
      <c r="A950" s="549" t="s">
        <v>504</v>
      </c>
      <c r="B950" s="549" t="s">
        <v>996</v>
      </c>
      <c r="C950" s="549" t="s">
        <v>833</v>
      </c>
      <c r="D950" s="549" t="s">
        <v>1130</v>
      </c>
      <c r="E950" s="549" t="s">
        <v>977</v>
      </c>
      <c r="F950" s="549" t="s">
        <v>1212</v>
      </c>
      <c r="G950" s="549" t="s">
        <v>1271</v>
      </c>
      <c r="H950" s="549" t="s">
        <v>833</v>
      </c>
      <c r="I950" s="549" t="s">
        <v>976</v>
      </c>
      <c r="J950" s="549" t="s">
        <v>976</v>
      </c>
      <c r="K950" s="549" t="s">
        <v>976</v>
      </c>
      <c r="L950" s="549">
        <v>30794.43</v>
      </c>
      <c r="M950" s="549">
        <v>2324.98</v>
      </c>
      <c r="N950" s="549">
        <v>680.56</v>
      </c>
      <c r="O950" s="549">
        <v>0</v>
      </c>
      <c r="P950" s="549">
        <v>0</v>
      </c>
      <c r="Q950" s="549">
        <v>0</v>
      </c>
    </row>
    <row r="951" spans="1:17" x14ac:dyDescent="0.25">
      <c r="A951" s="549" t="s">
        <v>504</v>
      </c>
      <c r="B951" s="549" t="s">
        <v>996</v>
      </c>
      <c r="C951" s="549" t="s">
        <v>833</v>
      </c>
      <c r="D951" s="549" t="s">
        <v>1130</v>
      </c>
      <c r="E951" s="549" t="s">
        <v>977</v>
      </c>
      <c r="F951" s="549" t="s">
        <v>1212</v>
      </c>
      <c r="G951" s="549" t="s">
        <v>1272</v>
      </c>
      <c r="H951" s="549" t="s">
        <v>833</v>
      </c>
      <c r="I951" s="549" t="s">
        <v>976</v>
      </c>
      <c r="J951" s="549" t="s">
        <v>976</v>
      </c>
      <c r="K951" s="549" t="s">
        <v>976</v>
      </c>
      <c r="L951" s="549">
        <v>30794.43</v>
      </c>
      <c r="M951" s="549">
        <v>2324.98</v>
      </c>
      <c r="N951" s="549">
        <v>680.56</v>
      </c>
      <c r="O951" s="549">
        <v>0</v>
      </c>
      <c r="P951" s="549">
        <v>0</v>
      </c>
      <c r="Q951" s="549">
        <v>0</v>
      </c>
    </row>
    <row r="952" spans="1:17" x14ac:dyDescent="0.25">
      <c r="A952" s="549" t="s">
        <v>504</v>
      </c>
      <c r="B952" s="549" t="s">
        <v>996</v>
      </c>
      <c r="C952" s="549" t="s">
        <v>833</v>
      </c>
      <c r="D952" s="549" t="s">
        <v>1130</v>
      </c>
      <c r="E952" s="549" t="s">
        <v>977</v>
      </c>
      <c r="F952" s="549" t="s">
        <v>1212</v>
      </c>
      <c r="G952" s="549" t="s">
        <v>1273</v>
      </c>
      <c r="H952" s="549" t="s">
        <v>833</v>
      </c>
      <c r="I952" s="549" t="s">
        <v>976</v>
      </c>
      <c r="J952" s="549" t="s">
        <v>976</v>
      </c>
      <c r="K952" s="549" t="s">
        <v>976</v>
      </c>
      <c r="L952" s="549">
        <v>30794.43</v>
      </c>
      <c r="M952" s="549">
        <v>2324.98</v>
      </c>
      <c r="N952" s="549">
        <v>680.56</v>
      </c>
      <c r="O952" s="549">
        <v>0</v>
      </c>
      <c r="P952" s="549">
        <v>100</v>
      </c>
      <c r="Q952" s="549">
        <v>3005.54</v>
      </c>
    </row>
    <row r="953" spans="1:17" x14ac:dyDescent="0.25">
      <c r="A953" s="549" t="s">
        <v>1014</v>
      </c>
      <c r="B953" s="549" t="s">
        <v>1015</v>
      </c>
      <c r="C953" s="549" t="s">
        <v>519</v>
      </c>
      <c r="D953" s="549" t="s">
        <v>492</v>
      </c>
      <c r="E953" s="549" t="s">
        <v>973</v>
      </c>
      <c r="F953" s="549" t="s">
        <v>1212</v>
      </c>
      <c r="G953" s="549">
        <v>82</v>
      </c>
      <c r="H953" s="549" t="s">
        <v>519</v>
      </c>
      <c r="I953" s="549" t="s">
        <v>976</v>
      </c>
      <c r="J953" s="549" t="s">
        <v>976</v>
      </c>
      <c r="K953" s="549" t="s">
        <v>976</v>
      </c>
      <c r="L953" s="549">
        <v>892972.4</v>
      </c>
      <c r="M953" s="549">
        <v>67419.42</v>
      </c>
      <c r="N953" s="549">
        <v>51256.62</v>
      </c>
      <c r="O953" s="549">
        <v>3968</v>
      </c>
      <c r="P953" s="549">
        <v>0</v>
      </c>
      <c r="Q953" s="549">
        <v>0</v>
      </c>
    </row>
    <row r="954" spans="1:17" x14ac:dyDescent="0.25">
      <c r="A954" s="549" t="s">
        <v>1014</v>
      </c>
      <c r="B954" s="549" t="s">
        <v>1015</v>
      </c>
      <c r="C954" s="549" t="s">
        <v>519</v>
      </c>
      <c r="D954" s="549" t="s">
        <v>492</v>
      </c>
      <c r="E954" s="549" t="s">
        <v>973</v>
      </c>
      <c r="F954" s="549" t="s">
        <v>1212</v>
      </c>
      <c r="G954" s="549">
        <v>77</v>
      </c>
      <c r="H954" s="549" t="s">
        <v>519</v>
      </c>
      <c r="I954" s="549" t="s">
        <v>976</v>
      </c>
      <c r="J954" s="549" t="s">
        <v>976</v>
      </c>
      <c r="K954" s="549" t="s">
        <v>976</v>
      </c>
      <c r="L954" s="549">
        <v>22696.29</v>
      </c>
      <c r="M954" s="549">
        <v>1713.57</v>
      </c>
      <c r="N954" s="549">
        <v>1302.77</v>
      </c>
      <c r="O954" s="549">
        <v>992</v>
      </c>
      <c r="P954" s="549">
        <v>0</v>
      </c>
      <c r="Q954" s="549">
        <v>0</v>
      </c>
    </row>
    <row r="955" spans="1:17" x14ac:dyDescent="0.25">
      <c r="A955" s="549" t="s">
        <v>1014</v>
      </c>
      <c r="B955" s="549" t="s">
        <v>1015</v>
      </c>
      <c r="C955" s="549" t="s">
        <v>519</v>
      </c>
      <c r="D955" s="549" t="s">
        <v>492</v>
      </c>
      <c r="E955" s="549" t="s">
        <v>973</v>
      </c>
      <c r="F955" s="549" t="s">
        <v>1212</v>
      </c>
      <c r="G955" s="549">
        <v>72</v>
      </c>
      <c r="H955" s="549" t="s">
        <v>519</v>
      </c>
      <c r="I955" s="549" t="s">
        <v>976</v>
      </c>
      <c r="J955" s="549" t="s">
        <v>976</v>
      </c>
      <c r="K955" s="549" t="s">
        <v>976</v>
      </c>
      <c r="L955" s="549">
        <v>473331.21</v>
      </c>
      <c r="M955" s="549">
        <v>35736.51</v>
      </c>
      <c r="N955" s="549">
        <v>27169.21</v>
      </c>
      <c r="O955" s="549">
        <v>1984</v>
      </c>
      <c r="P955" s="549">
        <v>0</v>
      </c>
      <c r="Q955" s="549">
        <v>0</v>
      </c>
    </row>
    <row r="956" spans="1:17" x14ac:dyDescent="0.25">
      <c r="A956" s="549" t="s">
        <v>1014</v>
      </c>
      <c r="B956" s="549" t="s">
        <v>1015</v>
      </c>
      <c r="C956" s="549" t="s">
        <v>519</v>
      </c>
      <c r="D956" s="549" t="s">
        <v>492</v>
      </c>
      <c r="E956" s="549" t="s">
        <v>973</v>
      </c>
      <c r="F956" s="549" t="s">
        <v>1212</v>
      </c>
      <c r="G956" s="549">
        <v>67</v>
      </c>
      <c r="H956" s="549" t="s">
        <v>519</v>
      </c>
      <c r="I956" s="549" t="s">
        <v>976</v>
      </c>
      <c r="J956" s="549" t="s">
        <v>976</v>
      </c>
      <c r="K956" s="549" t="s">
        <v>976</v>
      </c>
      <c r="L956" s="549">
        <v>22696.29</v>
      </c>
      <c r="M956" s="549">
        <v>1713.57</v>
      </c>
      <c r="N956" s="549">
        <v>1302.77</v>
      </c>
      <c r="O956" s="549">
        <v>992</v>
      </c>
      <c r="P956" s="549">
        <v>0</v>
      </c>
      <c r="Q956" s="549">
        <v>0</v>
      </c>
    </row>
    <row r="957" spans="1:17" x14ac:dyDescent="0.25">
      <c r="A957" s="549" t="s">
        <v>1014</v>
      </c>
      <c r="B957" s="549" t="s">
        <v>1015</v>
      </c>
      <c r="C957" s="549" t="s">
        <v>519</v>
      </c>
      <c r="D957" s="549" t="s">
        <v>492</v>
      </c>
      <c r="E957" s="549" t="s">
        <v>973</v>
      </c>
      <c r="F957" s="549" t="s">
        <v>1212</v>
      </c>
      <c r="G957" s="549">
        <v>62</v>
      </c>
      <c r="H957" s="549" t="s">
        <v>519</v>
      </c>
      <c r="I957" s="549" t="s">
        <v>976</v>
      </c>
      <c r="J957" s="549" t="s">
        <v>976</v>
      </c>
      <c r="K957" s="549" t="s">
        <v>976</v>
      </c>
      <c r="L957" s="549">
        <v>892972.4</v>
      </c>
      <c r="M957" s="549">
        <v>67419.42</v>
      </c>
      <c r="N957" s="549">
        <v>51256.62</v>
      </c>
      <c r="O957" s="549">
        <v>3968</v>
      </c>
      <c r="P957" s="549">
        <v>0</v>
      </c>
      <c r="Q957" s="549">
        <v>0</v>
      </c>
    </row>
    <row r="958" spans="1:17" x14ac:dyDescent="0.25">
      <c r="A958" s="549" t="s">
        <v>1014</v>
      </c>
      <c r="B958" s="549" t="s">
        <v>1015</v>
      </c>
      <c r="C958" s="549" t="s">
        <v>803</v>
      </c>
      <c r="D958" s="549" t="s">
        <v>804</v>
      </c>
      <c r="E958" s="549" t="s">
        <v>977</v>
      </c>
      <c r="F958" s="549" t="s">
        <v>1212</v>
      </c>
      <c r="G958" s="549" t="s">
        <v>1274</v>
      </c>
      <c r="H958" s="549" t="s">
        <v>803</v>
      </c>
      <c r="I958" s="549" t="s">
        <v>976</v>
      </c>
      <c r="J958" s="549" t="s">
        <v>976</v>
      </c>
      <c r="K958" s="549" t="s">
        <v>976</v>
      </c>
      <c r="L958" s="549">
        <v>187093.33</v>
      </c>
      <c r="M958" s="549">
        <v>14125.55</v>
      </c>
      <c r="N958" s="549">
        <v>4134.76</v>
      </c>
      <c r="O958" s="549">
        <v>0</v>
      </c>
      <c r="P958" s="549">
        <v>71.7</v>
      </c>
      <c r="Q958" s="549">
        <v>13092.64</v>
      </c>
    </row>
    <row r="959" spans="1:17" x14ac:dyDescent="0.25">
      <c r="A959" s="549" t="s">
        <v>1014</v>
      </c>
      <c r="B959" s="549" t="s">
        <v>1015</v>
      </c>
      <c r="C959" s="549" t="s">
        <v>803</v>
      </c>
      <c r="D959" s="549" t="s">
        <v>804</v>
      </c>
      <c r="E959" s="549" t="s">
        <v>977</v>
      </c>
      <c r="F959" s="549" t="s">
        <v>1212</v>
      </c>
      <c r="G959" s="549" t="s">
        <v>1275</v>
      </c>
      <c r="H959" s="549" t="s">
        <v>803</v>
      </c>
      <c r="I959" s="549" t="s">
        <v>976</v>
      </c>
      <c r="J959" s="549" t="s">
        <v>976</v>
      </c>
      <c r="K959" s="549" t="s">
        <v>976</v>
      </c>
      <c r="L959" s="549">
        <v>20008.29</v>
      </c>
      <c r="M959" s="549">
        <v>1510.63</v>
      </c>
      <c r="N959" s="549">
        <v>442.18</v>
      </c>
      <c r="O959" s="549">
        <v>0</v>
      </c>
      <c r="P959" s="549">
        <v>71.7</v>
      </c>
      <c r="Q959" s="549">
        <v>1400.16</v>
      </c>
    </row>
    <row r="960" spans="1:17" x14ac:dyDescent="0.25">
      <c r="A960" s="549" t="s">
        <v>1014</v>
      </c>
      <c r="B960" s="549" t="s">
        <v>1015</v>
      </c>
      <c r="C960" s="549" t="s">
        <v>803</v>
      </c>
      <c r="D960" s="549" t="s">
        <v>804</v>
      </c>
      <c r="E960" s="549" t="s">
        <v>977</v>
      </c>
      <c r="F960" s="549" t="s">
        <v>1212</v>
      </c>
      <c r="G960" s="549" t="s">
        <v>1276</v>
      </c>
      <c r="H960" s="549" t="s">
        <v>803</v>
      </c>
      <c r="I960" s="549" t="s">
        <v>976</v>
      </c>
      <c r="J960" s="549" t="s">
        <v>976</v>
      </c>
      <c r="K960" s="549" t="s">
        <v>976</v>
      </c>
      <c r="L960" s="549">
        <v>42723.76</v>
      </c>
      <c r="M960" s="549">
        <v>3225.64</v>
      </c>
      <c r="N960" s="549">
        <v>944.2</v>
      </c>
      <c r="O960" s="549">
        <v>1984</v>
      </c>
      <c r="P960" s="549">
        <v>71.7</v>
      </c>
      <c r="Q960" s="549">
        <v>4412.3</v>
      </c>
    </row>
    <row r="961" spans="1:17" x14ac:dyDescent="0.25">
      <c r="A961" s="549" t="s">
        <v>1014</v>
      </c>
      <c r="B961" s="549" t="s">
        <v>1015</v>
      </c>
      <c r="C961" s="549" t="s">
        <v>803</v>
      </c>
      <c r="D961" s="549" t="s">
        <v>804</v>
      </c>
      <c r="E961" s="549" t="s">
        <v>977</v>
      </c>
      <c r="F961" s="549" t="s">
        <v>1212</v>
      </c>
      <c r="G961" s="549">
        <v>212</v>
      </c>
      <c r="H961" s="549" t="s">
        <v>803</v>
      </c>
      <c r="I961" s="549" t="s">
        <v>976</v>
      </c>
      <c r="J961" s="549" t="s">
        <v>976</v>
      </c>
      <c r="K961" s="549" t="s">
        <v>976</v>
      </c>
      <c r="L961" s="549">
        <v>172772.08</v>
      </c>
      <c r="M961" s="549">
        <v>13044.29</v>
      </c>
      <c r="N961" s="549">
        <v>3818.26</v>
      </c>
      <c r="O961" s="549">
        <v>3968</v>
      </c>
      <c r="P961" s="549">
        <v>71.7</v>
      </c>
      <c r="Q961" s="549">
        <v>14935.5</v>
      </c>
    </row>
    <row r="962" spans="1:17" x14ac:dyDescent="0.25">
      <c r="A962" s="549" t="s">
        <v>1014</v>
      </c>
      <c r="B962" s="549" t="s">
        <v>1015</v>
      </c>
      <c r="C962" s="549" t="s">
        <v>803</v>
      </c>
      <c r="D962" s="549" t="s">
        <v>804</v>
      </c>
      <c r="E962" s="549" t="s">
        <v>977</v>
      </c>
      <c r="F962" s="549" t="s">
        <v>1212</v>
      </c>
      <c r="G962" s="549">
        <v>202</v>
      </c>
      <c r="H962" s="549" t="s">
        <v>803</v>
      </c>
      <c r="I962" s="549" t="s">
        <v>976</v>
      </c>
      <c r="J962" s="549" t="s">
        <v>976</v>
      </c>
      <c r="K962" s="549" t="s">
        <v>976</v>
      </c>
      <c r="L962" s="549">
        <v>172772.08</v>
      </c>
      <c r="M962" s="549">
        <v>13044.29</v>
      </c>
      <c r="N962" s="549">
        <v>3818.26</v>
      </c>
      <c r="O962" s="549">
        <v>3968</v>
      </c>
      <c r="P962" s="549">
        <v>71.7</v>
      </c>
      <c r="Q962" s="549">
        <v>14935.5</v>
      </c>
    </row>
    <row r="963" spans="1:17" x14ac:dyDescent="0.25">
      <c r="A963" s="549" t="s">
        <v>1014</v>
      </c>
      <c r="B963" s="549" t="s">
        <v>1015</v>
      </c>
      <c r="C963" s="549" t="s">
        <v>803</v>
      </c>
      <c r="D963" s="549" t="s">
        <v>804</v>
      </c>
      <c r="E963" s="549" t="s">
        <v>977</v>
      </c>
      <c r="F963" s="549" t="s">
        <v>1212</v>
      </c>
      <c r="G963" s="549">
        <v>192</v>
      </c>
      <c r="H963" s="549" t="s">
        <v>803</v>
      </c>
      <c r="I963" s="549" t="s">
        <v>976</v>
      </c>
      <c r="J963" s="549" t="s">
        <v>976</v>
      </c>
      <c r="K963" s="549" t="s">
        <v>976</v>
      </c>
      <c r="L963" s="549">
        <v>208431.38</v>
      </c>
      <c r="M963" s="549">
        <v>15736.57</v>
      </c>
      <c r="N963" s="549">
        <v>4606.33</v>
      </c>
      <c r="O963" s="549">
        <v>3968</v>
      </c>
      <c r="P963" s="549">
        <v>71.7</v>
      </c>
      <c r="Q963" s="549">
        <v>17430.919999999998</v>
      </c>
    </row>
    <row r="964" spans="1:17" x14ac:dyDescent="0.25">
      <c r="A964" s="549" t="s">
        <v>1014</v>
      </c>
      <c r="B964" s="549" t="s">
        <v>1015</v>
      </c>
      <c r="C964" s="549" t="s">
        <v>803</v>
      </c>
      <c r="D964" s="549" t="s">
        <v>804</v>
      </c>
      <c r="E964" s="549" t="s">
        <v>977</v>
      </c>
      <c r="F964" s="549" t="s">
        <v>1212</v>
      </c>
      <c r="G964" s="549">
        <v>162</v>
      </c>
      <c r="H964" s="549" t="s">
        <v>803</v>
      </c>
      <c r="I964" s="549" t="s">
        <v>976</v>
      </c>
      <c r="J964" s="549" t="s">
        <v>976</v>
      </c>
      <c r="K964" s="549" t="s">
        <v>976</v>
      </c>
      <c r="L964" s="549">
        <v>186467.44</v>
      </c>
      <c r="M964" s="549">
        <v>14078.29</v>
      </c>
      <c r="N964" s="549">
        <v>4120.93</v>
      </c>
      <c r="O964" s="549">
        <v>1984</v>
      </c>
      <c r="P964" s="549">
        <v>71.7</v>
      </c>
      <c r="Q964" s="549">
        <v>14471.37</v>
      </c>
    </row>
    <row r="965" spans="1:17" x14ac:dyDescent="0.25">
      <c r="A965" s="549" t="s">
        <v>1014</v>
      </c>
      <c r="B965" s="549" t="s">
        <v>1015</v>
      </c>
      <c r="C965" s="549" t="s">
        <v>803</v>
      </c>
      <c r="D965" s="549" t="s">
        <v>804</v>
      </c>
      <c r="E965" s="549" t="s">
        <v>977</v>
      </c>
      <c r="F965" s="549" t="s">
        <v>1212</v>
      </c>
      <c r="G965" s="549">
        <v>152</v>
      </c>
      <c r="H965" s="549" t="s">
        <v>803</v>
      </c>
      <c r="I965" s="549" t="s">
        <v>1161</v>
      </c>
      <c r="J965" s="549" t="s">
        <v>1161</v>
      </c>
      <c r="K965" s="549" t="s">
        <v>1161</v>
      </c>
      <c r="L965" s="549">
        <v>74693.56</v>
      </c>
      <c r="M965" s="549">
        <v>0</v>
      </c>
      <c r="N965" s="549">
        <v>0</v>
      </c>
      <c r="O965" s="549">
        <v>0</v>
      </c>
      <c r="P965" s="549">
        <v>71.7</v>
      </c>
      <c r="Q965" s="549">
        <v>0</v>
      </c>
    </row>
    <row r="966" spans="1:17" x14ac:dyDescent="0.25">
      <c r="A966" s="549" t="s">
        <v>1014</v>
      </c>
      <c r="B966" s="549" t="s">
        <v>1015</v>
      </c>
      <c r="C966" s="549" t="s">
        <v>803</v>
      </c>
      <c r="D966" s="549" t="s">
        <v>804</v>
      </c>
      <c r="E966" s="549" t="s">
        <v>973</v>
      </c>
      <c r="F966" s="549" t="s">
        <v>1212</v>
      </c>
      <c r="G966" s="549" t="s">
        <v>1274</v>
      </c>
      <c r="H966" s="549" t="s">
        <v>803</v>
      </c>
      <c r="I966" s="549" t="s">
        <v>976</v>
      </c>
      <c r="J966" s="549" t="s">
        <v>976</v>
      </c>
      <c r="K966" s="549" t="s">
        <v>976</v>
      </c>
      <c r="L966" s="549">
        <v>187093.33</v>
      </c>
      <c r="M966" s="549">
        <v>14125.55</v>
      </c>
      <c r="N966" s="549">
        <v>10739.16</v>
      </c>
      <c r="O966" s="549">
        <v>0</v>
      </c>
      <c r="P966" s="549">
        <v>28.3</v>
      </c>
      <c r="Q966" s="549">
        <v>7036.71</v>
      </c>
    </row>
    <row r="967" spans="1:17" x14ac:dyDescent="0.25">
      <c r="A967" s="549" t="s">
        <v>1014</v>
      </c>
      <c r="B967" s="549" t="s">
        <v>1015</v>
      </c>
      <c r="C967" s="549" t="s">
        <v>803</v>
      </c>
      <c r="D967" s="549" t="s">
        <v>804</v>
      </c>
      <c r="E967" s="549" t="s">
        <v>973</v>
      </c>
      <c r="F967" s="549" t="s">
        <v>1212</v>
      </c>
      <c r="G967" s="549" t="s">
        <v>1275</v>
      </c>
      <c r="H967" s="549" t="s">
        <v>803</v>
      </c>
      <c r="I967" s="549" t="s">
        <v>976</v>
      </c>
      <c r="J967" s="549" t="s">
        <v>976</v>
      </c>
      <c r="K967" s="549" t="s">
        <v>976</v>
      </c>
      <c r="L967" s="549">
        <v>20008.29</v>
      </c>
      <c r="M967" s="549">
        <v>1510.63</v>
      </c>
      <c r="N967" s="549">
        <v>1148.48</v>
      </c>
      <c r="O967" s="549">
        <v>0</v>
      </c>
      <c r="P967" s="549">
        <v>28.3</v>
      </c>
      <c r="Q967" s="549">
        <v>752.53</v>
      </c>
    </row>
    <row r="968" spans="1:17" x14ac:dyDescent="0.25">
      <c r="A968" s="549" t="s">
        <v>1014</v>
      </c>
      <c r="B968" s="549" t="s">
        <v>1015</v>
      </c>
      <c r="C968" s="549" t="s">
        <v>803</v>
      </c>
      <c r="D968" s="549" t="s">
        <v>804</v>
      </c>
      <c r="E968" s="549" t="s">
        <v>973</v>
      </c>
      <c r="F968" s="549" t="s">
        <v>1212</v>
      </c>
      <c r="G968" s="549" t="s">
        <v>1276</v>
      </c>
      <c r="H968" s="549" t="s">
        <v>803</v>
      </c>
      <c r="I968" s="549" t="s">
        <v>976</v>
      </c>
      <c r="J968" s="549" t="s">
        <v>976</v>
      </c>
      <c r="K968" s="549" t="s">
        <v>976</v>
      </c>
      <c r="L968" s="549">
        <v>42723.76</v>
      </c>
      <c r="M968" s="549">
        <v>3225.64</v>
      </c>
      <c r="N968" s="549">
        <v>2452.34</v>
      </c>
      <c r="O968" s="549">
        <v>1984</v>
      </c>
      <c r="P968" s="549">
        <v>28.3</v>
      </c>
      <c r="Q968" s="549">
        <v>2168.34</v>
      </c>
    </row>
    <row r="969" spans="1:17" x14ac:dyDescent="0.25">
      <c r="A969" s="549" t="s">
        <v>504</v>
      </c>
      <c r="B969" s="549" t="s">
        <v>996</v>
      </c>
      <c r="C969" s="549" t="s">
        <v>510</v>
      </c>
      <c r="D969" s="549" t="s">
        <v>1169</v>
      </c>
      <c r="E969" s="549" t="s">
        <v>973</v>
      </c>
      <c r="F969" s="549" t="s">
        <v>1212</v>
      </c>
      <c r="G969" s="549">
        <v>212</v>
      </c>
      <c r="H969" s="549" t="s">
        <v>510</v>
      </c>
      <c r="I969" s="549" t="s">
        <v>976</v>
      </c>
      <c r="J969" s="549" t="s">
        <v>976</v>
      </c>
      <c r="K969" s="549" t="s">
        <v>976</v>
      </c>
      <c r="L969" s="549">
        <v>101805.95</v>
      </c>
      <c r="M969" s="549">
        <v>7686.35</v>
      </c>
      <c r="N969" s="549">
        <v>5843.66</v>
      </c>
      <c r="O969" s="549">
        <v>892.8</v>
      </c>
      <c r="P969" s="549">
        <v>100</v>
      </c>
      <c r="Q969" s="549">
        <v>14422.81</v>
      </c>
    </row>
    <row r="970" spans="1:17" x14ac:dyDescent="0.25">
      <c r="A970" s="549" t="s">
        <v>504</v>
      </c>
      <c r="B970" s="549" t="s">
        <v>996</v>
      </c>
      <c r="C970" s="549" t="s">
        <v>510</v>
      </c>
      <c r="D970" s="549" t="s">
        <v>1169</v>
      </c>
      <c r="E970" s="549" t="s">
        <v>973</v>
      </c>
      <c r="F970" s="549" t="s">
        <v>1212</v>
      </c>
      <c r="G970" s="549">
        <v>232</v>
      </c>
      <c r="H970" s="549" t="s">
        <v>510</v>
      </c>
      <c r="I970" s="549" t="s">
        <v>976</v>
      </c>
      <c r="J970" s="549" t="s">
        <v>976</v>
      </c>
      <c r="K970" s="549" t="s">
        <v>976</v>
      </c>
      <c r="L970" s="549">
        <v>101805.95</v>
      </c>
      <c r="M970" s="549">
        <v>7686.35</v>
      </c>
      <c r="N970" s="549">
        <v>5843.66</v>
      </c>
      <c r="O970" s="549">
        <v>892.8</v>
      </c>
      <c r="P970" s="549">
        <v>100</v>
      </c>
      <c r="Q970" s="549">
        <v>14422.81</v>
      </c>
    </row>
    <row r="971" spans="1:17" x14ac:dyDescent="0.25">
      <c r="A971" s="549" t="s">
        <v>504</v>
      </c>
      <c r="B971" s="549" t="s">
        <v>996</v>
      </c>
      <c r="C971" s="549" t="s">
        <v>510</v>
      </c>
      <c r="D971" s="549" t="s">
        <v>1169</v>
      </c>
      <c r="E971" s="549" t="s">
        <v>973</v>
      </c>
      <c r="F971" s="549" t="s">
        <v>1212</v>
      </c>
      <c r="G971" s="549">
        <v>262</v>
      </c>
      <c r="H971" s="549" t="s">
        <v>510</v>
      </c>
      <c r="I971" s="549" t="s">
        <v>976</v>
      </c>
      <c r="J971" s="549" t="s">
        <v>976</v>
      </c>
      <c r="K971" s="549" t="s">
        <v>976</v>
      </c>
      <c r="L971" s="549">
        <v>101805.95</v>
      </c>
      <c r="M971" s="549">
        <v>7686.35</v>
      </c>
      <c r="N971" s="549">
        <v>5843.66</v>
      </c>
      <c r="O971" s="549">
        <v>892.8</v>
      </c>
      <c r="P971" s="549">
        <v>100</v>
      </c>
      <c r="Q971" s="549">
        <v>14422.81</v>
      </c>
    </row>
    <row r="972" spans="1:17" x14ac:dyDescent="0.25">
      <c r="A972" s="549" t="s">
        <v>504</v>
      </c>
      <c r="B972" s="549" t="s">
        <v>996</v>
      </c>
      <c r="C972" s="549" t="s">
        <v>510</v>
      </c>
      <c r="D972" s="549" t="s">
        <v>1169</v>
      </c>
      <c r="E972" s="549" t="s">
        <v>973</v>
      </c>
      <c r="F972" s="549" t="s">
        <v>1212</v>
      </c>
      <c r="G972" s="549">
        <v>542</v>
      </c>
      <c r="H972" s="549" t="s">
        <v>510</v>
      </c>
      <c r="I972" s="549" t="s">
        <v>976</v>
      </c>
      <c r="J972" s="549" t="s">
        <v>976</v>
      </c>
      <c r="K972" s="549" t="s">
        <v>976</v>
      </c>
      <c r="L972" s="549">
        <v>316585.76</v>
      </c>
      <c r="M972" s="549">
        <v>23902.22</v>
      </c>
      <c r="N972" s="549">
        <v>18172.02</v>
      </c>
      <c r="O972" s="549">
        <v>1884.8</v>
      </c>
      <c r="P972" s="549">
        <v>100</v>
      </c>
      <c r="Q972" s="549">
        <v>43959.040000000001</v>
      </c>
    </row>
    <row r="973" spans="1:17" x14ac:dyDescent="0.25">
      <c r="A973" s="549" t="s">
        <v>504</v>
      </c>
      <c r="B973" s="549" t="s">
        <v>996</v>
      </c>
      <c r="C973" s="549" t="s">
        <v>510</v>
      </c>
      <c r="D973" s="549" t="s">
        <v>1169</v>
      </c>
      <c r="E973" s="549" t="s">
        <v>973</v>
      </c>
      <c r="F973" s="549" t="s">
        <v>1212</v>
      </c>
      <c r="G973" s="549">
        <v>562</v>
      </c>
      <c r="H973" s="549" t="s">
        <v>510</v>
      </c>
      <c r="I973" s="549" t="s">
        <v>976</v>
      </c>
      <c r="J973" s="549" t="s">
        <v>976</v>
      </c>
      <c r="K973" s="549" t="s">
        <v>976</v>
      </c>
      <c r="L973" s="549">
        <v>316585.76</v>
      </c>
      <c r="M973" s="549">
        <v>23902.22</v>
      </c>
      <c r="N973" s="549">
        <v>18172.02</v>
      </c>
      <c r="O973" s="549">
        <v>1884.8</v>
      </c>
      <c r="P973" s="549">
        <v>100</v>
      </c>
      <c r="Q973" s="549">
        <v>43959.040000000001</v>
      </c>
    </row>
    <row r="974" spans="1:17" x14ac:dyDescent="0.25">
      <c r="A974" s="549" t="s">
        <v>504</v>
      </c>
      <c r="B974" s="549" t="s">
        <v>996</v>
      </c>
      <c r="C974" s="549" t="s">
        <v>510</v>
      </c>
      <c r="D974" s="549" t="s">
        <v>1169</v>
      </c>
      <c r="E974" s="549" t="s">
        <v>973</v>
      </c>
      <c r="F974" s="549" t="s">
        <v>1212</v>
      </c>
      <c r="G974" s="549">
        <v>582</v>
      </c>
      <c r="H974" s="549" t="s">
        <v>510</v>
      </c>
      <c r="I974" s="549" t="s">
        <v>976</v>
      </c>
      <c r="J974" s="549" t="s">
        <v>976</v>
      </c>
      <c r="K974" s="549" t="s">
        <v>976</v>
      </c>
      <c r="L974" s="549">
        <v>316585.76</v>
      </c>
      <c r="M974" s="549">
        <v>23902.22</v>
      </c>
      <c r="N974" s="549">
        <v>18172.02</v>
      </c>
      <c r="O974" s="549">
        <v>1884.8</v>
      </c>
      <c r="P974" s="549">
        <v>100</v>
      </c>
      <c r="Q974" s="549">
        <v>43959.040000000001</v>
      </c>
    </row>
    <row r="975" spans="1:17" x14ac:dyDescent="0.25">
      <c r="A975" s="549" t="s">
        <v>504</v>
      </c>
      <c r="B975" s="549" t="s">
        <v>996</v>
      </c>
      <c r="C975" s="549" t="s">
        <v>510</v>
      </c>
      <c r="D975" s="549" t="s">
        <v>1169</v>
      </c>
      <c r="E975" s="549" t="s">
        <v>973</v>
      </c>
      <c r="F975" s="549" t="s">
        <v>1212</v>
      </c>
      <c r="G975" s="549">
        <v>622</v>
      </c>
      <c r="H975" s="549" t="s">
        <v>510</v>
      </c>
      <c r="I975" s="549" t="s">
        <v>976</v>
      </c>
      <c r="J975" s="549" t="s">
        <v>976</v>
      </c>
      <c r="K975" s="549" t="s">
        <v>976</v>
      </c>
      <c r="L975" s="549">
        <v>316585.76</v>
      </c>
      <c r="M975" s="549">
        <v>23902.22</v>
      </c>
      <c r="N975" s="549">
        <v>18172.02</v>
      </c>
      <c r="O975" s="549">
        <v>1884.8</v>
      </c>
      <c r="P975" s="549">
        <v>100</v>
      </c>
      <c r="Q975" s="549">
        <v>43959.040000000001</v>
      </c>
    </row>
    <row r="976" spans="1:17" x14ac:dyDescent="0.25">
      <c r="A976" s="549" t="s">
        <v>504</v>
      </c>
      <c r="B976" s="549" t="s">
        <v>996</v>
      </c>
      <c r="C976" s="549" t="s">
        <v>510</v>
      </c>
      <c r="D976" s="549" t="s">
        <v>1169</v>
      </c>
      <c r="E976" s="549" t="s">
        <v>973</v>
      </c>
      <c r="F976" s="549" t="s">
        <v>1212</v>
      </c>
      <c r="G976" s="549">
        <v>642</v>
      </c>
      <c r="H976" s="549" t="s">
        <v>510</v>
      </c>
      <c r="I976" s="549" t="s">
        <v>976</v>
      </c>
      <c r="J976" s="549" t="s">
        <v>976</v>
      </c>
      <c r="K976" s="549" t="s">
        <v>976</v>
      </c>
      <c r="L976" s="549">
        <v>316585.76</v>
      </c>
      <c r="M976" s="549">
        <v>23902.22</v>
      </c>
      <c r="N976" s="549">
        <v>18172.02</v>
      </c>
      <c r="O976" s="549">
        <v>1884.8</v>
      </c>
      <c r="P976" s="549">
        <v>100</v>
      </c>
      <c r="Q976" s="549">
        <v>43959.040000000001</v>
      </c>
    </row>
    <row r="977" spans="1:17" x14ac:dyDescent="0.25">
      <c r="A977" s="549" t="s">
        <v>504</v>
      </c>
      <c r="B977" s="549" t="s">
        <v>996</v>
      </c>
      <c r="C977" s="549" t="s">
        <v>510</v>
      </c>
      <c r="D977" s="549" t="s">
        <v>1169</v>
      </c>
      <c r="E977" s="549" t="s">
        <v>977</v>
      </c>
      <c r="F977" s="549" t="s">
        <v>1212</v>
      </c>
      <c r="G977" s="549">
        <v>582</v>
      </c>
      <c r="H977" s="549" t="s">
        <v>510</v>
      </c>
      <c r="I977" s="549" t="s">
        <v>976</v>
      </c>
      <c r="J977" s="549" t="s">
        <v>976</v>
      </c>
      <c r="K977" s="549" t="s">
        <v>976</v>
      </c>
      <c r="L977" s="549">
        <v>316585.76</v>
      </c>
      <c r="M977" s="549">
        <v>23902.22</v>
      </c>
      <c r="N977" s="549">
        <v>6996.55</v>
      </c>
      <c r="O977" s="549">
        <v>1884.8</v>
      </c>
      <c r="P977" s="549">
        <v>0</v>
      </c>
      <c r="Q977" s="549">
        <v>0</v>
      </c>
    </row>
    <row r="978" spans="1:17" x14ac:dyDescent="0.25">
      <c r="A978" s="549" t="s">
        <v>504</v>
      </c>
      <c r="B978" s="549" t="s">
        <v>996</v>
      </c>
      <c r="C978" s="549" t="s">
        <v>510</v>
      </c>
      <c r="D978" s="549" t="s">
        <v>1169</v>
      </c>
      <c r="E978" s="549" t="s">
        <v>977</v>
      </c>
      <c r="F978" s="549" t="s">
        <v>1212</v>
      </c>
      <c r="G978" s="549">
        <v>622</v>
      </c>
      <c r="H978" s="549" t="s">
        <v>510</v>
      </c>
      <c r="I978" s="549" t="s">
        <v>976</v>
      </c>
      <c r="J978" s="549" t="s">
        <v>976</v>
      </c>
      <c r="K978" s="549" t="s">
        <v>976</v>
      </c>
      <c r="L978" s="549">
        <v>316585.76</v>
      </c>
      <c r="M978" s="549">
        <v>23902.22</v>
      </c>
      <c r="N978" s="549">
        <v>6996.55</v>
      </c>
      <c r="O978" s="549">
        <v>1884.8</v>
      </c>
      <c r="P978" s="549">
        <v>0</v>
      </c>
      <c r="Q978" s="549">
        <v>0</v>
      </c>
    </row>
    <row r="979" spans="1:17" x14ac:dyDescent="0.25">
      <c r="A979" s="549" t="s">
        <v>504</v>
      </c>
      <c r="B979" s="549" t="s">
        <v>996</v>
      </c>
      <c r="C979" s="549" t="s">
        <v>510</v>
      </c>
      <c r="D979" s="549" t="s">
        <v>1169</v>
      </c>
      <c r="E979" s="549" t="s">
        <v>977</v>
      </c>
      <c r="F979" s="549" t="s">
        <v>1212</v>
      </c>
      <c r="G979" s="549">
        <v>642</v>
      </c>
      <c r="H979" s="549" t="s">
        <v>510</v>
      </c>
      <c r="I979" s="549" t="s">
        <v>976</v>
      </c>
      <c r="J979" s="549" t="s">
        <v>976</v>
      </c>
      <c r="K979" s="549" t="s">
        <v>976</v>
      </c>
      <c r="L979" s="549">
        <v>316585.76</v>
      </c>
      <c r="M979" s="549">
        <v>23902.22</v>
      </c>
      <c r="N979" s="549">
        <v>6996.55</v>
      </c>
      <c r="O979" s="549">
        <v>1884.8</v>
      </c>
      <c r="P979" s="549">
        <v>0</v>
      </c>
      <c r="Q979" s="549">
        <v>0</v>
      </c>
    </row>
    <row r="980" spans="1:17" x14ac:dyDescent="0.25">
      <c r="A980" s="549" t="s">
        <v>1014</v>
      </c>
      <c r="B980" s="549" t="s">
        <v>1015</v>
      </c>
      <c r="C980" s="549" t="s">
        <v>803</v>
      </c>
      <c r="D980" s="549" t="s">
        <v>804</v>
      </c>
      <c r="E980" s="549" t="s">
        <v>973</v>
      </c>
      <c r="F980" s="549" t="s">
        <v>1212</v>
      </c>
      <c r="G980" s="549">
        <v>212</v>
      </c>
      <c r="H980" s="549" t="s">
        <v>803</v>
      </c>
      <c r="I980" s="549" t="s">
        <v>976</v>
      </c>
      <c r="J980" s="549" t="s">
        <v>976</v>
      </c>
      <c r="K980" s="549" t="s">
        <v>976</v>
      </c>
      <c r="L980" s="549">
        <v>172772.08</v>
      </c>
      <c r="M980" s="549">
        <v>13044.29</v>
      </c>
      <c r="N980" s="549">
        <v>9917.1200000000008</v>
      </c>
      <c r="O980" s="549">
        <v>3968</v>
      </c>
      <c r="P980" s="549">
        <v>28.3</v>
      </c>
      <c r="Q980" s="549">
        <v>7621.02</v>
      </c>
    </row>
    <row r="981" spans="1:17" x14ac:dyDescent="0.25">
      <c r="A981" s="549" t="s">
        <v>1014</v>
      </c>
      <c r="B981" s="549" t="s">
        <v>1015</v>
      </c>
      <c r="C981" s="549" t="s">
        <v>803</v>
      </c>
      <c r="D981" s="549" t="s">
        <v>804</v>
      </c>
      <c r="E981" s="549" t="s">
        <v>973</v>
      </c>
      <c r="F981" s="549" t="s">
        <v>1212</v>
      </c>
      <c r="G981" s="549">
        <v>202</v>
      </c>
      <c r="H981" s="549" t="s">
        <v>803</v>
      </c>
      <c r="I981" s="549" t="s">
        <v>976</v>
      </c>
      <c r="J981" s="549" t="s">
        <v>976</v>
      </c>
      <c r="K981" s="549" t="s">
        <v>976</v>
      </c>
      <c r="L981" s="549">
        <v>172772.08</v>
      </c>
      <c r="M981" s="549">
        <v>13044.29</v>
      </c>
      <c r="N981" s="549">
        <v>9917.1200000000008</v>
      </c>
      <c r="O981" s="549">
        <v>3968</v>
      </c>
      <c r="P981" s="549">
        <v>28.3</v>
      </c>
      <c r="Q981" s="549">
        <v>7621.02</v>
      </c>
    </row>
    <row r="982" spans="1:17" x14ac:dyDescent="0.25">
      <c r="A982" s="549" t="s">
        <v>1014</v>
      </c>
      <c r="B982" s="549" t="s">
        <v>1015</v>
      </c>
      <c r="C982" s="549" t="s">
        <v>803</v>
      </c>
      <c r="D982" s="549" t="s">
        <v>804</v>
      </c>
      <c r="E982" s="549" t="s">
        <v>973</v>
      </c>
      <c r="F982" s="549" t="s">
        <v>1212</v>
      </c>
      <c r="G982" s="549">
        <v>192</v>
      </c>
      <c r="H982" s="549" t="s">
        <v>803</v>
      </c>
      <c r="I982" s="549" t="s">
        <v>976</v>
      </c>
      <c r="J982" s="549" t="s">
        <v>976</v>
      </c>
      <c r="K982" s="549" t="s">
        <v>976</v>
      </c>
      <c r="L982" s="549">
        <v>208431.38</v>
      </c>
      <c r="M982" s="549">
        <v>15736.57</v>
      </c>
      <c r="N982" s="549">
        <v>11963.96</v>
      </c>
      <c r="O982" s="549">
        <v>3968</v>
      </c>
      <c r="P982" s="549">
        <v>28.3</v>
      </c>
      <c r="Q982" s="549">
        <v>8962.19</v>
      </c>
    </row>
    <row r="983" spans="1:17" x14ac:dyDescent="0.25">
      <c r="A983" s="549" t="s">
        <v>1014</v>
      </c>
      <c r="B983" s="549" t="s">
        <v>1015</v>
      </c>
      <c r="C983" s="549" t="s">
        <v>803</v>
      </c>
      <c r="D983" s="549" t="s">
        <v>804</v>
      </c>
      <c r="E983" s="549" t="s">
        <v>973</v>
      </c>
      <c r="F983" s="549" t="s">
        <v>1212</v>
      </c>
      <c r="G983" s="549">
        <v>162</v>
      </c>
      <c r="H983" s="549" t="s">
        <v>803</v>
      </c>
      <c r="I983" s="549" t="s">
        <v>976</v>
      </c>
      <c r="J983" s="549" t="s">
        <v>976</v>
      </c>
      <c r="K983" s="549" t="s">
        <v>976</v>
      </c>
      <c r="L983" s="549">
        <v>186467.44</v>
      </c>
      <c r="M983" s="549">
        <v>14078.29</v>
      </c>
      <c r="N983" s="549">
        <v>10703.23</v>
      </c>
      <c r="O983" s="549">
        <v>1984</v>
      </c>
      <c r="P983" s="549">
        <v>28.3</v>
      </c>
      <c r="Q983" s="549">
        <v>7574.64</v>
      </c>
    </row>
    <row r="984" spans="1:17" x14ac:dyDescent="0.25">
      <c r="A984" s="549" t="s">
        <v>1014</v>
      </c>
      <c r="B984" s="549" t="s">
        <v>1015</v>
      </c>
      <c r="C984" s="549" t="s">
        <v>803</v>
      </c>
      <c r="D984" s="549" t="s">
        <v>804</v>
      </c>
      <c r="E984" s="549" t="s">
        <v>973</v>
      </c>
      <c r="F984" s="549" t="s">
        <v>1212</v>
      </c>
      <c r="G984" s="549">
        <v>152</v>
      </c>
      <c r="H984" s="549" t="s">
        <v>803</v>
      </c>
      <c r="I984" s="549" t="s">
        <v>1161</v>
      </c>
      <c r="J984" s="549" t="s">
        <v>1161</v>
      </c>
      <c r="K984" s="549" t="s">
        <v>1161</v>
      </c>
      <c r="L984" s="549">
        <v>74693.56</v>
      </c>
      <c r="M984" s="549">
        <v>0</v>
      </c>
      <c r="N984" s="549">
        <v>0</v>
      </c>
      <c r="O984" s="549">
        <v>0</v>
      </c>
      <c r="P984" s="549">
        <v>28.3</v>
      </c>
      <c r="Q984" s="549">
        <v>0</v>
      </c>
    </row>
    <row r="985" spans="1:17" x14ac:dyDescent="0.25">
      <c r="A985" s="549" t="s">
        <v>1014</v>
      </c>
      <c r="B985" s="549" t="s">
        <v>1015</v>
      </c>
      <c r="C985" s="549" t="s">
        <v>776</v>
      </c>
      <c r="D985" s="549" t="s">
        <v>777</v>
      </c>
      <c r="E985" s="549" t="s">
        <v>977</v>
      </c>
      <c r="F985" s="549" t="s">
        <v>1212</v>
      </c>
      <c r="G985" s="549" t="s">
        <v>1274</v>
      </c>
      <c r="H985" s="549" t="s">
        <v>776</v>
      </c>
      <c r="I985" s="549" t="s">
        <v>976</v>
      </c>
      <c r="J985" s="549" t="s">
        <v>976</v>
      </c>
      <c r="K985" s="549" t="s">
        <v>976</v>
      </c>
      <c r="L985" s="549">
        <v>40349.230000000003</v>
      </c>
      <c r="M985" s="549">
        <v>3046.37</v>
      </c>
      <c r="N985" s="549">
        <v>891.72</v>
      </c>
      <c r="O985" s="549">
        <v>0</v>
      </c>
      <c r="P985" s="549">
        <v>76.77</v>
      </c>
      <c r="Q985" s="549">
        <v>3023.27</v>
      </c>
    </row>
    <row r="986" spans="1:17" x14ac:dyDescent="0.25">
      <c r="A986" s="549" t="s">
        <v>1014</v>
      </c>
      <c r="B986" s="549" t="s">
        <v>1015</v>
      </c>
      <c r="C986" s="549" t="s">
        <v>776</v>
      </c>
      <c r="D986" s="549" t="s">
        <v>777</v>
      </c>
      <c r="E986" s="549" t="s">
        <v>977</v>
      </c>
      <c r="F986" s="549" t="s">
        <v>1212</v>
      </c>
      <c r="G986" s="549" t="s">
        <v>1237</v>
      </c>
      <c r="H986" s="549" t="s">
        <v>776</v>
      </c>
      <c r="I986" s="549" t="s">
        <v>976</v>
      </c>
      <c r="J986" s="549" t="s">
        <v>976</v>
      </c>
      <c r="K986" s="549" t="s">
        <v>976</v>
      </c>
      <c r="L986" s="549">
        <v>31410.32</v>
      </c>
      <c r="M986" s="549">
        <v>2371.48</v>
      </c>
      <c r="N986" s="549">
        <v>694.17</v>
      </c>
      <c r="O986" s="549">
        <v>0</v>
      </c>
      <c r="P986" s="549">
        <v>100</v>
      </c>
      <c r="Q986" s="549">
        <v>3065.65</v>
      </c>
    </row>
    <row r="987" spans="1:17" x14ac:dyDescent="0.25">
      <c r="A987" s="549" t="s">
        <v>1014</v>
      </c>
      <c r="B987" s="549" t="s">
        <v>1015</v>
      </c>
      <c r="C987" s="549" t="s">
        <v>776</v>
      </c>
      <c r="D987" s="549" t="s">
        <v>777</v>
      </c>
      <c r="E987" s="549" t="s">
        <v>977</v>
      </c>
      <c r="F987" s="549" t="s">
        <v>1212</v>
      </c>
      <c r="G987" s="549">
        <v>38</v>
      </c>
      <c r="H987" s="549" t="s">
        <v>776</v>
      </c>
      <c r="I987" s="549" t="s">
        <v>976</v>
      </c>
      <c r="J987" s="549" t="s">
        <v>976</v>
      </c>
      <c r="K987" s="549" t="s">
        <v>976</v>
      </c>
      <c r="L987" s="549">
        <v>78531.14</v>
      </c>
      <c r="M987" s="549">
        <v>5929.1</v>
      </c>
      <c r="N987" s="549">
        <v>1735.54</v>
      </c>
      <c r="O987" s="549">
        <v>1984</v>
      </c>
      <c r="P987" s="549">
        <v>100</v>
      </c>
      <c r="Q987" s="549">
        <v>9648.64</v>
      </c>
    </row>
    <row r="988" spans="1:17" x14ac:dyDescent="0.25">
      <c r="A988" s="549" t="s">
        <v>1014</v>
      </c>
      <c r="B988" s="549" t="s">
        <v>1015</v>
      </c>
      <c r="C988" s="549" t="s">
        <v>807</v>
      </c>
      <c r="D988" s="549" t="s">
        <v>808</v>
      </c>
      <c r="E988" s="549" t="s">
        <v>977</v>
      </c>
      <c r="F988" s="549" t="s">
        <v>1212</v>
      </c>
      <c r="G988" s="549" t="s">
        <v>1277</v>
      </c>
      <c r="H988" s="549" t="s">
        <v>807</v>
      </c>
      <c r="I988" s="549" t="s">
        <v>976</v>
      </c>
      <c r="J988" s="549" t="s">
        <v>976</v>
      </c>
      <c r="K988" s="549" t="s">
        <v>976</v>
      </c>
      <c r="L988" s="549">
        <v>31999.97</v>
      </c>
      <c r="M988" s="549">
        <v>2416</v>
      </c>
      <c r="N988" s="549">
        <v>707.2</v>
      </c>
      <c r="O988" s="549">
        <v>0</v>
      </c>
      <c r="P988" s="549">
        <v>99.68</v>
      </c>
      <c r="Q988" s="549">
        <v>3113.21</v>
      </c>
    </row>
    <row r="989" spans="1:17" x14ac:dyDescent="0.25">
      <c r="A989" s="549" t="s">
        <v>1014</v>
      </c>
      <c r="B989" s="549" t="s">
        <v>1015</v>
      </c>
      <c r="C989" s="549" t="s">
        <v>807</v>
      </c>
      <c r="D989" s="549" t="s">
        <v>808</v>
      </c>
      <c r="E989" s="549" t="s">
        <v>977</v>
      </c>
      <c r="F989" s="549" t="s">
        <v>1212</v>
      </c>
      <c r="G989" s="549">
        <v>232</v>
      </c>
      <c r="H989" s="549" t="s">
        <v>807</v>
      </c>
      <c r="I989" s="549" t="s">
        <v>976</v>
      </c>
      <c r="J989" s="549" t="s">
        <v>976</v>
      </c>
      <c r="K989" s="549" t="s">
        <v>976</v>
      </c>
      <c r="L989" s="549">
        <v>47854.94</v>
      </c>
      <c r="M989" s="549">
        <v>3613.05</v>
      </c>
      <c r="N989" s="549">
        <v>1057.5899999999999</v>
      </c>
      <c r="O989" s="549">
        <v>3968</v>
      </c>
      <c r="P989" s="549">
        <v>99.68</v>
      </c>
      <c r="Q989" s="549">
        <v>8611</v>
      </c>
    </row>
    <row r="990" spans="1:17" x14ac:dyDescent="0.25">
      <c r="A990" s="549" t="s">
        <v>1014</v>
      </c>
      <c r="B990" s="549" t="s">
        <v>1015</v>
      </c>
      <c r="C990" s="549" t="s">
        <v>807</v>
      </c>
      <c r="D990" s="549" t="s">
        <v>808</v>
      </c>
      <c r="E990" s="549" t="s">
        <v>977</v>
      </c>
      <c r="F990" s="549" t="s">
        <v>1212</v>
      </c>
      <c r="G990" s="549">
        <v>222</v>
      </c>
      <c r="H990" s="549" t="s">
        <v>807</v>
      </c>
      <c r="I990" s="549" t="s">
        <v>976</v>
      </c>
      <c r="J990" s="549" t="s">
        <v>976</v>
      </c>
      <c r="K990" s="549" t="s">
        <v>976</v>
      </c>
      <c r="L990" s="549">
        <v>214598.61</v>
      </c>
      <c r="M990" s="549">
        <v>16202.2</v>
      </c>
      <c r="N990" s="549">
        <v>4742.63</v>
      </c>
      <c r="O990" s="549">
        <v>1984</v>
      </c>
      <c r="P990" s="549">
        <v>99.68</v>
      </c>
      <c r="Q990" s="549">
        <v>22855.46</v>
      </c>
    </row>
    <row r="991" spans="1:17" x14ac:dyDescent="0.25">
      <c r="A991" s="549" t="s">
        <v>1014</v>
      </c>
      <c r="B991" s="549" t="s">
        <v>1015</v>
      </c>
      <c r="C991" s="549" t="s">
        <v>807</v>
      </c>
      <c r="D991" s="549" t="s">
        <v>808</v>
      </c>
      <c r="E991" s="549" t="s">
        <v>977</v>
      </c>
      <c r="F991" s="549" t="s">
        <v>1212</v>
      </c>
      <c r="G991" s="549">
        <v>212</v>
      </c>
      <c r="H991" s="549" t="s">
        <v>807</v>
      </c>
      <c r="I991" s="549" t="s">
        <v>976</v>
      </c>
      <c r="J991" s="549" t="s">
        <v>976</v>
      </c>
      <c r="K991" s="549" t="s">
        <v>976</v>
      </c>
      <c r="L991" s="549">
        <v>47854.94</v>
      </c>
      <c r="M991" s="549">
        <v>3613.05</v>
      </c>
      <c r="N991" s="549">
        <v>1057.5899999999999</v>
      </c>
      <c r="O991" s="549">
        <v>3968</v>
      </c>
      <c r="P991" s="549">
        <v>99.68</v>
      </c>
      <c r="Q991" s="549">
        <v>8611</v>
      </c>
    </row>
    <row r="992" spans="1:17" x14ac:dyDescent="0.25">
      <c r="A992" s="549" t="s">
        <v>504</v>
      </c>
      <c r="B992" s="549" t="s">
        <v>996</v>
      </c>
      <c r="C992" s="549" t="s">
        <v>507</v>
      </c>
      <c r="D992" s="549" t="s">
        <v>816</v>
      </c>
      <c r="E992" s="549" t="s">
        <v>973</v>
      </c>
      <c r="F992" s="549" t="s">
        <v>1212</v>
      </c>
      <c r="G992" s="549">
        <v>42</v>
      </c>
      <c r="H992" s="549" t="s">
        <v>507</v>
      </c>
      <c r="I992" s="549" t="s">
        <v>976</v>
      </c>
      <c r="J992" s="549" t="s">
        <v>976</v>
      </c>
      <c r="K992" s="549" t="s">
        <v>976</v>
      </c>
      <c r="L992" s="549">
        <v>150922.93</v>
      </c>
      <c r="M992" s="549">
        <v>11394.68</v>
      </c>
      <c r="N992" s="549">
        <v>8662.98</v>
      </c>
      <c r="O992" s="549">
        <v>892.8</v>
      </c>
      <c r="P992" s="549">
        <v>100</v>
      </c>
      <c r="Q992" s="549">
        <v>20950.46</v>
      </c>
    </row>
    <row r="993" spans="1:17" x14ac:dyDescent="0.25">
      <c r="A993" s="549" t="s">
        <v>1014</v>
      </c>
      <c r="B993" s="549" t="s">
        <v>1015</v>
      </c>
      <c r="C993" s="549" t="s">
        <v>807</v>
      </c>
      <c r="D993" s="549" t="s">
        <v>808</v>
      </c>
      <c r="E993" s="549" t="s">
        <v>977</v>
      </c>
      <c r="F993" s="549" t="s">
        <v>1212</v>
      </c>
      <c r="G993" s="549">
        <v>72</v>
      </c>
      <c r="H993" s="549" t="s">
        <v>807</v>
      </c>
      <c r="I993" s="549" t="s">
        <v>976</v>
      </c>
      <c r="J993" s="549" t="s">
        <v>976</v>
      </c>
      <c r="K993" s="549" t="s">
        <v>976</v>
      </c>
      <c r="L993" s="549">
        <v>266331.3</v>
      </c>
      <c r="M993" s="549">
        <v>20108.009999999998</v>
      </c>
      <c r="N993" s="549">
        <v>5885.92</v>
      </c>
      <c r="O993" s="549">
        <v>3968</v>
      </c>
      <c r="P993" s="549">
        <v>99.68</v>
      </c>
      <c r="Q993" s="549">
        <v>29866.05</v>
      </c>
    </row>
    <row r="994" spans="1:17" x14ac:dyDescent="0.25">
      <c r="A994" s="549" t="s">
        <v>504</v>
      </c>
      <c r="B994" s="549" t="s">
        <v>996</v>
      </c>
      <c r="C994" s="549" t="s">
        <v>507</v>
      </c>
      <c r="D994" s="549" t="s">
        <v>816</v>
      </c>
      <c r="E994" s="549" t="s">
        <v>973</v>
      </c>
      <c r="F994" s="549" t="s">
        <v>1212</v>
      </c>
      <c r="G994" s="549">
        <v>62</v>
      </c>
      <c r="H994" s="549" t="s">
        <v>507</v>
      </c>
      <c r="I994" s="549" t="s">
        <v>976</v>
      </c>
      <c r="J994" s="549" t="s">
        <v>976</v>
      </c>
      <c r="K994" s="549" t="s">
        <v>976</v>
      </c>
      <c r="L994" s="549">
        <v>150922.93</v>
      </c>
      <c r="M994" s="549">
        <v>11394.68</v>
      </c>
      <c r="N994" s="549">
        <v>8662.98</v>
      </c>
      <c r="O994" s="549">
        <v>892.8</v>
      </c>
      <c r="P994" s="549">
        <v>100</v>
      </c>
      <c r="Q994" s="549">
        <v>20950.46</v>
      </c>
    </row>
    <row r="995" spans="1:17" x14ac:dyDescent="0.25">
      <c r="A995" s="549" t="s">
        <v>504</v>
      </c>
      <c r="B995" s="549" t="s">
        <v>996</v>
      </c>
      <c r="C995" s="549" t="s">
        <v>507</v>
      </c>
      <c r="D995" s="549" t="s">
        <v>816</v>
      </c>
      <c r="E995" s="549" t="s">
        <v>973</v>
      </c>
      <c r="F995" s="549" t="s">
        <v>1212</v>
      </c>
      <c r="G995" s="549">
        <v>72</v>
      </c>
      <c r="H995" s="549" t="s">
        <v>507</v>
      </c>
      <c r="I995" s="549" t="s">
        <v>976</v>
      </c>
      <c r="J995" s="549" t="s">
        <v>976</v>
      </c>
      <c r="K995" s="549" t="s">
        <v>976</v>
      </c>
      <c r="L995" s="549">
        <v>150922.93</v>
      </c>
      <c r="M995" s="549">
        <v>11394.68</v>
      </c>
      <c r="N995" s="549">
        <v>8662.98</v>
      </c>
      <c r="O995" s="549">
        <v>892.8</v>
      </c>
      <c r="P995" s="549">
        <v>100</v>
      </c>
      <c r="Q995" s="549">
        <v>20950.46</v>
      </c>
    </row>
    <row r="996" spans="1:17" x14ac:dyDescent="0.25">
      <c r="A996" s="549" t="s">
        <v>504</v>
      </c>
      <c r="B996" s="549" t="s">
        <v>996</v>
      </c>
      <c r="C996" s="549" t="s">
        <v>507</v>
      </c>
      <c r="D996" s="549" t="s">
        <v>816</v>
      </c>
      <c r="E996" s="549" t="s">
        <v>977</v>
      </c>
      <c r="F996" s="549" t="s">
        <v>1212</v>
      </c>
      <c r="G996" s="549">
        <v>42</v>
      </c>
      <c r="H996" s="549" t="s">
        <v>507</v>
      </c>
      <c r="I996" s="549" t="s">
        <v>976</v>
      </c>
      <c r="J996" s="549" t="s">
        <v>976</v>
      </c>
      <c r="K996" s="549" t="s">
        <v>976</v>
      </c>
      <c r="L996" s="549">
        <v>150922.93</v>
      </c>
      <c r="M996" s="549">
        <v>11394.68</v>
      </c>
      <c r="N996" s="549">
        <v>3335.4</v>
      </c>
      <c r="O996" s="549">
        <v>892.8</v>
      </c>
      <c r="P996" s="549">
        <v>0</v>
      </c>
      <c r="Q996" s="549">
        <v>0</v>
      </c>
    </row>
    <row r="997" spans="1:17" x14ac:dyDescent="0.25">
      <c r="A997" s="549" t="s">
        <v>504</v>
      </c>
      <c r="B997" s="549" t="s">
        <v>996</v>
      </c>
      <c r="C997" s="549" t="s">
        <v>507</v>
      </c>
      <c r="D997" s="549" t="s">
        <v>816</v>
      </c>
      <c r="E997" s="549" t="s">
        <v>977</v>
      </c>
      <c r="F997" s="549" t="s">
        <v>1212</v>
      </c>
      <c r="G997" s="549">
        <v>62</v>
      </c>
      <c r="H997" s="549" t="s">
        <v>507</v>
      </c>
      <c r="I997" s="549" t="s">
        <v>976</v>
      </c>
      <c r="J997" s="549" t="s">
        <v>976</v>
      </c>
      <c r="K997" s="549" t="s">
        <v>976</v>
      </c>
      <c r="L997" s="549">
        <v>150922.93</v>
      </c>
      <c r="M997" s="549">
        <v>11394.68</v>
      </c>
      <c r="N997" s="549">
        <v>3335.4</v>
      </c>
      <c r="O997" s="549">
        <v>892.8</v>
      </c>
      <c r="P997" s="549">
        <v>0</v>
      </c>
      <c r="Q997" s="549">
        <v>0</v>
      </c>
    </row>
    <row r="998" spans="1:17" x14ac:dyDescent="0.25">
      <c r="A998" s="549" t="s">
        <v>504</v>
      </c>
      <c r="B998" s="549" t="s">
        <v>996</v>
      </c>
      <c r="C998" s="549" t="s">
        <v>507</v>
      </c>
      <c r="D998" s="549" t="s">
        <v>816</v>
      </c>
      <c r="E998" s="549" t="s">
        <v>977</v>
      </c>
      <c r="F998" s="549" t="s">
        <v>1212</v>
      </c>
      <c r="G998" s="549">
        <v>72</v>
      </c>
      <c r="H998" s="549" t="s">
        <v>507</v>
      </c>
      <c r="I998" s="549" t="s">
        <v>976</v>
      </c>
      <c r="J998" s="549" t="s">
        <v>976</v>
      </c>
      <c r="K998" s="549" t="s">
        <v>976</v>
      </c>
      <c r="L998" s="549">
        <v>150922.93</v>
      </c>
      <c r="M998" s="549">
        <v>11394.68</v>
      </c>
      <c r="N998" s="549">
        <v>3335.4</v>
      </c>
      <c r="O998" s="549">
        <v>892.8</v>
      </c>
      <c r="P998" s="549">
        <v>0</v>
      </c>
      <c r="Q998" s="549">
        <v>0</v>
      </c>
    </row>
    <row r="999" spans="1:17" x14ac:dyDescent="0.25">
      <c r="A999" s="549" t="s">
        <v>504</v>
      </c>
      <c r="B999" s="549" t="s">
        <v>996</v>
      </c>
      <c r="C999" s="549" t="s">
        <v>539</v>
      </c>
      <c r="D999" s="549" t="s">
        <v>1149</v>
      </c>
      <c r="E999" s="549" t="s">
        <v>973</v>
      </c>
      <c r="F999" s="549" t="s">
        <v>1212</v>
      </c>
      <c r="G999" s="549">
        <v>582</v>
      </c>
      <c r="H999" s="549" t="s">
        <v>539</v>
      </c>
      <c r="I999" s="549" t="s">
        <v>976</v>
      </c>
      <c r="J999" s="549" t="s">
        <v>976</v>
      </c>
      <c r="K999" s="549" t="s">
        <v>976</v>
      </c>
      <c r="L999" s="549">
        <v>159529.99</v>
      </c>
      <c r="M999" s="549">
        <v>12044.51</v>
      </c>
      <c r="N999" s="549">
        <v>9157.02</v>
      </c>
      <c r="O999" s="549">
        <v>892.8</v>
      </c>
      <c r="P999" s="549">
        <v>99.61</v>
      </c>
      <c r="Q999" s="549">
        <v>22008.16</v>
      </c>
    </row>
    <row r="1000" spans="1:17" x14ac:dyDescent="0.25">
      <c r="A1000" s="549" t="s">
        <v>504</v>
      </c>
      <c r="B1000" s="549" t="s">
        <v>996</v>
      </c>
      <c r="C1000" s="549" t="s">
        <v>539</v>
      </c>
      <c r="D1000" s="549" t="s">
        <v>1149</v>
      </c>
      <c r="E1000" s="549" t="s">
        <v>973</v>
      </c>
      <c r="F1000" s="549" t="s">
        <v>1212</v>
      </c>
      <c r="G1000" s="549">
        <v>602</v>
      </c>
      <c r="H1000" s="549" t="s">
        <v>539</v>
      </c>
      <c r="I1000" s="549" t="s">
        <v>976</v>
      </c>
      <c r="J1000" s="549" t="s">
        <v>976</v>
      </c>
      <c r="K1000" s="549" t="s">
        <v>976</v>
      </c>
      <c r="L1000" s="549">
        <v>159529.99</v>
      </c>
      <c r="M1000" s="549">
        <v>12044.51</v>
      </c>
      <c r="N1000" s="549">
        <v>9157.02</v>
      </c>
      <c r="O1000" s="549">
        <v>892.8</v>
      </c>
      <c r="P1000" s="549">
        <v>99.61</v>
      </c>
      <c r="Q1000" s="549">
        <v>22008.16</v>
      </c>
    </row>
    <row r="1001" spans="1:17" x14ac:dyDescent="0.25">
      <c r="A1001" s="549" t="s">
        <v>504</v>
      </c>
      <c r="B1001" s="549" t="s">
        <v>996</v>
      </c>
      <c r="C1001" s="549" t="s">
        <v>539</v>
      </c>
      <c r="D1001" s="549" t="s">
        <v>1149</v>
      </c>
      <c r="E1001" s="549" t="s">
        <v>973</v>
      </c>
      <c r="F1001" s="549" t="s">
        <v>1212</v>
      </c>
      <c r="G1001" s="549">
        <v>642</v>
      </c>
      <c r="H1001" s="549" t="s">
        <v>539</v>
      </c>
      <c r="I1001" s="549" t="s">
        <v>976</v>
      </c>
      <c r="J1001" s="549" t="s">
        <v>976</v>
      </c>
      <c r="K1001" s="549" t="s">
        <v>976</v>
      </c>
      <c r="L1001" s="549">
        <v>159529.99</v>
      </c>
      <c r="M1001" s="549">
        <v>12044.51</v>
      </c>
      <c r="N1001" s="549">
        <v>9157.02</v>
      </c>
      <c r="O1001" s="549">
        <v>892.8</v>
      </c>
      <c r="P1001" s="549">
        <v>99.61</v>
      </c>
      <c r="Q1001" s="549">
        <v>22008.16</v>
      </c>
    </row>
    <row r="1002" spans="1:17" x14ac:dyDescent="0.25">
      <c r="A1002" s="549" t="s">
        <v>504</v>
      </c>
      <c r="B1002" s="549" t="s">
        <v>996</v>
      </c>
      <c r="C1002" s="549" t="s">
        <v>539</v>
      </c>
      <c r="D1002" s="549" t="s">
        <v>1149</v>
      </c>
      <c r="E1002" s="549" t="s">
        <v>977</v>
      </c>
      <c r="F1002" s="549" t="s">
        <v>1212</v>
      </c>
      <c r="G1002" s="549">
        <v>582</v>
      </c>
      <c r="H1002" s="549" t="s">
        <v>539</v>
      </c>
      <c r="I1002" s="549" t="s">
        <v>976</v>
      </c>
      <c r="J1002" s="549" t="s">
        <v>976</v>
      </c>
      <c r="K1002" s="549" t="s">
        <v>976</v>
      </c>
      <c r="L1002" s="549">
        <v>159529.99</v>
      </c>
      <c r="M1002" s="549">
        <v>12044.51</v>
      </c>
      <c r="N1002" s="549">
        <v>3525.61</v>
      </c>
      <c r="O1002" s="549">
        <v>892.8</v>
      </c>
      <c r="P1002" s="549">
        <v>0.39</v>
      </c>
      <c r="Q1002" s="549">
        <v>64.209999999999994</v>
      </c>
    </row>
    <row r="1003" spans="1:17" x14ac:dyDescent="0.25">
      <c r="A1003" s="549" t="s">
        <v>504</v>
      </c>
      <c r="B1003" s="549" t="s">
        <v>996</v>
      </c>
      <c r="C1003" s="549" t="s">
        <v>539</v>
      </c>
      <c r="D1003" s="549" t="s">
        <v>1149</v>
      </c>
      <c r="E1003" s="549" t="s">
        <v>977</v>
      </c>
      <c r="F1003" s="549" t="s">
        <v>1212</v>
      </c>
      <c r="G1003" s="549">
        <v>602</v>
      </c>
      <c r="H1003" s="549" t="s">
        <v>539</v>
      </c>
      <c r="I1003" s="549" t="s">
        <v>976</v>
      </c>
      <c r="J1003" s="549" t="s">
        <v>976</v>
      </c>
      <c r="K1003" s="549" t="s">
        <v>976</v>
      </c>
      <c r="L1003" s="549">
        <v>159529.99</v>
      </c>
      <c r="M1003" s="549">
        <v>12044.51</v>
      </c>
      <c r="N1003" s="549">
        <v>3525.61</v>
      </c>
      <c r="O1003" s="549">
        <v>892.8</v>
      </c>
      <c r="P1003" s="549">
        <v>0.39</v>
      </c>
      <c r="Q1003" s="549">
        <v>64.209999999999994</v>
      </c>
    </row>
    <row r="1004" spans="1:17" x14ac:dyDescent="0.25">
      <c r="A1004" s="549" t="s">
        <v>504</v>
      </c>
      <c r="B1004" s="549" t="s">
        <v>996</v>
      </c>
      <c r="C1004" s="549" t="s">
        <v>539</v>
      </c>
      <c r="D1004" s="549" t="s">
        <v>1149</v>
      </c>
      <c r="E1004" s="549" t="s">
        <v>977</v>
      </c>
      <c r="F1004" s="549" t="s">
        <v>1212</v>
      </c>
      <c r="G1004" s="549">
        <v>642</v>
      </c>
      <c r="H1004" s="549" t="s">
        <v>539</v>
      </c>
      <c r="I1004" s="549" t="s">
        <v>976</v>
      </c>
      <c r="J1004" s="549" t="s">
        <v>976</v>
      </c>
      <c r="K1004" s="549" t="s">
        <v>976</v>
      </c>
      <c r="L1004" s="549">
        <v>159529.99</v>
      </c>
      <c r="M1004" s="549">
        <v>12044.51</v>
      </c>
      <c r="N1004" s="549">
        <v>3525.61</v>
      </c>
      <c r="O1004" s="549">
        <v>892.8</v>
      </c>
      <c r="P1004" s="549">
        <v>0.39</v>
      </c>
      <c r="Q1004" s="549">
        <v>64.209999999999994</v>
      </c>
    </row>
    <row r="1005" spans="1:17" x14ac:dyDescent="0.25">
      <c r="A1005" s="549" t="s">
        <v>998</v>
      </c>
      <c r="B1005" s="549" t="s">
        <v>999</v>
      </c>
      <c r="C1005" s="549" t="s">
        <v>509</v>
      </c>
      <c r="D1005" s="549" t="s">
        <v>656</v>
      </c>
      <c r="E1005" s="549" t="s">
        <v>973</v>
      </c>
      <c r="F1005" s="549" t="s">
        <v>1212</v>
      </c>
      <c r="G1005" s="549">
        <v>532</v>
      </c>
      <c r="H1005" s="549" t="s">
        <v>509</v>
      </c>
      <c r="I1005" s="549" t="s">
        <v>976</v>
      </c>
      <c r="J1005" s="549" t="s">
        <v>976</v>
      </c>
      <c r="K1005" s="549" t="s">
        <v>976</v>
      </c>
      <c r="L1005" s="549">
        <v>274244.67</v>
      </c>
      <c r="M1005" s="549">
        <v>20705.47</v>
      </c>
      <c r="N1005" s="549">
        <v>15741.64</v>
      </c>
      <c r="O1005" s="549">
        <v>6944</v>
      </c>
      <c r="P1005" s="549">
        <v>67.02</v>
      </c>
      <c r="Q1005" s="549">
        <v>29080.720000000001</v>
      </c>
    </row>
    <row r="1006" spans="1:17" x14ac:dyDescent="0.25">
      <c r="A1006" s="549" t="s">
        <v>998</v>
      </c>
      <c r="B1006" s="549" t="s">
        <v>999</v>
      </c>
      <c r="C1006" s="549" t="s">
        <v>509</v>
      </c>
      <c r="D1006" s="549" t="s">
        <v>656</v>
      </c>
      <c r="E1006" s="549" t="s">
        <v>973</v>
      </c>
      <c r="F1006" s="549" t="s">
        <v>1212</v>
      </c>
      <c r="G1006" s="549">
        <v>552</v>
      </c>
      <c r="H1006" s="549" t="s">
        <v>509</v>
      </c>
      <c r="I1006" s="549" t="s">
        <v>976</v>
      </c>
      <c r="J1006" s="549" t="s">
        <v>976</v>
      </c>
      <c r="K1006" s="549" t="s">
        <v>976</v>
      </c>
      <c r="L1006" s="549">
        <v>274244.67</v>
      </c>
      <c r="M1006" s="549">
        <v>20705.47</v>
      </c>
      <c r="N1006" s="549">
        <v>15741.64</v>
      </c>
      <c r="O1006" s="549">
        <v>6944</v>
      </c>
      <c r="P1006" s="549">
        <v>67.02</v>
      </c>
      <c r="Q1006" s="549">
        <v>29080.720000000001</v>
      </c>
    </row>
    <row r="1007" spans="1:17" x14ac:dyDescent="0.25">
      <c r="A1007" s="549" t="s">
        <v>998</v>
      </c>
      <c r="B1007" s="549" t="s">
        <v>999</v>
      </c>
      <c r="C1007" s="549" t="s">
        <v>509</v>
      </c>
      <c r="D1007" s="549" t="s">
        <v>656</v>
      </c>
      <c r="E1007" s="549" t="s">
        <v>973</v>
      </c>
      <c r="F1007" s="549" t="s">
        <v>1212</v>
      </c>
      <c r="G1007" s="549">
        <v>2042</v>
      </c>
      <c r="H1007" s="549" t="s">
        <v>509</v>
      </c>
      <c r="I1007" s="549" t="s">
        <v>976</v>
      </c>
      <c r="J1007" s="549" t="s">
        <v>976</v>
      </c>
      <c r="K1007" s="549" t="s">
        <v>976</v>
      </c>
      <c r="L1007" s="549">
        <v>99162.07</v>
      </c>
      <c r="M1007" s="549">
        <v>7486.74</v>
      </c>
      <c r="N1007" s="549">
        <v>5691.9</v>
      </c>
      <c r="O1007" s="549">
        <v>992</v>
      </c>
      <c r="P1007" s="549">
        <v>67.02</v>
      </c>
      <c r="Q1007" s="549">
        <v>9497.16</v>
      </c>
    </row>
    <row r="1008" spans="1:17" x14ac:dyDescent="0.25">
      <c r="A1008" s="549" t="s">
        <v>998</v>
      </c>
      <c r="B1008" s="549" t="s">
        <v>999</v>
      </c>
      <c r="C1008" s="549" t="s">
        <v>509</v>
      </c>
      <c r="D1008" s="549" t="s">
        <v>656</v>
      </c>
      <c r="E1008" s="549" t="s">
        <v>973</v>
      </c>
      <c r="F1008" s="549" t="s">
        <v>1212</v>
      </c>
      <c r="G1008" s="549">
        <v>2052</v>
      </c>
      <c r="H1008" s="549" t="s">
        <v>509</v>
      </c>
      <c r="I1008" s="549" t="s">
        <v>976</v>
      </c>
      <c r="J1008" s="549" t="s">
        <v>976</v>
      </c>
      <c r="K1008" s="549" t="s">
        <v>976</v>
      </c>
      <c r="L1008" s="549">
        <v>92748.31</v>
      </c>
      <c r="M1008" s="549">
        <v>7002.5</v>
      </c>
      <c r="N1008" s="549">
        <v>5323.75</v>
      </c>
      <c r="O1008" s="549">
        <v>892.8</v>
      </c>
      <c r="P1008" s="549">
        <v>67.02</v>
      </c>
      <c r="Q1008" s="549">
        <v>8859.41</v>
      </c>
    </row>
    <row r="1009" spans="1:17" x14ac:dyDescent="0.25">
      <c r="A1009" s="549" t="s">
        <v>998</v>
      </c>
      <c r="B1009" s="549" t="s">
        <v>999</v>
      </c>
      <c r="C1009" s="549" t="s">
        <v>509</v>
      </c>
      <c r="D1009" s="549" t="s">
        <v>656</v>
      </c>
      <c r="E1009" s="549" t="s">
        <v>973</v>
      </c>
      <c r="F1009" s="549" t="s">
        <v>1212</v>
      </c>
      <c r="G1009" s="549">
        <v>2068</v>
      </c>
      <c r="H1009" s="549" t="s">
        <v>509</v>
      </c>
      <c r="I1009" s="549" t="s">
        <v>976</v>
      </c>
      <c r="J1009" s="549" t="s">
        <v>976</v>
      </c>
      <c r="K1009" s="549" t="s">
        <v>976</v>
      </c>
      <c r="L1009" s="549">
        <v>106431</v>
      </c>
      <c r="M1009" s="549">
        <v>8035.54</v>
      </c>
      <c r="N1009" s="549">
        <v>6109.14</v>
      </c>
      <c r="O1009" s="549">
        <v>992</v>
      </c>
      <c r="P1009" s="549">
        <v>67.02</v>
      </c>
      <c r="Q1009" s="549">
        <v>10144.6</v>
      </c>
    </row>
    <row r="1010" spans="1:17" x14ac:dyDescent="0.25">
      <c r="A1010" s="549" t="s">
        <v>998</v>
      </c>
      <c r="B1010" s="549" t="s">
        <v>999</v>
      </c>
      <c r="C1010" s="549" t="s">
        <v>509</v>
      </c>
      <c r="D1010" s="549" t="s">
        <v>656</v>
      </c>
      <c r="E1010" s="549" t="s">
        <v>973</v>
      </c>
      <c r="F1010" s="549" t="s">
        <v>1212</v>
      </c>
      <c r="G1010" s="549">
        <v>2072</v>
      </c>
      <c r="H1010" s="549" t="s">
        <v>509</v>
      </c>
      <c r="I1010" s="549" t="s">
        <v>976</v>
      </c>
      <c r="J1010" s="549" t="s">
        <v>976</v>
      </c>
      <c r="K1010" s="549" t="s">
        <v>976</v>
      </c>
      <c r="L1010" s="549">
        <v>92748.31</v>
      </c>
      <c r="M1010" s="549">
        <v>7002.5</v>
      </c>
      <c r="N1010" s="549">
        <v>5323.75</v>
      </c>
      <c r="O1010" s="549">
        <v>892.8</v>
      </c>
      <c r="P1010" s="549">
        <v>67.02</v>
      </c>
      <c r="Q1010" s="549">
        <v>8859.41</v>
      </c>
    </row>
    <row r="1011" spans="1:17" x14ac:dyDescent="0.25">
      <c r="A1011" s="549" t="s">
        <v>998</v>
      </c>
      <c r="B1011" s="549" t="s">
        <v>999</v>
      </c>
      <c r="C1011" s="549" t="s">
        <v>509</v>
      </c>
      <c r="D1011" s="549" t="s">
        <v>656</v>
      </c>
      <c r="E1011" s="549" t="s">
        <v>973</v>
      </c>
      <c r="F1011" s="549" t="s">
        <v>1212</v>
      </c>
      <c r="G1011" s="549">
        <v>2082</v>
      </c>
      <c r="H1011" s="549" t="s">
        <v>509</v>
      </c>
      <c r="I1011" s="549" t="s">
        <v>976</v>
      </c>
      <c r="J1011" s="549" t="s">
        <v>976</v>
      </c>
      <c r="K1011" s="549" t="s">
        <v>976</v>
      </c>
      <c r="L1011" s="549">
        <v>99162.07</v>
      </c>
      <c r="M1011" s="549">
        <v>7486.74</v>
      </c>
      <c r="N1011" s="549">
        <v>5691.9</v>
      </c>
      <c r="O1011" s="549">
        <v>992</v>
      </c>
      <c r="P1011" s="549">
        <v>67.02</v>
      </c>
      <c r="Q1011" s="549">
        <v>9497.16</v>
      </c>
    </row>
    <row r="1012" spans="1:17" x14ac:dyDescent="0.25">
      <c r="A1012" s="549" t="s">
        <v>998</v>
      </c>
      <c r="B1012" s="549" t="s">
        <v>999</v>
      </c>
      <c r="C1012" s="549" t="s">
        <v>509</v>
      </c>
      <c r="D1012" s="549" t="s">
        <v>656</v>
      </c>
      <c r="E1012" s="549" t="s">
        <v>973</v>
      </c>
      <c r="F1012" s="549" t="s">
        <v>1212</v>
      </c>
      <c r="G1012" s="549" t="s">
        <v>1278</v>
      </c>
      <c r="H1012" s="549" t="s">
        <v>509</v>
      </c>
      <c r="I1012" s="549" t="s">
        <v>976</v>
      </c>
      <c r="J1012" s="549" t="s">
        <v>976</v>
      </c>
      <c r="K1012" s="549" t="s">
        <v>976</v>
      </c>
      <c r="L1012" s="549">
        <v>31410.32</v>
      </c>
      <c r="M1012" s="549">
        <v>2371.48</v>
      </c>
      <c r="N1012" s="549">
        <v>1802.95</v>
      </c>
      <c r="O1012" s="549">
        <v>0</v>
      </c>
      <c r="P1012" s="549">
        <v>67.02</v>
      </c>
      <c r="Q1012" s="549">
        <v>2797.7</v>
      </c>
    </row>
    <row r="1013" spans="1:17" x14ac:dyDescent="0.25">
      <c r="A1013" s="549" t="s">
        <v>998</v>
      </c>
      <c r="B1013" s="549" t="s">
        <v>999</v>
      </c>
      <c r="C1013" s="549" t="s">
        <v>509</v>
      </c>
      <c r="D1013" s="549" t="s">
        <v>656</v>
      </c>
      <c r="E1013" s="549" t="s">
        <v>973</v>
      </c>
      <c r="F1013" s="549" t="s">
        <v>1212</v>
      </c>
      <c r="G1013" s="549" t="s">
        <v>1279</v>
      </c>
      <c r="H1013" s="549" t="s">
        <v>509</v>
      </c>
      <c r="I1013" s="549" t="s">
        <v>976</v>
      </c>
      <c r="J1013" s="549" t="s">
        <v>976</v>
      </c>
      <c r="K1013" s="549" t="s">
        <v>976</v>
      </c>
      <c r="L1013" s="549">
        <v>31410.32</v>
      </c>
      <c r="M1013" s="549">
        <v>2371.48</v>
      </c>
      <c r="N1013" s="549">
        <v>1802.95</v>
      </c>
      <c r="O1013" s="549">
        <v>0</v>
      </c>
      <c r="P1013" s="549">
        <v>67.02</v>
      </c>
      <c r="Q1013" s="549">
        <v>2797.7</v>
      </c>
    </row>
    <row r="1014" spans="1:17" x14ac:dyDescent="0.25">
      <c r="A1014" s="549" t="s">
        <v>998</v>
      </c>
      <c r="B1014" s="549" t="s">
        <v>999</v>
      </c>
      <c r="C1014" s="549" t="s">
        <v>509</v>
      </c>
      <c r="D1014" s="549" t="s">
        <v>656</v>
      </c>
      <c r="E1014" s="549" t="s">
        <v>977</v>
      </c>
      <c r="F1014" s="549" t="s">
        <v>1212</v>
      </c>
      <c r="G1014" s="549">
        <v>532</v>
      </c>
      <c r="H1014" s="549" t="s">
        <v>509</v>
      </c>
      <c r="I1014" s="549" t="s">
        <v>976</v>
      </c>
      <c r="J1014" s="549" t="s">
        <v>976</v>
      </c>
      <c r="K1014" s="549" t="s">
        <v>976</v>
      </c>
      <c r="L1014" s="549">
        <v>274244.67</v>
      </c>
      <c r="M1014" s="549">
        <v>20705.47</v>
      </c>
      <c r="N1014" s="549">
        <v>6060.81</v>
      </c>
      <c r="O1014" s="549">
        <v>6944</v>
      </c>
      <c r="P1014" s="549">
        <v>32.979999999999997</v>
      </c>
      <c r="Q1014" s="549">
        <v>11117.65</v>
      </c>
    </row>
    <row r="1015" spans="1:17" x14ac:dyDescent="0.25">
      <c r="A1015" s="549" t="s">
        <v>998</v>
      </c>
      <c r="B1015" s="549" t="s">
        <v>999</v>
      </c>
      <c r="C1015" s="549" t="s">
        <v>509</v>
      </c>
      <c r="D1015" s="549" t="s">
        <v>656</v>
      </c>
      <c r="E1015" s="549" t="s">
        <v>977</v>
      </c>
      <c r="F1015" s="549" t="s">
        <v>1212</v>
      </c>
      <c r="G1015" s="549">
        <v>552</v>
      </c>
      <c r="H1015" s="549" t="s">
        <v>509</v>
      </c>
      <c r="I1015" s="549" t="s">
        <v>976</v>
      </c>
      <c r="J1015" s="549" t="s">
        <v>976</v>
      </c>
      <c r="K1015" s="549" t="s">
        <v>976</v>
      </c>
      <c r="L1015" s="549">
        <v>274244.67</v>
      </c>
      <c r="M1015" s="549">
        <v>20705.47</v>
      </c>
      <c r="N1015" s="549">
        <v>6060.81</v>
      </c>
      <c r="O1015" s="549">
        <v>6944</v>
      </c>
      <c r="P1015" s="549">
        <v>32.979999999999997</v>
      </c>
      <c r="Q1015" s="549">
        <v>11117.65</v>
      </c>
    </row>
    <row r="1016" spans="1:17" x14ac:dyDescent="0.25">
      <c r="A1016" s="549" t="s">
        <v>998</v>
      </c>
      <c r="B1016" s="549" t="s">
        <v>999</v>
      </c>
      <c r="C1016" s="549" t="s">
        <v>509</v>
      </c>
      <c r="D1016" s="549" t="s">
        <v>656</v>
      </c>
      <c r="E1016" s="549" t="s">
        <v>977</v>
      </c>
      <c r="F1016" s="549" t="s">
        <v>1212</v>
      </c>
      <c r="G1016" s="549">
        <v>2042</v>
      </c>
      <c r="H1016" s="549" t="s">
        <v>509</v>
      </c>
      <c r="I1016" s="549" t="s">
        <v>976</v>
      </c>
      <c r="J1016" s="549" t="s">
        <v>976</v>
      </c>
      <c r="K1016" s="549" t="s">
        <v>976</v>
      </c>
      <c r="L1016" s="549">
        <v>99162.07</v>
      </c>
      <c r="M1016" s="549">
        <v>7486.74</v>
      </c>
      <c r="N1016" s="549">
        <v>2191.48</v>
      </c>
      <c r="O1016" s="549">
        <v>992</v>
      </c>
      <c r="P1016" s="549">
        <v>32.979999999999997</v>
      </c>
      <c r="Q1016" s="549">
        <v>3519.04</v>
      </c>
    </row>
    <row r="1017" spans="1:17" x14ac:dyDescent="0.25">
      <c r="A1017" s="549" t="s">
        <v>998</v>
      </c>
      <c r="B1017" s="549" t="s">
        <v>999</v>
      </c>
      <c r="C1017" s="549" t="s">
        <v>509</v>
      </c>
      <c r="D1017" s="549" t="s">
        <v>656</v>
      </c>
      <c r="E1017" s="549" t="s">
        <v>977</v>
      </c>
      <c r="F1017" s="549" t="s">
        <v>1212</v>
      </c>
      <c r="G1017" s="549">
        <v>2052</v>
      </c>
      <c r="H1017" s="549" t="s">
        <v>509</v>
      </c>
      <c r="I1017" s="549" t="s">
        <v>976</v>
      </c>
      <c r="J1017" s="549" t="s">
        <v>976</v>
      </c>
      <c r="K1017" s="549" t="s">
        <v>976</v>
      </c>
      <c r="L1017" s="549">
        <v>92748.31</v>
      </c>
      <c r="M1017" s="549">
        <v>7002.5</v>
      </c>
      <c r="N1017" s="549">
        <v>2049.7399999999998</v>
      </c>
      <c r="O1017" s="549">
        <v>892.8</v>
      </c>
      <c r="P1017" s="549">
        <v>32.979999999999997</v>
      </c>
      <c r="Q1017" s="549">
        <v>3279.87</v>
      </c>
    </row>
    <row r="1018" spans="1:17" x14ac:dyDescent="0.25">
      <c r="A1018" s="549" t="s">
        <v>998</v>
      </c>
      <c r="B1018" s="549" t="s">
        <v>999</v>
      </c>
      <c r="C1018" s="549" t="s">
        <v>509</v>
      </c>
      <c r="D1018" s="549" t="s">
        <v>656</v>
      </c>
      <c r="E1018" s="549" t="s">
        <v>977</v>
      </c>
      <c r="F1018" s="549" t="s">
        <v>1212</v>
      </c>
      <c r="G1018" s="549">
        <v>2068</v>
      </c>
      <c r="H1018" s="549" t="s">
        <v>509</v>
      </c>
      <c r="I1018" s="549" t="s">
        <v>976</v>
      </c>
      <c r="J1018" s="549" t="s">
        <v>976</v>
      </c>
      <c r="K1018" s="549" t="s">
        <v>976</v>
      </c>
      <c r="L1018" s="549">
        <v>106431</v>
      </c>
      <c r="M1018" s="549">
        <v>8035.54</v>
      </c>
      <c r="N1018" s="549">
        <v>2352.13</v>
      </c>
      <c r="O1018" s="549">
        <v>992</v>
      </c>
      <c r="P1018" s="549">
        <v>32.979999999999997</v>
      </c>
      <c r="Q1018" s="549">
        <v>3753.02</v>
      </c>
    </row>
    <row r="1019" spans="1:17" x14ac:dyDescent="0.25">
      <c r="A1019" s="549" t="s">
        <v>998</v>
      </c>
      <c r="B1019" s="549" t="s">
        <v>999</v>
      </c>
      <c r="C1019" s="549" t="s">
        <v>509</v>
      </c>
      <c r="D1019" s="549" t="s">
        <v>656</v>
      </c>
      <c r="E1019" s="549" t="s">
        <v>977</v>
      </c>
      <c r="F1019" s="549" t="s">
        <v>1212</v>
      </c>
      <c r="G1019" s="549">
        <v>2072</v>
      </c>
      <c r="H1019" s="549" t="s">
        <v>509</v>
      </c>
      <c r="I1019" s="549" t="s">
        <v>976</v>
      </c>
      <c r="J1019" s="549" t="s">
        <v>976</v>
      </c>
      <c r="K1019" s="549" t="s">
        <v>976</v>
      </c>
      <c r="L1019" s="549">
        <v>92748.31</v>
      </c>
      <c r="M1019" s="549">
        <v>7002.5</v>
      </c>
      <c r="N1019" s="549">
        <v>2049.7399999999998</v>
      </c>
      <c r="O1019" s="549">
        <v>892.8</v>
      </c>
      <c r="P1019" s="549">
        <v>32.979999999999997</v>
      </c>
      <c r="Q1019" s="549">
        <v>3279.87</v>
      </c>
    </row>
    <row r="1020" spans="1:17" x14ac:dyDescent="0.25">
      <c r="A1020" s="549" t="s">
        <v>998</v>
      </c>
      <c r="B1020" s="549" t="s">
        <v>999</v>
      </c>
      <c r="C1020" s="549" t="s">
        <v>509</v>
      </c>
      <c r="D1020" s="549" t="s">
        <v>656</v>
      </c>
      <c r="E1020" s="549" t="s">
        <v>977</v>
      </c>
      <c r="F1020" s="549" t="s">
        <v>1212</v>
      </c>
      <c r="G1020" s="549">
        <v>2082</v>
      </c>
      <c r="H1020" s="549" t="s">
        <v>509</v>
      </c>
      <c r="I1020" s="549" t="s">
        <v>976</v>
      </c>
      <c r="J1020" s="549" t="s">
        <v>976</v>
      </c>
      <c r="K1020" s="549" t="s">
        <v>976</v>
      </c>
      <c r="L1020" s="549">
        <v>99162.07</v>
      </c>
      <c r="M1020" s="549">
        <v>7486.74</v>
      </c>
      <c r="N1020" s="549">
        <v>2191.48</v>
      </c>
      <c r="O1020" s="549">
        <v>992</v>
      </c>
      <c r="P1020" s="549">
        <v>32.979999999999997</v>
      </c>
      <c r="Q1020" s="549">
        <v>3519.04</v>
      </c>
    </row>
    <row r="1021" spans="1:17" x14ac:dyDescent="0.25">
      <c r="A1021" s="549" t="s">
        <v>998</v>
      </c>
      <c r="B1021" s="549" t="s">
        <v>999</v>
      </c>
      <c r="C1021" s="549" t="s">
        <v>509</v>
      </c>
      <c r="D1021" s="549" t="s">
        <v>656</v>
      </c>
      <c r="E1021" s="549" t="s">
        <v>977</v>
      </c>
      <c r="F1021" s="549" t="s">
        <v>1212</v>
      </c>
      <c r="G1021" s="549" t="s">
        <v>1278</v>
      </c>
      <c r="H1021" s="549" t="s">
        <v>509</v>
      </c>
      <c r="I1021" s="549" t="s">
        <v>976</v>
      </c>
      <c r="J1021" s="549" t="s">
        <v>976</v>
      </c>
      <c r="K1021" s="549" t="s">
        <v>976</v>
      </c>
      <c r="L1021" s="549">
        <v>31410.32</v>
      </c>
      <c r="M1021" s="549">
        <v>2371.48</v>
      </c>
      <c r="N1021" s="549">
        <v>694.17</v>
      </c>
      <c r="O1021" s="549">
        <v>0</v>
      </c>
      <c r="P1021" s="549">
        <v>32.979999999999997</v>
      </c>
      <c r="Q1021" s="549">
        <v>1011.05</v>
      </c>
    </row>
    <row r="1022" spans="1:17" x14ac:dyDescent="0.25">
      <c r="A1022" s="549" t="s">
        <v>998</v>
      </c>
      <c r="B1022" s="549" t="s">
        <v>999</v>
      </c>
      <c r="C1022" s="549" t="s">
        <v>509</v>
      </c>
      <c r="D1022" s="549" t="s">
        <v>656</v>
      </c>
      <c r="E1022" s="549" t="s">
        <v>977</v>
      </c>
      <c r="F1022" s="549" t="s">
        <v>1212</v>
      </c>
      <c r="G1022" s="549" t="s">
        <v>1279</v>
      </c>
      <c r="H1022" s="549" t="s">
        <v>509</v>
      </c>
      <c r="I1022" s="549" t="s">
        <v>976</v>
      </c>
      <c r="J1022" s="549" t="s">
        <v>976</v>
      </c>
      <c r="K1022" s="549" t="s">
        <v>976</v>
      </c>
      <c r="L1022" s="549">
        <v>31410.32</v>
      </c>
      <c r="M1022" s="549">
        <v>2371.48</v>
      </c>
      <c r="N1022" s="549">
        <v>694.17</v>
      </c>
      <c r="O1022" s="549">
        <v>0</v>
      </c>
      <c r="P1022" s="549">
        <v>32.979999999999997</v>
      </c>
      <c r="Q1022" s="549">
        <v>1011.05</v>
      </c>
    </row>
    <row r="1023" spans="1:17" x14ac:dyDescent="0.25">
      <c r="A1023" s="549" t="s">
        <v>998</v>
      </c>
      <c r="B1023" s="549" t="s">
        <v>999</v>
      </c>
      <c r="C1023" s="549" t="s">
        <v>660</v>
      </c>
      <c r="D1023" s="549" t="s">
        <v>661</v>
      </c>
      <c r="E1023" s="549" t="s">
        <v>973</v>
      </c>
      <c r="F1023" s="549" t="s">
        <v>1212</v>
      </c>
      <c r="G1023" s="549">
        <v>252</v>
      </c>
      <c r="H1023" s="549" t="s">
        <v>660</v>
      </c>
      <c r="I1023" s="549" t="s">
        <v>976</v>
      </c>
      <c r="J1023" s="549" t="s">
        <v>976</v>
      </c>
      <c r="K1023" s="549" t="s">
        <v>976</v>
      </c>
      <c r="L1023" s="549">
        <v>386732.08</v>
      </c>
      <c r="M1023" s="549">
        <v>29198.27</v>
      </c>
      <c r="N1023" s="549">
        <v>22198.42</v>
      </c>
      <c r="O1023" s="549">
        <v>1984</v>
      </c>
      <c r="P1023" s="549">
        <v>0</v>
      </c>
      <c r="Q1023" s="549">
        <v>0</v>
      </c>
    </row>
    <row r="1024" spans="1:17" x14ac:dyDescent="0.25">
      <c r="A1024" s="549" t="s">
        <v>998</v>
      </c>
      <c r="B1024" s="549" t="s">
        <v>999</v>
      </c>
      <c r="C1024" s="549" t="s">
        <v>660</v>
      </c>
      <c r="D1024" s="549" t="s">
        <v>661</v>
      </c>
      <c r="E1024" s="549" t="s">
        <v>973</v>
      </c>
      <c r="F1024" s="549" t="s">
        <v>1212</v>
      </c>
      <c r="G1024" s="549">
        <v>312</v>
      </c>
      <c r="H1024" s="549" t="s">
        <v>660</v>
      </c>
      <c r="I1024" s="549" t="s">
        <v>976</v>
      </c>
      <c r="J1024" s="549" t="s">
        <v>976</v>
      </c>
      <c r="K1024" s="549" t="s">
        <v>976</v>
      </c>
      <c r="L1024" s="549">
        <v>386732.08</v>
      </c>
      <c r="M1024" s="549">
        <v>29198.27</v>
      </c>
      <c r="N1024" s="549">
        <v>22198.42</v>
      </c>
      <c r="O1024" s="549">
        <v>1984</v>
      </c>
      <c r="P1024" s="549">
        <v>0</v>
      </c>
      <c r="Q1024" s="549">
        <v>0</v>
      </c>
    </row>
    <row r="1025" spans="1:17" x14ac:dyDescent="0.25">
      <c r="A1025" s="549" t="s">
        <v>998</v>
      </c>
      <c r="B1025" s="549" t="s">
        <v>999</v>
      </c>
      <c r="C1025" s="549" t="s">
        <v>660</v>
      </c>
      <c r="D1025" s="549" t="s">
        <v>661</v>
      </c>
      <c r="E1025" s="549" t="s">
        <v>973</v>
      </c>
      <c r="F1025" s="549" t="s">
        <v>1212</v>
      </c>
      <c r="G1025" s="549">
        <v>1032</v>
      </c>
      <c r="H1025" s="549" t="s">
        <v>660</v>
      </c>
      <c r="I1025" s="549" t="s">
        <v>976</v>
      </c>
      <c r="J1025" s="549" t="s">
        <v>976</v>
      </c>
      <c r="K1025" s="549" t="s">
        <v>976</v>
      </c>
      <c r="L1025" s="549">
        <v>157571.17000000001</v>
      </c>
      <c r="M1025" s="549">
        <v>11896.62</v>
      </c>
      <c r="N1025" s="549">
        <v>9044.59</v>
      </c>
      <c r="O1025" s="549">
        <v>3670.4</v>
      </c>
      <c r="P1025" s="549">
        <v>0</v>
      </c>
      <c r="Q1025" s="549">
        <v>0</v>
      </c>
    </row>
    <row r="1026" spans="1:17" x14ac:dyDescent="0.25">
      <c r="A1026" s="549" t="s">
        <v>998</v>
      </c>
      <c r="B1026" s="549" t="s">
        <v>999</v>
      </c>
      <c r="C1026" s="549" t="s">
        <v>660</v>
      </c>
      <c r="D1026" s="549" t="s">
        <v>661</v>
      </c>
      <c r="E1026" s="549" t="s">
        <v>973</v>
      </c>
      <c r="F1026" s="549" t="s">
        <v>1212</v>
      </c>
      <c r="G1026" s="549">
        <v>1037</v>
      </c>
      <c r="H1026" s="549" t="s">
        <v>660</v>
      </c>
      <c r="I1026" s="549" t="s">
        <v>976</v>
      </c>
      <c r="J1026" s="549" t="s">
        <v>976</v>
      </c>
      <c r="K1026" s="549" t="s">
        <v>976</v>
      </c>
      <c r="L1026" s="549">
        <v>21664.73</v>
      </c>
      <c r="M1026" s="549">
        <v>1635.69</v>
      </c>
      <c r="N1026" s="549">
        <v>1243.56</v>
      </c>
      <c r="O1026" s="549">
        <v>992</v>
      </c>
      <c r="P1026" s="549">
        <v>0</v>
      </c>
      <c r="Q1026" s="549">
        <v>0</v>
      </c>
    </row>
    <row r="1027" spans="1:17" x14ac:dyDescent="0.25">
      <c r="A1027" s="549" t="s">
        <v>998</v>
      </c>
      <c r="B1027" s="549" t="s">
        <v>999</v>
      </c>
      <c r="C1027" s="549" t="s">
        <v>660</v>
      </c>
      <c r="D1027" s="549" t="s">
        <v>661</v>
      </c>
      <c r="E1027" s="549" t="s">
        <v>973</v>
      </c>
      <c r="F1027" s="549" t="s">
        <v>1212</v>
      </c>
      <c r="G1027" s="549">
        <v>1042</v>
      </c>
      <c r="H1027" s="549" t="s">
        <v>660</v>
      </c>
      <c r="I1027" s="549" t="s">
        <v>976</v>
      </c>
      <c r="J1027" s="549" t="s">
        <v>976</v>
      </c>
      <c r="K1027" s="549" t="s">
        <v>976</v>
      </c>
      <c r="L1027" s="549">
        <v>143586.46</v>
      </c>
      <c r="M1027" s="549">
        <v>10840.78</v>
      </c>
      <c r="N1027" s="549">
        <v>8241.86</v>
      </c>
      <c r="O1027" s="549">
        <v>1984</v>
      </c>
      <c r="P1027" s="549">
        <v>0</v>
      </c>
      <c r="Q1027" s="549">
        <v>0</v>
      </c>
    </row>
    <row r="1028" spans="1:17" x14ac:dyDescent="0.25">
      <c r="A1028" s="549" t="s">
        <v>998</v>
      </c>
      <c r="B1028" s="549" t="s">
        <v>999</v>
      </c>
      <c r="C1028" s="549" t="s">
        <v>660</v>
      </c>
      <c r="D1028" s="549" t="s">
        <v>661</v>
      </c>
      <c r="E1028" s="549" t="s">
        <v>973</v>
      </c>
      <c r="F1028" s="549" t="s">
        <v>1212</v>
      </c>
      <c r="G1028" s="549">
        <v>1052</v>
      </c>
      <c r="H1028" s="549" t="s">
        <v>660</v>
      </c>
      <c r="I1028" s="549" t="s">
        <v>976</v>
      </c>
      <c r="J1028" s="549" t="s">
        <v>976</v>
      </c>
      <c r="K1028" s="549" t="s">
        <v>976</v>
      </c>
      <c r="L1028" s="549">
        <v>157571.17000000001</v>
      </c>
      <c r="M1028" s="549">
        <v>11896.62</v>
      </c>
      <c r="N1028" s="549">
        <v>9044.59</v>
      </c>
      <c r="O1028" s="549">
        <v>3670.4</v>
      </c>
      <c r="P1028" s="549">
        <v>0</v>
      </c>
      <c r="Q1028" s="549">
        <v>0</v>
      </c>
    </row>
    <row r="1029" spans="1:17" x14ac:dyDescent="0.25">
      <c r="A1029" s="549" t="s">
        <v>998</v>
      </c>
      <c r="B1029" s="549" t="s">
        <v>999</v>
      </c>
      <c r="C1029" s="549" t="s">
        <v>660</v>
      </c>
      <c r="D1029" s="549" t="s">
        <v>661</v>
      </c>
      <c r="E1029" s="549" t="s">
        <v>973</v>
      </c>
      <c r="F1029" s="549" t="s">
        <v>1212</v>
      </c>
      <c r="G1029" s="549">
        <v>1082</v>
      </c>
      <c r="H1029" s="549" t="s">
        <v>660</v>
      </c>
      <c r="I1029" s="549" t="s">
        <v>976</v>
      </c>
      <c r="J1029" s="549" t="s">
        <v>976</v>
      </c>
      <c r="K1029" s="549" t="s">
        <v>976</v>
      </c>
      <c r="L1029" s="549">
        <v>143586.46</v>
      </c>
      <c r="M1029" s="549">
        <v>10840.78</v>
      </c>
      <c r="N1029" s="549">
        <v>8241.86</v>
      </c>
      <c r="O1029" s="549">
        <v>1984</v>
      </c>
      <c r="P1029" s="549">
        <v>0</v>
      </c>
      <c r="Q1029" s="549">
        <v>0</v>
      </c>
    </row>
    <row r="1030" spans="1:17" x14ac:dyDescent="0.25">
      <c r="A1030" s="549" t="s">
        <v>998</v>
      </c>
      <c r="B1030" s="549" t="s">
        <v>999</v>
      </c>
      <c r="C1030" s="549" t="s">
        <v>660</v>
      </c>
      <c r="D1030" s="549" t="s">
        <v>661</v>
      </c>
      <c r="E1030" s="549" t="s">
        <v>973</v>
      </c>
      <c r="F1030" s="549" t="s">
        <v>1212</v>
      </c>
      <c r="G1030" s="549">
        <v>1092</v>
      </c>
      <c r="H1030" s="549" t="s">
        <v>660</v>
      </c>
      <c r="I1030" s="549" t="s">
        <v>976</v>
      </c>
      <c r="J1030" s="549" t="s">
        <v>976</v>
      </c>
      <c r="K1030" s="549" t="s">
        <v>976</v>
      </c>
      <c r="L1030" s="549">
        <v>157571.17000000001</v>
      </c>
      <c r="M1030" s="549">
        <v>11896.62</v>
      </c>
      <c r="N1030" s="549">
        <v>9044.59</v>
      </c>
      <c r="O1030" s="549">
        <v>3670.4</v>
      </c>
      <c r="P1030" s="549">
        <v>0</v>
      </c>
      <c r="Q1030" s="549">
        <v>0</v>
      </c>
    </row>
    <row r="1031" spans="1:17" x14ac:dyDescent="0.25">
      <c r="A1031" s="549" t="s">
        <v>998</v>
      </c>
      <c r="B1031" s="549" t="s">
        <v>999</v>
      </c>
      <c r="C1031" s="549" t="s">
        <v>660</v>
      </c>
      <c r="D1031" s="549" t="s">
        <v>661</v>
      </c>
      <c r="E1031" s="549" t="s">
        <v>973</v>
      </c>
      <c r="F1031" s="549" t="s">
        <v>1212</v>
      </c>
      <c r="G1031" s="549">
        <v>1102</v>
      </c>
      <c r="H1031" s="549" t="s">
        <v>660</v>
      </c>
      <c r="I1031" s="549" t="s">
        <v>976</v>
      </c>
      <c r="J1031" s="549" t="s">
        <v>976</v>
      </c>
      <c r="K1031" s="549" t="s">
        <v>976</v>
      </c>
      <c r="L1031" s="549">
        <v>157571.17000000001</v>
      </c>
      <c r="M1031" s="549">
        <v>11896.62</v>
      </c>
      <c r="N1031" s="549">
        <v>9044.59</v>
      </c>
      <c r="O1031" s="549">
        <v>3670.4</v>
      </c>
      <c r="P1031" s="549">
        <v>0</v>
      </c>
      <c r="Q1031" s="549">
        <v>0</v>
      </c>
    </row>
    <row r="1032" spans="1:17" x14ac:dyDescent="0.25">
      <c r="A1032" s="549" t="s">
        <v>998</v>
      </c>
      <c r="B1032" s="549" t="s">
        <v>999</v>
      </c>
      <c r="C1032" s="549" t="s">
        <v>660</v>
      </c>
      <c r="D1032" s="549" t="s">
        <v>661</v>
      </c>
      <c r="E1032" s="549" t="s">
        <v>973</v>
      </c>
      <c r="F1032" s="549" t="s">
        <v>1212</v>
      </c>
      <c r="G1032" s="549" t="s">
        <v>1233</v>
      </c>
      <c r="H1032" s="549" t="s">
        <v>660</v>
      </c>
      <c r="I1032" s="549" t="s">
        <v>976</v>
      </c>
      <c r="J1032" s="549" t="s">
        <v>976</v>
      </c>
      <c r="K1032" s="549" t="s">
        <v>976</v>
      </c>
      <c r="L1032" s="549">
        <v>37101.199999999997</v>
      </c>
      <c r="M1032" s="549">
        <v>2801.14</v>
      </c>
      <c r="N1032" s="549">
        <v>2129.61</v>
      </c>
      <c r="O1032" s="549">
        <v>1984</v>
      </c>
      <c r="P1032" s="549">
        <v>0</v>
      </c>
      <c r="Q1032" s="549">
        <v>0</v>
      </c>
    </row>
    <row r="1033" spans="1:17" x14ac:dyDescent="0.25">
      <c r="A1033" s="549" t="s">
        <v>998</v>
      </c>
      <c r="B1033" s="549" t="s">
        <v>999</v>
      </c>
      <c r="C1033" s="549" t="s">
        <v>660</v>
      </c>
      <c r="D1033" s="549" t="s">
        <v>661</v>
      </c>
      <c r="E1033" s="549" t="s">
        <v>973</v>
      </c>
      <c r="F1033" s="549" t="s">
        <v>1212</v>
      </c>
      <c r="G1033" s="549" t="s">
        <v>1220</v>
      </c>
      <c r="H1033" s="549" t="s">
        <v>660</v>
      </c>
      <c r="I1033" s="549" t="s">
        <v>976</v>
      </c>
      <c r="J1033" s="549" t="s">
        <v>976</v>
      </c>
      <c r="K1033" s="549" t="s">
        <v>976</v>
      </c>
      <c r="L1033" s="549">
        <v>19411.64</v>
      </c>
      <c r="M1033" s="549">
        <v>1465.58</v>
      </c>
      <c r="N1033" s="549">
        <v>1114.23</v>
      </c>
      <c r="O1033" s="549">
        <v>0</v>
      </c>
      <c r="P1033" s="549">
        <v>0</v>
      </c>
      <c r="Q1033" s="549">
        <v>0</v>
      </c>
    </row>
    <row r="1034" spans="1:17" x14ac:dyDescent="0.25">
      <c r="A1034" s="549" t="s">
        <v>998</v>
      </c>
      <c r="B1034" s="549" t="s">
        <v>999</v>
      </c>
      <c r="C1034" s="549" t="s">
        <v>660</v>
      </c>
      <c r="D1034" s="549" t="s">
        <v>661</v>
      </c>
      <c r="E1034" s="549" t="s">
        <v>973</v>
      </c>
      <c r="F1034" s="549" t="s">
        <v>1212</v>
      </c>
      <c r="G1034" s="549" t="s">
        <v>1280</v>
      </c>
      <c r="H1034" s="549" t="s">
        <v>660</v>
      </c>
      <c r="I1034" s="549" t="s">
        <v>976</v>
      </c>
      <c r="J1034" s="549" t="s">
        <v>976</v>
      </c>
      <c r="K1034" s="549" t="s">
        <v>976</v>
      </c>
      <c r="L1034" s="549">
        <v>19411.64</v>
      </c>
      <c r="M1034" s="549">
        <v>1465.58</v>
      </c>
      <c r="N1034" s="549">
        <v>1114.23</v>
      </c>
      <c r="O1034" s="549">
        <v>0</v>
      </c>
      <c r="P1034" s="549">
        <v>0</v>
      </c>
      <c r="Q1034" s="549">
        <v>0</v>
      </c>
    </row>
    <row r="1035" spans="1:17" x14ac:dyDescent="0.25">
      <c r="A1035" s="549" t="s">
        <v>998</v>
      </c>
      <c r="B1035" s="549" t="s">
        <v>999</v>
      </c>
      <c r="C1035" s="549" t="s">
        <v>660</v>
      </c>
      <c r="D1035" s="549" t="s">
        <v>661</v>
      </c>
      <c r="E1035" s="549" t="s">
        <v>977</v>
      </c>
      <c r="F1035" s="549" t="s">
        <v>1212</v>
      </c>
      <c r="G1035" s="549">
        <v>252</v>
      </c>
      <c r="H1035" s="549" t="s">
        <v>660</v>
      </c>
      <c r="I1035" s="549" t="s">
        <v>976</v>
      </c>
      <c r="J1035" s="549" t="s">
        <v>976</v>
      </c>
      <c r="K1035" s="549" t="s">
        <v>976</v>
      </c>
      <c r="L1035" s="549">
        <v>386732.08</v>
      </c>
      <c r="M1035" s="549">
        <v>29198.27</v>
      </c>
      <c r="N1035" s="549">
        <v>8546.7800000000007</v>
      </c>
      <c r="O1035" s="549">
        <v>1984</v>
      </c>
      <c r="P1035" s="549">
        <v>18.559999999999999</v>
      </c>
      <c r="Q1035" s="549">
        <v>7373.71</v>
      </c>
    </row>
    <row r="1036" spans="1:17" x14ac:dyDescent="0.25">
      <c r="A1036" s="549" t="s">
        <v>998</v>
      </c>
      <c r="B1036" s="549" t="s">
        <v>999</v>
      </c>
      <c r="C1036" s="549" t="s">
        <v>660</v>
      </c>
      <c r="D1036" s="549" t="s">
        <v>661</v>
      </c>
      <c r="E1036" s="549" t="s">
        <v>977</v>
      </c>
      <c r="F1036" s="549" t="s">
        <v>1212</v>
      </c>
      <c r="G1036" s="549">
        <v>312</v>
      </c>
      <c r="H1036" s="549" t="s">
        <v>660</v>
      </c>
      <c r="I1036" s="549" t="s">
        <v>976</v>
      </c>
      <c r="J1036" s="549" t="s">
        <v>976</v>
      </c>
      <c r="K1036" s="549" t="s">
        <v>976</v>
      </c>
      <c r="L1036" s="549">
        <v>386732.08</v>
      </c>
      <c r="M1036" s="549">
        <v>29198.27</v>
      </c>
      <c r="N1036" s="549">
        <v>8546.7800000000007</v>
      </c>
      <c r="O1036" s="549">
        <v>1984</v>
      </c>
      <c r="P1036" s="549">
        <v>18.559999999999999</v>
      </c>
      <c r="Q1036" s="549">
        <v>7373.71</v>
      </c>
    </row>
    <row r="1037" spans="1:17" x14ac:dyDescent="0.25">
      <c r="A1037" s="549" t="s">
        <v>998</v>
      </c>
      <c r="B1037" s="549" t="s">
        <v>999</v>
      </c>
      <c r="C1037" s="549" t="s">
        <v>660</v>
      </c>
      <c r="D1037" s="549" t="s">
        <v>661</v>
      </c>
      <c r="E1037" s="549" t="s">
        <v>977</v>
      </c>
      <c r="F1037" s="549" t="s">
        <v>1212</v>
      </c>
      <c r="G1037" s="549">
        <v>1032</v>
      </c>
      <c r="H1037" s="549" t="s">
        <v>660</v>
      </c>
      <c r="I1037" s="549" t="s">
        <v>976</v>
      </c>
      <c r="J1037" s="549" t="s">
        <v>976</v>
      </c>
      <c r="K1037" s="549" t="s">
        <v>976</v>
      </c>
      <c r="L1037" s="549">
        <v>157571.17000000001</v>
      </c>
      <c r="M1037" s="549">
        <v>11896.62</v>
      </c>
      <c r="N1037" s="549">
        <v>3482.32</v>
      </c>
      <c r="O1037" s="549">
        <v>3670.4</v>
      </c>
      <c r="P1037" s="549">
        <v>100</v>
      </c>
      <c r="Q1037" s="549">
        <v>19049.34</v>
      </c>
    </row>
    <row r="1038" spans="1:17" x14ac:dyDescent="0.25">
      <c r="A1038" s="549" t="s">
        <v>998</v>
      </c>
      <c r="B1038" s="549" t="s">
        <v>999</v>
      </c>
      <c r="C1038" s="549" t="s">
        <v>660</v>
      </c>
      <c r="D1038" s="549" t="s">
        <v>661</v>
      </c>
      <c r="E1038" s="549" t="s">
        <v>977</v>
      </c>
      <c r="F1038" s="549" t="s">
        <v>1212</v>
      </c>
      <c r="G1038" s="549">
        <v>1037</v>
      </c>
      <c r="H1038" s="549" t="s">
        <v>660</v>
      </c>
      <c r="I1038" s="549" t="s">
        <v>976</v>
      </c>
      <c r="J1038" s="549" t="s">
        <v>976</v>
      </c>
      <c r="K1038" s="549" t="s">
        <v>976</v>
      </c>
      <c r="L1038" s="549">
        <v>21664.73</v>
      </c>
      <c r="M1038" s="549">
        <v>1635.69</v>
      </c>
      <c r="N1038" s="549">
        <v>478.79</v>
      </c>
      <c r="O1038" s="549">
        <v>992</v>
      </c>
      <c r="P1038" s="549">
        <v>100</v>
      </c>
      <c r="Q1038" s="549">
        <v>3106.48</v>
      </c>
    </row>
    <row r="1039" spans="1:17" x14ac:dyDescent="0.25">
      <c r="A1039" s="549" t="s">
        <v>998</v>
      </c>
      <c r="B1039" s="549" t="s">
        <v>999</v>
      </c>
      <c r="C1039" s="549" t="s">
        <v>660</v>
      </c>
      <c r="D1039" s="549" t="s">
        <v>661</v>
      </c>
      <c r="E1039" s="549" t="s">
        <v>977</v>
      </c>
      <c r="F1039" s="549" t="s">
        <v>1212</v>
      </c>
      <c r="G1039" s="549">
        <v>1042</v>
      </c>
      <c r="H1039" s="549" t="s">
        <v>660</v>
      </c>
      <c r="I1039" s="549" t="s">
        <v>976</v>
      </c>
      <c r="J1039" s="549" t="s">
        <v>976</v>
      </c>
      <c r="K1039" s="549" t="s">
        <v>976</v>
      </c>
      <c r="L1039" s="549">
        <v>143586.46</v>
      </c>
      <c r="M1039" s="549">
        <v>10840.78</v>
      </c>
      <c r="N1039" s="549">
        <v>3173.26</v>
      </c>
      <c r="O1039" s="549">
        <v>1984</v>
      </c>
      <c r="P1039" s="549">
        <v>100</v>
      </c>
      <c r="Q1039" s="549">
        <v>15998.04</v>
      </c>
    </row>
    <row r="1040" spans="1:17" x14ac:dyDescent="0.25">
      <c r="A1040" s="549" t="s">
        <v>998</v>
      </c>
      <c r="B1040" s="549" t="s">
        <v>999</v>
      </c>
      <c r="C1040" s="549" t="s">
        <v>660</v>
      </c>
      <c r="D1040" s="549" t="s">
        <v>661</v>
      </c>
      <c r="E1040" s="549" t="s">
        <v>977</v>
      </c>
      <c r="F1040" s="549" t="s">
        <v>1212</v>
      </c>
      <c r="G1040" s="549">
        <v>1052</v>
      </c>
      <c r="H1040" s="549" t="s">
        <v>660</v>
      </c>
      <c r="I1040" s="549" t="s">
        <v>976</v>
      </c>
      <c r="J1040" s="549" t="s">
        <v>976</v>
      </c>
      <c r="K1040" s="549" t="s">
        <v>976</v>
      </c>
      <c r="L1040" s="549">
        <v>157571.17000000001</v>
      </c>
      <c r="M1040" s="549">
        <v>11896.62</v>
      </c>
      <c r="N1040" s="549">
        <v>3482.32</v>
      </c>
      <c r="O1040" s="549">
        <v>3670.4</v>
      </c>
      <c r="P1040" s="549">
        <v>100</v>
      </c>
      <c r="Q1040" s="549">
        <v>19049.34</v>
      </c>
    </row>
    <row r="1041" spans="1:17" x14ac:dyDescent="0.25">
      <c r="A1041" s="549" t="s">
        <v>998</v>
      </c>
      <c r="B1041" s="549" t="s">
        <v>999</v>
      </c>
      <c r="C1041" s="549" t="s">
        <v>660</v>
      </c>
      <c r="D1041" s="549" t="s">
        <v>661</v>
      </c>
      <c r="E1041" s="549" t="s">
        <v>977</v>
      </c>
      <c r="F1041" s="549" t="s">
        <v>1212</v>
      </c>
      <c r="G1041" s="549">
        <v>1082</v>
      </c>
      <c r="H1041" s="549" t="s">
        <v>660</v>
      </c>
      <c r="I1041" s="549" t="s">
        <v>976</v>
      </c>
      <c r="J1041" s="549" t="s">
        <v>976</v>
      </c>
      <c r="K1041" s="549" t="s">
        <v>976</v>
      </c>
      <c r="L1041" s="549">
        <v>143586.46</v>
      </c>
      <c r="M1041" s="549">
        <v>10840.78</v>
      </c>
      <c r="N1041" s="549">
        <v>3173.26</v>
      </c>
      <c r="O1041" s="549">
        <v>1984</v>
      </c>
      <c r="P1041" s="549">
        <v>100</v>
      </c>
      <c r="Q1041" s="549">
        <v>15998.04</v>
      </c>
    </row>
    <row r="1042" spans="1:17" x14ac:dyDescent="0.25">
      <c r="A1042" s="549" t="s">
        <v>998</v>
      </c>
      <c r="B1042" s="549" t="s">
        <v>999</v>
      </c>
      <c r="C1042" s="549" t="s">
        <v>660</v>
      </c>
      <c r="D1042" s="549" t="s">
        <v>661</v>
      </c>
      <c r="E1042" s="549" t="s">
        <v>977</v>
      </c>
      <c r="F1042" s="549" t="s">
        <v>1212</v>
      </c>
      <c r="G1042" s="549">
        <v>1092</v>
      </c>
      <c r="H1042" s="549" t="s">
        <v>660</v>
      </c>
      <c r="I1042" s="549" t="s">
        <v>976</v>
      </c>
      <c r="J1042" s="549" t="s">
        <v>976</v>
      </c>
      <c r="K1042" s="549" t="s">
        <v>976</v>
      </c>
      <c r="L1042" s="549">
        <v>157571.17000000001</v>
      </c>
      <c r="M1042" s="549">
        <v>11896.62</v>
      </c>
      <c r="N1042" s="549">
        <v>3482.32</v>
      </c>
      <c r="O1042" s="549">
        <v>3670.4</v>
      </c>
      <c r="P1042" s="549">
        <v>100</v>
      </c>
      <c r="Q1042" s="549">
        <v>19049.34</v>
      </c>
    </row>
    <row r="1043" spans="1:17" x14ac:dyDescent="0.25">
      <c r="A1043" s="549" t="s">
        <v>998</v>
      </c>
      <c r="B1043" s="549" t="s">
        <v>999</v>
      </c>
      <c r="C1043" s="549" t="s">
        <v>660</v>
      </c>
      <c r="D1043" s="549" t="s">
        <v>661</v>
      </c>
      <c r="E1043" s="549" t="s">
        <v>977</v>
      </c>
      <c r="F1043" s="549" t="s">
        <v>1212</v>
      </c>
      <c r="G1043" s="549">
        <v>1102</v>
      </c>
      <c r="H1043" s="549" t="s">
        <v>660</v>
      </c>
      <c r="I1043" s="549" t="s">
        <v>976</v>
      </c>
      <c r="J1043" s="549" t="s">
        <v>976</v>
      </c>
      <c r="K1043" s="549" t="s">
        <v>976</v>
      </c>
      <c r="L1043" s="549">
        <v>157571.17000000001</v>
      </c>
      <c r="M1043" s="549">
        <v>11896.62</v>
      </c>
      <c r="N1043" s="549">
        <v>3482.32</v>
      </c>
      <c r="O1043" s="549">
        <v>3670.4</v>
      </c>
      <c r="P1043" s="549">
        <v>100</v>
      </c>
      <c r="Q1043" s="549">
        <v>19049.34</v>
      </c>
    </row>
    <row r="1044" spans="1:17" x14ac:dyDescent="0.25">
      <c r="A1044" s="549" t="s">
        <v>998</v>
      </c>
      <c r="B1044" s="549" t="s">
        <v>999</v>
      </c>
      <c r="C1044" s="549" t="s">
        <v>660</v>
      </c>
      <c r="D1044" s="549" t="s">
        <v>661</v>
      </c>
      <c r="E1044" s="549" t="s">
        <v>977</v>
      </c>
      <c r="F1044" s="549" t="s">
        <v>1212</v>
      </c>
      <c r="G1044" s="549" t="s">
        <v>1233</v>
      </c>
      <c r="H1044" s="549" t="s">
        <v>660</v>
      </c>
      <c r="I1044" s="549" t="s">
        <v>976</v>
      </c>
      <c r="J1044" s="549" t="s">
        <v>976</v>
      </c>
      <c r="K1044" s="549" t="s">
        <v>976</v>
      </c>
      <c r="L1044" s="549">
        <v>37101.199999999997</v>
      </c>
      <c r="M1044" s="549">
        <v>2801.14</v>
      </c>
      <c r="N1044" s="549">
        <v>819.94</v>
      </c>
      <c r="O1044" s="549">
        <v>1984</v>
      </c>
      <c r="P1044" s="549">
        <v>100</v>
      </c>
      <c r="Q1044" s="549">
        <v>5605.08</v>
      </c>
    </row>
    <row r="1045" spans="1:17" x14ac:dyDescent="0.25">
      <c r="A1045" s="549" t="s">
        <v>998</v>
      </c>
      <c r="B1045" s="549" t="s">
        <v>999</v>
      </c>
      <c r="C1045" s="549" t="s">
        <v>660</v>
      </c>
      <c r="D1045" s="549" t="s">
        <v>661</v>
      </c>
      <c r="E1045" s="549" t="s">
        <v>977</v>
      </c>
      <c r="F1045" s="549" t="s">
        <v>1212</v>
      </c>
      <c r="G1045" s="549" t="s">
        <v>1220</v>
      </c>
      <c r="H1045" s="549" t="s">
        <v>660</v>
      </c>
      <c r="I1045" s="549" t="s">
        <v>976</v>
      </c>
      <c r="J1045" s="549" t="s">
        <v>976</v>
      </c>
      <c r="K1045" s="549" t="s">
        <v>976</v>
      </c>
      <c r="L1045" s="549">
        <v>19411.64</v>
      </c>
      <c r="M1045" s="549">
        <v>1465.58</v>
      </c>
      <c r="N1045" s="549">
        <v>429</v>
      </c>
      <c r="O1045" s="549">
        <v>0</v>
      </c>
      <c r="P1045" s="549">
        <v>100</v>
      </c>
      <c r="Q1045" s="549">
        <v>1894.58</v>
      </c>
    </row>
    <row r="1046" spans="1:17" x14ac:dyDescent="0.25">
      <c r="A1046" s="549" t="s">
        <v>998</v>
      </c>
      <c r="B1046" s="549" t="s">
        <v>999</v>
      </c>
      <c r="C1046" s="549" t="s">
        <v>660</v>
      </c>
      <c r="D1046" s="549" t="s">
        <v>661</v>
      </c>
      <c r="E1046" s="549" t="s">
        <v>977</v>
      </c>
      <c r="F1046" s="549" t="s">
        <v>1212</v>
      </c>
      <c r="G1046" s="549" t="s">
        <v>1280</v>
      </c>
      <c r="H1046" s="549" t="s">
        <v>660</v>
      </c>
      <c r="I1046" s="549" t="s">
        <v>976</v>
      </c>
      <c r="J1046" s="549" t="s">
        <v>976</v>
      </c>
      <c r="K1046" s="549" t="s">
        <v>976</v>
      </c>
      <c r="L1046" s="549">
        <v>19411.64</v>
      </c>
      <c r="M1046" s="549">
        <v>1465.58</v>
      </c>
      <c r="N1046" s="549">
        <v>429</v>
      </c>
      <c r="O1046" s="549">
        <v>0</v>
      </c>
      <c r="P1046" s="549">
        <v>100</v>
      </c>
      <c r="Q1046" s="549">
        <v>1894.58</v>
      </c>
    </row>
    <row r="1047" spans="1:17" x14ac:dyDescent="0.25">
      <c r="A1047" s="549" t="s">
        <v>998</v>
      </c>
      <c r="B1047" s="549" t="s">
        <v>999</v>
      </c>
      <c r="C1047" s="549" t="s">
        <v>658</v>
      </c>
      <c r="D1047" s="549" t="s">
        <v>659</v>
      </c>
      <c r="E1047" s="549" t="s">
        <v>977</v>
      </c>
      <c r="F1047" s="549" t="s">
        <v>1212</v>
      </c>
      <c r="G1047" s="549">
        <v>82</v>
      </c>
      <c r="H1047" s="549" t="s">
        <v>660</v>
      </c>
      <c r="I1047" s="549" t="s">
        <v>976</v>
      </c>
      <c r="J1047" s="549" t="s">
        <v>976</v>
      </c>
      <c r="K1047" s="549" t="s">
        <v>976</v>
      </c>
      <c r="L1047" s="549">
        <v>431100.46</v>
      </c>
      <c r="M1047" s="549">
        <v>32548.080000000002</v>
      </c>
      <c r="N1047" s="549">
        <v>9527.32</v>
      </c>
      <c r="O1047" s="549">
        <v>3968</v>
      </c>
      <c r="P1047" s="549">
        <v>95.79</v>
      </c>
      <c r="Q1047" s="549">
        <v>44104.97</v>
      </c>
    </row>
    <row r="1048" spans="1:17" x14ac:dyDescent="0.25">
      <c r="A1048" s="549" t="s">
        <v>998</v>
      </c>
      <c r="B1048" s="549" t="s">
        <v>999</v>
      </c>
      <c r="C1048" s="549" t="s">
        <v>658</v>
      </c>
      <c r="D1048" s="549" t="s">
        <v>659</v>
      </c>
      <c r="E1048" s="549" t="s">
        <v>977</v>
      </c>
      <c r="F1048" s="549" t="s">
        <v>1212</v>
      </c>
      <c r="G1048" s="549">
        <v>102</v>
      </c>
      <c r="H1048" s="549" t="s">
        <v>660</v>
      </c>
      <c r="I1048" s="549" t="s">
        <v>976</v>
      </c>
      <c r="J1048" s="549" t="s">
        <v>976</v>
      </c>
      <c r="K1048" s="549" t="s">
        <v>976</v>
      </c>
      <c r="L1048" s="549">
        <v>431100.46</v>
      </c>
      <c r="M1048" s="549">
        <v>32548.080000000002</v>
      </c>
      <c r="N1048" s="549">
        <v>9527.32</v>
      </c>
      <c r="O1048" s="549">
        <v>3968</v>
      </c>
      <c r="P1048" s="549">
        <v>95.79</v>
      </c>
      <c r="Q1048" s="549">
        <v>44104.97</v>
      </c>
    </row>
    <row r="1049" spans="1:17" x14ac:dyDescent="0.25">
      <c r="A1049" s="549" t="s">
        <v>998</v>
      </c>
      <c r="B1049" s="549" t="s">
        <v>999</v>
      </c>
      <c r="C1049" s="549" t="s">
        <v>658</v>
      </c>
      <c r="D1049" s="549" t="s">
        <v>659</v>
      </c>
      <c r="E1049" s="549" t="s">
        <v>977</v>
      </c>
      <c r="F1049" s="549" t="s">
        <v>1212</v>
      </c>
      <c r="G1049" s="549">
        <v>252</v>
      </c>
      <c r="H1049" s="549" t="s">
        <v>660</v>
      </c>
      <c r="I1049" s="549" t="s">
        <v>976</v>
      </c>
      <c r="J1049" s="549" t="s">
        <v>976</v>
      </c>
      <c r="K1049" s="549" t="s">
        <v>976</v>
      </c>
      <c r="L1049" s="549">
        <v>386732.08</v>
      </c>
      <c r="M1049" s="549">
        <v>29198.27</v>
      </c>
      <c r="N1049" s="549">
        <v>8546.7800000000007</v>
      </c>
      <c r="O1049" s="549">
        <v>1984</v>
      </c>
      <c r="P1049" s="549">
        <v>33.479999999999997</v>
      </c>
      <c r="Q1049" s="549">
        <v>13301.29</v>
      </c>
    </row>
    <row r="1050" spans="1:17" x14ac:dyDescent="0.25">
      <c r="A1050" s="549" t="s">
        <v>998</v>
      </c>
      <c r="B1050" s="549" t="s">
        <v>999</v>
      </c>
      <c r="C1050" s="549" t="s">
        <v>658</v>
      </c>
      <c r="D1050" s="549" t="s">
        <v>659</v>
      </c>
      <c r="E1050" s="549" t="s">
        <v>977</v>
      </c>
      <c r="F1050" s="549" t="s">
        <v>1212</v>
      </c>
      <c r="G1050" s="549">
        <v>312</v>
      </c>
      <c r="H1050" s="549" t="s">
        <v>660</v>
      </c>
      <c r="I1050" s="549" t="s">
        <v>976</v>
      </c>
      <c r="J1050" s="549" t="s">
        <v>976</v>
      </c>
      <c r="K1050" s="549" t="s">
        <v>976</v>
      </c>
      <c r="L1050" s="549">
        <v>386732.08</v>
      </c>
      <c r="M1050" s="549">
        <v>29198.27</v>
      </c>
      <c r="N1050" s="549">
        <v>8546.7800000000007</v>
      </c>
      <c r="O1050" s="549">
        <v>1984</v>
      </c>
      <c r="P1050" s="549">
        <v>33.479999999999997</v>
      </c>
      <c r="Q1050" s="549">
        <v>13301.29</v>
      </c>
    </row>
    <row r="1051" spans="1:17" x14ac:dyDescent="0.25">
      <c r="A1051" s="549" t="s">
        <v>998</v>
      </c>
      <c r="B1051" s="549" t="s">
        <v>999</v>
      </c>
      <c r="C1051" s="549" t="s">
        <v>658</v>
      </c>
      <c r="D1051" s="549" t="s">
        <v>659</v>
      </c>
      <c r="E1051" s="549" t="s">
        <v>977</v>
      </c>
      <c r="F1051" s="549" t="s">
        <v>1212</v>
      </c>
      <c r="G1051" s="549">
        <v>1042</v>
      </c>
      <c r="H1051" s="549" t="s">
        <v>660</v>
      </c>
      <c r="I1051" s="549" t="s">
        <v>976</v>
      </c>
      <c r="J1051" s="549" t="s">
        <v>976</v>
      </c>
      <c r="K1051" s="549" t="s">
        <v>976</v>
      </c>
      <c r="L1051" s="549">
        <v>143586.46</v>
      </c>
      <c r="M1051" s="549">
        <v>10840.78</v>
      </c>
      <c r="N1051" s="549">
        <v>3173.26</v>
      </c>
      <c r="O1051" s="549">
        <v>1984</v>
      </c>
      <c r="P1051" s="549">
        <v>0</v>
      </c>
      <c r="Q1051" s="549">
        <v>0</v>
      </c>
    </row>
    <row r="1052" spans="1:17" x14ac:dyDescent="0.25">
      <c r="A1052" s="549" t="s">
        <v>998</v>
      </c>
      <c r="B1052" s="549" t="s">
        <v>999</v>
      </c>
      <c r="C1052" s="549" t="s">
        <v>658</v>
      </c>
      <c r="D1052" s="549" t="s">
        <v>659</v>
      </c>
      <c r="E1052" s="549" t="s">
        <v>977</v>
      </c>
      <c r="F1052" s="549" t="s">
        <v>1212</v>
      </c>
      <c r="G1052" s="549">
        <v>1082</v>
      </c>
      <c r="H1052" s="549" t="s">
        <v>660</v>
      </c>
      <c r="I1052" s="549" t="s">
        <v>976</v>
      </c>
      <c r="J1052" s="549" t="s">
        <v>976</v>
      </c>
      <c r="K1052" s="549" t="s">
        <v>976</v>
      </c>
      <c r="L1052" s="549">
        <v>143586.46</v>
      </c>
      <c r="M1052" s="549">
        <v>10840.78</v>
      </c>
      <c r="N1052" s="549">
        <v>3173.26</v>
      </c>
      <c r="O1052" s="549">
        <v>1984</v>
      </c>
      <c r="P1052" s="549">
        <v>0</v>
      </c>
      <c r="Q1052" s="549">
        <v>0</v>
      </c>
    </row>
    <row r="1053" spans="1:17" x14ac:dyDescent="0.25">
      <c r="A1053" s="549" t="s">
        <v>998</v>
      </c>
      <c r="B1053" s="549" t="s">
        <v>999</v>
      </c>
      <c r="C1053" s="549" t="s">
        <v>658</v>
      </c>
      <c r="D1053" s="549" t="s">
        <v>659</v>
      </c>
      <c r="E1053" s="549" t="s">
        <v>977</v>
      </c>
      <c r="F1053" s="549" t="s">
        <v>1212</v>
      </c>
      <c r="G1053" s="549" t="s">
        <v>1233</v>
      </c>
      <c r="H1053" s="549" t="s">
        <v>660</v>
      </c>
      <c r="I1053" s="549" t="s">
        <v>976</v>
      </c>
      <c r="J1053" s="549" t="s">
        <v>976</v>
      </c>
      <c r="K1053" s="549" t="s">
        <v>976</v>
      </c>
      <c r="L1053" s="549">
        <v>37101.199999999997</v>
      </c>
      <c r="M1053" s="549">
        <v>2801.14</v>
      </c>
      <c r="N1053" s="549">
        <v>819.94</v>
      </c>
      <c r="O1053" s="549">
        <v>1984</v>
      </c>
      <c r="P1053" s="549">
        <v>0</v>
      </c>
      <c r="Q1053" s="549">
        <v>0</v>
      </c>
    </row>
    <row r="1054" spans="1:17" x14ac:dyDescent="0.25">
      <c r="A1054" s="549" t="s">
        <v>998</v>
      </c>
      <c r="B1054" s="549" t="s">
        <v>999</v>
      </c>
      <c r="C1054" s="549" t="s">
        <v>658</v>
      </c>
      <c r="D1054" s="549" t="s">
        <v>659</v>
      </c>
      <c r="E1054" s="549" t="s">
        <v>977</v>
      </c>
      <c r="F1054" s="549" t="s">
        <v>1212</v>
      </c>
      <c r="G1054" s="549" t="s">
        <v>1220</v>
      </c>
      <c r="H1054" s="549" t="s">
        <v>660</v>
      </c>
      <c r="I1054" s="549" t="s">
        <v>976</v>
      </c>
      <c r="J1054" s="549" t="s">
        <v>976</v>
      </c>
      <c r="K1054" s="549" t="s">
        <v>976</v>
      </c>
      <c r="L1054" s="549">
        <v>19411.64</v>
      </c>
      <c r="M1054" s="549">
        <v>1465.58</v>
      </c>
      <c r="N1054" s="549">
        <v>429</v>
      </c>
      <c r="O1054" s="549">
        <v>0</v>
      </c>
      <c r="P1054" s="549">
        <v>0</v>
      </c>
      <c r="Q1054" s="549">
        <v>0</v>
      </c>
    </row>
    <row r="1055" spans="1:17" x14ac:dyDescent="0.25">
      <c r="A1055" s="549" t="s">
        <v>998</v>
      </c>
      <c r="B1055" s="549" t="s">
        <v>999</v>
      </c>
      <c r="C1055" s="549" t="s">
        <v>658</v>
      </c>
      <c r="D1055" s="549" t="s">
        <v>659</v>
      </c>
      <c r="E1055" s="549" t="s">
        <v>977</v>
      </c>
      <c r="F1055" s="549" t="s">
        <v>1212</v>
      </c>
      <c r="G1055" s="549" t="s">
        <v>1280</v>
      </c>
      <c r="H1055" s="549" t="s">
        <v>660</v>
      </c>
      <c r="I1055" s="549" t="s">
        <v>976</v>
      </c>
      <c r="J1055" s="549" t="s">
        <v>976</v>
      </c>
      <c r="K1055" s="549" t="s">
        <v>976</v>
      </c>
      <c r="L1055" s="549">
        <v>19411.64</v>
      </c>
      <c r="M1055" s="549">
        <v>1465.58</v>
      </c>
      <c r="N1055" s="549">
        <v>429</v>
      </c>
      <c r="O1055" s="549">
        <v>0</v>
      </c>
      <c r="P1055" s="549">
        <v>0</v>
      </c>
      <c r="Q1055" s="549">
        <v>0</v>
      </c>
    </row>
    <row r="1056" spans="1:17" x14ac:dyDescent="0.25">
      <c r="A1056" s="549" t="s">
        <v>998</v>
      </c>
      <c r="B1056" s="549" t="s">
        <v>999</v>
      </c>
      <c r="C1056" s="549" t="s">
        <v>658</v>
      </c>
      <c r="D1056" s="549" t="s">
        <v>659</v>
      </c>
      <c r="E1056" s="549" t="s">
        <v>977</v>
      </c>
      <c r="F1056" s="549" t="s">
        <v>1212</v>
      </c>
      <c r="G1056" s="549" t="s">
        <v>1281</v>
      </c>
      <c r="H1056" s="549" t="s">
        <v>660</v>
      </c>
      <c r="I1056" s="549" t="s">
        <v>976</v>
      </c>
      <c r="J1056" s="549" t="s">
        <v>976</v>
      </c>
      <c r="K1056" s="549" t="s">
        <v>976</v>
      </c>
      <c r="L1056" s="549">
        <v>49288.68</v>
      </c>
      <c r="M1056" s="549">
        <v>3721.3</v>
      </c>
      <c r="N1056" s="549">
        <v>1089.28</v>
      </c>
      <c r="O1056" s="549">
        <v>0</v>
      </c>
      <c r="P1056" s="549">
        <v>95.79</v>
      </c>
      <c r="Q1056" s="549">
        <v>4608.05</v>
      </c>
    </row>
    <row r="1057" spans="1:17" x14ac:dyDescent="0.25">
      <c r="A1057" s="549" t="s">
        <v>998</v>
      </c>
      <c r="B1057" s="549" t="s">
        <v>999</v>
      </c>
      <c r="C1057" s="549" t="s">
        <v>658</v>
      </c>
      <c r="D1057" s="549" t="s">
        <v>659</v>
      </c>
      <c r="E1057" s="549" t="s">
        <v>977</v>
      </c>
      <c r="F1057" s="549" t="s">
        <v>1212</v>
      </c>
      <c r="G1057" s="549" t="s">
        <v>1253</v>
      </c>
      <c r="H1057" s="549" t="s">
        <v>660</v>
      </c>
      <c r="I1057" s="549" t="s">
        <v>976</v>
      </c>
      <c r="J1057" s="549" t="s">
        <v>976</v>
      </c>
      <c r="K1057" s="549" t="s">
        <v>976</v>
      </c>
      <c r="L1057" s="549">
        <v>49288.68</v>
      </c>
      <c r="M1057" s="549">
        <v>3721.3</v>
      </c>
      <c r="N1057" s="549">
        <v>1089.28</v>
      </c>
      <c r="O1057" s="549">
        <v>0</v>
      </c>
      <c r="P1057" s="549">
        <v>95.79</v>
      </c>
      <c r="Q1057" s="549">
        <v>4608.05</v>
      </c>
    </row>
    <row r="1058" spans="1:17" x14ac:dyDescent="0.25">
      <c r="A1058" s="549" t="s">
        <v>1014</v>
      </c>
      <c r="B1058" s="549" t="s">
        <v>1015</v>
      </c>
      <c r="C1058" s="549" t="s">
        <v>807</v>
      </c>
      <c r="D1058" s="549" t="s">
        <v>808</v>
      </c>
      <c r="E1058" s="549" t="s">
        <v>973</v>
      </c>
      <c r="F1058" s="549" t="s">
        <v>1212</v>
      </c>
      <c r="G1058" s="549" t="s">
        <v>1277</v>
      </c>
      <c r="H1058" s="549" t="s">
        <v>807</v>
      </c>
      <c r="I1058" s="549" t="s">
        <v>976</v>
      </c>
      <c r="J1058" s="549" t="s">
        <v>976</v>
      </c>
      <c r="K1058" s="549" t="s">
        <v>976</v>
      </c>
      <c r="L1058" s="549">
        <v>31999.97</v>
      </c>
      <c r="M1058" s="549">
        <v>2416</v>
      </c>
      <c r="N1058" s="549">
        <v>1836.8</v>
      </c>
      <c r="O1058" s="549">
        <v>0</v>
      </c>
      <c r="P1058" s="549">
        <v>0.32</v>
      </c>
      <c r="Q1058" s="549">
        <v>13.61</v>
      </c>
    </row>
    <row r="1059" spans="1:17" x14ac:dyDescent="0.25">
      <c r="A1059" s="549" t="s">
        <v>1014</v>
      </c>
      <c r="B1059" s="549" t="s">
        <v>1015</v>
      </c>
      <c r="C1059" s="549" t="s">
        <v>807</v>
      </c>
      <c r="D1059" s="549" t="s">
        <v>808</v>
      </c>
      <c r="E1059" s="549" t="s">
        <v>973</v>
      </c>
      <c r="F1059" s="549" t="s">
        <v>1212</v>
      </c>
      <c r="G1059" s="549">
        <v>232</v>
      </c>
      <c r="H1059" s="549" t="s">
        <v>807</v>
      </c>
      <c r="I1059" s="549" t="s">
        <v>976</v>
      </c>
      <c r="J1059" s="549" t="s">
        <v>976</v>
      </c>
      <c r="K1059" s="549" t="s">
        <v>976</v>
      </c>
      <c r="L1059" s="549">
        <v>47854.94</v>
      </c>
      <c r="M1059" s="549">
        <v>3613.05</v>
      </c>
      <c r="N1059" s="549">
        <v>2746.87</v>
      </c>
      <c r="O1059" s="549">
        <v>3968</v>
      </c>
      <c r="P1059" s="549">
        <v>0.32</v>
      </c>
      <c r="Q1059" s="549">
        <v>33.049999999999997</v>
      </c>
    </row>
    <row r="1060" spans="1:17" x14ac:dyDescent="0.25">
      <c r="A1060" s="549" t="s">
        <v>1014</v>
      </c>
      <c r="B1060" s="549" t="s">
        <v>1015</v>
      </c>
      <c r="C1060" s="549" t="s">
        <v>807</v>
      </c>
      <c r="D1060" s="549" t="s">
        <v>808</v>
      </c>
      <c r="E1060" s="549" t="s">
        <v>973</v>
      </c>
      <c r="F1060" s="549" t="s">
        <v>1212</v>
      </c>
      <c r="G1060" s="549">
        <v>222</v>
      </c>
      <c r="H1060" s="549" t="s">
        <v>807</v>
      </c>
      <c r="I1060" s="549" t="s">
        <v>976</v>
      </c>
      <c r="J1060" s="549" t="s">
        <v>976</v>
      </c>
      <c r="K1060" s="549" t="s">
        <v>976</v>
      </c>
      <c r="L1060" s="549">
        <v>214598.61</v>
      </c>
      <c r="M1060" s="549">
        <v>16202.2</v>
      </c>
      <c r="N1060" s="549">
        <v>12317.96</v>
      </c>
      <c r="O1060" s="549">
        <v>1984</v>
      </c>
      <c r="P1060" s="549">
        <v>0.32</v>
      </c>
      <c r="Q1060" s="549">
        <v>97.61</v>
      </c>
    </row>
    <row r="1061" spans="1:17" x14ac:dyDescent="0.25">
      <c r="A1061" s="549" t="s">
        <v>1014</v>
      </c>
      <c r="B1061" s="549" t="s">
        <v>1015</v>
      </c>
      <c r="C1061" s="549" t="s">
        <v>807</v>
      </c>
      <c r="D1061" s="549" t="s">
        <v>808</v>
      </c>
      <c r="E1061" s="549" t="s">
        <v>973</v>
      </c>
      <c r="F1061" s="549" t="s">
        <v>1212</v>
      </c>
      <c r="G1061" s="549">
        <v>212</v>
      </c>
      <c r="H1061" s="549" t="s">
        <v>807</v>
      </c>
      <c r="I1061" s="549" t="s">
        <v>976</v>
      </c>
      <c r="J1061" s="549" t="s">
        <v>976</v>
      </c>
      <c r="K1061" s="549" t="s">
        <v>976</v>
      </c>
      <c r="L1061" s="549">
        <v>47854.94</v>
      </c>
      <c r="M1061" s="549">
        <v>3613.05</v>
      </c>
      <c r="N1061" s="549">
        <v>2746.87</v>
      </c>
      <c r="O1061" s="549">
        <v>3968</v>
      </c>
      <c r="P1061" s="549">
        <v>0.32</v>
      </c>
      <c r="Q1061" s="549">
        <v>33.049999999999997</v>
      </c>
    </row>
    <row r="1062" spans="1:17" x14ac:dyDescent="0.25">
      <c r="A1062" s="549" t="s">
        <v>1014</v>
      </c>
      <c r="B1062" s="549" t="s">
        <v>1015</v>
      </c>
      <c r="C1062" s="549" t="s">
        <v>807</v>
      </c>
      <c r="D1062" s="549" t="s">
        <v>808</v>
      </c>
      <c r="E1062" s="549" t="s">
        <v>973</v>
      </c>
      <c r="F1062" s="549" t="s">
        <v>1212</v>
      </c>
      <c r="G1062" s="549">
        <v>72</v>
      </c>
      <c r="H1062" s="549" t="s">
        <v>807</v>
      </c>
      <c r="I1062" s="549" t="s">
        <v>976</v>
      </c>
      <c r="J1062" s="549" t="s">
        <v>976</v>
      </c>
      <c r="K1062" s="549" t="s">
        <v>976</v>
      </c>
      <c r="L1062" s="549">
        <v>266331.3</v>
      </c>
      <c r="M1062" s="549">
        <v>20108.009999999998</v>
      </c>
      <c r="N1062" s="549">
        <v>15287.42</v>
      </c>
      <c r="O1062" s="549">
        <v>3968</v>
      </c>
      <c r="P1062" s="549">
        <v>0.32</v>
      </c>
      <c r="Q1062" s="549">
        <v>125.96</v>
      </c>
    </row>
    <row r="1063" spans="1:17" x14ac:dyDescent="0.25">
      <c r="A1063" s="549" t="s">
        <v>1014</v>
      </c>
      <c r="B1063" s="549" t="s">
        <v>1015</v>
      </c>
      <c r="C1063" s="549" t="s">
        <v>805</v>
      </c>
      <c r="D1063" s="549" t="s">
        <v>806</v>
      </c>
      <c r="E1063" s="549" t="s">
        <v>977</v>
      </c>
      <c r="F1063" s="549" t="s">
        <v>1212</v>
      </c>
      <c r="G1063" s="549" t="s">
        <v>1249</v>
      </c>
      <c r="H1063" s="549" t="s">
        <v>805</v>
      </c>
      <c r="I1063" s="549" t="s">
        <v>976</v>
      </c>
      <c r="J1063" s="549" t="s">
        <v>976</v>
      </c>
      <c r="K1063" s="549" t="s">
        <v>976</v>
      </c>
      <c r="L1063" s="549">
        <v>47520.19</v>
      </c>
      <c r="M1063" s="549">
        <v>3587.77</v>
      </c>
      <c r="N1063" s="549">
        <v>1050.2</v>
      </c>
      <c r="O1063" s="549">
        <v>0</v>
      </c>
      <c r="P1063" s="549">
        <v>100</v>
      </c>
      <c r="Q1063" s="549">
        <v>4637.97</v>
      </c>
    </row>
    <row r="1064" spans="1:17" x14ac:dyDescent="0.25">
      <c r="A1064" s="549" t="s">
        <v>1014</v>
      </c>
      <c r="B1064" s="549" t="s">
        <v>1015</v>
      </c>
      <c r="C1064" s="549" t="s">
        <v>805</v>
      </c>
      <c r="D1064" s="549" t="s">
        <v>806</v>
      </c>
      <c r="E1064" s="549" t="s">
        <v>977</v>
      </c>
      <c r="F1064" s="549" t="s">
        <v>1212</v>
      </c>
      <c r="G1064" s="549" t="s">
        <v>1282</v>
      </c>
      <c r="H1064" s="549" t="s">
        <v>805</v>
      </c>
      <c r="I1064" s="549" t="s">
        <v>976</v>
      </c>
      <c r="J1064" s="549" t="s">
        <v>976</v>
      </c>
      <c r="K1064" s="549" t="s">
        <v>976</v>
      </c>
      <c r="L1064" s="549">
        <v>18147.09</v>
      </c>
      <c r="M1064" s="549">
        <v>1370.11</v>
      </c>
      <c r="N1064" s="549">
        <v>401.05</v>
      </c>
      <c r="O1064" s="549">
        <v>0</v>
      </c>
      <c r="P1064" s="549">
        <v>100</v>
      </c>
      <c r="Q1064" s="549">
        <v>1771.16</v>
      </c>
    </row>
    <row r="1065" spans="1:17" x14ac:dyDescent="0.25">
      <c r="A1065" s="549" t="s">
        <v>1014</v>
      </c>
      <c r="B1065" s="549" t="s">
        <v>1015</v>
      </c>
      <c r="C1065" s="549" t="s">
        <v>805</v>
      </c>
      <c r="D1065" s="549" t="s">
        <v>806</v>
      </c>
      <c r="E1065" s="549" t="s">
        <v>977</v>
      </c>
      <c r="F1065" s="549" t="s">
        <v>1212</v>
      </c>
      <c r="G1065" s="549" t="s">
        <v>1283</v>
      </c>
      <c r="H1065" s="549" t="s">
        <v>805</v>
      </c>
      <c r="I1065" s="549" t="s">
        <v>976</v>
      </c>
      <c r="J1065" s="549" t="s">
        <v>976</v>
      </c>
      <c r="K1065" s="549" t="s">
        <v>976</v>
      </c>
      <c r="L1065" s="549">
        <v>18147.09</v>
      </c>
      <c r="M1065" s="549">
        <v>1370.11</v>
      </c>
      <c r="N1065" s="549">
        <v>401.05</v>
      </c>
      <c r="O1065" s="549">
        <v>0</v>
      </c>
      <c r="P1065" s="549">
        <v>100</v>
      </c>
      <c r="Q1065" s="549">
        <v>1771.16</v>
      </c>
    </row>
    <row r="1066" spans="1:17" x14ac:dyDescent="0.25">
      <c r="A1066" s="549" t="s">
        <v>998</v>
      </c>
      <c r="B1066" s="549" t="s">
        <v>999</v>
      </c>
      <c r="C1066" s="549" t="s">
        <v>658</v>
      </c>
      <c r="D1066" s="549" t="s">
        <v>659</v>
      </c>
      <c r="E1066" s="549" t="s">
        <v>977</v>
      </c>
      <c r="F1066" s="549" t="s">
        <v>1212</v>
      </c>
      <c r="G1066" s="549">
        <v>2852</v>
      </c>
      <c r="H1066" s="549" t="s">
        <v>658</v>
      </c>
      <c r="I1066" s="549" t="s">
        <v>976</v>
      </c>
      <c r="J1066" s="549" t="s">
        <v>976</v>
      </c>
      <c r="K1066" s="549" t="s">
        <v>976</v>
      </c>
      <c r="L1066" s="549">
        <v>99162.07</v>
      </c>
      <c r="M1066" s="549">
        <v>7486.74</v>
      </c>
      <c r="N1066" s="549">
        <v>2191.48</v>
      </c>
      <c r="O1066" s="549">
        <v>992</v>
      </c>
      <c r="P1066" s="549">
        <v>95.79</v>
      </c>
      <c r="Q1066" s="549">
        <v>10221</v>
      </c>
    </row>
    <row r="1067" spans="1:17" x14ac:dyDescent="0.25">
      <c r="A1067" s="549" t="s">
        <v>1014</v>
      </c>
      <c r="B1067" s="549" t="s">
        <v>1015</v>
      </c>
      <c r="C1067" s="549" t="s">
        <v>805</v>
      </c>
      <c r="D1067" s="549" t="s">
        <v>806</v>
      </c>
      <c r="E1067" s="549" t="s">
        <v>977</v>
      </c>
      <c r="F1067" s="549" t="s">
        <v>1212</v>
      </c>
      <c r="G1067" s="549" t="s">
        <v>1284</v>
      </c>
      <c r="H1067" s="549" t="s">
        <v>805</v>
      </c>
      <c r="I1067" s="549" t="s">
        <v>976</v>
      </c>
      <c r="J1067" s="549" t="s">
        <v>976</v>
      </c>
      <c r="K1067" s="549" t="s">
        <v>976</v>
      </c>
      <c r="L1067" s="549">
        <v>34684.28</v>
      </c>
      <c r="M1067" s="549">
        <v>2618.66</v>
      </c>
      <c r="N1067" s="549">
        <v>766.52</v>
      </c>
      <c r="O1067" s="549">
        <v>1984</v>
      </c>
      <c r="P1067" s="549">
        <v>100</v>
      </c>
      <c r="Q1067" s="549">
        <v>5369.18</v>
      </c>
    </row>
    <row r="1068" spans="1:17" x14ac:dyDescent="0.25">
      <c r="A1068" s="549" t="s">
        <v>1014</v>
      </c>
      <c r="B1068" s="549" t="s">
        <v>1015</v>
      </c>
      <c r="C1068" s="549" t="s">
        <v>805</v>
      </c>
      <c r="D1068" s="549" t="s">
        <v>806</v>
      </c>
      <c r="E1068" s="549" t="s">
        <v>977</v>
      </c>
      <c r="F1068" s="549" t="s">
        <v>1212</v>
      </c>
      <c r="G1068" s="549" t="s">
        <v>1285</v>
      </c>
      <c r="H1068" s="549" t="s">
        <v>805</v>
      </c>
      <c r="I1068" s="549" t="s">
        <v>976</v>
      </c>
      <c r="J1068" s="549" t="s">
        <v>976</v>
      </c>
      <c r="K1068" s="549" t="s">
        <v>976</v>
      </c>
      <c r="L1068" s="549">
        <v>104241.63</v>
      </c>
      <c r="M1068" s="549">
        <v>7870.24</v>
      </c>
      <c r="N1068" s="549">
        <v>2303.7399999999998</v>
      </c>
      <c r="O1068" s="549">
        <v>1984</v>
      </c>
      <c r="P1068" s="549">
        <v>100</v>
      </c>
      <c r="Q1068" s="549">
        <v>12157.98</v>
      </c>
    </row>
    <row r="1069" spans="1:17" x14ac:dyDescent="0.25">
      <c r="A1069" s="549" t="s">
        <v>1014</v>
      </c>
      <c r="B1069" s="549" t="s">
        <v>1015</v>
      </c>
      <c r="C1069" s="549" t="s">
        <v>805</v>
      </c>
      <c r="D1069" s="549" t="s">
        <v>806</v>
      </c>
      <c r="E1069" s="549" t="s">
        <v>977</v>
      </c>
      <c r="F1069" s="549" t="s">
        <v>1212</v>
      </c>
      <c r="G1069" s="549">
        <v>352</v>
      </c>
      <c r="H1069" s="549" t="s">
        <v>805</v>
      </c>
      <c r="I1069" s="549" t="s">
        <v>976</v>
      </c>
      <c r="J1069" s="549" t="s">
        <v>976</v>
      </c>
      <c r="K1069" s="549" t="s">
        <v>976</v>
      </c>
      <c r="L1069" s="549">
        <v>134232.67000000001</v>
      </c>
      <c r="M1069" s="549">
        <v>10134.57</v>
      </c>
      <c r="N1069" s="549">
        <v>2966.54</v>
      </c>
      <c r="O1069" s="549">
        <v>1984</v>
      </c>
      <c r="P1069" s="549">
        <v>100</v>
      </c>
      <c r="Q1069" s="549">
        <v>15085.11</v>
      </c>
    </row>
    <row r="1070" spans="1:17" x14ac:dyDescent="0.25">
      <c r="A1070" s="549" t="s">
        <v>998</v>
      </c>
      <c r="B1070" s="549" t="s">
        <v>999</v>
      </c>
      <c r="C1070" s="549" t="s">
        <v>658</v>
      </c>
      <c r="D1070" s="549" t="s">
        <v>659</v>
      </c>
      <c r="E1070" s="549" t="s">
        <v>977</v>
      </c>
      <c r="F1070" s="549" t="s">
        <v>1212</v>
      </c>
      <c r="G1070" s="549" t="s">
        <v>1286</v>
      </c>
      <c r="H1070" s="549" t="s">
        <v>658</v>
      </c>
      <c r="I1070" s="549" t="s">
        <v>976</v>
      </c>
      <c r="J1070" s="549" t="s">
        <v>976</v>
      </c>
      <c r="K1070" s="549" t="s">
        <v>976</v>
      </c>
      <c r="L1070" s="549">
        <v>153631.99</v>
      </c>
      <c r="M1070" s="549">
        <v>11599.22</v>
      </c>
      <c r="N1070" s="549">
        <v>3395.27</v>
      </c>
      <c r="O1070" s="549">
        <v>992</v>
      </c>
      <c r="P1070" s="549">
        <v>95.79</v>
      </c>
      <c r="Q1070" s="549">
        <v>15313.46</v>
      </c>
    </row>
    <row r="1071" spans="1:17" x14ac:dyDescent="0.25">
      <c r="A1071" s="549" t="s">
        <v>998</v>
      </c>
      <c r="B1071" s="549" t="s">
        <v>999</v>
      </c>
      <c r="C1071" s="549" t="s">
        <v>658</v>
      </c>
      <c r="D1071" s="549" t="s">
        <v>659</v>
      </c>
      <c r="E1071" s="549" t="s">
        <v>977</v>
      </c>
      <c r="F1071" s="549" t="s">
        <v>1212</v>
      </c>
      <c r="G1071" s="549" t="s">
        <v>1287</v>
      </c>
      <c r="H1071" s="549" t="s">
        <v>658</v>
      </c>
      <c r="I1071" s="549" t="s">
        <v>976</v>
      </c>
      <c r="J1071" s="549" t="s">
        <v>976</v>
      </c>
      <c r="K1071" s="549" t="s">
        <v>976</v>
      </c>
      <c r="L1071" s="549">
        <v>153631.99</v>
      </c>
      <c r="M1071" s="549">
        <v>11599.22</v>
      </c>
      <c r="N1071" s="549">
        <v>3395.27</v>
      </c>
      <c r="O1071" s="549">
        <v>992</v>
      </c>
      <c r="P1071" s="549">
        <v>95.79</v>
      </c>
      <c r="Q1071" s="549">
        <v>15313.46</v>
      </c>
    </row>
    <row r="1072" spans="1:17" x14ac:dyDescent="0.25">
      <c r="A1072" s="549" t="s">
        <v>998</v>
      </c>
      <c r="B1072" s="549" t="s">
        <v>999</v>
      </c>
      <c r="C1072" s="549" t="s">
        <v>658</v>
      </c>
      <c r="D1072" s="549" t="s">
        <v>659</v>
      </c>
      <c r="E1072" s="549" t="s">
        <v>977</v>
      </c>
      <c r="F1072" s="549" t="s">
        <v>1212</v>
      </c>
      <c r="G1072" s="549" t="s">
        <v>1250</v>
      </c>
      <c r="H1072" s="549" t="s">
        <v>658</v>
      </c>
      <c r="I1072" s="549" t="s">
        <v>976</v>
      </c>
      <c r="J1072" s="549" t="s">
        <v>976</v>
      </c>
      <c r="K1072" s="549" t="s">
        <v>976</v>
      </c>
      <c r="L1072" s="549">
        <v>49288.68</v>
      </c>
      <c r="M1072" s="549">
        <v>3721.3</v>
      </c>
      <c r="N1072" s="549">
        <v>1089.28</v>
      </c>
      <c r="O1072" s="549">
        <v>0</v>
      </c>
      <c r="P1072" s="549">
        <v>95.79</v>
      </c>
      <c r="Q1072" s="549">
        <v>4608.05</v>
      </c>
    </row>
    <row r="1073" spans="1:17" x14ac:dyDescent="0.25">
      <c r="A1073" s="549" t="s">
        <v>998</v>
      </c>
      <c r="B1073" s="549" t="s">
        <v>999</v>
      </c>
      <c r="C1073" s="549" t="s">
        <v>658</v>
      </c>
      <c r="D1073" s="549" t="s">
        <v>659</v>
      </c>
      <c r="E1073" s="549" t="s">
        <v>977</v>
      </c>
      <c r="F1073" s="549" t="s">
        <v>1212</v>
      </c>
      <c r="G1073" s="549" t="s">
        <v>1288</v>
      </c>
      <c r="H1073" s="549" t="s">
        <v>658</v>
      </c>
      <c r="I1073" s="549" t="s">
        <v>976</v>
      </c>
      <c r="J1073" s="549" t="s">
        <v>976</v>
      </c>
      <c r="K1073" s="549" t="s">
        <v>976</v>
      </c>
      <c r="L1073" s="549">
        <v>49288.68</v>
      </c>
      <c r="M1073" s="549">
        <v>3721.3</v>
      </c>
      <c r="N1073" s="549">
        <v>1089.28</v>
      </c>
      <c r="O1073" s="549">
        <v>0</v>
      </c>
      <c r="P1073" s="549">
        <v>95.79</v>
      </c>
      <c r="Q1073" s="549">
        <v>4608.05</v>
      </c>
    </row>
    <row r="1074" spans="1:17" x14ac:dyDescent="0.25">
      <c r="A1074" s="549" t="s">
        <v>998</v>
      </c>
      <c r="B1074" s="549" t="s">
        <v>999</v>
      </c>
      <c r="C1074" s="549" t="s">
        <v>654</v>
      </c>
      <c r="D1074" s="549" t="s">
        <v>655</v>
      </c>
      <c r="E1074" s="549" t="s">
        <v>973</v>
      </c>
      <c r="F1074" s="549" t="s">
        <v>1212</v>
      </c>
      <c r="G1074" s="549">
        <v>222</v>
      </c>
      <c r="H1074" s="549" t="s">
        <v>654</v>
      </c>
      <c r="I1074" s="549" t="s">
        <v>976</v>
      </c>
      <c r="J1074" s="549" t="s">
        <v>976</v>
      </c>
      <c r="K1074" s="549" t="s">
        <v>976</v>
      </c>
      <c r="L1074" s="549">
        <v>105832.29</v>
      </c>
      <c r="M1074" s="549">
        <v>7990.34</v>
      </c>
      <c r="N1074" s="549">
        <v>6074.77</v>
      </c>
      <c r="O1074" s="549">
        <v>3968</v>
      </c>
      <c r="P1074" s="549">
        <v>13.96</v>
      </c>
      <c r="Q1074" s="549">
        <v>2517.42</v>
      </c>
    </row>
    <row r="1075" spans="1:17" x14ac:dyDescent="0.25">
      <c r="A1075" s="549" t="s">
        <v>998</v>
      </c>
      <c r="B1075" s="549" t="s">
        <v>999</v>
      </c>
      <c r="C1075" s="549" t="s">
        <v>654</v>
      </c>
      <c r="D1075" s="549" t="s">
        <v>655</v>
      </c>
      <c r="E1075" s="549" t="s">
        <v>973</v>
      </c>
      <c r="F1075" s="549" t="s">
        <v>1212</v>
      </c>
      <c r="G1075" s="549">
        <v>232</v>
      </c>
      <c r="H1075" s="549" t="s">
        <v>654</v>
      </c>
      <c r="I1075" s="549" t="s">
        <v>976</v>
      </c>
      <c r="J1075" s="549" t="s">
        <v>976</v>
      </c>
      <c r="K1075" s="549" t="s">
        <v>976</v>
      </c>
      <c r="L1075" s="549">
        <v>97703.039999999994</v>
      </c>
      <c r="M1075" s="549">
        <v>7376.58</v>
      </c>
      <c r="N1075" s="549">
        <v>5608.15</v>
      </c>
      <c r="O1075" s="549">
        <v>1984</v>
      </c>
      <c r="P1075" s="549">
        <v>13.96</v>
      </c>
      <c r="Q1075" s="549">
        <v>2089.63</v>
      </c>
    </row>
    <row r="1076" spans="1:17" x14ac:dyDescent="0.25">
      <c r="A1076" s="549" t="s">
        <v>998</v>
      </c>
      <c r="B1076" s="549" t="s">
        <v>999</v>
      </c>
      <c r="C1076" s="549" t="s">
        <v>654</v>
      </c>
      <c r="D1076" s="549" t="s">
        <v>655</v>
      </c>
      <c r="E1076" s="549" t="s">
        <v>973</v>
      </c>
      <c r="F1076" s="549" t="s">
        <v>1212</v>
      </c>
      <c r="G1076" s="549">
        <v>242</v>
      </c>
      <c r="H1076" s="549" t="s">
        <v>654</v>
      </c>
      <c r="I1076" s="549" t="s">
        <v>976</v>
      </c>
      <c r="J1076" s="549" t="s">
        <v>976</v>
      </c>
      <c r="K1076" s="549" t="s">
        <v>976</v>
      </c>
      <c r="L1076" s="549">
        <v>166492.85999999999</v>
      </c>
      <c r="M1076" s="549">
        <v>12570.21</v>
      </c>
      <c r="N1076" s="549">
        <v>9556.69</v>
      </c>
      <c r="O1076" s="549">
        <v>3968</v>
      </c>
      <c r="P1076" s="549">
        <v>13.96</v>
      </c>
      <c r="Q1076" s="549">
        <v>3642.85</v>
      </c>
    </row>
    <row r="1077" spans="1:17" x14ac:dyDescent="0.25">
      <c r="A1077" s="549" t="s">
        <v>998</v>
      </c>
      <c r="B1077" s="549" t="s">
        <v>999</v>
      </c>
      <c r="C1077" s="549" t="s">
        <v>654</v>
      </c>
      <c r="D1077" s="549" t="s">
        <v>655</v>
      </c>
      <c r="E1077" s="549" t="s">
        <v>973</v>
      </c>
      <c r="F1077" s="549" t="s">
        <v>1212</v>
      </c>
      <c r="G1077" s="549">
        <v>247</v>
      </c>
      <c r="H1077" s="549" t="s">
        <v>654</v>
      </c>
      <c r="I1077" s="549" t="s">
        <v>976</v>
      </c>
      <c r="J1077" s="549" t="s">
        <v>976</v>
      </c>
      <c r="K1077" s="549" t="s">
        <v>976</v>
      </c>
      <c r="L1077" s="549">
        <v>12593.62</v>
      </c>
      <c r="M1077" s="549">
        <v>950.82</v>
      </c>
      <c r="N1077" s="549">
        <v>722.87</v>
      </c>
      <c r="O1077" s="549">
        <v>992</v>
      </c>
      <c r="P1077" s="549">
        <v>13.96</v>
      </c>
      <c r="Q1077" s="549">
        <v>372.13</v>
      </c>
    </row>
    <row r="1078" spans="1:17" x14ac:dyDescent="0.25">
      <c r="A1078" s="549" t="s">
        <v>998</v>
      </c>
      <c r="B1078" s="549" t="s">
        <v>999</v>
      </c>
      <c r="C1078" s="549" t="s">
        <v>654</v>
      </c>
      <c r="D1078" s="549" t="s">
        <v>655</v>
      </c>
      <c r="E1078" s="549" t="s">
        <v>973</v>
      </c>
      <c r="F1078" s="549" t="s">
        <v>1212</v>
      </c>
      <c r="G1078" s="549">
        <v>252</v>
      </c>
      <c r="H1078" s="549" t="s">
        <v>654</v>
      </c>
      <c r="I1078" s="549" t="s">
        <v>976</v>
      </c>
      <c r="J1078" s="549" t="s">
        <v>976</v>
      </c>
      <c r="K1078" s="549" t="s">
        <v>976</v>
      </c>
      <c r="L1078" s="549">
        <v>105832.29</v>
      </c>
      <c r="M1078" s="549">
        <v>7990.34</v>
      </c>
      <c r="N1078" s="549">
        <v>6074.77</v>
      </c>
      <c r="O1078" s="549">
        <v>3968</v>
      </c>
      <c r="P1078" s="549">
        <v>13.96</v>
      </c>
      <c r="Q1078" s="549">
        <v>2517.42</v>
      </c>
    </row>
    <row r="1079" spans="1:17" x14ac:dyDescent="0.25">
      <c r="A1079" s="549" t="s">
        <v>998</v>
      </c>
      <c r="B1079" s="549" t="s">
        <v>999</v>
      </c>
      <c r="C1079" s="549" t="s">
        <v>654</v>
      </c>
      <c r="D1079" s="549" t="s">
        <v>655</v>
      </c>
      <c r="E1079" s="549" t="s">
        <v>973</v>
      </c>
      <c r="F1079" s="549" t="s">
        <v>1212</v>
      </c>
      <c r="G1079" s="549">
        <v>262</v>
      </c>
      <c r="H1079" s="549" t="s">
        <v>654</v>
      </c>
      <c r="I1079" s="549" t="s">
        <v>976</v>
      </c>
      <c r="J1079" s="549" t="s">
        <v>976</v>
      </c>
      <c r="K1079" s="549" t="s">
        <v>976</v>
      </c>
      <c r="L1079" s="549">
        <v>166492.85999999999</v>
      </c>
      <c r="M1079" s="549">
        <v>12570.21</v>
      </c>
      <c r="N1079" s="549">
        <v>9556.69</v>
      </c>
      <c r="O1079" s="549">
        <v>3968</v>
      </c>
      <c r="P1079" s="549">
        <v>13.96</v>
      </c>
      <c r="Q1079" s="549">
        <v>3642.85</v>
      </c>
    </row>
    <row r="1080" spans="1:17" x14ac:dyDescent="0.25">
      <c r="A1080" s="549" t="s">
        <v>998</v>
      </c>
      <c r="B1080" s="549" t="s">
        <v>999</v>
      </c>
      <c r="C1080" s="549" t="s">
        <v>654</v>
      </c>
      <c r="D1080" s="549" t="s">
        <v>655</v>
      </c>
      <c r="E1080" s="549" t="s">
        <v>973</v>
      </c>
      <c r="F1080" s="549" t="s">
        <v>1212</v>
      </c>
      <c r="G1080" s="549">
        <v>272</v>
      </c>
      <c r="H1080" s="549" t="s">
        <v>654</v>
      </c>
      <c r="I1080" s="549" t="s">
        <v>976</v>
      </c>
      <c r="J1080" s="549" t="s">
        <v>976</v>
      </c>
      <c r="K1080" s="549" t="s">
        <v>976</v>
      </c>
      <c r="L1080" s="549">
        <v>105832.29</v>
      </c>
      <c r="M1080" s="549">
        <v>7990.34</v>
      </c>
      <c r="N1080" s="549">
        <v>6074.77</v>
      </c>
      <c r="O1080" s="549">
        <v>3968</v>
      </c>
      <c r="P1080" s="549">
        <v>13.96</v>
      </c>
      <c r="Q1080" s="549">
        <v>2517.42</v>
      </c>
    </row>
    <row r="1081" spans="1:17" x14ac:dyDescent="0.25">
      <c r="A1081" s="549" t="s">
        <v>998</v>
      </c>
      <c r="B1081" s="549" t="s">
        <v>999</v>
      </c>
      <c r="C1081" s="549" t="s">
        <v>654</v>
      </c>
      <c r="D1081" s="549" t="s">
        <v>655</v>
      </c>
      <c r="E1081" s="549" t="s">
        <v>973</v>
      </c>
      <c r="F1081" s="549" t="s">
        <v>1212</v>
      </c>
      <c r="G1081" s="549">
        <v>282</v>
      </c>
      <c r="H1081" s="549" t="s">
        <v>654</v>
      </c>
      <c r="I1081" s="549" t="s">
        <v>976</v>
      </c>
      <c r="J1081" s="549" t="s">
        <v>976</v>
      </c>
      <c r="K1081" s="549" t="s">
        <v>976</v>
      </c>
      <c r="L1081" s="549">
        <v>105832.29</v>
      </c>
      <c r="M1081" s="549">
        <v>7990.34</v>
      </c>
      <c r="N1081" s="549">
        <v>6074.77</v>
      </c>
      <c r="O1081" s="549">
        <v>3968</v>
      </c>
      <c r="P1081" s="549">
        <v>13.96</v>
      </c>
      <c r="Q1081" s="549">
        <v>2517.42</v>
      </c>
    </row>
    <row r="1082" spans="1:17" x14ac:dyDescent="0.25">
      <c r="A1082" s="549" t="s">
        <v>998</v>
      </c>
      <c r="B1082" s="549" t="s">
        <v>999</v>
      </c>
      <c r="C1082" s="549" t="s">
        <v>654</v>
      </c>
      <c r="D1082" s="549" t="s">
        <v>655</v>
      </c>
      <c r="E1082" s="549" t="s">
        <v>973</v>
      </c>
      <c r="F1082" s="549" t="s">
        <v>1212</v>
      </c>
      <c r="G1082" s="549">
        <v>522</v>
      </c>
      <c r="H1082" s="549" t="s">
        <v>654</v>
      </c>
      <c r="I1082" s="549" t="s">
        <v>976</v>
      </c>
      <c r="J1082" s="549" t="s">
        <v>976</v>
      </c>
      <c r="K1082" s="549" t="s">
        <v>976</v>
      </c>
      <c r="L1082" s="549">
        <v>264223.57</v>
      </c>
      <c r="M1082" s="549">
        <v>19948.88</v>
      </c>
      <c r="N1082" s="549">
        <v>15166.43</v>
      </c>
      <c r="O1082" s="549">
        <v>1984</v>
      </c>
      <c r="P1082" s="549">
        <v>13.96</v>
      </c>
      <c r="Q1082" s="549">
        <v>5179.0600000000004</v>
      </c>
    </row>
    <row r="1083" spans="1:17" x14ac:dyDescent="0.25">
      <c r="A1083" s="549" t="s">
        <v>998</v>
      </c>
      <c r="B1083" s="549" t="s">
        <v>999</v>
      </c>
      <c r="C1083" s="549" t="s">
        <v>654</v>
      </c>
      <c r="D1083" s="549" t="s">
        <v>655</v>
      </c>
      <c r="E1083" s="549" t="s">
        <v>973</v>
      </c>
      <c r="F1083" s="549" t="s">
        <v>1212</v>
      </c>
      <c r="G1083" s="549">
        <v>562</v>
      </c>
      <c r="H1083" s="549" t="s">
        <v>654</v>
      </c>
      <c r="I1083" s="549" t="s">
        <v>976</v>
      </c>
      <c r="J1083" s="549" t="s">
        <v>976</v>
      </c>
      <c r="K1083" s="549" t="s">
        <v>976</v>
      </c>
      <c r="L1083" s="549">
        <v>264223.57</v>
      </c>
      <c r="M1083" s="549">
        <v>19948.88</v>
      </c>
      <c r="N1083" s="549">
        <v>15166.43</v>
      </c>
      <c r="O1083" s="549">
        <v>1984</v>
      </c>
      <c r="P1083" s="549">
        <v>13.96</v>
      </c>
      <c r="Q1083" s="549">
        <v>5179.0600000000004</v>
      </c>
    </row>
    <row r="1084" spans="1:17" x14ac:dyDescent="0.25">
      <c r="A1084" s="549" t="s">
        <v>998</v>
      </c>
      <c r="B1084" s="549" t="s">
        <v>999</v>
      </c>
      <c r="C1084" s="549" t="s">
        <v>654</v>
      </c>
      <c r="D1084" s="549" t="s">
        <v>655</v>
      </c>
      <c r="E1084" s="549" t="s">
        <v>973</v>
      </c>
      <c r="F1084" s="549" t="s">
        <v>1212</v>
      </c>
      <c r="G1084" s="549">
        <v>742</v>
      </c>
      <c r="H1084" s="549" t="s">
        <v>654</v>
      </c>
      <c r="I1084" s="549" t="s">
        <v>976</v>
      </c>
      <c r="J1084" s="549" t="s">
        <v>976</v>
      </c>
      <c r="K1084" s="549" t="s">
        <v>976</v>
      </c>
      <c r="L1084" s="549">
        <v>464050.19</v>
      </c>
      <c r="M1084" s="549">
        <v>35035.79</v>
      </c>
      <c r="N1084" s="549">
        <v>26636.48</v>
      </c>
      <c r="O1084" s="549">
        <v>1984</v>
      </c>
      <c r="P1084" s="549">
        <v>13.96</v>
      </c>
      <c r="Q1084" s="549">
        <v>8886.42</v>
      </c>
    </row>
    <row r="1085" spans="1:17" x14ac:dyDescent="0.25">
      <c r="A1085" s="549" t="s">
        <v>998</v>
      </c>
      <c r="B1085" s="549" t="s">
        <v>999</v>
      </c>
      <c r="C1085" s="549" t="s">
        <v>654</v>
      </c>
      <c r="D1085" s="549" t="s">
        <v>655</v>
      </c>
      <c r="E1085" s="549" t="s">
        <v>973</v>
      </c>
      <c r="F1085" s="549" t="s">
        <v>1212</v>
      </c>
      <c r="G1085" s="549">
        <v>2512</v>
      </c>
      <c r="H1085" s="549" t="s">
        <v>654</v>
      </c>
      <c r="I1085" s="549" t="s">
        <v>976</v>
      </c>
      <c r="J1085" s="549" t="s">
        <v>976</v>
      </c>
      <c r="K1085" s="549" t="s">
        <v>976</v>
      </c>
      <c r="L1085" s="549">
        <v>108012.12</v>
      </c>
      <c r="M1085" s="549">
        <v>8154.92</v>
      </c>
      <c r="N1085" s="549">
        <v>6199.9</v>
      </c>
      <c r="O1085" s="549">
        <v>992</v>
      </c>
      <c r="P1085" s="549">
        <v>13.96</v>
      </c>
      <c r="Q1085" s="549">
        <v>2142.42</v>
      </c>
    </row>
    <row r="1086" spans="1:17" x14ac:dyDescent="0.25">
      <c r="A1086" s="549" t="s">
        <v>998</v>
      </c>
      <c r="B1086" s="549" t="s">
        <v>999</v>
      </c>
      <c r="C1086" s="549" t="s">
        <v>654</v>
      </c>
      <c r="D1086" s="549" t="s">
        <v>655</v>
      </c>
      <c r="E1086" s="549" t="s">
        <v>973</v>
      </c>
      <c r="F1086" s="549" t="s">
        <v>1212</v>
      </c>
      <c r="G1086" s="549">
        <v>2522</v>
      </c>
      <c r="H1086" s="549" t="s">
        <v>654</v>
      </c>
      <c r="I1086" s="549" t="s">
        <v>976</v>
      </c>
      <c r="J1086" s="549" t="s">
        <v>976</v>
      </c>
      <c r="K1086" s="549" t="s">
        <v>976</v>
      </c>
      <c r="L1086" s="549">
        <v>108012.12</v>
      </c>
      <c r="M1086" s="549">
        <v>8154.92</v>
      </c>
      <c r="N1086" s="549">
        <v>6199.9</v>
      </c>
      <c r="O1086" s="549">
        <v>992</v>
      </c>
      <c r="P1086" s="549">
        <v>13.96</v>
      </c>
      <c r="Q1086" s="549">
        <v>2142.42</v>
      </c>
    </row>
    <row r="1087" spans="1:17" x14ac:dyDescent="0.25">
      <c r="A1087" s="549" t="s">
        <v>998</v>
      </c>
      <c r="B1087" s="549" t="s">
        <v>999</v>
      </c>
      <c r="C1087" s="549" t="s">
        <v>654</v>
      </c>
      <c r="D1087" s="549" t="s">
        <v>655</v>
      </c>
      <c r="E1087" s="549" t="s">
        <v>973</v>
      </c>
      <c r="F1087" s="549" t="s">
        <v>1212</v>
      </c>
      <c r="G1087" s="549">
        <v>2532</v>
      </c>
      <c r="H1087" s="549" t="s">
        <v>654</v>
      </c>
      <c r="I1087" s="549" t="s">
        <v>976</v>
      </c>
      <c r="J1087" s="549" t="s">
        <v>976</v>
      </c>
      <c r="K1087" s="549" t="s">
        <v>976</v>
      </c>
      <c r="L1087" s="549">
        <v>108012.12</v>
      </c>
      <c r="M1087" s="549">
        <v>8154.92</v>
      </c>
      <c r="N1087" s="549">
        <v>6199.9</v>
      </c>
      <c r="O1087" s="549">
        <v>992</v>
      </c>
      <c r="P1087" s="549">
        <v>13.96</v>
      </c>
      <c r="Q1087" s="549">
        <v>2142.42</v>
      </c>
    </row>
    <row r="1088" spans="1:17" x14ac:dyDescent="0.25">
      <c r="A1088" s="549" t="s">
        <v>998</v>
      </c>
      <c r="B1088" s="549" t="s">
        <v>999</v>
      </c>
      <c r="C1088" s="549" t="s">
        <v>654</v>
      </c>
      <c r="D1088" s="549" t="s">
        <v>655</v>
      </c>
      <c r="E1088" s="549" t="s">
        <v>973</v>
      </c>
      <c r="F1088" s="549" t="s">
        <v>1212</v>
      </c>
      <c r="G1088" s="549">
        <v>2542</v>
      </c>
      <c r="H1088" s="549" t="s">
        <v>654</v>
      </c>
      <c r="I1088" s="549" t="s">
        <v>976</v>
      </c>
      <c r="J1088" s="549" t="s">
        <v>976</v>
      </c>
      <c r="K1088" s="549" t="s">
        <v>976</v>
      </c>
      <c r="L1088" s="549">
        <v>97217.72</v>
      </c>
      <c r="M1088" s="549">
        <v>7339.94</v>
      </c>
      <c r="N1088" s="549">
        <v>5580.3</v>
      </c>
      <c r="O1088" s="549">
        <v>992</v>
      </c>
      <c r="P1088" s="549">
        <v>13.96</v>
      </c>
      <c r="Q1088" s="549">
        <v>1942.15</v>
      </c>
    </row>
    <row r="1089" spans="1:17" x14ac:dyDescent="0.25">
      <c r="A1089" s="549" t="s">
        <v>998</v>
      </c>
      <c r="B1089" s="549" t="s">
        <v>999</v>
      </c>
      <c r="C1089" s="549" t="s">
        <v>654</v>
      </c>
      <c r="D1089" s="549" t="s">
        <v>655</v>
      </c>
      <c r="E1089" s="549" t="s">
        <v>973</v>
      </c>
      <c r="F1089" s="549" t="s">
        <v>1212</v>
      </c>
      <c r="G1089" s="549">
        <v>2552</v>
      </c>
      <c r="H1089" s="549" t="s">
        <v>654</v>
      </c>
      <c r="I1089" s="549" t="s">
        <v>976</v>
      </c>
      <c r="J1089" s="549" t="s">
        <v>976</v>
      </c>
      <c r="K1089" s="549" t="s">
        <v>976</v>
      </c>
      <c r="L1089" s="549">
        <v>108012.12</v>
      </c>
      <c r="M1089" s="549">
        <v>8154.92</v>
      </c>
      <c r="N1089" s="549">
        <v>6199.9</v>
      </c>
      <c r="O1089" s="549">
        <v>992</v>
      </c>
      <c r="P1089" s="549">
        <v>13.96</v>
      </c>
      <c r="Q1089" s="549">
        <v>2142.42</v>
      </c>
    </row>
    <row r="1090" spans="1:17" x14ac:dyDescent="0.25">
      <c r="A1090" s="549" t="s">
        <v>998</v>
      </c>
      <c r="B1090" s="549" t="s">
        <v>999</v>
      </c>
      <c r="C1090" s="549" t="s">
        <v>654</v>
      </c>
      <c r="D1090" s="549" t="s">
        <v>655</v>
      </c>
      <c r="E1090" s="549" t="s">
        <v>973</v>
      </c>
      <c r="F1090" s="549" t="s">
        <v>1212</v>
      </c>
      <c r="G1090" s="549">
        <v>2568</v>
      </c>
      <c r="H1090" s="549" t="s">
        <v>654</v>
      </c>
      <c r="I1090" s="549" t="s">
        <v>976</v>
      </c>
      <c r="J1090" s="549" t="s">
        <v>976</v>
      </c>
      <c r="K1090" s="549" t="s">
        <v>976</v>
      </c>
      <c r="L1090" s="549">
        <v>104344.12</v>
      </c>
      <c r="M1090" s="549">
        <v>7877.98</v>
      </c>
      <c r="N1090" s="549">
        <v>5989.35</v>
      </c>
      <c r="O1090" s="549">
        <v>992</v>
      </c>
      <c r="P1090" s="549">
        <v>13.96</v>
      </c>
      <c r="Q1090" s="549">
        <v>2074.36</v>
      </c>
    </row>
    <row r="1091" spans="1:17" x14ac:dyDescent="0.25">
      <c r="A1091" s="549" t="s">
        <v>998</v>
      </c>
      <c r="B1091" s="549" t="s">
        <v>999</v>
      </c>
      <c r="C1091" s="549" t="s">
        <v>654</v>
      </c>
      <c r="D1091" s="549" t="s">
        <v>655</v>
      </c>
      <c r="E1091" s="549" t="s">
        <v>973</v>
      </c>
      <c r="F1091" s="549" t="s">
        <v>1212</v>
      </c>
      <c r="G1091" s="549">
        <v>2572</v>
      </c>
      <c r="H1091" s="549" t="s">
        <v>654</v>
      </c>
      <c r="I1091" s="549" t="s">
        <v>976</v>
      </c>
      <c r="J1091" s="549" t="s">
        <v>976</v>
      </c>
      <c r="K1091" s="549" t="s">
        <v>976</v>
      </c>
      <c r="L1091" s="549">
        <v>108012.12</v>
      </c>
      <c r="M1091" s="549">
        <v>8154.92</v>
      </c>
      <c r="N1091" s="549">
        <v>6199.9</v>
      </c>
      <c r="O1091" s="549">
        <v>992</v>
      </c>
      <c r="P1091" s="549">
        <v>13.96</v>
      </c>
      <c r="Q1091" s="549">
        <v>2142.42</v>
      </c>
    </row>
    <row r="1092" spans="1:17" x14ac:dyDescent="0.25">
      <c r="A1092" s="549" t="s">
        <v>998</v>
      </c>
      <c r="B1092" s="549" t="s">
        <v>999</v>
      </c>
      <c r="C1092" s="549" t="s">
        <v>654</v>
      </c>
      <c r="D1092" s="549" t="s">
        <v>655</v>
      </c>
      <c r="E1092" s="549" t="s">
        <v>973</v>
      </c>
      <c r="F1092" s="549" t="s">
        <v>1212</v>
      </c>
      <c r="G1092" s="549">
        <v>2582</v>
      </c>
      <c r="H1092" s="549" t="s">
        <v>654</v>
      </c>
      <c r="I1092" s="549" t="s">
        <v>976</v>
      </c>
      <c r="J1092" s="549" t="s">
        <v>976</v>
      </c>
      <c r="K1092" s="549" t="s">
        <v>976</v>
      </c>
      <c r="L1092" s="549">
        <v>97217.72</v>
      </c>
      <c r="M1092" s="549">
        <v>7339.94</v>
      </c>
      <c r="N1092" s="549">
        <v>5580.3</v>
      </c>
      <c r="O1092" s="549">
        <v>992</v>
      </c>
      <c r="P1092" s="549">
        <v>13.96</v>
      </c>
      <c r="Q1092" s="549">
        <v>1942.15</v>
      </c>
    </row>
    <row r="1093" spans="1:17" x14ac:dyDescent="0.25">
      <c r="A1093" s="549" t="s">
        <v>998</v>
      </c>
      <c r="B1093" s="549" t="s">
        <v>999</v>
      </c>
      <c r="C1093" s="549" t="s">
        <v>654</v>
      </c>
      <c r="D1093" s="549" t="s">
        <v>655</v>
      </c>
      <c r="E1093" s="549" t="s">
        <v>973</v>
      </c>
      <c r="F1093" s="549" t="s">
        <v>1212</v>
      </c>
      <c r="G1093" s="549">
        <v>2592</v>
      </c>
      <c r="H1093" s="549" t="s">
        <v>654</v>
      </c>
      <c r="I1093" s="549" t="s">
        <v>976</v>
      </c>
      <c r="J1093" s="549" t="s">
        <v>976</v>
      </c>
      <c r="K1093" s="549" t="s">
        <v>976</v>
      </c>
      <c r="L1093" s="549">
        <v>108012.12</v>
      </c>
      <c r="M1093" s="549">
        <v>8154.92</v>
      </c>
      <c r="N1093" s="549">
        <v>6199.9</v>
      </c>
      <c r="O1093" s="549">
        <v>992</v>
      </c>
      <c r="P1093" s="549">
        <v>13.96</v>
      </c>
      <c r="Q1093" s="549">
        <v>2142.42</v>
      </c>
    </row>
    <row r="1094" spans="1:17" x14ac:dyDescent="0.25">
      <c r="A1094" s="549" t="s">
        <v>998</v>
      </c>
      <c r="B1094" s="549" t="s">
        <v>999</v>
      </c>
      <c r="C1094" s="549" t="s">
        <v>654</v>
      </c>
      <c r="D1094" s="549" t="s">
        <v>655</v>
      </c>
      <c r="E1094" s="549" t="s">
        <v>973</v>
      </c>
      <c r="F1094" s="549" t="s">
        <v>1212</v>
      </c>
      <c r="G1094" s="549">
        <v>2602</v>
      </c>
      <c r="H1094" s="549" t="s">
        <v>654</v>
      </c>
      <c r="I1094" s="549" t="s">
        <v>976</v>
      </c>
      <c r="J1094" s="549" t="s">
        <v>976</v>
      </c>
      <c r="K1094" s="549" t="s">
        <v>976</v>
      </c>
      <c r="L1094" s="549">
        <v>108012.12</v>
      </c>
      <c r="M1094" s="549">
        <v>8154.92</v>
      </c>
      <c r="N1094" s="549">
        <v>6199.9</v>
      </c>
      <c r="O1094" s="549">
        <v>992</v>
      </c>
      <c r="P1094" s="549">
        <v>13.96</v>
      </c>
      <c r="Q1094" s="549">
        <v>2142.42</v>
      </c>
    </row>
    <row r="1095" spans="1:17" x14ac:dyDescent="0.25">
      <c r="A1095" s="549" t="s">
        <v>998</v>
      </c>
      <c r="B1095" s="549" t="s">
        <v>999</v>
      </c>
      <c r="C1095" s="549" t="s">
        <v>654</v>
      </c>
      <c r="D1095" s="549" t="s">
        <v>655</v>
      </c>
      <c r="E1095" s="549" t="s">
        <v>973</v>
      </c>
      <c r="F1095" s="549" t="s">
        <v>1212</v>
      </c>
      <c r="G1095" s="549">
        <v>2612</v>
      </c>
      <c r="H1095" s="549" t="s">
        <v>654</v>
      </c>
      <c r="I1095" s="549" t="s">
        <v>976</v>
      </c>
      <c r="J1095" s="549" t="s">
        <v>976</v>
      </c>
      <c r="K1095" s="549" t="s">
        <v>976</v>
      </c>
      <c r="L1095" s="549">
        <v>108012.12</v>
      </c>
      <c r="M1095" s="549">
        <v>8154.92</v>
      </c>
      <c r="N1095" s="549">
        <v>6199.9</v>
      </c>
      <c r="O1095" s="549">
        <v>992</v>
      </c>
      <c r="P1095" s="549">
        <v>13.96</v>
      </c>
      <c r="Q1095" s="549">
        <v>2142.42</v>
      </c>
    </row>
    <row r="1096" spans="1:17" x14ac:dyDescent="0.25">
      <c r="A1096" s="549" t="s">
        <v>998</v>
      </c>
      <c r="B1096" s="549" t="s">
        <v>999</v>
      </c>
      <c r="C1096" s="549" t="s">
        <v>654</v>
      </c>
      <c r="D1096" s="549" t="s">
        <v>655</v>
      </c>
      <c r="E1096" s="549" t="s">
        <v>973</v>
      </c>
      <c r="F1096" s="549" t="s">
        <v>1212</v>
      </c>
      <c r="G1096" s="549">
        <v>2628</v>
      </c>
      <c r="H1096" s="549" t="s">
        <v>654</v>
      </c>
      <c r="I1096" s="549" t="s">
        <v>976</v>
      </c>
      <c r="J1096" s="549" t="s">
        <v>976</v>
      </c>
      <c r="K1096" s="549" t="s">
        <v>976</v>
      </c>
      <c r="L1096" s="549">
        <v>108012.12</v>
      </c>
      <c r="M1096" s="549">
        <v>8154.92</v>
      </c>
      <c r="N1096" s="549">
        <v>6199.9</v>
      </c>
      <c r="O1096" s="549">
        <v>992</v>
      </c>
      <c r="P1096" s="549">
        <v>13.96</v>
      </c>
      <c r="Q1096" s="549">
        <v>2142.42</v>
      </c>
    </row>
    <row r="1097" spans="1:17" x14ac:dyDescent="0.25">
      <c r="A1097" s="549" t="s">
        <v>998</v>
      </c>
      <c r="B1097" s="549" t="s">
        <v>999</v>
      </c>
      <c r="C1097" s="549" t="s">
        <v>654</v>
      </c>
      <c r="D1097" s="549" t="s">
        <v>655</v>
      </c>
      <c r="E1097" s="549" t="s">
        <v>973</v>
      </c>
      <c r="F1097" s="549" t="s">
        <v>1212</v>
      </c>
      <c r="G1097" s="549">
        <v>2632</v>
      </c>
      <c r="H1097" s="549" t="s">
        <v>654</v>
      </c>
      <c r="I1097" s="549" t="s">
        <v>976</v>
      </c>
      <c r="J1097" s="549" t="s">
        <v>976</v>
      </c>
      <c r="K1097" s="549" t="s">
        <v>976</v>
      </c>
      <c r="L1097" s="549">
        <v>108012.12</v>
      </c>
      <c r="M1097" s="549">
        <v>8154.92</v>
      </c>
      <c r="N1097" s="549">
        <v>6199.9</v>
      </c>
      <c r="O1097" s="549">
        <v>992</v>
      </c>
      <c r="P1097" s="549">
        <v>13.96</v>
      </c>
      <c r="Q1097" s="549">
        <v>2142.42</v>
      </c>
    </row>
    <row r="1098" spans="1:17" x14ac:dyDescent="0.25">
      <c r="A1098" s="549" t="s">
        <v>998</v>
      </c>
      <c r="B1098" s="549" t="s">
        <v>999</v>
      </c>
      <c r="C1098" s="549" t="s">
        <v>654</v>
      </c>
      <c r="D1098" s="549" t="s">
        <v>655</v>
      </c>
      <c r="E1098" s="549" t="s">
        <v>973</v>
      </c>
      <c r="F1098" s="549" t="s">
        <v>1212</v>
      </c>
      <c r="G1098" s="549">
        <v>2642</v>
      </c>
      <c r="H1098" s="549" t="s">
        <v>654</v>
      </c>
      <c r="I1098" s="549" t="s">
        <v>976</v>
      </c>
      <c r="J1098" s="549" t="s">
        <v>976</v>
      </c>
      <c r="K1098" s="549" t="s">
        <v>976</v>
      </c>
      <c r="L1098" s="549">
        <v>108012.12</v>
      </c>
      <c r="M1098" s="549">
        <v>8154.92</v>
      </c>
      <c r="N1098" s="549">
        <v>6199.9</v>
      </c>
      <c r="O1098" s="549">
        <v>992</v>
      </c>
      <c r="P1098" s="549">
        <v>13.96</v>
      </c>
      <c r="Q1098" s="549">
        <v>2142.42</v>
      </c>
    </row>
    <row r="1099" spans="1:17" x14ac:dyDescent="0.25">
      <c r="A1099" s="549" t="s">
        <v>998</v>
      </c>
      <c r="B1099" s="549" t="s">
        <v>999</v>
      </c>
      <c r="C1099" s="549" t="s">
        <v>654</v>
      </c>
      <c r="D1099" s="549" t="s">
        <v>655</v>
      </c>
      <c r="E1099" s="549" t="s">
        <v>973</v>
      </c>
      <c r="F1099" s="549" t="s">
        <v>1212</v>
      </c>
      <c r="G1099" s="549">
        <v>2652</v>
      </c>
      <c r="H1099" s="549" t="s">
        <v>654</v>
      </c>
      <c r="I1099" s="549" t="s">
        <v>976</v>
      </c>
      <c r="J1099" s="549" t="s">
        <v>976</v>
      </c>
      <c r="K1099" s="549" t="s">
        <v>976</v>
      </c>
      <c r="L1099" s="549">
        <v>108012.12</v>
      </c>
      <c r="M1099" s="549">
        <v>8154.92</v>
      </c>
      <c r="N1099" s="549">
        <v>6199.9</v>
      </c>
      <c r="O1099" s="549">
        <v>992</v>
      </c>
      <c r="P1099" s="549">
        <v>13.96</v>
      </c>
      <c r="Q1099" s="549">
        <v>2142.42</v>
      </c>
    </row>
    <row r="1100" spans="1:17" x14ac:dyDescent="0.25">
      <c r="A1100" s="549" t="s">
        <v>998</v>
      </c>
      <c r="B1100" s="549" t="s">
        <v>999</v>
      </c>
      <c r="C1100" s="549" t="s">
        <v>654</v>
      </c>
      <c r="D1100" s="549" t="s">
        <v>655</v>
      </c>
      <c r="E1100" s="549" t="s">
        <v>973</v>
      </c>
      <c r="F1100" s="549" t="s">
        <v>1212</v>
      </c>
      <c r="G1100" s="549">
        <v>2668</v>
      </c>
      <c r="H1100" s="549" t="s">
        <v>654</v>
      </c>
      <c r="I1100" s="549" t="s">
        <v>976</v>
      </c>
      <c r="J1100" s="549" t="s">
        <v>976</v>
      </c>
      <c r="K1100" s="549" t="s">
        <v>976</v>
      </c>
      <c r="L1100" s="549">
        <v>104344.12</v>
      </c>
      <c r="M1100" s="549">
        <v>7877.98</v>
      </c>
      <c r="N1100" s="549">
        <v>5989.35</v>
      </c>
      <c r="O1100" s="549">
        <v>992</v>
      </c>
      <c r="P1100" s="549">
        <v>13.96</v>
      </c>
      <c r="Q1100" s="549">
        <v>2074.36</v>
      </c>
    </row>
    <row r="1101" spans="1:17" x14ac:dyDescent="0.25">
      <c r="A1101" s="549" t="s">
        <v>998</v>
      </c>
      <c r="B1101" s="549" t="s">
        <v>999</v>
      </c>
      <c r="C1101" s="549" t="s">
        <v>654</v>
      </c>
      <c r="D1101" s="549" t="s">
        <v>655</v>
      </c>
      <c r="E1101" s="549" t="s">
        <v>973</v>
      </c>
      <c r="F1101" s="549" t="s">
        <v>1212</v>
      </c>
      <c r="G1101" s="549">
        <v>2672</v>
      </c>
      <c r="H1101" s="549" t="s">
        <v>654</v>
      </c>
      <c r="I1101" s="549" t="s">
        <v>976</v>
      </c>
      <c r="J1101" s="549" t="s">
        <v>976</v>
      </c>
      <c r="K1101" s="549" t="s">
        <v>976</v>
      </c>
      <c r="L1101" s="549">
        <v>108012.12</v>
      </c>
      <c r="M1101" s="549">
        <v>8154.92</v>
      </c>
      <c r="N1101" s="549">
        <v>6199.9</v>
      </c>
      <c r="O1101" s="549">
        <v>992</v>
      </c>
      <c r="P1101" s="549">
        <v>13.96</v>
      </c>
      <c r="Q1101" s="549">
        <v>2142.42</v>
      </c>
    </row>
    <row r="1102" spans="1:17" x14ac:dyDescent="0.25">
      <c r="A1102" s="549" t="s">
        <v>998</v>
      </c>
      <c r="B1102" s="549" t="s">
        <v>999</v>
      </c>
      <c r="C1102" s="549" t="s">
        <v>654</v>
      </c>
      <c r="D1102" s="549" t="s">
        <v>655</v>
      </c>
      <c r="E1102" s="549" t="s">
        <v>973</v>
      </c>
      <c r="F1102" s="549" t="s">
        <v>1212</v>
      </c>
      <c r="G1102" s="549">
        <v>2682</v>
      </c>
      <c r="H1102" s="549" t="s">
        <v>654</v>
      </c>
      <c r="I1102" s="549" t="s">
        <v>976</v>
      </c>
      <c r="J1102" s="549" t="s">
        <v>976</v>
      </c>
      <c r="K1102" s="549" t="s">
        <v>976</v>
      </c>
      <c r="L1102" s="549">
        <v>108012.12</v>
      </c>
      <c r="M1102" s="549">
        <v>8154.92</v>
      </c>
      <c r="N1102" s="549">
        <v>6199.9</v>
      </c>
      <c r="O1102" s="549">
        <v>992</v>
      </c>
      <c r="P1102" s="549">
        <v>13.96</v>
      </c>
      <c r="Q1102" s="549">
        <v>2142.42</v>
      </c>
    </row>
    <row r="1103" spans="1:17" x14ac:dyDescent="0.25">
      <c r="A1103" s="549" t="s">
        <v>998</v>
      </c>
      <c r="B1103" s="549" t="s">
        <v>999</v>
      </c>
      <c r="C1103" s="549" t="s">
        <v>654</v>
      </c>
      <c r="D1103" s="549" t="s">
        <v>655</v>
      </c>
      <c r="E1103" s="549" t="s">
        <v>973</v>
      </c>
      <c r="F1103" s="549" t="s">
        <v>1212</v>
      </c>
      <c r="G1103" s="549" t="s">
        <v>1242</v>
      </c>
      <c r="H1103" s="549" t="s">
        <v>654</v>
      </c>
      <c r="I1103" s="549" t="s">
        <v>976</v>
      </c>
      <c r="J1103" s="549" t="s">
        <v>976</v>
      </c>
      <c r="K1103" s="549" t="s">
        <v>976</v>
      </c>
      <c r="L1103" s="549">
        <v>30794.43</v>
      </c>
      <c r="M1103" s="549">
        <v>2324.98</v>
      </c>
      <c r="N1103" s="549">
        <v>1767.6</v>
      </c>
      <c r="O1103" s="549">
        <v>0</v>
      </c>
      <c r="P1103" s="549">
        <v>13.96</v>
      </c>
      <c r="Q1103" s="549">
        <v>571.32000000000005</v>
      </c>
    </row>
    <row r="1104" spans="1:17" x14ac:dyDescent="0.25">
      <c r="A1104" s="549" t="s">
        <v>998</v>
      </c>
      <c r="B1104" s="549" t="s">
        <v>999</v>
      </c>
      <c r="C1104" s="549" t="s">
        <v>654</v>
      </c>
      <c r="D1104" s="549" t="s">
        <v>655</v>
      </c>
      <c r="E1104" s="549" t="s">
        <v>973</v>
      </c>
      <c r="F1104" s="549" t="s">
        <v>1212</v>
      </c>
      <c r="G1104" s="549" t="s">
        <v>1289</v>
      </c>
      <c r="H1104" s="549" t="s">
        <v>654</v>
      </c>
      <c r="I1104" s="549" t="s">
        <v>976</v>
      </c>
      <c r="J1104" s="549" t="s">
        <v>976</v>
      </c>
      <c r="K1104" s="549" t="s">
        <v>976</v>
      </c>
      <c r="L1104" s="549">
        <v>30794.43</v>
      </c>
      <c r="M1104" s="549">
        <v>2324.98</v>
      </c>
      <c r="N1104" s="549">
        <v>1767.6</v>
      </c>
      <c r="O1104" s="549">
        <v>0</v>
      </c>
      <c r="P1104" s="549">
        <v>13.96</v>
      </c>
      <c r="Q1104" s="549">
        <v>571.32000000000005</v>
      </c>
    </row>
    <row r="1105" spans="1:17" x14ac:dyDescent="0.25">
      <c r="A1105" s="549" t="s">
        <v>998</v>
      </c>
      <c r="B1105" s="549" t="s">
        <v>999</v>
      </c>
      <c r="C1105" s="549" t="s">
        <v>654</v>
      </c>
      <c r="D1105" s="549" t="s">
        <v>655</v>
      </c>
      <c r="E1105" s="549" t="s">
        <v>973</v>
      </c>
      <c r="F1105" s="549" t="s">
        <v>1212</v>
      </c>
      <c r="G1105" s="549" t="s">
        <v>1290</v>
      </c>
      <c r="H1105" s="549" t="s">
        <v>654</v>
      </c>
      <c r="I1105" s="549" t="s">
        <v>976</v>
      </c>
      <c r="J1105" s="549" t="s">
        <v>976</v>
      </c>
      <c r="K1105" s="549" t="s">
        <v>976</v>
      </c>
      <c r="L1105" s="549">
        <v>30794.43</v>
      </c>
      <c r="M1105" s="549">
        <v>2324.98</v>
      </c>
      <c r="N1105" s="549">
        <v>1767.6</v>
      </c>
      <c r="O1105" s="549">
        <v>0</v>
      </c>
      <c r="P1105" s="549">
        <v>13.96</v>
      </c>
      <c r="Q1105" s="549">
        <v>571.32000000000005</v>
      </c>
    </row>
    <row r="1106" spans="1:17" x14ac:dyDescent="0.25">
      <c r="A1106" s="549" t="s">
        <v>998</v>
      </c>
      <c r="B1106" s="549" t="s">
        <v>999</v>
      </c>
      <c r="C1106" s="549" t="s">
        <v>654</v>
      </c>
      <c r="D1106" s="549" t="s">
        <v>655</v>
      </c>
      <c r="E1106" s="549" t="s">
        <v>977</v>
      </c>
      <c r="F1106" s="549" t="s">
        <v>1212</v>
      </c>
      <c r="G1106" s="549">
        <v>222</v>
      </c>
      <c r="H1106" s="549" t="s">
        <v>654</v>
      </c>
      <c r="I1106" s="549" t="s">
        <v>976</v>
      </c>
      <c r="J1106" s="549" t="s">
        <v>976</v>
      </c>
      <c r="K1106" s="549" t="s">
        <v>976</v>
      </c>
      <c r="L1106" s="549">
        <v>105832.29</v>
      </c>
      <c r="M1106" s="549">
        <v>7990.34</v>
      </c>
      <c r="N1106" s="549">
        <v>2338.89</v>
      </c>
      <c r="O1106" s="549">
        <v>3968</v>
      </c>
      <c r="P1106" s="549">
        <v>86.04</v>
      </c>
      <c r="Q1106" s="549">
        <v>12301.34</v>
      </c>
    </row>
    <row r="1107" spans="1:17" x14ac:dyDescent="0.25">
      <c r="A1107" s="549" t="s">
        <v>998</v>
      </c>
      <c r="B1107" s="549" t="s">
        <v>999</v>
      </c>
      <c r="C1107" s="549" t="s">
        <v>654</v>
      </c>
      <c r="D1107" s="549" t="s">
        <v>655</v>
      </c>
      <c r="E1107" s="549" t="s">
        <v>977</v>
      </c>
      <c r="F1107" s="549" t="s">
        <v>1212</v>
      </c>
      <c r="G1107" s="549">
        <v>232</v>
      </c>
      <c r="H1107" s="549" t="s">
        <v>654</v>
      </c>
      <c r="I1107" s="549" t="s">
        <v>976</v>
      </c>
      <c r="J1107" s="549" t="s">
        <v>976</v>
      </c>
      <c r="K1107" s="549" t="s">
        <v>976</v>
      </c>
      <c r="L1107" s="549">
        <v>97703.039999999994</v>
      </c>
      <c r="M1107" s="549">
        <v>7376.58</v>
      </c>
      <c r="N1107" s="549">
        <v>2159.2399999999998</v>
      </c>
      <c r="O1107" s="549">
        <v>1984</v>
      </c>
      <c r="P1107" s="549">
        <v>86.04</v>
      </c>
      <c r="Q1107" s="549">
        <v>9911.65</v>
      </c>
    </row>
    <row r="1108" spans="1:17" x14ac:dyDescent="0.25">
      <c r="A1108" s="549" t="s">
        <v>998</v>
      </c>
      <c r="B1108" s="549" t="s">
        <v>999</v>
      </c>
      <c r="C1108" s="549" t="s">
        <v>654</v>
      </c>
      <c r="D1108" s="549" t="s">
        <v>655</v>
      </c>
      <c r="E1108" s="549" t="s">
        <v>977</v>
      </c>
      <c r="F1108" s="549" t="s">
        <v>1212</v>
      </c>
      <c r="G1108" s="549">
        <v>242</v>
      </c>
      <c r="H1108" s="549" t="s">
        <v>654</v>
      </c>
      <c r="I1108" s="549" t="s">
        <v>976</v>
      </c>
      <c r="J1108" s="549" t="s">
        <v>976</v>
      </c>
      <c r="K1108" s="549" t="s">
        <v>976</v>
      </c>
      <c r="L1108" s="549">
        <v>166492.85999999999</v>
      </c>
      <c r="M1108" s="549">
        <v>12570.21</v>
      </c>
      <c r="N1108" s="549">
        <v>3679.49</v>
      </c>
      <c r="O1108" s="549">
        <v>3968</v>
      </c>
      <c r="P1108" s="549">
        <v>86.04</v>
      </c>
      <c r="Q1108" s="549">
        <v>17395.310000000001</v>
      </c>
    </row>
    <row r="1109" spans="1:17" x14ac:dyDescent="0.25">
      <c r="A1109" s="549" t="s">
        <v>998</v>
      </c>
      <c r="B1109" s="549" t="s">
        <v>999</v>
      </c>
      <c r="C1109" s="549" t="s">
        <v>654</v>
      </c>
      <c r="D1109" s="549" t="s">
        <v>655</v>
      </c>
      <c r="E1109" s="549" t="s">
        <v>977</v>
      </c>
      <c r="F1109" s="549" t="s">
        <v>1212</v>
      </c>
      <c r="G1109" s="549">
        <v>247</v>
      </c>
      <c r="H1109" s="549" t="s">
        <v>654</v>
      </c>
      <c r="I1109" s="549" t="s">
        <v>976</v>
      </c>
      <c r="J1109" s="549" t="s">
        <v>976</v>
      </c>
      <c r="K1109" s="549" t="s">
        <v>976</v>
      </c>
      <c r="L1109" s="549">
        <v>12593.62</v>
      </c>
      <c r="M1109" s="549">
        <v>950.82</v>
      </c>
      <c r="N1109" s="549">
        <v>278.32</v>
      </c>
      <c r="O1109" s="549">
        <v>992</v>
      </c>
      <c r="P1109" s="549">
        <v>86.04</v>
      </c>
      <c r="Q1109" s="549">
        <v>1911.07</v>
      </c>
    </row>
    <row r="1110" spans="1:17" x14ac:dyDescent="0.25">
      <c r="A1110" s="549" t="s">
        <v>998</v>
      </c>
      <c r="B1110" s="549" t="s">
        <v>999</v>
      </c>
      <c r="C1110" s="549" t="s">
        <v>654</v>
      </c>
      <c r="D1110" s="549" t="s">
        <v>655</v>
      </c>
      <c r="E1110" s="549" t="s">
        <v>977</v>
      </c>
      <c r="F1110" s="549" t="s">
        <v>1212</v>
      </c>
      <c r="G1110" s="549">
        <v>252</v>
      </c>
      <c r="H1110" s="549" t="s">
        <v>654</v>
      </c>
      <c r="I1110" s="549" t="s">
        <v>976</v>
      </c>
      <c r="J1110" s="549" t="s">
        <v>976</v>
      </c>
      <c r="K1110" s="549" t="s">
        <v>976</v>
      </c>
      <c r="L1110" s="549">
        <v>105832.29</v>
      </c>
      <c r="M1110" s="549">
        <v>7990.34</v>
      </c>
      <c r="N1110" s="549">
        <v>2338.89</v>
      </c>
      <c r="O1110" s="549">
        <v>3968</v>
      </c>
      <c r="P1110" s="549">
        <v>86.04</v>
      </c>
      <c r="Q1110" s="549">
        <v>12301.34</v>
      </c>
    </row>
    <row r="1111" spans="1:17" x14ac:dyDescent="0.25">
      <c r="A1111" s="549" t="s">
        <v>998</v>
      </c>
      <c r="B1111" s="549" t="s">
        <v>999</v>
      </c>
      <c r="C1111" s="549" t="s">
        <v>654</v>
      </c>
      <c r="D1111" s="549" t="s">
        <v>655</v>
      </c>
      <c r="E1111" s="549" t="s">
        <v>977</v>
      </c>
      <c r="F1111" s="549" t="s">
        <v>1212</v>
      </c>
      <c r="G1111" s="549">
        <v>262</v>
      </c>
      <c r="H1111" s="549" t="s">
        <v>654</v>
      </c>
      <c r="I1111" s="549" t="s">
        <v>976</v>
      </c>
      <c r="J1111" s="549" t="s">
        <v>976</v>
      </c>
      <c r="K1111" s="549" t="s">
        <v>976</v>
      </c>
      <c r="L1111" s="549">
        <v>166492.85999999999</v>
      </c>
      <c r="M1111" s="549">
        <v>12570.21</v>
      </c>
      <c r="N1111" s="549">
        <v>3679.49</v>
      </c>
      <c r="O1111" s="549">
        <v>3968</v>
      </c>
      <c r="P1111" s="549">
        <v>86.04</v>
      </c>
      <c r="Q1111" s="549">
        <v>17395.310000000001</v>
      </c>
    </row>
    <row r="1112" spans="1:17" x14ac:dyDescent="0.25">
      <c r="A1112" s="549" t="s">
        <v>998</v>
      </c>
      <c r="B1112" s="549" t="s">
        <v>999</v>
      </c>
      <c r="C1112" s="549" t="s">
        <v>654</v>
      </c>
      <c r="D1112" s="549" t="s">
        <v>655</v>
      </c>
      <c r="E1112" s="549" t="s">
        <v>977</v>
      </c>
      <c r="F1112" s="549" t="s">
        <v>1212</v>
      </c>
      <c r="G1112" s="549">
        <v>272</v>
      </c>
      <c r="H1112" s="549" t="s">
        <v>654</v>
      </c>
      <c r="I1112" s="549" t="s">
        <v>976</v>
      </c>
      <c r="J1112" s="549" t="s">
        <v>976</v>
      </c>
      <c r="K1112" s="549" t="s">
        <v>976</v>
      </c>
      <c r="L1112" s="549">
        <v>105832.29</v>
      </c>
      <c r="M1112" s="549">
        <v>7990.34</v>
      </c>
      <c r="N1112" s="549">
        <v>2338.89</v>
      </c>
      <c r="O1112" s="549">
        <v>3968</v>
      </c>
      <c r="P1112" s="549">
        <v>86.04</v>
      </c>
      <c r="Q1112" s="549">
        <v>12301.34</v>
      </c>
    </row>
    <row r="1113" spans="1:17" x14ac:dyDescent="0.25">
      <c r="A1113" s="549" t="s">
        <v>998</v>
      </c>
      <c r="B1113" s="549" t="s">
        <v>999</v>
      </c>
      <c r="C1113" s="549" t="s">
        <v>654</v>
      </c>
      <c r="D1113" s="549" t="s">
        <v>655</v>
      </c>
      <c r="E1113" s="549" t="s">
        <v>977</v>
      </c>
      <c r="F1113" s="549" t="s">
        <v>1212</v>
      </c>
      <c r="G1113" s="549">
        <v>282</v>
      </c>
      <c r="H1113" s="549" t="s">
        <v>654</v>
      </c>
      <c r="I1113" s="549" t="s">
        <v>976</v>
      </c>
      <c r="J1113" s="549" t="s">
        <v>976</v>
      </c>
      <c r="K1113" s="549" t="s">
        <v>976</v>
      </c>
      <c r="L1113" s="549">
        <v>105832.29</v>
      </c>
      <c r="M1113" s="549">
        <v>7990.34</v>
      </c>
      <c r="N1113" s="549">
        <v>2338.89</v>
      </c>
      <c r="O1113" s="549">
        <v>3968</v>
      </c>
      <c r="P1113" s="549">
        <v>86.04</v>
      </c>
      <c r="Q1113" s="549">
        <v>12301.34</v>
      </c>
    </row>
    <row r="1114" spans="1:17" x14ac:dyDescent="0.25">
      <c r="A1114" s="549" t="s">
        <v>998</v>
      </c>
      <c r="B1114" s="549" t="s">
        <v>999</v>
      </c>
      <c r="C1114" s="549" t="s">
        <v>654</v>
      </c>
      <c r="D1114" s="549" t="s">
        <v>655</v>
      </c>
      <c r="E1114" s="549" t="s">
        <v>977</v>
      </c>
      <c r="F1114" s="549" t="s">
        <v>1212</v>
      </c>
      <c r="G1114" s="549">
        <v>522</v>
      </c>
      <c r="H1114" s="549" t="s">
        <v>654</v>
      </c>
      <c r="I1114" s="549" t="s">
        <v>976</v>
      </c>
      <c r="J1114" s="549" t="s">
        <v>976</v>
      </c>
      <c r="K1114" s="549" t="s">
        <v>976</v>
      </c>
      <c r="L1114" s="549">
        <v>264223.57</v>
      </c>
      <c r="M1114" s="549">
        <v>19948.88</v>
      </c>
      <c r="N1114" s="549">
        <v>5839.34</v>
      </c>
      <c r="O1114" s="549">
        <v>1984</v>
      </c>
      <c r="P1114" s="549">
        <v>86.04</v>
      </c>
      <c r="Q1114" s="549">
        <v>23895.22</v>
      </c>
    </row>
    <row r="1115" spans="1:17" x14ac:dyDescent="0.25">
      <c r="A1115" s="549" t="s">
        <v>998</v>
      </c>
      <c r="B1115" s="549" t="s">
        <v>999</v>
      </c>
      <c r="C1115" s="549" t="s">
        <v>654</v>
      </c>
      <c r="D1115" s="549" t="s">
        <v>655</v>
      </c>
      <c r="E1115" s="549" t="s">
        <v>977</v>
      </c>
      <c r="F1115" s="549" t="s">
        <v>1212</v>
      </c>
      <c r="G1115" s="549">
        <v>562</v>
      </c>
      <c r="H1115" s="549" t="s">
        <v>654</v>
      </c>
      <c r="I1115" s="549" t="s">
        <v>976</v>
      </c>
      <c r="J1115" s="549" t="s">
        <v>976</v>
      </c>
      <c r="K1115" s="549" t="s">
        <v>976</v>
      </c>
      <c r="L1115" s="549">
        <v>264223.57</v>
      </c>
      <c r="M1115" s="549">
        <v>19948.88</v>
      </c>
      <c r="N1115" s="549">
        <v>5839.34</v>
      </c>
      <c r="O1115" s="549">
        <v>1984</v>
      </c>
      <c r="P1115" s="549">
        <v>86.04</v>
      </c>
      <c r="Q1115" s="549">
        <v>23895.22</v>
      </c>
    </row>
    <row r="1116" spans="1:17" x14ac:dyDescent="0.25">
      <c r="A1116" s="549" t="s">
        <v>998</v>
      </c>
      <c r="B1116" s="549" t="s">
        <v>999</v>
      </c>
      <c r="C1116" s="549" t="s">
        <v>654</v>
      </c>
      <c r="D1116" s="549" t="s">
        <v>655</v>
      </c>
      <c r="E1116" s="549" t="s">
        <v>977</v>
      </c>
      <c r="F1116" s="549" t="s">
        <v>1212</v>
      </c>
      <c r="G1116" s="549">
        <v>742</v>
      </c>
      <c r="H1116" s="549" t="s">
        <v>654</v>
      </c>
      <c r="I1116" s="549" t="s">
        <v>976</v>
      </c>
      <c r="J1116" s="549" t="s">
        <v>976</v>
      </c>
      <c r="K1116" s="549" t="s">
        <v>976</v>
      </c>
      <c r="L1116" s="549">
        <v>464050.19</v>
      </c>
      <c r="M1116" s="549">
        <v>35035.79</v>
      </c>
      <c r="N1116" s="549">
        <v>10255.51</v>
      </c>
      <c r="O1116" s="549">
        <v>1984</v>
      </c>
      <c r="P1116" s="549">
        <v>86.04</v>
      </c>
      <c r="Q1116" s="549">
        <v>40675.67</v>
      </c>
    </row>
    <row r="1117" spans="1:17" x14ac:dyDescent="0.25">
      <c r="A1117" s="549" t="s">
        <v>998</v>
      </c>
      <c r="B1117" s="549" t="s">
        <v>999</v>
      </c>
      <c r="C1117" s="549" t="s">
        <v>654</v>
      </c>
      <c r="D1117" s="549" t="s">
        <v>655</v>
      </c>
      <c r="E1117" s="549" t="s">
        <v>977</v>
      </c>
      <c r="F1117" s="549" t="s">
        <v>1212</v>
      </c>
      <c r="G1117" s="549">
        <v>2512</v>
      </c>
      <c r="H1117" s="549" t="s">
        <v>654</v>
      </c>
      <c r="I1117" s="549" t="s">
        <v>976</v>
      </c>
      <c r="J1117" s="549" t="s">
        <v>976</v>
      </c>
      <c r="K1117" s="549" t="s">
        <v>976</v>
      </c>
      <c r="L1117" s="549">
        <v>108012.12</v>
      </c>
      <c r="M1117" s="549">
        <v>8154.92</v>
      </c>
      <c r="N1117" s="549">
        <v>2387.0700000000002</v>
      </c>
      <c r="O1117" s="549">
        <v>992</v>
      </c>
      <c r="P1117" s="549">
        <v>86.04</v>
      </c>
      <c r="Q1117" s="549">
        <v>9923.84</v>
      </c>
    </row>
    <row r="1118" spans="1:17" x14ac:dyDescent="0.25">
      <c r="A1118" s="549" t="s">
        <v>998</v>
      </c>
      <c r="B1118" s="549" t="s">
        <v>999</v>
      </c>
      <c r="C1118" s="549" t="s">
        <v>654</v>
      </c>
      <c r="D1118" s="549" t="s">
        <v>655</v>
      </c>
      <c r="E1118" s="549" t="s">
        <v>977</v>
      </c>
      <c r="F1118" s="549" t="s">
        <v>1212</v>
      </c>
      <c r="G1118" s="549">
        <v>2522</v>
      </c>
      <c r="H1118" s="549" t="s">
        <v>654</v>
      </c>
      <c r="I1118" s="549" t="s">
        <v>976</v>
      </c>
      <c r="J1118" s="549" t="s">
        <v>976</v>
      </c>
      <c r="K1118" s="549" t="s">
        <v>976</v>
      </c>
      <c r="L1118" s="549">
        <v>108012.12</v>
      </c>
      <c r="M1118" s="549">
        <v>8154.92</v>
      </c>
      <c r="N1118" s="549">
        <v>2387.0700000000002</v>
      </c>
      <c r="O1118" s="549">
        <v>992</v>
      </c>
      <c r="P1118" s="549">
        <v>86.04</v>
      </c>
      <c r="Q1118" s="549">
        <v>9923.84</v>
      </c>
    </row>
    <row r="1119" spans="1:17" x14ac:dyDescent="0.25">
      <c r="A1119" s="549" t="s">
        <v>998</v>
      </c>
      <c r="B1119" s="549" t="s">
        <v>999</v>
      </c>
      <c r="C1119" s="549" t="s">
        <v>654</v>
      </c>
      <c r="D1119" s="549" t="s">
        <v>655</v>
      </c>
      <c r="E1119" s="549" t="s">
        <v>977</v>
      </c>
      <c r="F1119" s="549" t="s">
        <v>1212</v>
      </c>
      <c r="G1119" s="549">
        <v>2532</v>
      </c>
      <c r="H1119" s="549" t="s">
        <v>654</v>
      </c>
      <c r="I1119" s="549" t="s">
        <v>976</v>
      </c>
      <c r="J1119" s="549" t="s">
        <v>976</v>
      </c>
      <c r="K1119" s="549" t="s">
        <v>976</v>
      </c>
      <c r="L1119" s="549">
        <v>108012.12</v>
      </c>
      <c r="M1119" s="549">
        <v>8154.92</v>
      </c>
      <c r="N1119" s="549">
        <v>2387.0700000000002</v>
      </c>
      <c r="O1119" s="549">
        <v>992</v>
      </c>
      <c r="P1119" s="549">
        <v>86.04</v>
      </c>
      <c r="Q1119" s="549">
        <v>9923.84</v>
      </c>
    </row>
    <row r="1120" spans="1:17" x14ac:dyDescent="0.25">
      <c r="A1120" s="549" t="s">
        <v>998</v>
      </c>
      <c r="B1120" s="549" t="s">
        <v>999</v>
      </c>
      <c r="C1120" s="549" t="s">
        <v>654</v>
      </c>
      <c r="D1120" s="549" t="s">
        <v>655</v>
      </c>
      <c r="E1120" s="549" t="s">
        <v>977</v>
      </c>
      <c r="F1120" s="549" t="s">
        <v>1212</v>
      </c>
      <c r="G1120" s="549">
        <v>2542</v>
      </c>
      <c r="H1120" s="549" t="s">
        <v>654</v>
      </c>
      <c r="I1120" s="549" t="s">
        <v>976</v>
      </c>
      <c r="J1120" s="549" t="s">
        <v>976</v>
      </c>
      <c r="K1120" s="549" t="s">
        <v>976</v>
      </c>
      <c r="L1120" s="549">
        <v>97217.72</v>
      </c>
      <c r="M1120" s="549">
        <v>7339.94</v>
      </c>
      <c r="N1120" s="549">
        <v>2148.5100000000002</v>
      </c>
      <c r="O1120" s="549">
        <v>992</v>
      </c>
      <c r="P1120" s="549">
        <v>86.04</v>
      </c>
      <c r="Q1120" s="549">
        <v>9017.3799999999992</v>
      </c>
    </row>
    <row r="1121" spans="1:17" x14ac:dyDescent="0.25">
      <c r="A1121" s="549" t="s">
        <v>998</v>
      </c>
      <c r="B1121" s="549" t="s">
        <v>999</v>
      </c>
      <c r="C1121" s="549" t="s">
        <v>654</v>
      </c>
      <c r="D1121" s="549" t="s">
        <v>655</v>
      </c>
      <c r="E1121" s="549" t="s">
        <v>977</v>
      </c>
      <c r="F1121" s="549" t="s">
        <v>1212</v>
      </c>
      <c r="G1121" s="549">
        <v>2552</v>
      </c>
      <c r="H1121" s="549" t="s">
        <v>654</v>
      </c>
      <c r="I1121" s="549" t="s">
        <v>976</v>
      </c>
      <c r="J1121" s="549" t="s">
        <v>976</v>
      </c>
      <c r="K1121" s="549" t="s">
        <v>976</v>
      </c>
      <c r="L1121" s="549">
        <v>108012.12</v>
      </c>
      <c r="M1121" s="549">
        <v>8154.92</v>
      </c>
      <c r="N1121" s="549">
        <v>2387.0700000000002</v>
      </c>
      <c r="O1121" s="549">
        <v>992</v>
      </c>
      <c r="P1121" s="549">
        <v>86.04</v>
      </c>
      <c r="Q1121" s="549">
        <v>9923.84</v>
      </c>
    </row>
    <row r="1122" spans="1:17" x14ac:dyDescent="0.25">
      <c r="A1122" s="549" t="s">
        <v>998</v>
      </c>
      <c r="B1122" s="549" t="s">
        <v>999</v>
      </c>
      <c r="C1122" s="549" t="s">
        <v>654</v>
      </c>
      <c r="D1122" s="549" t="s">
        <v>655</v>
      </c>
      <c r="E1122" s="549" t="s">
        <v>977</v>
      </c>
      <c r="F1122" s="549" t="s">
        <v>1212</v>
      </c>
      <c r="G1122" s="549">
        <v>2568</v>
      </c>
      <c r="H1122" s="549" t="s">
        <v>654</v>
      </c>
      <c r="I1122" s="549" t="s">
        <v>976</v>
      </c>
      <c r="J1122" s="549" t="s">
        <v>976</v>
      </c>
      <c r="K1122" s="549" t="s">
        <v>976</v>
      </c>
      <c r="L1122" s="549">
        <v>104344.12</v>
      </c>
      <c r="M1122" s="549">
        <v>7877.98</v>
      </c>
      <c r="N1122" s="549">
        <v>2306.0100000000002</v>
      </c>
      <c r="O1122" s="549">
        <v>992</v>
      </c>
      <c r="P1122" s="549">
        <v>86.04</v>
      </c>
      <c r="Q1122" s="549">
        <v>9615.82</v>
      </c>
    </row>
    <row r="1123" spans="1:17" x14ac:dyDescent="0.25">
      <c r="A1123" s="549" t="s">
        <v>998</v>
      </c>
      <c r="B1123" s="549" t="s">
        <v>999</v>
      </c>
      <c r="C1123" s="549" t="s">
        <v>654</v>
      </c>
      <c r="D1123" s="549" t="s">
        <v>655</v>
      </c>
      <c r="E1123" s="549" t="s">
        <v>977</v>
      </c>
      <c r="F1123" s="549" t="s">
        <v>1212</v>
      </c>
      <c r="G1123" s="549">
        <v>2572</v>
      </c>
      <c r="H1123" s="549" t="s">
        <v>654</v>
      </c>
      <c r="I1123" s="549" t="s">
        <v>976</v>
      </c>
      <c r="J1123" s="549" t="s">
        <v>976</v>
      </c>
      <c r="K1123" s="549" t="s">
        <v>976</v>
      </c>
      <c r="L1123" s="549">
        <v>108012.12</v>
      </c>
      <c r="M1123" s="549">
        <v>8154.92</v>
      </c>
      <c r="N1123" s="549">
        <v>2387.0700000000002</v>
      </c>
      <c r="O1123" s="549">
        <v>992</v>
      </c>
      <c r="P1123" s="549">
        <v>86.04</v>
      </c>
      <c r="Q1123" s="549">
        <v>9923.84</v>
      </c>
    </row>
    <row r="1124" spans="1:17" x14ac:dyDescent="0.25">
      <c r="A1124" s="549" t="s">
        <v>998</v>
      </c>
      <c r="B1124" s="549" t="s">
        <v>999</v>
      </c>
      <c r="C1124" s="549" t="s">
        <v>654</v>
      </c>
      <c r="D1124" s="549" t="s">
        <v>655</v>
      </c>
      <c r="E1124" s="549" t="s">
        <v>977</v>
      </c>
      <c r="F1124" s="549" t="s">
        <v>1212</v>
      </c>
      <c r="G1124" s="549">
        <v>2582</v>
      </c>
      <c r="H1124" s="549" t="s">
        <v>654</v>
      </c>
      <c r="I1124" s="549" t="s">
        <v>976</v>
      </c>
      <c r="J1124" s="549" t="s">
        <v>976</v>
      </c>
      <c r="K1124" s="549" t="s">
        <v>976</v>
      </c>
      <c r="L1124" s="549">
        <v>97217.72</v>
      </c>
      <c r="M1124" s="549">
        <v>7339.94</v>
      </c>
      <c r="N1124" s="549">
        <v>2148.5100000000002</v>
      </c>
      <c r="O1124" s="549">
        <v>992</v>
      </c>
      <c r="P1124" s="549">
        <v>86.04</v>
      </c>
      <c r="Q1124" s="549">
        <v>9017.3799999999992</v>
      </c>
    </row>
    <row r="1125" spans="1:17" x14ac:dyDescent="0.25">
      <c r="A1125" s="549" t="s">
        <v>998</v>
      </c>
      <c r="B1125" s="549" t="s">
        <v>999</v>
      </c>
      <c r="C1125" s="549" t="s">
        <v>654</v>
      </c>
      <c r="D1125" s="549" t="s">
        <v>655</v>
      </c>
      <c r="E1125" s="549" t="s">
        <v>977</v>
      </c>
      <c r="F1125" s="549" t="s">
        <v>1212</v>
      </c>
      <c r="G1125" s="549">
        <v>2592</v>
      </c>
      <c r="H1125" s="549" t="s">
        <v>654</v>
      </c>
      <c r="I1125" s="549" t="s">
        <v>976</v>
      </c>
      <c r="J1125" s="549" t="s">
        <v>976</v>
      </c>
      <c r="K1125" s="549" t="s">
        <v>976</v>
      </c>
      <c r="L1125" s="549">
        <v>108012.12</v>
      </c>
      <c r="M1125" s="549">
        <v>8154.92</v>
      </c>
      <c r="N1125" s="549">
        <v>2387.0700000000002</v>
      </c>
      <c r="O1125" s="549">
        <v>992</v>
      </c>
      <c r="P1125" s="549">
        <v>86.04</v>
      </c>
      <c r="Q1125" s="549">
        <v>9923.84</v>
      </c>
    </row>
    <row r="1126" spans="1:17" x14ac:dyDescent="0.25">
      <c r="A1126" s="549" t="s">
        <v>998</v>
      </c>
      <c r="B1126" s="549" t="s">
        <v>999</v>
      </c>
      <c r="C1126" s="549" t="s">
        <v>654</v>
      </c>
      <c r="D1126" s="549" t="s">
        <v>655</v>
      </c>
      <c r="E1126" s="549" t="s">
        <v>977</v>
      </c>
      <c r="F1126" s="549" t="s">
        <v>1212</v>
      </c>
      <c r="G1126" s="549">
        <v>2602</v>
      </c>
      <c r="H1126" s="549" t="s">
        <v>654</v>
      </c>
      <c r="I1126" s="549" t="s">
        <v>976</v>
      </c>
      <c r="J1126" s="549" t="s">
        <v>976</v>
      </c>
      <c r="K1126" s="549" t="s">
        <v>976</v>
      </c>
      <c r="L1126" s="549">
        <v>108012.12</v>
      </c>
      <c r="M1126" s="549">
        <v>8154.92</v>
      </c>
      <c r="N1126" s="549">
        <v>2387.0700000000002</v>
      </c>
      <c r="O1126" s="549">
        <v>992</v>
      </c>
      <c r="P1126" s="549">
        <v>86.04</v>
      </c>
      <c r="Q1126" s="549">
        <v>9923.84</v>
      </c>
    </row>
    <row r="1127" spans="1:17" x14ac:dyDescent="0.25">
      <c r="A1127" s="549" t="s">
        <v>998</v>
      </c>
      <c r="B1127" s="549" t="s">
        <v>999</v>
      </c>
      <c r="C1127" s="549" t="s">
        <v>654</v>
      </c>
      <c r="D1127" s="549" t="s">
        <v>655</v>
      </c>
      <c r="E1127" s="549" t="s">
        <v>977</v>
      </c>
      <c r="F1127" s="549" t="s">
        <v>1212</v>
      </c>
      <c r="G1127" s="549">
        <v>2612</v>
      </c>
      <c r="H1127" s="549" t="s">
        <v>654</v>
      </c>
      <c r="I1127" s="549" t="s">
        <v>976</v>
      </c>
      <c r="J1127" s="549" t="s">
        <v>976</v>
      </c>
      <c r="K1127" s="549" t="s">
        <v>976</v>
      </c>
      <c r="L1127" s="549">
        <v>108012.12</v>
      </c>
      <c r="M1127" s="549">
        <v>8154.92</v>
      </c>
      <c r="N1127" s="549">
        <v>2387.0700000000002</v>
      </c>
      <c r="O1127" s="549">
        <v>992</v>
      </c>
      <c r="P1127" s="549">
        <v>86.04</v>
      </c>
      <c r="Q1127" s="549">
        <v>9923.84</v>
      </c>
    </row>
    <row r="1128" spans="1:17" x14ac:dyDescent="0.25">
      <c r="A1128" s="549" t="s">
        <v>998</v>
      </c>
      <c r="B1128" s="549" t="s">
        <v>999</v>
      </c>
      <c r="C1128" s="549" t="s">
        <v>654</v>
      </c>
      <c r="D1128" s="549" t="s">
        <v>655</v>
      </c>
      <c r="E1128" s="549" t="s">
        <v>977</v>
      </c>
      <c r="F1128" s="549" t="s">
        <v>1212</v>
      </c>
      <c r="G1128" s="549">
        <v>2628</v>
      </c>
      <c r="H1128" s="549" t="s">
        <v>654</v>
      </c>
      <c r="I1128" s="549" t="s">
        <v>976</v>
      </c>
      <c r="J1128" s="549" t="s">
        <v>976</v>
      </c>
      <c r="K1128" s="549" t="s">
        <v>976</v>
      </c>
      <c r="L1128" s="549">
        <v>108012.12</v>
      </c>
      <c r="M1128" s="549">
        <v>8154.92</v>
      </c>
      <c r="N1128" s="549">
        <v>2387.0700000000002</v>
      </c>
      <c r="O1128" s="549">
        <v>992</v>
      </c>
      <c r="P1128" s="549">
        <v>86.04</v>
      </c>
      <c r="Q1128" s="549">
        <v>9923.84</v>
      </c>
    </row>
    <row r="1129" spans="1:17" x14ac:dyDescent="0.25">
      <c r="A1129" s="549" t="s">
        <v>998</v>
      </c>
      <c r="B1129" s="549" t="s">
        <v>999</v>
      </c>
      <c r="C1129" s="549" t="s">
        <v>654</v>
      </c>
      <c r="D1129" s="549" t="s">
        <v>655</v>
      </c>
      <c r="E1129" s="549" t="s">
        <v>977</v>
      </c>
      <c r="F1129" s="549" t="s">
        <v>1212</v>
      </c>
      <c r="G1129" s="549">
        <v>2632</v>
      </c>
      <c r="H1129" s="549" t="s">
        <v>654</v>
      </c>
      <c r="I1129" s="549" t="s">
        <v>976</v>
      </c>
      <c r="J1129" s="549" t="s">
        <v>976</v>
      </c>
      <c r="K1129" s="549" t="s">
        <v>976</v>
      </c>
      <c r="L1129" s="549">
        <v>108012.12</v>
      </c>
      <c r="M1129" s="549">
        <v>8154.92</v>
      </c>
      <c r="N1129" s="549">
        <v>2387.0700000000002</v>
      </c>
      <c r="O1129" s="549">
        <v>992</v>
      </c>
      <c r="P1129" s="549">
        <v>86.04</v>
      </c>
      <c r="Q1129" s="549">
        <v>9923.84</v>
      </c>
    </row>
    <row r="1130" spans="1:17" x14ac:dyDescent="0.25">
      <c r="A1130" s="549" t="s">
        <v>998</v>
      </c>
      <c r="B1130" s="549" t="s">
        <v>999</v>
      </c>
      <c r="C1130" s="549" t="s">
        <v>654</v>
      </c>
      <c r="D1130" s="549" t="s">
        <v>655</v>
      </c>
      <c r="E1130" s="549" t="s">
        <v>977</v>
      </c>
      <c r="F1130" s="549" t="s">
        <v>1212</v>
      </c>
      <c r="G1130" s="549">
        <v>2642</v>
      </c>
      <c r="H1130" s="549" t="s">
        <v>654</v>
      </c>
      <c r="I1130" s="549" t="s">
        <v>976</v>
      </c>
      <c r="J1130" s="549" t="s">
        <v>976</v>
      </c>
      <c r="K1130" s="549" t="s">
        <v>976</v>
      </c>
      <c r="L1130" s="549">
        <v>108012.12</v>
      </c>
      <c r="M1130" s="549">
        <v>8154.92</v>
      </c>
      <c r="N1130" s="549">
        <v>2387.0700000000002</v>
      </c>
      <c r="O1130" s="549">
        <v>992</v>
      </c>
      <c r="P1130" s="549">
        <v>86.04</v>
      </c>
      <c r="Q1130" s="549">
        <v>9923.84</v>
      </c>
    </row>
    <row r="1131" spans="1:17" x14ac:dyDescent="0.25">
      <c r="A1131" s="549" t="s">
        <v>998</v>
      </c>
      <c r="B1131" s="549" t="s">
        <v>999</v>
      </c>
      <c r="C1131" s="549" t="s">
        <v>654</v>
      </c>
      <c r="D1131" s="549" t="s">
        <v>655</v>
      </c>
      <c r="E1131" s="549" t="s">
        <v>977</v>
      </c>
      <c r="F1131" s="549" t="s">
        <v>1212</v>
      </c>
      <c r="G1131" s="549">
        <v>2652</v>
      </c>
      <c r="H1131" s="549" t="s">
        <v>654</v>
      </c>
      <c r="I1131" s="549" t="s">
        <v>976</v>
      </c>
      <c r="J1131" s="549" t="s">
        <v>976</v>
      </c>
      <c r="K1131" s="549" t="s">
        <v>976</v>
      </c>
      <c r="L1131" s="549">
        <v>108012.12</v>
      </c>
      <c r="M1131" s="549">
        <v>8154.92</v>
      </c>
      <c r="N1131" s="549">
        <v>2387.0700000000002</v>
      </c>
      <c r="O1131" s="549">
        <v>992</v>
      </c>
      <c r="P1131" s="549">
        <v>86.04</v>
      </c>
      <c r="Q1131" s="549">
        <v>9923.84</v>
      </c>
    </row>
    <row r="1132" spans="1:17" x14ac:dyDescent="0.25">
      <c r="A1132" s="549" t="s">
        <v>998</v>
      </c>
      <c r="B1132" s="549" t="s">
        <v>999</v>
      </c>
      <c r="C1132" s="549" t="s">
        <v>654</v>
      </c>
      <c r="D1132" s="549" t="s">
        <v>655</v>
      </c>
      <c r="E1132" s="549" t="s">
        <v>977</v>
      </c>
      <c r="F1132" s="549" t="s">
        <v>1212</v>
      </c>
      <c r="G1132" s="549">
        <v>2668</v>
      </c>
      <c r="H1132" s="549" t="s">
        <v>654</v>
      </c>
      <c r="I1132" s="549" t="s">
        <v>976</v>
      </c>
      <c r="J1132" s="549" t="s">
        <v>976</v>
      </c>
      <c r="K1132" s="549" t="s">
        <v>976</v>
      </c>
      <c r="L1132" s="549">
        <v>104344.12</v>
      </c>
      <c r="M1132" s="549">
        <v>7877.98</v>
      </c>
      <c r="N1132" s="549">
        <v>2306.0100000000002</v>
      </c>
      <c r="O1132" s="549">
        <v>992</v>
      </c>
      <c r="P1132" s="549">
        <v>86.04</v>
      </c>
      <c r="Q1132" s="549">
        <v>9615.82</v>
      </c>
    </row>
    <row r="1133" spans="1:17" x14ac:dyDescent="0.25">
      <c r="A1133" s="549" t="s">
        <v>998</v>
      </c>
      <c r="B1133" s="549" t="s">
        <v>999</v>
      </c>
      <c r="C1133" s="549" t="s">
        <v>654</v>
      </c>
      <c r="D1133" s="549" t="s">
        <v>655</v>
      </c>
      <c r="E1133" s="549" t="s">
        <v>977</v>
      </c>
      <c r="F1133" s="549" t="s">
        <v>1212</v>
      </c>
      <c r="G1133" s="549">
        <v>2672</v>
      </c>
      <c r="H1133" s="549" t="s">
        <v>654</v>
      </c>
      <c r="I1133" s="549" t="s">
        <v>976</v>
      </c>
      <c r="J1133" s="549" t="s">
        <v>976</v>
      </c>
      <c r="K1133" s="549" t="s">
        <v>976</v>
      </c>
      <c r="L1133" s="549">
        <v>108012.12</v>
      </c>
      <c r="M1133" s="549">
        <v>8154.92</v>
      </c>
      <c r="N1133" s="549">
        <v>2387.0700000000002</v>
      </c>
      <c r="O1133" s="549">
        <v>992</v>
      </c>
      <c r="P1133" s="549">
        <v>86.04</v>
      </c>
      <c r="Q1133" s="549">
        <v>9923.84</v>
      </c>
    </row>
    <row r="1134" spans="1:17" x14ac:dyDescent="0.25">
      <c r="A1134" s="549" t="s">
        <v>998</v>
      </c>
      <c r="B1134" s="549" t="s">
        <v>999</v>
      </c>
      <c r="C1134" s="549" t="s">
        <v>654</v>
      </c>
      <c r="D1134" s="549" t="s">
        <v>655</v>
      </c>
      <c r="E1134" s="549" t="s">
        <v>977</v>
      </c>
      <c r="F1134" s="549" t="s">
        <v>1212</v>
      </c>
      <c r="G1134" s="549">
        <v>2682</v>
      </c>
      <c r="H1134" s="549" t="s">
        <v>654</v>
      </c>
      <c r="I1134" s="549" t="s">
        <v>976</v>
      </c>
      <c r="J1134" s="549" t="s">
        <v>976</v>
      </c>
      <c r="K1134" s="549" t="s">
        <v>976</v>
      </c>
      <c r="L1134" s="549">
        <v>108012.12</v>
      </c>
      <c r="M1134" s="549">
        <v>8154.92</v>
      </c>
      <c r="N1134" s="549">
        <v>2387.0700000000002</v>
      </c>
      <c r="O1134" s="549">
        <v>992</v>
      </c>
      <c r="P1134" s="549">
        <v>86.04</v>
      </c>
      <c r="Q1134" s="549">
        <v>9923.84</v>
      </c>
    </row>
    <row r="1135" spans="1:17" x14ac:dyDescent="0.25">
      <c r="A1135" s="549" t="s">
        <v>998</v>
      </c>
      <c r="B1135" s="549" t="s">
        <v>999</v>
      </c>
      <c r="C1135" s="549" t="s">
        <v>654</v>
      </c>
      <c r="D1135" s="549" t="s">
        <v>655</v>
      </c>
      <c r="E1135" s="549" t="s">
        <v>977</v>
      </c>
      <c r="F1135" s="549" t="s">
        <v>1212</v>
      </c>
      <c r="G1135" s="549" t="s">
        <v>1242</v>
      </c>
      <c r="H1135" s="549" t="s">
        <v>654</v>
      </c>
      <c r="I1135" s="549" t="s">
        <v>976</v>
      </c>
      <c r="J1135" s="549" t="s">
        <v>976</v>
      </c>
      <c r="K1135" s="549" t="s">
        <v>976</v>
      </c>
      <c r="L1135" s="549">
        <v>30794.43</v>
      </c>
      <c r="M1135" s="549">
        <v>2324.98</v>
      </c>
      <c r="N1135" s="549">
        <v>680.56</v>
      </c>
      <c r="O1135" s="549">
        <v>0</v>
      </c>
      <c r="P1135" s="549">
        <v>86.04</v>
      </c>
      <c r="Q1135" s="549">
        <v>2585.9699999999998</v>
      </c>
    </row>
    <row r="1136" spans="1:17" x14ac:dyDescent="0.25">
      <c r="A1136" s="549" t="s">
        <v>998</v>
      </c>
      <c r="B1136" s="549" t="s">
        <v>999</v>
      </c>
      <c r="C1136" s="549" t="s">
        <v>654</v>
      </c>
      <c r="D1136" s="549" t="s">
        <v>655</v>
      </c>
      <c r="E1136" s="549" t="s">
        <v>977</v>
      </c>
      <c r="F1136" s="549" t="s">
        <v>1212</v>
      </c>
      <c r="G1136" s="549" t="s">
        <v>1289</v>
      </c>
      <c r="H1136" s="549" t="s">
        <v>654</v>
      </c>
      <c r="I1136" s="549" t="s">
        <v>976</v>
      </c>
      <c r="J1136" s="549" t="s">
        <v>976</v>
      </c>
      <c r="K1136" s="549" t="s">
        <v>976</v>
      </c>
      <c r="L1136" s="549">
        <v>30794.43</v>
      </c>
      <c r="M1136" s="549">
        <v>2324.98</v>
      </c>
      <c r="N1136" s="549">
        <v>680.56</v>
      </c>
      <c r="O1136" s="549">
        <v>0</v>
      </c>
      <c r="P1136" s="549">
        <v>86.04</v>
      </c>
      <c r="Q1136" s="549">
        <v>2585.9699999999998</v>
      </c>
    </row>
    <row r="1137" spans="1:17" x14ac:dyDescent="0.25">
      <c r="A1137" s="549" t="s">
        <v>998</v>
      </c>
      <c r="B1137" s="549" t="s">
        <v>999</v>
      </c>
      <c r="C1137" s="549" t="s">
        <v>654</v>
      </c>
      <c r="D1137" s="549" t="s">
        <v>655</v>
      </c>
      <c r="E1137" s="549" t="s">
        <v>977</v>
      </c>
      <c r="F1137" s="549" t="s">
        <v>1212</v>
      </c>
      <c r="G1137" s="549" t="s">
        <v>1290</v>
      </c>
      <c r="H1137" s="549" t="s">
        <v>654</v>
      </c>
      <c r="I1137" s="549" t="s">
        <v>976</v>
      </c>
      <c r="J1137" s="549" t="s">
        <v>976</v>
      </c>
      <c r="K1137" s="549" t="s">
        <v>976</v>
      </c>
      <c r="L1137" s="549">
        <v>30794.43</v>
      </c>
      <c r="M1137" s="549">
        <v>2324.98</v>
      </c>
      <c r="N1137" s="549">
        <v>680.56</v>
      </c>
      <c r="O1137" s="549">
        <v>0</v>
      </c>
      <c r="P1137" s="549">
        <v>86.04</v>
      </c>
      <c r="Q1137" s="549">
        <v>2585.9699999999998</v>
      </c>
    </row>
    <row r="1138" spans="1:17" x14ac:dyDescent="0.25">
      <c r="A1138" s="549" t="s">
        <v>998</v>
      </c>
      <c r="B1138" s="549" t="s">
        <v>999</v>
      </c>
      <c r="C1138" s="549" t="s">
        <v>657</v>
      </c>
      <c r="D1138" s="549" t="s">
        <v>1001</v>
      </c>
      <c r="E1138" s="549" t="s">
        <v>977</v>
      </c>
      <c r="F1138" s="549" t="s">
        <v>1212</v>
      </c>
      <c r="G1138" s="549">
        <v>402</v>
      </c>
      <c r="H1138" s="549" t="s">
        <v>657</v>
      </c>
      <c r="I1138" s="549" t="s">
        <v>976</v>
      </c>
      <c r="J1138" s="549" t="s">
        <v>976</v>
      </c>
      <c r="K1138" s="549" t="s">
        <v>976</v>
      </c>
      <c r="L1138" s="549">
        <v>464050.19</v>
      </c>
      <c r="M1138" s="549">
        <v>35035.79</v>
      </c>
      <c r="N1138" s="549">
        <v>10255.51</v>
      </c>
      <c r="O1138" s="549">
        <v>1984</v>
      </c>
      <c r="P1138" s="549">
        <v>100</v>
      </c>
      <c r="Q1138" s="549">
        <v>47275.3</v>
      </c>
    </row>
    <row r="1139" spans="1:17" x14ac:dyDescent="0.25">
      <c r="A1139" s="549" t="s">
        <v>998</v>
      </c>
      <c r="B1139" s="549" t="s">
        <v>999</v>
      </c>
      <c r="C1139" s="549" t="s">
        <v>657</v>
      </c>
      <c r="D1139" s="549" t="s">
        <v>1001</v>
      </c>
      <c r="E1139" s="549" t="s">
        <v>977</v>
      </c>
      <c r="F1139" s="549" t="s">
        <v>1212</v>
      </c>
      <c r="G1139" s="549">
        <v>412</v>
      </c>
      <c r="H1139" s="549" t="s">
        <v>657</v>
      </c>
      <c r="I1139" s="549" t="s">
        <v>976</v>
      </c>
      <c r="J1139" s="549" t="s">
        <v>976</v>
      </c>
      <c r="K1139" s="549" t="s">
        <v>976</v>
      </c>
      <c r="L1139" s="549">
        <v>875463.14</v>
      </c>
      <c r="M1139" s="549">
        <v>66097.47</v>
      </c>
      <c r="N1139" s="549">
        <v>19347.740000000002</v>
      </c>
      <c r="O1139" s="549">
        <v>3968</v>
      </c>
      <c r="P1139" s="549">
        <v>100</v>
      </c>
      <c r="Q1139" s="549">
        <v>89413.21</v>
      </c>
    </row>
    <row r="1140" spans="1:17" x14ac:dyDescent="0.25">
      <c r="A1140" s="549" t="s">
        <v>998</v>
      </c>
      <c r="B1140" s="549" t="s">
        <v>999</v>
      </c>
      <c r="C1140" s="549" t="s">
        <v>657</v>
      </c>
      <c r="D1140" s="549" t="s">
        <v>1001</v>
      </c>
      <c r="E1140" s="549" t="s">
        <v>977</v>
      </c>
      <c r="F1140" s="549" t="s">
        <v>1212</v>
      </c>
      <c r="G1140" s="549">
        <v>432</v>
      </c>
      <c r="H1140" s="549" t="s">
        <v>657</v>
      </c>
      <c r="I1140" s="549" t="s">
        <v>976</v>
      </c>
      <c r="J1140" s="549" t="s">
        <v>976</v>
      </c>
      <c r="K1140" s="549" t="s">
        <v>976</v>
      </c>
      <c r="L1140" s="549">
        <v>464050.19</v>
      </c>
      <c r="M1140" s="549">
        <v>35035.79</v>
      </c>
      <c r="N1140" s="549">
        <v>10255.51</v>
      </c>
      <c r="O1140" s="549">
        <v>1984</v>
      </c>
      <c r="P1140" s="549">
        <v>100</v>
      </c>
      <c r="Q1140" s="549">
        <v>47275.3</v>
      </c>
    </row>
    <row r="1141" spans="1:17" x14ac:dyDescent="0.25">
      <c r="A1141" s="549" t="s">
        <v>998</v>
      </c>
      <c r="B1141" s="549" t="s">
        <v>999</v>
      </c>
      <c r="C1141" s="549" t="s">
        <v>657</v>
      </c>
      <c r="D1141" s="549" t="s">
        <v>1001</v>
      </c>
      <c r="E1141" s="549" t="s">
        <v>977</v>
      </c>
      <c r="F1141" s="549" t="s">
        <v>1212</v>
      </c>
      <c r="G1141" s="549">
        <v>448</v>
      </c>
      <c r="H1141" s="549" t="s">
        <v>657</v>
      </c>
      <c r="I1141" s="549" t="s">
        <v>976</v>
      </c>
      <c r="J1141" s="549" t="s">
        <v>976</v>
      </c>
      <c r="K1141" s="549" t="s">
        <v>976</v>
      </c>
      <c r="L1141" s="549">
        <v>438274.07</v>
      </c>
      <c r="M1141" s="549">
        <v>33089.69</v>
      </c>
      <c r="N1141" s="549">
        <v>9685.86</v>
      </c>
      <c r="O1141" s="549">
        <v>2976</v>
      </c>
      <c r="P1141" s="549">
        <v>100</v>
      </c>
      <c r="Q1141" s="549">
        <v>45751.55</v>
      </c>
    </row>
    <row r="1142" spans="1:17" x14ac:dyDescent="0.25">
      <c r="A1142" s="549" t="s">
        <v>998</v>
      </c>
      <c r="B1142" s="549" t="s">
        <v>999</v>
      </c>
      <c r="C1142" s="549" t="s">
        <v>657</v>
      </c>
      <c r="D1142" s="549" t="s">
        <v>1001</v>
      </c>
      <c r="E1142" s="549" t="s">
        <v>977</v>
      </c>
      <c r="F1142" s="549" t="s">
        <v>1212</v>
      </c>
      <c r="G1142" s="549">
        <v>457</v>
      </c>
      <c r="H1142" s="549" t="s">
        <v>657</v>
      </c>
      <c r="I1142" s="549" t="s">
        <v>976</v>
      </c>
      <c r="J1142" s="549" t="s">
        <v>976</v>
      </c>
      <c r="K1142" s="549" t="s">
        <v>976</v>
      </c>
      <c r="L1142" s="549">
        <v>19921.810000000001</v>
      </c>
      <c r="M1142" s="549">
        <v>1504.1</v>
      </c>
      <c r="N1142" s="549">
        <v>440.27</v>
      </c>
      <c r="O1142" s="549">
        <v>992</v>
      </c>
      <c r="P1142" s="549">
        <v>100</v>
      </c>
      <c r="Q1142" s="549">
        <v>2936.37</v>
      </c>
    </row>
    <row r="1143" spans="1:17" x14ac:dyDescent="0.25">
      <c r="A1143" s="549" t="s">
        <v>998</v>
      </c>
      <c r="B1143" s="549" t="s">
        <v>999</v>
      </c>
      <c r="C1143" s="549" t="s">
        <v>657</v>
      </c>
      <c r="D1143" s="549" t="s">
        <v>1001</v>
      </c>
      <c r="E1143" s="549" t="s">
        <v>977</v>
      </c>
      <c r="F1143" s="549" t="s">
        <v>1212</v>
      </c>
      <c r="G1143" s="549">
        <v>472</v>
      </c>
      <c r="H1143" s="549" t="s">
        <v>657</v>
      </c>
      <c r="I1143" s="549" t="s">
        <v>976</v>
      </c>
      <c r="J1143" s="549" t="s">
        <v>976</v>
      </c>
      <c r="K1143" s="549" t="s">
        <v>976</v>
      </c>
      <c r="L1143" s="549">
        <v>875463.14</v>
      </c>
      <c r="M1143" s="549">
        <v>66097.47</v>
      </c>
      <c r="N1143" s="549">
        <v>19347.740000000002</v>
      </c>
      <c r="O1143" s="549">
        <v>3968</v>
      </c>
      <c r="P1143" s="549">
        <v>100</v>
      </c>
      <c r="Q1143" s="549">
        <v>89413.21</v>
      </c>
    </row>
    <row r="1144" spans="1:17" x14ac:dyDescent="0.25">
      <c r="A1144" s="549" t="s">
        <v>998</v>
      </c>
      <c r="B1144" s="549" t="s">
        <v>999</v>
      </c>
      <c r="C1144" s="549" t="s">
        <v>657</v>
      </c>
      <c r="D1144" s="549" t="s">
        <v>1001</v>
      </c>
      <c r="E1144" s="549" t="s">
        <v>977</v>
      </c>
      <c r="F1144" s="549" t="s">
        <v>1212</v>
      </c>
      <c r="G1144" s="549">
        <v>497</v>
      </c>
      <c r="H1144" s="549" t="s">
        <v>657</v>
      </c>
      <c r="I1144" s="549" t="s">
        <v>976</v>
      </c>
      <c r="J1144" s="549" t="s">
        <v>976</v>
      </c>
      <c r="K1144" s="549" t="s">
        <v>976</v>
      </c>
      <c r="L1144" s="549">
        <v>19921.810000000001</v>
      </c>
      <c r="M1144" s="549">
        <v>1504.1</v>
      </c>
      <c r="N1144" s="549">
        <v>440.27</v>
      </c>
      <c r="O1144" s="549">
        <v>992</v>
      </c>
      <c r="P1144" s="549">
        <v>100</v>
      </c>
      <c r="Q1144" s="549">
        <v>2936.37</v>
      </c>
    </row>
    <row r="1145" spans="1:17" x14ac:dyDescent="0.25">
      <c r="A1145" s="549" t="s">
        <v>998</v>
      </c>
      <c r="B1145" s="549" t="s">
        <v>999</v>
      </c>
      <c r="C1145" s="549" t="s">
        <v>657</v>
      </c>
      <c r="D1145" s="549" t="s">
        <v>1001</v>
      </c>
      <c r="E1145" s="549" t="s">
        <v>977</v>
      </c>
      <c r="F1145" s="549" t="s">
        <v>1212</v>
      </c>
      <c r="G1145" s="549">
        <v>1002</v>
      </c>
      <c r="H1145" s="549" t="s">
        <v>657</v>
      </c>
      <c r="I1145" s="549" t="s">
        <v>976</v>
      </c>
      <c r="J1145" s="549" t="s">
        <v>976</v>
      </c>
      <c r="K1145" s="549" t="s">
        <v>976</v>
      </c>
      <c r="L1145" s="549">
        <v>149527.01999999999</v>
      </c>
      <c r="M1145" s="549">
        <v>11289.29</v>
      </c>
      <c r="N1145" s="549">
        <v>3304.55</v>
      </c>
      <c r="O1145" s="549">
        <v>3968</v>
      </c>
      <c r="P1145" s="549">
        <v>100</v>
      </c>
      <c r="Q1145" s="549">
        <v>18561.84</v>
      </c>
    </row>
    <row r="1146" spans="1:17" x14ac:dyDescent="0.25">
      <c r="A1146" s="549" t="s">
        <v>998</v>
      </c>
      <c r="B1146" s="549" t="s">
        <v>999</v>
      </c>
      <c r="C1146" s="549" t="s">
        <v>657</v>
      </c>
      <c r="D1146" s="549" t="s">
        <v>1001</v>
      </c>
      <c r="E1146" s="549" t="s">
        <v>977</v>
      </c>
      <c r="F1146" s="549" t="s">
        <v>1212</v>
      </c>
      <c r="G1146" s="549">
        <v>1012</v>
      </c>
      <c r="H1146" s="549" t="s">
        <v>657</v>
      </c>
      <c r="I1146" s="549" t="s">
        <v>976</v>
      </c>
      <c r="J1146" s="549" t="s">
        <v>976</v>
      </c>
      <c r="K1146" s="549" t="s">
        <v>976</v>
      </c>
      <c r="L1146" s="549">
        <v>149527.01999999999</v>
      </c>
      <c r="M1146" s="549">
        <v>11289.29</v>
      </c>
      <c r="N1146" s="549">
        <v>3304.55</v>
      </c>
      <c r="O1146" s="549">
        <v>3968</v>
      </c>
      <c r="P1146" s="549">
        <v>100</v>
      </c>
      <c r="Q1146" s="549">
        <v>18561.84</v>
      </c>
    </row>
    <row r="1147" spans="1:17" x14ac:dyDescent="0.25">
      <c r="A1147" s="549" t="s">
        <v>998</v>
      </c>
      <c r="B1147" s="549" t="s">
        <v>999</v>
      </c>
      <c r="C1147" s="549" t="s">
        <v>657</v>
      </c>
      <c r="D1147" s="549" t="s">
        <v>1001</v>
      </c>
      <c r="E1147" s="549" t="s">
        <v>977</v>
      </c>
      <c r="F1147" s="549" t="s">
        <v>1212</v>
      </c>
      <c r="G1147" s="549">
        <v>1022</v>
      </c>
      <c r="H1147" s="549" t="s">
        <v>657</v>
      </c>
      <c r="I1147" s="549" t="s">
        <v>976</v>
      </c>
      <c r="J1147" s="549" t="s">
        <v>976</v>
      </c>
      <c r="K1147" s="549" t="s">
        <v>976</v>
      </c>
      <c r="L1147" s="549">
        <v>149527.01999999999</v>
      </c>
      <c r="M1147" s="549">
        <v>11289.29</v>
      </c>
      <c r="N1147" s="549">
        <v>3304.55</v>
      </c>
      <c r="O1147" s="549">
        <v>3968</v>
      </c>
      <c r="P1147" s="549">
        <v>100</v>
      </c>
      <c r="Q1147" s="549">
        <v>18561.84</v>
      </c>
    </row>
    <row r="1148" spans="1:17" x14ac:dyDescent="0.25">
      <c r="A1148" s="549" t="s">
        <v>998</v>
      </c>
      <c r="B1148" s="549" t="s">
        <v>999</v>
      </c>
      <c r="C1148" s="549" t="s">
        <v>657</v>
      </c>
      <c r="D1148" s="549" t="s">
        <v>1001</v>
      </c>
      <c r="E1148" s="549" t="s">
        <v>977</v>
      </c>
      <c r="F1148" s="549" t="s">
        <v>1212</v>
      </c>
      <c r="G1148" s="549">
        <v>1032</v>
      </c>
      <c r="H1148" s="549" t="s">
        <v>657</v>
      </c>
      <c r="I1148" s="549" t="s">
        <v>976</v>
      </c>
      <c r="J1148" s="549" t="s">
        <v>976</v>
      </c>
      <c r="K1148" s="549" t="s">
        <v>976</v>
      </c>
      <c r="L1148" s="549">
        <v>126130.49</v>
      </c>
      <c r="M1148" s="549">
        <v>9522.85</v>
      </c>
      <c r="N1148" s="549">
        <v>2787.48</v>
      </c>
      <c r="O1148" s="549">
        <v>1984</v>
      </c>
      <c r="P1148" s="549">
        <v>100</v>
      </c>
      <c r="Q1148" s="549">
        <v>14294.33</v>
      </c>
    </row>
    <row r="1149" spans="1:17" x14ac:dyDescent="0.25">
      <c r="A1149" s="549" t="s">
        <v>998</v>
      </c>
      <c r="B1149" s="549" t="s">
        <v>999</v>
      </c>
      <c r="C1149" s="549" t="s">
        <v>657</v>
      </c>
      <c r="D1149" s="549" t="s">
        <v>1001</v>
      </c>
      <c r="E1149" s="549" t="s">
        <v>977</v>
      </c>
      <c r="F1149" s="549" t="s">
        <v>1212</v>
      </c>
      <c r="G1149" s="549">
        <v>1042</v>
      </c>
      <c r="H1149" s="549" t="s">
        <v>657</v>
      </c>
      <c r="I1149" s="549" t="s">
        <v>976</v>
      </c>
      <c r="J1149" s="549" t="s">
        <v>976</v>
      </c>
      <c r="K1149" s="549" t="s">
        <v>976</v>
      </c>
      <c r="L1149" s="549">
        <v>149527.01999999999</v>
      </c>
      <c r="M1149" s="549">
        <v>11289.29</v>
      </c>
      <c r="N1149" s="549">
        <v>3304.55</v>
      </c>
      <c r="O1149" s="549">
        <v>3968</v>
      </c>
      <c r="P1149" s="549">
        <v>100</v>
      </c>
      <c r="Q1149" s="549">
        <v>18561.84</v>
      </c>
    </row>
    <row r="1150" spans="1:17" x14ac:dyDescent="0.25">
      <c r="A1150" s="549" t="s">
        <v>998</v>
      </c>
      <c r="B1150" s="549" t="s">
        <v>999</v>
      </c>
      <c r="C1150" s="549" t="s">
        <v>657</v>
      </c>
      <c r="D1150" s="549" t="s">
        <v>1001</v>
      </c>
      <c r="E1150" s="549" t="s">
        <v>977</v>
      </c>
      <c r="F1150" s="549" t="s">
        <v>1212</v>
      </c>
      <c r="G1150" s="549">
        <v>1052</v>
      </c>
      <c r="H1150" s="549" t="s">
        <v>657</v>
      </c>
      <c r="I1150" s="549" t="s">
        <v>976</v>
      </c>
      <c r="J1150" s="549" t="s">
        <v>976</v>
      </c>
      <c r="K1150" s="549" t="s">
        <v>976</v>
      </c>
      <c r="L1150" s="549">
        <v>149527.01999999999</v>
      </c>
      <c r="M1150" s="549">
        <v>11289.29</v>
      </c>
      <c r="N1150" s="549">
        <v>3304.55</v>
      </c>
      <c r="O1150" s="549">
        <v>3968</v>
      </c>
      <c r="P1150" s="549">
        <v>100</v>
      </c>
      <c r="Q1150" s="549">
        <v>18561.84</v>
      </c>
    </row>
    <row r="1151" spans="1:17" x14ac:dyDescent="0.25">
      <c r="A1151" s="549" t="s">
        <v>998</v>
      </c>
      <c r="B1151" s="549" t="s">
        <v>999</v>
      </c>
      <c r="C1151" s="549" t="s">
        <v>657</v>
      </c>
      <c r="D1151" s="549" t="s">
        <v>1001</v>
      </c>
      <c r="E1151" s="549" t="s">
        <v>977</v>
      </c>
      <c r="F1151" s="549" t="s">
        <v>1212</v>
      </c>
      <c r="G1151" s="549">
        <v>1062</v>
      </c>
      <c r="H1151" s="549" t="s">
        <v>657</v>
      </c>
      <c r="I1151" s="549" t="s">
        <v>976</v>
      </c>
      <c r="J1151" s="549" t="s">
        <v>976</v>
      </c>
      <c r="K1151" s="549" t="s">
        <v>976</v>
      </c>
      <c r="L1151" s="549">
        <v>149527.01999999999</v>
      </c>
      <c r="M1151" s="549">
        <v>11289.29</v>
      </c>
      <c r="N1151" s="549">
        <v>3304.55</v>
      </c>
      <c r="O1151" s="549">
        <v>3968</v>
      </c>
      <c r="P1151" s="549">
        <v>100</v>
      </c>
      <c r="Q1151" s="549">
        <v>18561.84</v>
      </c>
    </row>
    <row r="1152" spans="1:17" x14ac:dyDescent="0.25">
      <c r="A1152" s="549" t="s">
        <v>998</v>
      </c>
      <c r="B1152" s="549" t="s">
        <v>999</v>
      </c>
      <c r="C1152" s="549" t="s">
        <v>657</v>
      </c>
      <c r="D1152" s="549" t="s">
        <v>1001</v>
      </c>
      <c r="E1152" s="549" t="s">
        <v>977</v>
      </c>
      <c r="F1152" s="549" t="s">
        <v>1212</v>
      </c>
      <c r="G1152" s="549">
        <v>1072</v>
      </c>
      <c r="H1152" s="549" t="s">
        <v>657</v>
      </c>
      <c r="I1152" s="549" t="s">
        <v>976</v>
      </c>
      <c r="J1152" s="549" t="s">
        <v>976</v>
      </c>
      <c r="K1152" s="549" t="s">
        <v>976</v>
      </c>
      <c r="L1152" s="549">
        <v>149527.01999999999</v>
      </c>
      <c r="M1152" s="549">
        <v>11289.29</v>
      </c>
      <c r="N1152" s="549">
        <v>3304.55</v>
      </c>
      <c r="O1152" s="549">
        <v>3968</v>
      </c>
      <c r="P1152" s="549">
        <v>100</v>
      </c>
      <c r="Q1152" s="549">
        <v>18561.84</v>
      </c>
    </row>
    <row r="1153" spans="1:17" x14ac:dyDescent="0.25">
      <c r="A1153" s="549" t="s">
        <v>998</v>
      </c>
      <c r="B1153" s="549" t="s">
        <v>999</v>
      </c>
      <c r="C1153" s="549" t="s">
        <v>657</v>
      </c>
      <c r="D1153" s="549" t="s">
        <v>1001</v>
      </c>
      <c r="E1153" s="549" t="s">
        <v>977</v>
      </c>
      <c r="F1153" s="549" t="s">
        <v>1212</v>
      </c>
      <c r="G1153" s="549">
        <v>1082</v>
      </c>
      <c r="H1153" s="549" t="s">
        <v>657</v>
      </c>
      <c r="I1153" s="549" t="s">
        <v>976</v>
      </c>
      <c r="J1153" s="549" t="s">
        <v>976</v>
      </c>
      <c r="K1153" s="549" t="s">
        <v>976</v>
      </c>
      <c r="L1153" s="549">
        <v>149527.01999999999</v>
      </c>
      <c r="M1153" s="549">
        <v>11289.29</v>
      </c>
      <c r="N1153" s="549">
        <v>3304.55</v>
      </c>
      <c r="O1153" s="549">
        <v>3968</v>
      </c>
      <c r="P1153" s="549">
        <v>100</v>
      </c>
      <c r="Q1153" s="549">
        <v>18561.84</v>
      </c>
    </row>
    <row r="1154" spans="1:17" x14ac:dyDescent="0.25">
      <c r="A1154" s="549" t="s">
        <v>998</v>
      </c>
      <c r="B1154" s="549" t="s">
        <v>999</v>
      </c>
      <c r="C1154" s="549" t="s">
        <v>657</v>
      </c>
      <c r="D1154" s="549" t="s">
        <v>1001</v>
      </c>
      <c r="E1154" s="549" t="s">
        <v>977</v>
      </c>
      <c r="F1154" s="549" t="s">
        <v>1212</v>
      </c>
      <c r="G1154" s="549">
        <v>1092</v>
      </c>
      <c r="H1154" s="549" t="s">
        <v>657</v>
      </c>
      <c r="I1154" s="549" t="s">
        <v>976</v>
      </c>
      <c r="J1154" s="549" t="s">
        <v>976</v>
      </c>
      <c r="K1154" s="549" t="s">
        <v>976</v>
      </c>
      <c r="L1154" s="549">
        <v>126130.49</v>
      </c>
      <c r="M1154" s="549">
        <v>9522.85</v>
      </c>
      <c r="N1154" s="549">
        <v>2787.48</v>
      </c>
      <c r="O1154" s="549">
        <v>1984</v>
      </c>
      <c r="P1154" s="549">
        <v>100</v>
      </c>
      <c r="Q1154" s="549">
        <v>14294.33</v>
      </c>
    </row>
    <row r="1155" spans="1:17" x14ac:dyDescent="0.25">
      <c r="A1155" s="549" t="s">
        <v>998</v>
      </c>
      <c r="B1155" s="549" t="s">
        <v>999</v>
      </c>
      <c r="C1155" s="549" t="s">
        <v>657</v>
      </c>
      <c r="D1155" s="549" t="s">
        <v>1001</v>
      </c>
      <c r="E1155" s="549" t="s">
        <v>977</v>
      </c>
      <c r="F1155" s="549" t="s">
        <v>1212</v>
      </c>
      <c r="G1155" s="549">
        <v>1102</v>
      </c>
      <c r="H1155" s="549" t="s">
        <v>657</v>
      </c>
      <c r="I1155" s="549" t="s">
        <v>976</v>
      </c>
      <c r="J1155" s="549" t="s">
        <v>976</v>
      </c>
      <c r="K1155" s="549" t="s">
        <v>976</v>
      </c>
      <c r="L1155" s="549">
        <v>149527.01999999999</v>
      </c>
      <c r="M1155" s="549">
        <v>11289.29</v>
      </c>
      <c r="N1155" s="549">
        <v>3304.55</v>
      </c>
      <c r="O1155" s="549">
        <v>3968</v>
      </c>
      <c r="P1155" s="549">
        <v>100</v>
      </c>
      <c r="Q1155" s="549">
        <v>18561.84</v>
      </c>
    </row>
    <row r="1156" spans="1:17" x14ac:dyDescent="0.25">
      <c r="A1156" s="549" t="s">
        <v>998</v>
      </c>
      <c r="B1156" s="549" t="s">
        <v>999</v>
      </c>
      <c r="C1156" s="549" t="s">
        <v>657</v>
      </c>
      <c r="D1156" s="549" t="s">
        <v>1001</v>
      </c>
      <c r="E1156" s="549" t="s">
        <v>977</v>
      </c>
      <c r="F1156" s="549" t="s">
        <v>1212</v>
      </c>
      <c r="G1156" s="549">
        <v>1114</v>
      </c>
      <c r="H1156" s="549" t="s">
        <v>657</v>
      </c>
      <c r="I1156" s="549" t="s">
        <v>1291</v>
      </c>
      <c r="J1156" s="549" t="s">
        <v>1291</v>
      </c>
      <c r="K1156" s="549" t="s">
        <v>1291</v>
      </c>
      <c r="L1156" s="549">
        <v>0.02</v>
      </c>
      <c r="M1156" s="549">
        <v>0</v>
      </c>
      <c r="N1156" s="549">
        <v>0</v>
      </c>
      <c r="O1156" s="549">
        <v>0</v>
      </c>
      <c r="P1156" s="549">
        <v>100</v>
      </c>
      <c r="Q1156" s="549">
        <v>0</v>
      </c>
    </row>
    <row r="1157" spans="1:17" x14ac:dyDescent="0.25">
      <c r="A1157" s="549" t="s">
        <v>998</v>
      </c>
      <c r="B1157" s="549" t="s">
        <v>999</v>
      </c>
      <c r="C1157" s="549" t="s">
        <v>657</v>
      </c>
      <c r="D1157" s="549" t="s">
        <v>1001</v>
      </c>
      <c r="E1157" s="549" t="s">
        <v>977</v>
      </c>
      <c r="F1157" s="549" t="s">
        <v>1212</v>
      </c>
      <c r="G1157" s="549">
        <v>1117</v>
      </c>
      <c r="H1157" s="549" t="s">
        <v>657</v>
      </c>
      <c r="I1157" s="549" t="s">
        <v>976</v>
      </c>
      <c r="J1157" s="549" t="s">
        <v>976</v>
      </c>
      <c r="K1157" s="549" t="s">
        <v>976</v>
      </c>
      <c r="L1157" s="549">
        <v>19030.919999999998</v>
      </c>
      <c r="M1157" s="549">
        <v>1436.83</v>
      </c>
      <c r="N1157" s="549">
        <v>420.58</v>
      </c>
      <c r="O1157" s="549">
        <v>992</v>
      </c>
      <c r="P1157" s="549">
        <v>100</v>
      </c>
      <c r="Q1157" s="549">
        <v>2849.41</v>
      </c>
    </row>
    <row r="1158" spans="1:17" x14ac:dyDescent="0.25">
      <c r="A1158" s="549" t="s">
        <v>998</v>
      </c>
      <c r="B1158" s="549" t="s">
        <v>999</v>
      </c>
      <c r="C1158" s="549" t="s">
        <v>657</v>
      </c>
      <c r="D1158" s="549" t="s">
        <v>1001</v>
      </c>
      <c r="E1158" s="549" t="s">
        <v>977</v>
      </c>
      <c r="F1158" s="549" t="s">
        <v>1212</v>
      </c>
      <c r="G1158" s="549">
        <v>1132</v>
      </c>
      <c r="H1158" s="549" t="s">
        <v>657</v>
      </c>
      <c r="I1158" s="549" t="s">
        <v>976</v>
      </c>
      <c r="J1158" s="549" t="s">
        <v>976</v>
      </c>
      <c r="K1158" s="549" t="s">
        <v>976</v>
      </c>
      <c r="L1158" s="549">
        <v>91850.75</v>
      </c>
      <c r="M1158" s="549">
        <v>6934.73</v>
      </c>
      <c r="N1158" s="549">
        <v>2029.9</v>
      </c>
      <c r="O1158" s="549">
        <v>2976</v>
      </c>
      <c r="P1158" s="549">
        <v>100</v>
      </c>
      <c r="Q1158" s="549">
        <v>11940.63</v>
      </c>
    </row>
    <row r="1159" spans="1:17" x14ac:dyDescent="0.25">
      <c r="A1159" s="549" t="s">
        <v>998</v>
      </c>
      <c r="B1159" s="549" t="s">
        <v>999</v>
      </c>
      <c r="C1159" s="549" t="s">
        <v>657</v>
      </c>
      <c r="D1159" s="549" t="s">
        <v>1001</v>
      </c>
      <c r="E1159" s="549" t="s">
        <v>977</v>
      </c>
      <c r="F1159" s="549" t="s">
        <v>1212</v>
      </c>
      <c r="G1159" s="549">
        <v>1142</v>
      </c>
      <c r="H1159" s="549" t="s">
        <v>657</v>
      </c>
      <c r="I1159" s="549" t="s">
        <v>976</v>
      </c>
      <c r="J1159" s="549" t="s">
        <v>976</v>
      </c>
      <c r="K1159" s="549" t="s">
        <v>976</v>
      </c>
      <c r="L1159" s="549">
        <v>149527.01999999999</v>
      </c>
      <c r="M1159" s="549">
        <v>11289.29</v>
      </c>
      <c r="N1159" s="549">
        <v>3304.55</v>
      </c>
      <c r="O1159" s="549">
        <v>3968</v>
      </c>
      <c r="P1159" s="549">
        <v>100</v>
      </c>
      <c r="Q1159" s="549">
        <v>18561.84</v>
      </c>
    </row>
    <row r="1160" spans="1:17" x14ac:dyDescent="0.25">
      <c r="A1160" s="549" t="s">
        <v>998</v>
      </c>
      <c r="B1160" s="549" t="s">
        <v>999</v>
      </c>
      <c r="C1160" s="549" t="s">
        <v>657</v>
      </c>
      <c r="D1160" s="549" t="s">
        <v>1001</v>
      </c>
      <c r="E1160" s="549" t="s">
        <v>977</v>
      </c>
      <c r="F1160" s="549" t="s">
        <v>1212</v>
      </c>
      <c r="G1160" s="549" t="s">
        <v>1292</v>
      </c>
      <c r="H1160" s="549" t="s">
        <v>657</v>
      </c>
      <c r="I1160" s="549" t="s">
        <v>976</v>
      </c>
      <c r="J1160" s="549" t="s">
        <v>976</v>
      </c>
      <c r="K1160" s="549" t="s">
        <v>976</v>
      </c>
      <c r="L1160" s="549">
        <v>32590.77</v>
      </c>
      <c r="M1160" s="549">
        <v>2460.6</v>
      </c>
      <c r="N1160" s="549">
        <v>720.26</v>
      </c>
      <c r="O1160" s="549">
        <v>1984</v>
      </c>
      <c r="P1160" s="549">
        <v>100</v>
      </c>
      <c r="Q1160" s="549">
        <v>5164.8599999999997</v>
      </c>
    </row>
    <row r="1161" spans="1:17" x14ac:dyDescent="0.25">
      <c r="A1161" s="549" t="s">
        <v>998</v>
      </c>
      <c r="B1161" s="549" t="s">
        <v>999</v>
      </c>
      <c r="C1161" s="549" t="s">
        <v>657</v>
      </c>
      <c r="D1161" s="549" t="s">
        <v>1001</v>
      </c>
      <c r="E1161" s="549" t="s">
        <v>977</v>
      </c>
      <c r="F1161" s="549" t="s">
        <v>1212</v>
      </c>
      <c r="G1161" s="549" t="s">
        <v>1233</v>
      </c>
      <c r="H1161" s="549" t="s">
        <v>657</v>
      </c>
      <c r="I1161" s="549" t="s">
        <v>976</v>
      </c>
      <c r="J1161" s="549" t="s">
        <v>976</v>
      </c>
      <c r="K1161" s="549" t="s">
        <v>976</v>
      </c>
      <c r="L1161" s="549">
        <v>32590.77</v>
      </c>
      <c r="M1161" s="549">
        <v>2460.6</v>
      </c>
      <c r="N1161" s="549">
        <v>720.26</v>
      </c>
      <c r="O1161" s="549">
        <v>1984</v>
      </c>
      <c r="P1161" s="549">
        <v>100</v>
      </c>
      <c r="Q1161" s="549">
        <v>5164.8599999999997</v>
      </c>
    </row>
    <row r="1162" spans="1:17" x14ac:dyDescent="0.25">
      <c r="A1162" s="549" t="s">
        <v>998</v>
      </c>
      <c r="B1162" s="549" t="s">
        <v>999</v>
      </c>
      <c r="C1162" s="549" t="s">
        <v>657</v>
      </c>
      <c r="D1162" s="549" t="s">
        <v>1001</v>
      </c>
      <c r="E1162" s="549" t="s">
        <v>977</v>
      </c>
      <c r="F1162" s="549" t="s">
        <v>1212</v>
      </c>
      <c r="G1162" s="549" t="s">
        <v>1293</v>
      </c>
      <c r="H1162" s="549" t="s">
        <v>657</v>
      </c>
      <c r="I1162" s="549" t="s">
        <v>976</v>
      </c>
      <c r="J1162" s="549" t="s">
        <v>976</v>
      </c>
      <c r="K1162" s="549" t="s">
        <v>976</v>
      </c>
      <c r="L1162" s="549">
        <v>34564.19</v>
      </c>
      <c r="M1162" s="549">
        <v>2609.6</v>
      </c>
      <c r="N1162" s="549">
        <v>763.87</v>
      </c>
      <c r="O1162" s="549">
        <v>1984</v>
      </c>
      <c r="P1162" s="549">
        <v>100</v>
      </c>
      <c r="Q1162" s="549">
        <v>5357.47</v>
      </c>
    </row>
    <row r="1163" spans="1:17" x14ac:dyDescent="0.25">
      <c r="A1163" s="549" t="s">
        <v>998</v>
      </c>
      <c r="B1163" s="549" t="s">
        <v>999</v>
      </c>
      <c r="C1163" s="549" t="s">
        <v>657</v>
      </c>
      <c r="D1163" s="549" t="s">
        <v>1001</v>
      </c>
      <c r="E1163" s="549" t="s">
        <v>977</v>
      </c>
      <c r="F1163" s="549" t="s">
        <v>1212</v>
      </c>
      <c r="G1163" s="549" t="s">
        <v>1294</v>
      </c>
      <c r="H1163" s="549" t="s">
        <v>657</v>
      </c>
      <c r="I1163" s="549" t="s">
        <v>976</v>
      </c>
      <c r="J1163" s="549" t="s">
        <v>976</v>
      </c>
      <c r="K1163" s="549" t="s">
        <v>976</v>
      </c>
      <c r="L1163" s="549">
        <v>34564.19</v>
      </c>
      <c r="M1163" s="549">
        <v>2609.6</v>
      </c>
      <c r="N1163" s="549">
        <v>763.87</v>
      </c>
      <c r="O1163" s="549">
        <v>1984</v>
      </c>
      <c r="P1163" s="549">
        <v>100</v>
      </c>
      <c r="Q1163" s="549">
        <v>5357.47</v>
      </c>
    </row>
    <row r="1164" spans="1:17" x14ac:dyDescent="0.25">
      <c r="A1164" s="549" t="s">
        <v>998</v>
      </c>
      <c r="B1164" s="549" t="s">
        <v>999</v>
      </c>
      <c r="C1164" s="549" t="s">
        <v>657</v>
      </c>
      <c r="D1164" s="549" t="s">
        <v>1001</v>
      </c>
      <c r="E1164" s="549" t="s">
        <v>977</v>
      </c>
      <c r="F1164" s="549" t="s">
        <v>1212</v>
      </c>
      <c r="G1164" s="549" t="s">
        <v>1295</v>
      </c>
      <c r="H1164" s="549" t="s">
        <v>657</v>
      </c>
      <c r="I1164" s="549" t="s">
        <v>976</v>
      </c>
      <c r="J1164" s="549" t="s">
        <v>976</v>
      </c>
      <c r="K1164" s="549" t="s">
        <v>976</v>
      </c>
      <c r="L1164" s="549">
        <v>17051.75</v>
      </c>
      <c r="M1164" s="549">
        <v>1287.4100000000001</v>
      </c>
      <c r="N1164" s="549">
        <v>376.84</v>
      </c>
      <c r="O1164" s="549">
        <v>0</v>
      </c>
      <c r="P1164" s="549">
        <v>100</v>
      </c>
      <c r="Q1164" s="549">
        <v>1664.25</v>
      </c>
    </row>
    <row r="1165" spans="1:17" x14ac:dyDescent="0.25">
      <c r="A1165" s="549" t="s">
        <v>998</v>
      </c>
      <c r="B1165" s="549" t="s">
        <v>999</v>
      </c>
      <c r="C1165" s="549" t="s">
        <v>657</v>
      </c>
      <c r="D1165" s="549" t="s">
        <v>1001</v>
      </c>
      <c r="E1165" s="549" t="s">
        <v>977</v>
      </c>
      <c r="F1165" s="549" t="s">
        <v>1212</v>
      </c>
      <c r="G1165" s="549" t="s">
        <v>1296</v>
      </c>
      <c r="H1165" s="549" t="s">
        <v>657</v>
      </c>
      <c r="I1165" s="549" t="s">
        <v>976</v>
      </c>
      <c r="J1165" s="549" t="s">
        <v>976</v>
      </c>
      <c r="K1165" s="549" t="s">
        <v>976</v>
      </c>
      <c r="L1165" s="549">
        <v>17051.75</v>
      </c>
      <c r="M1165" s="549">
        <v>1287.4100000000001</v>
      </c>
      <c r="N1165" s="549">
        <v>376.84</v>
      </c>
      <c r="O1165" s="549">
        <v>0</v>
      </c>
      <c r="P1165" s="549">
        <v>100</v>
      </c>
      <c r="Q1165" s="549">
        <v>1664.25</v>
      </c>
    </row>
    <row r="1166" spans="1:17" x14ac:dyDescent="0.25">
      <c r="A1166" s="549" t="s">
        <v>998</v>
      </c>
      <c r="B1166" s="549" t="s">
        <v>999</v>
      </c>
      <c r="C1166" s="549" t="s">
        <v>657</v>
      </c>
      <c r="D1166" s="549" t="s">
        <v>1001</v>
      </c>
      <c r="E1166" s="549" t="s">
        <v>977</v>
      </c>
      <c r="F1166" s="549" t="s">
        <v>1212</v>
      </c>
      <c r="G1166" s="549" t="s">
        <v>1245</v>
      </c>
      <c r="H1166" s="549" t="s">
        <v>657</v>
      </c>
      <c r="I1166" s="549" t="s">
        <v>976</v>
      </c>
      <c r="J1166" s="549" t="s">
        <v>976</v>
      </c>
      <c r="K1166" s="549" t="s">
        <v>976</v>
      </c>
      <c r="L1166" s="549">
        <v>0.02</v>
      </c>
      <c r="M1166" s="549">
        <v>0</v>
      </c>
      <c r="N1166" s="549">
        <v>0</v>
      </c>
      <c r="O1166" s="549">
        <v>0</v>
      </c>
      <c r="P1166" s="549">
        <v>100</v>
      </c>
      <c r="Q1166" s="549">
        <v>0</v>
      </c>
    </row>
    <row r="1167" spans="1:17" x14ac:dyDescent="0.25">
      <c r="A1167" s="549" t="s">
        <v>998</v>
      </c>
      <c r="B1167" s="549" t="s">
        <v>999</v>
      </c>
      <c r="C1167" s="549" t="s">
        <v>657</v>
      </c>
      <c r="D1167" s="549" t="s">
        <v>1001</v>
      </c>
      <c r="E1167" s="549" t="s">
        <v>977</v>
      </c>
      <c r="F1167" s="549" t="s">
        <v>1212</v>
      </c>
      <c r="G1167" s="549" t="s">
        <v>1297</v>
      </c>
      <c r="H1167" s="549" t="s">
        <v>657</v>
      </c>
      <c r="I1167" s="549" t="s">
        <v>976</v>
      </c>
      <c r="J1167" s="549" t="s">
        <v>976</v>
      </c>
      <c r="K1167" s="549" t="s">
        <v>976</v>
      </c>
      <c r="L1167" s="549">
        <v>0.02</v>
      </c>
      <c r="M1167" s="549">
        <v>0</v>
      </c>
      <c r="N1167" s="549">
        <v>0</v>
      </c>
      <c r="O1167" s="549">
        <v>0</v>
      </c>
      <c r="P1167" s="549">
        <v>100</v>
      </c>
      <c r="Q1167" s="549">
        <v>0</v>
      </c>
    </row>
    <row r="1168" spans="1:17" x14ac:dyDescent="0.25">
      <c r="A1168" s="549" t="s">
        <v>998</v>
      </c>
      <c r="B1168" s="549" t="s">
        <v>999</v>
      </c>
      <c r="C1168" s="549" t="s">
        <v>657</v>
      </c>
      <c r="D1168" s="549" t="s">
        <v>1001</v>
      </c>
      <c r="E1168" s="549" t="s">
        <v>977</v>
      </c>
      <c r="F1168" s="549" t="s">
        <v>1212</v>
      </c>
      <c r="G1168" s="549">
        <v>602</v>
      </c>
      <c r="H1168" s="549" t="s">
        <v>1171</v>
      </c>
      <c r="I1168" s="549" t="s">
        <v>976</v>
      </c>
      <c r="J1168" s="549" t="s">
        <v>976</v>
      </c>
      <c r="K1168" s="549" t="s">
        <v>976</v>
      </c>
      <c r="L1168" s="549">
        <v>1032512.44</v>
      </c>
      <c r="M1168" s="549">
        <v>77954.69</v>
      </c>
      <c r="N1168" s="549">
        <v>22818.52</v>
      </c>
      <c r="O1168" s="549">
        <v>4960</v>
      </c>
      <c r="P1168" s="549">
        <v>100</v>
      </c>
      <c r="Q1168" s="549">
        <v>105733.21</v>
      </c>
    </row>
    <row r="1169" spans="1:17" x14ac:dyDescent="0.25">
      <c r="A1169" s="549" t="s">
        <v>998</v>
      </c>
      <c r="B1169" s="549" t="s">
        <v>999</v>
      </c>
      <c r="C1169" s="549" t="s">
        <v>657</v>
      </c>
      <c r="D1169" s="549" t="s">
        <v>1001</v>
      </c>
      <c r="E1169" s="549" t="s">
        <v>977</v>
      </c>
      <c r="F1169" s="549" t="s">
        <v>1212</v>
      </c>
      <c r="G1169" s="549" t="s">
        <v>1298</v>
      </c>
      <c r="H1169" s="549" t="s">
        <v>1171</v>
      </c>
      <c r="I1169" s="549" t="s">
        <v>976</v>
      </c>
      <c r="J1169" s="549" t="s">
        <v>976</v>
      </c>
      <c r="K1169" s="549" t="s">
        <v>976</v>
      </c>
      <c r="L1169" s="549">
        <v>0.02</v>
      </c>
      <c r="M1169" s="549">
        <v>0</v>
      </c>
      <c r="N1169" s="549">
        <v>0</v>
      </c>
      <c r="O1169" s="549">
        <v>0</v>
      </c>
      <c r="P1169" s="549">
        <v>100</v>
      </c>
      <c r="Q1169" s="549">
        <v>0</v>
      </c>
    </row>
    <row r="1170" spans="1:17" x14ac:dyDescent="0.25">
      <c r="A1170" s="549" t="s">
        <v>1014</v>
      </c>
      <c r="B1170" s="549" t="s">
        <v>1015</v>
      </c>
      <c r="C1170" s="549" t="s">
        <v>805</v>
      </c>
      <c r="D1170" s="549" t="s">
        <v>806</v>
      </c>
      <c r="E1170" s="549" t="s">
        <v>977</v>
      </c>
      <c r="F1170" s="549" t="s">
        <v>1212</v>
      </c>
      <c r="G1170" s="549">
        <v>322</v>
      </c>
      <c r="H1170" s="549" t="s">
        <v>805</v>
      </c>
      <c r="I1170" s="549" t="s">
        <v>976</v>
      </c>
      <c r="J1170" s="549" t="s">
        <v>976</v>
      </c>
      <c r="K1170" s="549" t="s">
        <v>976</v>
      </c>
      <c r="L1170" s="549">
        <v>134232.67000000001</v>
      </c>
      <c r="M1170" s="549">
        <v>10134.57</v>
      </c>
      <c r="N1170" s="549">
        <v>2966.54</v>
      </c>
      <c r="O1170" s="549">
        <v>1984</v>
      </c>
      <c r="P1170" s="549">
        <v>100</v>
      </c>
      <c r="Q1170" s="549">
        <v>15085.11</v>
      </c>
    </row>
    <row r="1171" spans="1:17" x14ac:dyDescent="0.25">
      <c r="A1171" s="549" t="s">
        <v>1014</v>
      </c>
      <c r="B1171" s="549" t="s">
        <v>1015</v>
      </c>
      <c r="C1171" s="549" t="s">
        <v>805</v>
      </c>
      <c r="D1171" s="549" t="s">
        <v>806</v>
      </c>
      <c r="E1171" s="549" t="s">
        <v>977</v>
      </c>
      <c r="F1171" s="549" t="s">
        <v>1212</v>
      </c>
      <c r="G1171" s="549">
        <v>272</v>
      </c>
      <c r="H1171" s="549" t="s">
        <v>805</v>
      </c>
      <c r="I1171" s="549" t="s">
        <v>976</v>
      </c>
      <c r="J1171" s="549" t="s">
        <v>976</v>
      </c>
      <c r="K1171" s="549" t="s">
        <v>976</v>
      </c>
      <c r="L1171" s="549">
        <v>147306.35</v>
      </c>
      <c r="M1171" s="549">
        <v>11121.63</v>
      </c>
      <c r="N1171" s="549">
        <v>3255.47</v>
      </c>
      <c r="O1171" s="549">
        <v>3968</v>
      </c>
      <c r="P1171" s="549">
        <v>100</v>
      </c>
      <c r="Q1171" s="549">
        <v>18345.099999999999</v>
      </c>
    </row>
    <row r="1172" spans="1:17" x14ac:dyDescent="0.25">
      <c r="A1172" s="549" t="s">
        <v>1014</v>
      </c>
      <c r="B1172" s="549" t="s">
        <v>1015</v>
      </c>
      <c r="C1172" s="549" t="s">
        <v>805</v>
      </c>
      <c r="D1172" s="549" t="s">
        <v>806</v>
      </c>
      <c r="E1172" s="549" t="s">
        <v>977</v>
      </c>
      <c r="F1172" s="549" t="s">
        <v>1212</v>
      </c>
      <c r="G1172" s="549">
        <v>262</v>
      </c>
      <c r="H1172" s="549" t="s">
        <v>805</v>
      </c>
      <c r="I1172" s="549" t="s">
        <v>976</v>
      </c>
      <c r="J1172" s="549" t="s">
        <v>976</v>
      </c>
      <c r="K1172" s="549" t="s">
        <v>976</v>
      </c>
      <c r="L1172" s="549">
        <v>147306.35</v>
      </c>
      <c r="M1172" s="549">
        <v>11121.63</v>
      </c>
      <c r="N1172" s="549">
        <v>3255.47</v>
      </c>
      <c r="O1172" s="549">
        <v>3968</v>
      </c>
      <c r="P1172" s="549">
        <v>100</v>
      </c>
      <c r="Q1172" s="549">
        <v>18345.099999999999</v>
      </c>
    </row>
    <row r="1173" spans="1:17" x14ac:dyDescent="0.25">
      <c r="A1173" s="549" t="s">
        <v>1014</v>
      </c>
      <c r="B1173" s="549" t="s">
        <v>1015</v>
      </c>
      <c r="C1173" s="549" t="s">
        <v>805</v>
      </c>
      <c r="D1173" s="549" t="s">
        <v>806</v>
      </c>
      <c r="E1173" s="549" t="s">
        <v>977</v>
      </c>
      <c r="F1173" s="549" t="s">
        <v>1212</v>
      </c>
      <c r="G1173" s="549">
        <v>252</v>
      </c>
      <c r="H1173" s="549" t="s">
        <v>805</v>
      </c>
      <c r="I1173" s="549" t="s">
        <v>976</v>
      </c>
      <c r="J1173" s="549" t="s">
        <v>976</v>
      </c>
      <c r="K1173" s="549" t="s">
        <v>976</v>
      </c>
      <c r="L1173" s="549">
        <v>147306.35</v>
      </c>
      <c r="M1173" s="549">
        <v>11121.63</v>
      </c>
      <c r="N1173" s="549">
        <v>3255.47</v>
      </c>
      <c r="O1173" s="549">
        <v>3968</v>
      </c>
      <c r="P1173" s="549">
        <v>100</v>
      </c>
      <c r="Q1173" s="549">
        <v>18345.099999999999</v>
      </c>
    </row>
    <row r="1174" spans="1:17" x14ac:dyDescent="0.25">
      <c r="A1174" s="549" t="s">
        <v>1014</v>
      </c>
      <c r="B1174" s="549" t="s">
        <v>1015</v>
      </c>
      <c r="C1174" s="549" t="s">
        <v>805</v>
      </c>
      <c r="D1174" s="549" t="s">
        <v>806</v>
      </c>
      <c r="E1174" s="549" t="s">
        <v>977</v>
      </c>
      <c r="F1174" s="549" t="s">
        <v>1212</v>
      </c>
      <c r="G1174" s="549">
        <v>242</v>
      </c>
      <c r="H1174" s="549" t="s">
        <v>805</v>
      </c>
      <c r="I1174" s="549" t="s">
        <v>976</v>
      </c>
      <c r="J1174" s="549" t="s">
        <v>976</v>
      </c>
      <c r="K1174" s="549" t="s">
        <v>976</v>
      </c>
      <c r="L1174" s="549">
        <v>147306.35</v>
      </c>
      <c r="M1174" s="549">
        <v>11121.63</v>
      </c>
      <c r="N1174" s="549">
        <v>3255.47</v>
      </c>
      <c r="O1174" s="549">
        <v>3968</v>
      </c>
      <c r="P1174" s="549">
        <v>100</v>
      </c>
      <c r="Q1174" s="549">
        <v>18345.099999999999</v>
      </c>
    </row>
    <row r="1175" spans="1:17" x14ac:dyDescent="0.25">
      <c r="A1175" s="549" t="s">
        <v>1014</v>
      </c>
      <c r="B1175" s="549" t="s">
        <v>1015</v>
      </c>
      <c r="C1175" s="549" t="s">
        <v>805</v>
      </c>
      <c r="D1175" s="549" t="s">
        <v>806</v>
      </c>
      <c r="E1175" s="549" t="s">
        <v>977</v>
      </c>
      <c r="F1175" s="549" t="s">
        <v>1212</v>
      </c>
      <c r="G1175" s="549">
        <v>232</v>
      </c>
      <c r="H1175" s="549" t="s">
        <v>805</v>
      </c>
      <c r="I1175" s="549" t="s">
        <v>976</v>
      </c>
      <c r="J1175" s="549" t="s">
        <v>976</v>
      </c>
      <c r="K1175" s="549" t="s">
        <v>976</v>
      </c>
      <c r="L1175" s="549">
        <v>114926.93</v>
      </c>
      <c r="M1175" s="549">
        <v>8676.98</v>
      </c>
      <c r="N1175" s="549">
        <v>2539.89</v>
      </c>
      <c r="O1175" s="549">
        <v>3968</v>
      </c>
      <c r="P1175" s="549">
        <v>100</v>
      </c>
      <c r="Q1175" s="549">
        <v>15184.87</v>
      </c>
    </row>
    <row r="1176" spans="1:17" x14ac:dyDescent="0.25">
      <c r="A1176" s="549" t="s">
        <v>1014</v>
      </c>
      <c r="B1176" s="549" t="s">
        <v>1015</v>
      </c>
      <c r="C1176" s="549" t="s">
        <v>805</v>
      </c>
      <c r="D1176" s="549" t="s">
        <v>806</v>
      </c>
      <c r="E1176" s="549" t="s">
        <v>977</v>
      </c>
      <c r="F1176" s="549" t="s">
        <v>1212</v>
      </c>
      <c r="G1176" s="549">
        <v>222</v>
      </c>
      <c r="H1176" s="549" t="s">
        <v>805</v>
      </c>
      <c r="I1176" s="549" t="s">
        <v>976</v>
      </c>
      <c r="J1176" s="549" t="s">
        <v>976</v>
      </c>
      <c r="K1176" s="549" t="s">
        <v>976</v>
      </c>
      <c r="L1176" s="549">
        <v>114926.93</v>
      </c>
      <c r="M1176" s="549">
        <v>8676.98</v>
      </c>
      <c r="N1176" s="549">
        <v>2539.89</v>
      </c>
      <c r="O1176" s="549">
        <v>3968</v>
      </c>
      <c r="P1176" s="549">
        <v>100</v>
      </c>
      <c r="Q1176" s="549">
        <v>15184.87</v>
      </c>
    </row>
    <row r="1177" spans="1:17" x14ac:dyDescent="0.25">
      <c r="A1177" s="549" t="s">
        <v>1014</v>
      </c>
      <c r="B1177" s="549" t="s">
        <v>1015</v>
      </c>
      <c r="C1177" s="549" t="s">
        <v>805</v>
      </c>
      <c r="D1177" s="549" t="s">
        <v>806</v>
      </c>
      <c r="E1177" s="549" t="s">
        <v>977</v>
      </c>
      <c r="F1177" s="549" t="s">
        <v>1212</v>
      </c>
      <c r="G1177" s="549">
        <v>132</v>
      </c>
      <c r="H1177" s="549" t="s">
        <v>805</v>
      </c>
      <c r="I1177" s="549" t="s">
        <v>976</v>
      </c>
      <c r="J1177" s="549" t="s">
        <v>976</v>
      </c>
      <c r="K1177" s="549" t="s">
        <v>976</v>
      </c>
      <c r="L1177" s="549">
        <v>335025.40999999997</v>
      </c>
      <c r="M1177" s="549">
        <v>25294.42</v>
      </c>
      <c r="N1177" s="549">
        <v>7404.06</v>
      </c>
      <c r="O1177" s="549">
        <v>1984</v>
      </c>
      <c r="P1177" s="549">
        <v>100</v>
      </c>
      <c r="Q1177" s="549">
        <v>34682.480000000003</v>
      </c>
    </row>
    <row r="1178" spans="1:17" x14ac:dyDescent="0.25">
      <c r="A1178" s="549" t="s">
        <v>1014</v>
      </c>
      <c r="B1178" s="549" t="s">
        <v>1015</v>
      </c>
      <c r="C1178" s="549" t="s">
        <v>805</v>
      </c>
      <c r="D1178" s="549" t="s">
        <v>806</v>
      </c>
      <c r="E1178" s="549" t="s">
        <v>977</v>
      </c>
      <c r="F1178" s="549" t="s">
        <v>1212</v>
      </c>
      <c r="G1178" s="549">
        <v>122</v>
      </c>
      <c r="H1178" s="549" t="s">
        <v>805</v>
      </c>
      <c r="I1178" s="549" t="s">
        <v>976</v>
      </c>
      <c r="J1178" s="549" t="s">
        <v>976</v>
      </c>
      <c r="K1178" s="549" t="s">
        <v>976</v>
      </c>
      <c r="L1178" s="549">
        <v>491340.3</v>
      </c>
      <c r="M1178" s="549">
        <v>37096.19</v>
      </c>
      <c r="N1178" s="549">
        <v>10858.62</v>
      </c>
      <c r="O1178" s="549">
        <v>3968</v>
      </c>
      <c r="P1178" s="549">
        <v>100</v>
      </c>
      <c r="Q1178" s="549">
        <v>51922.81</v>
      </c>
    </row>
    <row r="1179" spans="1:17" x14ac:dyDescent="0.25">
      <c r="A1179" s="549" t="s">
        <v>1014</v>
      </c>
      <c r="B1179" s="549" t="s">
        <v>1015</v>
      </c>
      <c r="C1179" s="549" t="s">
        <v>805</v>
      </c>
      <c r="D1179" s="549" t="s">
        <v>806</v>
      </c>
      <c r="E1179" s="549" t="s">
        <v>977</v>
      </c>
      <c r="F1179" s="549" t="s">
        <v>1212</v>
      </c>
      <c r="G1179" s="549">
        <v>112</v>
      </c>
      <c r="H1179" s="549" t="s">
        <v>805</v>
      </c>
      <c r="I1179" s="549" t="s">
        <v>976</v>
      </c>
      <c r="J1179" s="549" t="s">
        <v>976</v>
      </c>
      <c r="K1179" s="549" t="s">
        <v>976</v>
      </c>
      <c r="L1179" s="549">
        <v>335025.40999999997</v>
      </c>
      <c r="M1179" s="549">
        <v>25294.42</v>
      </c>
      <c r="N1179" s="549">
        <v>7404.06</v>
      </c>
      <c r="O1179" s="549">
        <v>1984</v>
      </c>
      <c r="P1179" s="549">
        <v>100</v>
      </c>
      <c r="Q1179" s="549">
        <v>34682.480000000003</v>
      </c>
    </row>
    <row r="1180" spans="1:17" x14ac:dyDescent="0.25">
      <c r="A1180" s="549" t="s">
        <v>1014</v>
      </c>
      <c r="B1180" s="549" t="s">
        <v>1015</v>
      </c>
      <c r="C1180" s="549" t="s">
        <v>805</v>
      </c>
      <c r="D1180" s="549" t="s">
        <v>806</v>
      </c>
      <c r="E1180" s="549" t="s">
        <v>977</v>
      </c>
      <c r="F1180" s="549" t="s">
        <v>1212</v>
      </c>
      <c r="G1180" s="549">
        <v>102</v>
      </c>
      <c r="H1180" s="549" t="s">
        <v>805</v>
      </c>
      <c r="I1180" s="549" t="s">
        <v>976</v>
      </c>
      <c r="J1180" s="549" t="s">
        <v>976</v>
      </c>
      <c r="K1180" s="549" t="s">
        <v>976</v>
      </c>
      <c r="L1180" s="549">
        <v>491340.3</v>
      </c>
      <c r="M1180" s="549">
        <v>37096.19</v>
      </c>
      <c r="N1180" s="549">
        <v>10858.62</v>
      </c>
      <c r="O1180" s="549">
        <v>3968</v>
      </c>
      <c r="P1180" s="549">
        <v>100</v>
      </c>
      <c r="Q1180" s="549">
        <v>51922.81</v>
      </c>
    </row>
    <row r="1181" spans="1:17" x14ac:dyDescent="0.25">
      <c r="A1181" s="549" t="s">
        <v>1014</v>
      </c>
      <c r="B1181" s="549" t="s">
        <v>1015</v>
      </c>
      <c r="C1181" s="549" t="s">
        <v>805</v>
      </c>
      <c r="D1181" s="549" t="s">
        <v>806</v>
      </c>
      <c r="E1181" s="549" t="s">
        <v>973</v>
      </c>
      <c r="F1181" s="549" t="s">
        <v>1212</v>
      </c>
      <c r="G1181" s="549" t="s">
        <v>1249</v>
      </c>
      <c r="H1181" s="549" t="s">
        <v>805</v>
      </c>
      <c r="I1181" s="549" t="s">
        <v>976</v>
      </c>
      <c r="J1181" s="549" t="s">
        <v>976</v>
      </c>
      <c r="K1181" s="549" t="s">
        <v>976</v>
      </c>
      <c r="L1181" s="549">
        <v>47520.19</v>
      </c>
      <c r="M1181" s="549">
        <v>3587.77</v>
      </c>
      <c r="N1181" s="549">
        <v>2727.66</v>
      </c>
      <c r="O1181" s="549">
        <v>0</v>
      </c>
      <c r="P1181" s="549">
        <v>0</v>
      </c>
      <c r="Q1181" s="549">
        <v>0</v>
      </c>
    </row>
    <row r="1182" spans="1:17" x14ac:dyDescent="0.25">
      <c r="A1182" s="549" t="s">
        <v>1014</v>
      </c>
      <c r="B1182" s="549" t="s">
        <v>1015</v>
      </c>
      <c r="C1182" s="549" t="s">
        <v>805</v>
      </c>
      <c r="D1182" s="549" t="s">
        <v>806</v>
      </c>
      <c r="E1182" s="549" t="s">
        <v>973</v>
      </c>
      <c r="F1182" s="549" t="s">
        <v>1212</v>
      </c>
      <c r="G1182" s="549" t="s">
        <v>1282</v>
      </c>
      <c r="H1182" s="549" t="s">
        <v>805</v>
      </c>
      <c r="I1182" s="549" t="s">
        <v>976</v>
      </c>
      <c r="J1182" s="549" t="s">
        <v>976</v>
      </c>
      <c r="K1182" s="549" t="s">
        <v>976</v>
      </c>
      <c r="L1182" s="549">
        <v>18147.09</v>
      </c>
      <c r="M1182" s="549">
        <v>1370.11</v>
      </c>
      <c r="N1182" s="549">
        <v>1041.6400000000001</v>
      </c>
      <c r="O1182" s="549">
        <v>0</v>
      </c>
      <c r="P1182" s="549">
        <v>0</v>
      </c>
      <c r="Q1182" s="549">
        <v>0</v>
      </c>
    </row>
    <row r="1183" spans="1:17" x14ac:dyDescent="0.25">
      <c r="A1183" s="549" t="s">
        <v>1014</v>
      </c>
      <c r="B1183" s="549" t="s">
        <v>1015</v>
      </c>
      <c r="C1183" s="549" t="s">
        <v>805</v>
      </c>
      <c r="D1183" s="549" t="s">
        <v>806</v>
      </c>
      <c r="E1183" s="549" t="s">
        <v>973</v>
      </c>
      <c r="F1183" s="549" t="s">
        <v>1212</v>
      </c>
      <c r="G1183" s="549" t="s">
        <v>1283</v>
      </c>
      <c r="H1183" s="549" t="s">
        <v>805</v>
      </c>
      <c r="I1183" s="549" t="s">
        <v>976</v>
      </c>
      <c r="J1183" s="549" t="s">
        <v>976</v>
      </c>
      <c r="K1183" s="549" t="s">
        <v>976</v>
      </c>
      <c r="L1183" s="549">
        <v>18147.09</v>
      </c>
      <c r="M1183" s="549">
        <v>1370.11</v>
      </c>
      <c r="N1183" s="549">
        <v>1041.6400000000001</v>
      </c>
      <c r="O1183" s="549">
        <v>0</v>
      </c>
      <c r="P1183" s="549">
        <v>0</v>
      </c>
      <c r="Q1183" s="549">
        <v>0</v>
      </c>
    </row>
    <row r="1184" spans="1:17" x14ac:dyDescent="0.25">
      <c r="A1184" s="549" t="s">
        <v>1014</v>
      </c>
      <c r="B1184" s="549" t="s">
        <v>1015</v>
      </c>
      <c r="C1184" s="549" t="s">
        <v>805</v>
      </c>
      <c r="D1184" s="549" t="s">
        <v>806</v>
      </c>
      <c r="E1184" s="549" t="s">
        <v>973</v>
      </c>
      <c r="F1184" s="549" t="s">
        <v>1212</v>
      </c>
      <c r="G1184" s="549" t="s">
        <v>1284</v>
      </c>
      <c r="H1184" s="549" t="s">
        <v>805</v>
      </c>
      <c r="I1184" s="549" t="s">
        <v>976</v>
      </c>
      <c r="J1184" s="549" t="s">
        <v>976</v>
      </c>
      <c r="K1184" s="549" t="s">
        <v>976</v>
      </c>
      <c r="L1184" s="549">
        <v>34684.28</v>
      </c>
      <c r="M1184" s="549">
        <v>2618.66</v>
      </c>
      <c r="N1184" s="549">
        <v>1990.88</v>
      </c>
      <c r="O1184" s="549">
        <v>1984</v>
      </c>
      <c r="P1184" s="549">
        <v>0</v>
      </c>
      <c r="Q1184" s="549">
        <v>0</v>
      </c>
    </row>
    <row r="1185" spans="1:17" x14ac:dyDescent="0.25">
      <c r="A1185" s="549" t="s">
        <v>1014</v>
      </c>
      <c r="B1185" s="549" t="s">
        <v>1015</v>
      </c>
      <c r="C1185" s="549" t="s">
        <v>805</v>
      </c>
      <c r="D1185" s="549" t="s">
        <v>806</v>
      </c>
      <c r="E1185" s="549" t="s">
        <v>973</v>
      </c>
      <c r="F1185" s="549" t="s">
        <v>1212</v>
      </c>
      <c r="G1185" s="549" t="s">
        <v>1285</v>
      </c>
      <c r="H1185" s="549" t="s">
        <v>805</v>
      </c>
      <c r="I1185" s="549" t="s">
        <v>976</v>
      </c>
      <c r="J1185" s="549" t="s">
        <v>976</v>
      </c>
      <c r="K1185" s="549" t="s">
        <v>976</v>
      </c>
      <c r="L1185" s="549">
        <v>104241.63</v>
      </c>
      <c r="M1185" s="549">
        <v>7870.24</v>
      </c>
      <c r="N1185" s="549">
        <v>5983.47</v>
      </c>
      <c r="O1185" s="549">
        <v>1984</v>
      </c>
      <c r="P1185" s="549">
        <v>0</v>
      </c>
      <c r="Q1185" s="549">
        <v>0</v>
      </c>
    </row>
    <row r="1186" spans="1:17" x14ac:dyDescent="0.25">
      <c r="A1186" s="549" t="s">
        <v>1014</v>
      </c>
      <c r="B1186" s="549" t="s">
        <v>1015</v>
      </c>
      <c r="C1186" s="549" t="s">
        <v>805</v>
      </c>
      <c r="D1186" s="549" t="s">
        <v>806</v>
      </c>
      <c r="E1186" s="549" t="s">
        <v>973</v>
      </c>
      <c r="F1186" s="549" t="s">
        <v>1212</v>
      </c>
      <c r="G1186" s="549">
        <v>352</v>
      </c>
      <c r="H1186" s="549" t="s">
        <v>805</v>
      </c>
      <c r="I1186" s="549" t="s">
        <v>976</v>
      </c>
      <c r="J1186" s="549" t="s">
        <v>976</v>
      </c>
      <c r="K1186" s="549" t="s">
        <v>976</v>
      </c>
      <c r="L1186" s="549">
        <v>134232.67000000001</v>
      </c>
      <c r="M1186" s="549">
        <v>10134.57</v>
      </c>
      <c r="N1186" s="549">
        <v>7704.96</v>
      </c>
      <c r="O1186" s="549">
        <v>1984</v>
      </c>
      <c r="P1186" s="549">
        <v>0</v>
      </c>
      <c r="Q1186" s="549">
        <v>0</v>
      </c>
    </row>
    <row r="1187" spans="1:17" x14ac:dyDescent="0.25">
      <c r="A1187" s="549" t="s">
        <v>1172</v>
      </c>
      <c r="B1187" s="549" t="s">
        <v>1173</v>
      </c>
      <c r="C1187" s="549" t="s">
        <v>677</v>
      </c>
      <c r="D1187" s="549" t="s">
        <v>678</v>
      </c>
      <c r="E1187" s="549" t="s">
        <v>977</v>
      </c>
      <c r="F1187" s="549" t="s">
        <v>1212</v>
      </c>
      <c r="G1187" s="549">
        <v>322</v>
      </c>
      <c r="H1187" s="549" t="s">
        <v>677</v>
      </c>
      <c r="I1187" s="549" t="s">
        <v>976</v>
      </c>
      <c r="J1187" s="549" t="s">
        <v>976</v>
      </c>
      <c r="K1187" s="549" t="s">
        <v>976</v>
      </c>
      <c r="L1187" s="549">
        <v>468690.7</v>
      </c>
      <c r="M1187" s="549">
        <v>35386.15</v>
      </c>
      <c r="N1187" s="549">
        <v>10358.06</v>
      </c>
      <c r="O1187" s="549">
        <v>1984</v>
      </c>
      <c r="P1187" s="549">
        <v>100</v>
      </c>
      <c r="Q1187" s="549">
        <v>47728.21</v>
      </c>
    </row>
    <row r="1188" spans="1:17" x14ac:dyDescent="0.25">
      <c r="A1188" s="549" t="s">
        <v>1172</v>
      </c>
      <c r="B1188" s="549" t="s">
        <v>1173</v>
      </c>
      <c r="C1188" s="549" t="s">
        <v>677</v>
      </c>
      <c r="D1188" s="549" t="s">
        <v>678</v>
      </c>
      <c r="E1188" s="549" t="s">
        <v>977</v>
      </c>
      <c r="F1188" s="549" t="s">
        <v>1212</v>
      </c>
      <c r="G1188" s="549">
        <v>362</v>
      </c>
      <c r="H1188" s="549" t="s">
        <v>677</v>
      </c>
      <c r="I1188" s="549" t="s">
        <v>976</v>
      </c>
      <c r="J1188" s="549" t="s">
        <v>976</v>
      </c>
      <c r="K1188" s="549" t="s">
        <v>976</v>
      </c>
      <c r="L1188" s="549">
        <v>468690.7</v>
      </c>
      <c r="M1188" s="549">
        <v>35386.15</v>
      </c>
      <c r="N1188" s="549">
        <v>10358.06</v>
      </c>
      <c r="O1188" s="549">
        <v>1984</v>
      </c>
      <c r="P1188" s="549">
        <v>100</v>
      </c>
      <c r="Q1188" s="549">
        <v>47728.21</v>
      </c>
    </row>
    <row r="1189" spans="1:17" x14ac:dyDescent="0.25">
      <c r="A1189" s="549" t="s">
        <v>1014</v>
      </c>
      <c r="B1189" s="549" t="s">
        <v>1015</v>
      </c>
      <c r="C1189" s="549" t="s">
        <v>805</v>
      </c>
      <c r="D1189" s="549" t="s">
        <v>806</v>
      </c>
      <c r="E1189" s="549" t="s">
        <v>973</v>
      </c>
      <c r="F1189" s="549" t="s">
        <v>1212</v>
      </c>
      <c r="G1189" s="549">
        <v>322</v>
      </c>
      <c r="H1189" s="549" t="s">
        <v>805</v>
      </c>
      <c r="I1189" s="549" t="s">
        <v>976</v>
      </c>
      <c r="J1189" s="549" t="s">
        <v>976</v>
      </c>
      <c r="K1189" s="549" t="s">
        <v>976</v>
      </c>
      <c r="L1189" s="549">
        <v>134232.67000000001</v>
      </c>
      <c r="M1189" s="549">
        <v>10134.57</v>
      </c>
      <c r="N1189" s="549">
        <v>7704.96</v>
      </c>
      <c r="O1189" s="549">
        <v>1984</v>
      </c>
      <c r="P1189" s="549">
        <v>0</v>
      </c>
      <c r="Q1189" s="549">
        <v>0</v>
      </c>
    </row>
    <row r="1190" spans="1:17" x14ac:dyDescent="0.25">
      <c r="A1190" s="549" t="s">
        <v>1172</v>
      </c>
      <c r="B1190" s="549" t="s">
        <v>1173</v>
      </c>
      <c r="C1190" s="549" t="s">
        <v>677</v>
      </c>
      <c r="D1190" s="549" t="s">
        <v>678</v>
      </c>
      <c r="E1190" s="549" t="s">
        <v>977</v>
      </c>
      <c r="F1190" s="549" t="s">
        <v>1212</v>
      </c>
      <c r="G1190" s="549">
        <v>1102</v>
      </c>
      <c r="H1190" s="549" t="s">
        <v>677</v>
      </c>
      <c r="I1190" s="549" t="s">
        <v>976</v>
      </c>
      <c r="J1190" s="549" t="s">
        <v>976</v>
      </c>
      <c r="K1190" s="549" t="s">
        <v>976</v>
      </c>
      <c r="L1190" s="549">
        <v>133261.81</v>
      </c>
      <c r="M1190" s="549">
        <v>10061.27</v>
      </c>
      <c r="N1190" s="549">
        <v>2945.09</v>
      </c>
      <c r="O1190" s="549">
        <v>1984</v>
      </c>
      <c r="P1190" s="549">
        <v>100</v>
      </c>
      <c r="Q1190" s="549">
        <v>14990.36</v>
      </c>
    </row>
    <row r="1191" spans="1:17" x14ac:dyDescent="0.25">
      <c r="A1191" s="549" t="s">
        <v>1172</v>
      </c>
      <c r="B1191" s="549" t="s">
        <v>1173</v>
      </c>
      <c r="C1191" s="549" t="s">
        <v>677</v>
      </c>
      <c r="D1191" s="549" t="s">
        <v>678</v>
      </c>
      <c r="E1191" s="549" t="s">
        <v>977</v>
      </c>
      <c r="F1191" s="549" t="s">
        <v>1212</v>
      </c>
      <c r="G1191" s="549">
        <v>1112</v>
      </c>
      <c r="H1191" s="549" t="s">
        <v>677</v>
      </c>
      <c r="I1191" s="549" t="s">
        <v>976</v>
      </c>
      <c r="J1191" s="549" t="s">
        <v>976</v>
      </c>
      <c r="K1191" s="549" t="s">
        <v>976</v>
      </c>
      <c r="L1191" s="549">
        <v>146240.93</v>
      </c>
      <c r="M1191" s="549">
        <v>11041.19</v>
      </c>
      <c r="N1191" s="549">
        <v>3231.92</v>
      </c>
      <c r="O1191" s="549">
        <v>3670.4</v>
      </c>
      <c r="P1191" s="549">
        <v>100</v>
      </c>
      <c r="Q1191" s="549">
        <v>17943.509999999998</v>
      </c>
    </row>
    <row r="1192" spans="1:17" x14ac:dyDescent="0.25">
      <c r="A1192" s="549" t="s">
        <v>1172</v>
      </c>
      <c r="B1192" s="549" t="s">
        <v>1173</v>
      </c>
      <c r="C1192" s="549" t="s">
        <v>677</v>
      </c>
      <c r="D1192" s="549" t="s">
        <v>678</v>
      </c>
      <c r="E1192" s="549" t="s">
        <v>977</v>
      </c>
      <c r="F1192" s="549" t="s">
        <v>1212</v>
      </c>
      <c r="G1192" s="549">
        <v>1117</v>
      </c>
      <c r="H1192" s="549" t="s">
        <v>677</v>
      </c>
      <c r="I1192" s="549" t="s">
        <v>976</v>
      </c>
      <c r="J1192" s="549" t="s">
        <v>976</v>
      </c>
      <c r="K1192" s="549" t="s">
        <v>976</v>
      </c>
      <c r="L1192" s="549">
        <v>20106.91</v>
      </c>
      <c r="M1192" s="549">
        <v>1518.07</v>
      </c>
      <c r="N1192" s="549">
        <v>444.36</v>
      </c>
      <c r="O1192" s="549">
        <v>992</v>
      </c>
      <c r="P1192" s="549">
        <v>100</v>
      </c>
      <c r="Q1192" s="549">
        <v>2954.43</v>
      </c>
    </row>
    <row r="1193" spans="1:17" x14ac:dyDescent="0.25">
      <c r="A1193" s="549" t="s">
        <v>1172</v>
      </c>
      <c r="B1193" s="549" t="s">
        <v>1173</v>
      </c>
      <c r="C1193" s="549" t="s">
        <v>677</v>
      </c>
      <c r="D1193" s="549" t="s">
        <v>678</v>
      </c>
      <c r="E1193" s="549" t="s">
        <v>977</v>
      </c>
      <c r="F1193" s="549" t="s">
        <v>1212</v>
      </c>
      <c r="G1193" s="549">
        <v>1132</v>
      </c>
      <c r="H1193" s="549" t="s">
        <v>677</v>
      </c>
      <c r="I1193" s="549" t="s">
        <v>976</v>
      </c>
      <c r="J1193" s="549" t="s">
        <v>976</v>
      </c>
      <c r="K1193" s="549" t="s">
        <v>976</v>
      </c>
      <c r="L1193" s="549">
        <v>146240.93</v>
      </c>
      <c r="M1193" s="549">
        <v>11041.19</v>
      </c>
      <c r="N1193" s="549">
        <v>3231.92</v>
      </c>
      <c r="O1193" s="549">
        <v>3670.4</v>
      </c>
      <c r="P1193" s="549">
        <v>100</v>
      </c>
      <c r="Q1193" s="549">
        <v>17943.509999999998</v>
      </c>
    </row>
    <row r="1194" spans="1:17" x14ac:dyDescent="0.25">
      <c r="A1194" s="549" t="s">
        <v>1172</v>
      </c>
      <c r="B1194" s="549" t="s">
        <v>1173</v>
      </c>
      <c r="C1194" s="549" t="s">
        <v>677</v>
      </c>
      <c r="D1194" s="549" t="s">
        <v>678</v>
      </c>
      <c r="E1194" s="549" t="s">
        <v>977</v>
      </c>
      <c r="F1194" s="549" t="s">
        <v>1212</v>
      </c>
      <c r="G1194" s="549">
        <v>1137</v>
      </c>
      <c r="H1194" s="549" t="s">
        <v>677</v>
      </c>
      <c r="I1194" s="549" t="s">
        <v>976</v>
      </c>
      <c r="J1194" s="549" t="s">
        <v>976</v>
      </c>
      <c r="K1194" s="549" t="s">
        <v>976</v>
      </c>
      <c r="L1194" s="549">
        <v>20106.91</v>
      </c>
      <c r="M1194" s="549">
        <v>1518.07</v>
      </c>
      <c r="N1194" s="549">
        <v>444.36</v>
      </c>
      <c r="O1194" s="549">
        <v>992</v>
      </c>
      <c r="P1194" s="549">
        <v>100</v>
      </c>
      <c r="Q1194" s="549">
        <v>2954.43</v>
      </c>
    </row>
    <row r="1195" spans="1:17" x14ac:dyDescent="0.25">
      <c r="A1195" s="549" t="s">
        <v>1172</v>
      </c>
      <c r="B1195" s="549" t="s">
        <v>1173</v>
      </c>
      <c r="C1195" s="549" t="s">
        <v>677</v>
      </c>
      <c r="D1195" s="549" t="s">
        <v>678</v>
      </c>
      <c r="E1195" s="549" t="s">
        <v>977</v>
      </c>
      <c r="F1195" s="549" t="s">
        <v>1212</v>
      </c>
      <c r="G1195" s="549">
        <v>1152</v>
      </c>
      <c r="H1195" s="549" t="s">
        <v>677</v>
      </c>
      <c r="I1195" s="549" t="s">
        <v>976</v>
      </c>
      <c r="J1195" s="549" t="s">
        <v>976</v>
      </c>
      <c r="K1195" s="549" t="s">
        <v>976</v>
      </c>
      <c r="L1195" s="549">
        <v>146240.93</v>
      </c>
      <c r="M1195" s="549">
        <v>11041.19</v>
      </c>
      <c r="N1195" s="549">
        <v>3231.92</v>
      </c>
      <c r="O1195" s="549">
        <v>3670.4</v>
      </c>
      <c r="P1195" s="549">
        <v>100</v>
      </c>
      <c r="Q1195" s="549">
        <v>17943.509999999998</v>
      </c>
    </row>
    <row r="1196" spans="1:17" x14ac:dyDescent="0.25">
      <c r="A1196" s="549" t="s">
        <v>1172</v>
      </c>
      <c r="B1196" s="549" t="s">
        <v>1173</v>
      </c>
      <c r="C1196" s="549" t="s">
        <v>677</v>
      </c>
      <c r="D1196" s="549" t="s">
        <v>678</v>
      </c>
      <c r="E1196" s="549" t="s">
        <v>977</v>
      </c>
      <c r="F1196" s="549" t="s">
        <v>1212</v>
      </c>
      <c r="G1196" s="549">
        <v>1157</v>
      </c>
      <c r="H1196" s="549" t="s">
        <v>677</v>
      </c>
      <c r="I1196" s="549" t="s">
        <v>976</v>
      </c>
      <c r="J1196" s="549" t="s">
        <v>976</v>
      </c>
      <c r="K1196" s="549" t="s">
        <v>976</v>
      </c>
      <c r="L1196" s="549">
        <v>20106.91</v>
      </c>
      <c r="M1196" s="549">
        <v>1518.07</v>
      </c>
      <c r="N1196" s="549">
        <v>444.36</v>
      </c>
      <c r="O1196" s="549">
        <v>992</v>
      </c>
      <c r="P1196" s="549">
        <v>100</v>
      </c>
      <c r="Q1196" s="549">
        <v>2954.43</v>
      </c>
    </row>
    <row r="1197" spans="1:17" x14ac:dyDescent="0.25">
      <c r="A1197" s="549" t="s">
        <v>1172</v>
      </c>
      <c r="B1197" s="549" t="s">
        <v>1173</v>
      </c>
      <c r="C1197" s="549" t="s">
        <v>677</v>
      </c>
      <c r="D1197" s="549" t="s">
        <v>678</v>
      </c>
      <c r="E1197" s="549" t="s">
        <v>977</v>
      </c>
      <c r="F1197" s="549" t="s">
        <v>1212</v>
      </c>
      <c r="G1197" s="549">
        <v>1172</v>
      </c>
      <c r="H1197" s="549" t="s">
        <v>677</v>
      </c>
      <c r="I1197" s="549" t="s">
        <v>976</v>
      </c>
      <c r="J1197" s="549" t="s">
        <v>976</v>
      </c>
      <c r="K1197" s="549" t="s">
        <v>976</v>
      </c>
      <c r="L1197" s="549">
        <v>146240.93</v>
      </c>
      <c r="M1197" s="549">
        <v>11041.19</v>
      </c>
      <c r="N1197" s="549">
        <v>3231.92</v>
      </c>
      <c r="O1197" s="549">
        <v>3670.4</v>
      </c>
      <c r="P1197" s="549">
        <v>100</v>
      </c>
      <c r="Q1197" s="549">
        <v>17943.509999999998</v>
      </c>
    </row>
    <row r="1198" spans="1:17" x14ac:dyDescent="0.25">
      <c r="A1198" s="549" t="s">
        <v>1172</v>
      </c>
      <c r="B1198" s="549" t="s">
        <v>1173</v>
      </c>
      <c r="C1198" s="549" t="s">
        <v>677</v>
      </c>
      <c r="D1198" s="549" t="s">
        <v>678</v>
      </c>
      <c r="E1198" s="549" t="s">
        <v>977</v>
      </c>
      <c r="F1198" s="549" t="s">
        <v>1212</v>
      </c>
      <c r="G1198" s="549">
        <v>1177</v>
      </c>
      <c r="H1198" s="549" t="s">
        <v>677</v>
      </c>
      <c r="I1198" s="549" t="s">
        <v>976</v>
      </c>
      <c r="J1198" s="549" t="s">
        <v>976</v>
      </c>
      <c r="K1198" s="549" t="s">
        <v>976</v>
      </c>
      <c r="L1198" s="549">
        <v>20106.91</v>
      </c>
      <c r="M1198" s="549">
        <v>1518.07</v>
      </c>
      <c r="N1198" s="549">
        <v>444.36</v>
      </c>
      <c r="O1198" s="549">
        <v>992</v>
      </c>
      <c r="P1198" s="549">
        <v>100</v>
      </c>
      <c r="Q1198" s="549">
        <v>2954.43</v>
      </c>
    </row>
    <row r="1199" spans="1:17" x14ac:dyDescent="0.25">
      <c r="A1199" s="549" t="s">
        <v>1172</v>
      </c>
      <c r="B1199" s="549" t="s">
        <v>1173</v>
      </c>
      <c r="C1199" s="549" t="s">
        <v>677</v>
      </c>
      <c r="D1199" s="549" t="s">
        <v>678</v>
      </c>
      <c r="E1199" s="549" t="s">
        <v>977</v>
      </c>
      <c r="F1199" s="549" t="s">
        <v>1212</v>
      </c>
      <c r="G1199" s="549">
        <v>1182</v>
      </c>
      <c r="H1199" s="549" t="s">
        <v>677</v>
      </c>
      <c r="I1199" s="549" t="s">
        <v>976</v>
      </c>
      <c r="J1199" s="549" t="s">
        <v>976</v>
      </c>
      <c r="K1199" s="549" t="s">
        <v>976</v>
      </c>
      <c r="L1199" s="549">
        <v>178120.93</v>
      </c>
      <c r="M1199" s="549">
        <v>13448.13</v>
      </c>
      <c r="N1199" s="549">
        <v>3936.47</v>
      </c>
      <c r="O1199" s="549">
        <v>1984</v>
      </c>
      <c r="P1199" s="549">
        <v>100</v>
      </c>
      <c r="Q1199" s="549">
        <v>19368.599999999999</v>
      </c>
    </row>
    <row r="1200" spans="1:17" x14ac:dyDescent="0.25">
      <c r="A1200" s="549" t="s">
        <v>1172</v>
      </c>
      <c r="B1200" s="549" t="s">
        <v>1173</v>
      </c>
      <c r="C1200" s="549" t="s">
        <v>677</v>
      </c>
      <c r="D1200" s="549" t="s">
        <v>678</v>
      </c>
      <c r="E1200" s="549" t="s">
        <v>977</v>
      </c>
      <c r="F1200" s="549" t="s">
        <v>1212</v>
      </c>
      <c r="G1200" s="549">
        <v>1192</v>
      </c>
      <c r="H1200" s="549" t="s">
        <v>677</v>
      </c>
      <c r="I1200" s="549" t="s">
        <v>976</v>
      </c>
      <c r="J1200" s="549" t="s">
        <v>976</v>
      </c>
      <c r="K1200" s="549" t="s">
        <v>976</v>
      </c>
      <c r="L1200" s="549">
        <v>146240.93</v>
      </c>
      <c r="M1200" s="549">
        <v>11041.19</v>
      </c>
      <c r="N1200" s="549">
        <v>3231.92</v>
      </c>
      <c r="O1200" s="549">
        <v>3670.4</v>
      </c>
      <c r="P1200" s="549">
        <v>100</v>
      </c>
      <c r="Q1200" s="549">
        <v>17943.509999999998</v>
      </c>
    </row>
    <row r="1201" spans="1:17" x14ac:dyDescent="0.25">
      <c r="A1201" s="549" t="s">
        <v>1172</v>
      </c>
      <c r="B1201" s="549" t="s">
        <v>1173</v>
      </c>
      <c r="C1201" s="549" t="s">
        <v>677</v>
      </c>
      <c r="D1201" s="549" t="s">
        <v>678</v>
      </c>
      <c r="E1201" s="549" t="s">
        <v>977</v>
      </c>
      <c r="F1201" s="549" t="s">
        <v>1212</v>
      </c>
      <c r="G1201" s="549" t="s">
        <v>1226</v>
      </c>
      <c r="H1201" s="549" t="s">
        <v>677</v>
      </c>
      <c r="I1201" s="549" t="s">
        <v>976</v>
      </c>
      <c r="J1201" s="549" t="s">
        <v>976</v>
      </c>
      <c r="K1201" s="549" t="s">
        <v>976</v>
      </c>
      <c r="L1201" s="549">
        <v>30620.61</v>
      </c>
      <c r="M1201" s="549">
        <v>2311.86</v>
      </c>
      <c r="N1201" s="549">
        <v>676.72</v>
      </c>
      <c r="O1201" s="549">
        <v>0</v>
      </c>
      <c r="P1201" s="549">
        <v>100</v>
      </c>
      <c r="Q1201" s="549">
        <v>2988.58</v>
      </c>
    </row>
    <row r="1202" spans="1:17" x14ac:dyDescent="0.25">
      <c r="A1202" s="549" t="s">
        <v>1172</v>
      </c>
      <c r="B1202" s="549" t="s">
        <v>1173</v>
      </c>
      <c r="C1202" s="549" t="s">
        <v>677</v>
      </c>
      <c r="D1202" s="549" t="s">
        <v>678</v>
      </c>
      <c r="E1202" s="549" t="s">
        <v>977</v>
      </c>
      <c r="F1202" s="549" t="s">
        <v>1212</v>
      </c>
      <c r="G1202" s="549" t="s">
        <v>1299</v>
      </c>
      <c r="H1202" s="549" t="s">
        <v>677</v>
      </c>
      <c r="I1202" s="549" t="s">
        <v>976</v>
      </c>
      <c r="J1202" s="549" t="s">
        <v>976</v>
      </c>
      <c r="K1202" s="549" t="s">
        <v>976</v>
      </c>
      <c r="L1202" s="549">
        <v>30620.61</v>
      </c>
      <c r="M1202" s="549">
        <v>2311.86</v>
      </c>
      <c r="N1202" s="549">
        <v>676.72</v>
      </c>
      <c r="O1202" s="549">
        <v>0</v>
      </c>
      <c r="P1202" s="549">
        <v>100</v>
      </c>
      <c r="Q1202" s="549">
        <v>2988.58</v>
      </c>
    </row>
    <row r="1203" spans="1:17" x14ac:dyDescent="0.25">
      <c r="A1203" s="549" t="s">
        <v>1014</v>
      </c>
      <c r="B1203" s="549" t="s">
        <v>1015</v>
      </c>
      <c r="C1203" s="549" t="s">
        <v>805</v>
      </c>
      <c r="D1203" s="549" t="s">
        <v>806</v>
      </c>
      <c r="E1203" s="549" t="s">
        <v>973</v>
      </c>
      <c r="F1203" s="549" t="s">
        <v>1212</v>
      </c>
      <c r="G1203" s="549">
        <v>272</v>
      </c>
      <c r="H1203" s="549" t="s">
        <v>805</v>
      </c>
      <c r="I1203" s="549" t="s">
        <v>976</v>
      </c>
      <c r="J1203" s="549" t="s">
        <v>976</v>
      </c>
      <c r="K1203" s="549" t="s">
        <v>976</v>
      </c>
      <c r="L1203" s="549">
        <v>147306.35</v>
      </c>
      <c r="M1203" s="549">
        <v>11121.63</v>
      </c>
      <c r="N1203" s="549">
        <v>8455.3799999999992</v>
      </c>
      <c r="O1203" s="549">
        <v>3968</v>
      </c>
      <c r="P1203" s="549">
        <v>0</v>
      </c>
      <c r="Q1203" s="549">
        <v>0</v>
      </c>
    </row>
    <row r="1204" spans="1:17" x14ac:dyDescent="0.25">
      <c r="A1204" s="549" t="s">
        <v>1014</v>
      </c>
      <c r="B1204" s="549" t="s">
        <v>1015</v>
      </c>
      <c r="C1204" s="549" t="s">
        <v>805</v>
      </c>
      <c r="D1204" s="549" t="s">
        <v>806</v>
      </c>
      <c r="E1204" s="549" t="s">
        <v>973</v>
      </c>
      <c r="F1204" s="549" t="s">
        <v>1212</v>
      </c>
      <c r="G1204" s="549">
        <v>262</v>
      </c>
      <c r="H1204" s="549" t="s">
        <v>805</v>
      </c>
      <c r="I1204" s="549" t="s">
        <v>976</v>
      </c>
      <c r="J1204" s="549" t="s">
        <v>976</v>
      </c>
      <c r="K1204" s="549" t="s">
        <v>976</v>
      </c>
      <c r="L1204" s="549">
        <v>147306.35</v>
      </c>
      <c r="M1204" s="549">
        <v>11121.63</v>
      </c>
      <c r="N1204" s="549">
        <v>8455.3799999999992</v>
      </c>
      <c r="O1204" s="549">
        <v>3968</v>
      </c>
      <c r="P1204" s="549">
        <v>0</v>
      </c>
      <c r="Q1204" s="549">
        <v>0</v>
      </c>
    </row>
    <row r="1205" spans="1:17" x14ac:dyDescent="0.25">
      <c r="A1205" s="549" t="s">
        <v>1014</v>
      </c>
      <c r="B1205" s="549" t="s">
        <v>1015</v>
      </c>
      <c r="C1205" s="549" t="s">
        <v>805</v>
      </c>
      <c r="D1205" s="549" t="s">
        <v>806</v>
      </c>
      <c r="E1205" s="549" t="s">
        <v>973</v>
      </c>
      <c r="F1205" s="549" t="s">
        <v>1212</v>
      </c>
      <c r="G1205" s="549">
        <v>252</v>
      </c>
      <c r="H1205" s="549" t="s">
        <v>805</v>
      </c>
      <c r="I1205" s="549" t="s">
        <v>976</v>
      </c>
      <c r="J1205" s="549" t="s">
        <v>976</v>
      </c>
      <c r="K1205" s="549" t="s">
        <v>976</v>
      </c>
      <c r="L1205" s="549">
        <v>147306.35</v>
      </c>
      <c r="M1205" s="549">
        <v>11121.63</v>
      </c>
      <c r="N1205" s="549">
        <v>8455.3799999999992</v>
      </c>
      <c r="O1205" s="549">
        <v>3968</v>
      </c>
      <c r="P1205" s="549">
        <v>0</v>
      </c>
      <c r="Q1205" s="549">
        <v>0</v>
      </c>
    </row>
    <row r="1206" spans="1:17" x14ac:dyDescent="0.25">
      <c r="A1206" s="549" t="s">
        <v>1014</v>
      </c>
      <c r="B1206" s="549" t="s">
        <v>1015</v>
      </c>
      <c r="C1206" s="549" t="s">
        <v>805</v>
      </c>
      <c r="D1206" s="549" t="s">
        <v>806</v>
      </c>
      <c r="E1206" s="549" t="s">
        <v>973</v>
      </c>
      <c r="F1206" s="549" t="s">
        <v>1212</v>
      </c>
      <c r="G1206" s="549">
        <v>242</v>
      </c>
      <c r="H1206" s="549" t="s">
        <v>805</v>
      </c>
      <c r="I1206" s="549" t="s">
        <v>976</v>
      </c>
      <c r="J1206" s="549" t="s">
        <v>976</v>
      </c>
      <c r="K1206" s="549" t="s">
        <v>976</v>
      </c>
      <c r="L1206" s="549">
        <v>147306.35</v>
      </c>
      <c r="M1206" s="549">
        <v>11121.63</v>
      </c>
      <c r="N1206" s="549">
        <v>8455.3799999999992</v>
      </c>
      <c r="O1206" s="549">
        <v>3968</v>
      </c>
      <c r="P1206" s="549">
        <v>0</v>
      </c>
      <c r="Q1206" s="549">
        <v>0</v>
      </c>
    </row>
    <row r="1207" spans="1:17" x14ac:dyDescent="0.25">
      <c r="A1207" s="549" t="s">
        <v>1014</v>
      </c>
      <c r="B1207" s="549" t="s">
        <v>1015</v>
      </c>
      <c r="C1207" s="549" t="s">
        <v>805</v>
      </c>
      <c r="D1207" s="549" t="s">
        <v>806</v>
      </c>
      <c r="E1207" s="549" t="s">
        <v>973</v>
      </c>
      <c r="F1207" s="549" t="s">
        <v>1212</v>
      </c>
      <c r="G1207" s="549">
        <v>222</v>
      </c>
      <c r="H1207" s="549" t="s">
        <v>805</v>
      </c>
      <c r="I1207" s="549" t="s">
        <v>976</v>
      </c>
      <c r="J1207" s="549" t="s">
        <v>976</v>
      </c>
      <c r="K1207" s="549" t="s">
        <v>976</v>
      </c>
      <c r="L1207" s="549">
        <v>114926.93</v>
      </c>
      <c r="M1207" s="549">
        <v>8676.98</v>
      </c>
      <c r="N1207" s="549">
        <v>6596.81</v>
      </c>
      <c r="O1207" s="549">
        <v>3968</v>
      </c>
      <c r="P1207" s="549">
        <v>0</v>
      </c>
      <c r="Q1207" s="549">
        <v>0</v>
      </c>
    </row>
    <row r="1208" spans="1:17" x14ac:dyDescent="0.25">
      <c r="A1208" s="549" t="s">
        <v>1014</v>
      </c>
      <c r="B1208" s="549" t="s">
        <v>1015</v>
      </c>
      <c r="C1208" s="549" t="s">
        <v>805</v>
      </c>
      <c r="D1208" s="549" t="s">
        <v>806</v>
      </c>
      <c r="E1208" s="549" t="s">
        <v>973</v>
      </c>
      <c r="F1208" s="549" t="s">
        <v>1212</v>
      </c>
      <c r="G1208" s="549">
        <v>132</v>
      </c>
      <c r="H1208" s="549" t="s">
        <v>805</v>
      </c>
      <c r="I1208" s="549" t="s">
        <v>976</v>
      </c>
      <c r="J1208" s="549" t="s">
        <v>976</v>
      </c>
      <c r="K1208" s="549" t="s">
        <v>976</v>
      </c>
      <c r="L1208" s="549">
        <v>335025.40999999997</v>
      </c>
      <c r="M1208" s="549">
        <v>25294.42</v>
      </c>
      <c r="N1208" s="549">
        <v>19230.46</v>
      </c>
      <c r="O1208" s="549">
        <v>1984</v>
      </c>
      <c r="P1208" s="549">
        <v>0</v>
      </c>
      <c r="Q1208" s="549">
        <v>0</v>
      </c>
    </row>
    <row r="1209" spans="1:17" x14ac:dyDescent="0.25">
      <c r="A1209" s="549" t="s">
        <v>1014</v>
      </c>
      <c r="B1209" s="549" t="s">
        <v>1015</v>
      </c>
      <c r="C1209" s="549" t="s">
        <v>805</v>
      </c>
      <c r="D1209" s="549" t="s">
        <v>806</v>
      </c>
      <c r="E1209" s="549" t="s">
        <v>973</v>
      </c>
      <c r="F1209" s="549" t="s">
        <v>1212</v>
      </c>
      <c r="G1209" s="549">
        <v>122</v>
      </c>
      <c r="H1209" s="549" t="s">
        <v>805</v>
      </c>
      <c r="I1209" s="549" t="s">
        <v>976</v>
      </c>
      <c r="J1209" s="549" t="s">
        <v>976</v>
      </c>
      <c r="K1209" s="549" t="s">
        <v>976</v>
      </c>
      <c r="L1209" s="549">
        <v>491340.3</v>
      </c>
      <c r="M1209" s="549">
        <v>37096.19</v>
      </c>
      <c r="N1209" s="549">
        <v>28202.93</v>
      </c>
      <c r="O1209" s="549">
        <v>3968</v>
      </c>
      <c r="P1209" s="549">
        <v>0</v>
      </c>
      <c r="Q1209" s="549">
        <v>0</v>
      </c>
    </row>
    <row r="1210" spans="1:17" x14ac:dyDescent="0.25">
      <c r="A1210" s="549" t="s">
        <v>1014</v>
      </c>
      <c r="B1210" s="549" t="s">
        <v>1015</v>
      </c>
      <c r="C1210" s="549" t="s">
        <v>805</v>
      </c>
      <c r="D1210" s="549" t="s">
        <v>806</v>
      </c>
      <c r="E1210" s="549" t="s">
        <v>973</v>
      </c>
      <c r="F1210" s="549" t="s">
        <v>1212</v>
      </c>
      <c r="G1210" s="549">
        <v>112</v>
      </c>
      <c r="H1210" s="549" t="s">
        <v>805</v>
      </c>
      <c r="I1210" s="549" t="s">
        <v>976</v>
      </c>
      <c r="J1210" s="549" t="s">
        <v>976</v>
      </c>
      <c r="K1210" s="549" t="s">
        <v>976</v>
      </c>
      <c r="L1210" s="549">
        <v>335025.40999999997</v>
      </c>
      <c r="M1210" s="549">
        <v>25294.42</v>
      </c>
      <c r="N1210" s="549">
        <v>19230.46</v>
      </c>
      <c r="O1210" s="549">
        <v>1984</v>
      </c>
      <c r="P1210" s="549">
        <v>0</v>
      </c>
      <c r="Q1210" s="549">
        <v>0</v>
      </c>
    </row>
    <row r="1211" spans="1:17" x14ac:dyDescent="0.25">
      <c r="A1211" s="549" t="s">
        <v>1003</v>
      </c>
      <c r="B1211" s="549" t="s">
        <v>1004</v>
      </c>
      <c r="C1211" s="549" t="s">
        <v>673</v>
      </c>
      <c r="D1211" s="549" t="s">
        <v>674</v>
      </c>
      <c r="E1211" s="549" t="s">
        <v>977</v>
      </c>
      <c r="F1211" s="549" t="s">
        <v>1212</v>
      </c>
      <c r="G1211" s="549">
        <v>122</v>
      </c>
      <c r="H1211" s="549" t="s">
        <v>673</v>
      </c>
      <c r="I1211" s="549" t="s">
        <v>976</v>
      </c>
      <c r="J1211" s="549" t="s">
        <v>976</v>
      </c>
      <c r="K1211" s="549" t="s">
        <v>976</v>
      </c>
      <c r="L1211" s="549">
        <v>315553.89</v>
      </c>
      <c r="M1211" s="549">
        <v>23824.32</v>
      </c>
      <c r="N1211" s="549">
        <v>6973.74</v>
      </c>
      <c r="O1211" s="549">
        <v>1984</v>
      </c>
      <c r="P1211" s="549">
        <v>100</v>
      </c>
      <c r="Q1211" s="549">
        <v>32782.06</v>
      </c>
    </row>
    <row r="1212" spans="1:17" x14ac:dyDescent="0.25">
      <c r="A1212" s="549" t="s">
        <v>1003</v>
      </c>
      <c r="B1212" s="549" t="s">
        <v>1004</v>
      </c>
      <c r="C1212" s="549" t="s">
        <v>673</v>
      </c>
      <c r="D1212" s="549" t="s">
        <v>674</v>
      </c>
      <c r="E1212" s="549" t="s">
        <v>977</v>
      </c>
      <c r="F1212" s="549" t="s">
        <v>1212</v>
      </c>
      <c r="G1212" s="549">
        <v>132</v>
      </c>
      <c r="H1212" s="549" t="s">
        <v>673</v>
      </c>
      <c r="I1212" s="549" t="s">
        <v>976</v>
      </c>
      <c r="J1212" s="549" t="s">
        <v>976</v>
      </c>
      <c r="K1212" s="549" t="s">
        <v>976</v>
      </c>
      <c r="L1212" s="549">
        <v>315553.89</v>
      </c>
      <c r="M1212" s="549">
        <v>23824.32</v>
      </c>
      <c r="N1212" s="549">
        <v>6973.74</v>
      </c>
      <c r="O1212" s="549">
        <v>1984</v>
      </c>
      <c r="P1212" s="549">
        <v>100</v>
      </c>
      <c r="Q1212" s="549">
        <v>32782.06</v>
      </c>
    </row>
    <row r="1213" spans="1:17" x14ac:dyDescent="0.25">
      <c r="A1213" s="549" t="s">
        <v>1003</v>
      </c>
      <c r="B1213" s="549" t="s">
        <v>1004</v>
      </c>
      <c r="C1213" s="549" t="s">
        <v>673</v>
      </c>
      <c r="D1213" s="549" t="s">
        <v>674</v>
      </c>
      <c r="E1213" s="549" t="s">
        <v>977</v>
      </c>
      <c r="F1213" s="549" t="s">
        <v>1212</v>
      </c>
      <c r="G1213" s="549">
        <v>152</v>
      </c>
      <c r="H1213" s="549" t="s">
        <v>673</v>
      </c>
      <c r="I1213" s="549" t="s">
        <v>976</v>
      </c>
      <c r="J1213" s="549" t="s">
        <v>976</v>
      </c>
      <c r="K1213" s="549" t="s">
        <v>976</v>
      </c>
      <c r="L1213" s="549">
        <v>462461.42</v>
      </c>
      <c r="M1213" s="549">
        <v>34915.839999999997</v>
      </c>
      <c r="N1213" s="549">
        <v>10220.4</v>
      </c>
      <c r="O1213" s="549">
        <v>3968</v>
      </c>
      <c r="P1213" s="549">
        <v>100</v>
      </c>
      <c r="Q1213" s="549">
        <v>49104.24</v>
      </c>
    </row>
    <row r="1214" spans="1:17" x14ac:dyDescent="0.25">
      <c r="A1214" s="549" t="s">
        <v>1003</v>
      </c>
      <c r="B1214" s="549" t="s">
        <v>1004</v>
      </c>
      <c r="C1214" s="549" t="s">
        <v>673</v>
      </c>
      <c r="D1214" s="549" t="s">
        <v>674</v>
      </c>
      <c r="E1214" s="549" t="s">
        <v>977</v>
      </c>
      <c r="F1214" s="549" t="s">
        <v>1212</v>
      </c>
      <c r="G1214" s="549">
        <v>172</v>
      </c>
      <c r="H1214" s="549" t="s">
        <v>673</v>
      </c>
      <c r="I1214" s="549" t="s">
        <v>976</v>
      </c>
      <c r="J1214" s="549" t="s">
        <v>976</v>
      </c>
      <c r="K1214" s="549" t="s">
        <v>976</v>
      </c>
      <c r="L1214" s="549">
        <v>462461.42</v>
      </c>
      <c r="M1214" s="549">
        <v>34915.839999999997</v>
      </c>
      <c r="N1214" s="549">
        <v>10220.4</v>
      </c>
      <c r="O1214" s="549">
        <v>3968</v>
      </c>
      <c r="P1214" s="549">
        <v>100</v>
      </c>
      <c r="Q1214" s="549">
        <v>49104.24</v>
      </c>
    </row>
    <row r="1215" spans="1:17" x14ac:dyDescent="0.25">
      <c r="A1215" s="549" t="s">
        <v>1003</v>
      </c>
      <c r="B1215" s="549" t="s">
        <v>1004</v>
      </c>
      <c r="C1215" s="549" t="s">
        <v>673</v>
      </c>
      <c r="D1215" s="549" t="s">
        <v>674</v>
      </c>
      <c r="E1215" s="549" t="s">
        <v>977</v>
      </c>
      <c r="F1215" s="549" t="s">
        <v>1212</v>
      </c>
      <c r="G1215" s="549">
        <v>182</v>
      </c>
      <c r="H1215" s="549" t="s">
        <v>673</v>
      </c>
      <c r="I1215" s="549" t="s">
        <v>976</v>
      </c>
      <c r="J1215" s="549" t="s">
        <v>976</v>
      </c>
      <c r="K1215" s="549" t="s">
        <v>976</v>
      </c>
      <c r="L1215" s="549">
        <v>462461.42</v>
      </c>
      <c r="M1215" s="549">
        <v>34915.839999999997</v>
      </c>
      <c r="N1215" s="549">
        <v>10220.4</v>
      </c>
      <c r="O1215" s="549">
        <v>3968</v>
      </c>
      <c r="P1215" s="549">
        <v>100</v>
      </c>
      <c r="Q1215" s="549">
        <v>49104.24</v>
      </c>
    </row>
    <row r="1216" spans="1:17" x14ac:dyDescent="0.25">
      <c r="A1216" s="549" t="s">
        <v>1003</v>
      </c>
      <c r="B1216" s="549" t="s">
        <v>1004</v>
      </c>
      <c r="C1216" s="549" t="s">
        <v>673</v>
      </c>
      <c r="D1216" s="549" t="s">
        <v>674</v>
      </c>
      <c r="E1216" s="549" t="s">
        <v>977</v>
      </c>
      <c r="F1216" s="549" t="s">
        <v>1212</v>
      </c>
      <c r="G1216" s="549">
        <v>192</v>
      </c>
      <c r="H1216" s="549" t="s">
        <v>673</v>
      </c>
      <c r="I1216" s="549" t="s">
        <v>976</v>
      </c>
      <c r="J1216" s="549" t="s">
        <v>976</v>
      </c>
      <c r="K1216" s="549" t="s">
        <v>976</v>
      </c>
      <c r="L1216" s="549">
        <v>462461.42</v>
      </c>
      <c r="M1216" s="549">
        <v>34915.839999999997</v>
      </c>
      <c r="N1216" s="549">
        <v>10220.4</v>
      </c>
      <c r="O1216" s="549">
        <v>3968</v>
      </c>
      <c r="P1216" s="549">
        <v>100</v>
      </c>
      <c r="Q1216" s="549">
        <v>49104.24</v>
      </c>
    </row>
    <row r="1217" spans="1:17" x14ac:dyDescent="0.25">
      <c r="A1217" s="549" t="s">
        <v>1003</v>
      </c>
      <c r="B1217" s="549" t="s">
        <v>1004</v>
      </c>
      <c r="C1217" s="549" t="s">
        <v>673</v>
      </c>
      <c r="D1217" s="549" t="s">
        <v>674</v>
      </c>
      <c r="E1217" s="549" t="s">
        <v>977</v>
      </c>
      <c r="F1217" s="549" t="s">
        <v>1212</v>
      </c>
      <c r="G1217" s="549">
        <v>222</v>
      </c>
      <c r="H1217" s="549" t="s">
        <v>673</v>
      </c>
      <c r="I1217" s="549" t="s">
        <v>976</v>
      </c>
      <c r="J1217" s="549" t="s">
        <v>976</v>
      </c>
      <c r="K1217" s="549" t="s">
        <v>976</v>
      </c>
      <c r="L1217" s="549">
        <v>229622.76</v>
      </c>
      <c r="M1217" s="549">
        <v>17336.52</v>
      </c>
      <c r="N1217" s="549">
        <v>5074.66</v>
      </c>
      <c r="O1217" s="549">
        <v>1984</v>
      </c>
      <c r="P1217" s="549">
        <v>100</v>
      </c>
      <c r="Q1217" s="549">
        <v>24395.18</v>
      </c>
    </row>
    <row r="1218" spans="1:17" x14ac:dyDescent="0.25">
      <c r="A1218" s="549" t="s">
        <v>1003</v>
      </c>
      <c r="B1218" s="549" t="s">
        <v>1004</v>
      </c>
      <c r="C1218" s="549" t="s">
        <v>673</v>
      </c>
      <c r="D1218" s="549" t="s">
        <v>674</v>
      </c>
      <c r="E1218" s="549" t="s">
        <v>977</v>
      </c>
      <c r="F1218" s="549" t="s">
        <v>1212</v>
      </c>
      <c r="G1218" s="549">
        <v>232</v>
      </c>
      <c r="H1218" s="549" t="s">
        <v>673</v>
      </c>
      <c r="I1218" s="549" t="s">
        <v>976</v>
      </c>
      <c r="J1218" s="549" t="s">
        <v>976</v>
      </c>
      <c r="K1218" s="549" t="s">
        <v>976</v>
      </c>
      <c r="L1218" s="549">
        <v>229622.76</v>
      </c>
      <c r="M1218" s="549">
        <v>17336.52</v>
      </c>
      <c r="N1218" s="549">
        <v>5074.66</v>
      </c>
      <c r="O1218" s="549">
        <v>1984</v>
      </c>
      <c r="P1218" s="549">
        <v>100</v>
      </c>
      <c r="Q1218" s="549">
        <v>24395.18</v>
      </c>
    </row>
    <row r="1219" spans="1:17" x14ac:dyDescent="0.25">
      <c r="A1219" s="549" t="s">
        <v>1003</v>
      </c>
      <c r="B1219" s="549" t="s">
        <v>1004</v>
      </c>
      <c r="C1219" s="549" t="s">
        <v>673</v>
      </c>
      <c r="D1219" s="549" t="s">
        <v>674</v>
      </c>
      <c r="E1219" s="549" t="s">
        <v>977</v>
      </c>
      <c r="F1219" s="549" t="s">
        <v>1212</v>
      </c>
      <c r="G1219" s="549">
        <v>262</v>
      </c>
      <c r="H1219" s="549" t="s">
        <v>673</v>
      </c>
      <c r="I1219" s="549" t="s">
        <v>976</v>
      </c>
      <c r="J1219" s="549" t="s">
        <v>976</v>
      </c>
      <c r="K1219" s="549" t="s">
        <v>976</v>
      </c>
      <c r="L1219" s="549">
        <v>468423.45</v>
      </c>
      <c r="M1219" s="549">
        <v>35365.97</v>
      </c>
      <c r="N1219" s="549">
        <v>10352.16</v>
      </c>
      <c r="O1219" s="549">
        <v>3968</v>
      </c>
      <c r="P1219" s="549">
        <v>100</v>
      </c>
      <c r="Q1219" s="549">
        <v>49686.13</v>
      </c>
    </row>
    <row r="1220" spans="1:17" x14ac:dyDescent="0.25">
      <c r="A1220" s="549" t="s">
        <v>1003</v>
      </c>
      <c r="B1220" s="549" t="s">
        <v>1004</v>
      </c>
      <c r="C1220" s="549" t="s">
        <v>673</v>
      </c>
      <c r="D1220" s="549" t="s">
        <v>674</v>
      </c>
      <c r="E1220" s="549" t="s">
        <v>977</v>
      </c>
      <c r="F1220" s="549" t="s">
        <v>1212</v>
      </c>
      <c r="G1220" s="549">
        <v>272</v>
      </c>
      <c r="H1220" s="549" t="s">
        <v>673</v>
      </c>
      <c r="I1220" s="549" t="s">
        <v>976</v>
      </c>
      <c r="J1220" s="549" t="s">
        <v>976</v>
      </c>
      <c r="K1220" s="549" t="s">
        <v>976</v>
      </c>
      <c r="L1220" s="549">
        <v>229622.76</v>
      </c>
      <c r="M1220" s="549">
        <v>17336.52</v>
      </c>
      <c r="N1220" s="549">
        <v>5074.66</v>
      </c>
      <c r="O1220" s="549">
        <v>1984</v>
      </c>
      <c r="P1220" s="549">
        <v>100</v>
      </c>
      <c r="Q1220" s="549">
        <v>24395.18</v>
      </c>
    </row>
    <row r="1221" spans="1:17" x14ac:dyDescent="0.25">
      <c r="A1221" s="549" t="s">
        <v>1003</v>
      </c>
      <c r="B1221" s="549" t="s">
        <v>1004</v>
      </c>
      <c r="C1221" s="549" t="s">
        <v>673</v>
      </c>
      <c r="D1221" s="549" t="s">
        <v>674</v>
      </c>
      <c r="E1221" s="549" t="s">
        <v>977</v>
      </c>
      <c r="F1221" s="549" t="s">
        <v>1212</v>
      </c>
      <c r="G1221" s="549">
        <v>292</v>
      </c>
      <c r="H1221" s="549" t="s">
        <v>673</v>
      </c>
      <c r="I1221" s="549" t="s">
        <v>976</v>
      </c>
      <c r="J1221" s="549" t="s">
        <v>976</v>
      </c>
      <c r="K1221" s="549" t="s">
        <v>976</v>
      </c>
      <c r="L1221" s="549">
        <v>358701.66</v>
      </c>
      <c r="M1221" s="549">
        <v>27081.98</v>
      </c>
      <c r="N1221" s="549">
        <v>7927.31</v>
      </c>
      <c r="O1221" s="549">
        <v>3968</v>
      </c>
      <c r="P1221" s="549">
        <v>100</v>
      </c>
      <c r="Q1221" s="549">
        <v>38977.29</v>
      </c>
    </row>
    <row r="1222" spans="1:17" x14ac:dyDescent="0.25">
      <c r="A1222" s="549" t="s">
        <v>1003</v>
      </c>
      <c r="B1222" s="549" t="s">
        <v>1004</v>
      </c>
      <c r="C1222" s="549" t="s">
        <v>673</v>
      </c>
      <c r="D1222" s="549" t="s">
        <v>674</v>
      </c>
      <c r="E1222" s="549" t="s">
        <v>977</v>
      </c>
      <c r="F1222" s="549" t="s">
        <v>1212</v>
      </c>
      <c r="G1222" s="549" t="s">
        <v>1300</v>
      </c>
      <c r="H1222" s="549" t="s">
        <v>673</v>
      </c>
      <c r="I1222" s="549" t="s">
        <v>976</v>
      </c>
      <c r="J1222" s="549" t="s">
        <v>976</v>
      </c>
      <c r="K1222" s="549" t="s">
        <v>976</v>
      </c>
      <c r="L1222" s="549">
        <v>0.02</v>
      </c>
      <c r="M1222" s="549">
        <v>0</v>
      </c>
      <c r="N1222" s="549">
        <v>0</v>
      </c>
      <c r="O1222" s="549">
        <v>1984</v>
      </c>
      <c r="P1222" s="549">
        <v>100</v>
      </c>
      <c r="Q1222" s="549">
        <v>1984</v>
      </c>
    </row>
    <row r="1223" spans="1:17" x14ac:dyDescent="0.25">
      <c r="A1223" s="549" t="s">
        <v>1003</v>
      </c>
      <c r="B1223" s="549" t="s">
        <v>1004</v>
      </c>
      <c r="C1223" s="549" t="s">
        <v>673</v>
      </c>
      <c r="D1223" s="549" t="s">
        <v>674</v>
      </c>
      <c r="E1223" s="549" t="s">
        <v>977</v>
      </c>
      <c r="F1223" s="549" t="s">
        <v>1212</v>
      </c>
      <c r="G1223" s="549" t="s">
        <v>1301</v>
      </c>
      <c r="H1223" s="549" t="s">
        <v>673</v>
      </c>
      <c r="I1223" s="549" t="s">
        <v>976</v>
      </c>
      <c r="J1223" s="549" t="s">
        <v>976</v>
      </c>
      <c r="K1223" s="549" t="s">
        <v>976</v>
      </c>
      <c r="L1223" s="549">
        <v>36040.339999999997</v>
      </c>
      <c r="M1223" s="549">
        <v>2721.05</v>
      </c>
      <c r="N1223" s="549">
        <v>796.49</v>
      </c>
      <c r="O1223" s="549">
        <v>1984</v>
      </c>
      <c r="P1223" s="549">
        <v>100</v>
      </c>
      <c r="Q1223" s="549">
        <v>5501.54</v>
      </c>
    </row>
    <row r="1224" spans="1:17" x14ac:dyDescent="0.25">
      <c r="A1224" s="549" t="s">
        <v>1003</v>
      </c>
      <c r="B1224" s="549" t="s">
        <v>1004</v>
      </c>
      <c r="C1224" s="549" t="s">
        <v>673</v>
      </c>
      <c r="D1224" s="549" t="s">
        <v>674</v>
      </c>
      <c r="E1224" s="549" t="s">
        <v>977</v>
      </c>
      <c r="F1224" s="549" t="s">
        <v>1212</v>
      </c>
      <c r="G1224" s="549" t="s">
        <v>1302</v>
      </c>
      <c r="H1224" s="549" t="s">
        <v>673</v>
      </c>
      <c r="I1224" s="549" t="s">
        <v>976</v>
      </c>
      <c r="J1224" s="549" t="s">
        <v>976</v>
      </c>
      <c r="K1224" s="549" t="s">
        <v>976</v>
      </c>
      <c r="L1224" s="549">
        <v>36040.339999999997</v>
      </c>
      <c r="M1224" s="549">
        <v>2721.05</v>
      </c>
      <c r="N1224" s="549">
        <v>796.49</v>
      </c>
      <c r="O1224" s="549">
        <v>1984</v>
      </c>
      <c r="P1224" s="549">
        <v>100</v>
      </c>
      <c r="Q1224" s="549">
        <v>5501.54</v>
      </c>
    </row>
    <row r="1225" spans="1:17" x14ac:dyDescent="0.25">
      <c r="A1225" s="549" t="s">
        <v>1003</v>
      </c>
      <c r="B1225" s="549" t="s">
        <v>1004</v>
      </c>
      <c r="C1225" s="549" t="s">
        <v>673</v>
      </c>
      <c r="D1225" s="549" t="s">
        <v>674</v>
      </c>
      <c r="E1225" s="549" t="s">
        <v>977</v>
      </c>
      <c r="F1225" s="549" t="s">
        <v>1212</v>
      </c>
      <c r="G1225" s="549" t="s">
        <v>1303</v>
      </c>
      <c r="H1225" s="549" t="s">
        <v>673</v>
      </c>
      <c r="I1225" s="549" t="s">
        <v>976</v>
      </c>
      <c r="J1225" s="549" t="s">
        <v>976</v>
      </c>
      <c r="K1225" s="549" t="s">
        <v>976</v>
      </c>
      <c r="L1225" s="549">
        <v>108121.03</v>
      </c>
      <c r="M1225" s="549">
        <v>8163.14</v>
      </c>
      <c r="N1225" s="549">
        <v>2389.4699999999998</v>
      </c>
      <c r="O1225" s="549">
        <v>1984</v>
      </c>
      <c r="P1225" s="549">
        <v>100</v>
      </c>
      <c r="Q1225" s="549">
        <v>12536.61</v>
      </c>
    </row>
    <row r="1226" spans="1:17" x14ac:dyDescent="0.25">
      <c r="A1226" s="549" t="s">
        <v>1003</v>
      </c>
      <c r="B1226" s="549" t="s">
        <v>1004</v>
      </c>
      <c r="C1226" s="549" t="s">
        <v>673</v>
      </c>
      <c r="D1226" s="549" t="s">
        <v>674</v>
      </c>
      <c r="E1226" s="549" t="s">
        <v>977</v>
      </c>
      <c r="F1226" s="549" t="s">
        <v>1212</v>
      </c>
      <c r="G1226" s="549" t="s">
        <v>1304</v>
      </c>
      <c r="H1226" s="549" t="s">
        <v>673</v>
      </c>
      <c r="I1226" s="549" t="s">
        <v>976</v>
      </c>
      <c r="J1226" s="549" t="s">
        <v>976</v>
      </c>
      <c r="K1226" s="549" t="s">
        <v>976</v>
      </c>
      <c r="L1226" s="549">
        <v>44863.55</v>
      </c>
      <c r="M1226" s="549">
        <v>3387.2</v>
      </c>
      <c r="N1226" s="549">
        <v>991.48</v>
      </c>
      <c r="O1226" s="549">
        <v>0</v>
      </c>
      <c r="P1226" s="549">
        <v>100</v>
      </c>
      <c r="Q1226" s="549">
        <v>4378.68</v>
      </c>
    </row>
    <row r="1227" spans="1:17" x14ac:dyDescent="0.25">
      <c r="A1227" s="549" t="s">
        <v>1003</v>
      </c>
      <c r="B1227" s="549" t="s">
        <v>1004</v>
      </c>
      <c r="C1227" s="549" t="s">
        <v>673</v>
      </c>
      <c r="D1227" s="549" t="s">
        <v>674</v>
      </c>
      <c r="E1227" s="549" t="s">
        <v>977</v>
      </c>
      <c r="F1227" s="549" t="s">
        <v>1212</v>
      </c>
      <c r="G1227" s="549" t="s">
        <v>1305</v>
      </c>
      <c r="H1227" s="549" t="s">
        <v>673</v>
      </c>
      <c r="I1227" s="549" t="s">
        <v>976</v>
      </c>
      <c r="J1227" s="549" t="s">
        <v>976</v>
      </c>
      <c r="K1227" s="549" t="s">
        <v>976</v>
      </c>
      <c r="L1227" s="549">
        <v>44863.55</v>
      </c>
      <c r="M1227" s="549">
        <v>3387.2</v>
      </c>
      <c r="N1227" s="549">
        <v>991.48</v>
      </c>
      <c r="O1227" s="549">
        <v>0</v>
      </c>
      <c r="P1227" s="549">
        <v>100</v>
      </c>
      <c r="Q1227" s="549">
        <v>4378.68</v>
      </c>
    </row>
    <row r="1228" spans="1:17" x14ac:dyDescent="0.25">
      <c r="A1228" s="549" t="s">
        <v>1003</v>
      </c>
      <c r="B1228" s="549" t="s">
        <v>1004</v>
      </c>
      <c r="C1228" s="549" t="s">
        <v>673</v>
      </c>
      <c r="D1228" s="549" t="s">
        <v>674</v>
      </c>
      <c r="E1228" s="549" t="s">
        <v>977</v>
      </c>
      <c r="F1228" s="549" t="s">
        <v>1212</v>
      </c>
      <c r="G1228" s="549" t="s">
        <v>1306</v>
      </c>
      <c r="H1228" s="549" t="s">
        <v>673</v>
      </c>
      <c r="I1228" s="549" t="s">
        <v>976</v>
      </c>
      <c r="J1228" s="549" t="s">
        <v>976</v>
      </c>
      <c r="K1228" s="549" t="s">
        <v>976</v>
      </c>
      <c r="L1228" s="549">
        <v>40372.370000000003</v>
      </c>
      <c r="M1228" s="549">
        <v>3048.11</v>
      </c>
      <c r="N1228" s="549">
        <v>892.23</v>
      </c>
      <c r="O1228" s="549">
        <v>0</v>
      </c>
      <c r="P1228" s="549">
        <v>100</v>
      </c>
      <c r="Q1228" s="549">
        <v>3940.34</v>
      </c>
    </row>
    <row r="1229" spans="1:17" x14ac:dyDescent="0.25">
      <c r="A1229" s="549" t="s">
        <v>1003</v>
      </c>
      <c r="B1229" s="549" t="s">
        <v>1004</v>
      </c>
      <c r="C1229" s="549" t="s">
        <v>673</v>
      </c>
      <c r="D1229" s="549" t="s">
        <v>674</v>
      </c>
      <c r="E1229" s="549" t="s">
        <v>977</v>
      </c>
      <c r="F1229" s="549" t="s">
        <v>1212</v>
      </c>
      <c r="G1229" s="549" t="s">
        <v>1224</v>
      </c>
      <c r="H1229" s="549" t="s">
        <v>673</v>
      </c>
      <c r="I1229" s="549" t="s">
        <v>976</v>
      </c>
      <c r="J1229" s="549" t="s">
        <v>976</v>
      </c>
      <c r="K1229" s="549" t="s">
        <v>976</v>
      </c>
      <c r="L1229" s="549">
        <v>40372.370000000003</v>
      </c>
      <c r="M1229" s="549">
        <v>3048.11</v>
      </c>
      <c r="N1229" s="549">
        <v>892.23</v>
      </c>
      <c r="O1229" s="549">
        <v>0</v>
      </c>
      <c r="P1229" s="549">
        <v>100</v>
      </c>
      <c r="Q1229" s="549">
        <v>3940.34</v>
      </c>
    </row>
    <row r="1230" spans="1:17" x14ac:dyDescent="0.25">
      <c r="A1230" s="549" t="s">
        <v>1003</v>
      </c>
      <c r="B1230" s="549" t="s">
        <v>1004</v>
      </c>
      <c r="C1230" s="549" t="s">
        <v>673</v>
      </c>
      <c r="D1230" s="549" t="s">
        <v>674</v>
      </c>
      <c r="E1230" s="549" t="s">
        <v>977</v>
      </c>
      <c r="F1230" s="549" t="s">
        <v>1212</v>
      </c>
      <c r="G1230" s="549" t="s">
        <v>1307</v>
      </c>
      <c r="H1230" s="549" t="s">
        <v>673</v>
      </c>
      <c r="I1230" s="549" t="s">
        <v>976</v>
      </c>
      <c r="J1230" s="549" t="s">
        <v>976</v>
      </c>
      <c r="K1230" s="549" t="s">
        <v>976</v>
      </c>
      <c r="L1230" s="549">
        <v>49288.68</v>
      </c>
      <c r="M1230" s="549">
        <v>3721.3</v>
      </c>
      <c r="N1230" s="549">
        <v>1089.28</v>
      </c>
      <c r="O1230" s="549">
        <v>0</v>
      </c>
      <c r="P1230" s="549">
        <v>100</v>
      </c>
      <c r="Q1230" s="549">
        <v>4810.58</v>
      </c>
    </row>
    <row r="1231" spans="1:17" x14ac:dyDescent="0.25">
      <c r="A1231" s="549" t="s">
        <v>1003</v>
      </c>
      <c r="B1231" s="549" t="s">
        <v>1004</v>
      </c>
      <c r="C1231" s="549" t="s">
        <v>673</v>
      </c>
      <c r="D1231" s="549" t="s">
        <v>674</v>
      </c>
      <c r="E1231" s="549" t="s">
        <v>977</v>
      </c>
      <c r="F1231" s="549" t="s">
        <v>1212</v>
      </c>
      <c r="G1231" s="549" t="s">
        <v>1308</v>
      </c>
      <c r="H1231" s="549" t="s">
        <v>673</v>
      </c>
      <c r="I1231" s="549" t="s">
        <v>976</v>
      </c>
      <c r="J1231" s="549" t="s">
        <v>976</v>
      </c>
      <c r="K1231" s="549" t="s">
        <v>976</v>
      </c>
      <c r="L1231" s="549">
        <v>49288.68</v>
      </c>
      <c r="M1231" s="549">
        <v>3721.3</v>
      </c>
      <c r="N1231" s="549">
        <v>1089.28</v>
      </c>
      <c r="O1231" s="549">
        <v>0</v>
      </c>
      <c r="P1231" s="549">
        <v>100</v>
      </c>
      <c r="Q1231" s="549">
        <v>4810.58</v>
      </c>
    </row>
    <row r="1232" spans="1:17" x14ac:dyDescent="0.25">
      <c r="A1232" s="549" t="s">
        <v>1003</v>
      </c>
      <c r="B1232" s="549" t="s">
        <v>1004</v>
      </c>
      <c r="C1232" s="549" t="s">
        <v>673</v>
      </c>
      <c r="D1232" s="549" t="s">
        <v>674</v>
      </c>
      <c r="E1232" s="549" t="s">
        <v>977</v>
      </c>
      <c r="F1232" s="549" t="s">
        <v>1212</v>
      </c>
      <c r="G1232" s="549">
        <v>112</v>
      </c>
      <c r="H1232" s="549" t="s">
        <v>520</v>
      </c>
      <c r="I1232" s="549" t="s">
        <v>976</v>
      </c>
      <c r="J1232" s="549" t="s">
        <v>976</v>
      </c>
      <c r="K1232" s="549" t="s">
        <v>976</v>
      </c>
      <c r="L1232" s="549">
        <v>509625.72</v>
      </c>
      <c r="M1232" s="549">
        <v>38476.74</v>
      </c>
      <c r="N1232" s="549">
        <v>11262.73</v>
      </c>
      <c r="O1232" s="549">
        <v>3968</v>
      </c>
      <c r="P1232" s="549">
        <v>100</v>
      </c>
      <c r="Q1232" s="549">
        <v>53707.47</v>
      </c>
    </row>
    <row r="1233" spans="1:17" x14ac:dyDescent="0.25">
      <c r="A1233" s="549" t="s">
        <v>1003</v>
      </c>
      <c r="B1233" s="549" t="s">
        <v>1004</v>
      </c>
      <c r="C1233" s="549" t="s">
        <v>673</v>
      </c>
      <c r="D1233" s="549" t="s">
        <v>674</v>
      </c>
      <c r="E1233" s="549" t="s">
        <v>977</v>
      </c>
      <c r="F1233" s="549" t="s">
        <v>1212</v>
      </c>
      <c r="G1233" s="549">
        <v>712</v>
      </c>
      <c r="H1233" s="549" t="s">
        <v>520</v>
      </c>
      <c r="I1233" s="549" t="s">
        <v>976</v>
      </c>
      <c r="J1233" s="549" t="s">
        <v>976</v>
      </c>
      <c r="K1233" s="549" t="s">
        <v>976</v>
      </c>
      <c r="L1233" s="549">
        <v>509625.72</v>
      </c>
      <c r="M1233" s="549">
        <v>38476.74</v>
      </c>
      <c r="N1233" s="549">
        <v>11262.73</v>
      </c>
      <c r="O1233" s="549">
        <v>3968</v>
      </c>
      <c r="P1233" s="549">
        <v>100</v>
      </c>
      <c r="Q1233" s="549">
        <v>53707.47</v>
      </c>
    </row>
    <row r="1234" spans="1:17" x14ac:dyDescent="0.25">
      <c r="A1234" s="549" t="s">
        <v>1003</v>
      </c>
      <c r="B1234" s="549" t="s">
        <v>1004</v>
      </c>
      <c r="C1234" s="549" t="s">
        <v>520</v>
      </c>
      <c r="D1234" s="549" t="s">
        <v>670</v>
      </c>
      <c r="E1234" s="549" t="s">
        <v>977</v>
      </c>
      <c r="F1234" s="549" t="s">
        <v>1212</v>
      </c>
      <c r="G1234" s="549">
        <v>23</v>
      </c>
      <c r="H1234" s="549" t="s">
        <v>520</v>
      </c>
      <c r="I1234" s="549" t="s">
        <v>976</v>
      </c>
      <c r="J1234" s="549" t="s">
        <v>976</v>
      </c>
      <c r="K1234" s="549" t="s">
        <v>976</v>
      </c>
      <c r="L1234" s="549">
        <v>49105.88</v>
      </c>
      <c r="M1234" s="549">
        <v>3707.49</v>
      </c>
      <c r="N1234" s="549">
        <v>1085.24</v>
      </c>
      <c r="O1234" s="549">
        <v>992</v>
      </c>
      <c r="P1234" s="549">
        <v>100</v>
      </c>
      <c r="Q1234" s="549">
        <v>5784.73</v>
      </c>
    </row>
    <row r="1235" spans="1:17" x14ac:dyDescent="0.25">
      <c r="A1235" s="549" t="s">
        <v>1003</v>
      </c>
      <c r="B1235" s="549" t="s">
        <v>1004</v>
      </c>
      <c r="C1235" s="549" t="s">
        <v>520</v>
      </c>
      <c r="D1235" s="549" t="s">
        <v>670</v>
      </c>
      <c r="E1235" s="549" t="s">
        <v>977</v>
      </c>
      <c r="F1235" s="549" t="s">
        <v>1212</v>
      </c>
      <c r="G1235" s="549">
        <v>24</v>
      </c>
      <c r="H1235" s="549" t="s">
        <v>520</v>
      </c>
      <c r="I1235" s="549" t="s">
        <v>976</v>
      </c>
      <c r="J1235" s="549" t="s">
        <v>976</v>
      </c>
      <c r="K1235" s="549" t="s">
        <v>976</v>
      </c>
      <c r="L1235" s="549">
        <v>49105.88</v>
      </c>
      <c r="M1235" s="549">
        <v>3707.49</v>
      </c>
      <c r="N1235" s="549">
        <v>1085.24</v>
      </c>
      <c r="O1235" s="549">
        <v>992</v>
      </c>
      <c r="P1235" s="549">
        <v>100</v>
      </c>
      <c r="Q1235" s="549">
        <v>5784.73</v>
      </c>
    </row>
    <row r="1236" spans="1:17" x14ac:dyDescent="0.25">
      <c r="A1236" s="549" t="s">
        <v>1003</v>
      </c>
      <c r="B1236" s="549" t="s">
        <v>1004</v>
      </c>
      <c r="C1236" s="549" t="s">
        <v>520</v>
      </c>
      <c r="D1236" s="549" t="s">
        <v>670</v>
      </c>
      <c r="E1236" s="549" t="s">
        <v>977</v>
      </c>
      <c r="F1236" s="549" t="s">
        <v>1212</v>
      </c>
      <c r="G1236" s="549">
        <v>132</v>
      </c>
      <c r="H1236" s="549" t="s">
        <v>520</v>
      </c>
      <c r="I1236" s="549" t="s">
        <v>976</v>
      </c>
      <c r="J1236" s="549" t="s">
        <v>976</v>
      </c>
      <c r="K1236" s="549" t="s">
        <v>976</v>
      </c>
      <c r="L1236" s="549">
        <v>347493.52</v>
      </c>
      <c r="M1236" s="549">
        <v>26235.759999999998</v>
      </c>
      <c r="N1236" s="549">
        <v>7679.61</v>
      </c>
      <c r="O1236" s="549">
        <v>1984</v>
      </c>
      <c r="P1236" s="549">
        <v>100</v>
      </c>
      <c r="Q1236" s="549">
        <v>35899.370000000003</v>
      </c>
    </row>
    <row r="1237" spans="1:17" x14ac:dyDescent="0.25">
      <c r="A1237" s="549" t="s">
        <v>1003</v>
      </c>
      <c r="B1237" s="549" t="s">
        <v>1004</v>
      </c>
      <c r="C1237" s="549" t="s">
        <v>520</v>
      </c>
      <c r="D1237" s="549" t="s">
        <v>670</v>
      </c>
      <c r="E1237" s="549" t="s">
        <v>977</v>
      </c>
      <c r="F1237" s="549" t="s">
        <v>1212</v>
      </c>
      <c r="G1237" s="549" t="s">
        <v>1309</v>
      </c>
      <c r="H1237" s="549" t="s">
        <v>520</v>
      </c>
      <c r="I1237" s="549" t="s">
        <v>976</v>
      </c>
      <c r="J1237" s="549" t="s">
        <v>976</v>
      </c>
      <c r="K1237" s="549" t="s">
        <v>976</v>
      </c>
      <c r="L1237" s="549">
        <v>31410.32</v>
      </c>
      <c r="M1237" s="549">
        <v>2371.48</v>
      </c>
      <c r="N1237" s="549">
        <v>694.17</v>
      </c>
      <c r="O1237" s="549">
        <v>0</v>
      </c>
      <c r="P1237" s="549">
        <v>100</v>
      </c>
      <c r="Q1237" s="549">
        <v>3065.65</v>
      </c>
    </row>
    <row r="1238" spans="1:17" x14ac:dyDescent="0.25">
      <c r="A1238" s="549" t="s">
        <v>1003</v>
      </c>
      <c r="B1238" s="549" t="s">
        <v>1004</v>
      </c>
      <c r="C1238" s="549" t="s">
        <v>671</v>
      </c>
      <c r="D1238" s="549" t="s">
        <v>672</v>
      </c>
      <c r="E1238" s="549" t="s">
        <v>973</v>
      </c>
      <c r="F1238" s="549" t="s">
        <v>1212</v>
      </c>
      <c r="G1238" s="549">
        <v>122</v>
      </c>
      <c r="H1238" s="549" t="s">
        <v>520</v>
      </c>
      <c r="I1238" s="549" t="s">
        <v>976</v>
      </c>
      <c r="J1238" s="549" t="s">
        <v>976</v>
      </c>
      <c r="K1238" s="549" t="s">
        <v>976</v>
      </c>
      <c r="L1238" s="549">
        <v>347493.52</v>
      </c>
      <c r="M1238" s="549">
        <v>26235.759999999998</v>
      </c>
      <c r="N1238" s="549">
        <v>19946.13</v>
      </c>
      <c r="O1238" s="549">
        <v>3968</v>
      </c>
      <c r="P1238" s="549">
        <v>13.33</v>
      </c>
      <c r="Q1238" s="549">
        <v>6684.98</v>
      </c>
    </row>
    <row r="1239" spans="1:17" x14ac:dyDescent="0.25">
      <c r="A1239" s="549" t="s">
        <v>1003</v>
      </c>
      <c r="B1239" s="549" t="s">
        <v>1004</v>
      </c>
      <c r="C1239" s="549" t="s">
        <v>671</v>
      </c>
      <c r="D1239" s="549" t="s">
        <v>672</v>
      </c>
      <c r="E1239" s="549" t="s">
        <v>973</v>
      </c>
      <c r="F1239" s="549" t="s">
        <v>1212</v>
      </c>
      <c r="G1239" s="549">
        <v>172</v>
      </c>
      <c r="H1239" s="549" t="s">
        <v>520</v>
      </c>
      <c r="I1239" s="549" t="s">
        <v>976</v>
      </c>
      <c r="J1239" s="549" t="s">
        <v>976</v>
      </c>
      <c r="K1239" s="549" t="s">
        <v>976</v>
      </c>
      <c r="L1239" s="549">
        <v>347493.52</v>
      </c>
      <c r="M1239" s="549">
        <v>26235.759999999998</v>
      </c>
      <c r="N1239" s="549">
        <v>19946.13</v>
      </c>
      <c r="O1239" s="549">
        <v>3968</v>
      </c>
      <c r="P1239" s="549">
        <v>13.33</v>
      </c>
      <c r="Q1239" s="549">
        <v>6684.98</v>
      </c>
    </row>
    <row r="1240" spans="1:17" x14ac:dyDescent="0.25">
      <c r="A1240" s="549" t="s">
        <v>1003</v>
      </c>
      <c r="B1240" s="549" t="s">
        <v>1004</v>
      </c>
      <c r="C1240" s="549" t="s">
        <v>671</v>
      </c>
      <c r="D1240" s="549" t="s">
        <v>672</v>
      </c>
      <c r="E1240" s="549" t="s">
        <v>973</v>
      </c>
      <c r="F1240" s="549" t="s">
        <v>1212</v>
      </c>
      <c r="G1240" s="549">
        <v>2</v>
      </c>
      <c r="H1240" s="549" t="s">
        <v>671</v>
      </c>
      <c r="I1240" s="549" t="s">
        <v>976</v>
      </c>
      <c r="J1240" s="549" t="s">
        <v>976</v>
      </c>
      <c r="K1240" s="549" t="s">
        <v>976</v>
      </c>
      <c r="L1240" s="549">
        <v>74255.3</v>
      </c>
      <c r="M1240" s="549">
        <v>5606.28</v>
      </c>
      <c r="N1240" s="549">
        <v>4262.25</v>
      </c>
      <c r="O1240" s="549">
        <v>992</v>
      </c>
      <c r="P1240" s="549">
        <v>13.33</v>
      </c>
      <c r="Q1240" s="549">
        <v>1447.71</v>
      </c>
    </row>
    <row r="1241" spans="1:17" x14ac:dyDescent="0.25">
      <c r="A1241" s="549" t="s">
        <v>1003</v>
      </c>
      <c r="B1241" s="549" t="s">
        <v>1004</v>
      </c>
      <c r="C1241" s="549" t="s">
        <v>671</v>
      </c>
      <c r="D1241" s="549" t="s">
        <v>672</v>
      </c>
      <c r="E1241" s="549" t="s">
        <v>973</v>
      </c>
      <c r="F1241" s="549" t="s">
        <v>1212</v>
      </c>
      <c r="G1241" s="549">
        <v>11</v>
      </c>
      <c r="H1241" s="549" t="s">
        <v>671</v>
      </c>
      <c r="I1241" s="549" t="s">
        <v>1310</v>
      </c>
      <c r="J1241" s="549" t="s">
        <v>1310</v>
      </c>
      <c r="K1241" s="549" t="s">
        <v>1310</v>
      </c>
      <c r="L1241" s="549">
        <v>0.02</v>
      </c>
      <c r="M1241" s="549">
        <v>0</v>
      </c>
      <c r="N1241" s="549">
        <v>0</v>
      </c>
      <c r="O1241" s="549">
        <v>0</v>
      </c>
      <c r="P1241" s="549">
        <v>13.33</v>
      </c>
      <c r="Q1241" s="549">
        <v>0</v>
      </c>
    </row>
    <row r="1242" spans="1:17" x14ac:dyDescent="0.25">
      <c r="A1242" s="549" t="s">
        <v>1003</v>
      </c>
      <c r="B1242" s="549" t="s">
        <v>1004</v>
      </c>
      <c r="C1242" s="549" t="s">
        <v>671</v>
      </c>
      <c r="D1242" s="549" t="s">
        <v>672</v>
      </c>
      <c r="E1242" s="549" t="s">
        <v>973</v>
      </c>
      <c r="F1242" s="549" t="s">
        <v>1212</v>
      </c>
      <c r="G1242" s="549">
        <v>13</v>
      </c>
      <c r="H1242" s="549" t="s">
        <v>671</v>
      </c>
      <c r="I1242" s="549" t="s">
        <v>976</v>
      </c>
      <c r="J1242" s="549" t="s">
        <v>976</v>
      </c>
      <c r="K1242" s="549" t="s">
        <v>976</v>
      </c>
      <c r="L1242" s="549">
        <v>74255.3</v>
      </c>
      <c r="M1242" s="549">
        <v>5606.28</v>
      </c>
      <c r="N1242" s="549">
        <v>4262.25</v>
      </c>
      <c r="O1242" s="549">
        <v>992</v>
      </c>
      <c r="P1242" s="549">
        <v>13.33</v>
      </c>
      <c r="Q1242" s="549">
        <v>1447.71</v>
      </c>
    </row>
    <row r="1243" spans="1:17" x14ac:dyDescent="0.25">
      <c r="A1243" s="549" t="s">
        <v>1003</v>
      </c>
      <c r="B1243" s="549" t="s">
        <v>1004</v>
      </c>
      <c r="C1243" s="549" t="s">
        <v>671</v>
      </c>
      <c r="D1243" s="549" t="s">
        <v>672</v>
      </c>
      <c r="E1243" s="549" t="s">
        <v>973</v>
      </c>
      <c r="F1243" s="549" t="s">
        <v>1212</v>
      </c>
      <c r="G1243" s="549">
        <v>37</v>
      </c>
      <c r="H1243" s="549" t="s">
        <v>671</v>
      </c>
      <c r="I1243" s="549" t="s">
        <v>976</v>
      </c>
      <c r="J1243" s="549" t="s">
        <v>976</v>
      </c>
      <c r="K1243" s="549" t="s">
        <v>976</v>
      </c>
      <c r="L1243" s="549">
        <v>78531.14</v>
      </c>
      <c r="M1243" s="549">
        <v>5929.1</v>
      </c>
      <c r="N1243" s="549">
        <v>4507.6899999999996</v>
      </c>
      <c r="O1243" s="549">
        <v>992</v>
      </c>
      <c r="P1243" s="549">
        <v>13.33</v>
      </c>
      <c r="Q1243" s="549">
        <v>1523.46</v>
      </c>
    </row>
    <row r="1244" spans="1:17" x14ac:dyDescent="0.25">
      <c r="A1244" s="549" t="s">
        <v>1003</v>
      </c>
      <c r="B1244" s="549" t="s">
        <v>1004</v>
      </c>
      <c r="C1244" s="549" t="s">
        <v>671</v>
      </c>
      <c r="D1244" s="549" t="s">
        <v>672</v>
      </c>
      <c r="E1244" s="549" t="s">
        <v>973</v>
      </c>
      <c r="F1244" s="549" t="s">
        <v>1212</v>
      </c>
      <c r="G1244" s="549">
        <v>38</v>
      </c>
      <c r="H1244" s="549" t="s">
        <v>671</v>
      </c>
      <c r="I1244" s="549" t="s">
        <v>976</v>
      </c>
      <c r="J1244" s="549" t="s">
        <v>976</v>
      </c>
      <c r="K1244" s="549" t="s">
        <v>976</v>
      </c>
      <c r="L1244" s="549">
        <v>75965.64</v>
      </c>
      <c r="M1244" s="549">
        <v>5735.41</v>
      </c>
      <c r="N1244" s="549">
        <v>4360.43</v>
      </c>
      <c r="O1244" s="549">
        <v>992</v>
      </c>
      <c r="P1244" s="549">
        <v>13.33</v>
      </c>
      <c r="Q1244" s="549">
        <v>1478.01</v>
      </c>
    </row>
    <row r="1245" spans="1:17" x14ac:dyDescent="0.25">
      <c r="A1245" s="549" t="s">
        <v>1003</v>
      </c>
      <c r="B1245" s="549" t="s">
        <v>1004</v>
      </c>
      <c r="C1245" s="549" t="s">
        <v>671</v>
      </c>
      <c r="D1245" s="549" t="s">
        <v>672</v>
      </c>
      <c r="E1245" s="549" t="s">
        <v>973</v>
      </c>
      <c r="F1245" s="549" t="s">
        <v>1212</v>
      </c>
      <c r="G1245" s="549">
        <v>39</v>
      </c>
      <c r="H1245" s="549" t="s">
        <v>671</v>
      </c>
      <c r="I1245" s="549" t="s">
        <v>976</v>
      </c>
      <c r="J1245" s="549" t="s">
        <v>976</v>
      </c>
      <c r="K1245" s="549" t="s">
        <v>976</v>
      </c>
      <c r="L1245" s="549">
        <v>78531.14</v>
      </c>
      <c r="M1245" s="549">
        <v>5929.1</v>
      </c>
      <c r="N1245" s="549">
        <v>4507.6899999999996</v>
      </c>
      <c r="O1245" s="549">
        <v>992</v>
      </c>
      <c r="P1245" s="549">
        <v>13.33</v>
      </c>
      <c r="Q1245" s="549">
        <v>1523.46</v>
      </c>
    </row>
    <row r="1246" spans="1:17" x14ac:dyDescent="0.25">
      <c r="A1246" s="549" t="s">
        <v>1003</v>
      </c>
      <c r="B1246" s="549" t="s">
        <v>1004</v>
      </c>
      <c r="C1246" s="549" t="s">
        <v>671</v>
      </c>
      <c r="D1246" s="549" t="s">
        <v>672</v>
      </c>
      <c r="E1246" s="549" t="s">
        <v>973</v>
      </c>
      <c r="F1246" s="549" t="s">
        <v>1212</v>
      </c>
      <c r="G1246" s="549">
        <v>112</v>
      </c>
      <c r="H1246" s="549" t="s">
        <v>671</v>
      </c>
      <c r="I1246" s="549" t="s">
        <v>976</v>
      </c>
      <c r="J1246" s="549" t="s">
        <v>976</v>
      </c>
      <c r="K1246" s="549" t="s">
        <v>976</v>
      </c>
      <c r="L1246" s="549">
        <v>431100.46</v>
      </c>
      <c r="M1246" s="549">
        <v>32548.080000000002</v>
      </c>
      <c r="N1246" s="549">
        <v>24745.17</v>
      </c>
      <c r="O1246" s="549">
        <v>3968</v>
      </c>
      <c r="P1246" s="549">
        <v>13.33</v>
      </c>
      <c r="Q1246" s="549">
        <v>8166.12</v>
      </c>
    </row>
    <row r="1247" spans="1:17" x14ac:dyDescent="0.25">
      <c r="A1247" s="549" t="s">
        <v>1003</v>
      </c>
      <c r="B1247" s="549" t="s">
        <v>1004</v>
      </c>
      <c r="C1247" s="549" t="s">
        <v>671</v>
      </c>
      <c r="D1247" s="549" t="s">
        <v>672</v>
      </c>
      <c r="E1247" s="549" t="s">
        <v>973</v>
      </c>
      <c r="F1247" s="549" t="s">
        <v>1212</v>
      </c>
      <c r="G1247" s="549">
        <v>192</v>
      </c>
      <c r="H1247" s="549" t="s">
        <v>671</v>
      </c>
      <c r="I1247" s="549" t="s">
        <v>976</v>
      </c>
      <c r="J1247" s="549" t="s">
        <v>976</v>
      </c>
      <c r="K1247" s="549" t="s">
        <v>976</v>
      </c>
      <c r="L1247" s="549">
        <v>431100.46</v>
      </c>
      <c r="M1247" s="549">
        <v>32548.080000000002</v>
      </c>
      <c r="N1247" s="549">
        <v>24745.17</v>
      </c>
      <c r="O1247" s="549">
        <v>3968</v>
      </c>
      <c r="P1247" s="549">
        <v>13.33</v>
      </c>
      <c r="Q1247" s="549">
        <v>8166.12</v>
      </c>
    </row>
    <row r="1248" spans="1:17" x14ac:dyDescent="0.25">
      <c r="A1248" s="549" t="s">
        <v>1003</v>
      </c>
      <c r="B1248" s="549" t="s">
        <v>1004</v>
      </c>
      <c r="C1248" s="549" t="s">
        <v>671</v>
      </c>
      <c r="D1248" s="549" t="s">
        <v>672</v>
      </c>
      <c r="E1248" s="549" t="s">
        <v>973</v>
      </c>
      <c r="F1248" s="549" t="s">
        <v>1212</v>
      </c>
      <c r="G1248" s="549" t="s">
        <v>1309</v>
      </c>
      <c r="H1248" s="549" t="s">
        <v>671</v>
      </c>
      <c r="I1248" s="549" t="s">
        <v>976</v>
      </c>
      <c r="J1248" s="549" t="s">
        <v>976</v>
      </c>
      <c r="K1248" s="549" t="s">
        <v>976</v>
      </c>
      <c r="L1248" s="549">
        <v>31410.32</v>
      </c>
      <c r="M1248" s="549">
        <v>2371.48</v>
      </c>
      <c r="N1248" s="549">
        <v>1802.95</v>
      </c>
      <c r="O1248" s="549">
        <v>0</v>
      </c>
      <c r="P1248" s="549">
        <v>13.33</v>
      </c>
      <c r="Q1248" s="549">
        <v>556.45000000000005</v>
      </c>
    </row>
    <row r="1249" spans="1:17" x14ac:dyDescent="0.25">
      <c r="A1249" s="549" t="s">
        <v>1003</v>
      </c>
      <c r="B1249" s="549" t="s">
        <v>1004</v>
      </c>
      <c r="C1249" s="549" t="s">
        <v>671</v>
      </c>
      <c r="D1249" s="549" t="s">
        <v>672</v>
      </c>
      <c r="E1249" s="549" t="s">
        <v>973</v>
      </c>
      <c r="F1249" s="549" t="s">
        <v>1212</v>
      </c>
      <c r="G1249" s="549" t="s">
        <v>1238</v>
      </c>
      <c r="H1249" s="549" t="s">
        <v>671</v>
      </c>
      <c r="I1249" s="549" t="s">
        <v>976</v>
      </c>
      <c r="J1249" s="549" t="s">
        <v>976</v>
      </c>
      <c r="K1249" s="549" t="s">
        <v>976</v>
      </c>
      <c r="L1249" s="549">
        <v>31410.32</v>
      </c>
      <c r="M1249" s="549">
        <v>2371.48</v>
      </c>
      <c r="N1249" s="549">
        <v>1802.95</v>
      </c>
      <c r="O1249" s="549">
        <v>0</v>
      </c>
      <c r="P1249" s="549">
        <v>13.33</v>
      </c>
      <c r="Q1249" s="549">
        <v>556.45000000000005</v>
      </c>
    </row>
    <row r="1250" spans="1:17" x14ac:dyDescent="0.25">
      <c r="A1250" s="549" t="s">
        <v>1003</v>
      </c>
      <c r="B1250" s="549" t="s">
        <v>1004</v>
      </c>
      <c r="C1250" s="549" t="s">
        <v>671</v>
      </c>
      <c r="D1250" s="549" t="s">
        <v>672</v>
      </c>
      <c r="E1250" s="549" t="s">
        <v>973</v>
      </c>
      <c r="F1250" s="549" t="s">
        <v>1212</v>
      </c>
      <c r="G1250" s="549" t="s">
        <v>1223</v>
      </c>
      <c r="H1250" s="549" t="s">
        <v>671</v>
      </c>
      <c r="I1250" s="549" t="s">
        <v>976</v>
      </c>
      <c r="J1250" s="549" t="s">
        <v>976</v>
      </c>
      <c r="K1250" s="549" t="s">
        <v>976</v>
      </c>
      <c r="L1250" s="549">
        <v>49288.68</v>
      </c>
      <c r="M1250" s="549">
        <v>3721.3</v>
      </c>
      <c r="N1250" s="549">
        <v>2829.17</v>
      </c>
      <c r="O1250" s="549">
        <v>0</v>
      </c>
      <c r="P1250" s="549">
        <v>13.33</v>
      </c>
      <c r="Q1250" s="549">
        <v>873.18</v>
      </c>
    </row>
    <row r="1251" spans="1:17" x14ac:dyDescent="0.25">
      <c r="A1251" s="549" t="s">
        <v>1003</v>
      </c>
      <c r="B1251" s="549" t="s">
        <v>1004</v>
      </c>
      <c r="C1251" s="549" t="s">
        <v>671</v>
      </c>
      <c r="D1251" s="549" t="s">
        <v>672</v>
      </c>
      <c r="E1251" s="549" t="s">
        <v>973</v>
      </c>
      <c r="F1251" s="549" t="s">
        <v>1212</v>
      </c>
      <c r="G1251" s="549" t="s">
        <v>1311</v>
      </c>
      <c r="H1251" s="549" t="s">
        <v>671</v>
      </c>
      <c r="I1251" s="549" t="s">
        <v>976</v>
      </c>
      <c r="J1251" s="549" t="s">
        <v>976</v>
      </c>
      <c r="K1251" s="549" t="s">
        <v>976</v>
      </c>
      <c r="L1251" s="549">
        <v>49288.68</v>
      </c>
      <c r="M1251" s="549">
        <v>3721.3</v>
      </c>
      <c r="N1251" s="549">
        <v>2829.17</v>
      </c>
      <c r="O1251" s="549">
        <v>0</v>
      </c>
      <c r="P1251" s="549">
        <v>13.33</v>
      </c>
      <c r="Q1251" s="549">
        <v>873.18</v>
      </c>
    </row>
    <row r="1252" spans="1:17" x14ac:dyDescent="0.25">
      <c r="A1252" s="549" t="s">
        <v>1003</v>
      </c>
      <c r="B1252" s="549" t="s">
        <v>1004</v>
      </c>
      <c r="C1252" s="549" t="s">
        <v>671</v>
      </c>
      <c r="D1252" s="549" t="s">
        <v>672</v>
      </c>
      <c r="E1252" s="549" t="s">
        <v>977</v>
      </c>
      <c r="F1252" s="549" t="s">
        <v>1212</v>
      </c>
      <c r="G1252" s="549">
        <v>122</v>
      </c>
      <c r="H1252" s="549" t="s">
        <v>520</v>
      </c>
      <c r="I1252" s="549" t="s">
        <v>976</v>
      </c>
      <c r="J1252" s="549" t="s">
        <v>976</v>
      </c>
      <c r="K1252" s="549" t="s">
        <v>976</v>
      </c>
      <c r="L1252" s="549">
        <v>347493.52</v>
      </c>
      <c r="M1252" s="549">
        <v>26235.759999999998</v>
      </c>
      <c r="N1252" s="549">
        <v>7679.61</v>
      </c>
      <c r="O1252" s="549">
        <v>3968</v>
      </c>
      <c r="P1252" s="549">
        <v>86.67</v>
      </c>
      <c r="Q1252" s="549">
        <v>32833.519999999997</v>
      </c>
    </row>
    <row r="1253" spans="1:17" x14ac:dyDescent="0.25">
      <c r="A1253" s="549" t="s">
        <v>1003</v>
      </c>
      <c r="B1253" s="549" t="s">
        <v>1004</v>
      </c>
      <c r="C1253" s="549" t="s">
        <v>671</v>
      </c>
      <c r="D1253" s="549" t="s">
        <v>672</v>
      </c>
      <c r="E1253" s="549" t="s">
        <v>977</v>
      </c>
      <c r="F1253" s="549" t="s">
        <v>1212</v>
      </c>
      <c r="G1253" s="549">
        <v>172</v>
      </c>
      <c r="H1253" s="549" t="s">
        <v>520</v>
      </c>
      <c r="I1253" s="549" t="s">
        <v>976</v>
      </c>
      <c r="J1253" s="549" t="s">
        <v>976</v>
      </c>
      <c r="K1253" s="549" t="s">
        <v>976</v>
      </c>
      <c r="L1253" s="549">
        <v>347493.52</v>
      </c>
      <c r="M1253" s="549">
        <v>26235.759999999998</v>
      </c>
      <c r="N1253" s="549">
        <v>7679.61</v>
      </c>
      <c r="O1253" s="549">
        <v>3968</v>
      </c>
      <c r="P1253" s="549">
        <v>86.67</v>
      </c>
      <c r="Q1253" s="549">
        <v>32833.519999999997</v>
      </c>
    </row>
    <row r="1254" spans="1:17" x14ac:dyDescent="0.25">
      <c r="A1254" s="549" t="s">
        <v>1003</v>
      </c>
      <c r="B1254" s="549" t="s">
        <v>1004</v>
      </c>
      <c r="C1254" s="549" t="s">
        <v>671</v>
      </c>
      <c r="D1254" s="549" t="s">
        <v>672</v>
      </c>
      <c r="E1254" s="549" t="s">
        <v>977</v>
      </c>
      <c r="F1254" s="549" t="s">
        <v>1212</v>
      </c>
      <c r="G1254" s="549">
        <v>2</v>
      </c>
      <c r="H1254" s="549" t="s">
        <v>671</v>
      </c>
      <c r="I1254" s="549" t="s">
        <v>976</v>
      </c>
      <c r="J1254" s="549" t="s">
        <v>976</v>
      </c>
      <c r="K1254" s="549" t="s">
        <v>976</v>
      </c>
      <c r="L1254" s="549">
        <v>74255.3</v>
      </c>
      <c r="M1254" s="549">
        <v>5606.28</v>
      </c>
      <c r="N1254" s="549">
        <v>1641.04</v>
      </c>
      <c r="O1254" s="549">
        <v>992</v>
      </c>
      <c r="P1254" s="549">
        <v>86.67</v>
      </c>
      <c r="Q1254" s="549">
        <v>7141.02</v>
      </c>
    </row>
    <row r="1255" spans="1:17" x14ac:dyDescent="0.25">
      <c r="A1255" s="549" t="s">
        <v>1003</v>
      </c>
      <c r="B1255" s="549" t="s">
        <v>1004</v>
      </c>
      <c r="C1255" s="549" t="s">
        <v>671</v>
      </c>
      <c r="D1255" s="549" t="s">
        <v>672</v>
      </c>
      <c r="E1255" s="549" t="s">
        <v>977</v>
      </c>
      <c r="F1255" s="549" t="s">
        <v>1212</v>
      </c>
      <c r="G1255" s="549">
        <v>11</v>
      </c>
      <c r="H1255" s="549" t="s">
        <v>671</v>
      </c>
      <c r="I1255" s="549" t="s">
        <v>1310</v>
      </c>
      <c r="J1255" s="549" t="s">
        <v>1310</v>
      </c>
      <c r="K1255" s="549" t="s">
        <v>1310</v>
      </c>
      <c r="L1255" s="549">
        <v>0.02</v>
      </c>
      <c r="M1255" s="549">
        <v>0</v>
      </c>
      <c r="N1255" s="549">
        <v>0</v>
      </c>
      <c r="O1255" s="549">
        <v>0</v>
      </c>
      <c r="P1255" s="549">
        <v>86.67</v>
      </c>
      <c r="Q1255" s="549">
        <v>0</v>
      </c>
    </row>
    <row r="1256" spans="1:17" x14ac:dyDescent="0.25">
      <c r="A1256" s="549" t="s">
        <v>1003</v>
      </c>
      <c r="B1256" s="549" t="s">
        <v>1004</v>
      </c>
      <c r="C1256" s="549" t="s">
        <v>671</v>
      </c>
      <c r="D1256" s="549" t="s">
        <v>672</v>
      </c>
      <c r="E1256" s="549" t="s">
        <v>977</v>
      </c>
      <c r="F1256" s="549" t="s">
        <v>1212</v>
      </c>
      <c r="G1256" s="549">
        <v>13</v>
      </c>
      <c r="H1256" s="549" t="s">
        <v>671</v>
      </c>
      <c r="I1256" s="549" t="s">
        <v>976</v>
      </c>
      <c r="J1256" s="549" t="s">
        <v>976</v>
      </c>
      <c r="K1256" s="549" t="s">
        <v>976</v>
      </c>
      <c r="L1256" s="549">
        <v>74255.3</v>
      </c>
      <c r="M1256" s="549">
        <v>5606.28</v>
      </c>
      <c r="N1256" s="549">
        <v>1641.04</v>
      </c>
      <c r="O1256" s="549">
        <v>992</v>
      </c>
      <c r="P1256" s="549">
        <v>86.67</v>
      </c>
      <c r="Q1256" s="549">
        <v>7141.02</v>
      </c>
    </row>
    <row r="1257" spans="1:17" x14ac:dyDescent="0.25">
      <c r="A1257" s="549" t="s">
        <v>1003</v>
      </c>
      <c r="B1257" s="549" t="s">
        <v>1004</v>
      </c>
      <c r="C1257" s="549" t="s">
        <v>671</v>
      </c>
      <c r="D1257" s="549" t="s">
        <v>672</v>
      </c>
      <c r="E1257" s="549" t="s">
        <v>977</v>
      </c>
      <c r="F1257" s="549" t="s">
        <v>1212</v>
      </c>
      <c r="G1257" s="549">
        <v>37</v>
      </c>
      <c r="H1257" s="549" t="s">
        <v>671</v>
      </c>
      <c r="I1257" s="549" t="s">
        <v>976</v>
      </c>
      <c r="J1257" s="549" t="s">
        <v>976</v>
      </c>
      <c r="K1257" s="549" t="s">
        <v>976</v>
      </c>
      <c r="L1257" s="549">
        <v>78531.14</v>
      </c>
      <c r="M1257" s="549">
        <v>5929.1</v>
      </c>
      <c r="N1257" s="549">
        <v>1735.54</v>
      </c>
      <c r="O1257" s="549">
        <v>992</v>
      </c>
      <c r="P1257" s="549">
        <v>86.67</v>
      </c>
      <c r="Q1257" s="549">
        <v>7502.71</v>
      </c>
    </row>
    <row r="1258" spans="1:17" x14ac:dyDescent="0.25">
      <c r="A1258" s="549" t="s">
        <v>1003</v>
      </c>
      <c r="B1258" s="549" t="s">
        <v>1004</v>
      </c>
      <c r="C1258" s="549" t="s">
        <v>671</v>
      </c>
      <c r="D1258" s="549" t="s">
        <v>672</v>
      </c>
      <c r="E1258" s="549" t="s">
        <v>977</v>
      </c>
      <c r="F1258" s="549" t="s">
        <v>1212</v>
      </c>
      <c r="G1258" s="549">
        <v>38</v>
      </c>
      <c r="H1258" s="549" t="s">
        <v>671</v>
      </c>
      <c r="I1258" s="549" t="s">
        <v>976</v>
      </c>
      <c r="J1258" s="549" t="s">
        <v>976</v>
      </c>
      <c r="K1258" s="549" t="s">
        <v>976</v>
      </c>
      <c r="L1258" s="549">
        <v>75965.64</v>
      </c>
      <c r="M1258" s="549">
        <v>5735.41</v>
      </c>
      <c r="N1258" s="549">
        <v>1678.84</v>
      </c>
      <c r="O1258" s="549">
        <v>992</v>
      </c>
      <c r="P1258" s="549">
        <v>86.67</v>
      </c>
      <c r="Q1258" s="549">
        <v>7285.7</v>
      </c>
    </row>
    <row r="1259" spans="1:17" x14ac:dyDescent="0.25">
      <c r="A1259" s="549" t="s">
        <v>1003</v>
      </c>
      <c r="B1259" s="549" t="s">
        <v>1004</v>
      </c>
      <c r="C1259" s="549" t="s">
        <v>671</v>
      </c>
      <c r="D1259" s="549" t="s">
        <v>672</v>
      </c>
      <c r="E1259" s="549" t="s">
        <v>977</v>
      </c>
      <c r="F1259" s="549" t="s">
        <v>1212</v>
      </c>
      <c r="G1259" s="549">
        <v>39</v>
      </c>
      <c r="H1259" s="549" t="s">
        <v>671</v>
      </c>
      <c r="I1259" s="549" t="s">
        <v>976</v>
      </c>
      <c r="J1259" s="549" t="s">
        <v>976</v>
      </c>
      <c r="K1259" s="549" t="s">
        <v>976</v>
      </c>
      <c r="L1259" s="549">
        <v>78531.14</v>
      </c>
      <c r="M1259" s="549">
        <v>5929.1</v>
      </c>
      <c r="N1259" s="549">
        <v>1735.54</v>
      </c>
      <c r="O1259" s="549">
        <v>992</v>
      </c>
      <c r="P1259" s="549">
        <v>86.67</v>
      </c>
      <c r="Q1259" s="549">
        <v>7502.71</v>
      </c>
    </row>
    <row r="1260" spans="1:17" x14ac:dyDescent="0.25">
      <c r="A1260" s="549" t="s">
        <v>1003</v>
      </c>
      <c r="B1260" s="549" t="s">
        <v>1004</v>
      </c>
      <c r="C1260" s="549" t="s">
        <v>671</v>
      </c>
      <c r="D1260" s="549" t="s">
        <v>672</v>
      </c>
      <c r="E1260" s="549" t="s">
        <v>977</v>
      </c>
      <c r="F1260" s="549" t="s">
        <v>1212</v>
      </c>
      <c r="G1260" s="549">
        <v>112</v>
      </c>
      <c r="H1260" s="549" t="s">
        <v>671</v>
      </c>
      <c r="I1260" s="549" t="s">
        <v>976</v>
      </c>
      <c r="J1260" s="549" t="s">
        <v>976</v>
      </c>
      <c r="K1260" s="549" t="s">
        <v>976</v>
      </c>
      <c r="L1260" s="549">
        <v>431100.46</v>
      </c>
      <c r="M1260" s="549">
        <v>32548.080000000002</v>
      </c>
      <c r="N1260" s="549">
        <v>9527.32</v>
      </c>
      <c r="O1260" s="549">
        <v>3968</v>
      </c>
      <c r="P1260" s="549">
        <v>86.67</v>
      </c>
      <c r="Q1260" s="549">
        <v>39905.81</v>
      </c>
    </row>
    <row r="1261" spans="1:17" x14ac:dyDescent="0.25">
      <c r="A1261" s="549" t="s">
        <v>1003</v>
      </c>
      <c r="B1261" s="549" t="s">
        <v>1004</v>
      </c>
      <c r="C1261" s="549" t="s">
        <v>671</v>
      </c>
      <c r="D1261" s="549" t="s">
        <v>672</v>
      </c>
      <c r="E1261" s="549" t="s">
        <v>977</v>
      </c>
      <c r="F1261" s="549" t="s">
        <v>1212</v>
      </c>
      <c r="G1261" s="549">
        <v>192</v>
      </c>
      <c r="H1261" s="549" t="s">
        <v>671</v>
      </c>
      <c r="I1261" s="549" t="s">
        <v>976</v>
      </c>
      <c r="J1261" s="549" t="s">
        <v>976</v>
      </c>
      <c r="K1261" s="549" t="s">
        <v>976</v>
      </c>
      <c r="L1261" s="549">
        <v>431100.46</v>
      </c>
      <c r="M1261" s="549">
        <v>32548.080000000002</v>
      </c>
      <c r="N1261" s="549">
        <v>9527.32</v>
      </c>
      <c r="O1261" s="549">
        <v>3968</v>
      </c>
      <c r="P1261" s="549">
        <v>86.67</v>
      </c>
      <c r="Q1261" s="549">
        <v>39905.81</v>
      </c>
    </row>
    <row r="1262" spans="1:17" x14ac:dyDescent="0.25">
      <c r="A1262" s="549" t="s">
        <v>1003</v>
      </c>
      <c r="B1262" s="549" t="s">
        <v>1004</v>
      </c>
      <c r="C1262" s="549" t="s">
        <v>671</v>
      </c>
      <c r="D1262" s="549" t="s">
        <v>672</v>
      </c>
      <c r="E1262" s="549" t="s">
        <v>977</v>
      </c>
      <c r="F1262" s="549" t="s">
        <v>1212</v>
      </c>
      <c r="G1262" s="549" t="s">
        <v>1309</v>
      </c>
      <c r="H1262" s="549" t="s">
        <v>671</v>
      </c>
      <c r="I1262" s="549" t="s">
        <v>976</v>
      </c>
      <c r="J1262" s="549" t="s">
        <v>976</v>
      </c>
      <c r="K1262" s="549" t="s">
        <v>976</v>
      </c>
      <c r="L1262" s="549">
        <v>31410.32</v>
      </c>
      <c r="M1262" s="549">
        <v>2371.48</v>
      </c>
      <c r="N1262" s="549">
        <v>694.17</v>
      </c>
      <c r="O1262" s="549">
        <v>0</v>
      </c>
      <c r="P1262" s="549">
        <v>86.67</v>
      </c>
      <c r="Q1262" s="549">
        <v>2657</v>
      </c>
    </row>
    <row r="1263" spans="1:17" x14ac:dyDescent="0.25">
      <c r="A1263" s="549" t="s">
        <v>1003</v>
      </c>
      <c r="B1263" s="549" t="s">
        <v>1004</v>
      </c>
      <c r="C1263" s="549" t="s">
        <v>671</v>
      </c>
      <c r="D1263" s="549" t="s">
        <v>672</v>
      </c>
      <c r="E1263" s="549" t="s">
        <v>977</v>
      </c>
      <c r="F1263" s="549" t="s">
        <v>1212</v>
      </c>
      <c r="G1263" s="549" t="s">
        <v>1238</v>
      </c>
      <c r="H1263" s="549" t="s">
        <v>671</v>
      </c>
      <c r="I1263" s="549" t="s">
        <v>976</v>
      </c>
      <c r="J1263" s="549" t="s">
        <v>976</v>
      </c>
      <c r="K1263" s="549" t="s">
        <v>976</v>
      </c>
      <c r="L1263" s="549">
        <v>31410.32</v>
      </c>
      <c r="M1263" s="549">
        <v>2371.48</v>
      </c>
      <c r="N1263" s="549">
        <v>694.17</v>
      </c>
      <c r="O1263" s="549">
        <v>0</v>
      </c>
      <c r="P1263" s="549">
        <v>86.67</v>
      </c>
      <c r="Q1263" s="549">
        <v>2657</v>
      </c>
    </row>
    <row r="1264" spans="1:17" x14ac:dyDescent="0.25">
      <c r="A1264" s="549" t="s">
        <v>1003</v>
      </c>
      <c r="B1264" s="549" t="s">
        <v>1004</v>
      </c>
      <c r="C1264" s="549" t="s">
        <v>671</v>
      </c>
      <c r="D1264" s="549" t="s">
        <v>672</v>
      </c>
      <c r="E1264" s="549" t="s">
        <v>977</v>
      </c>
      <c r="F1264" s="549" t="s">
        <v>1212</v>
      </c>
      <c r="G1264" s="549" t="s">
        <v>1223</v>
      </c>
      <c r="H1264" s="549" t="s">
        <v>671</v>
      </c>
      <c r="I1264" s="549" t="s">
        <v>976</v>
      </c>
      <c r="J1264" s="549" t="s">
        <v>976</v>
      </c>
      <c r="K1264" s="549" t="s">
        <v>976</v>
      </c>
      <c r="L1264" s="549">
        <v>49288.68</v>
      </c>
      <c r="M1264" s="549">
        <v>3721.3</v>
      </c>
      <c r="N1264" s="549">
        <v>1089.28</v>
      </c>
      <c r="O1264" s="549">
        <v>0</v>
      </c>
      <c r="P1264" s="549">
        <v>86.67</v>
      </c>
      <c r="Q1264" s="549">
        <v>4169.33</v>
      </c>
    </row>
    <row r="1265" spans="1:17" x14ac:dyDescent="0.25">
      <c r="A1265" s="549" t="s">
        <v>1003</v>
      </c>
      <c r="B1265" s="549" t="s">
        <v>1004</v>
      </c>
      <c r="C1265" s="549" t="s">
        <v>671</v>
      </c>
      <c r="D1265" s="549" t="s">
        <v>672</v>
      </c>
      <c r="E1265" s="549" t="s">
        <v>977</v>
      </c>
      <c r="F1265" s="549" t="s">
        <v>1212</v>
      </c>
      <c r="G1265" s="549" t="s">
        <v>1311</v>
      </c>
      <c r="H1265" s="549" t="s">
        <v>671</v>
      </c>
      <c r="I1265" s="549" t="s">
        <v>976</v>
      </c>
      <c r="J1265" s="549" t="s">
        <v>976</v>
      </c>
      <c r="K1265" s="549" t="s">
        <v>976</v>
      </c>
      <c r="L1265" s="549">
        <v>49288.68</v>
      </c>
      <c r="M1265" s="549">
        <v>3721.3</v>
      </c>
      <c r="N1265" s="549">
        <v>1089.28</v>
      </c>
      <c r="O1265" s="549">
        <v>0</v>
      </c>
      <c r="P1265" s="549">
        <v>86.67</v>
      </c>
      <c r="Q1265" s="549">
        <v>4169.33</v>
      </c>
    </row>
    <row r="1266" spans="1:17" x14ac:dyDescent="0.25">
      <c r="A1266" s="549" t="s">
        <v>1014</v>
      </c>
      <c r="B1266" s="549" t="s">
        <v>1015</v>
      </c>
      <c r="C1266" s="549" t="s">
        <v>805</v>
      </c>
      <c r="D1266" s="549" t="s">
        <v>806</v>
      </c>
      <c r="E1266" s="549" t="s">
        <v>973</v>
      </c>
      <c r="F1266" s="549" t="s">
        <v>1212</v>
      </c>
      <c r="G1266" s="549">
        <v>102</v>
      </c>
      <c r="H1266" s="549" t="s">
        <v>805</v>
      </c>
      <c r="I1266" s="549" t="s">
        <v>976</v>
      </c>
      <c r="J1266" s="549" t="s">
        <v>976</v>
      </c>
      <c r="K1266" s="549" t="s">
        <v>976</v>
      </c>
      <c r="L1266" s="549">
        <v>491340.3</v>
      </c>
      <c r="M1266" s="549">
        <v>37096.19</v>
      </c>
      <c r="N1266" s="549">
        <v>28202.93</v>
      </c>
      <c r="O1266" s="549">
        <v>3968</v>
      </c>
      <c r="P1266" s="549">
        <v>0</v>
      </c>
      <c r="Q1266" s="549">
        <v>0</v>
      </c>
    </row>
    <row r="1267" spans="1:17" x14ac:dyDescent="0.25">
      <c r="A1267" s="549" t="s">
        <v>1007</v>
      </c>
      <c r="B1267" s="549" t="s">
        <v>1008</v>
      </c>
      <c r="C1267" s="549" t="s">
        <v>658</v>
      </c>
      <c r="D1267" s="549" t="s">
        <v>659</v>
      </c>
      <c r="E1267" s="549" t="s">
        <v>977</v>
      </c>
      <c r="F1267" s="549" t="s">
        <v>1212</v>
      </c>
      <c r="G1267" s="549">
        <v>82</v>
      </c>
      <c r="H1267" s="549" t="s">
        <v>660</v>
      </c>
      <c r="I1267" s="549" t="s">
        <v>976</v>
      </c>
      <c r="J1267" s="549" t="s">
        <v>976</v>
      </c>
      <c r="K1267" s="549" t="s">
        <v>976</v>
      </c>
      <c r="L1267" s="549">
        <v>431100.46</v>
      </c>
      <c r="M1267" s="549">
        <v>32548.080000000002</v>
      </c>
      <c r="N1267" s="549">
        <v>9527.32</v>
      </c>
      <c r="O1267" s="549">
        <v>3968</v>
      </c>
      <c r="P1267" s="549">
        <v>4.21</v>
      </c>
      <c r="Q1267" s="549">
        <v>1938.43</v>
      </c>
    </row>
    <row r="1268" spans="1:17" x14ac:dyDescent="0.25">
      <c r="A1268" s="549" t="s">
        <v>1007</v>
      </c>
      <c r="B1268" s="549" t="s">
        <v>1008</v>
      </c>
      <c r="C1268" s="549" t="s">
        <v>658</v>
      </c>
      <c r="D1268" s="549" t="s">
        <v>659</v>
      </c>
      <c r="E1268" s="549" t="s">
        <v>977</v>
      </c>
      <c r="F1268" s="549" t="s">
        <v>1212</v>
      </c>
      <c r="G1268" s="549">
        <v>102</v>
      </c>
      <c r="H1268" s="549" t="s">
        <v>660</v>
      </c>
      <c r="I1268" s="549" t="s">
        <v>976</v>
      </c>
      <c r="J1268" s="549" t="s">
        <v>976</v>
      </c>
      <c r="K1268" s="549" t="s">
        <v>976</v>
      </c>
      <c r="L1268" s="549">
        <v>431100.46</v>
      </c>
      <c r="M1268" s="549">
        <v>32548.080000000002</v>
      </c>
      <c r="N1268" s="549">
        <v>9527.32</v>
      </c>
      <c r="O1268" s="549">
        <v>3968</v>
      </c>
      <c r="P1268" s="549">
        <v>4.21</v>
      </c>
      <c r="Q1268" s="549">
        <v>1938.43</v>
      </c>
    </row>
    <row r="1269" spans="1:17" x14ac:dyDescent="0.25">
      <c r="A1269" s="549" t="s">
        <v>1007</v>
      </c>
      <c r="B1269" s="549" t="s">
        <v>1008</v>
      </c>
      <c r="C1269" s="549" t="s">
        <v>658</v>
      </c>
      <c r="D1269" s="549" t="s">
        <v>659</v>
      </c>
      <c r="E1269" s="549" t="s">
        <v>977</v>
      </c>
      <c r="F1269" s="549" t="s">
        <v>1212</v>
      </c>
      <c r="G1269" s="549">
        <v>252</v>
      </c>
      <c r="H1269" s="549" t="s">
        <v>660</v>
      </c>
      <c r="I1269" s="549" t="s">
        <v>976</v>
      </c>
      <c r="J1269" s="549" t="s">
        <v>976</v>
      </c>
      <c r="K1269" s="549" t="s">
        <v>976</v>
      </c>
      <c r="L1269" s="549">
        <v>386732.08</v>
      </c>
      <c r="M1269" s="549">
        <v>29198.27</v>
      </c>
      <c r="N1269" s="549">
        <v>8546.7800000000007</v>
      </c>
      <c r="O1269" s="549">
        <v>1984</v>
      </c>
      <c r="P1269" s="549">
        <v>1.47</v>
      </c>
      <c r="Q1269" s="549">
        <v>584.02</v>
      </c>
    </row>
    <row r="1270" spans="1:17" x14ac:dyDescent="0.25">
      <c r="A1270" s="549" t="s">
        <v>1007</v>
      </c>
      <c r="B1270" s="549" t="s">
        <v>1008</v>
      </c>
      <c r="C1270" s="549" t="s">
        <v>658</v>
      </c>
      <c r="D1270" s="549" t="s">
        <v>659</v>
      </c>
      <c r="E1270" s="549" t="s">
        <v>977</v>
      </c>
      <c r="F1270" s="549" t="s">
        <v>1212</v>
      </c>
      <c r="G1270" s="549">
        <v>312</v>
      </c>
      <c r="H1270" s="549" t="s">
        <v>660</v>
      </c>
      <c r="I1270" s="549" t="s">
        <v>976</v>
      </c>
      <c r="J1270" s="549" t="s">
        <v>976</v>
      </c>
      <c r="K1270" s="549" t="s">
        <v>976</v>
      </c>
      <c r="L1270" s="549">
        <v>386732.08</v>
      </c>
      <c r="M1270" s="549">
        <v>29198.27</v>
      </c>
      <c r="N1270" s="549">
        <v>8546.7800000000007</v>
      </c>
      <c r="O1270" s="549">
        <v>1984</v>
      </c>
      <c r="P1270" s="549">
        <v>1.47</v>
      </c>
      <c r="Q1270" s="549">
        <v>584.02</v>
      </c>
    </row>
    <row r="1271" spans="1:17" x14ac:dyDescent="0.25">
      <c r="A1271" s="549" t="s">
        <v>1007</v>
      </c>
      <c r="B1271" s="549" t="s">
        <v>1008</v>
      </c>
      <c r="C1271" s="549" t="s">
        <v>658</v>
      </c>
      <c r="D1271" s="549" t="s">
        <v>659</v>
      </c>
      <c r="E1271" s="549" t="s">
        <v>977</v>
      </c>
      <c r="F1271" s="549" t="s">
        <v>1212</v>
      </c>
      <c r="G1271" s="549">
        <v>1042</v>
      </c>
      <c r="H1271" s="549" t="s">
        <v>660</v>
      </c>
      <c r="I1271" s="549" t="s">
        <v>976</v>
      </c>
      <c r="J1271" s="549" t="s">
        <v>976</v>
      </c>
      <c r="K1271" s="549" t="s">
        <v>976</v>
      </c>
      <c r="L1271" s="549">
        <v>143586.46</v>
      </c>
      <c r="M1271" s="549">
        <v>10840.78</v>
      </c>
      <c r="N1271" s="549">
        <v>3173.26</v>
      </c>
      <c r="O1271" s="549">
        <v>1984</v>
      </c>
      <c r="P1271" s="549">
        <v>0</v>
      </c>
      <c r="Q1271" s="549">
        <v>0</v>
      </c>
    </row>
    <row r="1272" spans="1:17" x14ac:dyDescent="0.25">
      <c r="A1272" s="549" t="s">
        <v>1007</v>
      </c>
      <c r="B1272" s="549" t="s">
        <v>1008</v>
      </c>
      <c r="C1272" s="549" t="s">
        <v>658</v>
      </c>
      <c r="D1272" s="549" t="s">
        <v>659</v>
      </c>
      <c r="E1272" s="549" t="s">
        <v>977</v>
      </c>
      <c r="F1272" s="549" t="s">
        <v>1212</v>
      </c>
      <c r="G1272" s="549">
        <v>1082</v>
      </c>
      <c r="H1272" s="549" t="s">
        <v>660</v>
      </c>
      <c r="I1272" s="549" t="s">
        <v>976</v>
      </c>
      <c r="J1272" s="549" t="s">
        <v>976</v>
      </c>
      <c r="K1272" s="549" t="s">
        <v>976</v>
      </c>
      <c r="L1272" s="549">
        <v>143586.46</v>
      </c>
      <c r="M1272" s="549">
        <v>10840.78</v>
      </c>
      <c r="N1272" s="549">
        <v>3173.26</v>
      </c>
      <c r="O1272" s="549">
        <v>1984</v>
      </c>
      <c r="P1272" s="549">
        <v>0</v>
      </c>
      <c r="Q1272" s="549">
        <v>0</v>
      </c>
    </row>
    <row r="1273" spans="1:17" x14ac:dyDescent="0.25">
      <c r="A1273" s="549" t="s">
        <v>1007</v>
      </c>
      <c r="B1273" s="549" t="s">
        <v>1008</v>
      </c>
      <c r="C1273" s="549" t="s">
        <v>658</v>
      </c>
      <c r="D1273" s="549" t="s">
        <v>659</v>
      </c>
      <c r="E1273" s="549" t="s">
        <v>977</v>
      </c>
      <c r="F1273" s="549" t="s">
        <v>1212</v>
      </c>
      <c r="G1273" s="549" t="s">
        <v>1233</v>
      </c>
      <c r="H1273" s="549" t="s">
        <v>660</v>
      </c>
      <c r="I1273" s="549" t="s">
        <v>976</v>
      </c>
      <c r="J1273" s="549" t="s">
        <v>976</v>
      </c>
      <c r="K1273" s="549" t="s">
        <v>976</v>
      </c>
      <c r="L1273" s="549">
        <v>37101.199999999997</v>
      </c>
      <c r="M1273" s="549">
        <v>2801.14</v>
      </c>
      <c r="N1273" s="549">
        <v>819.94</v>
      </c>
      <c r="O1273" s="549">
        <v>1984</v>
      </c>
      <c r="P1273" s="549">
        <v>0</v>
      </c>
      <c r="Q1273" s="549">
        <v>0</v>
      </c>
    </row>
    <row r="1274" spans="1:17" x14ac:dyDescent="0.25">
      <c r="A1274" s="549" t="s">
        <v>1007</v>
      </c>
      <c r="B1274" s="549" t="s">
        <v>1008</v>
      </c>
      <c r="C1274" s="549" t="s">
        <v>658</v>
      </c>
      <c r="D1274" s="549" t="s">
        <v>659</v>
      </c>
      <c r="E1274" s="549" t="s">
        <v>977</v>
      </c>
      <c r="F1274" s="549" t="s">
        <v>1212</v>
      </c>
      <c r="G1274" s="549" t="s">
        <v>1220</v>
      </c>
      <c r="H1274" s="549" t="s">
        <v>660</v>
      </c>
      <c r="I1274" s="549" t="s">
        <v>976</v>
      </c>
      <c r="J1274" s="549" t="s">
        <v>976</v>
      </c>
      <c r="K1274" s="549" t="s">
        <v>976</v>
      </c>
      <c r="L1274" s="549">
        <v>19411.64</v>
      </c>
      <c r="M1274" s="549">
        <v>1465.58</v>
      </c>
      <c r="N1274" s="549">
        <v>429</v>
      </c>
      <c r="O1274" s="549">
        <v>0</v>
      </c>
      <c r="P1274" s="549">
        <v>0</v>
      </c>
      <c r="Q1274" s="549">
        <v>0</v>
      </c>
    </row>
    <row r="1275" spans="1:17" x14ac:dyDescent="0.25">
      <c r="A1275" s="549" t="s">
        <v>1007</v>
      </c>
      <c r="B1275" s="549" t="s">
        <v>1008</v>
      </c>
      <c r="C1275" s="549" t="s">
        <v>658</v>
      </c>
      <c r="D1275" s="549" t="s">
        <v>659</v>
      </c>
      <c r="E1275" s="549" t="s">
        <v>977</v>
      </c>
      <c r="F1275" s="549" t="s">
        <v>1212</v>
      </c>
      <c r="G1275" s="549" t="s">
        <v>1280</v>
      </c>
      <c r="H1275" s="549" t="s">
        <v>660</v>
      </c>
      <c r="I1275" s="549" t="s">
        <v>976</v>
      </c>
      <c r="J1275" s="549" t="s">
        <v>976</v>
      </c>
      <c r="K1275" s="549" t="s">
        <v>976</v>
      </c>
      <c r="L1275" s="549">
        <v>19411.64</v>
      </c>
      <c r="M1275" s="549">
        <v>1465.58</v>
      </c>
      <c r="N1275" s="549">
        <v>429</v>
      </c>
      <c r="O1275" s="549">
        <v>0</v>
      </c>
      <c r="P1275" s="549">
        <v>0</v>
      </c>
      <c r="Q1275" s="549">
        <v>0</v>
      </c>
    </row>
    <row r="1276" spans="1:17" x14ac:dyDescent="0.25">
      <c r="A1276" s="549" t="s">
        <v>1007</v>
      </c>
      <c r="B1276" s="549" t="s">
        <v>1008</v>
      </c>
      <c r="C1276" s="549" t="s">
        <v>658</v>
      </c>
      <c r="D1276" s="549" t="s">
        <v>659</v>
      </c>
      <c r="E1276" s="549" t="s">
        <v>977</v>
      </c>
      <c r="F1276" s="549" t="s">
        <v>1212</v>
      </c>
      <c r="G1276" s="549" t="s">
        <v>1281</v>
      </c>
      <c r="H1276" s="549" t="s">
        <v>660</v>
      </c>
      <c r="I1276" s="549" t="s">
        <v>976</v>
      </c>
      <c r="J1276" s="549" t="s">
        <v>976</v>
      </c>
      <c r="K1276" s="549" t="s">
        <v>976</v>
      </c>
      <c r="L1276" s="549">
        <v>49288.68</v>
      </c>
      <c r="M1276" s="549">
        <v>3721.3</v>
      </c>
      <c r="N1276" s="549">
        <v>1089.28</v>
      </c>
      <c r="O1276" s="549">
        <v>0</v>
      </c>
      <c r="P1276" s="549">
        <v>4.21</v>
      </c>
      <c r="Q1276" s="549">
        <v>202.53</v>
      </c>
    </row>
    <row r="1277" spans="1:17" x14ac:dyDescent="0.25">
      <c r="A1277" s="549" t="s">
        <v>1007</v>
      </c>
      <c r="B1277" s="549" t="s">
        <v>1008</v>
      </c>
      <c r="C1277" s="549" t="s">
        <v>658</v>
      </c>
      <c r="D1277" s="549" t="s">
        <v>659</v>
      </c>
      <c r="E1277" s="549" t="s">
        <v>977</v>
      </c>
      <c r="F1277" s="549" t="s">
        <v>1212</v>
      </c>
      <c r="G1277" s="549" t="s">
        <v>1253</v>
      </c>
      <c r="H1277" s="549" t="s">
        <v>660</v>
      </c>
      <c r="I1277" s="549" t="s">
        <v>976</v>
      </c>
      <c r="J1277" s="549" t="s">
        <v>976</v>
      </c>
      <c r="K1277" s="549" t="s">
        <v>976</v>
      </c>
      <c r="L1277" s="549">
        <v>49288.68</v>
      </c>
      <c r="M1277" s="549">
        <v>3721.3</v>
      </c>
      <c r="N1277" s="549">
        <v>1089.28</v>
      </c>
      <c r="O1277" s="549">
        <v>0</v>
      </c>
      <c r="P1277" s="549">
        <v>4.21</v>
      </c>
      <c r="Q1277" s="549">
        <v>202.53</v>
      </c>
    </row>
    <row r="1278" spans="1:17" x14ac:dyDescent="0.25">
      <c r="A1278" s="549" t="s">
        <v>1007</v>
      </c>
      <c r="B1278" s="549" t="s">
        <v>1008</v>
      </c>
      <c r="C1278" s="549" t="s">
        <v>658</v>
      </c>
      <c r="D1278" s="549" t="s">
        <v>659</v>
      </c>
      <c r="E1278" s="549" t="s">
        <v>977</v>
      </c>
      <c r="F1278" s="549" t="s">
        <v>1212</v>
      </c>
      <c r="G1278" s="549">
        <v>2852</v>
      </c>
      <c r="H1278" s="549" t="s">
        <v>658</v>
      </c>
      <c r="I1278" s="549" t="s">
        <v>976</v>
      </c>
      <c r="J1278" s="549" t="s">
        <v>976</v>
      </c>
      <c r="K1278" s="549" t="s">
        <v>976</v>
      </c>
      <c r="L1278" s="549">
        <v>99162.07</v>
      </c>
      <c r="M1278" s="549">
        <v>7486.74</v>
      </c>
      <c r="N1278" s="549">
        <v>2191.48</v>
      </c>
      <c r="O1278" s="549">
        <v>992</v>
      </c>
      <c r="P1278" s="549">
        <v>4.21</v>
      </c>
      <c r="Q1278" s="549">
        <v>449.22</v>
      </c>
    </row>
    <row r="1279" spans="1:17" x14ac:dyDescent="0.25">
      <c r="A1279" s="549" t="s">
        <v>1007</v>
      </c>
      <c r="B1279" s="549" t="s">
        <v>1008</v>
      </c>
      <c r="C1279" s="549" t="s">
        <v>658</v>
      </c>
      <c r="D1279" s="549" t="s">
        <v>659</v>
      </c>
      <c r="E1279" s="549" t="s">
        <v>977</v>
      </c>
      <c r="F1279" s="549" t="s">
        <v>1212</v>
      </c>
      <c r="G1279" s="549" t="s">
        <v>1286</v>
      </c>
      <c r="H1279" s="549" t="s">
        <v>658</v>
      </c>
      <c r="I1279" s="549" t="s">
        <v>976</v>
      </c>
      <c r="J1279" s="549" t="s">
        <v>976</v>
      </c>
      <c r="K1279" s="549" t="s">
        <v>976</v>
      </c>
      <c r="L1279" s="549">
        <v>153631.99</v>
      </c>
      <c r="M1279" s="549">
        <v>11599.22</v>
      </c>
      <c r="N1279" s="549">
        <v>3395.27</v>
      </c>
      <c r="O1279" s="549">
        <v>992</v>
      </c>
      <c r="P1279" s="549">
        <v>4.21</v>
      </c>
      <c r="Q1279" s="549">
        <v>673.03</v>
      </c>
    </row>
    <row r="1280" spans="1:17" x14ac:dyDescent="0.25">
      <c r="A1280" s="549" t="s">
        <v>1007</v>
      </c>
      <c r="B1280" s="549" t="s">
        <v>1008</v>
      </c>
      <c r="C1280" s="549" t="s">
        <v>658</v>
      </c>
      <c r="D1280" s="549" t="s">
        <v>659</v>
      </c>
      <c r="E1280" s="549" t="s">
        <v>977</v>
      </c>
      <c r="F1280" s="549" t="s">
        <v>1212</v>
      </c>
      <c r="G1280" s="549" t="s">
        <v>1287</v>
      </c>
      <c r="H1280" s="549" t="s">
        <v>658</v>
      </c>
      <c r="I1280" s="549" t="s">
        <v>976</v>
      </c>
      <c r="J1280" s="549" t="s">
        <v>976</v>
      </c>
      <c r="K1280" s="549" t="s">
        <v>976</v>
      </c>
      <c r="L1280" s="549">
        <v>153631.99</v>
      </c>
      <c r="M1280" s="549">
        <v>11599.22</v>
      </c>
      <c r="N1280" s="549">
        <v>3395.27</v>
      </c>
      <c r="O1280" s="549">
        <v>992</v>
      </c>
      <c r="P1280" s="549">
        <v>4.21</v>
      </c>
      <c r="Q1280" s="549">
        <v>673.03</v>
      </c>
    </row>
    <row r="1281" spans="1:17" x14ac:dyDescent="0.25">
      <c r="A1281" s="549" t="s">
        <v>1007</v>
      </c>
      <c r="B1281" s="549" t="s">
        <v>1008</v>
      </c>
      <c r="C1281" s="549" t="s">
        <v>658</v>
      </c>
      <c r="D1281" s="549" t="s">
        <v>659</v>
      </c>
      <c r="E1281" s="549" t="s">
        <v>977</v>
      </c>
      <c r="F1281" s="549" t="s">
        <v>1212</v>
      </c>
      <c r="G1281" s="549" t="s">
        <v>1250</v>
      </c>
      <c r="H1281" s="549" t="s">
        <v>658</v>
      </c>
      <c r="I1281" s="549" t="s">
        <v>976</v>
      </c>
      <c r="J1281" s="549" t="s">
        <v>976</v>
      </c>
      <c r="K1281" s="549" t="s">
        <v>976</v>
      </c>
      <c r="L1281" s="549">
        <v>49288.68</v>
      </c>
      <c r="M1281" s="549">
        <v>3721.3</v>
      </c>
      <c r="N1281" s="549">
        <v>1089.28</v>
      </c>
      <c r="O1281" s="549">
        <v>0</v>
      </c>
      <c r="P1281" s="549">
        <v>4.21</v>
      </c>
      <c r="Q1281" s="549">
        <v>202.53</v>
      </c>
    </row>
    <row r="1282" spans="1:17" x14ac:dyDescent="0.25">
      <c r="A1282" s="549" t="s">
        <v>1007</v>
      </c>
      <c r="B1282" s="549" t="s">
        <v>1008</v>
      </c>
      <c r="C1282" s="549" t="s">
        <v>658</v>
      </c>
      <c r="D1282" s="549" t="s">
        <v>659</v>
      </c>
      <c r="E1282" s="549" t="s">
        <v>977</v>
      </c>
      <c r="F1282" s="549" t="s">
        <v>1212</v>
      </c>
      <c r="G1282" s="549" t="s">
        <v>1288</v>
      </c>
      <c r="H1282" s="549" t="s">
        <v>658</v>
      </c>
      <c r="I1282" s="549" t="s">
        <v>976</v>
      </c>
      <c r="J1282" s="549" t="s">
        <v>976</v>
      </c>
      <c r="K1282" s="549" t="s">
        <v>976</v>
      </c>
      <c r="L1282" s="549">
        <v>49288.68</v>
      </c>
      <c r="M1282" s="549">
        <v>3721.3</v>
      </c>
      <c r="N1282" s="549">
        <v>1089.28</v>
      </c>
      <c r="O1282" s="549">
        <v>0</v>
      </c>
      <c r="P1282" s="549">
        <v>4.21</v>
      </c>
      <c r="Q1282" s="549">
        <v>202.53</v>
      </c>
    </row>
    <row r="1283" spans="1:17" x14ac:dyDescent="0.25">
      <c r="A1283" s="549" t="s">
        <v>518</v>
      </c>
      <c r="B1283" s="549" t="s">
        <v>1009</v>
      </c>
      <c r="C1283" s="549" t="s">
        <v>536</v>
      </c>
      <c r="D1283" s="549" t="s">
        <v>459</v>
      </c>
      <c r="E1283" s="549" t="s">
        <v>973</v>
      </c>
      <c r="F1283" s="549" t="s">
        <v>1212</v>
      </c>
      <c r="G1283" s="549">
        <v>12</v>
      </c>
      <c r="H1283" s="549" t="s">
        <v>536</v>
      </c>
      <c r="I1283" s="549" t="s">
        <v>976</v>
      </c>
      <c r="J1283" s="549" t="s">
        <v>976</v>
      </c>
      <c r="K1283" s="549" t="s">
        <v>976</v>
      </c>
      <c r="L1283" s="549">
        <v>157965.97</v>
      </c>
      <c r="M1283" s="549">
        <v>11926.43</v>
      </c>
      <c r="N1283" s="549">
        <v>9067.25</v>
      </c>
      <c r="O1283" s="549">
        <v>992</v>
      </c>
      <c r="P1283" s="549">
        <v>99.38</v>
      </c>
      <c r="Q1283" s="549">
        <v>21849.37</v>
      </c>
    </row>
    <row r="1284" spans="1:17" x14ac:dyDescent="0.25">
      <c r="A1284" s="549" t="s">
        <v>518</v>
      </c>
      <c r="B1284" s="549" t="s">
        <v>1009</v>
      </c>
      <c r="C1284" s="549" t="s">
        <v>536</v>
      </c>
      <c r="D1284" s="549" t="s">
        <v>459</v>
      </c>
      <c r="E1284" s="549" t="s">
        <v>973</v>
      </c>
      <c r="F1284" s="549" t="s">
        <v>1212</v>
      </c>
      <c r="G1284" s="549">
        <v>22</v>
      </c>
      <c r="H1284" s="549" t="s">
        <v>536</v>
      </c>
      <c r="I1284" s="549" t="s">
        <v>976</v>
      </c>
      <c r="J1284" s="549" t="s">
        <v>976</v>
      </c>
      <c r="K1284" s="549" t="s">
        <v>976</v>
      </c>
      <c r="L1284" s="549">
        <v>157965.97</v>
      </c>
      <c r="M1284" s="549">
        <v>11926.43</v>
      </c>
      <c r="N1284" s="549">
        <v>9067.25</v>
      </c>
      <c r="O1284" s="549">
        <v>992</v>
      </c>
      <c r="P1284" s="549">
        <v>99.38</v>
      </c>
      <c r="Q1284" s="549">
        <v>21849.37</v>
      </c>
    </row>
    <row r="1285" spans="1:17" x14ac:dyDescent="0.25">
      <c r="A1285" s="549" t="s">
        <v>518</v>
      </c>
      <c r="B1285" s="549" t="s">
        <v>1009</v>
      </c>
      <c r="C1285" s="549" t="s">
        <v>536</v>
      </c>
      <c r="D1285" s="549" t="s">
        <v>459</v>
      </c>
      <c r="E1285" s="549" t="s">
        <v>973</v>
      </c>
      <c r="F1285" s="549" t="s">
        <v>1212</v>
      </c>
      <c r="G1285" s="549">
        <v>32</v>
      </c>
      <c r="H1285" s="549" t="s">
        <v>536</v>
      </c>
      <c r="I1285" s="549" t="s">
        <v>976</v>
      </c>
      <c r="J1285" s="549" t="s">
        <v>976</v>
      </c>
      <c r="K1285" s="549" t="s">
        <v>976</v>
      </c>
      <c r="L1285" s="549">
        <v>157965.97</v>
      </c>
      <c r="M1285" s="549">
        <v>11926.43</v>
      </c>
      <c r="N1285" s="549">
        <v>9067.25</v>
      </c>
      <c r="O1285" s="549">
        <v>992</v>
      </c>
      <c r="P1285" s="549">
        <v>99.38</v>
      </c>
      <c r="Q1285" s="549">
        <v>21849.37</v>
      </c>
    </row>
    <row r="1286" spans="1:17" x14ac:dyDescent="0.25">
      <c r="A1286" s="549" t="s">
        <v>518</v>
      </c>
      <c r="B1286" s="549" t="s">
        <v>1009</v>
      </c>
      <c r="C1286" s="549" t="s">
        <v>536</v>
      </c>
      <c r="D1286" s="549" t="s">
        <v>459</v>
      </c>
      <c r="E1286" s="549" t="s">
        <v>973</v>
      </c>
      <c r="F1286" s="549" t="s">
        <v>1212</v>
      </c>
      <c r="G1286" s="549">
        <v>42</v>
      </c>
      <c r="H1286" s="549" t="s">
        <v>536</v>
      </c>
      <c r="I1286" s="549" t="s">
        <v>976</v>
      </c>
      <c r="J1286" s="549" t="s">
        <v>976</v>
      </c>
      <c r="K1286" s="549" t="s">
        <v>976</v>
      </c>
      <c r="L1286" s="549">
        <v>157965.97</v>
      </c>
      <c r="M1286" s="549">
        <v>11926.43</v>
      </c>
      <c r="N1286" s="549">
        <v>9067.25</v>
      </c>
      <c r="O1286" s="549">
        <v>992</v>
      </c>
      <c r="P1286" s="549">
        <v>99.38</v>
      </c>
      <c r="Q1286" s="549">
        <v>21849.37</v>
      </c>
    </row>
    <row r="1287" spans="1:17" x14ac:dyDescent="0.25">
      <c r="A1287" s="549" t="s">
        <v>518</v>
      </c>
      <c r="B1287" s="549" t="s">
        <v>1009</v>
      </c>
      <c r="C1287" s="549" t="s">
        <v>536</v>
      </c>
      <c r="D1287" s="549" t="s">
        <v>459</v>
      </c>
      <c r="E1287" s="549" t="s">
        <v>977</v>
      </c>
      <c r="F1287" s="549" t="s">
        <v>1212</v>
      </c>
      <c r="G1287" s="549">
        <v>12</v>
      </c>
      <c r="H1287" s="549" t="s">
        <v>536</v>
      </c>
      <c r="I1287" s="549" t="s">
        <v>976</v>
      </c>
      <c r="J1287" s="549" t="s">
        <v>976</v>
      </c>
      <c r="K1287" s="549" t="s">
        <v>976</v>
      </c>
      <c r="L1287" s="549">
        <v>157965.97</v>
      </c>
      <c r="M1287" s="549">
        <v>11926.43</v>
      </c>
      <c r="N1287" s="549">
        <v>3491.05</v>
      </c>
      <c r="O1287" s="549">
        <v>992</v>
      </c>
      <c r="P1287" s="549">
        <v>0.62</v>
      </c>
      <c r="Q1287" s="549">
        <v>101.74</v>
      </c>
    </row>
    <row r="1288" spans="1:17" x14ac:dyDescent="0.25">
      <c r="A1288" s="549" t="s">
        <v>518</v>
      </c>
      <c r="B1288" s="549" t="s">
        <v>1009</v>
      </c>
      <c r="C1288" s="549" t="s">
        <v>536</v>
      </c>
      <c r="D1288" s="549" t="s">
        <v>459</v>
      </c>
      <c r="E1288" s="549" t="s">
        <v>977</v>
      </c>
      <c r="F1288" s="549" t="s">
        <v>1212</v>
      </c>
      <c r="G1288" s="549">
        <v>22</v>
      </c>
      <c r="H1288" s="549" t="s">
        <v>536</v>
      </c>
      <c r="I1288" s="549" t="s">
        <v>976</v>
      </c>
      <c r="J1288" s="549" t="s">
        <v>976</v>
      </c>
      <c r="K1288" s="549" t="s">
        <v>976</v>
      </c>
      <c r="L1288" s="549">
        <v>157965.97</v>
      </c>
      <c r="M1288" s="549">
        <v>11926.43</v>
      </c>
      <c r="N1288" s="549">
        <v>3491.05</v>
      </c>
      <c r="O1288" s="549">
        <v>992</v>
      </c>
      <c r="P1288" s="549">
        <v>0.62</v>
      </c>
      <c r="Q1288" s="549">
        <v>101.74</v>
      </c>
    </row>
    <row r="1289" spans="1:17" x14ac:dyDescent="0.25">
      <c r="A1289" s="549" t="s">
        <v>518</v>
      </c>
      <c r="B1289" s="549" t="s">
        <v>1009</v>
      </c>
      <c r="C1289" s="549" t="s">
        <v>536</v>
      </c>
      <c r="D1289" s="549" t="s">
        <v>459</v>
      </c>
      <c r="E1289" s="549" t="s">
        <v>977</v>
      </c>
      <c r="F1289" s="549" t="s">
        <v>1212</v>
      </c>
      <c r="G1289" s="549">
        <v>32</v>
      </c>
      <c r="H1289" s="549" t="s">
        <v>536</v>
      </c>
      <c r="I1289" s="549" t="s">
        <v>976</v>
      </c>
      <c r="J1289" s="549" t="s">
        <v>976</v>
      </c>
      <c r="K1289" s="549" t="s">
        <v>976</v>
      </c>
      <c r="L1289" s="549">
        <v>157965.97</v>
      </c>
      <c r="M1289" s="549">
        <v>11926.43</v>
      </c>
      <c r="N1289" s="549">
        <v>3491.05</v>
      </c>
      <c r="O1289" s="549">
        <v>992</v>
      </c>
      <c r="P1289" s="549">
        <v>0.62</v>
      </c>
      <c r="Q1289" s="549">
        <v>101.74</v>
      </c>
    </row>
    <row r="1290" spans="1:17" x14ac:dyDescent="0.25">
      <c r="A1290" s="549" t="s">
        <v>518</v>
      </c>
      <c r="B1290" s="549" t="s">
        <v>1009</v>
      </c>
      <c r="C1290" s="549" t="s">
        <v>536</v>
      </c>
      <c r="D1290" s="549" t="s">
        <v>459</v>
      </c>
      <c r="E1290" s="549" t="s">
        <v>977</v>
      </c>
      <c r="F1290" s="549" t="s">
        <v>1212</v>
      </c>
      <c r="G1290" s="549">
        <v>42</v>
      </c>
      <c r="H1290" s="549" t="s">
        <v>536</v>
      </c>
      <c r="I1290" s="549" t="s">
        <v>976</v>
      </c>
      <c r="J1290" s="549" t="s">
        <v>976</v>
      </c>
      <c r="K1290" s="549" t="s">
        <v>976</v>
      </c>
      <c r="L1290" s="549">
        <v>157965.97</v>
      </c>
      <c r="M1290" s="549">
        <v>11926.43</v>
      </c>
      <c r="N1290" s="549">
        <v>3491.05</v>
      </c>
      <c r="O1290" s="549">
        <v>992</v>
      </c>
      <c r="P1290" s="549">
        <v>0.62</v>
      </c>
      <c r="Q1290" s="549">
        <v>101.74</v>
      </c>
    </row>
    <row r="1291" spans="1:17" x14ac:dyDescent="0.25">
      <c r="A1291" s="549" t="s">
        <v>518</v>
      </c>
      <c r="B1291" s="549" t="s">
        <v>1009</v>
      </c>
      <c r="C1291" s="549" t="s">
        <v>536</v>
      </c>
      <c r="D1291" s="549" t="s">
        <v>459</v>
      </c>
      <c r="E1291" s="549" t="s">
        <v>977</v>
      </c>
      <c r="F1291" s="549" t="s">
        <v>1212</v>
      </c>
      <c r="G1291" s="549">
        <v>322</v>
      </c>
      <c r="H1291" s="549" t="s">
        <v>536</v>
      </c>
      <c r="I1291" s="549" t="s">
        <v>976</v>
      </c>
      <c r="J1291" s="549" t="s">
        <v>976</v>
      </c>
      <c r="K1291" s="549" t="s">
        <v>976</v>
      </c>
      <c r="L1291" s="549">
        <v>154623.29</v>
      </c>
      <c r="M1291" s="549">
        <v>11674.06</v>
      </c>
      <c r="N1291" s="549">
        <v>3417.17</v>
      </c>
      <c r="O1291" s="549">
        <v>892.8</v>
      </c>
      <c r="P1291" s="549">
        <v>100</v>
      </c>
      <c r="Q1291" s="549">
        <v>15984.03</v>
      </c>
    </row>
    <row r="1292" spans="1:17" x14ac:dyDescent="0.25">
      <c r="A1292" s="549" t="s">
        <v>518</v>
      </c>
      <c r="B1292" s="549" t="s">
        <v>1009</v>
      </c>
      <c r="C1292" s="549" t="s">
        <v>536</v>
      </c>
      <c r="D1292" s="549" t="s">
        <v>459</v>
      </c>
      <c r="E1292" s="549" t="s">
        <v>977</v>
      </c>
      <c r="F1292" s="549" t="s">
        <v>1212</v>
      </c>
      <c r="G1292" s="549">
        <v>502</v>
      </c>
      <c r="H1292" s="549" t="s">
        <v>536</v>
      </c>
      <c r="I1292" s="549" t="s">
        <v>976</v>
      </c>
      <c r="J1292" s="549" t="s">
        <v>976</v>
      </c>
      <c r="K1292" s="549" t="s">
        <v>976</v>
      </c>
      <c r="L1292" s="549">
        <v>154623.29</v>
      </c>
      <c r="M1292" s="549">
        <v>11674.06</v>
      </c>
      <c r="N1292" s="549">
        <v>3417.17</v>
      </c>
      <c r="O1292" s="549">
        <v>892.8</v>
      </c>
      <c r="P1292" s="549">
        <v>100</v>
      </c>
      <c r="Q1292" s="549">
        <v>15984.03</v>
      </c>
    </row>
    <row r="1293" spans="1:17" x14ac:dyDescent="0.25">
      <c r="A1293" s="549" t="s">
        <v>518</v>
      </c>
      <c r="B1293" s="549" t="s">
        <v>1009</v>
      </c>
      <c r="C1293" s="549" t="s">
        <v>517</v>
      </c>
      <c r="D1293" s="549" t="s">
        <v>491</v>
      </c>
      <c r="E1293" s="549" t="s">
        <v>973</v>
      </c>
      <c r="F1293" s="549" t="s">
        <v>1212</v>
      </c>
      <c r="G1293" s="549">
        <v>532</v>
      </c>
      <c r="H1293" s="549" t="s">
        <v>517</v>
      </c>
      <c r="I1293" s="549" t="s">
        <v>976</v>
      </c>
      <c r="J1293" s="549" t="s">
        <v>976</v>
      </c>
      <c r="K1293" s="549" t="s">
        <v>976</v>
      </c>
      <c r="L1293" s="549">
        <v>1655829.73</v>
      </c>
      <c r="M1293" s="549">
        <v>125015.14</v>
      </c>
      <c r="N1293" s="549">
        <v>95044.63</v>
      </c>
      <c r="O1293" s="549">
        <v>6944</v>
      </c>
      <c r="P1293" s="549">
        <v>100</v>
      </c>
      <c r="Q1293" s="549">
        <v>227003.77</v>
      </c>
    </row>
    <row r="1294" spans="1:17" x14ac:dyDescent="0.25">
      <c r="A1294" s="549" t="s">
        <v>518</v>
      </c>
      <c r="B1294" s="549" t="s">
        <v>1009</v>
      </c>
      <c r="C1294" s="549" t="s">
        <v>517</v>
      </c>
      <c r="D1294" s="549" t="s">
        <v>491</v>
      </c>
      <c r="E1294" s="549" t="s">
        <v>973</v>
      </c>
      <c r="F1294" s="549" t="s">
        <v>1212</v>
      </c>
      <c r="G1294" s="549">
        <v>562</v>
      </c>
      <c r="H1294" s="549" t="s">
        <v>517</v>
      </c>
      <c r="I1294" s="549" t="s">
        <v>976</v>
      </c>
      <c r="J1294" s="549" t="s">
        <v>976</v>
      </c>
      <c r="K1294" s="549" t="s">
        <v>976</v>
      </c>
      <c r="L1294" s="549">
        <v>632610.53</v>
      </c>
      <c r="M1294" s="549">
        <v>47762.1</v>
      </c>
      <c r="N1294" s="549">
        <v>36311.839999999997</v>
      </c>
      <c r="O1294" s="549">
        <v>6844.8</v>
      </c>
      <c r="P1294" s="549">
        <v>100</v>
      </c>
      <c r="Q1294" s="549">
        <v>90918.74</v>
      </c>
    </row>
    <row r="1295" spans="1:17" x14ac:dyDescent="0.25">
      <c r="A1295" s="549" t="s">
        <v>518</v>
      </c>
      <c r="B1295" s="549" t="s">
        <v>1009</v>
      </c>
      <c r="C1295" s="549" t="s">
        <v>517</v>
      </c>
      <c r="D1295" s="549" t="s">
        <v>491</v>
      </c>
      <c r="E1295" s="549" t="s">
        <v>973</v>
      </c>
      <c r="F1295" s="549" t="s">
        <v>1212</v>
      </c>
      <c r="G1295" s="549">
        <v>632</v>
      </c>
      <c r="H1295" s="549" t="s">
        <v>517</v>
      </c>
      <c r="I1295" s="549" t="s">
        <v>976</v>
      </c>
      <c r="J1295" s="549" t="s">
        <v>976</v>
      </c>
      <c r="K1295" s="549" t="s">
        <v>976</v>
      </c>
      <c r="L1295" s="549">
        <v>1655829.73</v>
      </c>
      <c r="M1295" s="549">
        <v>125015.14</v>
      </c>
      <c r="N1295" s="549">
        <v>95044.63</v>
      </c>
      <c r="O1295" s="549">
        <v>6944</v>
      </c>
      <c r="P1295" s="549">
        <v>100</v>
      </c>
      <c r="Q1295" s="549">
        <v>227003.77</v>
      </c>
    </row>
    <row r="1296" spans="1:17" x14ac:dyDescent="0.25">
      <c r="A1296" s="549" t="s">
        <v>518</v>
      </c>
      <c r="B1296" s="549" t="s">
        <v>1009</v>
      </c>
      <c r="C1296" s="549" t="s">
        <v>517</v>
      </c>
      <c r="D1296" s="549" t="s">
        <v>491</v>
      </c>
      <c r="E1296" s="549" t="s">
        <v>973</v>
      </c>
      <c r="F1296" s="549" t="s">
        <v>1212</v>
      </c>
      <c r="G1296" s="549">
        <v>662</v>
      </c>
      <c r="H1296" s="549" t="s">
        <v>517</v>
      </c>
      <c r="I1296" s="549" t="s">
        <v>976</v>
      </c>
      <c r="J1296" s="549" t="s">
        <v>976</v>
      </c>
      <c r="K1296" s="549" t="s">
        <v>976</v>
      </c>
      <c r="L1296" s="549">
        <v>632610.53</v>
      </c>
      <c r="M1296" s="549">
        <v>47762.1</v>
      </c>
      <c r="N1296" s="549">
        <v>36311.839999999997</v>
      </c>
      <c r="O1296" s="549">
        <v>6844.8</v>
      </c>
      <c r="P1296" s="549">
        <v>100</v>
      </c>
      <c r="Q1296" s="549">
        <v>90918.74</v>
      </c>
    </row>
    <row r="1297" spans="1:17" x14ac:dyDescent="0.25">
      <c r="A1297" s="549" t="s">
        <v>518</v>
      </c>
      <c r="B1297" s="549" t="s">
        <v>1009</v>
      </c>
      <c r="C1297" s="549" t="s">
        <v>517</v>
      </c>
      <c r="D1297" s="549" t="s">
        <v>491</v>
      </c>
      <c r="E1297" s="549" t="s">
        <v>973</v>
      </c>
      <c r="F1297" s="549" t="s">
        <v>1212</v>
      </c>
      <c r="G1297" s="549">
        <v>727</v>
      </c>
      <c r="H1297" s="549" t="s">
        <v>517</v>
      </c>
      <c r="I1297" s="549" t="s">
        <v>976</v>
      </c>
      <c r="J1297" s="549" t="s">
        <v>976</v>
      </c>
      <c r="K1297" s="549" t="s">
        <v>976</v>
      </c>
      <c r="L1297" s="549">
        <v>0.02</v>
      </c>
      <c r="M1297" s="549">
        <v>0</v>
      </c>
      <c r="N1297" s="549">
        <v>0</v>
      </c>
      <c r="O1297" s="549">
        <v>992</v>
      </c>
      <c r="P1297" s="549">
        <v>100</v>
      </c>
      <c r="Q1297" s="549">
        <v>992</v>
      </c>
    </row>
    <row r="1298" spans="1:17" x14ac:dyDescent="0.25">
      <c r="A1298" s="549" t="s">
        <v>518</v>
      </c>
      <c r="B1298" s="549" t="s">
        <v>1009</v>
      </c>
      <c r="C1298" s="549" t="s">
        <v>517</v>
      </c>
      <c r="D1298" s="549" t="s">
        <v>491</v>
      </c>
      <c r="E1298" s="549" t="s">
        <v>973</v>
      </c>
      <c r="F1298" s="549" t="s">
        <v>1212</v>
      </c>
      <c r="G1298" s="549" t="s">
        <v>1312</v>
      </c>
      <c r="H1298" s="549" t="s">
        <v>517</v>
      </c>
      <c r="I1298" s="549" t="s">
        <v>976</v>
      </c>
      <c r="J1298" s="549" t="s">
        <v>976</v>
      </c>
      <c r="K1298" s="549" t="s">
        <v>976</v>
      </c>
      <c r="L1298" s="549">
        <v>0.02</v>
      </c>
      <c r="M1298" s="549">
        <v>0</v>
      </c>
      <c r="N1298" s="549">
        <v>0</v>
      </c>
      <c r="O1298" s="549">
        <v>1984</v>
      </c>
      <c r="P1298" s="549">
        <v>100</v>
      </c>
      <c r="Q1298" s="549">
        <v>1984</v>
      </c>
    </row>
    <row r="1299" spans="1:17" x14ac:dyDescent="0.25">
      <c r="A1299" s="549" t="s">
        <v>518</v>
      </c>
      <c r="B1299" s="549" t="s">
        <v>1009</v>
      </c>
      <c r="C1299" s="549" t="s">
        <v>517</v>
      </c>
      <c r="D1299" s="549" t="s">
        <v>491</v>
      </c>
      <c r="E1299" s="549" t="s">
        <v>973</v>
      </c>
      <c r="F1299" s="549" t="s">
        <v>1212</v>
      </c>
      <c r="G1299" s="549" t="s">
        <v>1267</v>
      </c>
      <c r="H1299" s="549" t="s">
        <v>517</v>
      </c>
      <c r="I1299" s="549" t="s">
        <v>976</v>
      </c>
      <c r="J1299" s="549" t="s">
        <v>976</v>
      </c>
      <c r="K1299" s="549" t="s">
        <v>976</v>
      </c>
      <c r="L1299" s="549">
        <v>0.02</v>
      </c>
      <c r="M1299" s="549">
        <v>0</v>
      </c>
      <c r="N1299" s="549">
        <v>0</v>
      </c>
      <c r="O1299" s="549">
        <v>0</v>
      </c>
      <c r="P1299" s="549">
        <v>100</v>
      </c>
      <c r="Q1299" s="549">
        <v>0</v>
      </c>
    </row>
    <row r="1300" spans="1:17" x14ac:dyDescent="0.25">
      <c r="A1300" s="549" t="s">
        <v>518</v>
      </c>
      <c r="B1300" s="549" t="s">
        <v>1009</v>
      </c>
      <c r="C1300" s="549" t="s">
        <v>517</v>
      </c>
      <c r="D1300" s="549" t="s">
        <v>491</v>
      </c>
      <c r="E1300" s="549" t="s">
        <v>973</v>
      </c>
      <c r="F1300" s="549" t="s">
        <v>1212</v>
      </c>
      <c r="G1300" s="549" t="s">
        <v>1313</v>
      </c>
      <c r="H1300" s="549" t="s">
        <v>517</v>
      </c>
      <c r="I1300" s="549" t="s">
        <v>976</v>
      </c>
      <c r="J1300" s="549" t="s">
        <v>976</v>
      </c>
      <c r="K1300" s="549" t="s">
        <v>976</v>
      </c>
      <c r="L1300" s="549">
        <v>0.02</v>
      </c>
      <c r="M1300" s="549">
        <v>0</v>
      </c>
      <c r="N1300" s="549">
        <v>0</v>
      </c>
      <c r="O1300" s="549">
        <v>0</v>
      </c>
      <c r="P1300" s="549">
        <v>100</v>
      </c>
      <c r="Q1300" s="549">
        <v>0</v>
      </c>
    </row>
    <row r="1301" spans="1:17" x14ac:dyDescent="0.25">
      <c r="A1301" s="549" t="s">
        <v>518</v>
      </c>
      <c r="B1301" s="549" t="s">
        <v>1009</v>
      </c>
      <c r="C1301" s="549" t="s">
        <v>517</v>
      </c>
      <c r="D1301" s="549" t="s">
        <v>491</v>
      </c>
      <c r="E1301" s="549" t="s">
        <v>977</v>
      </c>
      <c r="F1301" s="549" t="s">
        <v>1212</v>
      </c>
      <c r="G1301" s="549">
        <v>532</v>
      </c>
      <c r="H1301" s="549" t="s">
        <v>517</v>
      </c>
      <c r="I1301" s="549" t="s">
        <v>976</v>
      </c>
      <c r="J1301" s="549" t="s">
        <v>976</v>
      </c>
      <c r="K1301" s="549" t="s">
        <v>976</v>
      </c>
      <c r="L1301" s="549">
        <v>1655829.73</v>
      </c>
      <c r="M1301" s="549">
        <v>125015.14</v>
      </c>
      <c r="N1301" s="549">
        <v>36593.839999999997</v>
      </c>
      <c r="O1301" s="549">
        <v>6944</v>
      </c>
      <c r="P1301" s="549">
        <v>0</v>
      </c>
      <c r="Q1301" s="549">
        <v>0</v>
      </c>
    </row>
    <row r="1302" spans="1:17" x14ac:dyDescent="0.25">
      <c r="A1302" s="549" t="s">
        <v>518</v>
      </c>
      <c r="B1302" s="549" t="s">
        <v>1009</v>
      </c>
      <c r="C1302" s="549" t="s">
        <v>517</v>
      </c>
      <c r="D1302" s="549" t="s">
        <v>491</v>
      </c>
      <c r="E1302" s="549" t="s">
        <v>977</v>
      </c>
      <c r="F1302" s="549" t="s">
        <v>1212</v>
      </c>
      <c r="G1302" s="549">
        <v>562</v>
      </c>
      <c r="H1302" s="549" t="s">
        <v>517</v>
      </c>
      <c r="I1302" s="549" t="s">
        <v>976</v>
      </c>
      <c r="J1302" s="549" t="s">
        <v>976</v>
      </c>
      <c r="K1302" s="549" t="s">
        <v>976</v>
      </c>
      <c r="L1302" s="549">
        <v>632610.53</v>
      </c>
      <c r="M1302" s="549">
        <v>47762.1</v>
      </c>
      <c r="N1302" s="549">
        <v>13980.69</v>
      </c>
      <c r="O1302" s="549">
        <v>6844.8</v>
      </c>
      <c r="P1302" s="549">
        <v>0</v>
      </c>
      <c r="Q1302" s="549">
        <v>0</v>
      </c>
    </row>
    <row r="1303" spans="1:17" x14ac:dyDescent="0.25">
      <c r="A1303" s="549" t="s">
        <v>518</v>
      </c>
      <c r="B1303" s="549" t="s">
        <v>1009</v>
      </c>
      <c r="C1303" s="549" t="s">
        <v>517</v>
      </c>
      <c r="D1303" s="549" t="s">
        <v>491</v>
      </c>
      <c r="E1303" s="549" t="s">
        <v>977</v>
      </c>
      <c r="F1303" s="549" t="s">
        <v>1212</v>
      </c>
      <c r="G1303" s="549">
        <v>632</v>
      </c>
      <c r="H1303" s="549" t="s">
        <v>517</v>
      </c>
      <c r="I1303" s="549" t="s">
        <v>976</v>
      </c>
      <c r="J1303" s="549" t="s">
        <v>976</v>
      </c>
      <c r="K1303" s="549" t="s">
        <v>976</v>
      </c>
      <c r="L1303" s="549">
        <v>1655829.73</v>
      </c>
      <c r="M1303" s="549">
        <v>125015.14</v>
      </c>
      <c r="N1303" s="549">
        <v>36593.839999999997</v>
      </c>
      <c r="O1303" s="549">
        <v>6944</v>
      </c>
      <c r="P1303" s="549">
        <v>0</v>
      </c>
      <c r="Q1303" s="549">
        <v>0</v>
      </c>
    </row>
    <row r="1304" spans="1:17" x14ac:dyDescent="0.25">
      <c r="A1304" s="549" t="s">
        <v>518</v>
      </c>
      <c r="B1304" s="549" t="s">
        <v>1009</v>
      </c>
      <c r="C1304" s="549" t="s">
        <v>517</v>
      </c>
      <c r="D1304" s="549" t="s">
        <v>491</v>
      </c>
      <c r="E1304" s="549" t="s">
        <v>977</v>
      </c>
      <c r="F1304" s="549" t="s">
        <v>1212</v>
      </c>
      <c r="G1304" s="549">
        <v>662</v>
      </c>
      <c r="H1304" s="549" t="s">
        <v>517</v>
      </c>
      <c r="I1304" s="549" t="s">
        <v>976</v>
      </c>
      <c r="J1304" s="549" t="s">
        <v>976</v>
      </c>
      <c r="K1304" s="549" t="s">
        <v>976</v>
      </c>
      <c r="L1304" s="549">
        <v>632610.53</v>
      </c>
      <c r="M1304" s="549">
        <v>47762.1</v>
      </c>
      <c r="N1304" s="549">
        <v>13980.69</v>
      </c>
      <c r="O1304" s="549">
        <v>6844.8</v>
      </c>
      <c r="P1304" s="549">
        <v>0</v>
      </c>
      <c r="Q1304" s="549">
        <v>0</v>
      </c>
    </row>
    <row r="1305" spans="1:17" x14ac:dyDescent="0.25">
      <c r="A1305" s="549" t="s">
        <v>518</v>
      </c>
      <c r="B1305" s="549" t="s">
        <v>1009</v>
      </c>
      <c r="C1305" s="549" t="s">
        <v>517</v>
      </c>
      <c r="D1305" s="549" t="s">
        <v>491</v>
      </c>
      <c r="E1305" s="549" t="s">
        <v>977</v>
      </c>
      <c r="F1305" s="549" t="s">
        <v>1212</v>
      </c>
      <c r="G1305" s="549">
        <v>727</v>
      </c>
      <c r="H1305" s="549" t="s">
        <v>517</v>
      </c>
      <c r="I1305" s="549" t="s">
        <v>976</v>
      </c>
      <c r="J1305" s="549" t="s">
        <v>976</v>
      </c>
      <c r="K1305" s="549" t="s">
        <v>976</v>
      </c>
      <c r="L1305" s="549">
        <v>0.02</v>
      </c>
      <c r="M1305" s="549">
        <v>0</v>
      </c>
      <c r="N1305" s="549">
        <v>0</v>
      </c>
      <c r="O1305" s="549">
        <v>992</v>
      </c>
      <c r="P1305" s="549">
        <v>0</v>
      </c>
      <c r="Q1305" s="549">
        <v>0</v>
      </c>
    </row>
    <row r="1306" spans="1:17" x14ac:dyDescent="0.25">
      <c r="A1306" s="549" t="s">
        <v>518</v>
      </c>
      <c r="B1306" s="549" t="s">
        <v>1009</v>
      </c>
      <c r="C1306" s="549" t="s">
        <v>517</v>
      </c>
      <c r="D1306" s="549" t="s">
        <v>491</v>
      </c>
      <c r="E1306" s="549" t="s">
        <v>977</v>
      </c>
      <c r="F1306" s="549" t="s">
        <v>1212</v>
      </c>
      <c r="G1306" s="549" t="s">
        <v>1312</v>
      </c>
      <c r="H1306" s="549" t="s">
        <v>517</v>
      </c>
      <c r="I1306" s="549" t="s">
        <v>976</v>
      </c>
      <c r="J1306" s="549" t="s">
        <v>976</v>
      </c>
      <c r="K1306" s="549" t="s">
        <v>976</v>
      </c>
      <c r="L1306" s="549">
        <v>0.02</v>
      </c>
      <c r="M1306" s="549">
        <v>0</v>
      </c>
      <c r="N1306" s="549">
        <v>0</v>
      </c>
      <c r="O1306" s="549">
        <v>1984</v>
      </c>
      <c r="P1306" s="549">
        <v>0</v>
      </c>
      <c r="Q1306" s="549">
        <v>0</v>
      </c>
    </row>
    <row r="1307" spans="1:17" x14ac:dyDescent="0.25">
      <c r="A1307" s="549" t="s">
        <v>518</v>
      </c>
      <c r="B1307" s="549" t="s">
        <v>1009</v>
      </c>
      <c r="C1307" s="549" t="s">
        <v>517</v>
      </c>
      <c r="D1307" s="549" t="s">
        <v>491</v>
      </c>
      <c r="E1307" s="549" t="s">
        <v>977</v>
      </c>
      <c r="F1307" s="549" t="s">
        <v>1212</v>
      </c>
      <c r="G1307" s="549" t="s">
        <v>1267</v>
      </c>
      <c r="H1307" s="549" t="s">
        <v>517</v>
      </c>
      <c r="I1307" s="549" t="s">
        <v>976</v>
      </c>
      <c r="J1307" s="549" t="s">
        <v>976</v>
      </c>
      <c r="K1307" s="549" t="s">
        <v>976</v>
      </c>
      <c r="L1307" s="549">
        <v>0.02</v>
      </c>
      <c r="M1307" s="549">
        <v>0</v>
      </c>
      <c r="N1307" s="549">
        <v>0</v>
      </c>
      <c r="O1307" s="549">
        <v>0</v>
      </c>
      <c r="P1307" s="549">
        <v>0</v>
      </c>
      <c r="Q1307" s="549">
        <v>0</v>
      </c>
    </row>
    <row r="1308" spans="1:17" x14ac:dyDescent="0.25">
      <c r="A1308" s="549" t="s">
        <v>518</v>
      </c>
      <c r="B1308" s="549" t="s">
        <v>1009</v>
      </c>
      <c r="C1308" s="549" t="s">
        <v>517</v>
      </c>
      <c r="D1308" s="549" t="s">
        <v>491</v>
      </c>
      <c r="E1308" s="549" t="s">
        <v>977</v>
      </c>
      <c r="F1308" s="549" t="s">
        <v>1212</v>
      </c>
      <c r="G1308" s="549" t="s">
        <v>1313</v>
      </c>
      <c r="H1308" s="549" t="s">
        <v>517</v>
      </c>
      <c r="I1308" s="549" t="s">
        <v>976</v>
      </c>
      <c r="J1308" s="549" t="s">
        <v>976</v>
      </c>
      <c r="K1308" s="549" t="s">
        <v>976</v>
      </c>
      <c r="L1308" s="549">
        <v>0.02</v>
      </c>
      <c r="M1308" s="549">
        <v>0</v>
      </c>
      <c r="N1308" s="549">
        <v>0</v>
      </c>
      <c r="O1308" s="549">
        <v>0</v>
      </c>
      <c r="P1308" s="549">
        <v>0</v>
      </c>
      <c r="Q1308" s="549">
        <v>0</v>
      </c>
    </row>
    <row r="1309" spans="1:17" x14ac:dyDescent="0.25">
      <c r="A1309" s="549" t="s">
        <v>518</v>
      </c>
      <c r="B1309" s="549" t="s">
        <v>1009</v>
      </c>
      <c r="C1309" s="549" t="s">
        <v>534</v>
      </c>
      <c r="D1309" s="549" t="s">
        <v>645</v>
      </c>
      <c r="E1309" s="549" t="s">
        <v>973</v>
      </c>
      <c r="F1309" s="549" t="s">
        <v>1212</v>
      </c>
      <c r="G1309" s="549">
        <v>42</v>
      </c>
      <c r="H1309" s="549" t="s">
        <v>641</v>
      </c>
      <c r="I1309" s="549" t="s">
        <v>976</v>
      </c>
      <c r="J1309" s="549" t="s">
        <v>976</v>
      </c>
      <c r="K1309" s="549" t="s">
        <v>976</v>
      </c>
      <c r="L1309" s="549">
        <v>504629.39</v>
      </c>
      <c r="M1309" s="549">
        <v>38099.519999999997</v>
      </c>
      <c r="N1309" s="549">
        <v>28965.73</v>
      </c>
      <c r="O1309" s="549">
        <v>3968</v>
      </c>
      <c r="P1309" s="549">
        <v>86.35</v>
      </c>
      <c r="Q1309" s="549">
        <v>61337.21</v>
      </c>
    </row>
    <row r="1310" spans="1:17" x14ac:dyDescent="0.25">
      <c r="A1310" s="549" t="s">
        <v>518</v>
      </c>
      <c r="B1310" s="549" t="s">
        <v>1009</v>
      </c>
      <c r="C1310" s="549" t="s">
        <v>534</v>
      </c>
      <c r="D1310" s="549" t="s">
        <v>645</v>
      </c>
      <c r="E1310" s="549" t="s">
        <v>973</v>
      </c>
      <c r="F1310" s="549" t="s">
        <v>1212</v>
      </c>
      <c r="G1310" s="549">
        <v>72</v>
      </c>
      <c r="H1310" s="549" t="s">
        <v>641</v>
      </c>
      <c r="I1310" s="549" t="s">
        <v>976</v>
      </c>
      <c r="J1310" s="549" t="s">
        <v>976</v>
      </c>
      <c r="K1310" s="549" t="s">
        <v>976</v>
      </c>
      <c r="L1310" s="549">
        <v>504629.39</v>
      </c>
      <c r="M1310" s="549">
        <v>38099.519999999997</v>
      </c>
      <c r="N1310" s="549">
        <v>28965.73</v>
      </c>
      <c r="O1310" s="549">
        <v>3968</v>
      </c>
      <c r="P1310" s="549">
        <v>65.63</v>
      </c>
      <c r="Q1310" s="549">
        <v>46619.12</v>
      </c>
    </row>
    <row r="1311" spans="1:17" x14ac:dyDescent="0.25">
      <c r="A1311" s="549" t="s">
        <v>518</v>
      </c>
      <c r="B1311" s="549" t="s">
        <v>1009</v>
      </c>
      <c r="C1311" s="549" t="s">
        <v>534</v>
      </c>
      <c r="D1311" s="549" t="s">
        <v>645</v>
      </c>
      <c r="E1311" s="549" t="s">
        <v>973</v>
      </c>
      <c r="F1311" s="549" t="s">
        <v>1212</v>
      </c>
      <c r="G1311" s="549">
        <v>132</v>
      </c>
      <c r="H1311" s="549" t="s">
        <v>652</v>
      </c>
      <c r="I1311" s="549" t="s">
        <v>976</v>
      </c>
      <c r="J1311" s="549" t="s">
        <v>976</v>
      </c>
      <c r="K1311" s="549" t="s">
        <v>976</v>
      </c>
      <c r="L1311" s="549">
        <v>504629.39</v>
      </c>
      <c r="M1311" s="549">
        <v>38099.519999999997</v>
      </c>
      <c r="N1311" s="549">
        <v>28965.73</v>
      </c>
      <c r="O1311" s="549">
        <v>4960</v>
      </c>
      <c r="P1311" s="549">
        <v>65.63</v>
      </c>
      <c r="Q1311" s="549">
        <v>47270.17</v>
      </c>
    </row>
    <row r="1312" spans="1:17" x14ac:dyDescent="0.25">
      <c r="A1312" s="549" t="s">
        <v>518</v>
      </c>
      <c r="B1312" s="549" t="s">
        <v>1009</v>
      </c>
      <c r="C1312" s="549" t="s">
        <v>534</v>
      </c>
      <c r="D1312" s="549" t="s">
        <v>645</v>
      </c>
      <c r="E1312" s="549" t="s">
        <v>973</v>
      </c>
      <c r="F1312" s="549" t="s">
        <v>1212</v>
      </c>
      <c r="G1312" s="549" t="s">
        <v>1215</v>
      </c>
      <c r="H1312" s="549" t="s">
        <v>652</v>
      </c>
      <c r="I1312" s="549" t="s">
        <v>976</v>
      </c>
      <c r="J1312" s="549" t="s">
        <v>976</v>
      </c>
      <c r="K1312" s="549" t="s">
        <v>976</v>
      </c>
      <c r="L1312" s="549">
        <v>48805.45</v>
      </c>
      <c r="M1312" s="549">
        <v>3684.81</v>
      </c>
      <c r="N1312" s="549">
        <v>2801.43</v>
      </c>
      <c r="O1312" s="549">
        <v>0</v>
      </c>
      <c r="P1312" s="549">
        <v>65.63</v>
      </c>
      <c r="Q1312" s="549">
        <v>4256.92</v>
      </c>
    </row>
    <row r="1313" spans="1:17" x14ac:dyDescent="0.25">
      <c r="A1313" s="549" t="s">
        <v>518</v>
      </c>
      <c r="B1313" s="549" t="s">
        <v>1009</v>
      </c>
      <c r="C1313" s="549" t="s">
        <v>534</v>
      </c>
      <c r="D1313" s="549" t="s">
        <v>645</v>
      </c>
      <c r="E1313" s="549" t="s">
        <v>973</v>
      </c>
      <c r="F1313" s="549" t="s">
        <v>1212</v>
      </c>
      <c r="G1313" s="549">
        <v>37</v>
      </c>
      <c r="H1313" s="549" t="s">
        <v>534</v>
      </c>
      <c r="I1313" s="549" t="s">
        <v>976</v>
      </c>
      <c r="J1313" s="549" t="s">
        <v>976</v>
      </c>
      <c r="K1313" s="549" t="s">
        <v>976</v>
      </c>
      <c r="L1313" s="549">
        <v>52847.08</v>
      </c>
      <c r="M1313" s="549">
        <v>3989.95</v>
      </c>
      <c r="N1313" s="549">
        <v>3033.42</v>
      </c>
      <c r="O1313" s="549">
        <v>992</v>
      </c>
      <c r="P1313" s="549">
        <v>86.35</v>
      </c>
      <c r="Q1313" s="549">
        <v>6921.27</v>
      </c>
    </row>
    <row r="1314" spans="1:17" x14ac:dyDescent="0.25">
      <c r="A1314" s="549" t="s">
        <v>518</v>
      </c>
      <c r="B1314" s="549" t="s">
        <v>1009</v>
      </c>
      <c r="C1314" s="549" t="s">
        <v>534</v>
      </c>
      <c r="D1314" s="549" t="s">
        <v>645</v>
      </c>
      <c r="E1314" s="549" t="s">
        <v>973</v>
      </c>
      <c r="F1314" s="549" t="s">
        <v>1212</v>
      </c>
      <c r="G1314" s="549">
        <v>38</v>
      </c>
      <c r="H1314" s="549" t="s">
        <v>534</v>
      </c>
      <c r="I1314" s="549" t="s">
        <v>976</v>
      </c>
      <c r="J1314" s="549" t="s">
        <v>976</v>
      </c>
      <c r="K1314" s="549" t="s">
        <v>976</v>
      </c>
      <c r="L1314" s="549">
        <v>0.01</v>
      </c>
      <c r="M1314" s="549">
        <v>0</v>
      </c>
      <c r="N1314" s="549">
        <v>0</v>
      </c>
      <c r="O1314" s="549">
        <v>0</v>
      </c>
      <c r="P1314" s="549">
        <v>99.35</v>
      </c>
      <c r="Q1314" s="549">
        <v>0</v>
      </c>
    </row>
    <row r="1315" spans="1:17" x14ac:dyDescent="0.25">
      <c r="A1315" s="549" t="s">
        <v>518</v>
      </c>
      <c r="B1315" s="549" t="s">
        <v>1009</v>
      </c>
      <c r="C1315" s="549" t="s">
        <v>534</v>
      </c>
      <c r="D1315" s="549" t="s">
        <v>645</v>
      </c>
      <c r="E1315" s="549" t="s">
        <v>973</v>
      </c>
      <c r="F1315" s="549" t="s">
        <v>1212</v>
      </c>
      <c r="G1315" s="549">
        <v>72</v>
      </c>
      <c r="H1315" s="549" t="s">
        <v>534</v>
      </c>
      <c r="I1315" s="549" t="s">
        <v>976</v>
      </c>
      <c r="J1315" s="549" t="s">
        <v>976</v>
      </c>
      <c r="K1315" s="549" t="s">
        <v>976</v>
      </c>
      <c r="L1315" s="549">
        <v>431100.46</v>
      </c>
      <c r="M1315" s="549">
        <v>32548.080000000002</v>
      </c>
      <c r="N1315" s="549">
        <v>24745.17</v>
      </c>
      <c r="O1315" s="549">
        <v>3968</v>
      </c>
      <c r="P1315" s="549">
        <v>86.35</v>
      </c>
      <c r="Q1315" s="549">
        <v>52899.09</v>
      </c>
    </row>
    <row r="1316" spans="1:17" x14ac:dyDescent="0.25">
      <c r="A1316" s="549" t="s">
        <v>518</v>
      </c>
      <c r="B1316" s="549" t="s">
        <v>1009</v>
      </c>
      <c r="C1316" s="549" t="s">
        <v>534</v>
      </c>
      <c r="D1316" s="549" t="s">
        <v>645</v>
      </c>
      <c r="E1316" s="549" t="s">
        <v>977</v>
      </c>
      <c r="F1316" s="549" t="s">
        <v>1212</v>
      </c>
      <c r="G1316" s="549">
        <v>42</v>
      </c>
      <c r="H1316" s="549" t="s">
        <v>641</v>
      </c>
      <c r="I1316" s="549" t="s">
        <v>976</v>
      </c>
      <c r="J1316" s="549" t="s">
        <v>976</v>
      </c>
      <c r="K1316" s="549" t="s">
        <v>976</v>
      </c>
      <c r="L1316" s="549">
        <v>504629.39</v>
      </c>
      <c r="M1316" s="549">
        <v>38099.519999999997</v>
      </c>
      <c r="N1316" s="549">
        <v>11152.31</v>
      </c>
      <c r="O1316" s="549">
        <v>3968</v>
      </c>
      <c r="P1316" s="549">
        <v>0.56000000000000005</v>
      </c>
      <c r="Q1316" s="549">
        <v>298.02999999999997</v>
      </c>
    </row>
    <row r="1317" spans="1:17" x14ac:dyDescent="0.25">
      <c r="A1317" s="549" t="s">
        <v>518</v>
      </c>
      <c r="B1317" s="549" t="s">
        <v>1009</v>
      </c>
      <c r="C1317" s="549" t="s">
        <v>534</v>
      </c>
      <c r="D1317" s="549" t="s">
        <v>645</v>
      </c>
      <c r="E1317" s="549" t="s">
        <v>977</v>
      </c>
      <c r="F1317" s="549" t="s">
        <v>1212</v>
      </c>
      <c r="G1317" s="549">
        <v>72</v>
      </c>
      <c r="H1317" s="549" t="s">
        <v>641</v>
      </c>
      <c r="I1317" s="549" t="s">
        <v>976</v>
      </c>
      <c r="J1317" s="549" t="s">
        <v>976</v>
      </c>
      <c r="K1317" s="549" t="s">
        <v>976</v>
      </c>
      <c r="L1317" s="549">
        <v>504629.39</v>
      </c>
      <c r="M1317" s="549">
        <v>38099.519999999997</v>
      </c>
      <c r="N1317" s="549">
        <v>11152.31</v>
      </c>
      <c r="O1317" s="549">
        <v>3968</v>
      </c>
      <c r="P1317" s="549">
        <v>0.43</v>
      </c>
      <c r="Q1317" s="549">
        <v>228.85</v>
      </c>
    </row>
    <row r="1318" spans="1:17" x14ac:dyDescent="0.25">
      <c r="A1318" s="549" t="s">
        <v>518</v>
      </c>
      <c r="B1318" s="549" t="s">
        <v>1009</v>
      </c>
      <c r="C1318" s="549" t="s">
        <v>534</v>
      </c>
      <c r="D1318" s="549" t="s">
        <v>645</v>
      </c>
      <c r="E1318" s="549" t="s">
        <v>977</v>
      </c>
      <c r="F1318" s="549" t="s">
        <v>1212</v>
      </c>
      <c r="G1318" s="549">
        <v>132</v>
      </c>
      <c r="H1318" s="549" t="s">
        <v>652</v>
      </c>
      <c r="I1318" s="549" t="s">
        <v>976</v>
      </c>
      <c r="J1318" s="549" t="s">
        <v>976</v>
      </c>
      <c r="K1318" s="549" t="s">
        <v>976</v>
      </c>
      <c r="L1318" s="549">
        <v>504629.39</v>
      </c>
      <c r="M1318" s="549">
        <v>38099.519999999997</v>
      </c>
      <c r="N1318" s="549">
        <v>11152.31</v>
      </c>
      <c r="O1318" s="549">
        <v>4960</v>
      </c>
      <c r="P1318" s="549">
        <v>0.43</v>
      </c>
      <c r="Q1318" s="549">
        <v>233.11</v>
      </c>
    </row>
    <row r="1319" spans="1:17" x14ac:dyDescent="0.25">
      <c r="A1319" s="549" t="s">
        <v>518</v>
      </c>
      <c r="B1319" s="549" t="s">
        <v>1009</v>
      </c>
      <c r="C1319" s="549" t="s">
        <v>534</v>
      </c>
      <c r="D1319" s="549" t="s">
        <v>645</v>
      </c>
      <c r="E1319" s="549" t="s">
        <v>977</v>
      </c>
      <c r="F1319" s="549" t="s">
        <v>1212</v>
      </c>
      <c r="G1319" s="549" t="s">
        <v>1215</v>
      </c>
      <c r="H1319" s="549" t="s">
        <v>652</v>
      </c>
      <c r="I1319" s="549" t="s">
        <v>976</v>
      </c>
      <c r="J1319" s="549" t="s">
        <v>976</v>
      </c>
      <c r="K1319" s="549" t="s">
        <v>976</v>
      </c>
      <c r="L1319" s="549">
        <v>48805.45</v>
      </c>
      <c r="M1319" s="549">
        <v>3684.81</v>
      </c>
      <c r="N1319" s="549">
        <v>1078.5999999999999</v>
      </c>
      <c r="O1319" s="549">
        <v>0</v>
      </c>
      <c r="P1319" s="549">
        <v>0.43</v>
      </c>
      <c r="Q1319" s="549">
        <v>20.48</v>
      </c>
    </row>
    <row r="1320" spans="1:17" x14ac:dyDescent="0.25">
      <c r="A1320" s="549" t="s">
        <v>518</v>
      </c>
      <c r="B1320" s="549" t="s">
        <v>1009</v>
      </c>
      <c r="C1320" s="549" t="s">
        <v>534</v>
      </c>
      <c r="D1320" s="549" t="s">
        <v>645</v>
      </c>
      <c r="E1320" s="549" t="s">
        <v>977</v>
      </c>
      <c r="F1320" s="549" t="s">
        <v>1212</v>
      </c>
      <c r="G1320" s="549">
        <v>35</v>
      </c>
      <c r="H1320" s="549" t="s">
        <v>534</v>
      </c>
      <c r="I1320" s="549" t="s">
        <v>976</v>
      </c>
      <c r="J1320" s="549" t="s">
        <v>976</v>
      </c>
      <c r="K1320" s="549" t="s">
        <v>976</v>
      </c>
      <c r="L1320" s="549">
        <v>49969.68</v>
      </c>
      <c r="M1320" s="549">
        <v>3772.71</v>
      </c>
      <c r="N1320" s="549">
        <v>1104.33</v>
      </c>
      <c r="O1320" s="549">
        <v>892.8</v>
      </c>
      <c r="P1320" s="549">
        <v>100</v>
      </c>
      <c r="Q1320" s="549">
        <v>5769.84</v>
      </c>
    </row>
    <row r="1321" spans="1:17" x14ac:dyDescent="0.25">
      <c r="A1321" s="549" t="s">
        <v>518</v>
      </c>
      <c r="B1321" s="549" t="s">
        <v>1009</v>
      </c>
      <c r="C1321" s="549" t="s">
        <v>534</v>
      </c>
      <c r="D1321" s="549" t="s">
        <v>645</v>
      </c>
      <c r="E1321" s="549" t="s">
        <v>977</v>
      </c>
      <c r="F1321" s="549" t="s">
        <v>1212</v>
      </c>
      <c r="G1321" s="549">
        <v>37</v>
      </c>
      <c r="H1321" s="549" t="s">
        <v>534</v>
      </c>
      <c r="I1321" s="549" t="s">
        <v>976</v>
      </c>
      <c r="J1321" s="549" t="s">
        <v>976</v>
      </c>
      <c r="K1321" s="549" t="s">
        <v>976</v>
      </c>
      <c r="L1321" s="549">
        <v>52847.08</v>
      </c>
      <c r="M1321" s="549">
        <v>3989.95</v>
      </c>
      <c r="N1321" s="549">
        <v>1167.92</v>
      </c>
      <c r="O1321" s="549">
        <v>992</v>
      </c>
      <c r="P1321" s="549">
        <v>0.56000000000000005</v>
      </c>
      <c r="Q1321" s="549">
        <v>34.44</v>
      </c>
    </row>
    <row r="1322" spans="1:17" x14ac:dyDescent="0.25">
      <c r="A1322" s="549" t="s">
        <v>518</v>
      </c>
      <c r="B1322" s="549" t="s">
        <v>1009</v>
      </c>
      <c r="C1322" s="549" t="s">
        <v>534</v>
      </c>
      <c r="D1322" s="549" t="s">
        <v>645</v>
      </c>
      <c r="E1322" s="549" t="s">
        <v>977</v>
      </c>
      <c r="F1322" s="549" t="s">
        <v>1212</v>
      </c>
      <c r="G1322" s="549">
        <v>38</v>
      </c>
      <c r="H1322" s="549" t="s">
        <v>534</v>
      </c>
      <c r="I1322" s="549" t="s">
        <v>976</v>
      </c>
      <c r="J1322" s="549" t="s">
        <v>976</v>
      </c>
      <c r="K1322" s="549" t="s">
        <v>976</v>
      </c>
      <c r="L1322" s="549">
        <v>0.01</v>
      </c>
      <c r="M1322" s="549">
        <v>0</v>
      </c>
      <c r="N1322" s="549">
        <v>0</v>
      </c>
      <c r="O1322" s="549">
        <v>0</v>
      </c>
      <c r="P1322" s="549">
        <v>0.65</v>
      </c>
      <c r="Q1322" s="549">
        <v>0</v>
      </c>
    </row>
    <row r="1323" spans="1:17" x14ac:dyDescent="0.25">
      <c r="A1323" s="549" t="s">
        <v>518</v>
      </c>
      <c r="B1323" s="549" t="s">
        <v>1009</v>
      </c>
      <c r="C1323" s="549" t="s">
        <v>534</v>
      </c>
      <c r="D1323" s="549" t="s">
        <v>645</v>
      </c>
      <c r="E1323" s="549" t="s">
        <v>977</v>
      </c>
      <c r="F1323" s="549" t="s">
        <v>1212</v>
      </c>
      <c r="G1323" s="549">
        <v>72</v>
      </c>
      <c r="H1323" s="549" t="s">
        <v>534</v>
      </c>
      <c r="I1323" s="549" t="s">
        <v>976</v>
      </c>
      <c r="J1323" s="549" t="s">
        <v>976</v>
      </c>
      <c r="K1323" s="549" t="s">
        <v>976</v>
      </c>
      <c r="L1323" s="549">
        <v>431100.46</v>
      </c>
      <c r="M1323" s="549">
        <v>32548.080000000002</v>
      </c>
      <c r="N1323" s="549">
        <v>9527.32</v>
      </c>
      <c r="O1323" s="549">
        <v>3968</v>
      </c>
      <c r="P1323" s="549">
        <v>0.56000000000000005</v>
      </c>
      <c r="Q1323" s="549">
        <v>257.83999999999997</v>
      </c>
    </row>
    <row r="1324" spans="1:17" x14ac:dyDescent="0.25">
      <c r="A1324" s="549" t="s">
        <v>518</v>
      </c>
      <c r="B1324" s="549" t="s">
        <v>1009</v>
      </c>
      <c r="C1324" s="549" t="s">
        <v>533</v>
      </c>
      <c r="D1324" s="549" t="s">
        <v>457</v>
      </c>
      <c r="E1324" s="549" t="s">
        <v>973</v>
      </c>
      <c r="F1324" s="549" t="s">
        <v>1212</v>
      </c>
      <c r="G1324" s="549">
        <v>202</v>
      </c>
      <c r="H1324" s="549" t="s">
        <v>533</v>
      </c>
      <c r="I1324" s="549" t="s">
        <v>976</v>
      </c>
      <c r="J1324" s="549" t="s">
        <v>976</v>
      </c>
      <c r="K1324" s="549" t="s">
        <v>976</v>
      </c>
      <c r="L1324" s="549">
        <v>892972.4</v>
      </c>
      <c r="M1324" s="549">
        <v>67419.42</v>
      </c>
      <c r="N1324" s="549">
        <v>51256.62</v>
      </c>
      <c r="O1324" s="549">
        <v>3968</v>
      </c>
      <c r="P1324" s="549">
        <v>100</v>
      </c>
      <c r="Q1324" s="549">
        <v>122644.04</v>
      </c>
    </row>
    <row r="1325" spans="1:17" x14ac:dyDescent="0.25">
      <c r="A1325" s="549" t="s">
        <v>518</v>
      </c>
      <c r="B1325" s="549" t="s">
        <v>1009</v>
      </c>
      <c r="C1325" s="549" t="s">
        <v>533</v>
      </c>
      <c r="D1325" s="549" t="s">
        <v>457</v>
      </c>
      <c r="E1325" s="549" t="s">
        <v>973</v>
      </c>
      <c r="F1325" s="549" t="s">
        <v>1212</v>
      </c>
      <c r="G1325" s="549">
        <v>212</v>
      </c>
      <c r="H1325" s="549" t="s">
        <v>533</v>
      </c>
      <c r="I1325" s="549" t="s">
        <v>976</v>
      </c>
      <c r="J1325" s="549" t="s">
        <v>976</v>
      </c>
      <c r="K1325" s="549" t="s">
        <v>976</v>
      </c>
      <c r="L1325" s="549">
        <v>159529.99</v>
      </c>
      <c r="M1325" s="549">
        <v>12044.51</v>
      </c>
      <c r="N1325" s="549">
        <v>9157.02</v>
      </c>
      <c r="O1325" s="549">
        <v>892.8</v>
      </c>
      <c r="P1325" s="549">
        <v>100</v>
      </c>
      <c r="Q1325" s="549">
        <v>22094.33</v>
      </c>
    </row>
    <row r="1326" spans="1:17" x14ac:dyDescent="0.25">
      <c r="A1326" s="549" t="s">
        <v>518</v>
      </c>
      <c r="B1326" s="549" t="s">
        <v>1009</v>
      </c>
      <c r="C1326" s="549" t="s">
        <v>533</v>
      </c>
      <c r="D1326" s="549" t="s">
        <v>457</v>
      </c>
      <c r="E1326" s="549" t="s">
        <v>973</v>
      </c>
      <c r="F1326" s="549" t="s">
        <v>1212</v>
      </c>
      <c r="G1326" s="549">
        <v>302</v>
      </c>
      <c r="H1326" s="549" t="s">
        <v>533</v>
      </c>
      <c r="I1326" s="549" t="s">
        <v>976</v>
      </c>
      <c r="J1326" s="549" t="s">
        <v>976</v>
      </c>
      <c r="K1326" s="549" t="s">
        <v>976</v>
      </c>
      <c r="L1326" s="549">
        <v>892972.4</v>
      </c>
      <c r="M1326" s="549">
        <v>67419.42</v>
      </c>
      <c r="N1326" s="549">
        <v>51256.62</v>
      </c>
      <c r="O1326" s="549">
        <v>3968</v>
      </c>
      <c r="P1326" s="549">
        <v>100</v>
      </c>
      <c r="Q1326" s="549">
        <v>122644.04</v>
      </c>
    </row>
    <row r="1327" spans="1:17" x14ac:dyDescent="0.25">
      <c r="A1327" s="549" t="s">
        <v>518</v>
      </c>
      <c r="B1327" s="549" t="s">
        <v>1009</v>
      </c>
      <c r="C1327" s="549" t="s">
        <v>533</v>
      </c>
      <c r="D1327" s="549" t="s">
        <v>457</v>
      </c>
      <c r="E1327" s="549" t="s">
        <v>973</v>
      </c>
      <c r="F1327" s="549" t="s">
        <v>1212</v>
      </c>
      <c r="G1327" s="549">
        <v>312</v>
      </c>
      <c r="H1327" s="549" t="s">
        <v>533</v>
      </c>
      <c r="I1327" s="549" t="s">
        <v>976</v>
      </c>
      <c r="J1327" s="549" t="s">
        <v>976</v>
      </c>
      <c r="K1327" s="549" t="s">
        <v>976</v>
      </c>
      <c r="L1327" s="549">
        <v>159529.99</v>
      </c>
      <c r="M1327" s="549">
        <v>12044.51</v>
      </c>
      <c r="N1327" s="549">
        <v>9157.02</v>
      </c>
      <c r="O1327" s="549">
        <v>892.8</v>
      </c>
      <c r="P1327" s="549">
        <v>100</v>
      </c>
      <c r="Q1327" s="549">
        <v>22094.33</v>
      </c>
    </row>
    <row r="1328" spans="1:17" x14ac:dyDescent="0.25">
      <c r="A1328" s="549" t="s">
        <v>518</v>
      </c>
      <c r="B1328" s="549" t="s">
        <v>1009</v>
      </c>
      <c r="C1328" s="549" t="s">
        <v>533</v>
      </c>
      <c r="D1328" s="549" t="s">
        <v>457</v>
      </c>
      <c r="E1328" s="549" t="s">
        <v>973</v>
      </c>
      <c r="F1328" s="549" t="s">
        <v>1212</v>
      </c>
      <c r="G1328" s="549" t="s">
        <v>1314</v>
      </c>
      <c r="H1328" s="549" t="s">
        <v>533</v>
      </c>
      <c r="I1328" s="549" t="s">
        <v>976</v>
      </c>
      <c r="J1328" s="549" t="s">
        <v>976</v>
      </c>
      <c r="K1328" s="549" t="s">
        <v>976</v>
      </c>
      <c r="L1328" s="549">
        <v>146406.9</v>
      </c>
      <c r="M1328" s="549">
        <v>11053.72</v>
      </c>
      <c r="N1328" s="549">
        <v>8403.76</v>
      </c>
      <c r="O1328" s="549">
        <v>1984</v>
      </c>
      <c r="P1328" s="549">
        <v>100</v>
      </c>
      <c r="Q1328" s="549">
        <v>21441.48</v>
      </c>
    </row>
    <row r="1329" spans="1:17" x14ac:dyDescent="0.25">
      <c r="A1329" s="549" t="s">
        <v>518</v>
      </c>
      <c r="B1329" s="549" t="s">
        <v>1009</v>
      </c>
      <c r="C1329" s="549" t="s">
        <v>533</v>
      </c>
      <c r="D1329" s="549" t="s">
        <v>457</v>
      </c>
      <c r="E1329" s="549" t="s">
        <v>973</v>
      </c>
      <c r="F1329" s="549" t="s">
        <v>1212</v>
      </c>
      <c r="G1329" s="549" t="s">
        <v>1315</v>
      </c>
      <c r="H1329" s="549" t="s">
        <v>533</v>
      </c>
      <c r="I1329" s="549" t="s">
        <v>976</v>
      </c>
      <c r="J1329" s="549" t="s">
        <v>976</v>
      </c>
      <c r="K1329" s="549" t="s">
        <v>976</v>
      </c>
      <c r="L1329" s="549">
        <v>0.02</v>
      </c>
      <c r="M1329" s="549">
        <v>0</v>
      </c>
      <c r="N1329" s="549">
        <v>0</v>
      </c>
      <c r="O1329" s="549">
        <v>0</v>
      </c>
      <c r="P1329" s="549">
        <v>100</v>
      </c>
      <c r="Q1329" s="549">
        <v>0</v>
      </c>
    </row>
    <row r="1330" spans="1:17" x14ac:dyDescent="0.25">
      <c r="A1330" s="549" t="s">
        <v>518</v>
      </c>
      <c r="B1330" s="549" t="s">
        <v>1009</v>
      </c>
      <c r="C1330" s="549" t="s">
        <v>533</v>
      </c>
      <c r="D1330" s="549" t="s">
        <v>457</v>
      </c>
      <c r="E1330" s="549" t="s">
        <v>973</v>
      </c>
      <c r="F1330" s="549" t="s">
        <v>1212</v>
      </c>
      <c r="G1330" s="549" t="s">
        <v>1316</v>
      </c>
      <c r="H1330" s="549" t="s">
        <v>533</v>
      </c>
      <c r="I1330" s="549" t="s">
        <v>976</v>
      </c>
      <c r="J1330" s="549" t="s">
        <v>976</v>
      </c>
      <c r="K1330" s="549" t="s">
        <v>976</v>
      </c>
      <c r="L1330" s="549">
        <v>0.02</v>
      </c>
      <c r="M1330" s="549">
        <v>0</v>
      </c>
      <c r="N1330" s="549">
        <v>0</v>
      </c>
      <c r="O1330" s="549">
        <v>0</v>
      </c>
      <c r="P1330" s="549">
        <v>100</v>
      </c>
      <c r="Q1330" s="549">
        <v>0</v>
      </c>
    </row>
    <row r="1331" spans="1:17" x14ac:dyDescent="0.25">
      <c r="A1331" s="549" t="s">
        <v>518</v>
      </c>
      <c r="B1331" s="549" t="s">
        <v>1009</v>
      </c>
      <c r="C1331" s="549" t="s">
        <v>533</v>
      </c>
      <c r="D1331" s="549" t="s">
        <v>457</v>
      </c>
      <c r="E1331" s="549" t="s">
        <v>977</v>
      </c>
      <c r="F1331" s="549" t="s">
        <v>1212</v>
      </c>
      <c r="G1331" s="549">
        <v>202</v>
      </c>
      <c r="H1331" s="549" t="s">
        <v>533</v>
      </c>
      <c r="I1331" s="549" t="s">
        <v>976</v>
      </c>
      <c r="J1331" s="549" t="s">
        <v>976</v>
      </c>
      <c r="K1331" s="549" t="s">
        <v>976</v>
      </c>
      <c r="L1331" s="549">
        <v>892972.4</v>
      </c>
      <c r="M1331" s="549">
        <v>67419.42</v>
      </c>
      <c r="N1331" s="549">
        <v>19734.689999999999</v>
      </c>
      <c r="O1331" s="549">
        <v>3968</v>
      </c>
      <c r="P1331" s="549">
        <v>0</v>
      </c>
      <c r="Q1331" s="549">
        <v>0</v>
      </c>
    </row>
    <row r="1332" spans="1:17" x14ac:dyDescent="0.25">
      <c r="A1332" s="549" t="s">
        <v>518</v>
      </c>
      <c r="B1332" s="549" t="s">
        <v>1009</v>
      </c>
      <c r="C1332" s="549" t="s">
        <v>533</v>
      </c>
      <c r="D1332" s="549" t="s">
        <v>457</v>
      </c>
      <c r="E1332" s="549" t="s">
        <v>977</v>
      </c>
      <c r="F1332" s="549" t="s">
        <v>1212</v>
      </c>
      <c r="G1332" s="549">
        <v>212</v>
      </c>
      <c r="H1332" s="549" t="s">
        <v>533</v>
      </c>
      <c r="I1332" s="549" t="s">
        <v>976</v>
      </c>
      <c r="J1332" s="549" t="s">
        <v>976</v>
      </c>
      <c r="K1332" s="549" t="s">
        <v>976</v>
      </c>
      <c r="L1332" s="549">
        <v>159529.99</v>
      </c>
      <c r="M1332" s="549">
        <v>12044.51</v>
      </c>
      <c r="N1332" s="549">
        <v>3525.61</v>
      </c>
      <c r="O1332" s="549">
        <v>892.8</v>
      </c>
      <c r="P1332" s="549">
        <v>0</v>
      </c>
      <c r="Q1332" s="549">
        <v>0</v>
      </c>
    </row>
    <row r="1333" spans="1:17" x14ac:dyDescent="0.25">
      <c r="A1333" s="549" t="s">
        <v>518</v>
      </c>
      <c r="B1333" s="549" t="s">
        <v>1009</v>
      </c>
      <c r="C1333" s="549" t="s">
        <v>533</v>
      </c>
      <c r="D1333" s="549" t="s">
        <v>457</v>
      </c>
      <c r="E1333" s="549" t="s">
        <v>977</v>
      </c>
      <c r="F1333" s="549" t="s">
        <v>1212</v>
      </c>
      <c r="G1333" s="549">
        <v>302</v>
      </c>
      <c r="H1333" s="549" t="s">
        <v>533</v>
      </c>
      <c r="I1333" s="549" t="s">
        <v>976</v>
      </c>
      <c r="J1333" s="549" t="s">
        <v>976</v>
      </c>
      <c r="K1333" s="549" t="s">
        <v>976</v>
      </c>
      <c r="L1333" s="549">
        <v>892972.4</v>
      </c>
      <c r="M1333" s="549">
        <v>67419.42</v>
      </c>
      <c r="N1333" s="549">
        <v>19734.689999999999</v>
      </c>
      <c r="O1333" s="549">
        <v>3968</v>
      </c>
      <c r="P1333" s="549">
        <v>0</v>
      </c>
      <c r="Q1333" s="549">
        <v>0</v>
      </c>
    </row>
    <row r="1334" spans="1:17" x14ac:dyDescent="0.25">
      <c r="A1334" s="549" t="s">
        <v>518</v>
      </c>
      <c r="B1334" s="549" t="s">
        <v>1009</v>
      </c>
      <c r="C1334" s="549" t="s">
        <v>533</v>
      </c>
      <c r="D1334" s="549" t="s">
        <v>457</v>
      </c>
      <c r="E1334" s="549" t="s">
        <v>977</v>
      </c>
      <c r="F1334" s="549" t="s">
        <v>1212</v>
      </c>
      <c r="G1334" s="549">
        <v>312</v>
      </c>
      <c r="H1334" s="549" t="s">
        <v>533</v>
      </c>
      <c r="I1334" s="549" t="s">
        <v>976</v>
      </c>
      <c r="J1334" s="549" t="s">
        <v>976</v>
      </c>
      <c r="K1334" s="549" t="s">
        <v>976</v>
      </c>
      <c r="L1334" s="549">
        <v>159529.99</v>
      </c>
      <c r="M1334" s="549">
        <v>12044.51</v>
      </c>
      <c r="N1334" s="549">
        <v>3525.61</v>
      </c>
      <c r="O1334" s="549">
        <v>892.8</v>
      </c>
      <c r="P1334" s="549">
        <v>0</v>
      </c>
      <c r="Q1334" s="549">
        <v>0</v>
      </c>
    </row>
    <row r="1335" spans="1:17" x14ac:dyDescent="0.25">
      <c r="A1335" s="549" t="s">
        <v>518</v>
      </c>
      <c r="B1335" s="549" t="s">
        <v>1009</v>
      </c>
      <c r="C1335" s="549" t="s">
        <v>533</v>
      </c>
      <c r="D1335" s="549" t="s">
        <v>457</v>
      </c>
      <c r="E1335" s="549" t="s">
        <v>977</v>
      </c>
      <c r="F1335" s="549" t="s">
        <v>1212</v>
      </c>
      <c r="G1335" s="549" t="s">
        <v>1314</v>
      </c>
      <c r="H1335" s="549" t="s">
        <v>533</v>
      </c>
      <c r="I1335" s="549" t="s">
        <v>976</v>
      </c>
      <c r="J1335" s="549" t="s">
        <v>976</v>
      </c>
      <c r="K1335" s="549" t="s">
        <v>976</v>
      </c>
      <c r="L1335" s="549">
        <v>146406.9</v>
      </c>
      <c r="M1335" s="549">
        <v>11053.72</v>
      </c>
      <c r="N1335" s="549">
        <v>3235.59</v>
      </c>
      <c r="O1335" s="549">
        <v>1984</v>
      </c>
      <c r="P1335" s="549">
        <v>0</v>
      </c>
      <c r="Q1335" s="549">
        <v>0</v>
      </c>
    </row>
    <row r="1336" spans="1:17" x14ac:dyDescent="0.25">
      <c r="A1336" s="549" t="s">
        <v>518</v>
      </c>
      <c r="B1336" s="549" t="s">
        <v>1009</v>
      </c>
      <c r="C1336" s="549" t="s">
        <v>533</v>
      </c>
      <c r="D1336" s="549" t="s">
        <v>457</v>
      </c>
      <c r="E1336" s="549" t="s">
        <v>977</v>
      </c>
      <c r="F1336" s="549" t="s">
        <v>1212</v>
      </c>
      <c r="G1336" s="549" t="s">
        <v>1315</v>
      </c>
      <c r="H1336" s="549" t="s">
        <v>533</v>
      </c>
      <c r="I1336" s="549" t="s">
        <v>976</v>
      </c>
      <c r="J1336" s="549" t="s">
        <v>976</v>
      </c>
      <c r="K1336" s="549" t="s">
        <v>976</v>
      </c>
      <c r="L1336" s="549">
        <v>0.02</v>
      </c>
      <c r="M1336" s="549">
        <v>0</v>
      </c>
      <c r="N1336" s="549">
        <v>0</v>
      </c>
      <c r="O1336" s="549">
        <v>0</v>
      </c>
      <c r="P1336" s="549">
        <v>0</v>
      </c>
      <c r="Q1336" s="549">
        <v>0</v>
      </c>
    </row>
    <row r="1337" spans="1:17" x14ac:dyDescent="0.25">
      <c r="A1337" s="549" t="s">
        <v>518</v>
      </c>
      <c r="B1337" s="549" t="s">
        <v>1009</v>
      </c>
      <c r="C1337" s="549" t="s">
        <v>533</v>
      </c>
      <c r="D1337" s="549" t="s">
        <v>457</v>
      </c>
      <c r="E1337" s="549" t="s">
        <v>977</v>
      </c>
      <c r="F1337" s="549" t="s">
        <v>1212</v>
      </c>
      <c r="G1337" s="549" t="s">
        <v>1316</v>
      </c>
      <c r="H1337" s="549" t="s">
        <v>533</v>
      </c>
      <c r="I1337" s="549" t="s">
        <v>976</v>
      </c>
      <c r="J1337" s="549" t="s">
        <v>976</v>
      </c>
      <c r="K1337" s="549" t="s">
        <v>976</v>
      </c>
      <c r="L1337" s="549">
        <v>0.02</v>
      </c>
      <c r="M1337" s="549">
        <v>0</v>
      </c>
      <c r="N1337" s="549">
        <v>0</v>
      </c>
      <c r="O1337" s="549">
        <v>0</v>
      </c>
      <c r="P1337" s="549">
        <v>0</v>
      </c>
      <c r="Q1337" s="549">
        <v>0</v>
      </c>
    </row>
    <row r="1338" spans="1:17" x14ac:dyDescent="0.25">
      <c r="A1338" s="549" t="s">
        <v>518</v>
      </c>
      <c r="B1338" s="549" t="s">
        <v>1009</v>
      </c>
      <c r="C1338" s="549" t="s">
        <v>519</v>
      </c>
      <c r="D1338" s="549" t="s">
        <v>492</v>
      </c>
      <c r="E1338" s="549" t="s">
        <v>973</v>
      </c>
      <c r="F1338" s="549" t="s">
        <v>1212</v>
      </c>
      <c r="G1338" s="549">
        <v>62</v>
      </c>
      <c r="H1338" s="549" t="s">
        <v>519</v>
      </c>
      <c r="I1338" s="549" t="s">
        <v>976</v>
      </c>
      <c r="J1338" s="549" t="s">
        <v>976</v>
      </c>
      <c r="K1338" s="549" t="s">
        <v>976</v>
      </c>
      <c r="L1338" s="549">
        <v>892972.4</v>
      </c>
      <c r="M1338" s="549">
        <v>67419.42</v>
      </c>
      <c r="N1338" s="549">
        <v>51256.62</v>
      </c>
      <c r="O1338" s="549">
        <v>3968</v>
      </c>
      <c r="P1338" s="549">
        <v>94.78</v>
      </c>
      <c r="Q1338" s="549">
        <v>116242.02</v>
      </c>
    </row>
    <row r="1339" spans="1:17" x14ac:dyDescent="0.25">
      <c r="A1339" s="549" t="s">
        <v>518</v>
      </c>
      <c r="B1339" s="549" t="s">
        <v>1009</v>
      </c>
      <c r="C1339" s="549" t="s">
        <v>519</v>
      </c>
      <c r="D1339" s="549" t="s">
        <v>492</v>
      </c>
      <c r="E1339" s="549" t="s">
        <v>973</v>
      </c>
      <c r="F1339" s="549" t="s">
        <v>1212</v>
      </c>
      <c r="G1339" s="549">
        <v>67</v>
      </c>
      <c r="H1339" s="549" t="s">
        <v>519</v>
      </c>
      <c r="I1339" s="549" t="s">
        <v>976</v>
      </c>
      <c r="J1339" s="549" t="s">
        <v>976</v>
      </c>
      <c r="K1339" s="549" t="s">
        <v>976</v>
      </c>
      <c r="L1339" s="549">
        <v>22696.29</v>
      </c>
      <c r="M1339" s="549">
        <v>1713.57</v>
      </c>
      <c r="N1339" s="549">
        <v>1302.77</v>
      </c>
      <c r="O1339" s="549">
        <v>992</v>
      </c>
      <c r="P1339" s="549">
        <v>94.78</v>
      </c>
      <c r="Q1339" s="549">
        <v>3799.1</v>
      </c>
    </row>
    <row r="1340" spans="1:17" x14ac:dyDescent="0.25">
      <c r="A1340" s="549" t="s">
        <v>518</v>
      </c>
      <c r="B1340" s="549" t="s">
        <v>1009</v>
      </c>
      <c r="C1340" s="549" t="s">
        <v>519</v>
      </c>
      <c r="D1340" s="549" t="s">
        <v>492</v>
      </c>
      <c r="E1340" s="549" t="s">
        <v>973</v>
      </c>
      <c r="F1340" s="549" t="s">
        <v>1212</v>
      </c>
      <c r="G1340" s="549">
        <v>72</v>
      </c>
      <c r="H1340" s="549" t="s">
        <v>519</v>
      </c>
      <c r="I1340" s="549" t="s">
        <v>976</v>
      </c>
      <c r="J1340" s="549" t="s">
        <v>976</v>
      </c>
      <c r="K1340" s="549" t="s">
        <v>976</v>
      </c>
      <c r="L1340" s="549">
        <v>473331.21</v>
      </c>
      <c r="M1340" s="549">
        <v>35736.51</v>
      </c>
      <c r="N1340" s="549">
        <v>27169.21</v>
      </c>
      <c r="O1340" s="549">
        <v>1984</v>
      </c>
      <c r="P1340" s="549">
        <v>94.78</v>
      </c>
      <c r="Q1340" s="549">
        <v>61502.48</v>
      </c>
    </row>
    <row r="1341" spans="1:17" x14ac:dyDescent="0.25">
      <c r="A1341" s="549" t="s">
        <v>518</v>
      </c>
      <c r="B1341" s="549" t="s">
        <v>1009</v>
      </c>
      <c r="C1341" s="549" t="s">
        <v>519</v>
      </c>
      <c r="D1341" s="549" t="s">
        <v>492</v>
      </c>
      <c r="E1341" s="549" t="s">
        <v>973</v>
      </c>
      <c r="F1341" s="549" t="s">
        <v>1212</v>
      </c>
      <c r="G1341" s="549">
        <v>77</v>
      </c>
      <c r="H1341" s="549" t="s">
        <v>519</v>
      </c>
      <c r="I1341" s="549" t="s">
        <v>976</v>
      </c>
      <c r="J1341" s="549" t="s">
        <v>976</v>
      </c>
      <c r="K1341" s="549" t="s">
        <v>976</v>
      </c>
      <c r="L1341" s="549">
        <v>22696.29</v>
      </c>
      <c r="M1341" s="549">
        <v>1713.57</v>
      </c>
      <c r="N1341" s="549">
        <v>1302.77</v>
      </c>
      <c r="O1341" s="549">
        <v>992</v>
      </c>
      <c r="P1341" s="549">
        <v>94.78</v>
      </c>
      <c r="Q1341" s="549">
        <v>3799.1</v>
      </c>
    </row>
    <row r="1342" spans="1:17" x14ac:dyDescent="0.25">
      <c r="A1342" s="549" t="s">
        <v>518</v>
      </c>
      <c r="B1342" s="549" t="s">
        <v>1009</v>
      </c>
      <c r="C1342" s="549" t="s">
        <v>519</v>
      </c>
      <c r="D1342" s="549" t="s">
        <v>492</v>
      </c>
      <c r="E1342" s="549" t="s">
        <v>973</v>
      </c>
      <c r="F1342" s="549" t="s">
        <v>1212</v>
      </c>
      <c r="G1342" s="549">
        <v>82</v>
      </c>
      <c r="H1342" s="549" t="s">
        <v>519</v>
      </c>
      <c r="I1342" s="549" t="s">
        <v>976</v>
      </c>
      <c r="J1342" s="549" t="s">
        <v>976</v>
      </c>
      <c r="K1342" s="549" t="s">
        <v>976</v>
      </c>
      <c r="L1342" s="549">
        <v>892972.4</v>
      </c>
      <c r="M1342" s="549">
        <v>67419.42</v>
      </c>
      <c r="N1342" s="549">
        <v>51256.62</v>
      </c>
      <c r="O1342" s="549">
        <v>3968</v>
      </c>
      <c r="P1342" s="549">
        <v>94.78</v>
      </c>
      <c r="Q1342" s="549">
        <v>116242.02</v>
      </c>
    </row>
    <row r="1343" spans="1:17" x14ac:dyDescent="0.25">
      <c r="A1343" s="549" t="s">
        <v>518</v>
      </c>
      <c r="B1343" s="549" t="s">
        <v>1009</v>
      </c>
      <c r="C1343" s="549" t="s">
        <v>519</v>
      </c>
      <c r="D1343" s="549" t="s">
        <v>492</v>
      </c>
      <c r="E1343" s="549" t="s">
        <v>973</v>
      </c>
      <c r="F1343" s="549" t="s">
        <v>1212</v>
      </c>
      <c r="G1343" s="549">
        <v>87</v>
      </c>
      <c r="H1343" s="549" t="s">
        <v>519</v>
      </c>
      <c r="I1343" s="549" t="s">
        <v>976</v>
      </c>
      <c r="J1343" s="549" t="s">
        <v>976</v>
      </c>
      <c r="K1343" s="549" t="s">
        <v>976</v>
      </c>
      <c r="L1343" s="549">
        <v>0.02</v>
      </c>
      <c r="M1343" s="549">
        <v>0</v>
      </c>
      <c r="N1343" s="549">
        <v>0</v>
      </c>
      <c r="O1343" s="549">
        <v>992</v>
      </c>
      <c r="P1343" s="549">
        <v>94.78</v>
      </c>
      <c r="Q1343" s="549">
        <v>940.22</v>
      </c>
    </row>
    <row r="1344" spans="1:17" x14ac:dyDescent="0.25">
      <c r="A1344" s="549" t="s">
        <v>518</v>
      </c>
      <c r="B1344" s="549" t="s">
        <v>1009</v>
      </c>
      <c r="C1344" s="549" t="s">
        <v>519</v>
      </c>
      <c r="D1344" s="549" t="s">
        <v>492</v>
      </c>
      <c r="E1344" s="549" t="s">
        <v>973</v>
      </c>
      <c r="F1344" s="549" t="s">
        <v>1212</v>
      </c>
      <c r="G1344" s="549">
        <v>94</v>
      </c>
      <c r="H1344" s="549" t="s">
        <v>519</v>
      </c>
      <c r="I1344" s="549" t="s">
        <v>976</v>
      </c>
      <c r="J1344" s="549" t="s">
        <v>976</v>
      </c>
      <c r="K1344" s="549" t="s">
        <v>976</v>
      </c>
      <c r="L1344" s="549">
        <v>159529.99</v>
      </c>
      <c r="M1344" s="549">
        <v>12044.51</v>
      </c>
      <c r="N1344" s="549">
        <v>9157.02</v>
      </c>
      <c r="O1344" s="549">
        <v>892.8</v>
      </c>
      <c r="P1344" s="549">
        <v>97.96</v>
      </c>
      <c r="Q1344" s="549">
        <v>21643.61</v>
      </c>
    </row>
    <row r="1345" spans="1:17" x14ac:dyDescent="0.25">
      <c r="A1345" s="549" t="s">
        <v>518</v>
      </c>
      <c r="B1345" s="549" t="s">
        <v>1009</v>
      </c>
      <c r="C1345" s="549" t="s">
        <v>519</v>
      </c>
      <c r="D1345" s="549" t="s">
        <v>492</v>
      </c>
      <c r="E1345" s="549" t="s">
        <v>973</v>
      </c>
      <c r="F1345" s="549" t="s">
        <v>1212</v>
      </c>
      <c r="G1345" s="549">
        <v>97</v>
      </c>
      <c r="H1345" s="549" t="s">
        <v>519</v>
      </c>
      <c r="I1345" s="549" t="s">
        <v>976</v>
      </c>
      <c r="J1345" s="549" t="s">
        <v>976</v>
      </c>
      <c r="K1345" s="549" t="s">
        <v>976</v>
      </c>
      <c r="L1345" s="549">
        <v>22696.29</v>
      </c>
      <c r="M1345" s="549">
        <v>1713.57</v>
      </c>
      <c r="N1345" s="549">
        <v>1302.77</v>
      </c>
      <c r="O1345" s="549">
        <v>992</v>
      </c>
      <c r="P1345" s="549">
        <v>94.78</v>
      </c>
      <c r="Q1345" s="549">
        <v>3799.1</v>
      </c>
    </row>
    <row r="1346" spans="1:17" x14ac:dyDescent="0.25">
      <c r="A1346" s="549" t="s">
        <v>518</v>
      </c>
      <c r="B1346" s="549" t="s">
        <v>1009</v>
      </c>
      <c r="C1346" s="549" t="s">
        <v>519</v>
      </c>
      <c r="D1346" s="549" t="s">
        <v>492</v>
      </c>
      <c r="E1346" s="549" t="s">
        <v>973</v>
      </c>
      <c r="F1346" s="549" t="s">
        <v>1212</v>
      </c>
      <c r="G1346" s="549">
        <v>107</v>
      </c>
      <c r="H1346" s="549" t="s">
        <v>519</v>
      </c>
      <c r="I1346" s="549" t="s">
        <v>976</v>
      </c>
      <c r="J1346" s="549" t="s">
        <v>976</v>
      </c>
      <c r="K1346" s="549" t="s">
        <v>976</v>
      </c>
      <c r="L1346" s="549">
        <v>65372.09</v>
      </c>
      <c r="M1346" s="549">
        <v>4935.59</v>
      </c>
      <c r="N1346" s="549">
        <v>3752.36</v>
      </c>
      <c r="O1346" s="549">
        <v>992</v>
      </c>
      <c r="P1346" s="549">
        <v>94.78</v>
      </c>
      <c r="Q1346" s="549">
        <v>9174.66</v>
      </c>
    </row>
    <row r="1347" spans="1:17" x14ac:dyDescent="0.25">
      <c r="A1347" s="549" t="s">
        <v>518</v>
      </c>
      <c r="B1347" s="549" t="s">
        <v>1009</v>
      </c>
      <c r="C1347" s="549" t="s">
        <v>519</v>
      </c>
      <c r="D1347" s="549" t="s">
        <v>492</v>
      </c>
      <c r="E1347" s="549" t="s">
        <v>973</v>
      </c>
      <c r="F1347" s="549" t="s">
        <v>1212</v>
      </c>
      <c r="G1347" s="549">
        <v>114</v>
      </c>
      <c r="H1347" s="549" t="s">
        <v>519</v>
      </c>
      <c r="I1347" s="549" t="s">
        <v>976</v>
      </c>
      <c r="J1347" s="549" t="s">
        <v>976</v>
      </c>
      <c r="K1347" s="549" t="s">
        <v>976</v>
      </c>
      <c r="L1347" s="549">
        <v>159529.99</v>
      </c>
      <c r="M1347" s="549">
        <v>12044.51</v>
      </c>
      <c r="N1347" s="549">
        <v>9157.02</v>
      </c>
      <c r="O1347" s="549">
        <v>892.8</v>
      </c>
      <c r="P1347" s="549">
        <v>97.96</v>
      </c>
      <c r="Q1347" s="549">
        <v>21643.61</v>
      </c>
    </row>
    <row r="1348" spans="1:17" x14ac:dyDescent="0.25">
      <c r="A1348" s="549" t="s">
        <v>518</v>
      </c>
      <c r="B1348" s="549" t="s">
        <v>1009</v>
      </c>
      <c r="C1348" s="549" t="s">
        <v>519</v>
      </c>
      <c r="D1348" s="549" t="s">
        <v>492</v>
      </c>
      <c r="E1348" s="549" t="s">
        <v>973</v>
      </c>
      <c r="F1348" s="549" t="s">
        <v>1212</v>
      </c>
      <c r="G1348" s="549">
        <v>117</v>
      </c>
      <c r="H1348" s="549" t="s">
        <v>519</v>
      </c>
      <c r="I1348" s="549" t="s">
        <v>976</v>
      </c>
      <c r="J1348" s="549" t="s">
        <v>976</v>
      </c>
      <c r="K1348" s="549" t="s">
        <v>976</v>
      </c>
      <c r="L1348" s="549">
        <v>22696.29</v>
      </c>
      <c r="M1348" s="549">
        <v>1713.57</v>
      </c>
      <c r="N1348" s="549">
        <v>1302.77</v>
      </c>
      <c r="O1348" s="549">
        <v>992</v>
      </c>
      <c r="P1348" s="549">
        <v>94.78</v>
      </c>
      <c r="Q1348" s="549">
        <v>3799.1</v>
      </c>
    </row>
    <row r="1349" spans="1:17" x14ac:dyDescent="0.25">
      <c r="A1349" s="549" t="s">
        <v>518</v>
      </c>
      <c r="B1349" s="549" t="s">
        <v>1009</v>
      </c>
      <c r="C1349" s="549" t="s">
        <v>519</v>
      </c>
      <c r="D1349" s="549" t="s">
        <v>492</v>
      </c>
      <c r="E1349" s="549" t="s">
        <v>973</v>
      </c>
      <c r="F1349" s="549" t="s">
        <v>1212</v>
      </c>
      <c r="G1349" s="549">
        <v>127</v>
      </c>
      <c r="H1349" s="549" t="s">
        <v>519</v>
      </c>
      <c r="I1349" s="549" t="s">
        <v>976</v>
      </c>
      <c r="J1349" s="549" t="s">
        <v>976</v>
      </c>
      <c r="K1349" s="549" t="s">
        <v>976</v>
      </c>
      <c r="L1349" s="549">
        <v>22696.29</v>
      </c>
      <c r="M1349" s="549">
        <v>1713.57</v>
      </c>
      <c r="N1349" s="549">
        <v>1302.77</v>
      </c>
      <c r="O1349" s="549">
        <v>992</v>
      </c>
      <c r="P1349" s="549">
        <v>94.78</v>
      </c>
      <c r="Q1349" s="549">
        <v>3799.1</v>
      </c>
    </row>
    <row r="1350" spans="1:17" x14ac:dyDescent="0.25">
      <c r="A1350" s="549" t="s">
        <v>518</v>
      </c>
      <c r="B1350" s="549" t="s">
        <v>1009</v>
      </c>
      <c r="C1350" s="549" t="s">
        <v>519</v>
      </c>
      <c r="D1350" s="549" t="s">
        <v>492</v>
      </c>
      <c r="E1350" s="549" t="s">
        <v>973</v>
      </c>
      <c r="F1350" s="549" t="s">
        <v>1212</v>
      </c>
      <c r="G1350" s="549">
        <v>128</v>
      </c>
      <c r="H1350" s="549" t="s">
        <v>519</v>
      </c>
      <c r="I1350" s="549" t="s">
        <v>976</v>
      </c>
      <c r="J1350" s="549" t="s">
        <v>976</v>
      </c>
      <c r="K1350" s="549" t="s">
        <v>976</v>
      </c>
      <c r="L1350" s="549">
        <v>281765.2</v>
      </c>
      <c r="M1350" s="549">
        <v>21273.27</v>
      </c>
      <c r="N1350" s="549">
        <v>16173.32</v>
      </c>
      <c r="O1350" s="549">
        <v>2976</v>
      </c>
      <c r="P1350" s="549">
        <v>94.78</v>
      </c>
      <c r="Q1350" s="549">
        <v>38312.53</v>
      </c>
    </row>
    <row r="1351" spans="1:17" x14ac:dyDescent="0.25">
      <c r="A1351" s="549" t="s">
        <v>518</v>
      </c>
      <c r="B1351" s="549" t="s">
        <v>1009</v>
      </c>
      <c r="C1351" s="549" t="s">
        <v>519</v>
      </c>
      <c r="D1351" s="549" t="s">
        <v>492</v>
      </c>
      <c r="E1351" s="549" t="s">
        <v>973</v>
      </c>
      <c r="F1351" s="549" t="s">
        <v>1212</v>
      </c>
      <c r="G1351" s="549">
        <v>137</v>
      </c>
      <c r="H1351" s="549" t="s">
        <v>519</v>
      </c>
      <c r="I1351" s="549" t="s">
        <v>976</v>
      </c>
      <c r="J1351" s="549" t="s">
        <v>976</v>
      </c>
      <c r="K1351" s="549" t="s">
        <v>976</v>
      </c>
      <c r="L1351" s="549">
        <v>22696.29</v>
      </c>
      <c r="M1351" s="549">
        <v>1713.57</v>
      </c>
      <c r="N1351" s="549">
        <v>1302.77</v>
      </c>
      <c r="O1351" s="549">
        <v>992</v>
      </c>
      <c r="P1351" s="549">
        <v>94.78</v>
      </c>
      <c r="Q1351" s="549">
        <v>3799.1</v>
      </c>
    </row>
    <row r="1352" spans="1:17" x14ac:dyDescent="0.25">
      <c r="A1352" s="549" t="s">
        <v>518</v>
      </c>
      <c r="B1352" s="549" t="s">
        <v>1009</v>
      </c>
      <c r="C1352" s="549" t="s">
        <v>519</v>
      </c>
      <c r="D1352" s="549" t="s">
        <v>492</v>
      </c>
      <c r="E1352" s="549" t="s">
        <v>973</v>
      </c>
      <c r="F1352" s="549" t="s">
        <v>1212</v>
      </c>
      <c r="G1352" s="549">
        <v>142</v>
      </c>
      <c r="H1352" s="549" t="s">
        <v>519</v>
      </c>
      <c r="I1352" s="549" t="s">
        <v>976</v>
      </c>
      <c r="J1352" s="549" t="s">
        <v>976</v>
      </c>
      <c r="K1352" s="549" t="s">
        <v>976</v>
      </c>
      <c r="L1352" s="549">
        <v>892972.4</v>
      </c>
      <c r="M1352" s="549">
        <v>67419.42</v>
      </c>
      <c r="N1352" s="549">
        <v>51256.62</v>
      </c>
      <c r="O1352" s="549">
        <v>3968</v>
      </c>
      <c r="P1352" s="549">
        <v>94.78</v>
      </c>
      <c r="Q1352" s="549">
        <v>116242.02</v>
      </c>
    </row>
    <row r="1353" spans="1:17" x14ac:dyDescent="0.25">
      <c r="A1353" s="549" t="s">
        <v>518</v>
      </c>
      <c r="B1353" s="549" t="s">
        <v>1009</v>
      </c>
      <c r="C1353" s="549" t="s">
        <v>519</v>
      </c>
      <c r="D1353" s="549" t="s">
        <v>492</v>
      </c>
      <c r="E1353" s="549" t="s">
        <v>973</v>
      </c>
      <c r="F1353" s="549" t="s">
        <v>1212</v>
      </c>
      <c r="G1353" s="549">
        <v>147</v>
      </c>
      <c r="H1353" s="549" t="s">
        <v>519</v>
      </c>
      <c r="I1353" s="549" t="s">
        <v>976</v>
      </c>
      <c r="J1353" s="549" t="s">
        <v>976</v>
      </c>
      <c r="K1353" s="549" t="s">
        <v>976</v>
      </c>
      <c r="L1353" s="549">
        <v>22696.29</v>
      </c>
      <c r="M1353" s="549">
        <v>1713.57</v>
      </c>
      <c r="N1353" s="549">
        <v>1302.77</v>
      </c>
      <c r="O1353" s="549">
        <v>992</v>
      </c>
      <c r="P1353" s="549">
        <v>94.78</v>
      </c>
      <c r="Q1353" s="549">
        <v>3799.1</v>
      </c>
    </row>
    <row r="1354" spans="1:17" x14ac:dyDescent="0.25">
      <c r="A1354" s="549" t="s">
        <v>518</v>
      </c>
      <c r="B1354" s="549" t="s">
        <v>1009</v>
      </c>
      <c r="C1354" s="549" t="s">
        <v>519</v>
      </c>
      <c r="D1354" s="549" t="s">
        <v>492</v>
      </c>
      <c r="E1354" s="549" t="s">
        <v>973</v>
      </c>
      <c r="F1354" s="549" t="s">
        <v>1212</v>
      </c>
      <c r="G1354" s="549">
        <v>154</v>
      </c>
      <c r="H1354" s="549" t="s">
        <v>519</v>
      </c>
      <c r="I1354" s="549" t="s">
        <v>976</v>
      </c>
      <c r="J1354" s="549" t="s">
        <v>976</v>
      </c>
      <c r="K1354" s="549" t="s">
        <v>976</v>
      </c>
      <c r="L1354" s="549">
        <v>159529.99</v>
      </c>
      <c r="M1354" s="549">
        <v>12044.51</v>
      </c>
      <c r="N1354" s="549">
        <v>9157.02</v>
      </c>
      <c r="O1354" s="549">
        <v>892.8</v>
      </c>
      <c r="P1354" s="549">
        <v>97.96</v>
      </c>
      <c r="Q1354" s="549">
        <v>21643.61</v>
      </c>
    </row>
    <row r="1355" spans="1:17" x14ac:dyDescent="0.25">
      <c r="A1355" s="549" t="s">
        <v>518</v>
      </c>
      <c r="B1355" s="549" t="s">
        <v>1009</v>
      </c>
      <c r="C1355" s="549" t="s">
        <v>519</v>
      </c>
      <c r="D1355" s="549" t="s">
        <v>492</v>
      </c>
      <c r="E1355" s="549" t="s">
        <v>973</v>
      </c>
      <c r="F1355" s="549" t="s">
        <v>1212</v>
      </c>
      <c r="G1355" s="549">
        <v>157</v>
      </c>
      <c r="H1355" s="549" t="s">
        <v>519</v>
      </c>
      <c r="I1355" s="549" t="s">
        <v>976</v>
      </c>
      <c r="J1355" s="549" t="s">
        <v>976</v>
      </c>
      <c r="K1355" s="549" t="s">
        <v>976</v>
      </c>
      <c r="L1355" s="549">
        <v>22696.29</v>
      </c>
      <c r="M1355" s="549">
        <v>1713.57</v>
      </c>
      <c r="N1355" s="549">
        <v>1302.77</v>
      </c>
      <c r="O1355" s="549">
        <v>992</v>
      </c>
      <c r="P1355" s="549">
        <v>94.78</v>
      </c>
      <c r="Q1355" s="549">
        <v>3799.1</v>
      </c>
    </row>
    <row r="1356" spans="1:17" x14ac:dyDescent="0.25">
      <c r="A1356" s="549" t="s">
        <v>518</v>
      </c>
      <c r="B1356" s="549" t="s">
        <v>1009</v>
      </c>
      <c r="C1356" s="549" t="s">
        <v>519</v>
      </c>
      <c r="D1356" s="549" t="s">
        <v>492</v>
      </c>
      <c r="E1356" s="549" t="s">
        <v>973</v>
      </c>
      <c r="F1356" s="549" t="s">
        <v>1212</v>
      </c>
      <c r="G1356" s="549">
        <v>162</v>
      </c>
      <c r="H1356" s="549" t="s">
        <v>519</v>
      </c>
      <c r="I1356" s="549" t="s">
        <v>976</v>
      </c>
      <c r="J1356" s="549" t="s">
        <v>976</v>
      </c>
      <c r="K1356" s="549" t="s">
        <v>976</v>
      </c>
      <c r="L1356" s="549">
        <v>892972.4</v>
      </c>
      <c r="M1356" s="549">
        <v>67419.42</v>
      </c>
      <c r="N1356" s="549">
        <v>51256.62</v>
      </c>
      <c r="O1356" s="549">
        <v>3968</v>
      </c>
      <c r="P1356" s="549">
        <v>94.78</v>
      </c>
      <c r="Q1356" s="549">
        <v>116242.02</v>
      </c>
    </row>
    <row r="1357" spans="1:17" x14ac:dyDescent="0.25">
      <c r="A1357" s="549" t="s">
        <v>518</v>
      </c>
      <c r="B1357" s="549" t="s">
        <v>1009</v>
      </c>
      <c r="C1357" s="549" t="s">
        <v>519</v>
      </c>
      <c r="D1357" s="549" t="s">
        <v>492</v>
      </c>
      <c r="E1357" s="549" t="s">
        <v>973</v>
      </c>
      <c r="F1357" s="549" t="s">
        <v>1212</v>
      </c>
      <c r="G1357" s="549">
        <v>167</v>
      </c>
      <c r="H1357" s="549" t="s">
        <v>519</v>
      </c>
      <c r="I1357" s="549" t="s">
        <v>976</v>
      </c>
      <c r="J1357" s="549" t="s">
        <v>976</v>
      </c>
      <c r="K1357" s="549" t="s">
        <v>976</v>
      </c>
      <c r="L1357" s="549">
        <v>22696.29</v>
      </c>
      <c r="M1357" s="549">
        <v>1713.57</v>
      </c>
      <c r="N1357" s="549">
        <v>1302.77</v>
      </c>
      <c r="O1357" s="549">
        <v>992</v>
      </c>
      <c r="P1357" s="549">
        <v>94.78</v>
      </c>
      <c r="Q1357" s="549">
        <v>3799.1</v>
      </c>
    </row>
    <row r="1358" spans="1:17" x14ac:dyDescent="0.25">
      <c r="A1358" s="549" t="s">
        <v>518</v>
      </c>
      <c r="B1358" s="549" t="s">
        <v>1009</v>
      </c>
      <c r="C1358" s="549" t="s">
        <v>519</v>
      </c>
      <c r="D1358" s="549" t="s">
        <v>492</v>
      </c>
      <c r="E1358" s="549" t="s">
        <v>973</v>
      </c>
      <c r="F1358" s="549" t="s">
        <v>1212</v>
      </c>
      <c r="G1358" s="549">
        <v>174</v>
      </c>
      <c r="H1358" s="549" t="s">
        <v>519</v>
      </c>
      <c r="I1358" s="549" t="s">
        <v>976</v>
      </c>
      <c r="J1358" s="549" t="s">
        <v>976</v>
      </c>
      <c r="K1358" s="549" t="s">
        <v>976</v>
      </c>
      <c r="L1358" s="549">
        <v>159529.99</v>
      </c>
      <c r="M1358" s="549">
        <v>12044.51</v>
      </c>
      <c r="N1358" s="549">
        <v>9157.02</v>
      </c>
      <c r="O1358" s="549">
        <v>892.8</v>
      </c>
      <c r="P1358" s="549">
        <v>97.96</v>
      </c>
      <c r="Q1358" s="549">
        <v>21643.61</v>
      </c>
    </row>
    <row r="1359" spans="1:17" x14ac:dyDescent="0.25">
      <c r="A1359" s="549" t="s">
        <v>518</v>
      </c>
      <c r="B1359" s="549" t="s">
        <v>1009</v>
      </c>
      <c r="C1359" s="549" t="s">
        <v>519</v>
      </c>
      <c r="D1359" s="549" t="s">
        <v>492</v>
      </c>
      <c r="E1359" s="549" t="s">
        <v>973</v>
      </c>
      <c r="F1359" s="549" t="s">
        <v>1212</v>
      </c>
      <c r="G1359" s="549">
        <v>177</v>
      </c>
      <c r="H1359" s="549" t="s">
        <v>519</v>
      </c>
      <c r="I1359" s="549" t="s">
        <v>976</v>
      </c>
      <c r="J1359" s="549" t="s">
        <v>976</v>
      </c>
      <c r="K1359" s="549" t="s">
        <v>976</v>
      </c>
      <c r="L1359" s="549">
        <v>22696.29</v>
      </c>
      <c r="M1359" s="549">
        <v>1713.57</v>
      </c>
      <c r="N1359" s="549">
        <v>1302.77</v>
      </c>
      <c r="O1359" s="549">
        <v>992</v>
      </c>
      <c r="P1359" s="549">
        <v>94.78</v>
      </c>
      <c r="Q1359" s="549">
        <v>3799.1</v>
      </c>
    </row>
    <row r="1360" spans="1:17" x14ac:dyDescent="0.25">
      <c r="A1360" s="549" t="s">
        <v>518</v>
      </c>
      <c r="B1360" s="549" t="s">
        <v>1009</v>
      </c>
      <c r="C1360" s="549" t="s">
        <v>519</v>
      </c>
      <c r="D1360" s="549" t="s">
        <v>492</v>
      </c>
      <c r="E1360" s="549" t="s">
        <v>973</v>
      </c>
      <c r="F1360" s="549" t="s">
        <v>1212</v>
      </c>
      <c r="G1360" s="549">
        <v>1072</v>
      </c>
      <c r="H1360" s="549" t="s">
        <v>519</v>
      </c>
      <c r="I1360" s="549" t="s">
        <v>976</v>
      </c>
      <c r="J1360" s="549" t="s">
        <v>976</v>
      </c>
      <c r="K1360" s="549" t="s">
        <v>976</v>
      </c>
      <c r="L1360" s="549">
        <v>239044.95</v>
      </c>
      <c r="M1360" s="549">
        <v>18047.89</v>
      </c>
      <c r="N1360" s="549">
        <v>13721.18</v>
      </c>
      <c r="O1360" s="549">
        <v>1984</v>
      </c>
      <c r="P1360" s="549">
        <v>94.78</v>
      </c>
      <c r="Q1360" s="549">
        <v>31991.16</v>
      </c>
    </row>
    <row r="1361" spans="1:17" x14ac:dyDescent="0.25">
      <c r="A1361" s="549" t="s">
        <v>518</v>
      </c>
      <c r="B1361" s="549" t="s">
        <v>1009</v>
      </c>
      <c r="C1361" s="549" t="s">
        <v>519</v>
      </c>
      <c r="D1361" s="549" t="s">
        <v>492</v>
      </c>
      <c r="E1361" s="549" t="s">
        <v>973</v>
      </c>
      <c r="F1361" s="549" t="s">
        <v>1212</v>
      </c>
      <c r="G1361" s="549">
        <v>1082</v>
      </c>
      <c r="H1361" s="549" t="s">
        <v>519</v>
      </c>
      <c r="I1361" s="549" t="s">
        <v>976</v>
      </c>
      <c r="J1361" s="549" t="s">
        <v>976</v>
      </c>
      <c r="K1361" s="549" t="s">
        <v>976</v>
      </c>
      <c r="L1361" s="549">
        <v>84021.97</v>
      </c>
      <c r="M1361" s="549">
        <v>6343.66</v>
      </c>
      <c r="N1361" s="549">
        <v>4822.8599999999997</v>
      </c>
      <c r="O1361" s="549">
        <v>892.8</v>
      </c>
      <c r="P1361" s="549">
        <v>97.96</v>
      </c>
      <c r="Q1361" s="549">
        <v>11813.31</v>
      </c>
    </row>
    <row r="1362" spans="1:17" x14ac:dyDescent="0.25">
      <c r="A1362" s="549" t="s">
        <v>518</v>
      </c>
      <c r="B1362" s="549" t="s">
        <v>1009</v>
      </c>
      <c r="C1362" s="549" t="s">
        <v>519</v>
      </c>
      <c r="D1362" s="549" t="s">
        <v>492</v>
      </c>
      <c r="E1362" s="549" t="s">
        <v>973</v>
      </c>
      <c r="F1362" s="549" t="s">
        <v>1212</v>
      </c>
      <c r="G1362" s="549">
        <v>1092</v>
      </c>
      <c r="H1362" s="549" t="s">
        <v>519</v>
      </c>
      <c r="I1362" s="549" t="s">
        <v>976</v>
      </c>
      <c r="J1362" s="549" t="s">
        <v>976</v>
      </c>
      <c r="K1362" s="549" t="s">
        <v>976</v>
      </c>
      <c r="L1362" s="549">
        <v>239044.95</v>
      </c>
      <c r="M1362" s="549">
        <v>18047.89</v>
      </c>
      <c r="N1362" s="549">
        <v>13721.18</v>
      </c>
      <c r="O1362" s="549">
        <v>1984</v>
      </c>
      <c r="P1362" s="549">
        <v>94.78</v>
      </c>
      <c r="Q1362" s="549">
        <v>31991.16</v>
      </c>
    </row>
    <row r="1363" spans="1:17" x14ac:dyDescent="0.25">
      <c r="A1363" s="549" t="s">
        <v>518</v>
      </c>
      <c r="B1363" s="549" t="s">
        <v>1009</v>
      </c>
      <c r="C1363" s="549" t="s">
        <v>519</v>
      </c>
      <c r="D1363" s="549" t="s">
        <v>492</v>
      </c>
      <c r="E1363" s="549" t="s">
        <v>973</v>
      </c>
      <c r="F1363" s="549" t="s">
        <v>1212</v>
      </c>
      <c r="G1363" s="549" t="s">
        <v>1233</v>
      </c>
      <c r="H1363" s="549" t="s">
        <v>519</v>
      </c>
      <c r="I1363" s="549" t="s">
        <v>976</v>
      </c>
      <c r="J1363" s="549" t="s">
        <v>976</v>
      </c>
      <c r="K1363" s="549" t="s">
        <v>976</v>
      </c>
      <c r="L1363" s="549">
        <v>61764.51</v>
      </c>
      <c r="M1363" s="549">
        <v>4663.22</v>
      </c>
      <c r="N1363" s="549">
        <v>3545.28</v>
      </c>
      <c r="O1363" s="549">
        <v>1984</v>
      </c>
      <c r="P1363" s="549">
        <v>94.78</v>
      </c>
      <c r="Q1363" s="549">
        <v>9660.4500000000007</v>
      </c>
    </row>
    <row r="1364" spans="1:17" x14ac:dyDescent="0.25">
      <c r="A1364" s="549" t="s">
        <v>518</v>
      </c>
      <c r="B1364" s="549" t="s">
        <v>1009</v>
      </c>
      <c r="C1364" s="549" t="s">
        <v>519</v>
      </c>
      <c r="D1364" s="549" t="s">
        <v>492</v>
      </c>
      <c r="E1364" s="549" t="s">
        <v>973</v>
      </c>
      <c r="F1364" s="549" t="s">
        <v>1212</v>
      </c>
      <c r="G1364" s="549" t="s">
        <v>1225</v>
      </c>
      <c r="H1364" s="549" t="s">
        <v>519</v>
      </c>
      <c r="I1364" s="549" t="s">
        <v>976</v>
      </c>
      <c r="J1364" s="549" t="s">
        <v>976</v>
      </c>
      <c r="K1364" s="549" t="s">
        <v>976</v>
      </c>
      <c r="L1364" s="549">
        <v>286934.52</v>
      </c>
      <c r="M1364" s="549">
        <v>21663.56</v>
      </c>
      <c r="N1364" s="549">
        <v>16470.04</v>
      </c>
      <c r="O1364" s="549">
        <v>992</v>
      </c>
      <c r="P1364" s="549">
        <v>94.78</v>
      </c>
      <c r="Q1364" s="549">
        <v>37083.24</v>
      </c>
    </row>
    <row r="1365" spans="1:17" x14ac:dyDescent="0.25">
      <c r="A1365" s="549" t="s">
        <v>518</v>
      </c>
      <c r="B1365" s="549" t="s">
        <v>1009</v>
      </c>
      <c r="C1365" s="549" t="s">
        <v>519</v>
      </c>
      <c r="D1365" s="549" t="s">
        <v>492</v>
      </c>
      <c r="E1365" s="549" t="s">
        <v>977</v>
      </c>
      <c r="F1365" s="549" t="s">
        <v>1212</v>
      </c>
      <c r="G1365" s="549">
        <v>62</v>
      </c>
      <c r="H1365" s="549" t="s">
        <v>519</v>
      </c>
      <c r="I1365" s="549" t="s">
        <v>976</v>
      </c>
      <c r="J1365" s="549" t="s">
        <v>976</v>
      </c>
      <c r="K1365" s="549" t="s">
        <v>976</v>
      </c>
      <c r="L1365" s="549">
        <v>892972.4</v>
      </c>
      <c r="M1365" s="549">
        <v>67419.42</v>
      </c>
      <c r="N1365" s="549">
        <v>19734.689999999999</v>
      </c>
      <c r="O1365" s="549">
        <v>3968</v>
      </c>
      <c r="P1365" s="549">
        <v>1.98</v>
      </c>
      <c r="Q1365" s="549">
        <v>1804.22</v>
      </c>
    </row>
    <row r="1366" spans="1:17" x14ac:dyDescent="0.25">
      <c r="A1366" s="549" t="s">
        <v>518</v>
      </c>
      <c r="B1366" s="549" t="s">
        <v>1009</v>
      </c>
      <c r="C1366" s="549" t="s">
        <v>519</v>
      </c>
      <c r="D1366" s="549" t="s">
        <v>492</v>
      </c>
      <c r="E1366" s="549" t="s">
        <v>977</v>
      </c>
      <c r="F1366" s="549" t="s">
        <v>1212</v>
      </c>
      <c r="G1366" s="549">
        <v>67</v>
      </c>
      <c r="H1366" s="549" t="s">
        <v>519</v>
      </c>
      <c r="I1366" s="549" t="s">
        <v>976</v>
      </c>
      <c r="J1366" s="549" t="s">
        <v>976</v>
      </c>
      <c r="K1366" s="549" t="s">
        <v>976</v>
      </c>
      <c r="L1366" s="549">
        <v>22696.29</v>
      </c>
      <c r="M1366" s="549">
        <v>1713.57</v>
      </c>
      <c r="N1366" s="549">
        <v>501.59</v>
      </c>
      <c r="O1366" s="549">
        <v>992</v>
      </c>
      <c r="P1366" s="549">
        <v>1.98</v>
      </c>
      <c r="Q1366" s="549">
        <v>63.5</v>
      </c>
    </row>
    <row r="1367" spans="1:17" x14ac:dyDescent="0.25">
      <c r="A1367" s="549" t="s">
        <v>518</v>
      </c>
      <c r="B1367" s="549" t="s">
        <v>1009</v>
      </c>
      <c r="C1367" s="549" t="s">
        <v>519</v>
      </c>
      <c r="D1367" s="549" t="s">
        <v>492</v>
      </c>
      <c r="E1367" s="549" t="s">
        <v>977</v>
      </c>
      <c r="F1367" s="549" t="s">
        <v>1212</v>
      </c>
      <c r="G1367" s="549">
        <v>72</v>
      </c>
      <c r="H1367" s="549" t="s">
        <v>519</v>
      </c>
      <c r="I1367" s="549" t="s">
        <v>976</v>
      </c>
      <c r="J1367" s="549" t="s">
        <v>976</v>
      </c>
      <c r="K1367" s="549" t="s">
        <v>976</v>
      </c>
      <c r="L1367" s="549">
        <v>473331.21</v>
      </c>
      <c r="M1367" s="549">
        <v>35736.51</v>
      </c>
      <c r="N1367" s="549">
        <v>10460.620000000001</v>
      </c>
      <c r="O1367" s="549">
        <v>1984</v>
      </c>
      <c r="P1367" s="549">
        <v>1.98</v>
      </c>
      <c r="Q1367" s="549">
        <v>953.99</v>
      </c>
    </row>
    <row r="1368" spans="1:17" x14ac:dyDescent="0.25">
      <c r="A1368" s="549" t="s">
        <v>518</v>
      </c>
      <c r="B1368" s="549" t="s">
        <v>1009</v>
      </c>
      <c r="C1368" s="549" t="s">
        <v>519</v>
      </c>
      <c r="D1368" s="549" t="s">
        <v>492</v>
      </c>
      <c r="E1368" s="549" t="s">
        <v>977</v>
      </c>
      <c r="F1368" s="549" t="s">
        <v>1212</v>
      </c>
      <c r="G1368" s="549">
        <v>77</v>
      </c>
      <c r="H1368" s="549" t="s">
        <v>519</v>
      </c>
      <c r="I1368" s="549" t="s">
        <v>976</v>
      </c>
      <c r="J1368" s="549" t="s">
        <v>976</v>
      </c>
      <c r="K1368" s="549" t="s">
        <v>976</v>
      </c>
      <c r="L1368" s="549">
        <v>22696.29</v>
      </c>
      <c r="M1368" s="549">
        <v>1713.57</v>
      </c>
      <c r="N1368" s="549">
        <v>501.59</v>
      </c>
      <c r="O1368" s="549">
        <v>992</v>
      </c>
      <c r="P1368" s="549">
        <v>1.98</v>
      </c>
      <c r="Q1368" s="549">
        <v>63.5</v>
      </c>
    </row>
    <row r="1369" spans="1:17" x14ac:dyDescent="0.25">
      <c r="A1369" s="549" t="s">
        <v>518</v>
      </c>
      <c r="B1369" s="549" t="s">
        <v>1009</v>
      </c>
      <c r="C1369" s="549" t="s">
        <v>519</v>
      </c>
      <c r="D1369" s="549" t="s">
        <v>492</v>
      </c>
      <c r="E1369" s="549" t="s">
        <v>977</v>
      </c>
      <c r="F1369" s="549" t="s">
        <v>1212</v>
      </c>
      <c r="G1369" s="549">
        <v>82</v>
      </c>
      <c r="H1369" s="549" t="s">
        <v>519</v>
      </c>
      <c r="I1369" s="549" t="s">
        <v>976</v>
      </c>
      <c r="J1369" s="549" t="s">
        <v>976</v>
      </c>
      <c r="K1369" s="549" t="s">
        <v>976</v>
      </c>
      <c r="L1369" s="549">
        <v>892972.4</v>
      </c>
      <c r="M1369" s="549">
        <v>67419.42</v>
      </c>
      <c r="N1369" s="549">
        <v>19734.689999999999</v>
      </c>
      <c r="O1369" s="549">
        <v>3968</v>
      </c>
      <c r="P1369" s="549">
        <v>1.98</v>
      </c>
      <c r="Q1369" s="549">
        <v>1804.22</v>
      </c>
    </row>
    <row r="1370" spans="1:17" x14ac:dyDescent="0.25">
      <c r="A1370" s="549" t="s">
        <v>518</v>
      </c>
      <c r="B1370" s="549" t="s">
        <v>1009</v>
      </c>
      <c r="C1370" s="549" t="s">
        <v>519</v>
      </c>
      <c r="D1370" s="549" t="s">
        <v>492</v>
      </c>
      <c r="E1370" s="549" t="s">
        <v>977</v>
      </c>
      <c r="F1370" s="549" t="s">
        <v>1212</v>
      </c>
      <c r="G1370" s="549">
        <v>87</v>
      </c>
      <c r="H1370" s="549" t="s">
        <v>519</v>
      </c>
      <c r="I1370" s="549" t="s">
        <v>976</v>
      </c>
      <c r="J1370" s="549" t="s">
        <v>976</v>
      </c>
      <c r="K1370" s="549" t="s">
        <v>976</v>
      </c>
      <c r="L1370" s="549">
        <v>0.02</v>
      </c>
      <c r="M1370" s="549">
        <v>0</v>
      </c>
      <c r="N1370" s="549">
        <v>0</v>
      </c>
      <c r="O1370" s="549">
        <v>992</v>
      </c>
      <c r="P1370" s="549">
        <v>1.98</v>
      </c>
      <c r="Q1370" s="549">
        <v>19.64</v>
      </c>
    </row>
    <row r="1371" spans="1:17" x14ac:dyDescent="0.25">
      <c r="A1371" s="549" t="s">
        <v>518</v>
      </c>
      <c r="B1371" s="549" t="s">
        <v>1009</v>
      </c>
      <c r="C1371" s="549" t="s">
        <v>519</v>
      </c>
      <c r="D1371" s="549" t="s">
        <v>492</v>
      </c>
      <c r="E1371" s="549" t="s">
        <v>977</v>
      </c>
      <c r="F1371" s="549" t="s">
        <v>1212</v>
      </c>
      <c r="G1371" s="549">
        <v>94</v>
      </c>
      <c r="H1371" s="549" t="s">
        <v>519</v>
      </c>
      <c r="I1371" s="549" t="s">
        <v>976</v>
      </c>
      <c r="J1371" s="549" t="s">
        <v>976</v>
      </c>
      <c r="K1371" s="549" t="s">
        <v>976</v>
      </c>
      <c r="L1371" s="549">
        <v>159529.99</v>
      </c>
      <c r="M1371" s="549">
        <v>12044.51</v>
      </c>
      <c r="N1371" s="549">
        <v>3525.61</v>
      </c>
      <c r="O1371" s="549">
        <v>892.8</v>
      </c>
      <c r="P1371" s="549">
        <v>2.04</v>
      </c>
      <c r="Q1371" s="549">
        <v>335.84</v>
      </c>
    </row>
    <row r="1372" spans="1:17" x14ac:dyDescent="0.25">
      <c r="A1372" s="549" t="s">
        <v>518</v>
      </c>
      <c r="B1372" s="549" t="s">
        <v>1009</v>
      </c>
      <c r="C1372" s="549" t="s">
        <v>519</v>
      </c>
      <c r="D1372" s="549" t="s">
        <v>492</v>
      </c>
      <c r="E1372" s="549" t="s">
        <v>977</v>
      </c>
      <c r="F1372" s="549" t="s">
        <v>1212</v>
      </c>
      <c r="G1372" s="549">
        <v>97</v>
      </c>
      <c r="H1372" s="549" t="s">
        <v>519</v>
      </c>
      <c r="I1372" s="549" t="s">
        <v>976</v>
      </c>
      <c r="J1372" s="549" t="s">
        <v>976</v>
      </c>
      <c r="K1372" s="549" t="s">
        <v>976</v>
      </c>
      <c r="L1372" s="549">
        <v>22696.29</v>
      </c>
      <c r="M1372" s="549">
        <v>1713.57</v>
      </c>
      <c r="N1372" s="549">
        <v>501.59</v>
      </c>
      <c r="O1372" s="549">
        <v>992</v>
      </c>
      <c r="P1372" s="549">
        <v>1.98</v>
      </c>
      <c r="Q1372" s="549">
        <v>63.5</v>
      </c>
    </row>
    <row r="1373" spans="1:17" x14ac:dyDescent="0.25">
      <c r="A1373" s="549" t="s">
        <v>518</v>
      </c>
      <c r="B1373" s="549" t="s">
        <v>1009</v>
      </c>
      <c r="C1373" s="549" t="s">
        <v>519</v>
      </c>
      <c r="D1373" s="549" t="s">
        <v>492</v>
      </c>
      <c r="E1373" s="549" t="s">
        <v>977</v>
      </c>
      <c r="F1373" s="549" t="s">
        <v>1212</v>
      </c>
      <c r="G1373" s="549">
        <v>107</v>
      </c>
      <c r="H1373" s="549" t="s">
        <v>519</v>
      </c>
      <c r="I1373" s="549" t="s">
        <v>976</v>
      </c>
      <c r="J1373" s="549" t="s">
        <v>976</v>
      </c>
      <c r="K1373" s="549" t="s">
        <v>976</v>
      </c>
      <c r="L1373" s="549">
        <v>65372.09</v>
      </c>
      <c r="M1373" s="549">
        <v>4935.59</v>
      </c>
      <c r="N1373" s="549">
        <v>1444.72</v>
      </c>
      <c r="O1373" s="549">
        <v>992</v>
      </c>
      <c r="P1373" s="549">
        <v>1.98</v>
      </c>
      <c r="Q1373" s="549">
        <v>145.97</v>
      </c>
    </row>
    <row r="1374" spans="1:17" x14ac:dyDescent="0.25">
      <c r="A1374" s="549" t="s">
        <v>518</v>
      </c>
      <c r="B1374" s="549" t="s">
        <v>1009</v>
      </c>
      <c r="C1374" s="549" t="s">
        <v>519</v>
      </c>
      <c r="D1374" s="549" t="s">
        <v>492</v>
      </c>
      <c r="E1374" s="549" t="s">
        <v>977</v>
      </c>
      <c r="F1374" s="549" t="s">
        <v>1212</v>
      </c>
      <c r="G1374" s="549">
        <v>114</v>
      </c>
      <c r="H1374" s="549" t="s">
        <v>519</v>
      </c>
      <c r="I1374" s="549" t="s">
        <v>976</v>
      </c>
      <c r="J1374" s="549" t="s">
        <v>976</v>
      </c>
      <c r="K1374" s="549" t="s">
        <v>976</v>
      </c>
      <c r="L1374" s="549">
        <v>159529.99</v>
      </c>
      <c r="M1374" s="549">
        <v>12044.51</v>
      </c>
      <c r="N1374" s="549">
        <v>3525.61</v>
      </c>
      <c r="O1374" s="549">
        <v>892.8</v>
      </c>
      <c r="P1374" s="549">
        <v>2.04</v>
      </c>
      <c r="Q1374" s="549">
        <v>335.84</v>
      </c>
    </row>
    <row r="1375" spans="1:17" x14ac:dyDescent="0.25">
      <c r="A1375" s="549" t="s">
        <v>518</v>
      </c>
      <c r="B1375" s="549" t="s">
        <v>1009</v>
      </c>
      <c r="C1375" s="549" t="s">
        <v>519</v>
      </c>
      <c r="D1375" s="549" t="s">
        <v>492</v>
      </c>
      <c r="E1375" s="549" t="s">
        <v>977</v>
      </c>
      <c r="F1375" s="549" t="s">
        <v>1212</v>
      </c>
      <c r="G1375" s="549">
        <v>117</v>
      </c>
      <c r="H1375" s="549" t="s">
        <v>519</v>
      </c>
      <c r="I1375" s="549" t="s">
        <v>976</v>
      </c>
      <c r="J1375" s="549" t="s">
        <v>976</v>
      </c>
      <c r="K1375" s="549" t="s">
        <v>976</v>
      </c>
      <c r="L1375" s="549">
        <v>22696.29</v>
      </c>
      <c r="M1375" s="549">
        <v>1713.57</v>
      </c>
      <c r="N1375" s="549">
        <v>501.59</v>
      </c>
      <c r="O1375" s="549">
        <v>992</v>
      </c>
      <c r="P1375" s="549">
        <v>1.98</v>
      </c>
      <c r="Q1375" s="549">
        <v>63.5</v>
      </c>
    </row>
    <row r="1376" spans="1:17" x14ac:dyDescent="0.25">
      <c r="A1376" s="549" t="s">
        <v>518</v>
      </c>
      <c r="B1376" s="549" t="s">
        <v>1009</v>
      </c>
      <c r="C1376" s="549" t="s">
        <v>519</v>
      </c>
      <c r="D1376" s="549" t="s">
        <v>492</v>
      </c>
      <c r="E1376" s="549" t="s">
        <v>977</v>
      </c>
      <c r="F1376" s="549" t="s">
        <v>1212</v>
      </c>
      <c r="G1376" s="549">
        <v>127</v>
      </c>
      <c r="H1376" s="549" t="s">
        <v>519</v>
      </c>
      <c r="I1376" s="549" t="s">
        <v>976</v>
      </c>
      <c r="J1376" s="549" t="s">
        <v>976</v>
      </c>
      <c r="K1376" s="549" t="s">
        <v>976</v>
      </c>
      <c r="L1376" s="549">
        <v>22696.29</v>
      </c>
      <c r="M1376" s="549">
        <v>1713.57</v>
      </c>
      <c r="N1376" s="549">
        <v>501.59</v>
      </c>
      <c r="O1376" s="549">
        <v>992</v>
      </c>
      <c r="P1376" s="549">
        <v>1.98</v>
      </c>
      <c r="Q1376" s="549">
        <v>63.5</v>
      </c>
    </row>
    <row r="1377" spans="1:17" x14ac:dyDescent="0.25">
      <c r="A1377" s="549" t="s">
        <v>518</v>
      </c>
      <c r="B1377" s="549" t="s">
        <v>1009</v>
      </c>
      <c r="C1377" s="549" t="s">
        <v>519</v>
      </c>
      <c r="D1377" s="549" t="s">
        <v>492</v>
      </c>
      <c r="E1377" s="549" t="s">
        <v>977</v>
      </c>
      <c r="F1377" s="549" t="s">
        <v>1212</v>
      </c>
      <c r="G1377" s="549">
        <v>128</v>
      </c>
      <c r="H1377" s="549" t="s">
        <v>519</v>
      </c>
      <c r="I1377" s="549" t="s">
        <v>976</v>
      </c>
      <c r="J1377" s="549" t="s">
        <v>976</v>
      </c>
      <c r="K1377" s="549" t="s">
        <v>976</v>
      </c>
      <c r="L1377" s="549">
        <v>281765.2</v>
      </c>
      <c r="M1377" s="549">
        <v>21273.27</v>
      </c>
      <c r="N1377" s="549">
        <v>6227.01</v>
      </c>
      <c r="O1377" s="549">
        <v>2976</v>
      </c>
      <c r="P1377" s="549">
        <v>1.98</v>
      </c>
      <c r="Q1377" s="549">
        <v>603.42999999999995</v>
      </c>
    </row>
    <row r="1378" spans="1:17" x14ac:dyDescent="0.25">
      <c r="A1378" s="549" t="s">
        <v>518</v>
      </c>
      <c r="B1378" s="549" t="s">
        <v>1009</v>
      </c>
      <c r="C1378" s="549" t="s">
        <v>519</v>
      </c>
      <c r="D1378" s="549" t="s">
        <v>492</v>
      </c>
      <c r="E1378" s="549" t="s">
        <v>977</v>
      </c>
      <c r="F1378" s="549" t="s">
        <v>1212</v>
      </c>
      <c r="G1378" s="549">
        <v>137</v>
      </c>
      <c r="H1378" s="549" t="s">
        <v>519</v>
      </c>
      <c r="I1378" s="549" t="s">
        <v>976</v>
      </c>
      <c r="J1378" s="549" t="s">
        <v>976</v>
      </c>
      <c r="K1378" s="549" t="s">
        <v>976</v>
      </c>
      <c r="L1378" s="549">
        <v>22696.29</v>
      </c>
      <c r="M1378" s="549">
        <v>1713.57</v>
      </c>
      <c r="N1378" s="549">
        <v>501.59</v>
      </c>
      <c r="O1378" s="549">
        <v>992</v>
      </c>
      <c r="P1378" s="549">
        <v>1.98</v>
      </c>
      <c r="Q1378" s="549">
        <v>63.5</v>
      </c>
    </row>
    <row r="1379" spans="1:17" x14ac:dyDescent="0.25">
      <c r="A1379" s="549" t="s">
        <v>518</v>
      </c>
      <c r="B1379" s="549" t="s">
        <v>1009</v>
      </c>
      <c r="C1379" s="549" t="s">
        <v>519</v>
      </c>
      <c r="D1379" s="549" t="s">
        <v>492</v>
      </c>
      <c r="E1379" s="549" t="s">
        <v>977</v>
      </c>
      <c r="F1379" s="549" t="s">
        <v>1212</v>
      </c>
      <c r="G1379" s="549">
        <v>142</v>
      </c>
      <c r="H1379" s="549" t="s">
        <v>519</v>
      </c>
      <c r="I1379" s="549" t="s">
        <v>976</v>
      </c>
      <c r="J1379" s="549" t="s">
        <v>976</v>
      </c>
      <c r="K1379" s="549" t="s">
        <v>976</v>
      </c>
      <c r="L1379" s="549">
        <v>892972.4</v>
      </c>
      <c r="M1379" s="549">
        <v>67419.42</v>
      </c>
      <c r="N1379" s="549">
        <v>19734.689999999999</v>
      </c>
      <c r="O1379" s="549">
        <v>3968</v>
      </c>
      <c r="P1379" s="549">
        <v>1.98</v>
      </c>
      <c r="Q1379" s="549">
        <v>1804.22</v>
      </c>
    </row>
    <row r="1380" spans="1:17" x14ac:dyDescent="0.25">
      <c r="A1380" s="549" t="s">
        <v>518</v>
      </c>
      <c r="B1380" s="549" t="s">
        <v>1009</v>
      </c>
      <c r="C1380" s="549" t="s">
        <v>519</v>
      </c>
      <c r="D1380" s="549" t="s">
        <v>492</v>
      </c>
      <c r="E1380" s="549" t="s">
        <v>977</v>
      </c>
      <c r="F1380" s="549" t="s">
        <v>1212</v>
      </c>
      <c r="G1380" s="549">
        <v>147</v>
      </c>
      <c r="H1380" s="549" t="s">
        <v>519</v>
      </c>
      <c r="I1380" s="549" t="s">
        <v>976</v>
      </c>
      <c r="J1380" s="549" t="s">
        <v>976</v>
      </c>
      <c r="K1380" s="549" t="s">
        <v>976</v>
      </c>
      <c r="L1380" s="549">
        <v>22696.29</v>
      </c>
      <c r="M1380" s="549">
        <v>1713.57</v>
      </c>
      <c r="N1380" s="549">
        <v>501.59</v>
      </c>
      <c r="O1380" s="549">
        <v>992</v>
      </c>
      <c r="P1380" s="549">
        <v>1.98</v>
      </c>
      <c r="Q1380" s="549">
        <v>63.5</v>
      </c>
    </row>
    <row r="1381" spans="1:17" x14ac:dyDescent="0.25">
      <c r="A1381" s="549" t="s">
        <v>518</v>
      </c>
      <c r="B1381" s="549" t="s">
        <v>1009</v>
      </c>
      <c r="C1381" s="549" t="s">
        <v>519</v>
      </c>
      <c r="D1381" s="549" t="s">
        <v>492</v>
      </c>
      <c r="E1381" s="549" t="s">
        <v>977</v>
      </c>
      <c r="F1381" s="549" t="s">
        <v>1212</v>
      </c>
      <c r="G1381" s="549">
        <v>154</v>
      </c>
      <c r="H1381" s="549" t="s">
        <v>519</v>
      </c>
      <c r="I1381" s="549" t="s">
        <v>976</v>
      </c>
      <c r="J1381" s="549" t="s">
        <v>976</v>
      </c>
      <c r="K1381" s="549" t="s">
        <v>976</v>
      </c>
      <c r="L1381" s="549">
        <v>159529.99</v>
      </c>
      <c r="M1381" s="549">
        <v>12044.51</v>
      </c>
      <c r="N1381" s="549">
        <v>3525.61</v>
      </c>
      <c r="O1381" s="549">
        <v>892.8</v>
      </c>
      <c r="P1381" s="549">
        <v>2.04</v>
      </c>
      <c r="Q1381" s="549">
        <v>335.84</v>
      </c>
    </row>
    <row r="1382" spans="1:17" x14ac:dyDescent="0.25">
      <c r="A1382" s="549" t="s">
        <v>518</v>
      </c>
      <c r="B1382" s="549" t="s">
        <v>1009</v>
      </c>
      <c r="C1382" s="549" t="s">
        <v>519</v>
      </c>
      <c r="D1382" s="549" t="s">
        <v>492</v>
      </c>
      <c r="E1382" s="549" t="s">
        <v>977</v>
      </c>
      <c r="F1382" s="549" t="s">
        <v>1212</v>
      </c>
      <c r="G1382" s="549">
        <v>157</v>
      </c>
      <c r="H1382" s="549" t="s">
        <v>519</v>
      </c>
      <c r="I1382" s="549" t="s">
        <v>976</v>
      </c>
      <c r="J1382" s="549" t="s">
        <v>976</v>
      </c>
      <c r="K1382" s="549" t="s">
        <v>976</v>
      </c>
      <c r="L1382" s="549">
        <v>22696.29</v>
      </c>
      <c r="M1382" s="549">
        <v>1713.57</v>
      </c>
      <c r="N1382" s="549">
        <v>501.59</v>
      </c>
      <c r="O1382" s="549">
        <v>992</v>
      </c>
      <c r="P1382" s="549">
        <v>1.98</v>
      </c>
      <c r="Q1382" s="549">
        <v>63.5</v>
      </c>
    </row>
    <row r="1383" spans="1:17" x14ac:dyDescent="0.25">
      <c r="A1383" s="549" t="s">
        <v>518</v>
      </c>
      <c r="B1383" s="549" t="s">
        <v>1009</v>
      </c>
      <c r="C1383" s="549" t="s">
        <v>519</v>
      </c>
      <c r="D1383" s="549" t="s">
        <v>492</v>
      </c>
      <c r="E1383" s="549" t="s">
        <v>977</v>
      </c>
      <c r="F1383" s="549" t="s">
        <v>1212</v>
      </c>
      <c r="G1383" s="549">
        <v>162</v>
      </c>
      <c r="H1383" s="549" t="s">
        <v>519</v>
      </c>
      <c r="I1383" s="549" t="s">
        <v>976</v>
      </c>
      <c r="J1383" s="549" t="s">
        <v>976</v>
      </c>
      <c r="K1383" s="549" t="s">
        <v>976</v>
      </c>
      <c r="L1383" s="549">
        <v>892972.4</v>
      </c>
      <c r="M1383" s="549">
        <v>67419.42</v>
      </c>
      <c r="N1383" s="549">
        <v>19734.689999999999</v>
      </c>
      <c r="O1383" s="549">
        <v>3968</v>
      </c>
      <c r="P1383" s="549">
        <v>1.98</v>
      </c>
      <c r="Q1383" s="549">
        <v>1804.22</v>
      </c>
    </row>
    <row r="1384" spans="1:17" x14ac:dyDescent="0.25">
      <c r="A1384" s="549" t="s">
        <v>518</v>
      </c>
      <c r="B1384" s="549" t="s">
        <v>1009</v>
      </c>
      <c r="C1384" s="549" t="s">
        <v>519</v>
      </c>
      <c r="D1384" s="549" t="s">
        <v>492</v>
      </c>
      <c r="E1384" s="549" t="s">
        <v>977</v>
      </c>
      <c r="F1384" s="549" t="s">
        <v>1212</v>
      </c>
      <c r="G1384" s="549">
        <v>167</v>
      </c>
      <c r="H1384" s="549" t="s">
        <v>519</v>
      </c>
      <c r="I1384" s="549" t="s">
        <v>976</v>
      </c>
      <c r="J1384" s="549" t="s">
        <v>976</v>
      </c>
      <c r="K1384" s="549" t="s">
        <v>976</v>
      </c>
      <c r="L1384" s="549">
        <v>22696.29</v>
      </c>
      <c r="M1384" s="549">
        <v>1713.57</v>
      </c>
      <c r="N1384" s="549">
        <v>501.59</v>
      </c>
      <c r="O1384" s="549">
        <v>992</v>
      </c>
      <c r="P1384" s="549">
        <v>1.98</v>
      </c>
      <c r="Q1384" s="549">
        <v>63.5</v>
      </c>
    </row>
    <row r="1385" spans="1:17" x14ac:dyDescent="0.25">
      <c r="A1385" s="549" t="s">
        <v>518</v>
      </c>
      <c r="B1385" s="549" t="s">
        <v>1009</v>
      </c>
      <c r="C1385" s="549" t="s">
        <v>519</v>
      </c>
      <c r="D1385" s="549" t="s">
        <v>492</v>
      </c>
      <c r="E1385" s="549" t="s">
        <v>977</v>
      </c>
      <c r="F1385" s="549" t="s">
        <v>1212</v>
      </c>
      <c r="G1385" s="549">
        <v>174</v>
      </c>
      <c r="H1385" s="549" t="s">
        <v>519</v>
      </c>
      <c r="I1385" s="549" t="s">
        <v>976</v>
      </c>
      <c r="J1385" s="549" t="s">
        <v>976</v>
      </c>
      <c r="K1385" s="549" t="s">
        <v>976</v>
      </c>
      <c r="L1385" s="549">
        <v>159529.99</v>
      </c>
      <c r="M1385" s="549">
        <v>12044.51</v>
      </c>
      <c r="N1385" s="549">
        <v>3525.61</v>
      </c>
      <c r="O1385" s="549">
        <v>892.8</v>
      </c>
      <c r="P1385" s="549">
        <v>2.04</v>
      </c>
      <c r="Q1385" s="549">
        <v>335.84</v>
      </c>
    </row>
    <row r="1386" spans="1:17" x14ac:dyDescent="0.25">
      <c r="A1386" s="549" t="s">
        <v>518</v>
      </c>
      <c r="B1386" s="549" t="s">
        <v>1009</v>
      </c>
      <c r="C1386" s="549" t="s">
        <v>519</v>
      </c>
      <c r="D1386" s="549" t="s">
        <v>492</v>
      </c>
      <c r="E1386" s="549" t="s">
        <v>977</v>
      </c>
      <c r="F1386" s="549" t="s">
        <v>1212</v>
      </c>
      <c r="G1386" s="549">
        <v>177</v>
      </c>
      <c r="H1386" s="549" t="s">
        <v>519</v>
      </c>
      <c r="I1386" s="549" t="s">
        <v>976</v>
      </c>
      <c r="J1386" s="549" t="s">
        <v>976</v>
      </c>
      <c r="K1386" s="549" t="s">
        <v>976</v>
      </c>
      <c r="L1386" s="549">
        <v>22696.29</v>
      </c>
      <c r="M1386" s="549">
        <v>1713.57</v>
      </c>
      <c r="N1386" s="549">
        <v>501.59</v>
      </c>
      <c r="O1386" s="549">
        <v>992</v>
      </c>
      <c r="P1386" s="549">
        <v>1.98</v>
      </c>
      <c r="Q1386" s="549">
        <v>63.5</v>
      </c>
    </row>
    <row r="1387" spans="1:17" x14ac:dyDescent="0.25">
      <c r="A1387" s="549" t="s">
        <v>518</v>
      </c>
      <c r="B1387" s="549" t="s">
        <v>1009</v>
      </c>
      <c r="C1387" s="549" t="s">
        <v>519</v>
      </c>
      <c r="D1387" s="549" t="s">
        <v>492</v>
      </c>
      <c r="E1387" s="549" t="s">
        <v>977</v>
      </c>
      <c r="F1387" s="549" t="s">
        <v>1212</v>
      </c>
      <c r="G1387" s="549">
        <v>1072</v>
      </c>
      <c r="H1387" s="549" t="s">
        <v>519</v>
      </c>
      <c r="I1387" s="549" t="s">
        <v>976</v>
      </c>
      <c r="J1387" s="549" t="s">
        <v>976</v>
      </c>
      <c r="K1387" s="549" t="s">
        <v>976</v>
      </c>
      <c r="L1387" s="549">
        <v>239044.95</v>
      </c>
      <c r="M1387" s="549">
        <v>18047.89</v>
      </c>
      <c r="N1387" s="549">
        <v>5282.89</v>
      </c>
      <c r="O1387" s="549">
        <v>1984</v>
      </c>
      <c r="P1387" s="549">
        <v>1.98</v>
      </c>
      <c r="Q1387" s="549">
        <v>501.23</v>
      </c>
    </row>
    <row r="1388" spans="1:17" x14ac:dyDescent="0.25">
      <c r="A1388" s="549" t="s">
        <v>518</v>
      </c>
      <c r="B1388" s="549" t="s">
        <v>1009</v>
      </c>
      <c r="C1388" s="549" t="s">
        <v>519</v>
      </c>
      <c r="D1388" s="549" t="s">
        <v>492</v>
      </c>
      <c r="E1388" s="549" t="s">
        <v>977</v>
      </c>
      <c r="F1388" s="549" t="s">
        <v>1212</v>
      </c>
      <c r="G1388" s="549">
        <v>1082</v>
      </c>
      <c r="H1388" s="549" t="s">
        <v>519</v>
      </c>
      <c r="I1388" s="549" t="s">
        <v>976</v>
      </c>
      <c r="J1388" s="549" t="s">
        <v>976</v>
      </c>
      <c r="K1388" s="549" t="s">
        <v>976</v>
      </c>
      <c r="L1388" s="549">
        <v>84021.97</v>
      </c>
      <c r="M1388" s="549">
        <v>6343.66</v>
      </c>
      <c r="N1388" s="549">
        <v>1856.89</v>
      </c>
      <c r="O1388" s="549">
        <v>892.8</v>
      </c>
      <c r="P1388" s="549">
        <v>2.04</v>
      </c>
      <c r="Q1388" s="549">
        <v>185.5</v>
      </c>
    </row>
    <row r="1389" spans="1:17" x14ac:dyDescent="0.25">
      <c r="A1389" s="549" t="s">
        <v>518</v>
      </c>
      <c r="B1389" s="549" t="s">
        <v>1009</v>
      </c>
      <c r="C1389" s="549" t="s">
        <v>519</v>
      </c>
      <c r="D1389" s="549" t="s">
        <v>492</v>
      </c>
      <c r="E1389" s="549" t="s">
        <v>977</v>
      </c>
      <c r="F1389" s="549" t="s">
        <v>1212</v>
      </c>
      <c r="G1389" s="549">
        <v>1092</v>
      </c>
      <c r="H1389" s="549" t="s">
        <v>519</v>
      </c>
      <c r="I1389" s="549" t="s">
        <v>976</v>
      </c>
      <c r="J1389" s="549" t="s">
        <v>976</v>
      </c>
      <c r="K1389" s="549" t="s">
        <v>976</v>
      </c>
      <c r="L1389" s="549">
        <v>239044.95</v>
      </c>
      <c r="M1389" s="549">
        <v>18047.89</v>
      </c>
      <c r="N1389" s="549">
        <v>5282.89</v>
      </c>
      <c r="O1389" s="549">
        <v>1984</v>
      </c>
      <c r="P1389" s="549">
        <v>1.98</v>
      </c>
      <c r="Q1389" s="549">
        <v>501.23</v>
      </c>
    </row>
    <row r="1390" spans="1:17" x14ac:dyDescent="0.25">
      <c r="A1390" s="549" t="s">
        <v>518</v>
      </c>
      <c r="B1390" s="549" t="s">
        <v>1009</v>
      </c>
      <c r="C1390" s="549" t="s">
        <v>519</v>
      </c>
      <c r="D1390" s="549" t="s">
        <v>492</v>
      </c>
      <c r="E1390" s="549" t="s">
        <v>977</v>
      </c>
      <c r="F1390" s="549" t="s">
        <v>1212</v>
      </c>
      <c r="G1390" s="549" t="s">
        <v>1233</v>
      </c>
      <c r="H1390" s="549" t="s">
        <v>519</v>
      </c>
      <c r="I1390" s="549" t="s">
        <v>976</v>
      </c>
      <c r="J1390" s="549" t="s">
        <v>976</v>
      </c>
      <c r="K1390" s="549" t="s">
        <v>976</v>
      </c>
      <c r="L1390" s="549">
        <v>61764.51</v>
      </c>
      <c r="M1390" s="549">
        <v>4663.22</v>
      </c>
      <c r="N1390" s="549">
        <v>1365</v>
      </c>
      <c r="O1390" s="549">
        <v>1984</v>
      </c>
      <c r="P1390" s="549">
        <v>1.98</v>
      </c>
      <c r="Q1390" s="549">
        <v>158.63999999999999</v>
      </c>
    </row>
    <row r="1391" spans="1:17" x14ac:dyDescent="0.25">
      <c r="A1391" s="549" t="s">
        <v>518</v>
      </c>
      <c r="B1391" s="549" t="s">
        <v>1009</v>
      </c>
      <c r="C1391" s="549" t="s">
        <v>519</v>
      </c>
      <c r="D1391" s="549" t="s">
        <v>492</v>
      </c>
      <c r="E1391" s="549" t="s">
        <v>977</v>
      </c>
      <c r="F1391" s="549" t="s">
        <v>1212</v>
      </c>
      <c r="G1391" s="549" t="s">
        <v>1225</v>
      </c>
      <c r="H1391" s="549" t="s">
        <v>519</v>
      </c>
      <c r="I1391" s="549" t="s">
        <v>976</v>
      </c>
      <c r="J1391" s="549" t="s">
        <v>976</v>
      </c>
      <c r="K1391" s="549" t="s">
        <v>976</v>
      </c>
      <c r="L1391" s="549">
        <v>286934.52</v>
      </c>
      <c r="M1391" s="549">
        <v>21663.56</v>
      </c>
      <c r="N1391" s="549">
        <v>6341.25</v>
      </c>
      <c r="O1391" s="549">
        <v>992</v>
      </c>
      <c r="P1391" s="549">
        <v>1.98</v>
      </c>
      <c r="Q1391" s="549">
        <v>574.14</v>
      </c>
    </row>
    <row r="1392" spans="1:17" x14ac:dyDescent="0.25">
      <c r="A1392" s="549" t="s">
        <v>518</v>
      </c>
      <c r="B1392" s="549" t="s">
        <v>1009</v>
      </c>
      <c r="C1392" s="549" t="s">
        <v>520</v>
      </c>
      <c r="D1392" s="549" t="s">
        <v>670</v>
      </c>
      <c r="E1392" s="549" t="s">
        <v>973</v>
      </c>
      <c r="F1392" s="549" t="s">
        <v>1212</v>
      </c>
      <c r="G1392" s="549">
        <v>62</v>
      </c>
      <c r="H1392" s="549" t="s">
        <v>520</v>
      </c>
      <c r="I1392" s="549" t="s">
        <v>976</v>
      </c>
      <c r="J1392" s="549" t="s">
        <v>976</v>
      </c>
      <c r="K1392" s="549" t="s">
        <v>976</v>
      </c>
      <c r="L1392" s="549">
        <v>132564.41</v>
      </c>
      <c r="M1392" s="549">
        <v>10008.61</v>
      </c>
      <c r="N1392" s="549">
        <v>7609.2</v>
      </c>
      <c r="O1392" s="549">
        <v>892.8</v>
      </c>
      <c r="P1392" s="549">
        <v>100</v>
      </c>
      <c r="Q1392" s="549">
        <v>18510.61</v>
      </c>
    </row>
    <row r="1393" spans="1:17" x14ac:dyDescent="0.25">
      <c r="A1393" s="549" t="s">
        <v>518</v>
      </c>
      <c r="B1393" s="549" t="s">
        <v>1009</v>
      </c>
      <c r="C1393" s="549" t="s">
        <v>520</v>
      </c>
      <c r="D1393" s="549" t="s">
        <v>670</v>
      </c>
      <c r="E1393" s="549" t="s">
        <v>973</v>
      </c>
      <c r="F1393" s="549" t="s">
        <v>1212</v>
      </c>
      <c r="G1393" s="549">
        <v>72</v>
      </c>
      <c r="H1393" s="549" t="s">
        <v>520</v>
      </c>
      <c r="I1393" s="549" t="s">
        <v>976</v>
      </c>
      <c r="J1393" s="549" t="s">
        <v>976</v>
      </c>
      <c r="K1393" s="549" t="s">
        <v>976</v>
      </c>
      <c r="L1393" s="549">
        <v>132564.41</v>
      </c>
      <c r="M1393" s="549">
        <v>10008.61</v>
      </c>
      <c r="N1393" s="549">
        <v>7609.2</v>
      </c>
      <c r="O1393" s="549">
        <v>892.8</v>
      </c>
      <c r="P1393" s="549">
        <v>100</v>
      </c>
      <c r="Q1393" s="549">
        <v>18510.61</v>
      </c>
    </row>
    <row r="1394" spans="1:17" x14ac:dyDescent="0.25">
      <c r="A1394" s="549" t="s">
        <v>518</v>
      </c>
      <c r="B1394" s="549" t="s">
        <v>1009</v>
      </c>
      <c r="C1394" s="549" t="s">
        <v>520</v>
      </c>
      <c r="D1394" s="549" t="s">
        <v>670</v>
      </c>
      <c r="E1394" s="549" t="s">
        <v>973</v>
      </c>
      <c r="F1394" s="549" t="s">
        <v>1212</v>
      </c>
      <c r="G1394" s="549">
        <v>82</v>
      </c>
      <c r="H1394" s="549" t="s">
        <v>520</v>
      </c>
      <c r="I1394" s="549" t="s">
        <v>976</v>
      </c>
      <c r="J1394" s="549" t="s">
        <v>976</v>
      </c>
      <c r="K1394" s="549" t="s">
        <v>976</v>
      </c>
      <c r="L1394" s="549">
        <v>132564.41</v>
      </c>
      <c r="M1394" s="549">
        <v>10008.61</v>
      </c>
      <c r="N1394" s="549">
        <v>7609.2</v>
      </c>
      <c r="O1394" s="549">
        <v>892.8</v>
      </c>
      <c r="P1394" s="549">
        <v>100</v>
      </c>
      <c r="Q1394" s="549">
        <v>18510.61</v>
      </c>
    </row>
    <row r="1395" spans="1:17" x14ac:dyDescent="0.25">
      <c r="A1395" s="549" t="s">
        <v>518</v>
      </c>
      <c r="B1395" s="549" t="s">
        <v>1009</v>
      </c>
      <c r="C1395" s="549" t="s">
        <v>520</v>
      </c>
      <c r="D1395" s="549" t="s">
        <v>670</v>
      </c>
      <c r="E1395" s="549" t="s">
        <v>973</v>
      </c>
      <c r="F1395" s="549" t="s">
        <v>1212</v>
      </c>
      <c r="G1395" s="549">
        <v>92</v>
      </c>
      <c r="H1395" s="549" t="s">
        <v>520</v>
      </c>
      <c r="I1395" s="549" t="s">
        <v>976</v>
      </c>
      <c r="J1395" s="549" t="s">
        <v>976</v>
      </c>
      <c r="K1395" s="549" t="s">
        <v>976</v>
      </c>
      <c r="L1395" s="549">
        <v>132564.41</v>
      </c>
      <c r="M1395" s="549">
        <v>10008.61</v>
      </c>
      <c r="N1395" s="549">
        <v>7609.2</v>
      </c>
      <c r="O1395" s="549">
        <v>892.8</v>
      </c>
      <c r="P1395" s="549">
        <v>100</v>
      </c>
      <c r="Q1395" s="549">
        <v>18510.61</v>
      </c>
    </row>
    <row r="1396" spans="1:17" x14ac:dyDescent="0.25">
      <c r="A1396" s="549" t="s">
        <v>518</v>
      </c>
      <c r="B1396" s="549" t="s">
        <v>1009</v>
      </c>
      <c r="C1396" s="549" t="s">
        <v>520</v>
      </c>
      <c r="D1396" s="549" t="s">
        <v>670</v>
      </c>
      <c r="E1396" s="549" t="s">
        <v>973</v>
      </c>
      <c r="F1396" s="549" t="s">
        <v>1212</v>
      </c>
      <c r="G1396" s="549">
        <v>102</v>
      </c>
      <c r="H1396" s="549" t="s">
        <v>520</v>
      </c>
      <c r="I1396" s="549" t="s">
        <v>976</v>
      </c>
      <c r="J1396" s="549" t="s">
        <v>976</v>
      </c>
      <c r="K1396" s="549" t="s">
        <v>976</v>
      </c>
      <c r="L1396" s="549">
        <v>132564.41</v>
      </c>
      <c r="M1396" s="549">
        <v>10008.61</v>
      </c>
      <c r="N1396" s="549">
        <v>7609.2</v>
      </c>
      <c r="O1396" s="549">
        <v>892.8</v>
      </c>
      <c r="P1396" s="549">
        <v>100</v>
      </c>
      <c r="Q1396" s="549">
        <v>18510.61</v>
      </c>
    </row>
    <row r="1397" spans="1:17" x14ac:dyDescent="0.25">
      <c r="A1397" s="549" t="s">
        <v>518</v>
      </c>
      <c r="B1397" s="549" t="s">
        <v>1009</v>
      </c>
      <c r="C1397" s="549" t="s">
        <v>520</v>
      </c>
      <c r="D1397" s="549" t="s">
        <v>670</v>
      </c>
      <c r="E1397" s="549" t="s">
        <v>973</v>
      </c>
      <c r="F1397" s="549" t="s">
        <v>1212</v>
      </c>
      <c r="G1397" s="549">
        <v>182</v>
      </c>
      <c r="H1397" s="549" t="s">
        <v>520</v>
      </c>
      <c r="I1397" s="549" t="s">
        <v>976</v>
      </c>
      <c r="J1397" s="549" t="s">
        <v>976</v>
      </c>
      <c r="K1397" s="549" t="s">
        <v>976</v>
      </c>
      <c r="L1397" s="549">
        <v>132564.41</v>
      </c>
      <c r="M1397" s="549">
        <v>10008.61</v>
      </c>
      <c r="N1397" s="549">
        <v>7609.2</v>
      </c>
      <c r="O1397" s="549">
        <v>892.8</v>
      </c>
      <c r="P1397" s="549">
        <v>100</v>
      </c>
      <c r="Q1397" s="549">
        <v>18510.61</v>
      </c>
    </row>
    <row r="1398" spans="1:17" x14ac:dyDescent="0.25">
      <c r="A1398" s="549" t="s">
        <v>518</v>
      </c>
      <c r="B1398" s="549" t="s">
        <v>1009</v>
      </c>
      <c r="C1398" s="549" t="s">
        <v>520</v>
      </c>
      <c r="D1398" s="549" t="s">
        <v>670</v>
      </c>
      <c r="E1398" s="549" t="s">
        <v>973</v>
      </c>
      <c r="F1398" s="549" t="s">
        <v>1212</v>
      </c>
      <c r="G1398" s="549">
        <v>192</v>
      </c>
      <c r="H1398" s="549" t="s">
        <v>520</v>
      </c>
      <c r="I1398" s="549" t="s">
        <v>976</v>
      </c>
      <c r="J1398" s="549" t="s">
        <v>976</v>
      </c>
      <c r="K1398" s="549" t="s">
        <v>976</v>
      </c>
      <c r="L1398" s="549">
        <v>132564.41</v>
      </c>
      <c r="M1398" s="549">
        <v>10008.61</v>
      </c>
      <c r="N1398" s="549">
        <v>7609.2</v>
      </c>
      <c r="O1398" s="549">
        <v>892.8</v>
      </c>
      <c r="P1398" s="549">
        <v>100</v>
      </c>
      <c r="Q1398" s="549">
        <v>18510.61</v>
      </c>
    </row>
    <row r="1399" spans="1:17" x14ac:dyDescent="0.25">
      <c r="A1399" s="549" t="s">
        <v>518</v>
      </c>
      <c r="B1399" s="549" t="s">
        <v>1009</v>
      </c>
      <c r="C1399" s="549" t="s">
        <v>520</v>
      </c>
      <c r="D1399" s="549" t="s">
        <v>670</v>
      </c>
      <c r="E1399" s="549" t="s">
        <v>977</v>
      </c>
      <c r="F1399" s="549" t="s">
        <v>1212</v>
      </c>
      <c r="G1399" s="549">
        <v>62</v>
      </c>
      <c r="H1399" s="549" t="s">
        <v>520</v>
      </c>
      <c r="I1399" s="549" t="s">
        <v>976</v>
      </c>
      <c r="J1399" s="549" t="s">
        <v>976</v>
      </c>
      <c r="K1399" s="549" t="s">
        <v>976</v>
      </c>
      <c r="L1399" s="549">
        <v>132564.41</v>
      </c>
      <c r="M1399" s="549">
        <v>10008.61</v>
      </c>
      <c r="N1399" s="549">
        <v>2929.67</v>
      </c>
      <c r="O1399" s="549">
        <v>892.8</v>
      </c>
      <c r="P1399" s="549">
        <v>0</v>
      </c>
      <c r="Q1399" s="549">
        <v>0</v>
      </c>
    </row>
    <row r="1400" spans="1:17" x14ac:dyDescent="0.25">
      <c r="A1400" s="549" t="s">
        <v>518</v>
      </c>
      <c r="B1400" s="549" t="s">
        <v>1009</v>
      </c>
      <c r="C1400" s="549" t="s">
        <v>520</v>
      </c>
      <c r="D1400" s="549" t="s">
        <v>670</v>
      </c>
      <c r="E1400" s="549" t="s">
        <v>977</v>
      </c>
      <c r="F1400" s="549" t="s">
        <v>1212</v>
      </c>
      <c r="G1400" s="549">
        <v>72</v>
      </c>
      <c r="H1400" s="549" t="s">
        <v>520</v>
      </c>
      <c r="I1400" s="549" t="s">
        <v>976</v>
      </c>
      <c r="J1400" s="549" t="s">
        <v>976</v>
      </c>
      <c r="K1400" s="549" t="s">
        <v>976</v>
      </c>
      <c r="L1400" s="549">
        <v>132564.41</v>
      </c>
      <c r="M1400" s="549">
        <v>10008.61</v>
      </c>
      <c r="N1400" s="549">
        <v>2929.67</v>
      </c>
      <c r="O1400" s="549">
        <v>892.8</v>
      </c>
      <c r="P1400" s="549">
        <v>0</v>
      </c>
      <c r="Q1400" s="549">
        <v>0</v>
      </c>
    </row>
    <row r="1401" spans="1:17" x14ac:dyDescent="0.25">
      <c r="A1401" s="549" t="s">
        <v>518</v>
      </c>
      <c r="B1401" s="549" t="s">
        <v>1009</v>
      </c>
      <c r="C1401" s="549" t="s">
        <v>520</v>
      </c>
      <c r="D1401" s="549" t="s">
        <v>670</v>
      </c>
      <c r="E1401" s="549" t="s">
        <v>977</v>
      </c>
      <c r="F1401" s="549" t="s">
        <v>1212</v>
      </c>
      <c r="G1401" s="549">
        <v>82</v>
      </c>
      <c r="H1401" s="549" t="s">
        <v>520</v>
      </c>
      <c r="I1401" s="549" t="s">
        <v>976</v>
      </c>
      <c r="J1401" s="549" t="s">
        <v>976</v>
      </c>
      <c r="K1401" s="549" t="s">
        <v>976</v>
      </c>
      <c r="L1401" s="549">
        <v>132564.41</v>
      </c>
      <c r="M1401" s="549">
        <v>10008.61</v>
      </c>
      <c r="N1401" s="549">
        <v>2929.67</v>
      </c>
      <c r="O1401" s="549">
        <v>892.8</v>
      </c>
      <c r="P1401" s="549">
        <v>0</v>
      </c>
      <c r="Q1401" s="549">
        <v>0</v>
      </c>
    </row>
    <row r="1402" spans="1:17" x14ac:dyDescent="0.25">
      <c r="A1402" s="549" t="s">
        <v>518</v>
      </c>
      <c r="B1402" s="549" t="s">
        <v>1009</v>
      </c>
      <c r="C1402" s="549" t="s">
        <v>520</v>
      </c>
      <c r="D1402" s="549" t="s">
        <v>670</v>
      </c>
      <c r="E1402" s="549" t="s">
        <v>977</v>
      </c>
      <c r="F1402" s="549" t="s">
        <v>1212</v>
      </c>
      <c r="G1402" s="549">
        <v>92</v>
      </c>
      <c r="H1402" s="549" t="s">
        <v>520</v>
      </c>
      <c r="I1402" s="549" t="s">
        <v>976</v>
      </c>
      <c r="J1402" s="549" t="s">
        <v>976</v>
      </c>
      <c r="K1402" s="549" t="s">
        <v>976</v>
      </c>
      <c r="L1402" s="549">
        <v>132564.41</v>
      </c>
      <c r="M1402" s="549">
        <v>10008.61</v>
      </c>
      <c r="N1402" s="549">
        <v>2929.67</v>
      </c>
      <c r="O1402" s="549">
        <v>892.8</v>
      </c>
      <c r="P1402" s="549">
        <v>0</v>
      </c>
      <c r="Q1402" s="549">
        <v>0</v>
      </c>
    </row>
    <row r="1403" spans="1:17" x14ac:dyDescent="0.25">
      <c r="A1403" s="549" t="s">
        <v>518</v>
      </c>
      <c r="B1403" s="549" t="s">
        <v>1009</v>
      </c>
      <c r="C1403" s="549" t="s">
        <v>520</v>
      </c>
      <c r="D1403" s="549" t="s">
        <v>670</v>
      </c>
      <c r="E1403" s="549" t="s">
        <v>977</v>
      </c>
      <c r="F1403" s="549" t="s">
        <v>1212</v>
      </c>
      <c r="G1403" s="549">
        <v>102</v>
      </c>
      <c r="H1403" s="549" t="s">
        <v>520</v>
      </c>
      <c r="I1403" s="549" t="s">
        <v>976</v>
      </c>
      <c r="J1403" s="549" t="s">
        <v>976</v>
      </c>
      <c r="K1403" s="549" t="s">
        <v>976</v>
      </c>
      <c r="L1403" s="549">
        <v>132564.41</v>
      </c>
      <c r="M1403" s="549">
        <v>10008.61</v>
      </c>
      <c r="N1403" s="549">
        <v>2929.67</v>
      </c>
      <c r="O1403" s="549">
        <v>892.8</v>
      </c>
      <c r="P1403" s="549">
        <v>0</v>
      </c>
      <c r="Q1403" s="549">
        <v>0</v>
      </c>
    </row>
    <row r="1404" spans="1:17" x14ac:dyDescent="0.25">
      <c r="A1404" s="549" t="s">
        <v>518</v>
      </c>
      <c r="B1404" s="549" t="s">
        <v>1009</v>
      </c>
      <c r="C1404" s="549" t="s">
        <v>520</v>
      </c>
      <c r="D1404" s="549" t="s">
        <v>670</v>
      </c>
      <c r="E1404" s="549" t="s">
        <v>977</v>
      </c>
      <c r="F1404" s="549" t="s">
        <v>1212</v>
      </c>
      <c r="G1404" s="549">
        <v>182</v>
      </c>
      <c r="H1404" s="549" t="s">
        <v>520</v>
      </c>
      <c r="I1404" s="549" t="s">
        <v>976</v>
      </c>
      <c r="J1404" s="549" t="s">
        <v>976</v>
      </c>
      <c r="K1404" s="549" t="s">
        <v>976</v>
      </c>
      <c r="L1404" s="549">
        <v>132564.41</v>
      </c>
      <c r="M1404" s="549">
        <v>10008.61</v>
      </c>
      <c r="N1404" s="549">
        <v>2929.67</v>
      </c>
      <c r="O1404" s="549">
        <v>892.8</v>
      </c>
      <c r="P1404" s="549">
        <v>0</v>
      </c>
      <c r="Q1404" s="549">
        <v>0</v>
      </c>
    </row>
    <row r="1405" spans="1:17" x14ac:dyDescent="0.25">
      <c r="A1405" s="549" t="s">
        <v>518</v>
      </c>
      <c r="B1405" s="549" t="s">
        <v>1009</v>
      </c>
      <c r="C1405" s="549" t="s">
        <v>520</v>
      </c>
      <c r="D1405" s="549" t="s">
        <v>670</v>
      </c>
      <c r="E1405" s="549" t="s">
        <v>977</v>
      </c>
      <c r="F1405" s="549" t="s">
        <v>1212</v>
      </c>
      <c r="G1405" s="549">
        <v>192</v>
      </c>
      <c r="H1405" s="549" t="s">
        <v>520</v>
      </c>
      <c r="I1405" s="549" t="s">
        <v>976</v>
      </c>
      <c r="J1405" s="549" t="s">
        <v>976</v>
      </c>
      <c r="K1405" s="549" t="s">
        <v>976</v>
      </c>
      <c r="L1405" s="549">
        <v>132564.41</v>
      </c>
      <c r="M1405" s="549">
        <v>10008.61</v>
      </c>
      <c r="N1405" s="549">
        <v>2929.67</v>
      </c>
      <c r="O1405" s="549">
        <v>892.8</v>
      </c>
      <c r="P1405" s="549">
        <v>0</v>
      </c>
      <c r="Q1405" s="549">
        <v>0</v>
      </c>
    </row>
    <row r="1406" spans="1:17" x14ac:dyDescent="0.25">
      <c r="A1406" s="549" t="s">
        <v>1018</v>
      </c>
      <c r="B1406" s="549" t="s">
        <v>1019</v>
      </c>
      <c r="C1406" s="549" t="s">
        <v>817</v>
      </c>
      <c r="D1406" s="549" t="s">
        <v>818</v>
      </c>
      <c r="E1406" s="549" t="s">
        <v>977</v>
      </c>
      <c r="F1406" s="549" t="s">
        <v>1212</v>
      </c>
      <c r="G1406" s="549">
        <v>82</v>
      </c>
      <c r="H1406" s="549" t="s">
        <v>817</v>
      </c>
      <c r="I1406" s="549" t="s">
        <v>976</v>
      </c>
      <c r="J1406" s="549" t="s">
        <v>976</v>
      </c>
      <c r="K1406" s="549" t="s">
        <v>976</v>
      </c>
      <c r="L1406" s="549">
        <v>347493.52</v>
      </c>
      <c r="M1406" s="549">
        <v>26235.759999999998</v>
      </c>
      <c r="N1406" s="549">
        <v>7679.61</v>
      </c>
      <c r="O1406" s="549">
        <v>1984</v>
      </c>
      <c r="P1406" s="549">
        <v>100</v>
      </c>
      <c r="Q1406" s="549">
        <v>35899.370000000003</v>
      </c>
    </row>
    <row r="1407" spans="1:17" x14ac:dyDescent="0.25">
      <c r="A1407" s="549" t="s">
        <v>1018</v>
      </c>
      <c r="B1407" s="549" t="s">
        <v>1019</v>
      </c>
      <c r="C1407" s="549" t="s">
        <v>817</v>
      </c>
      <c r="D1407" s="549" t="s">
        <v>818</v>
      </c>
      <c r="E1407" s="549" t="s">
        <v>977</v>
      </c>
      <c r="F1407" s="549" t="s">
        <v>1212</v>
      </c>
      <c r="G1407" s="549">
        <v>102</v>
      </c>
      <c r="H1407" s="549" t="s">
        <v>817</v>
      </c>
      <c r="I1407" s="549" t="s">
        <v>976</v>
      </c>
      <c r="J1407" s="549" t="s">
        <v>976</v>
      </c>
      <c r="K1407" s="549" t="s">
        <v>976</v>
      </c>
      <c r="L1407" s="549">
        <v>347493.52</v>
      </c>
      <c r="M1407" s="549">
        <v>26235.759999999998</v>
      </c>
      <c r="N1407" s="549">
        <v>7679.61</v>
      </c>
      <c r="O1407" s="549">
        <v>1984</v>
      </c>
      <c r="P1407" s="549">
        <v>100</v>
      </c>
      <c r="Q1407" s="549">
        <v>35899.370000000003</v>
      </c>
    </row>
    <row r="1408" spans="1:17" x14ac:dyDescent="0.25">
      <c r="A1408" s="549" t="s">
        <v>1018</v>
      </c>
      <c r="B1408" s="549" t="s">
        <v>1019</v>
      </c>
      <c r="C1408" s="549" t="s">
        <v>817</v>
      </c>
      <c r="D1408" s="549" t="s">
        <v>818</v>
      </c>
      <c r="E1408" s="549" t="s">
        <v>977</v>
      </c>
      <c r="F1408" s="549" t="s">
        <v>1212</v>
      </c>
      <c r="G1408" s="549">
        <v>202</v>
      </c>
      <c r="H1408" s="549" t="s">
        <v>817</v>
      </c>
      <c r="I1408" s="549" t="s">
        <v>976</v>
      </c>
      <c r="J1408" s="549" t="s">
        <v>976</v>
      </c>
      <c r="K1408" s="549" t="s">
        <v>976</v>
      </c>
      <c r="L1408" s="549">
        <v>135283.07999999999</v>
      </c>
      <c r="M1408" s="549">
        <v>10213.870000000001</v>
      </c>
      <c r="N1408" s="549">
        <v>2989.76</v>
      </c>
      <c r="O1408" s="549">
        <v>1984</v>
      </c>
      <c r="P1408" s="549">
        <v>100</v>
      </c>
      <c r="Q1408" s="549">
        <v>15187.63</v>
      </c>
    </row>
    <row r="1409" spans="1:17" x14ac:dyDescent="0.25">
      <c r="A1409" s="549" t="s">
        <v>1018</v>
      </c>
      <c r="B1409" s="549" t="s">
        <v>1019</v>
      </c>
      <c r="C1409" s="549" t="s">
        <v>817</v>
      </c>
      <c r="D1409" s="549" t="s">
        <v>818</v>
      </c>
      <c r="E1409" s="549" t="s">
        <v>977</v>
      </c>
      <c r="F1409" s="549" t="s">
        <v>1212</v>
      </c>
      <c r="G1409" s="549">
        <v>232</v>
      </c>
      <c r="H1409" s="549" t="s">
        <v>817</v>
      </c>
      <c r="I1409" s="549" t="s">
        <v>976</v>
      </c>
      <c r="J1409" s="549" t="s">
        <v>976</v>
      </c>
      <c r="K1409" s="549" t="s">
        <v>976</v>
      </c>
      <c r="L1409" s="549">
        <v>148459.07</v>
      </c>
      <c r="M1409" s="549">
        <v>11208.66</v>
      </c>
      <c r="N1409" s="549">
        <v>3280.95</v>
      </c>
      <c r="O1409" s="549">
        <v>3968</v>
      </c>
      <c r="P1409" s="549">
        <v>100</v>
      </c>
      <c r="Q1409" s="549">
        <v>18457.61</v>
      </c>
    </row>
    <row r="1410" spans="1:17" x14ac:dyDescent="0.25">
      <c r="A1410" s="549" t="s">
        <v>1018</v>
      </c>
      <c r="B1410" s="549" t="s">
        <v>1019</v>
      </c>
      <c r="C1410" s="549" t="s">
        <v>817</v>
      </c>
      <c r="D1410" s="549" t="s">
        <v>818</v>
      </c>
      <c r="E1410" s="549" t="s">
        <v>977</v>
      </c>
      <c r="F1410" s="549" t="s">
        <v>1212</v>
      </c>
      <c r="G1410" s="549">
        <v>237</v>
      </c>
      <c r="H1410" s="549" t="s">
        <v>817</v>
      </c>
      <c r="I1410" s="549" t="s">
        <v>976</v>
      </c>
      <c r="J1410" s="549" t="s">
        <v>976</v>
      </c>
      <c r="K1410" s="549" t="s">
        <v>976</v>
      </c>
      <c r="L1410" s="549">
        <v>20411.89</v>
      </c>
      <c r="M1410" s="549">
        <v>1541.1</v>
      </c>
      <c r="N1410" s="549">
        <v>451.1</v>
      </c>
      <c r="O1410" s="549">
        <v>992</v>
      </c>
      <c r="P1410" s="549">
        <v>100</v>
      </c>
      <c r="Q1410" s="549">
        <v>2984.2</v>
      </c>
    </row>
    <row r="1411" spans="1:17" x14ac:dyDescent="0.25">
      <c r="A1411" s="549" t="s">
        <v>1018</v>
      </c>
      <c r="B1411" s="549" t="s">
        <v>1019</v>
      </c>
      <c r="C1411" s="549" t="s">
        <v>817</v>
      </c>
      <c r="D1411" s="549" t="s">
        <v>818</v>
      </c>
      <c r="E1411" s="549" t="s">
        <v>977</v>
      </c>
      <c r="F1411" s="549" t="s">
        <v>1212</v>
      </c>
      <c r="G1411" s="549">
        <v>242</v>
      </c>
      <c r="H1411" s="549" t="s">
        <v>817</v>
      </c>
      <c r="I1411" s="549" t="s">
        <v>976</v>
      </c>
      <c r="J1411" s="549" t="s">
        <v>976</v>
      </c>
      <c r="K1411" s="549" t="s">
        <v>976</v>
      </c>
      <c r="L1411" s="549">
        <v>148459.07</v>
      </c>
      <c r="M1411" s="549">
        <v>11208.66</v>
      </c>
      <c r="N1411" s="549">
        <v>3280.95</v>
      </c>
      <c r="O1411" s="549">
        <v>3968</v>
      </c>
      <c r="P1411" s="549">
        <v>100</v>
      </c>
      <c r="Q1411" s="549">
        <v>18457.61</v>
      </c>
    </row>
    <row r="1412" spans="1:17" x14ac:dyDescent="0.25">
      <c r="A1412" s="549" t="s">
        <v>1018</v>
      </c>
      <c r="B1412" s="549" t="s">
        <v>1019</v>
      </c>
      <c r="C1412" s="549" t="s">
        <v>817</v>
      </c>
      <c r="D1412" s="549" t="s">
        <v>818</v>
      </c>
      <c r="E1412" s="549" t="s">
        <v>977</v>
      </c>
      <c r="F1412" s="549" t="s">
        <v>1212</v>
      </c>
      <c r="G1412" s="549">
        <v>272</v>
      </c>
      <c r="H1412" s="549" t="s">
        <v>817</v>
      </c>
      <c r="I1412" s="549" t="s">
        <v>976</v>
      </c>
      <c r="J1412" s="549" t="s">
        <v>976</v>
      </c>
      <c r="K1412" s="549" t="s">
        <v>976</v>
      </c>
      <c r="L1412" s="549">
        <v>148459.07</v>
      </c>
      <c r="M1412" s="549">
        <v>11208.66</v>
      </c>
      <c r="N1412" s="549">
        <v>3280.95</v>
      </c>
      <c r="O1412" s="549">
        <v>3968</v>
      </c>
      <c r="P1412" s="549">
        <v>100</v>
      </c>
      <c r="Q1412" s="549">
        <v>18457.61</v>
      </c>
    </row>
    <row r="1413" spans="1:17" x14ac:dyDescent="0.25">
      <c r="A1413" s="549" t="s">
        <v>1018</v>
      </c>
      <c r="B1413" s="549" t="s">
        <v>1019</v>
      </c>
      <c r="C1413" s="549" t="s">
        <v>817</v>
      </c>
      <c r="D1413" s="549" t="s">
        <v>818</v>
      </c>
      <c r="E1413" s="549" t="s">
        <v>977</v>
      </c>
      <c r="F1413" s="549" t="s">
        <v>1212</v>
      </c>
      <c r="G1413" s="549">
        <v>282</v>
      </c>
      <c r="H1413" s="549" t="s">
        <v>817</v>
      </c>
      <c r="I1413" s="549" t="s">
        <v>976</v>
      </c>
      <c r="J1413" s="549" t="s">
        <v>976</v>
      </c>
      <c r="K1413" s="549" t="s">
        <v>976</v>
      </c>
      <c r="L1413" s="549">
        <v>148459.07</v>
      </c>
      <c r="M1413" s="549">
        <v>11208.66</v>
      </c>
      <c r="N1413" s="549">
        <v>3280.95</v>
      </c>
      <c r="O1413" s="549">
        <v>3968</v>
      </c>
      <c r="P1413" s="549">
        <v>100</v>
      </c>
      <c r="Q1413" s="549">
        <v>18457.61</v>
      </c>
    </row>
    <row r="1414" spans="1:17" x14ac:dyDescent="0.25">
      <c r="A1414" s="549" t="s">
        <v>1018</v>
      </c>
      <c r="B1414" s="549" t="s">
        <v>1019</v>
      </c>
      <c r="C1414" s="549" t="s">
        <v>817</v>
      </c>
      <c r="D1414" s="549" t="s">
        <v>818</v>
      </c>
      <c r="E1414" s="549" t="s">
        <v>977</v>
      </c>
      <c r="F1414" s="549" t="s">
        <v>1212</v>
      </c>
      <c r="G1414" s="549">
        <v>287</v>
      </c>
      <c r="H1414" s="549" t="s">
        <v>817</v>
      </c>
      <c r="I1414" s="549" t="s">
        <v>976</v>
      </c>
      <c r="J1414" s="549" t="s">
        <v>976</v>
      </c>
      <c r="K1414" s="549" t="s">
        <v>976</v>
      </c>
      <c r="L1414" s="549">
        <v>20411.89</v>
      </c>
      <c r="M1414" s="549">
        <v>1541.1</v>
      </c>
      <c r="N1414" s="549">
        <v>451.1</v>
      </c>
      <c r="O1414" s="549">
        <v>992</v>
      </c>
      <c r="P1414" s="549">
        <v>100</v>
      </c>
      <c r="Q1414" s="549">
        <v>2984.2</v>
      </c>
    </row>
    <row r="1415" spans="1:17" x14ac:dyDescent="0.25">
      <c r="A1415" s="549" t="s">
        <v>1018</v>
      </c>
      <c r="B1415" s="549" t="s">
        <v>1019</v>
      </c>
      <c r="C1415" s="549" t="s">
        <v>817</v>
      </c>
      <c r="D1415" s="549" t="s">
        <v>818</v>
      </c>
      <c r="E1415" s="549" t="s">
        <v>977</v>
      </c>
      <c r="F1415" s="549" t="s">
        <v>1212</v>
      </c>
      <c r="G1415" s="549">
        <v>292</v>
      </c>
      <c r="H1415" s="549" t="s">
        <v>817</v>
      </c>
      <c r="I1415" s="549" t="s">
        <v>976</v>
      </c>
      <c r="J1415" s="549" t="s">
        <v>976</v>
      </c>
      <c r="K1415" s="549" t="s">
        <v>976</v>
      </c>
      <c r="L1415" s="549">
        <v>148459.07</v>
      </c>
      <c r="M1415" s="549">
        <v>11208.66</v>
      </c>
      <c r="N1415" s="549">
        <v>3280.95</v>
      </c>
      <c r="O1415" s="549">
        <v>3968</v>
      </c>
      <c r="P1415" s="549">
        <v>100</v>
      </c>
      <c r="Q1415" s="549">
        <v>18457.61</v>
      </c>
    </row>
    <row r="1416" spans="1:17" x14ac:dyDescent="0.25">
      <c r="A1416" s="549" t="s">
        <v>1018</v>
      </c>
      <c r="B1416" s="549" t="s">
        <v>1019</v>
      </c>
      <c r="C1416" s="549" t="s">
        <v>817</v>
      </c>
      <c r="D1416" s="549" t="s">
        <v>818</v>
      </c>
      <c r="E1416" s="549" t="s">
        <v>977</v>
      </c>
      <c r="F1416" s="549" t="s">
        <v>1212</v>
      </c>
      <c r="G1416" s="549">
        <v>312</v>
      </c>
      <c r="H1416" s="549" t="s">
        <v>817</v>
      </c>
      <c r="I1416" s="549" t="s">
        <v>976</v>
      </c>
      <c r="J1416" s="549" t="s">
        <v>976</v>
      </c>
      <c r="K1416" s="549" t="s">
        <v>976</v>
      </c>
      <c r="L1416" s="549">
        <v>135283.07999999999</v>
      </c>
      <c r="M1416" s="549">
        <v>10213.870000000001</v>
      </c>
      <c r="N1416" s="549">
        <v>2989.76</v>
      </c>
      <c r="O1416" s="549">
        <v>1984</v>
      </c>
      <c r="P1416" s="549">
        <v>100</v>
      </c>
      <c r="Q1416" s="549">
        <v>15187.63</v>
      </c>
    </row>
    <row r="1417" spans="1:17" x14ac:dyDescent="0.25">
      <c r="A1417" s="549" t="s">
        <v>1018</v>
      </c>
      <c r="B1417" s="549" t="s">
        <v>1019</v>
      </c>
      <c r="C1417" s="549" t="s">
        <v>817</v>
      </c>
      <c r="D1417" s="549" t="s">
        <v>818</v>
      </c>
      <c r="E1417" s="549" t="s">
        <v>977</v>
      </c>
      <c r="F1417" s="549" t="s">
        <v>1212</v>
      </c>
      <c r="G1417" s="549" t="s">
        <v>1317</v>
      </c>
      <c r="H1417" s="549" t="s">
        <v>817</v>
      </c>
      <c r="I1417" s="549" t="s">
        <v>976</v>
      </c>
      <c r="J1417" s="549" t="s">
        <v>976</v>
      </c>
      <c r="K1417" s="549" t="s">
        <v>976</v>
      </c>
      <c r="L1417" s="549">
        <v>34955.699999999997</v>
      </c>
      <c r="M1417" s="549">
        <v>2639.16</v>
      </c>
      <c r="N1417" s="549">
        <v>772.52</v>
      </c>
      <c r="O1417" s="549">
        <v>1984</v>
      </c>
      <c r="P1417" s="549">
        <v>100</v>
      </c>
      <c r="Q1417" s="549">
        <v>5395.68</v>
      </c>
    </row>
    <row r="1418" spans="1:17" x14ac:dyDescent="0.25">
      <c r="A1418" s="549" t="s">
        <v>1018</v>
      </c>
      <c r="B1418" s="549" t="s">
        <v>1019</v>
      </c>
      <c r="C1418" s="549" t="s">
        <v>817</v>
      </c>
      <c r="D1418" s="549" t="s">
        <v>818</v>
      </c>
      <c r="E1418" s="549" t="s">
        <v>977</v>
      </c>
      <c r="F1418" s="549" t="s">
        <v>1212</v>
      </c>
      <c r="G1418" s="549" t="s">
        <v>1318</v>
      </c>
      <c r="H1418" s="549" t="s">
        <v>817</v>
      </c>
      <c r="I1418" s="549" t="s">
        <v>976</v>
      </c>
      <c r="J1418" s="549" t="s">
        <v>976</v>
      </c>
      <c r="K1418" s="549" t="s">
        <v>976</v>
      </c>
      <c r="L1418" s="549">
        <v>30933.15</v>
      </c>
      <c r="M1418" s="549">
        <v>2335.4499999999998</v>
      </c>
      <c r="N1418" s="549">
        <v>683.62</v>
      </c>
      <c r="O1418" s="549">
        <v>0</v>
      </c>
      <c r="P1418" s="549">
        <v>100</v>
      </c>
      <c r="Q1418" s="549">
        <v>3019.07</v>
      </c>
    </row>
    <row r="1419" spans="1:17" x14ac:dyDescent="0.25">
      <c r="A1419" s="549" t="s">
        <v>1018</v>
      </c>
      <c r="B1419" s="549" t="s">
        <v>1019</v>
      </c>
      <c r="C1419" s="549" t="s">
        <v>817</v>
      </c>
      <c r="D1419" s="549" t="s">
        <v>818</v>
      </c>
      <c r="E1419" s="549" t="s">
        <v>977</v>
      </c>
      <c r="F1419" s="549" t="s">
        <v>1212</v>
      </c>
      <c r="G1419" s="549" t="s">
        <v>1319</v>
      </c>
      <c r="H1419" s="549" t="s">
        <v>817</v>
      </c>
      <c r="I1419" s="549" t="s">
        <v>976</v>
      </c>
      <c r="J1419" s="549" t="s">
        <v>976</v>
      </c>
      <c r="K1419" s="549" t="s">
        <v>976</v>
      </c>
      <c r="L1419" s="549">
        <v>30933.15</v>
      </c>
      <c r="M1419" s="549">
        <v>2335.4499999999998</v>
      </c>
      <c r="N1419" s="549">
        <v>683.62</v>
      </c>
      <c r="O1419" s="549">
        <v>0</v>
      </c>
      <c r="P1419" s="549">
        <v>100</v>
      </c>
      <c r="Q1419" s="549">
        <v>3019.07</v>
      </c>
    </row>
    <row r="1420" spans="1:17" x14ac:dyDescent="0.25">
      <c r="A1420" s="549" t="s">
        <v>1018</v>
      </c>
      <c r="B1420" s="549" t="s">
        <v>1019</v>
      </c>
      <c r="C1420" s="549" t="s">
        <v>811</v>
      </c>
      <c r="D1420" s="549" t="s">
        <v>812</v>
      </c>
      <c r="E1420" s="549" t="s">
        <v>977</v>
      </c>
      <c r="F1420" s="549" t="s">
        <v>1212</v>
      </c>
      <c r="G1420" s="549">
        <v>8</v>
      </c>
      <c r="H1420" s="549" t="s">
        <v>811</v>
      </c>
      <c r="I1420" s="549" t="s">
        <v>976</v>
      </c>
      <c r="J1420" s="549" t="s">
        <v>976</v>
      </c>
      <c r="K1420" s="549" t="s">
        <v>976</v>
      </c>
      <c r="L1420" s="549">
        <v>84051.7</v>
      </c>
      <c r="M1420" s="549">
        <v>6345.9</v>
      </c>
      <c r="N1420" s="549">
        <v>1857.54</v>
      </c>
      <c r="O1420" s="549">
        <v>992</v>
      </c>
      <c r="P1420" s="549">
        <v>100</v>
      </c>
      <c r="Q1420" s="549">
        <v>9195.44</v>
      </c>
    </row>
    <row r="1421" spans="1:17" x14ac:dyDescent="0.25">
      <c r="A1421" s="549" t="s">
        <v>1018</v>
      </c>
      <c r="B1421" s="549" t="s">
        <v>1019</v>
      </c>
      <c r="C1421" s="549" t="s">
        <v>811</v>
      </c>
      <c r="D1421" s="549" t="s">
        <v>812</v>
      </c>
      <c r="E1421" s="549" t="s">
        <v>977</v>
      </c>
      <c r="F1421" s="549" t="s">
        <v>1212</v>
      </c>
      <c r="G1421" s="549">
        <v>9</v>
      </c>
      <c r="H1421" s="549" t="s">
        <v>811</v>
      </c>
      <c r="I1421" s="549" t="s">
        <v>976</v>
      </c>
      <c r="J1421" s="549" t="s">
        <v>976</v>
      </c>
      <c r="K1421" s="549" t="s">
        <v>976</v>
      </c>
      <c r="L1421" s="549">
        <v>84051.7</v>
      </c>
      <c r="M1421" s="549">
        <v>6345.9</v>
      </c>
      <c r="N1421" s="549">
        <v>1857.54</v>
      </c>
      <c r="O1421" s="549">
        <v>992</v>
      </c>
      <c r="P1421" s="549">
        <v>100</v>
      </c>
      <c r="Q1421" s="549">
        <v>9195.44</v>
      </c>
    </row>
    <row r="1422" spans="1:17" x14ac:dyDescent="0.25">
      <c r="A1422" s="549" t="s">
        <v>1018</v>
      </c>
      <c r="B1422" s="549" t="s">
        <v>1019</v>
      </c>
      <c r="C1422" s="549" t="s">
        <v>811</v>
      </c>
      <c r="D1422" s="549" t="s">
        <v>812</v>
      </c>
      <c r="E1422" s="549" t="s">
        <v>977</v>
      </c>
      <c r="F1422" s="549" t="s">
        <v>1212</v>
      </c>
      <c r="G1422" s="549">
        <v>10</v>
      </c>
      <c r="H1422" s="549" t="s">
        <v>811</v>
      </c>
      <c r="I1422" s="549" t="s">
        <v>976</v>
      </c>
      <c r="J1422" s="549" t="s">
        <v>976</v>
      </c>
      <c r="K1422" s="549" t="s">
        <v>976</v>
      </c>
      <c r="L1422" s="549">
        <v>84051.7</v>
      </c>
      <c r="M1422" s="549">
        <v>6345.9</v>
      </c>
      <c r="N1422" s="549">
        <v>1857.54</v>
      </c>
      <c r="O1422" s="549">
        <v>992</v>
      </c>
      <c r="P1422" s="549">
        <v>100</v>
      </c>
      <c r="Q1422" s="549">
        <v>9195.44</v>
      </c>
    </row>
    <row r="1423" spans="1:17" x14ac:dyDescent="0.25">
      <c r="A1423" s="549" t="s">
        <v>1018</v>
      </c>
      <c r="B1423" s="549" t="s">
        <v>1019</v>
      </c>
      <c r="C1423" s="549" t="s">
        <v>811</v>
      </c>
      <c r="D1423" s="549" t="s">
        <v>812</v>
      </c>
      <c r="E1423" s="549" t="s">
        <v>977</v>
      </c>
      <c r="F1423" s="549" t="s">
        <v>1212</v>
      </c>
      <c r="G1423" s="549">
        <v>11</v>
      </c>
      <c r="H1423" s="549" t="s">
        <v>811</v>
      </c>
      <c r="I1423" s="549" t="s">
        <v>976</v>
      </c>
      <c r="J1423" s="549" t="s">
        <v>976</v>
      </c>
      <c r="K1423" s="549" t="s">
        <v>976</v>
      </c>
      <c r="L1423" s="549">
        <v>84051.7</v>
      </c>
      <c r="M1423" s="549">
        <v>6345.9</v>
      </c>
      <c r="N1423" s="549">
        <v>1857.54</v>
      </c>
      <c r="O1423" s="549">
        <v>992</v>
      </c>
      <c r="P1423" s="549">
        <v>100</v>
      </c>
      <c r="Q1423" s="549">
        <v>9195.44</v>
      </c>
    </row>
    <row r="1424" spans="1:17" x14ac:dyDescent="0.25">
      <c r="A1424" s="549" t="s">
        <v>1018</v>
      </c>
      <c r="B1424" s="549" t="s">
        <v>1019</v>
      </c>
      <c r="C1424" s="549" t="s">
        <v>811</v>
      </c>
      <c r="D1424" s="549" t="s">
        <v>812</v>
      </c>
      <c r="E1424" s="549" t="s">
        <v>977</v>
      </c>
      <c r="F1424" s="549" t="s">
        <v>1212</v>
      </c>
      <c r="G1424" s="549">
        <v>12</v>
      </c>
      <c r="H1424" s="549" t="s">
        <v>811</v>
      </c>
      <c r="I1424" s="549" t="s">
        <v>1291</v>
      </c>
      <c r="J1424" s="549" t="s">
        <v>1291</v>
      </c>
      <c r="K1424" s="549" t="s">
        <v>1291</v>
      </c>
      <c r="L1424" s="549">
        <v>0.02</v>
      </c>
      <c r="M1424" s="549">
        <v>0</v>
      </c>
      <c r="N1424" s="549">
        <v>0</v>
      </c>
      <c r="O1424" s="549">
        <v>0</v>
      </c>
      <c r="P1424" s="549">
        <v>100</v>
      </c>
      <c r="Q1424" s="549">
        <v>0</v>
      </c>
    </row>
    <row r="1425" spans="1:17" x14ac:dyDescent="0.25">
      <c r="A1425" s="549" t="s">
        <v>1018</v>
      </c>
      <c r="B1425" s="549" t="s">
        <v>1019</v>
      </c>
      <c r="C1425" s="549" t="s">
        <v>811</v>
      </c>
      <c r="D1425" s="549" t="s">
        <v>812</v>
      </c>
      <c r="E1425" s="549" t="s">
        <v>977</v>
      </c>
      <c r="F1425" s="549" t="s">
        <v>1212</v>
      </c>
      <c r="G1425" s="549">
        <v>13</v>
      </c>
      <c r="H1425" s="549" t="s">
        <v>811</v>
      </c>
      <c r="I1425" s="549" t="s">
        <v>976</v>
      </c>
      <c r="J1425" s="549" t="s">
        <v>976</v>
      </c>
      <c r="K1425" s="549" t="s">
        <v>976</v>
      </c>
      <c r="L1425" s="549">
        <v>84051.7</v>
      </c>
      <c r="M1425" s="549">
        <v>6345.9</v>
      </c>
      <c r="N1425" s="549">
        <v>1857.54</v>
      </c>
      <c r="O1425" s="549">
        <v>992</v>
      </c>
      <c r="P1425" s="549">
        <v>100</v>
      </c>
      <c r="Q1425" s="549">
        <v>9195.44</v>
      </c>
    </row>
    <row r="1426" spans="1:17" x14ac:dyDescent="0.25">
      <c r="A1426" s="549" t="s">
        <v>1018</v>
      </c>
      <c r="B1426" s="549" t="s">
        <v>1019</v>
      </c>
      <c r="C1426" s="549" t="s">
        <v>811</v>
      </c>
      <c r="D1426" s="549" t="s">
        <v>812</v>
      </c>
      <c r="E1426" s="549" t="s">
        <v>977</v>
      </c>
      <c r="F1426" s="549" t="s">
        <v>1212</v>
      </c>
      <c r="G1426" s="549">
        <v>14</v>
      </c>
      <c r="H1426" s="549" t="s">
        <v>811</v>
      </c>
      <c r="I1426" s="549" t="s">
        <v>976</v>
      </c>
      <c r="J1426" s="549" t="s">
        <v>976</v>
      </c>
      <c r="K1426" s="549" t="s">
        <v>976</v>
      </c>
      <c r="L1426" s="549">
        <v>84051.7</v>
      </c>
      <c r="M1426" s="549">
        <v>6345.9</v>
      </c>
      <c r="N1426" s="549">
        <v>1857.54</v>
      </c>
      <c r="O1426" s="549">
        <v>992</v>
      </c>
      <c r="P1426" s="549">
        <v>100</v>
      </c>
      <c r="Q1426" s="549">
        <v>9195.44</v>
      </c>
    </row>
    <row r="1427" spans="1:17" x14ac:dyDescent="0.25">
      <c r="A1427" s="549" t="s">
        <v>1018</v>
      </c>
      <c r="B1427" s="549" t="s">
        <v>1019</v>
      </c>
      <c r="C1427" s="549" t="s">
        <v>811</v>
      </c>
      <c r="D1427" s="549" t="s">
        <v>812</v>
      </c>
      <c r="E1427" s="549" t="s">
        <v>977</v>
      </c>
      <c r="F1427" s="549" t="s">
        <v>1212</v>
      </c>
      <c r="G1427" s="549">
        <v>15</v>
      </c>
      <c r="H1427" s="549" t="s">
        <v>811</v>
      </c>
      <c r="I1427" s="549" t="s">
        <v>976</v>
      </c>
      <c r="J1427" s="549" t="s">
        <v>976</v>
      </c>
      <c r="K1427" s="549" t="s">
        <v>976</v>
      </c>
      <c r="L1427" s="549">
        <v>0.02</v>
      </c>
      <c r="M1427" s="549">
        <v>0</v>
      </c>
      <c r="N1427" s="549">
        <v>0</v>
      </c>
      <c r="O1427" s="549">
        <v>992</v>
      </c>
      <c r="P1427" s="549">
        <v>100</v>
      </c>
      <c r="Q1427" s="549">
        <v>992</v>
      </c>
    </row>
    <row r="1428" spans="1:17" x14ac:dyDescent="0.25">
      <c r="A1428" s="549" t="s">
        <v>1018</v>
      </c>
      <c r="B1428" s="549" t="s">
        <v>1019</v>
      </c>
      <c r="C1428" s="549" t="s">
        <v>811</v>
      </c>
      <c r="D1428" s="549" t="s">
        <v>812</v>
      </c>
      <c r="E1428" s="549" t="s">
        <v>977</v>
      </c>
      <c r="F1428" s="549" t="s">
        <v>1212</v>
      </c>
      <c r="G1428" s="549">
        <v>37</v>
      </c>
      <c r="H1428" s="549" t="s">
        <v>811</v>
      </c>
      <c r="I1428" s="549" t="s">
        <v>976</v>
      </c>
      <c r="J1428" s="549" t="s">
        <v>976</v>
      </c>
      <c r="K1428" s="549" t="s">
        <v>976</v>
      </c>
      <c r="L1428" s="549">
        <v>86635.14</v>
      </c>
      <c r="M1428" s="549">
        <v>6540.95</v>
      </c>
      <c r="N1428" s="549">
        <v>1914.64</v>
      </c>
      <c r="O1428" s="549">
        <v>992</v>
      </c>
      <c r="P1428" s="549">
        <v>100</v>
      </c>
      <c r="Q1428" s="549">
        <v>9447.59</v>
      </c>
    </row>
    <row r="1429" spans="1:17" x14ac:dyDescent="0.25">
      <c r="A1429" s="549" t="s">
        <v>1018</v>
      </c>
      <c r="B1429" s="549" t="s">
        <v>1019</v>
      </c>
      <c r="C1429" s="549" t="s">
        <v>811</v>
      </c>
      <c r="D1429" s="549" t="s">
        <v>812</v>
      </c>
      <c r="E1429" s="549" t="s">
        <v>977</v>
      </c>
      <c r="F1429" s="549" t="s">
        <v>1212</v>
      </c>
      <c r="G1429" s="549">
        <v>39</v>
      </c>
      <c r="H1429" s="549" t="s">
        <v>811</v>
      </c>
      <c r="I1429" s="549" t="s">
        <v>976</v>
      </c>
      <c r="J1429" s="549" t="s">
        <v>976</v>
      </c>
      <c r="K1429" s="549" t="s">
        <v>976</v>
      </c>
      <c r="L1429" s="549">
        <v>86635.14</v>
      </c>
      <c r="M1429" s="549">
        <v>6540.95</v>
      </c>
      <c r="N1429" s="549">
        <v>1914.64</v>
      </c>
      <c r="O1429" s="549">
        <v>992</v>
      </c>
      <c r="P1429" s="549">
        <v>100</v>
      </c>
      <c r="Q1429" s="549">
        <v>9447.59</v>
      </c>
    </row>
    <row r="1430" spans="1:17" x14ac:dyDescent="0.25">
      <c r="A1430" s="549" t="s">
        <v>1018</v>
      </c>
      <c r="B1430" s="549" t="s">
        <v>1019</v>
      </c>
      <c r="C1430" s="549" t="s">
        <v>811</v>
      </c>
      <c r="D1430" s="549" t="s">
        <v>812</v>
      </c>
      <c r="E1430" s="549" t="s">
        <v>977</v>
      </c>
      <c r="F1430" s="549" t="s">
        <v>1212</v>
      </c>
      <c r="G1430" s="549">
        <v>82</v>
      </c>
      <c r="H1430" s="549" t="s">
        <v>811</v>
      </c>
      <c r="I1430" s="549" t="s">
        <v>976</v>
      </c>
      <c r="J1430" s="549" t="s">
        <v>976</v>
      </c>
      <c r="K1430" s="549" t="s">
        <v>976</v>
      </c>
      <c r="L1430" s="549">
        <v>344086.71</v>
      </c>
      <c r="M1430" s="549">
        <v>25978.55</v>
      </c>
      <c r="N1430" s="549">
        <v>7604.32</v>
      </c>
      <c r="O1430" s="549">
        <v>1984</v>
      </c>
      <c r="P1430" s="549">
        <v>100</v>
      </c>
      <c r="Q1430" s="549">
        <v>35566.870000000003</v>
      </c>
    </row>
    <row r="1431" spans="1:17" x14ac:dyDescent="0.25">
      <c r="A1431" s="549" t="s">
        <v>1018</v>
      </c>
      <c r="B1431" s="549" t="s">
        <v>1019</v>
      </c>
      <c r="C1431" s="549" t="s">
        <v>811</v>
      </c>
      <c r="D1431" s="549" t="s">
        <v>812</v>
      </c>
      <c r="E1431" s="549" t="s">
        <v>977</v>
      </c>
      <c r="F1431" s="549" t="s">
        <v>1212</v>
      </c>
      <c r="G1431" s="549">
        <v>92</v>
      </c>
      <c r="H1431" s="549" t="s">
        <v>811</v>
      </c>
      <c r="I1431" s="549" t="s">
        <v>976</v>
      </c>
      <c r="J1431" s="549" t="s">
        <v>976</v>
      </c>
      <c r="K1431" s="549" t="s">
        <v>976</v>
      </c>
      <c r="L1431" s="549">
        <v>504629.39</v>
      </c>
      <c r="M1431" s="549">
        <v>38099.519999999997</v>
      </c>
      <c r="N1431" s="549">
        <v>11152.31</v>
      </c>
      <c r="O1431" s="549">
        <v>3968</v>
      </c>
      <c r="P1431" s="549">
        <v>100</v>
      </c>
      <c r="Q1431" s="549">
        <v>53219.83</v>
      </c>
    </row>
    <row r="1432" spans="1:17" x14ac:dyDescent="0.25">
      <c r="A1432" s="549" t="s">
        <v>1018</v>
      </c>
      <c r="B1432" s="549" t="s">
        <v>1019</v>
      </c>
      <c r="C1432" s="549" t="s">
        <v>811</v>
      </c>
      <c r="D1432" s="549" t="s">
        <v>812</v>
      </c>
      <c r="E1432" s="549" t="s">
        <v>977</v>
      </c>
      <c r="F1432" s="549" t="s">
        <v>1212</v>
      </c>
      <c r="G1432" s="549">
        <v>102</v>
      </c>
      <c r="H1432" s="549" t="s">
        <v>811</v>
      </c>
      <c r="I1432" s="549" t="s">
        <v>976</v>
      </c>
      <c r="J1432" s="549" t="s">
        <v>976</v>
      </c>
      <c r="K1432" s="549" t="s">
        <v>976</v>
      </c>
      <c r="L1432" s="549">
        <v>344086.71</v>
      </c>
      <c r="M1432" s="549">
        <v>25978.55</v>
      </c>
      <c r="N1432" s="549">
        <v>7604.32</v>
      </c>
      <c r="O1432" s="549">
        <v>1984</v>
      </c>
      <c r="P1432" s="549">
        <v>100</v>
      </c>
      <c r="Q1432" s="549">
        <v>35566.870000000003</v>
      </c>
    </row>
    <row r="1433" spans="1:17" x14ac:dyDescent="0.25">
      <c r="A1433" s="549" t="s">
        <v>1018</v>
      </c>
      <c r="B1433" s="549" t="s">
        <v>1019</v>
      </c>
      <c r="C1433" s="549" t="s">
        <v>811</v>
      </c>
      <c r="D1433" s="549" t="s">
        <v>812</v>
      </c>
      <c r="E1433" s="549" t="s">
        <v>977</v>
      </c>
      <c r="F1433" s="549" t="s">
        <v>1212</v>
      </c>
      <c r="G1433" s="549">
        <v>112</v>
      </c>
      <c r="H1433" s="549" t="s">
        <v>811</v>
      </c>
      <c r="I1433" s="549" t="s">
        <v>976</v>
      </c>
      <c r="J1433" s="549" t="s">
        <v>976</v>
      </c>
      <c r="K1433" s="549" t="s">
        <v>976</v>
      </c>
      <c r="L1433" s="549">
        <v>504629.39</v>
      </c>
      <c r="M1433" s="549">
        <v>38099.519999999997</v>
      </c>
      <c r="N1433" s="549">
        <v>11152.31</v>
      </c>
      <c r="O1433" s="549">
        <v>3968</v>
      </c>
      <c r="P1433" s="549">
        <v>100</v>
      </c>
      <c r="Q1433" s="549">
        <v>53219.83</v>
      </c>
    </row>
    <row r="1434" spans="1:17" x14ac:dyDescent="0.25">
      <c r="A1434" s="549" t="s">
        <v>1018</v>
      </c>
      <c r="B1434" s="549" t="s">
        <v>1019</v>
      </c>
      <c r="C1434" s="549" t="s">
        <v>811</v>
      </c>
      <c r="D1434" s="549" t="s">
        <v>812</v>
      </c>
      <c r="E1434" s="549" t="s">
        <v>977</v>
      </c>
      <c r="F1434" s="549" t="s">
        <v>1212</v>
      </c>
      <c r="G1434" s="549" t="s">
        <v>1234</v>
      </c>
      <c r="H1434" s="549" t="s">
        <v>811</v>
      </c>
      <c r="I1434" s="549" t="s">
        <v>976</v>
      </c>
      <c r="J1434" s="549" t="s">
        <v>976</v>
      </c>
      <c r="K1434" s="549" t="s">
        <v>976</v>
      </c>
      <c r="L1434" s="549">
        <v>107061.02</v>
      </c>
      <c r="M1434" s="549">
        <v>8083.11</v>
      </c>
      <c r="N1434" s="549">
        <v>2366.0500000000002</v>
      </c>
      <c r="O1434" s="549">
        <v>1984</v>
      </c>
      <c r="P1434" s="549">
        <v>100</v>
      </c>
      <c r="Q1434" s="549">
        <v>12433.16</v>
      </c>
    </row>
    <row r="1435" spans="1:17" x14ac:dyDescent="0.25">
      <c r="A1435" s="549" t="s">
        <v>1018</v>
      </c>
      <c r="B1435" s="549" t="s">
        <v>1019</v>
      </c>
      <c r="C1435" s="549" t="s">
        <v>811</v>
      </c>
      <c r="D1435" s="549" t="s">
        <v>812</v>
      </c>
      <c r="E1435" s="549" t="s">
        <v>977</v>
      </c>
      <c r="F1435" s="549" t="s">
        <v>1212</v>
      </c>
      <c r="G1435" s="549" t="s">
        <v>1309</v>
      </c>
      <c r="H1435" s="549" t="s">
        <v>811</v>
      </c>
      <c r="I1435" s="549" t="s">
        <v>976</v>
      </c>
      <c r="J1435" s="549" t="s">
        <v>976</v>
      </c>
      <c r="K1435" s="549" t="s">
        <v>976</v>
      </c>
      <c r="L1435" s="549">
        <v>23003.54</v>
      </c>
      <c r="M1435" s="549">
        <v>1736.77</v>
      </c>
      <c r="N1435" s="549">
        <v>508.38</v>
      </c>
      <c r="O1435" s="549">
        <v>0</v>
      </c>
      <c r="P1435" s="549">
        <v>100</v>
      </c>
      <c r="Q1435" s="549">
        <v>2245.15</v>
      </c>
    </row>
    <row r="1436" spans="1:17" x14ac:dyDescent="0.25">
      <c r="A1436" s="549" t="s">
        <v>1018</v>
      </c>
      <c r="B1436" s="549" t="s">
        <v>1019</v>
      </c>
      <c r="C1436" s="549" t="s">
        <v>811</v>
      </c>
      <c r="D1436" s="549" t="s">
        <v>812</v>
      </c>
      <c r="E1436" s="549" t="s">
        <v>977</v>
      </c>
      <c r="F1436" s="549" t="s">
        <v>1212</v>
      </c>
      <c r="G1436" s="549" t="s">
        <v>1238</v>
      </c>
      <c r="H1436" s="549" t="s">
        <v>811</v>
      </c>
      <c r="I1436" s="549" t="s">
        <v>976</v>
      </c>
      <c r="J1436" s="549" t="s">
        <v>976</v>
      </c>
      <c r="K1436" s="549" t="s">
        <v>976</v>
      </c>
      <c r="L1436" s="549">
        <v>23003.54</v>
      </c>
      <c r="M1436" s="549">
        <v>1736.77</v>
      </c>
      <c r="N1436" s="549">
        <v>508.38</v>
      </c>
      <c r="O1436" s="549">
        <v>0</v>
      </c>
      <c r="P1436" s="549">
        <v>100</v>
      </c>
      <c r="Q1436" s="549">
        <v>2245.15</v>
      </c>
    </row>
    <row r="1437" spans="1:17" x14ac:dyDescent="0.25">
      <c r="A1437" s="549" t="s">
        <v>1018</v>
      </c>
      <c r="B1437" s="549" t="s">
        <v>1019</v>
      </c>
      <c r="C1437" s="549" t="s">
        <v>811</v>
      </c>
      <c r="D1437" s="549" t="s">
        <v>812</v>
      </c>
      <c r="E1437" s="549" t="s">
        <v>977</v>
      </c>
      <c r="F1437" s="549" t="s">
        <v>1212</v>
      </c>
      <c r="G1437" s="549" t="s">
        <v>1215</v>
      </c>
      <c r="H1437" s="549" t="s">
        <v>811</v>
      </c>
      <c r="I1437" s="549" t="s">
        <v>976</v>
      </c>
      <c r="J1437" s="549" t="s">
        <v>976</v>
      </c>
      <c r="K1437" s="549" t="s">
        <v>976</v>
      </c>
      <c r="L1437" s="549">
        <v>48805.45</v>
      </c>
      <c r="M1437" s="549">
        <v>3684.81</v>
      </c>
      <c r="N1437" s="549">
        <v>1078.5999999999999</v>
      </c>
      <c r="O1437" s="549">
        <v>0</v>
      </c>
      <c r="P1437" s="549">
        <v>100</v>
      </c>
      <c r="Q1437" s="549">
        <v>4763.41</v>
      </c>
    </row>
    <row r="1438" spans="1:17" x14ac:dyDescent="0.25">
      <c r="A1438" s="549" t="s">
        <v>1018</v>
      </c>
      <c r="B1438" s="549" t="s">
        <v>1019</v>
      </c>
      <c r="C1438" s="549" t="s">
        <v>821</v>
      </c>
      <c r="D1438" s="549" t="s">
        <v>822</v>
      </c>
      <c r="E1438" s="549" t="s">
        <v>977</v>
      </c>
      <c r="F1438" s="549" t="s">
        <v>1212</v>
      </c>
      <c r="G1438" s="549">
        <v>72</v>
      </c>
      <c r="H1438" s="549" t="s">
        <v>821</v>
      </c>
      <c r="I1438" s="549" t="s">
        <v>976</v>
      </c>
      <c r="J1438" s="549" t="s">
        <v>976</v>
      </c>
      <c r="K1438" s="549" t="s">
        <v>976</v>
      </c>
      <c r="L1438" s="549">
        <v>347493.52</v>
      </c>
      <c r="M1438" s="549">
        <v>26235.759999999998</v>
      </c>
      <c r="N1438" s="549">
        <v>7679.61</v>
      </c>
      <c r="O1438" s="549">
        <v>1984</v>
      </c>
      <c r="P1438" s="549">
        <v>100</v>
      </c>
      <c r="Q1438" s="549">
        <v>35899.370000000003</v>
      </c>
    </row>
    <row r="1439" spans="1:17" x14ac:dyDescent="0.25">
      <c r="A1439" s="549" t="s">
        <v>1018</v>
      </c>
      <c r="B1439" s="549" t="s">
        <v>1019</v>
      </c>
      <c r="C1439" s="549" t="s">
        <v>821</v>
      </c>
      <c r="D1439" s="549" t="s">
        <v>822</v>
      </c>
      <c r="E1439" s="549" t="s">
        <v>977</v>
      </c>
      <c r="F1439" s="549" t="s">
        <v>1212</v>
      </c>
      <c r="G1439" s="549">
        <v>82</v>
      </c>
      <c r="H1439" s="549" t="s">
        <v>821</v>
      </c>
      <c r="I1439" s="549" t="s">
        <v>976</v>
      </c>
      <c r="J1439" s="549" t="s">
        <v>976</v>
      </c>
      <c r="K1439" s="549" t="s">
        <v>976</v>
      </c>
      <c r="L1439" s="549">
        <v>347493.52</v>
      </c>
      <c r="M1439" s="549">
        <v>26235.759999999998</v>
      </c>
      <c r="N1439" s="549">
        <v>7679.61</v>
      </c>
      <c r="O1439" s="549">
        <v>1984</v>
      </c>
      <c r="P1439" s="549">
        <v>100</v>
      </c>
      <c r="Q1439" s="549">
        <v>35899.370000000003</v>
      </c>
    </row>
    <row r="1440" spans="1:17" x14ac:dyDescent="0.25">
      <c r="A1440" s="549" t="s">
        <v>1018</v>
      </c>
      <c r="B1440" s="549" t="s">
        <v>1019</v>
      </c>
      <c r="C1440" s="549" t="s">
        <v>821</v>
      </c>
      <c r="D1440" s="549" t="s">
        <v>822</v>
      </c>
      <c r="E1440" s="549" t="s">
        <v>977</v>
      </c>
      <c r="F1440" s="549" t="s">
        <v>1212</v>
      </c>
      <c r="G1440" s="549">
        <v>202</v>
      </c>
      <c r="H1440" s="549" t="s">
        <v>821</v>
      </c>
      <c r="I1440" s="549" t="s">
        <v>976</v>
      </c>
      <c r="J1440" s="549" t="s">
        <v>976</v>
      </c>
      <c r="K1440" s="549" t="s">
        <v>976</v>
      </c>
      <c r="L1440" s="549">
        <v>139880.24</v>
      </c>
      <c r="M1440" s="549">
        <v>10560.96</v>
      </c>
      <c r="N1440" s="549">
        <v>3091.35</v>
      </c>
      <c r="O1440" s="549">
        <v>3968</v>
      </c>
      <c r="P1440" s="549">
        <v>100</v>
      </c>
      <c r="Q1440" s="549">
        <v>17620.310000000001</v>
      </c>
    </row>
    <row r="1441" spans="1:17" x14ac:dyDescent="0.25">
      <c r="A1441" s="549" t="s">
        <v>1018</v>
      </c>
      <c r="B1441" s="549" t="s">
        <v>1019</v>
      </c>
      <c r="C1441" s="549" t="s">
        <v>821</v>
      </c>
      <c r="D1441" s="549" t="s">
        <v>822</v>
      </c>
      <c r="E1441" s="549" t="s">
        <v>977</v>
      </c>
      <c r="F1441" s="549" t="s">
        <v>1212</v>
      </c>
      <c r="G1441" s="549">
        <v>212</v>
      </c>
      <c r="H1441" s="549" t="s">
        <v>821</v>
      </c>
      <c r="I1441" s="549" t="s">
        <v>976</v>
      </c>
      <c r="J1441" s="549" t="s">
        <v>976</v>
      </c>
      <c r="K1441" s="549" t="s">
        <v>976</v>
      </c>
      <c r="L1441" s="549">
        <v>139880.24</v>
      </c>
      <c r="M1441" s="549">
        <v>10560.96</v>
      </c>
      <c r="N1441" s="549">
        <v>3091.35</v>
      </c>
      <c r="O1441" s="549">
        <v>3968</v>
      </c>
      <c r="P1441" s="549">
        <v>100</v>
      </c>
      <c r="Q1441" s="549">
        <v>17620.310000000001</v>
      </c>
    </row>
    <row r="1442" spans="1:17" x14ac:dyDescent="0.25">
      <c r="A1442" s="549" t="s">
        <v>1018</v>
      </c>
      <c r="B1442" s="549" t="s">
        <v>1019</v>
      </c>
      <c r="C1442" s="549" t="s">
        <v>821</v>
      </c>
      <c r="D1442" s="549" t="s">
        <v>822</v>
      </c>
      <c r="E1442" s="549" t="s">
        <v>977</v>
      </c>
      <c r="F1442" s="549" t="s">
        <v>1212</v>
      </c>
      <c r="G1442" s="549">
        <v>222</v>
      </c>
      <c r="H1442" s="549" t="s">
        <v>821</v>
      </c>
      <c r="I1442" s="549" t="s">
        <v>976</v>
      </c>
      <c r="J1442" s="549" t="s">
        <v>976</v>
      </c>
      <c r="K1442" s="549" t="s">
        <v>976</v>
      </c>
      <c r="L1442" s="549">
        <v>139880.24</v>
      </c>
      <c r="M1442" s="549">
        <v>10560.96</v>
      </c>
      <c r="N1442" s="549">
        <v>3091.35</v>
      </c>
      <c r="O1442" s="549">
        <v>3968</v>
      </c>
      <c r="P1442" s="549">
        <v>100</v>
      </c>
      <c r="Q1442" s="549">
        <v>17620.310000000001</v>
      </c>
    </row>
    <row r="1443" spans="1:17" x14ac:dyDescent="0.25">
      <c r="A1443" s="549" t="s">
        <v>1018</v>
      </c>
      <c r="B1443" s="549" t="s">
        <v>1019</v>
      </c>
      <c r="C1443" s="549" t="s">
        <v>821</v>
      </c>
      <c r="D1443" s="549" t="s">
        <v>822</v>
      </c>
      <c r="E1443" s="549" t="s">
        <v>977</v>
      </c>
      <c r="F1443" s="549" t="s">
        <v>1212</v>
      </c>
      <c r="G1443" s="549">
        <v>232</v>
      </c>
      <c r="H1443" s="549" t="s">
        <v>821</v>
      </c>
      <c r="I1443" s="549" t="s">
        <v>976</v>
      </c>
      <c r="J1443" s="549" t="s">
        <v>976</v>
      </c>
      <c r="K1443" s="549" t="s">
        <v>976</v>
      </c>
      <c r="L1443" s="549">
        <v>127465.63</v>
      </c>
      <c r="M1443" s="549">
        <v>9623.66</v>
      </c>
      <c r="N1443" s="549">
        <v>2816.99</v>
      </c>
      <c r="O1443" s="549">
        <v>1984</v>
      </c>
      <c r="P1443" s="549">
        <v>100</v>
      </c>
      <c r="Q1443" s="549">
        <v>14424.65</v>
      </c>
    </row>
    <row r="1444" spans="1:17" x14ac:dyDescent="0.25">
      <c r="A1444" s="549" t="s">
        <v>1018</v>
      </c>
      <c r="B1444" s="549" t="s">
        <v>1019</v>
      </c>
      <c r="C1444" s="549" t="s">
        <v>821</v>
      </c>
      <c r="D1444" s="549" t="s">
        <v>822</v>
      </c>
      <c r="E1444" s="549" t="s">
        <v>977</v>
      </c>
      <c r="F1444" s="549" t="s">
        <v>1212</v>
      </c>
      <c r="G1444" s="549">
        <v>242</v>
      </c>
      <c r="H1444" s="549" t="s">
        <v>821</v>
      </c>
      <c r="I1444" s="549" t="s">
        <v>976</v>
      </c>
      <c r="J1444" s="549" t="s">
        <v>976</v>
      </c>
      <c r="K1444" s="549" t="s">
        <v>976</v>
      </c>
      <c r="L1444" s="549">
        <v>139880.24</v>
      </c>
      <c r="M1444" s="549">
        <v>10560.96</v>
      </c>
      <c r="N1444" s="549">
        <v>3091.35</v>
      </c>
      <c r="O1444" s="549">
        <v>3968</v>
      </c>
      <c r="P1444" s="549">
        <v>100</v>
      </c>
      <c r="Q1444" s="549">
        <v>17620.310000000001</v>
      </c>
    </row>
    <row r="1445" spans="1:17" x14ac:dyDescent="0.25">
      <c r="A1445" s="549" t="s">
        <v>1018</v>
      </c>
      <c r="B1445" s="549" t="s">
        <v>1019</v>
      </c>
      <c r="C1445" s="549" t="s">
        <v>821</v>
      </c>
      <c r="D1445" s="549" t="s">
        <v>822</v>
      </c>
      <c r="E1445" s="549" t="s">
        <v>977</v>
      </c>
      <c r="F1445" s="549" t="s">
        <v>1212</v>
      </c>
      <c r="G1445" s="549">
        <v>262</v>
      </c>
      <c r="H1445" s="549" t="s">
        <v>821</v>
      </c>
      <c r="I1445" s="549" t="s">
        <v>976</v>
      </c>
      <c r="J1445" s="549" t="s">
        <v>976</v>
      </c>
      <c r="K1445" s="549" t="s">
        <v>976</v>
      </c>
      <c r="L1445" s="549">
        <v>139880.24</v>
      </c>
      <c r="M1445" s="549">
        <v>10560.96</v>
      </c>
      <c r="N1445" s="549">
        <v>3091.35</v>
      </c>
      <c r="O1445" s="549">
        <v>3968</v>
      </c>
      <c r="P1445" s="549">
        <v>100</v>
      </c>
      <c r="Q1445" s="549">
        <v>17620.310000000001</v>
      </c>
    </row>
    <row r="1446" spans="1:17" x14ac:dyDescent="0.25">
      <c r="A1446" s="549" t="s">
        <v>1018</v>
      </c>
      <c r="B1446" s="549" t="s">
        <v>1019</v>
      </c>
      <c r="C1446" s="549" t="s">
        <v>821</v>
      </c>
      <c r="D1446" s="549" t="s">
        <v>822</v>
      </c>
      <c r="E1446" s="549" t="s">
        <v>977</v>
      </c>
      <c r="F1446" s="549" t="s">
        <v>1212</v>
      </c>
      <c r="G1446" s="549">
        <v>267</v>
      </c>
      <c r="H1446" s="549" t="s">
        <v>821</v>
      </c>
      <c r="I1446" s="549" t="s">
        <v>976</v>
      </c>
      <c r="J1446" s="549" t="s">
        <v>976</v>
      </c>
      <c r="K1446" s="549" t="s">
        <v>976</v>
      </c>
      <c r="L1446" s="549">
        <v>19232.37</v>
      </c>
      <c r="M1446" s="549">
        <v>1452.04</v>
      </c>
      <c r="N1446" s="549">
        <v>425.04</v>
      </c>
      <c r="O1446" s="549">
        <v>992</v>
      </c>
      <c r="P1446" s="549">
        <v>100</v>
      </c>
      <c r="Q1446" s="549">
        <v>2869.08</v>
      </c>
    </row>
    <row r="1447" spans="1:17" x14ac:dyDescent="0.25">
      <c r="A1447" s="549" t="s">
        <v>1018</v>
      </c>
      <c r="B1447" s="549" t="s">
        <v>1019</v>
      </c>
      <c r="C1447" s="549" t="s">
        <v>821</v>
      </c>
      <c r="D1447" s="549" t="s">
        <v>822</v>
      </c>
      <c r="E1447" s="549" t="s">
        <v>977</v>
      </c>
      <c r="F1447" s="549" t="s">
        <v>1212</v>
      </c>
      <c r="G1447" s="549">
        <v>282</v>
      </c>
      <c r="H1447" s="549" t="s">
        <v>821</v>
      </c>
      <c r="I1447" s="549" t="s">
        <v>976</v>
      </c>
      <c r="J1447" s="549" t="s">
        <v>976</v>
      </c>
      <c r="K1447" s="549" t="s">
        <v>976</v>
      </c>
      <c r="L1447" s="549">
        <v>139880.24</v>
      </c>
      <c r="M1447" s="549">
        <v>10560.96</v>
      </c>
      <c r="N1447" s="549">
        <v>3091.35</v>
      </c>
      <c r="O1447" s="549">
        <v>3968</v>
      </c>
      <c r="P1447" s="549">
        <v>100</v>
      </c>
      <c r="Q1447" s="549">
        <v>17620.310000000001</v>
      </c>
    </row>
    <row r="1448" spans="1:17" x14ac:dyDescent="0.25">
      <c r="A1448" s="549" t="s">
        <v>1018</v>
      </c>
      <c r="B1448" s="549" t="s">
        <v>1019</v>
      </c>
      <c r="C1448" s="549" t="s">
        <v>821</v>
      </c>
      <c r="D1448" s="549" t="s">
        <v>822</v>
      </c>
      <c r="E1448" s="549" t="s">
        <v>977</v>
      </c>
      <c r="F1448" s="549" t="s">
        <v>1212</v>
      </c>
      <c r="G1448" s="549">
        <v>292</v>
      </c>
      <c r="H1448" s="549" t="s">
        <v>821</v>
      </c>
      <c r="I1448" s="549" t="s">
        <v>976</v>
      </c>
      <c r="J1448" s="549" t="s">
        <v>976</v>
      </c>
      <c r="K1448" s="549" t="s">
        <v>976</v>
      </c>
      <c r="L1448" s="549">
        <v>127465.63</v>
      </c>
      <c r="M1448" s="549">
        <v>9623.66</v>
      </c>
      <c r="N1448" s="549">
        <v>2816.99</v>
      </c>
      <c r="O1448" s="549">
        <v>1984</v>
      </c>
      <c r="P1448" s="549">
        <v>100</v>
      </c>
      <c r="Q1448" s="549">
        <v>14424.65</v>
      </c>
    </row>
    <row r="1449" spans="1:17" x14ac:dyDescent="0.25">
      <c r="A1449" s="549" t="s">
        <v>1018</v>
      </c>
      <c r="B1449" s="549" t="s">
        <v>1019</v>
      </c>
      <c r="C1449" s="549" t="s">
        <v>821</v>
      </c>
      <c r="D1449" s="549" t="s">
        <v>822</v>
      </c>
      <c r="E1449" s="549" t="s">
        <v>977</v>
      </c>
      <c r="F1449" s="549" t="s">
        <v>1212</v>
      </c>
      <c r="G1449" s="549">
        <v>302</v>
      </c>
      <c r="H1449" s="549" t="s">
        <v>821</v>
      </c>
      <c r="I1449" s="549" t="s">
        <v>976</v>
      </c>
      <c r="J1449" s="549" t="s">
        <v>976</v>
      </c>
      <c r="K1449" s="549" t="s">
        <v>976</v>
      </c>
      <c r="L1449" s="549">
        <v>139880.24</v>
      </c>
      <c r="M1449" s="549">
        <v>10560.96</v>
      </c>
      <c r="N1449" s="549">
        <v>3091.35</v>
      </c>
      <c r="O1449" s="549">
        <v>3968</v>
      </c>
      <c r="P1449" s="549">
        <v>100</v>
      </c>
      <c r="Q1449" s="549">
        <v>17620.310000000001</v>
      </c>
    </row>
    <row r="1450" spans="1:17" x14ac:dyDescent="0.25">
      <c r="A1450" s="549" t="s">
        <v>1018</v>
      </c>
      <c r="B1450" s="549" t="s">
        <v>1019</v>
      </c>
      <c r="C1450" s="549" t="s">
        <v>821</v>
      </c>
      <c r="D1450" s="549" t="s">
        <v>822</v>
      </c>
      <c r="E1450" s="549" t="s">
        <v>977</v>
      </c>
      <c r="F1450" s="549" t="s">
        <v>1212</v>
      </c>
      <c r="G1450" s="549">
        <v>312</v>
      </c>
      <c r="H1450" s="549" t="s">
        <v>821</v>
      </c>
      <c r="I1450" s="549" t="s">
        <v>976</v>
      </c>
      <c r="J1450" s="549" t="s">
        <v>976</v>
      </c>
      <c r="K1450" s="549" t="s">
        <v>976</v>
      </c>
      <c r="L1450" s="549">
        <v>139880.24</v>
      </c>
      <c r="M1450" s="549">
        <v>10560.96</v>
      </c>
      <c r="N1450" s="549">
        <v>3091.35</v>
      </c>
      <c r="O1450" s="549">
        <v>3968</v>
      </c>
      <c r="P1450" s="549">
        <v>100</v>
      </c>
      <c r="Q1450" s="549">
        <v>17620.310000000001</v>
      </c>
    </row>
    <row r="1451" spans="1:17" x14ac:dyDescent="0.25">
      <c r="A1451" s="549" t="s">
        <v>1018</v>
      </c>
      <c r="B1451" s="549" t="s">
        <v>1019</v>
      </c>
      <c r="C1451" s="549" t="s">
        <v>821</v>
      </c>
      <c r="D1451" s="549" t="s">
        <v>822</v>
      </c>
      <c r="E1451" s="549" t="s">
        <v>977</v>
      </c>
      <c r="F1451" s="549" t="s">
        <v>1212</v>
      </c>
      <c r="G1451" s="549" t="s">
        <v>1320</v>
      </c>
      <c r="H1451" s="549" t="s">
        <v>821</v>
      </c>
      <c r="I1451" s="549" t="s">
        <v>976</v>
      </c>
      <c r="J1451" s="549" t="s">
        <v>976</v>
      </c>
      <c r="K1451" s="549" t="s">
        <v>976</v>
      </c>
      <c r="L1451" s="549">
        <v>32935.75</v>
      </c>
      <c r="M1451" s="549">
        <v>2486.65</v>
      </c>
      <c r="N1451" s="549">
        <v>727.88</v>
      </c>
      <c r="O1451" s="549">
        <v>1984</v>
      </c>
      <c r="P1451" s="549">
        <v>100</v>
      </c>
      <c r="Q1451" s="549">
        <v>5198.53</v>
      </c>
    </row>
    <row r="1452" spans="1:17" x14ac:dyDescent="0.25">
      <c r="A1452" s="549" t="s">
        <v>1018</v>
      </c>
      <c r="B1452" s="549" t="s">
        <v>1019</v>
      </c>
      <c r="C1452" s="549" t="s">
        <v>821</v>
      </c>
      <c r="D1452" s="549" t="s">
        <v>822</v>
      </c>
      <c r="E1452" s="549" t="s">
        <v>977</v>
      </c>
      <c r="F1452" s="549" t="s">
        <v>1212</v>
      </c>
      <c r="G1452" s="549" t="s">
        <v>1242</v>
      </c>
      <c r="H1452" s="549" t="s">
        <v>821</v>
      </c>
      <c r="I1452" s="549" t="s">
        <v>976</v>
      </c>
      <c r="J1452" s="549" t="s">
        <v>976</v>
      </c>
      <c r="K1452" s="549" t="s">
        <v>976</v>
      </c>
      <c r="L1452" s="549">
        <v>30828.9</v>
      </c>
      <c r="M1452" s="549">
        <v>2327.58</v>
      </c>
      <c r="N1452" s="549">
        <v>681.32</v>
      </c>
      <c r="O1452" s="549">
        <v>0</v>
      </c>
      <c r="P1452" s="549">
        <v>100</v>
      </c>
      <c r="Q1452" s="549">
        <v>3008.9</v>
      </c>
    </row>
    <row r="1453" spans="1:17" x14ac:dyDescent="0.25">
      <c r="A1453" s="549" t="s">
        <v>1018</v>
      </c>
      <c r="B1453" s="549" t="s">
        <v>1019</v>
      </c>
      <c r="C1453" s="549" t="s">
        <v>821</v>
      </c>
      <c r="D1453" s="549" t="s">
        <v>822</v>
      </c>
      <c r="E1453" s="549" t="s">
        <v>977</v>
      </c>
      <c r="F1453" s="549" t="s">
        <v>1212</v>
      </c>
      <c r="G1453" s="549" t="s">
        <v>1243</v>
      </c>
      <c r="H1453" s="549" t="s">
        <v>821</v>
      </c>
      <c r="I1453" s="549" t="s">
        <v>976</v>
      </c>
      <c r="J1453" s="549" t="s">
        <v>976</v>
      </c>
      <c r="K1453" s="549" t="s">
        <v>976</v>
      </c>
      <c r="L1453" s="549">
        <v>30828.9</v>
      </c>
      <c r="M1453" s="549">
        <v>2327.58</v>
      </c>
      <c r="N1453" s="549">
        <v>681.32</v>
      </c>
      <c r="O1453" s="549">
        <v>0</v>
      </c>
      <c r="P1453" s="549">
        <v>100</v>
      </c>
      <c r="Q1453" s="549">
        <v>3008.9</v>
      </c>
    </row>
    <row r="1454" spans="1:17" x14ac:dyDescent="0.25">
      <c r="A1454" s="549" t="s">
        <v>1018</v>
      </c>
      <c r="B1454" s="549" t="s">
        <v>1019</v>
      </c>
      <c r="C1454" s="549" t="s">
        <v>823</v>
      </c>
      <c r="D1454" s="549" t="s">
        <v>824</v>
      </c>
      <c r="E1454" s="549" t="s">
        <v>973</v>
      </c>
      <c r="F1454" s="549" t="s">
        <v>1212</v>
      </c>
      <c r="G1454" s="549">
        <v>312</v>
      </c>
      <c r="H1454" s="549" t="s">
        <v>823</v>
      </c>
      <c r="I1454" s="549" t="s">
        <v>976</v>
      </c>
      <c r="J1454" s="549" t="s">
        <v>976</v>
      </c>
      <c r="K1454" s="549" t="s">
        <v>976</v>
      </c>
      <c r="L1454" s="549">
        <v>504629.39</v>
      </c>
      <c r="M1454" s="549">
        <v>38099.519999999997</v>
      </c>
      <c r="N1454" s="549">
        <v>28965.73</v>
      </c>
      <c r="O1454" s="549">
        <v>3968</v>
      </c>
      <c r="P1454" s="549">
        <v>0</v>
      </c>
      <c r="Q1454" s="549">
        <v>0</v>
      </c>
    </row>
    <row r="1455" spans="1:17" x14ac:dyDescent="0.25">
      <c r="A1455" s="549" t="s">
        <v>1018</v>
      </c>
      <c r="B1455" s="549" t="s">
        <v>1019</v>
      </c>
      <c r="C1455" s="549" t="s">
        <v>823</v>
      </c>
      <c r="D1455" s="549" t="s">
        <v>824</v>
      </c>
      <c r="E1455" s="549" t="s">
        <v>973</v>
      </c>
      <c r="F1455" s="549" t="s">
        <v>1212</v>
      </c>
      <c r="G1455" s="549">
        <v>332</v>
      </c>
      <c r="H1455" s="549" t="s">
        <v>823</v>
      </c>
      <c r="I1455" s="549" t="s">
        <v>976</v>
      </c>
      <c r="J1455" s="549" t="s">
        <v>976</v>
      </c>
      <c r="K1455" s="549" t="s">
        <v>976</v>
      </c>
      <c r="L1455" s="549">
        <v>344086.71</v>
      </c>
      <c r="M1455" s="549">
        <v>25978.55</v>
      </c>
      <c r="N1455" s="549">
        <v>19750.580000000002</v>
      </c>
      <c r="O1455" s="549">
        <v>1984</v>
      </c>
      <c r="P1455" s="549">
        <v>0</v>
      </c>
      <c r="Q1455" s="549">
        <v>0</v>
      </c>
    </row>
    <row r="1456" spans="1:17" x14ac:dyDescent="0.25">
      <c r="A1456" s="549" t="s">
        <v>1018</v>
      </c>
      <c r="B1456" s="549" t="s">
        <v>1019</v>
      </c>
      <c r="C1456" s="549" t="s">
        <v>823</v>
      </c>
      <c r="D1456" s="549" t="s">
        <v>824</v>
      </c>
      <c r="E1456" s="549" t="s">
        <v>973</v>
      </c>
      <c r="F1456" s="549" t="s">
        <v>1212</v>
      </c>
      <c r="G1456" s="549">
        <v>337</v>
      </c>
      <c r="H1456" s="549" t="s">
        <v>823</v>
      </c>
      <c r="I1456" s="549" t="s">
        <v>976</v>
      </c>
      <c r="J1456" s="549" t="s">
        <v>976</v>
      </c>
      <c r="K1456" s="549" t="s">
        <v>976</v>
      </c>
      <c r="L1456" s="549">
        <v>42933.72</v>
      </c>
      <c r="M1456" s="549">
        <v>3241.5</v>
      </c>
      <c r="N1456" s="549">
        <v>2464.4</v>
      </c>
      <c r="O1456" s="549">
        <v>992</v>
      </c>
      <c r="P1456" s="549">
        <v>0</v>
      </c>
      <c r="Q1456" s="549">
        <v>0</v>
      </c>
    </row>
    <row r="1457" spans="1:17" x14ac:dyDescent="0.25">
      <c r="A1457" s="549" t="s">
        <v>1018</v>
      </c>
      <c r="B1457" s="549" t="s">
        <v>1019</v>
      </c>
      <c r="C1457" s="549" t="s">
        <v>823</v>
      </c>
      <c r="D1457" s="549" t="s">
        <v>824</v>
      </c>
      <c r="E1457" s="549" t="s">
        <v>973</v>
      </c>
      <c r="F1457" s="549" t="s">
        <v>1212</v>
      </c>
      <c r="G1457" s="549">
        <v>352</v>
      </c>
      <c r="H1457" s="549" t="s">
        <v>823</v>
      </c>
      <c r="I1457" s="549" t="s">
        <v>976</v>
      </c>
      <c r="J1457" s="549" t="s">
        <v>976</v>
      </c>
      <c r="K1457" s="549" t="s">
        <v>976</v>
      </c>
      <c r="L1457" s="549">
        <v>344086.71</v>
      </c>
      <c r="M1457" s="549">
        <v>25978.55</v>
      </c>
      <c r="N1457" s="549">
        <v>19750.580000000002</v>
      </c>
      <c r="O1457" s="549">
        <v>1984</v>
      </c>
      <c r="P1457" s="549">
        <v>0</v>
      </c>
      <c r="Q1457" s="549">
        <v>0</v>
      </c>
    </row>
    <row r="1458" spans="1:17" x14ac:dyDescent="0.25">
      <c r="A1458" s="549" t="s">
        <v>1018</v>
      </c>
      <c r="B1458" s="549" t="s">
        <v>1019</v>
      </c>
      <c r="C1458" s="549" t="s">
        <v>823</v>
      </c>
      <c r="D1458" s="549" t="s">
        <v>824</v>
      </c>
      <c r="E1458" s="549" t="s">
        <v>973</v>
      </c>
      <c r="F1458" s="549" t="s">
        <v>1212</v>
      </c>
      <c r="G1458" s="549">
        <v>372</v>
      </c>
      <c r="H1458" s="549" t="s">
        <v>823</v>
      </c>
      <c r="I1458" s="549" t="s">
        <v>976</v>
      </c>
      <c r="J1458" s="549" t="s">
        <v>976</v>
      </c>
      <c r="K1458" s="549" t="s">
        <v>976</v>
      </c>
      <c r="L1458" s="549">
        <v>344086.71</v>
      </c>
      <c r="M1458" s="549">
        <v>25978.55</v>
      </c>
      <c r="N1458" s="549">
        <v>19750.580000000002</v>
      </c>
      <c r="O1458" s="549">
        <v>1984</v>
      </c>
      <c r="P1458" s="549">
        <v>0</v>
      </c>
      <c r="Q1458" s="549">
        <v>0</v>
      </c>
    </row>
    <row r="1459" spans="1:17" x14ac:dyDescent="0.25">
      <c r="A1459" s="549" t="s">
        <v>1018</v>
      </c>
      <c r="B1459" s="549" t="s">
        <v>1019</v>
      </c>
      <c r="C1459" s="549" t="s">
        <v>823</v>
      </c>
      <c r="D1459" s="549" t="s">
        <v>824</v>
      </c>
      <c r="E1459" s="549" t="s">
        <v>973</v>
      </c>
      <c r="F1459" s="549" t="s">
        <v>1212</v>
      </c>
      <c r="G1459" s="549">
        <v>392</v>
      </c>
      <c r="H1459" s="549" t="s">
        <v>823</v>
      </c>
      <c r="I1459" s="549" t="s">
        <v>976</v>
      </c>
      <c r="J1459" s="549" t="s">
        <v>976</v>
      </c>
      <c r="K1459" s="549" t="s">
        <v>976</v>
      </c>
      <c r="L1459" s="549">
        <v>344086.71</v>
      </c>
      <c r="M1459" s="549">
        <v>25978.55</v>
      </c>
      <c r="N1459" s="549">
        <v>19750.580000000002</v>
      </c>
      <c r="O1459" s="549">
        <v>1984</v>
      </c>
      <c r="P1459" s="549">
        <v>0</v>
      </c>
      <c r="Q1459" s="549">
        <v>0</v>
      </c>
    </row>
    <row r="1460" spans="1:17" x14ac:dyDescent="0.25">
      <c r="A1460" s="549" t="s">
        <v>1018</v>
      </c>
      <c r="B1460" s="549" t="s">
        <v>1019</v>
      </c>
      <c r="C1460" s="549" t="s">
        <v>823</v>
      </c>
      <c r="D1460" s="549" t="s">
        <v>824</v>
      </c>
      <c r="E1460" s="549" t="s">
        <v>973</v>
      </c>
      <c r="F1460" s="549" t="s">
        <v>1212</v>
      </c>
      <c r="G1460" s="549">
        <v>2272</v>
      </c>
      <c r="H1460" s="549" t="s">
        <v>823</v>
      </c>
      <c r="I1460" s="549" t="s">
        <v>976</v>
      </c>
      <c r="J1460" s="549" t="s">
        <v>976</v>
      </c>
      <c r="K1460" s="549" t="s">
        <v>976</v>
      </c>
      <c r="L1460" s="549">
        <v>91839.02</v>
      </c>
      <c r="M1460" s="549">
        <v>6933.85</v>
      </c>
      <c r="N1460" s="549">
        <v>5271.56</v>
      </c>
      <c r="O1460" s="549">
        <v>992</v>
      </c>
      <c r="P1460" s="549">
        <v>0</v>
      </c>
      <c r="Q1460" s="549">
        <v>0</v>
      </c>
    </row>
    <row r="1461" spans="1:17" x14ac:dyDescent="0.25">
      <c r="A1461" s="549" t="s">
        <v>1018</v>
      </c>
      <c r="B1461" s="549" t="s">
        <v>1019</v>
      </c>
      <c r="C1461" s="549" t="s">
        <v>823</v>
      </c>
      <c r="D1461" s="549" t="s">
        <v>824</v>
      </c>
      <c r="E1461" s="549" t="s">
        <v>973</v>
      </c>
      <c r="F1461" s="549" t="s">
        <v>1212</v>
      </c>
      <c r="G1461" s="549">
        <v>2282</v>
      </c>
      <c r="H1461" s="549" t="s">
        <v>823</v>
      </c>
      <c r="I1461" s="549" t="s">
        <v>976</v>
      </c>
      <c r="J1461" s="549" t="s">
        <v>976</v>
      </c>
      <c r="K1461" s="549" t="s">
        <v>976</v>
      </c>
      <c r="L1461" s="549">
        <v>91839.02</v>
      </c>
      <c r="M1461" s="549">
        <v>6933.85</v>
      </c>
      <c r="N1461" s="549">
        <v>5271.56</v>
      </c>
      <c r="O1461" s="549">
        <v>992</v>
      </c>
      <c r="P1461" s="549">
        <v>0</v>
      </c>
      <c r="Q1461" s="549">
        <v>0</v>
      </c>
    </row>
    <row r="1462" spans="1:17" x14ac:dyDescent="0.25">
      <c r="A1462" s="549" t="s">
        <v>1018</v>
      </c>
      <c r="B1462" s="549" t="s">
        <v>1019</v>
      </c>
      <c r="C1462" s="549" t="s">
        <v>823</v>
      </c>
      <c r="D1462" s="549" t="s">
        <v>824</v>
      </c>
      <c r="E1462" s="549" t="s">
        <v>973</v>
      </c>
      <c r="F1462" s="549" t="s">
        <v>1212</v>
      </c>
      <c r="G1462" s="549">
        <v>2292</v>
      </c>
      <c r="H1462" s="549" t="s">
        <v>823</v>
      </c>
      <c r="I1462" s="549" t="s">
        <v>976</v>
      </c>
      <c r="J1462" s="549" t="s">
        <v>976</v>
      </c>
      <c r="K1462" s="549" t="s">
        <v>976</v>
      </c>
      <c r="L1462" s="549">
        <v>98189.9</v>
      </c>
      <c r="M1462" s="549">
        <v>7413.34</v>
      </c>
      <c r="N1462" s="549">
        <v>5636.1</v>
      </c>
      <c r="O1462" s="549">
        <v>992</v>
      </c>
      <c r="P1462" s="549">
        <v>0</v>
      </c>
      <c r="Q1462" s="549">
        <v>0</v>
      </c>
    </row>
    <row r="1463" spans="1:17" x14ac:dyDescent="0.25">
      <c r="A1463" s="549" t="s">
        <v>1018</v>
      </c>
      <c r="B1463" s="549" t="s">
        <v>1019</v>
      </c>
      <c r="C1463" s="549" t="s">
        <v>823</v>
      </c>
      <c r="D1463" s="549" t="s">
        <v>824</v>
      </c>
      <c r="E1463" s="549" t="s">
        <v>973</v>
      </c>
      <c r="F1463" s="549" t="s">
        <v>1212</v>
      </c>
      <c r="G1463" s="549">
        <v>2308</v>
      </c>
      <c r="H1463" s="549" t="s">
        <v>823</v>
      </c>
      <c r="I1463" s="549" t="s">
        <v>976</v>
      </c>
      <c r="J1463" s="549" t="s">
        <v>976</v>
      </c>
      <c r="K1463" s="549" t="s">
        <v>976</v>
      </c>
      <c r="L1463" s="549">
        <v>105387.56</v>
      </c>
      <c r="M1463" s="549">
        <v>7956.76</v>
      </c>
      <c r="N1463" s="549">
        <v>6049.25</v>
      </c>
      <c r="O1463" s="549">
        <v>992</v>
      </c>
      <c r="P1463" s="549">
        <v>0</v>
      </c>
      <c r="Q1463" s="549">
        <v>0</v>
      </c>
    </row>
    <row r="1464" spans="1:17" x14ac:dyDescent="0.25">
      <c r="A1464" s="549" t="s">
        <v>1018</v>
      </c>
      <c r="B1464" s="549" t="s">
        <v>1019</v>
      </c>
      <c r="C1464" s="549" t="s">
        <v>823</v>
      </c>
      <c r="D1464" s="549" t="s">
        <v>824</v>
      </c>
      <c r="E1464" s="549" t="s">
        <v>973</v>
      </c>
      <c r="F1464" s="549" t="s">
        <v>1212</v>
      </c>
      <c r="G1464" s="549">
        <v>2312</v>
      </c>
      <c r="H1464" s="549" t="s">
        <v>823</v>
      </c>
      <c r="I1464" s="549" t="s">
        <v>976</v>
      </c>
      <c r="J1464" s="549" t="s">
        <v>976</v>
      </c>
      <c r="K1464" s="549" t="s">
        <v>976</v>
      </c>
      <c r="L1464" s="549">
        <v>98189.9</v>
      </c>
      <c r="M1464" s="549">
        <v>7413.34</v>
      </c>
      <c r="N1464" s="549">
        <v>5636.1</v>
      </c>
      <c r="O1464" s="549">
        <v>992</v>
      </c>
      <c r="P1464" s="549">
        <v>0</v>
      </c>
      <c r="Q1464" s="549">
        <v>0</v>
      </c>
    </row>
    <row r="1465" spans="1:17" x14ac:dyDescent="0.25">
      <c r="A1465" s="549" t="s">
        <v>1018</v>
      </c>
      <c r="B1465" s="549" t="s">
        <v>1019</v>
      </c>
      <c r="C1465" s="549" t="s">
        <v>823</v>
      </c>
      <c r="D1465" s="549" t="s">
        <v>824</v>
      </c>
      <c r="E1465" s="549" t="s">
        <v>973</v>
      </c>
      <c r="F1465" s="549" t="s">
        <v>1212</v>
      </c>
      <c r="G1465" s="549">
        <v>2322</v>
      </c>
      <c r="H1465" s="549" t="s">
        <v>823</v>
      </c>
      <c r="I1465" s="549" t="s">
        <v>976</v>
      </c>
      <c r="J1465" s="549" t="s">
        <v>976</v>
      </c>
      <c r="K1465" s="549" t="s">
        <v>976</v>
      </c>
      <c r="L1465" s="549">
        <v>0.02</v>
      </c>
      <c r="M1465" s="549">
        <v>0</v>
      </c>
      <c r="N1465" s="549">
        <v>0</v>
      </c>
      <c r="O1465" s="549">
        <v>992</v>
      </c>
      <c r="P1465" s="549">
        <v>0</v>
      </c>
      <c r="Q1465" s="549">
        <v>0</v>
      </c>
    </row>
    <row r="1466" spans="1:17" x14ac:dyDescent="0.25">
      <c r="A1466" s="549" t="s">
        <v>1018</v>
      </c>
      <c r="B1466" s="549" t="s">
        <v>1019</v>
      </c>
      <c r="C1466" s="549" t="s">
        <v>823</v>
      </c>
      <c r="D1466" s="549" t="s">
        <v>824</v>
      </c>
      <c r="E1466" s="549" t="s">
        <v>973</v>
      </c>
      <c r="F1466" s="549" t="s">
        <v>1212</v>
      </c>
      <c r="G1466" s="549">
        <v>2332</v>
      </c>
      <c r="H1466" s="549" t="s">
        <v>823</v>
      </c>
      <c r="I1466" s="549" t="s">
        <v>976</v>
      </c>
      <c r="J1466" s="549" t="s">
        <v>976</v>
      </c>
      <c r="K1466" s="549" t="s">
        <v>976</v>
      </c>
      <c r="L1466" s="549">
        <v>91839.02</v>
      </c>
      <c r="M1466" s="549">
        <v>6933.85</v>
      </c>
      <c r="N1466" s="549">
        <v>5271.56</v>
      </c>
      <c r="O1466" s="549">
        <v>992</v>
      </c>
      <c r="P1466" s="549">
        <v>0</v>
      </c>
      <c r="Q1466" s="549">
        <v>0</v>
      </c>
    </row>
    <row r="1467" spans="1:17" x14ac:dyDescent="0.25">
      <c r="A1467" s="549" t="s">
        <v>1018</v>
      </c>
      <c r="B1467" s="549" t="s">
        <v>1019</v>
      </c>
      <c r="C1467" s="549" t="s">
        <v>823</v>
      </c>
      <c r="D1467" s="549" t="s">
        <v>824</v>
      </c>
      <c r="E1467" s="549" t="s">
        <v>973</v>
      </c>
      <c r="F1467" s="549" t="s">
        <v>1212</v>
      </c>
      <c r="G1467" s="549">
        <v>2702</v>
      </c>
      <c r="H1467" s="549" t="s">
        <v>823</v>
      </c>
      <c r="I1467" s="549" t="s">
        <v>976</v>
      </c>
      <c r="J1467" s="549" t="s">
        <v>976</v>
      </c>
      <c r="K1467" s="549" t="s">
        <v>976</v>
      </c>
      <c r="L1467" s="549">
        <v>73527.31</v>
      </c>
      <c r="M1467" s="549">
        <v>5551.31</v>
      </c>
      <c r="N1467" s="549">
        <v>4220.47</v>
      </c>
      <c r="O1467" s="549">
        <v>992</v>
      </c>
      <c r="P1467" s="549">
        <v>0</v>
      </c>
      <c r="Q1467" s="549">
        <v>0</v>
      </c>
    </row>
    <row r="1468" spans="1:17" x14ac:dyDescent="0.25">
      <c r="A1468" s="549" t="s">
        <v>1018</v>
      </c>
      <c r="B1468" s="549" t="s">
        <v>1019</v>
      </c>
      <c r="C1468" s="549" t="s">
        <v>823</v>
      </c>
      <c r="D1468" s="549" t="s">
        <v>824</v>
      </c>
      <c r="E1468" s="549" t="s">
        <v>973</v>
      </c>
      <c r="F1468" s="549" t="s">
        <v>1212</v>
      </c>
      <c r="G1468" s="549">
        <v>2712</v>
      </c>
      <c r="H1468" s="549" t="s">
        <v>823</v>
      </c>
      <c r="I1468" s="549" t="s">
        <v>976</v>
      </c>
      <c r="J1468" s="549" t="s">
        <v>976</v>
      </c>
      <c r="K1468" s="549" t="s">
        <v>976</v>
      </c>
      <c r="L1468" s="549">
        <v>73527.31</v>
      </c>
      <c r="M1468" s="549">
        <v>5551.31</v>
      </c>
      <c r="N1468" s="549">
        <v>4220.47</v>
      </c>
      <c r="O1468" s="549">
        <v>992</v>
      </c>
      <c r="P1468" s="549">
        <v>0</v>
      </c>
      <c r="Q1468" s="549">
        <v>0</v>
      </c>
    </row>
    <row r="1469" spans="1:17" x14ac:dyDescent="0.25">
      <c r="A1469" s="549" t="s">
        <v>1018</v>
      </c>
      <c r="B1469" s="549" t="s">
        <v>1019</v>
      </c>
      <c r="C1469" s="549" t="s">
        <v>823</v>
      </c>
      <c r="D1469" s="549" t="s">
        <v>824</v>
      </c>
      <c r="E1469" s="549" t="s">
        <v>973</v>
      </c>
      <c r="F1469" s="549" t="s">
        <v>1212</v>
      </c>
      <c r="G1469" s="549">
        <v>2722</v>
      </c>
      <c r="H1469" s="549" t="s">
        <v>823</v>
      </c>
      <c r="I1469" s="549" t="s">
        <v>976</v>
      </c>
      <c r="J1469" s="549" t="s">
        <v>976</v>
      </c>
      <c r="K1469" s="549" t="s">
        <v>976</v>
      </c>
      <c r="L1469" s="549">
        <v>73527.31</v>
      </c>
      <c r="M1469" s="549">
        <v>5551.31</v>
      </c>
      <c r="N1469" s="549">
        <v>4220.47</v>
      </c>
      <c r="O1469" s="549">
        <v>992</v>
      </c>
      <c r="P1469" s="549">
        <v>0</v>
      </c>
      <c r="Q1469" s="549">
        <v>0</v>
      </c>
    </row>
    <row r="1470" spans="1:17" x14ac:dyDescent="0.25">
      <c r="A1470" s="549" t="s">
        <v>1018</v>
      </c>
      <c r="B1470" s="549" t="s">
        <v>1019</v>
      </c>
      <c r="C1470" s="549" t="s">
        <v>823</v>
      </c>
      <c r="D1470" s="549" t="s">
        <v>824</v>
      </c>
      <c r="E1470" s="549" t="s">
        <v>973</v>
      </c>
      <c r="F1470" s="549" t="s">
        <v>1212</v>
      </c>
      <c r="G1470" s="549">
        <v>2732</v>
      </c>
      <c r="H1470" s="549" t="s">
        <v>823</v>
      </c>
      <c r="I1470" s="549" t="s">
        <v>976</v>
      </c>
      <c r="J1470" s="549" t="s">
        <v>976</v>
      </c>
      <c r="K1470" s="549" t="s">
        <v>976</v>
      </c>
      <c r="L1470" s="549">
        <v>73527.31</v>
      </c>
      <c r="M1470" s="549">
        <v>5551.31</v>
      </c>
      <c r="N1470" s="549">
        <v>4220.47</v>
      </c>
      <c r="O1470" s="549">
        <v>992</v>
      </c>
      <c r="P1470" s="549">
        <v>0</v>
      </c>
      <c r="Q1470" s="549">
        <v>0</v>
      </c>
    </row>
    <row r="1471" spans="1:17" x14ac:dyDescent="0.25">
      <c r="A1471" s="549" t="s">
        <v>1018</v>
      </c>
      <c r="B1471" s="549" t="s">
        <v>1019</v>
      </c>
      <c r="C1471" s="549" t="s">
        <v>823</v>
      </c>
      <c r="D1471" s="549" t="s">
        <v>824</v>
      </c>
      <c r="E1471" s="549" t="s">
        <v>973</v>
      </c>
      <c r="F1471" s="549" t="s">
        <v>1212</v>
      </c>
      <c r="G1471" s="549">
        <v>2742</v>
      </c>
      <c r="H1471" s="549" t="s">
        <v>823</v>
      </c>
      <c r="I1471" s="549" t="s">
        <v>976</v>
      </c>
      <c r="J1471" s="549" t="s">
        <v>976</v>
      </c>
      <c r="K1471" s="549" t="s">
        <v>976</v>
      </c>
      <c r="L1471" s="549">
        <v>73527.31</v>
      </c>
      <c r="M1471" s="549">
        <v>5551.31</v>
      </c>
      <c r="N1471" s="549">
        <v>4220.47</v>
      </c>
      <c r="O1471" s="549">
        <v>992</v>
      </c>
      <c r="P1471" s="549">
        <v>0</v>
      </c>
      <c r="Q1471" s="549">
        <v>0</v>
      </c>
    </row>
    <row r="1472" spans="1:17" x14ac:dyDescent="0.25">
      <c r="A1472" s="549" t="s">
        <v>1018</v>
      </c>
      <c r="B1472" s="549" t="s">
        <v>1019</v>
      </c>
      <c r="C1472" s="549" t="s">
        <v>823</v>
      </c>
      <c r="D1472" s="549" t="s">
        <v>824</v>
      </c>
      <c r="E1472" s="549" t="s">
        <v>973</v>
      </c>
      <c r="F1472" s="549" t="s">
        <v>1212</v>
      </c>
      <c r="G1472" s="549">
        <v>2752</v>
      </c>
      <c r="H1472" s="549" t="s">
        <v>823</v>
      </c>
      <c r="I1472" s="549" t="s">
        <v>976</v>
      </c>
      <c r="J1472" s="549" t="s">
        <v>976</v>
      </c>
      <c r="K1472" s="549" t="s">
        <v>976</v>
      </c>
      <c r="L1472" s="549">
        <v>73527.31</v>
      </c>
      <c r="M1472" s="549">
        <v>5551.31</v>
      </c>
      <c r="N1472" s="549">
        <v>4220.47</v>
      </c>
      <c r="O1472" s="549">
        <v>992</v>
      </c>
      <c r="P1472" s="549">
        <v>0</v>
      </c>
      <c r="Q1472" s="549">
        <v>0</v>
      </c>
    </row>
    <row r="1473" spans="1:17" x14ac:dyDescent="0.25">
      <c r="A1473" s="549" t="s">
        <v>1018</v>
      </c>
      <c r="B1473" s="549" t="s">
        <v>1019</v>
      </c>
      <c r="C1473" s="549" t="s">
        <v>823</v>
      </c>
      <c r="D1473" s="549" t="s">
        <v>824</v>
      </c>
      <c r="E1473" s="549" t="s">
        <v>973</v>
      </c>
      <c r="F1473" s="549" t="s">
        <v>1212</v>
      </c>
      <c r="G1473" s="549">
        <v>2762</v>
      </c>
      <c r="H1473" s="549" t="s">
        <v>823</v>
      </c>
      <c r="I1473" s="549" t="s">
        <v>976</v>
      </c>
      <c r="J1473" s="549" t="s">
        <v>976</v>
      </c>
      <c r="K1473" s="549" t="s">
        <v>976</v>
      </c>
      <c r="L1473" s="549">
        <v>73527.31</v>
      </c>
      <c r="M1473" s="549">
        <v>5551.31</v>
      </c>
      <c r="N1473" s="549">
        <v>4220.47</v>
      </c>
      <c r="O1473" s="549">
        <v>992</v>
      </c>
      <c r="P1473" s="549">
        <v>0</v>
      </c>
      <c r="Q1473" s="549">
        <v>0</v>
      </c>
    </row>
    <row r="1474" spans="1:17" x14ac:dyDescent="0.25">
      <c r="A1474" s="549" t="s">
        <v>1018</v>
      </c>
      <c r="B1474" s="549" t="s">
        <v>1019</v>
      </c>
      <c r="C1474" s="549" t="s">
        <v>823</v>
      </c>
      <c r="D1474" s="549" t="s">
        <v>824</v>
      </c>
      <c r="E1474" s="549" t="s">
        <v>973</v>
      </c>
      <c r="F1474" s="549" t="s">
        <v>1212</v>
      </c>
      <c r="G1474" s="549">
        <v>2778</v>
      </c>
      <c r="H1474" s="549" t="s">
        <v>823</v>
      </c>
      <c r="I1474" s="549" t="s">
        <v>976</v>
      </c>
      <c r="J1474" s="549" t="s">
        <v>976</v>
      </c>
      <c r="K1474" s="549" t="s">
        <v>976</v>
      </c>
      <c r="L1474" s="549">
        <v>75220.88</v>
      </c>
      <c r="M1474" s="549">
        <v>5679.18</v>
      </c>
      <c r="N1474" s="549">
        <v>4317.68</v>
      </c>
      <c r="O1474" s="549">
        <v>992</v>
      </c>
      <c r="P1474" s="549">
        <v>0</v>
      </c>
      <c r="Q1474" s="549">
        <v>0</v>
      </c>
    </row>
    <row r="1475" spans="1:17" x14ac:dyDescent="0.25">
      <c r="A1475" s="549" t="s">
        <v>1018</v>
      </c>
      <c r="B1475" s="549" t="s">
        <v>1019</v>
      </c>
      <c r="C1475" s="549" t="s">
        <v>823</v>
      </c>
      <c r="D1475" s="549" t="s">
        <v>824</v>
      </c>
      <c r="E1475" s="549" t="s">
        <v>973</v>
      </c>
      <c r="F1475" s="549" t="s">
        <v>1212</v>
      </c>
      <c r="G1475" s="549">
        <v>2782</v>
      </c>
      <c r="H1475" s="549" t="s">
        <v>823</v>
      </c>
      <c r="I1475" s="549" t="s">
        <v>976</v>
      </c>
      <c r="J1475" s="549" t="s">
        <v>976</v>
      </c>
      <c r="K1475" s="549" t="s">
        <v>976</v>
      </c>
      <c r="L1475" s="549">
        <v>73527.31</v>
      </c>
      <c r="M1475" s="549">
        <v>5551.31</v>
      </c>
      <c r="N1475" s="549">
        <v>4220.47</v>
      </c>
      <c r="O1475" s="549">
        <v>992</v>
      </c>
      <c r="P1475" s="549">
        <v>0</v>
      </c>
      <c r="Q1475" s="549">
        <v>0</v>
      </c>
    </row>
    <row r="1476" spans="1:17" x14ac:dyDescent="0.25">
      <c r="A1476" s="549" t="s">
        <v>1018</v>
      </c>
      <c r="B1476" s="549" t="s">
        <v>1019</v>
      </c>
      <c r="C1476" s="549" t="s">
        <v>823</v>
      </c>
      <c r="D1476" s="549" t="s">
        <v>824</v>
      </c>
      <c r="E1476" s="549" t="s">
        <v>973</v>
      </c>
      <c r="F1476" s="549" t="s">
        <v>1212</v>
      </c>
      <c r="G1476" s="549">
        <v>2792</v>
      </c>
      <c r="H1476" s="549" t="s">
        <v>823</v>
      </c>
      <c r="I1476" s="549" t="s">
        <v>976</v>
      </c>
      <c r="J1476" s="549" t="s">
        <v>976</v>
      </c>
      <c r="K1476" s="549" t="s">
        <v>976</v>
      </c>
      <c r="L1476" s="549">
        <v>77761.23</v>
      </c>
      <c r="M1476" s="549">
        <v>5870.97</v>
      </c>
      <c r="N1476" s="549">
        <v>4463.49</v>
      </c>
      <c r="O1476" s="549">
        <v>992</v>
      </c>
      <c r="P1476" s="549">
        <v>0</v>
      </c>
      <c r="Q1476" s="549">
        <v>0</v>
      </c>
    </row>
    <row r="1477" spans="1:17" x14ac:dyDescent="0.25">
      <c r="A1477" s="549" t="s">
        <v>1018</v>
      </c>
      <c r="B1477" s="549" t="s">
        <v>1019</v>
      </c>
      <c r="C1477" s="549" t="s">
        <v>823</v>
      </c>
      <c r="D1477" s="549" t="s">
        <v>824</v>
      </c>
      <c r="E1477" s="549" t="s">
        <v>973</v>
      </c>
      <c r="F1477" s="549" t="s">
        <v>1212</v>
      </c>
      <c r="G1477" s="549">
        <v>2802</v>
      </c>
      <c r="H1477" s="549" t="s">
        <v>823</v>
      </c>
      <c r="I1477" s="549" t="s">
        <v>976</v>
      </c>
      <c r="J1477" s="549" t="s">
        <v>976</v>
      </c>
      <c r="K1477" s="549" t="s">
        <v>976</v>
      </c>
      <c r="L1477" s="549">
        <v>73527.31</v>
      </c>
      <c r="M1477" s="549">
        <v>5551.31</v>
      </c>
      <c r="N1477" s="549">
        <v>4220.47</v>
      </c>
      <c r="O1477" s="549">
        <v>992</v>
      </c>
      <c r="P1477" s="549">
        <v>0</v>
      </c>
      <c r="Q1477" s="549">
        <v>0</v>
      </c>
    </row>
    <row r="1478" spans="1:17" x14ac:dyDescent="0.25">
      <c r="A1478" s="549" t="s">
        <v>1018</v>
      </c>
      <c r="B1478" s="549" t="s">
        <v>1019</v>
      </c>
      <c r="C1478" s="549" t="s">
        <v>823</v>
      </c>
      <c r="D1478" s="549" t="s">
        <v>824</v>
      </c>
      <c r="E1478" s="549" t="s">
        <v>973</v>
      </c>
      <c r="F1478" s="549" t="s">
        <v>1212</v>
      </c>
      <c r="G1478" s="549">
        <v>2812</v>
      </c>
      <c r="H1478" s="549" t="s">
        <v>823</v>
      </c>
      <c r="I1478" s="549" t="s">
        <v>976</v>
      </c>
      <c r="J1478" s="549" t="s">
        <v>976</v>
      </c>
      <c r="K1478" s="549" t="s">
        <v>976</v>
      </c>
      <c r="L1478" s="549">
        <v>73527.31</v>
      </c>
      <c r="M1478" s="549">
        <v>5551.31</v>
      </c>
      <c r="N1478" s="549">
        <v>4220.47</v>
      </c>
      <c r="O1478" s="549">
        <v>992</v>
      </c>
      <c r="P1478" s="549">
        <v>0</v>
      </c>
      <c r="Q1478" s="549">
        <v>0</v>
      </c>
    </row>
    <row r="1479" spans="1:17" x14ac:dyDescent="0.25">
      <c r="A1479" s="549" t="s">
        <v>1018</v>
      </c>
      <c r="B1479" s="549" t="s">
        <v>1019</v>
      </c>
      <c r="C1479" s="549" t="s">
        <v>823</v>
      </c>
      <c r="D1479" s="549" t="s">
        <v>824</v>
      </c>
      <c r="E1479" s="549" t="s">
        <v>973</v>
      </c>
      <c r="F1479" s="549" t="s">
        <v>1212</v>
      </c>
      <c r="G1479" s="549">
        <v>2822</v>
      </c>
      <c r="H1479" s="549" t="s">
        <v>823</v>
      </c>
      <c r="I1479" s="549" t="s">
        <v>976</v>
      </c>
      <c r="J1479" s="549" t="s">
        <v>976</v>
      </c>
      <c r="K1479" s="549" t="s">
        <v>976</v>
      </c>
      <c r="L1479" s="549">
        <v>73527.31</v>
      </c>
      <c r="M1479" s="549">
        <v>5551.31</v>
      </c>
      <c r="N1479" s="549">
        <v>4220.47</v>
      </c>
      <c r="O1479" s="549">
        <v>992</v>
      </c>
      <c r="P1479" s="549">
        <v>0</v>
      </c>
      <c r="Q1479" s="549">
        <v>0</v>
      </c>
    </row>
    <row r="1480" spans="1:17" x14ac:dyDescent="0.25">
      <c r="A1480" s="549" t="s">
        <v>1018</v>
      </c>
      <c r="B1480" s="549" t="s">
        <v>1019</v>
      </c>
      <c r="C1480" s="549" t="s">
        <v>823</v>
      </c>
      <c r="D1480" s="549" t="s">
        <v>824</v>
      </c>
      <c r="E1480" s="549" t="s">
        <v>973</v>
      </c>
      <c r="F1480" s="549" t="s">
        <v>1212</v>
      </c>
      <c r="G1480" s="549">
        <v>2832</v>
      </c>
      <c r="H1480" s="549" t="s">
        <v>823</v>
      </c>
      <c r="I1480" s="549" t="s">
        <v>976</v>
      </c>
      <c r="J1480" s="549" t="s">
        <v>976</v>
      </c>
      <c r="K1480" s="549" t="s">
        <v>976</v>
      </c>
      <c r="L1480" s="549">
        <v>73527.31</v>
      </c>
      <c r="M1480" s="549">
        <v>5551.31</v>
      </c>
      <c r="N1480" s="549">
        <v>4220.47</v>
      </c>
      <c r="O1480" s="549">
        <v>992</v>
      </c>
      <c r="P1480" s="549">
        <v>0</v>
      </c>
      <c r="Q1480" s="549">
        <v>0</v>
      </c>
    </row>
    <row r="1481" spans="1:17" x14ac:dyDescent="0.25">
      <c r="A1481" s="549" t="s">
        <v>1018</v>
      </c>
      <c r="B1481" s="549" t="s">
        <v>1019</v>
      </c>
      <c r="C1481" s="549" t="s">
        <v>823</v>
      </c>
      <c r="D1481" s="549" t="s">
        <v>824</v>
      </c>
      <c r="E1481" s="549" t="s">
        <v>973</v>
      </c>
      <c r="F1481" s="549" t="s">
        <v>1212</v>
      </c>
      <c r="G1481" s="549">
        <v>2842</v>
      </c>
      <c r="H1481" s="549" t="s">
        <v>823</v>
      </c>
      <c r="I1481" s="549" t="s">
        <v>976</v>
      </c>
      <c r="J1481" s="549" t="s">
        <v>976</v>
      </c>
      <c r="K1481" s="549" t="s">
        <v>976</v>
      </c>
      <c r="L1481" s="549">
        <v>0.02</v>
      </c>
      <c r="M1481" s="549">
        <v>0</v>
      </c>
      <c r="N1481" s="549">
        <v>0</v>
      </c>
      <c r="O1481" s="549">
        <v>992</v>
      </c>
      <c r="P1481" s="549">
        <v>0</v>
      </c>
      <c r="Q1481" s="549">
        <v>0</v>
      </c>
    </row>
    <row r="1482" spans="1:17" x14ac:dyDescent="0.25">
      <c r="A1482" s="549" t="s">
        <v>1018</v>
      </c>
      <c r="B1482" s="549" t="s">
        <v>1019</v>
      </c>
      <c r="C1482" s="549" t="s">
        <v>823</v>
      </c>
      <c r="D1482" s="549" t="s">
        <v>824</v>
      </c>
      <c r="E1482" s="549" t="s">
        <v>973</v>
      </c>
      <c r="F1482" s="549" t="s">
        <v>1212</v>
      </c>
      <c r="G1482" s="549" t="s">
        <v>1321</v>
      </c>
      <c r="H1482" s="549" t="s">
        <v>823</v>
      </c>
      <c r="I1482" s="549" t="s">
        <v>976</v>
      </c>
      <c r="J1482" s="549" t="s">
        <v>976</v>
      </c>
      <c r="K1482" s="549" t="s">
        <v>976</v>
      </c>
      <c r="L1482" s="549">
        <v>64127.31</v>
      </c>
      <c r="M1482" s="549">
        <v>4841.6099999999997</v>
      </c>
      <c r="N1482" s="549">
        <v>3680.91</v>
      </c>
      <c r="O1482" s="549">
        <v>1984</v>
      </c>
      <c r="P1482" s="549">
        <v>0</v>
      </c>
      <c r="Q1482" s="549">
        <v>0</v>
      </c>
    </row>
    <row r="1483" spans="1:17" x14ac:dyDescent="0.25">
      <c r="A1483" s="549" t="s">
        <v>1018</v>
      </c>
      <c r="B1483" s="549" t="s">
        <v>1019</v>
      </c>
      <c r="C1483" s="549" t="s">
        <v>823</v>
      </c>
      <c r="D1483" s="549" t="s">
        <v>824</v>
      </c>
      <c r="E1483" s="549" t="s">
        <v>973</v>
      </c>
      <c r="F1483" s="549" t="s">
        <v>1212</v>
      </c>
      <c r="G1483" s="549" t="s">
        <v>1235</v>
      </c>
      <c r="H1483" s="549" t="s">
        <v>823</v>
      </c>
      <c r="I1483" s="549" t="s">
        <v>976</v>
      </c>
      <c r="J1483" s="549" t="s">
        <v>976</v>
      </c>
      <c r="K1483" s="549" t="s">
        <v>976</v>
      </c>
      <c r="L1483" s="549">
        <v>171401.8</v>
      </c>
      <c r="M1483" s="549">
        <v>12940.84</v>
      </c>
      <c r="N1483" s="549">
        <v>9838.4599999999991</v>
      </c>
      <c r="O1483" s="549">
        <v>992</v>
      </c>
      <c r="P1483" s="549">
        <v>0</v>
      </c>
      <c r="Q1483" s="549">
        <v>0</v>
      </c>
    </row>
    <row r="1484" spans="1:17" x14ac:dyDescent="0.25">
      <c r="A1484" s="549" t="s">
        <v>1018</v>
      </c>
      <c r="B1484" s="549" t="s">
        <v>1019</v>
      </c>
      <c r="C1484" s="549" t="s">
        <v>823</v>
      </c>
      <c r="D1484" s="549" t="s">
        <v>824</v>
      </c>
      <c r="E1484" s="549" t="s">
        <v>973</v>
      </c>
      <c r="F1484" s="549" t="s">
        <v>1212</v>
      </c>
      <c r="G1484" s="549" t="s">
        <v>1236</v>
      </c>
      <c r="H1484" s="549" t="s">
        <v>823</v>
      </c>
      <c r="I1484" s="549" t="s">
        <v>976</v>
      </c>
      <c r="J1484" s="549" t="s">
        <v>976</v>
      </c>
      <c r="K1484" s="549" t="s">
        <v>976</v>
      </c>
      <c r="L1484" s="549">
        <v>171401.8</v>
      </c>
      <c r="M1484" s="549">
        <v>12940.84</v>
      </c>
      <c r="N1484" s="549">
        <v>9838.4599999999991</v>
      </c>
      <c r="O1484" s="549">
        <v>992</v>
      </c>
      <c r="P1484" s="549">
        <v>0</v>
      </c>
      <c r="Q1484" s="549">
        <v>0</v>
      </c>
    </row>
    <row r="1485" spans="1:17" x14ac:dyDescent="0.25">
      <c r="A1485" s="549" t="s">
        <v>1018</v>
      </c>
      <c r="B1485" s="549" t="s">
        <v>1019</v>
      </c>
      <c r="C1485" s="549" t="s">
        <v>823</v>
      </c>
      <c r="D1485" s="549" t="s">
        <v>824</v>
      </c>
      <c r="E1485" s="549" t="s">
        <v>973</v>
      </c>
      <c r="F1485" s="549" t="s">
        <v>1212</v>
      </c>
      <c r="G1485" s="549" t="s">
        <v>1322</v>
      </c>
      <c r="H1485" s="549" t="s">
        <v>823</v>
      </c>
      <c r="I1485" s="549" t="s">
        <v>976</v>
      </c>
      <c r="J1485" s="549" t="s">
        <v>976</v>
      </c>
      <c r="K1485" s="549" t="s">
        <v>976</v>
      </c>
      <c r="L1485" s="549">
        <v>31102.38</v>
      </c>
      <c r="M1485" s="549">
        <v>2348.23</v>
      </c>
      <c r="N1485" s="549">
        <v>1785.28</v>
      </c>
      <c r="O1485" s="549">
        <v>0</v>
      </c>
      <c r="P1485" s="549">
        <v>0</v>
      </c>
      <c r="Q1485" s="549">
        <v>0</v>
      </c>
    </row>
    <row r="1486" spans="1:17" x14ac:dyDescent="0.25">
      <c r="A1486" s="549" t="s">
        <v>1018</v>
      </c>
      <c r="B1486" s="549" t="s">
        <v>1019</v>
      </c>
      <c r="C1486" s="549" t="s">
        <v>823</v>
      </c>
      <c r="D1486" s="549" t="s">
        <v>824</v>
      </c>
      <c r="E1486" s="549" t="s">
        <v>973</v>
      </c>
      <c r="F1486" s="549" t="s">
        <v>1212</v>
      </c>
      <c r="G1486" s="549" t="s">
        <v>1323</v>
      </c>
      <c r="H1486" s="549" t="s">
        <v>823</v>
      </c>
      <c r="I1486" s="549" t="s">
        <v>976</v>
      </c>
      <c r="J1486" s="549" t="s">
        <v>976</v>
      </c>
      <c r="K1486" s="549" t="s">
        <v>976</v>
      </c>
      <c r="L1486" s="549">
        <v>31102.38</v>
      </c>
      <c r="M1486" s="549">
        <v>2348.23</v>
      </c>
      <c r="N1486" s="549">
        <v>1785.28</v>
      </c>
      <c r="O1486" s="549">
        <v>0</v>
      </c>
      <c r="P1486" s="549">
        <v>0</v>
      </c>
      <c r="Q1486" s="549">
        <v>0</v>
      </c>
    </row>
    <row r="1487" spans="1:17" x14ac:dyDescent="0.25">
      <c r="A1487" s="549" t="s">
        <v>1018</v>
      </c>
      <c r="B1487" s="549" t="s">
        <v>1019</v>
      </c>
      <c r="C1487" s="549" t="s">
        <v>823</v>
      </c>
      <c r="D1487" s="549" t="s">
        <v>824</v>
      </c>
      <c r="E1487" s="549" t="s">
        <v>973</v>
      </c>
      <c r="F1487" s="549" t="s">
        <v>1212</v>
      </c>
      <c r="G1487" s="549" t="s">
        <v>1324</v>
      </c>
      <c r="H1487" s="549" t="s">
        <v>823</v>
      </c>
      <c r="I1487" s="549" t="s">
        <v>976</v>
      </c>
      <c r="J1487" s="549" t="s">
        <v>976</v>
      </c>
      <c r="K1487" s="549" t="s">
        <v>976</v>
      </c>
      <c r="L1487" s="549">
        <v>31102.38</v>
      </c>
      <c r="M1487" s="549">
        <v>2348.23</v>
      </c>
      <c r="N1487" s="549">
        <v>1785.28</v>
      </c>
      <c r="O1487" s="549">
        <v>0</v>
      </c>
      <c r="P1487" s="549">
        <v>0</v>
      </c>
      <c r="Q1487" s="549">
        <v>0</v>
      </c>
    </row>
    <row r="1488" spans="1:17" x14ac:dyDescent="0.25">
      <c r="A1488" s="549" t="s">
        <v>1018</v>
      </c>
      <c r="B1488" s="549" t="s">
        <v>1019</v>
      </c>
      <c r="C1488" s="549" t="s">
        <v>823</v>
      </c>
      <c r="D1488" s="549" t="s">
        <v>824</v>
      </c>
      <c r="E1488" s="549" t="s">
        <v>973</v>
      </c>
      <c r="F1488" s="549" t="s">
        <v>1212</v>
      </c>
      <c r="G1488" s="549" t="s">
        <v>1325</v>
      </c>
      <c r="H1488" s="549" t="s">
        <v>823</v>
      </c>
      <c r="I1488" s="549" t="s">
        <v>976</v>
      </c>
      <c r="J1488" s="549" t="s">
        <v>976</v>
      </c>
      <c r="K1488" s="549" t="s">
        <v>976</v>
      </c>
      <c r="L1488" s="549">
        <v>31102.38</v>
      </c>
      <c r="M1488" s="549">
        <v>2348.23</v>
      </c>
      <c r="N1488" s="549">
        <v>1785.28</v>
      </c>
      <c r="O1488" s="549">
        <v>0</v>
      </c>
      <c r="P1488" s="549">
        <v>0</v>
      </c>
      <c r="Q1488" s="549">
        <v>0</v>
      </c>
    </row>
    <row r="1489" spans="1:17" x14ac:dyDescent="0.25">
      <c r="A1489" s="549" t="s">
        <v>1018</v>
      </c>
      <c r="B1489" s="549" t="s">
        <v>1019</v>
      </c>
      <c r="C1489" s="549" t="s">
        <v>823</v>
      </c>
      <c r="D1489" s="549" t="s">
        <v>824</v>
      </c>
      <c r="E1489" s="549" t="s">
        <v>973</v>
      </c>
      <c r="F1489" s="549" t="s">
        <v>1212</v>
      </c>
      <c r="G1489" s="549" t="s">
        <v>1319</v>
      </c>
      <c r="H1489" s="549" t="s">
        <v>823</v>
      </c>
      <c r="I1489" s="549" t="s">
        <v>976</v>
      </c>
      <c r="J1489" s="549" t="s">
        <v>976</v>
      </c>
      <c r="K1489" s="549" t="s">
        <v>976</v>
      </c>
      <c r="L1489" s="549">
        <v>46659.92</v>
      </c>
      <c r="M1489" s="549">
        <v>3522.82</v>
      </c>
      <c r="N1489" s="549">
        <v>2678.28</v>
      </c>
      <c r="O1489" s="549">
        <v>0</v>
      </c>
      <c r="P1489" s="549">
        <v>0</v>
      </c>
      <c r="Q1489" s="549">
        <v>0</v>
      </c>
    </row>
    <row r="1490" spans="1:17" x14ac:dyDescent="0.25">
      <c r="A1490" s="549" t="s">
        <v>1018</v>
      </c>
      <c r="B1490" s="549" t="s">
        <v>1019</v>
      </c>
      <c r="C1490" s="549" t="s">
        <v>823</v>
      </c>
      <c r="D1490" s="549" t="s">
        <v>824</v>
      </c>
      <c r="E1490" s="549" t="s">
        <v>973</v>
      </c>
      <c r="F1490" s="549" t="s">
        <v>1212</v>
      </c>
      <c r="G1490" s="549" t="s">
        <v>1215</v>
      </c>
      <c r="H1490" s="549" t="s">
        <v>823</v>
      </c>
      <c r="I1490" s="549" t="s">
        <v>976</v>
      </c>
      <c r="J1490" s="549" t="s">
        <v>976</v>
      </c>
      <c r="K1490" s="549" t="s">
        <v>976</v>
      </c>
      <c r="L1490" s="549">
        <v>48805.45</v>
      </c>
      <c r="M1490" s="549">
        <v>3684.81</v>
      </c>
      <c r="N1490" s="549">
        <v>2801.43</v>
      </c>
      <c r="O1490" s="549">
        <v>0</v>
      </c>
      <c r="P1490" s="549">
        <v>0</v>
      </c>
      <c r="Q1490" s="549">
        <v>0</v>
      </c>
    </row>
    <row r="1491" spans="1:17" x14ac:dyDescent="0.25">
      <c r="A1491" s="549" t="s">
        <v>1018</v>
      </c>
      <c r="B1491" s="549" t="s">
        <v>1019</v>
      </c>
      <c r="C1491" s="549" t="s">
        <v>823</v>
      </c>
      <c r="D1491" s="549" t="s">
        <v>824</v>
      </c>
      <c r="E1491" s="549" t="s">
        <v>973</v>
      </c>
      <c r="F1491" s="549" t="s">
        <v>1212</v>
      </c>
      <c r="G1491" s="549" t="s">
        <v>1288</v>
      </c>
      <c r="H1491" s="549" t="s">
        <v>823</v>
      </c>
      <c r="I1491" s="549" t="s">
        <v>976</v>
      </c>
      <c r="J1491" s="549" t="s">
        <v>976</v>
      </c>
      <c r="K1491" s="549" t="s">
        <v>976</v>
      </c>
      <c r="L1491" s="549">
        <v>48805.45</v>
      </c>
      <c r="M1491" s="549">
        <v>3684.81</v>
      </c>
      <c r="N1491" s="549">
        <v>2801.43</v>
      </c>
      <c r="O1491" s="549">
        <v>0</v>
      </c>
      <c r="P1491" s="549">
        <v>0</v>
      </c>
      <c r="Q1491" s="549">
        <v>0</v>
      </c>
    </row>
    <row r="1492" spans="1:17" x14ac:dyDescent="0.25">
      <c r="A1492" s="549" t="s">
        <v>1018</v>
      </c>
      <c r="B1492" s="549" t="s">
        <v>1019</v>
      </c>
      <c r="C1492" s="549" t="s">
        <v>823</v>
      </c>
      <c r="D1492" s="549" t="s">
        <v>824</v>
      </c>
      <c r="E1492" s="549" t="s">
        <v>973</v>
      </c>
      <c r="F1492" s="549" t="s">
        <v>1212</v>
      </c>
      <c r="G1492" s="549">
        <v>162</v>
      </c>
      <c r="H1492" s="549" t="s">
        <v>814</v>
      </c>
      <c r="I1492" s="549" t="s">
        <v>976</v>
      </c>
      <c r="J1492" s="549" t="s">
        <v>976</v>
      </c>
      <c r="K1492" s="549" t="s">
        <v>976</v>
      </c>
      <c r="L1492" s="549">
        <v>475084.32</v>
      </c>
      <c r="M1492" s="549">
        <v>35868.870000000003</v>
      </c>
      <c r="N1492" s="549">
        <v>27269.84</v>
      </c>
      <c r="O1492" s="549">
        <v>3968</v>
      </c>
      <c r="P1492" s="549">
        <v>0</v>
      </c>
      <c r="Q1492" s="549">
        <v>0</v>
      </c>
    </row>
    <row r="1493" spans="1:17" x14ac:dyDescent="0.25">
      <c r="A1493" s="549" t="s">
        <v>1018</v>
      </c>
      <c r="B1493" s="549" t="s">
        <v>1019</v>
      </c>
      <c r="C1493" s="549" t="s">
        <v>823</v>
      </c>
      <c r="D1493" s="549" t="s">
        <v>824</v>
      </c>
      <c r="E1493" s="549" t="s">
        <v>973</v>
      </c>
      <c r="F1493" s="549" t="s">
        <v>1212</v>
      </c>
      <c r="G1493" s="549">
        <v>182</v>
      </c>
      <c r="H1493" s="549" t="s">
        <v>814</v>
      </c>
      <c r="I1493" s="549" t="s">
        <v>976</v>
      </c>
      <c r="J1493" s="549" t="s">
        <v>976</v>
      </c>
      <c r="K1493" s="549" t="s">
        <v>976</v>
      </c>
      <c r="L1493" s="549">
        <v>475084.32</v>
      </c>
      <c r="M1493" s="549">
        <v>35868.870000000003</v>
      </c>
      <c r="N1493" s="549">
        <v>27269.84</v>
      </c>
      <c r="O1493" s="549">
        <v>3968</v>
      </c>
      <c r="P1493" s="549">
        <v>0</v>
      </c>
      <c r="Q1493" s="549">
        <v>0</v>
      </c>
    </row>
    <row r="1494" spans="1:17" x14ac:dyDescent="0.25">
      <c r="A1494" s="549" t="s">
        <v>1018</v>
      </c>
      <c r="B1494" s="549" t="s">
        <v>1019</v>
      </c>
      <c r="C1494" s="549" t="s">
        <v>823</v>
      </c>
      <c r="D1494" s="549" t="s">
        <v>824</v>
      </c>
      <c r="E1494" s="549" t="s">
        <v>977</v>
      </c>
      <c r="F1494" s="549" t="s">
        <v>1212</v>
      </c>
      <c r="G1494" s="549">
        <v>312</v>
      </c>
      <c r="H1494" s="549" t="s">
        <v>823</v>
      </c>
      <c r="I1494" s="549" t="s">
        <v>976</v>
      </c>
      <c r="J1494" s="549" t="s">
        <v>976</v>
      </c>
      <c r="K1494" s="549" t="s">
        <v>976</v>
      </c>
      <c r="L1494" s="549">
        <v>504629.39</v>
      </c>
      <c r="M1494" s="549">
        <v>38099.519999999997</v>
      </c>
      <c r="N1494" s="549">
        <v>11152.31</v>
      </c>
      <c r="O1494" s="549">
        <v>3968</v>
      </c>
      <c r="P1494" s="549">
        <v>100</v>
      </c>
      <c r="Q1494" s="549">
        <v>53219.83</v>
      </c>
    </row>
    <row r="1495" spans="1:17" x14ac:dyDescent="0.25">
      <c r="A1495" s="549" t="s">
        <v>1018</v>
      </c>
      <c r="B1495" s="549" t="s">
        <v>1019</v>
      </c>
      <c r="C1495" s="549" t="s">
        <v>823</v>
      </c>
      <c r="D1495" s="549" t="s">
        <v>824</v>
      </c>
      <c r="E1495" s="549" t="s">
        <v>977</v>
      </c>
      <c r="F1495" s="549" t="s">
        <v>1212</v>
      </c>
      <c r="G1495" s="549">
        <v>332</v>
      </c>
      <c r="H1495" s="549" t="s">
        <v>823</v>
      </c>
      <c r="I1495" s="549" t="s">
        <v>976</v>
      </c>
      <c r="J1495" s="549" t="s">
        <v>976</v>
      </c>
      <c r="K1495" s="549" t="s">
        <v>976</v>
      </c>
      <c r="L1495" s="549">
        <v>344086.71</v>
      </c>
      <c r="M1495" s="549">
        <v>25978.55</v>
      </c>
      <c r="N1495" s="549">
        <v>7604.32</v>
      </c>
      <c r="O1495" s="549">
        <v>1984</v>
      </c>
      <c r="P1495" s="549">
        <v>100</v>
      </c>
      <c r="Q1495" s="549">
        <v>35566.870000000003</v>
      </c>
    </row>
    <row r="1496" spans="1:17" x14ac:dyDescent="0.25">
      <c r="A1496" s="549" t="s">
        <v>1018</v>
      </c>
      <c r="B1496" s="549" t="s">
        <v>1019</v>
      </c>
      <c r="C1496" s="549" t="s">
        <v>823</v>
      </c>
      <c r="D1496" s="549" t="s">
        <v>824</v>
      </c>
      <c r="E1496" s="549" t="s">
        <v>977</v>
      </c>
      <c r="F1496" s="549" t="s">
        <v>1212</v>
      </c>
      <c r="G1496" s="549">
        <v>337</v>
      </c>
      <c r="H1496" s="549" t="s">
        <v>823</v>
      </c>
      <c r="I1496" s="549" t="s">
        <v>976</v>
      </c>
      <c r="J1496" s="549" t="s">
        <v>976</v>
      </c>
      <c r="K1496" s="549" t="s">
        <v>976</v>
      </c>
      <c r="L1496" s="549">
        <v>42933.72</v>
      </c>
      <c r="M1496" s="549">
        <v>3241.5</v>
      </c>
      <c r="N1496" s="549">
        <v>948.84</v>
      </c>
      <c r="O1496" s="549">
        <v>992</v>
      </c>
      <c r="P1496" s="549">
        <v>100</v>
      </c>
      <c r="Q1496" s="549">
        <v>5182.34</v>
      </c>
    </row>
    <row r="1497" spans="1:17" x14ac:dyDescent="0.25">
      <c r="A1497" s="549" t="s">
        <v>1018</v>
      </c>
      <c r="B1497" s="549" t="s">
        <v>1019</v>
      </c>
      <c r="C1497" s="549" t="s">
        <v>823</v>
      </c>
      <c r="D1497" s="549" t="s">
        <v>824</v>
      </c>
      <c r="E1497" s="549" t="s">
        <v>977</v>
      </c>
      <c r="F1497" s="549" t="s">
        <v>1212</v>
      </c>
      <c r="G1497" s="549">
        <v>352</v>
      </c>
      <c r="H1497" s="549" t="s">
        <v>823</v>
      </c>
      <c r="I1497" s="549" t="s">
        <v>976</v>
      </c>
      <c r="J1497" s="549" t="s">
        <v>976</v>
      </c>
      <c r="K1497" s="549" t="s">
        <v>976</v>
      </c>
      <c r="L1497" s="549">
        <v>344086.71</v>
      </c>
      <c r="M1497" s="549">
        <v>25978.55</v>
      </c>
      <c r="N1497" s="549">
        <v>7604.32</v>
      </c>
      <c r="O1497" s="549">
        <v>1984</v>
      </c>
      <c r="P1497" s="549">
        <v>100</v>
      </c>
      <c r="Q1497" s="549">
        <v>35566.870000000003</v>
      </c>
    </row>
    <row r="1498" spans="1:17" x14ac:dyDescent="0.25">
      <c r="A1498" s="549" t="s">
        <v>1018</v>
      </c>
      <c r="B1498" s="549" t="s">
        <v>1019</v>
      </c>
      <c r="C1498" s="549" t="s">
        <v>823</v>
      </c>
      <c r="D1498" s="549" t="s">
        <v>824</v>
      </c>
      <c r="E1498" s="549" t="s">
        <v>977</v>
      </c>
      <c r="F1498" s="549" t="s">
        <v>1212</v>
      </c>
      <c r="G1498" s="549">
        <v>372</v>
      </c>
      <c r="H1498" s="549" t="s">
        <v>823</v>
      </c>
      <c r="I1498" s="549" t="s">
        <v>976</v>
      </c>
      <c r="J1498" s="549" t="s">
        <v>976</v>
      </c>
      <c r="K1498" s="549" t="s">
        <v>976</v>
      </c>
      <c r="L1498" s="549">
        <v>344086.71</v>
      </c>
      <c r="M1498" s="549">
        <v>25978.55</v>
      </c>
      <c r="N1498" s="549">
        <v>7604.32</v>
      </c>
      <c r="O1498" s="549">
        <v>1984</v>
      </c>
      <c r="P1498" s="549">
        <v>100</v>
      </c>
      <c r="Q1498" s="549">
        <v>35566.870000000003</v>
      </c>
    </row>
    <row r="1499" spans="1:17" x14ac:dyDescent="0.25">
      <c r="A1499" s="549" t="s">
        <v>1018</v>
      </c>
      <c r="B1499" s="549" t="s">
        <v>1019</v>
      </c>
      <c r="C1499" s="549" t="s">
        <v>823</v>
      </c>
      <c r="D1499" s="549" t="s">
        <v>824</v>
      </c>
      <c r="E1499" s="549" t="s">
        <v>977</v>
      </c>
      <c r="F1499" s="549" t="s">
        <v>1212</v>
      </c>
      <c r="G1499" s="549">
        <v>392</v>
      </c>
      <c r="H1499" s="549" t="s">
        <v>823</v>
      </c>
      <c r="I1499" s="549" t="s">
        <v>976</v>
      </c>
      <c r="J1499" s="549" t="s">
        <v>976</v>
      </c>
      <c r="K1499" s="549" t="s">
        <v>976</v>
      </c>
      <c r="L1499" s="549">
        <v>344086.71</v>
      </c>
      <c r="M1499" s="549">
        <v>25978.55</v>
      </c>
      <c r="N1499" s="549">
        <v>7604.32</v>
      </c>
      <c r="O1499" s="549">
        <v>1984</v>
      </c>
      <c r="P1499" s="549">
        <v>100</v>
      </c>
      <c r="Q1499" s="549">
        <v>35566.870000000003</v>
      </c>
    </row>
    <row r="1500" spans="1:17" x14ac:dyDescent="0.25">
      <c r="A1500" s="549" t="s">
        <v>1018</v>
      </c>
      <c r="B1500" s="549" t="s">
        <v>1019</v>
      </c>
      <c r="C1500" s="549" t="s">
        <v>823</v>
      </c>
      <c r="D1500" s="549" t="s">
        <v>824</v>
      </c>
      <c r="E1500" s="549" t="s">
        <v>977</v>
      </c>
      <c r="F1500" s="549" t="s">
        <v>1212</v>
      </c>
      <c r="G1500" s="549">
        <v>2272</v>
      </c>
      <c r="H1500" s="549" t="s">
        <v>823</v>
      </c>
      <c r="I1500" s="549" t="s">
        <v>976</v>
      </c>
      <c r="J1500" s="549" t="s">
        <v>976</v>
      </c>
      <c r="K1500" s="549" t="s">
        <v>976</v>
      </c>
      <c r="L1500" s="549">
        <v>91839.02</v>
      </c>
      <c r="M1500" s="549">
        <v>6933.85</v>
      </c>
      <c r="N1500" s="549">
        <v>2029.64</v>
      </c>
      <c r="O1500" s="549">
        <v>992</v>
      </c>
      <c r="P1500" s="549">
        <v>100</v>
      </c>
      <c r="Q1500" s="549">
        <v>9955.49</v>
      </c>
    </row>
    <row r="1501" spans="1:17" x14ac:dyDescent="0.25">
      <c r="A1501" s="549" t="s">
        <v>1018</v>
      </c>
      <c r="B1501" s="549" t="s">
        <v>1019</v>
      </c>
      <c r="C1501" s="549" t="s">
        <v>823</v>
      </c>
      <c r="D1501" s="549" t="s">
        <v>824</v>
      </c>
      <c r="E1501" s="549" t="s">
        <v>977</v>
      </c>
      <c r="F1501" s="549" t="s">
        <v>1212</v>
      </c>
      <c r="G1501" s="549">
        <v>2282</v>
      </c>
      <c r="H1501" s="549" t="s">
        <v>823</v>
      </c>
      <c r="I1501" s="549" t="s">
        <v>976</v>
      </c>
      <c r="J1501" s="549" t="s">
        <v>976</v>
      </c>
      <c r="K1501" s="549" t="s">
        <v>976</v>
      </c>
      <c r="L1501" s="549">
        <v>91839.02</v>
      </c>
      <c r="M1501" s="549">
        <v>6933.85</v>
      </c>
      <c r="N1501" s="549">
        <v>2029.64</v>
      </c>
      <c r="O1501" s="549">
        <v>992</v>
      </c>
      <c r="P1501" s="549">
        <v>100</v>
      </c>
      <c r="Q1501" s="549">
        <v>9955.49</v>
      </c>
    </row>
    <row r="1502" spans="1:17" x14ac:dyDescent="0.25">
      <c r="A1502" s="549" t="s">
        <v>1018</v>
      </c>
      <c r="B1502" s="549" t="s">
        <v>1019</v>
      </c>
      <c r="C1502" s="549" t="s">
        <v>823</v>
      </c>
      <c r="D1502" s="549" t="s">
        <v>824</v>
      </c>
      <c r="E1502" s="549" t="s">
        <v>977</v>
      </c>
      <c r="F1502" s="549" t="s">
        <v>1212</v>
      </c>
      <c r="G1502" s="549">
        <v>2292</v>
      </c>
      <c r="H1502" s="549" t="s">
        <v>823</v>
      </c>
      <c r="I1502" s="549" t="s">
        <v>976</v>
      </c>
      <c r="J1502" s="549" t="s">
        <v>976</v>
      </c>
      <c r="K1502" s="549" t="s">
        <v>976</v>
      </c>
      <c r="L1502" s="549">
        <v>98189.9</v>
      </c>
      <c r="M1502" s="549">
        <v>7413.34</v>
      </c>
      <c r="N1502" s="549">
        <v>2170</v>
      </c>
      <c r="O1502" s="549">
        <v>992</v>
      </c>
      <c r="P1502" s="549">
        <v>100</v>
      </c>
      <c r="Q1502" s="549">
        <v>10575.34</v>
      </c>
    </row>
    <row r="1503" spans="1:17" x14ac:dyDescent="0.25">
      <c r="A1503" s="549" t="s">
        <v>1018</v>
      </c>
      <c r="B1503" s="549" t="s">
        <v>1019</v>
      </c>
      <c r="C1503" s="549" t="s">
        <v>823</v>
      </c>
      <c r="D1503" s="549" t="s">
        <v>824</v>
      </c>
      <c r="E1503" s="549" t="s">
        <v>977</v>
      </c>
      <c r="F1503" s="549" t="s">
        <v>1212</v>
      </c>
      <c r="G1503" s="549">
        <v>2308</v>
      </c>
      <c r="H1503" s="549" t="s">
        <v>823</v>
      </c>
      <c r="I1503" s="549" t="s">
        <v>976</v>
      </c>
      <c r="J1503" s="549" t="s">
        <v>976</v>
      </c>
      <c r="K1503" s="549" t="s">
        <v>976</v>
      </c>
      <c r="L1503" s="549">
        <v>105387.56</v>
      </c>
      <c r="M1503" s="549">
        <v>7956.76</v>
      </c>
      <c r="N1503" s="549">
        <v>2329.0700000000002</v>
      </c>
      <c r="O1503" s="549">
        <v>992</v>
      </c>
      <c r="P1503" s="549">
        <v>100</v>
      </c>
      <c r="Q1503" s="549">
        <v>11277.83</v>
      </c>
    </row>
    <row r="1504" spans="1:17" x14ac:dyDescent="0.25">
      <c r="A1504" s="549" t="s">
        <v>1018</v>
      </c>
      <c r="B1504" s="549" t="s">
        <v>1019</v>
      </c>
      <c r="C1504" s="549" t="s">
        <v>823</v>
      </c>
      <c r="D1504" s="549" t="s">
        <v>824</v>
      </c>
      <c r="E1504" s="549" t="s">
        <v>977</v>
      </c>
      <c r="F1504" s="549" t="s">
        <v>1212</v>
      </c>
      <c r="G1504" s="549">
        <v>2312</v>
      </c>
      <c r="H1504" s="549" t="s">
        <v>823</v>
      </c>
      <c r="I1504" s="549" t="s">
        <v>976</v>
      </c>
      <c r="J1504" s="549" t="s">
        <v>976</v>
      </c>
      <c r="K1504" s="549" t="s">
        <v>976</v>
      </c>
      <c r="L1504" s="549">
        <v>98189.9</v>
      </c>
      <c r="M1504" s="549">
        <v>7413.34</v>
      </c>
      <c r="N1504" s="549">
        <v>2170</v>
      </c>
      <c r="O1504" s="549">
        <v>992</v>
      </c>
      <c r="P1504" s="549">
        <v>100</v>
      </c>
      <c r="Q1504" s="549">
        <v>10575.34</v>
      </c>
    </row>
    <row r="1505" spans="1:17" x14ac:dyDescent="0.25">
      <c r="A1505" s="549" t="s">
        <v>1018</v>
      </c>
      <c r="B1505" s="549" t="s">
        <v>1019</v>
      </c>
      <c r="C1505" s="549" t="s">
        <v>823</v>
      </c>
      <c r="D1505" s="549" t="s">
        <v>824</v>
      </c>
      <c r="E1505" s="549" t="s">
        <v>977</v>
      </c>
      <c r="F1505" s="549" t="s">
        <v>1212</v>
      </c>
      <c r="G1505" s="549">
        <v>2322</v>
      </c>
      <c r="H1505" s="549" t="s">
        <v>823</v>
      </c>
      <c r="I1505" s="549" t="s">
        <v>976</v>
      </c>
      <c r="J1505" s="549" t="s">
        <v>976</v>
      </c>
      <c r="K1505" s="549" t="s">
        <v>976</v>
      </c>
      <c r="L1505" s="549">
        <v>0.02</v>
      </c>
      <c r="M1505" s="549">
        <v>0</v>
      </c>
      <c r="N1505" s="549">
        <v>0</v>
      </c>
      <c r="O1505" s="549">
        <v>992</v>
      </c>
      <c r="P1505" s="549">
        <v>100</v>
      </c>
      <c r="Q1505" s="549">
        <v>992</v>
      </c>
    </row>
    <row r="1506" spans="1:17" x14ac:dyDescent="0.25">
      <c r="A1506" s="549" t="s">
        <v>1018</v>
      </c>
      <c r="B1506" s="549" t="s">
        <v>1019</v>
      </c>
      <c r="C1506" s="549" t="s">
        <v>823</v>
      </c>
      <c r="D1506" s="549" t="s">
        <v>824</v>
      </c>
      <c r="E1506" s="549" t="s">
        <v>977</v>
      </c>
      <c r="F1506" s="549" t="s">
        <v>1212</v>
      </c>
      <c r="G1506" s="549">
        <v>2332</v>
      </c>
      <c r="H1506" s="549" t="s">
        <v>823</v>
      </c>
      <c r="I1506" s="549" t="s">
        <v>976</v>
      </c>
      <c r="J1506" s="549" t="s">
        <v>976</v>
      </c>
      <c r="K1506" s="549" t="s">
        <v>976</v>
      </c>
      <c r="L1506" s="549">
        <v>91839.02</v>
      </c>
      <c r="M1506" s="549">
        <v>6933.85</v>
      </c>
      <c r="N1506" s="549">
        <v>2029.64</v>
      </c>
      <c r="O1506" s="549">
        <v>992</v>
      </c>
      <c r="P1506" s="549">
        <v>100</v>
      </c>
      <c r="Q1506" s="549">
        <v>9955.49</v>
      </c>
    </row>
    <row r="1507" spans="1:17" x14ac:dyDescent="0.25">
      <c r="A1507" s="549" t="s">
        <v>1018</v>
      </c>
      <c r="B1507" s="549" t="s">
        <v>1019</v>
      </c>
      <c r="C1507" s="549" t="s">
        <v>823</v>
      </c>
      <c r="D1507" s="549" t="s">
        <v>824</v>
      </c>
      <c r="E1507" s="549" t="s">
        <v>977</v>
      </c>
      <c r="F1507" s="549" t="s">
        <v>1212</v>
      </c>
      <c r="G1507" s="549">
        <v>2702</v>
      </c>
      <c r="H1507" s="549" t="s">
        <v>823</v>
      </c>
      <c r="I1507" s="549" t="s">
        <v>976</v>
      </c>
      <c r="J1507" s="549" t="s">
        <v>976</v>
      </c>
      <c r="K1507" s="549" t="s">
        <v>976</v>
      </c>
      <c r="L1507" s="549">
        <v>73527.31</v>
      </c>
      <c r="M1507" s="549">
        <v>5551.31</v>
      </c>
      <c r="N1507" s="549">
        <v>1624.95</v>
      </c>
      <c r="O1507" s="549">
        <v>992</v>
      </c>
      <c r="P1507" s="549">
        <v>100</v>
      </c>
      <c r="Q1507" s="549">
        <v>8168.26</v>
      </c>
    </row>
    <row r="1508" spans="1:17" x14ac:dyDescent="0.25">
      <c r="A1508" s="549" t="s">
        <v>1018</v>
      </c>
      <c r="B1508" s="549" t="s">
        <v>1019</v>
      </c>
      <c r="C1508" s="549" t="s">
        <v>823</v>
      </c>
      <c r="D1508" s="549" t="s">
        <v>824</v>
      </c>
      <c r="E1508" s="549" t="s">
        <v>977</v>
      </c>
      <c r="F1508" s="549" t="s">
        <v>1212</v>
      </c>
      <c r="G1508" s="549">
        <v>2712</v>
      </c>
      <c r="H1508" s="549" t="s">
        <v>823</v>
      </c>
      <c r="I1508" s="549" t="s">
        <v>976</v>
      </c>
      <c r="J1508" s="549" t="s">
        <v>976</v>
      </c>
      <c r="K1508" s="549" t="s">
        <v>976</v>
      </c>
      <c r="L1508" s="549">
        <v>73527.31</v>
      </c>
      <c r="M1508" s="549">
        <v>5551.31</v>
      </c>
      <c r="N1508" s="549">
        <v>1624.95</v>
      </c>
      <c r="O1508" s="549">
        <v>992</v>
      </c>
      <c r="P1508" s="549">
        <v>100</v>
      </c>
      <c r="Q1508" s="549">
        <v>8168.26</v>
      </c>
    </row>
    <row r="1509" spans="1:17" x14ac:dyDescent="0.25">
      <c r="A1509" s="549" t="s">
        <v>1018</v>
      </c>
      <c r="B1509" s="549" t="s">
        <v>1019</v>
      </c>
      <c r="C1509" s="549" t="s">
        <v>823</v>
      </c>
      <c r="D1509" s="549" t="s">
        <v>824</v>
      </c>
      <c r="E1509" s="549" t="s">
        <v>977</v>
      </c>
      <c r="F1509" s="549" t="s">
        <v>1212</v>
      </c>
      <c r="G1509" s="549">
        <v>2722</v>
      </c>
      <c r="H1509" s="549" t="s">
        <v>823</v>
      </c>
      <c r="I1509" s="549" t="s">
        <v>976</v>
      </c>
      <c r="J1509" s="549" t="s">
        <v>976</v>
      </c>
      <c r="K1509" s="549" t="s">
        <v>976</v>
      </c>
      <c r="L1509" s="549">
        <v>73527.31</v>
      </c>
      <c r="M1509" s="549">
        <v>5551.31</v>
      </c>
      <c r="N1509" s="549">
        <v>1624.95</v>
      </c>
      <c r="O1509" s="549">
        <v>992</v>
      </c>
      <c r="P1509" s="549">
        <v>100</v>
      </c>
      <c r="Q1509" s="549">
        <v>8168.26</v>
      </c>
    </row>
    <row r="1510" spans="1:17" x14ac:dyDescent="0.25">
      <c r="A1510" s="549" t="s">
        <v>1018</v>
      </c>
      <c r="B1510" s="549" t="s">
        <v>1019</v>
      </c>
      <c r="C1510" s="549" t="s">
        <v>823</v>
      </c>
      <c r="D1510" s="549" t="s">
        <v>824</v>
      </c>
      <c r="E1510" s="549" t="s">
        <v>977</v>
      </c>
      <c r="F1510" s="549" t="s">
        <v>1212</v>
      </c>
      <c r="G1510" s="549">
        <v>2732</v>
      </c>
      <c r="H1510" s="549" t="s">
        <v>823</v>
      </c>
      <c r="I1510" s="549" t="s">
        <v>976</v>
      </c>
      <c r="J1510" s="549" t="s">
        <v>976</v>
      </c>
      <c r="K1510" s="549" t="s">
        <v>976</v>
      </c>
      <c r="L1510" s="549">
        <v>73527.31</v>
      </c>
      <c r="M1510" s="549">
        <v>5551.31</v>
      </c>
      <c r="N1510" s="549">
        <v>1624.95</v>
      </c>
      <c r="O1510" s="549">
        <v>992</v>
      </c>
      <c r="P1510" s="549">
        <v>100</v>
      </c>
      <c r="Q1510" s="549">
        <v>8168.26</v>
      </c>
    </row>
    <row r="1511" spans="1:17" x14ac:dyDescent="0.25">
      <c r="A1511" s="549" t="s">
        <v>1018</v>
      </c>
      <c r="B1511" s="549" t="s">
        <v>1019</v>
      </c>
      <c r="C1511" s="549" t="s">
        <v>823</v>
      </c>
      <c r="D1511" s="549" t="s">
        <v>824</v>
      </c>
      <c r="E1511" s="549" t="s">
        <v>977</v>
      </c>
      <c r="F1511" s="549" t="s">
        <v>1212</v>
      </c>
      <c r="G1511" s="549">
        <v>2742</v>
      </c>
      <c r="H1511" s="549" t="s">
        <v>823</v>
      </c>
      <c r="I1511" s="549" t="s">
        <v>976</v>
      </c>
      <c r="J1511" s="549" t="s">
        <v>976</v>
      </c>
      <c r="K1511" s="549" t="s">
        <v>976</v>
      </c>
      <c r="L1511" s="549">
        <v>73527.31</v>
      </c>
      <c r="M1511" s="549">
        <v>5551.31</v>
      </c>
      <c r="N1511" s="549">
        <v>1624.95</v>
      </c>
      <c r="O1511" s="549">
        <v>992</v>
      </c>
      <c r="P1511" s="549">
        <v>100</v>
      </c>
      <c r="Q1511" s="549">
        <v>8168.26</v>
      </c>
    </row>
    <row r="1512" spans="1:17" x14ac:dyDescent="0.25">
      <c r="A1512" s="549" t="s">
        <v>1018</v>
      </c>
      <c r="B1512" s="549" t="s">
        <v>1019</v>
      </c>
      <c r="C1512" s="549" t="s">
        <v>823</v>
      </c>
      <c r="D1512" s="549" t="s">
        <v>824</v>
      </c>
      <c r="E1512" s="549" t="s">
        <v>977</v>
      </c>
      <c r="F1512" s="549" t="s">
        <v>1212</v>
      </c>
      <c r="G1512" s="549">
        <v>2752</v>
      </c>
      <c r="H1512" s="549" t="s">
        <v>823</v>
      </c>
      <c r="I1512" s="549" t="s">
        <v>976</v>
      </c>
      <c r="J1512" s="549" t="s">
        <v>976</v>
      </c>
      <c r="K1512" s="549" t="s">
        <v>976</v>
      </c>
      <c r="L1512" s="549">
        <v>73527.31</v>
      </c>
      <c r="M1512" s="549">
        <v>5551.31</v>
      </c>
      <c r="N1512" s="549">
        <v>1624.95</v>
      </c>
      <c r="O1512" s="549">
        <v>992</v>
      </c>
      <c r="P1512" s="549">
        <v>100</v>
      </c>
      <c r="Q1512" s="549">
        <v>8168.26</v>
      </c>
    </row>
    <row r="1513" spans="1:17" x14ac:dyDescent="0.25">
      <c r="A1513" s="549" t="s">
        <v>1018</v>
      </c>
      <c r="B1513" s="549" t="s">
        <v>1019</v>
      </c>
      <c r="C1513" s="549" t="s">
        <v>823</v>
      </c>
      <c r="D1513" s="549" t="s">
        <v>824</v>
      </c>
      <c r="E1513" s="549" t="s">
        <v>977</v>
      </c>
      <c r="F1513" s="549" t="s">
        <v>1212</v>
      </c>
      <c r="G1513" s="549">
        <v>2762</v>
      </c>
      <c r="H1513" s="549" t="s">
        <v>823</v>
      </c>
      <c r="I1513" s="549" t="s">
        <v>976</v>
      </c>
      <c r="J1513" s="549" t="s">
        <v>976</v>
      </c>
      <c r="K1513" s="549" t="s">
        <v>976</v>
      </c>
      <c r="L1513" s="549">
        <v>73527.31</v>
      </c>
      <c r="M1513" s="549">
        <v>5551.31</v>
      </c>
      <c r="N1513" s="549">
        <v>1624.95</v>
      </c>
      <c r="O1513" s="549">
        <v>992</v>
      </c>
      <c r="P1513" s="549">
        <v>100</v>
      </c>
      <c r="Q1513" s="549">
        <v>8168.26</v>
      </c>
    </row>
    <row r="1514" spans="1:17" x14ac:dyDescent="0.25">
      <c r="A1514" s="549" t="s">
        <v>1018</v>
      </c>
      <c r="B1514" s="549" t="s">
        <v>1019</v>
      </c>
      <c r="C1514" s="549" t="s">
        <v>823</v>
      </c>
      <c r="D1514" s="549" t="s">
        <v>824</v>
      </c>
      <c r="E1514" s="549" t="s">
        <v>977</v>
      </c>
      <c r="F1514" s="549" t="s">
        <v>1212</v>
      </c>
      <c r="G1514" s="549">
        <v>2778</v>
      </c>
      <c r="H1514" s="549" t="s">
        <v>823</v>
      </c>
      <c r="I1514" s="549" t="s">
        <v>976</v>
      </c>
      <c r="J1514" s="549" t="s">
        <v>976</v>
      </c>
      <c r="K1514" s="549" t="s">
        <v>976</v>
      </c>
      <c r="L1514" s="549">
        <v>75220.88</v>
      </c>
      <c r="M1514" s="549">
        <v>5679.18</v>
      </c>
      <c r="N1514" s="549">
        <v>1662.38</v>
      </c>
      <c r="O1514" s="549">
        <v>992</v>
      </c>
      <c r="P1514" s="549">
        <v>100</v>
      </c>
      <c r="Q1514" s="549">
        <v>8333.56</v>
      </c>
    </row>
    <row r="1515" spans="1:17" x14ac:dyDescent="0.25">
      <c r="A1515" s="549" t="s">
        <v>1018</v>
      </c>
      <c r="B1515" s="549" t="s">
        <v>1019</v>
      </c>
      <c r="C1515" s="549" t="s">
        <v>823</v>
      </c>
      <c r="D1515" s="549" t="s">
        <v>824</v>
      </c>
      <c r="E1515" s="549" t="s">
        <v>977</v>
      </c>
      <c r="F1515" s="549" t="s">
        <v>1212</v>
      </c>
      <c r="G1515" s="549">
        <v>2782</v>
      </c>
      <c r="H1515" s="549" t="s">
        <v>823</v>
      </c>
      <c r="I1515" s="549" t="s">
        <v>976</v>
      </c>
      <c r="J1515" s="549" t="s">
        <v>976</v>
      </c>
      <c r="K1515" s="549" t="s">
        <v>976</v>
      </c>
      <c r="L1515" s="549">
        <v>73527.31</v>
      </c>
      <c r="M1515" s="549">
        <v>5551.31</v>
      </c>
      <c r="N1515" s="549">
        <v>1624.95</v>
      </c>
      <c r="O1515" s="549">
        <v>992</v>
      </c>
      <c r="P1515" s="549">
        <v>100</v>
      </c>
      <c r="Q1515" s="549">
        <v>8168.26</v>
      </c>
    </row>
    <row r="1516" spans="1:17" x14ac:dyDescent="0.25">
      <c r="A1516" s="549" t="s">
        <v>1018</v>
      </c>
      <c r="B1516" s="549" t="s">
        <v>1019</v>
      </c>
      <c r="C1516" s="549" t="s">
        <v>823</v>
      </c>
      <c r="D1516" s="549" t="s">
        <v>824</v>
      </c>
      <c r="E1516" s="549" t="s">
        <v>977</v>
      </c>
      <c r="F1516" s="549" t="s">
        <v>1212</v>
      </c>
      <c r="G1516" s="549">
        <v>2792</v>
      </c>
      <c r="H1516" s="549" t="s">
        <v>823</v>
      </c>
      <c r="I1516" s="549" t="s">
        <v>976</v>
      </c>
      <c r="J1516" s="549" t="s">
        <v>976</v>
      </c>
      <c r="K1516" s="549" t="s">
        <v>976</v>
      </c>
      <c r="L1516" s="549">
        <v>77761.23</v>
      </c>
      <c r="M1516" s="549">
        <v>5870.97</v>
      </c>
      <c r="N1516" s="549">
        <v>1718.52</v>
      </c>
      <c r="O1516" s="549">
        <v>992</v>
      </c>
      <c r="P1516" s="549">
        <v>100</v>
      </c>
      <c r="Q1516" s="549">
        <v>8581.49</v>
      </c>
    </row>
    <row r="1517" spans="1:17" x14ac:dyDescent="0.25">
      <c r="A1517" s="549" t="s">
        <v>1018</v>
      </c>
      <c r="B1517" s="549" t="s">
        <v>1019</v>
      </c>
      <c r="C1517" s="549" t="s">
        <v>823</v>
      </c>
      <c r="D1517" s="549" t="s">
        <v>824</v>
      </c>
      <c r="E1517" s="549" t="s">
        <v>977</v>
      </c>
      <c r="F1517" s="549" t="s">
        <v>1212</v>
      </c>
      <c r="G1517" s="549">
        <v>2802</v>
      </c>
      <c r="H1517" s="549" t="s">
        <v>823</v>
      </c>
      <c r="I1517" s="549" t="s">
        <v>976</v>
      </c>
      <c r="J1517" s="549" t="s">
        <v>976</v>
      </c>
      <c r="K1517" s="549" t="s">
        <v>976</v>
      </c>
      <c r="L1517" s="549">
        <v>73527.31</v>
      </c>
      <c r="M1517" s="549">
        <v>5551.31</v>
      </c>
      <c r="N1517" s="549">
        <v>1624.95</v>
      </c>
      <c r="O1517" s="549">
        <v>992</v>
      </c>
      <c r="P1517" s="549">
        <v>100</v>
      </c>
      <c r="Q1517" s="549">
        <v>8168.26</v>
      </c>
    </row>
    <row r="1518" spans="1:17" x14ac:dyDescent="0.25">
      <c r="A1518" s="549" t="s">
        <v>1018</v>
      </c>
      <c r="B1518" s="549" t="s">
        <v>1019</v>
      </c>
      <c r="C1518" s="549" t="s">
        <v>823</v>
      </c>
      <c r="D1518" s="549" t="s">
        <v>824</v>
      </c>
      <c r="E1518" s="549" t="s">
        <v>977</v>
      </c>
      <c r="F1518" s="549" t="s">
        <v>1212</v>
      </c>
      <c r="G1518" s="549">
        <v>2812</v>
      </c>
      <c r="H1518" s="549" t="s">
        <v>823</v>
      </c>
      <c r="I1518" s="549" t="s">
        <v>976</v>
      </c>
      <c r="J1518" s="549" t="s">
        <v>976</v>
      </c>
      <c r="K1518" s="549" t="s">
        <v>976</v>
      </c>
      <c r="L1518" s="549">
        <v>73527.31</v>
      </c>
      <c r="M1518" s="549">
        <v>5551.31</v>
      </c>
      <c r="N1518" s="549">
        <v>1624.95</v>
      </c>
      <c r="O1518" s="549">
        <v>992</v>
      </c>
      <c r="P1518" s="549">
        <v>100</v>
      </c>
      <c r="Q1518" s="549">
        <v>8168.26</v>
      </c>
    </row>
    <row r="1519" spans="1:17" x14ac:dyDescent="0.25">
      <c r="A1519" s="549" t="s">
        <v>1018</v>
      </c>
      <c r="B1519" s="549" t="s">
        <v>1019</v>
      </c>
      <c r="C1519" s="549" t="s">
        <v>823</v>
      </c>
      <c r="D1519" s="549" t="s">
        <v>824</v>
      </c>
      <c r="E1519" s="549" t="s">
        <v>977</v>
      </c>
      <c r="F1519" s="549" t="s">
        <v>1212</v>
      </c>
      <c r="G1519" s="549">
        <v>2822</v>
      </c>
      <c r="H1519" s="549" t="s">
        <v>823</v>
      </c>
      <c r="I1519" s="549" t="s">
        <v>976</v>
      </c>
      <c r="J1519" s="549" t="s">
        <v>976</v>
      </c>
      <c r="K1519" s="549" t="s">
        <v>976</v>
      </c>
      <c r="L1519" s="549">
        <v>73527.31</v>
      </c>
      <c r="M1519" s="549">
        <v>5551.31</v>
      </c>
      <c r="N1519" s="549">
        <v>1624.95</v>
      </c>
      <c r="O1519" s="549">
        <v>992</v>
      </c>
      <c r="P1519" s="549">
        <v>100</v>
      </c>
      <c r="Q1519" s="549">
        <v>8168.26</v>
      </c>
    </row>
    <row r="1520" spans="1:17" x14ac:dyDescent="0.25">
      <c r="A1520" s="549" t="s">
        <v>1018</v>
      </c>
      <c r="B1520" s="549" t="s">
        <v>1019</v>
      </c>
      <c r="C1520" s="549" t="s">
        <v>823</v>
      </c>
      <c r="D1520" s="549" t="s">
        <v>824</v>
      </c>
      <c r="E1520" s="549" t="s">
        <v>977</v>
      </c>
      <c r="F1520" s="549" t="s">
        <v>1212</v>
      </c>
      <c r="G1520" s="549">
        <v>2832</v>
      </c>
      <c r="H1520" s="549" t="s">
        <v>823</v>
      </c>
      <c r="I1520" s="549" t="s">
        <v>976</v>
      </c>
      <c r="J1520" s="549" t="s">
        <v>976</v>
      </c>
      <c r="K1520" s="549" t="s">
        <v>976</v>
      </c>
      <c r="L1520" s="549">
        <v>73527.31</v>
      </c>
      <c r="M1520" s="549">
        <v>5551.31</v>
      </c>
      <c r="N1520" s="549">
        <v>1624.95</v>
      </c>
      <c r="O1520" s="549">
        <v>992</v>
      </c>
      <c r="P1520" s="549">
        <v>100</v>
      </c>
      <c r="Q1520" s="549">
        <v>8168.26</v>
      </c>
    </row>
    <row r="1521" spans="1:17" x14ac:dyDescent="0.25">
      <c r="A1521" s="549" t="s">
        <v>1018</v>
      </c>
      <c r="B1521" s="549" t="s">
        <v>1019</v>
      </c>
      <c r="C1521" s="549" t="s">
        <v>823</v>
      </c>
      <c r="D1521" s="549" t="s">
        <v>824</v>
      </c>
      <c r="E1521" s="549" t="s">
        <v>977</v>
      </c>
      <c r="F1521" s="549" t="s">
        <v>1212</v>
      </c>
      <c r="G1521" s="549">
        <v>2842</v>
      </c>
      <c r="H1521" s="549" t="s">
        <v>823</v>
      </c>
      <c r="I1521" s="549" t="s">
        <v>976</v>
      </c>
      <c r="J1521" s="549" t="s">
        <v>976</v>
      </c>
      <c r="K1521" s="549" t="s">
        <v>976</v>
      </c>
      <c r="L1521" s="549">
        <v>0.02</v>
      </c>
      <c r="M1521" s="549">
        <v>0</v>
      </c>
      <c r="N1521" s="549">
        <v>0</v>
      </c>
      <c r="O1521" s="549">
        <v>992</v>
      </c>
      <c r="P1521" s="549">
        <v>100</v>
      </c>
      <c r="Q1521" s="549">
        <v>992</v>
      </c>
    </row>
    <row r="1522" spans="1:17" x14ac:dyDescent="0.25">
      <c r="A1522" s="549" t="s">
        <v>1018</v>
      </c>
      <c r="B1522" s="549" t="s">
        <v>1019</v>
      </c>
      <c r="C1522" s="549" t="s">
        <v>823</v>
      </c>
      <c r="D1522" s="549" t="s">
        <v>824</v>
      </c>
      <c r="E1522" s="549" t="s">
        <v>977</v>
      </c>
      <c r="F1522" s="549" t="s">
        <v>1212</v>
      </c>
      <c r="G1522" s="549" t="s">
        <v>1321</v>
      </c>
      <c r="H1522" s="549" t="s">
        <v>823</v>
      </c>
      <c r="I1522" s="549" t="s">
        <v>976</v>
      </c>
      <c r="J1522" s="549" t="s">
        <v>976</v>
      </c>
      <c r="K1522" s="549" t="s">
        <v>976</v>
      </c>
      <c r="L1522" s="549">
        <v>64127.31</v>
      </c>
      <c r="M1522" s="549">
        <v>4841.6099999999997</v>
      </c>
      <c r="N1522" s="549">
        <v>1417.21</v>
      </c>
      <c r="O1522" s="549">
        <v>1984</v>
      </c>
      <c r="P1522" s="549">
        <v>100</v>
      </c>
      <c r="Q1522" s="549">
        <v>8242.82</v>
      </c>
    </row>
    <row r="1523" spans="1:17" x14ac:dyDescent="0.25">
      <c r="A1523" s="549" t="s">
        <v>1018</v>
      </c>
      <c r="B1523" s="549" t="s">
        <v>1019</v>
      </c>
      <c r="C1523" s="549" t="s">
        <v>823</v>
      </c>
      <c r="D1523" s="549" t="s">
        <v>824</v>
      </c>
      <c r="E1523" s="549" t="s">
        <v>977</v>
      </c>
      <c r="F1523" s="549" t="s">
        <v>1212</v>
      </c>
      <c r="G1523" s="549" t="s">
        <v>1235</v>
      </c>
      <c r="H1523" s="549" t="s">
        <v>823</v>
      </c>
      <c r="I1523" s="549" t="s">
        <v>976</v>
      </c>
      <c r="J1523" s="549" t="s">
        <v>976</v>
      </c>
      <c r="K1523" s="549" t="s">
        <v>976</v>
      </c>
      <c r="L1523" s="549">
        <v>171401.8</v>
      </c>
      <c r="M1523" s="549">
        <v>12940.84</v>
      </c>
      <c r="N1523" s="549">
        <v>3787.98</v>
      </c>
      <c r="O1523" s="549">
        <v>992</v>
      </c>
      <c r="P1523" s="549">
        <v>100</v>
      </c>
      <c r="Q1523" s="549">
        <v>17720.82</v>
      </c>
    </row>
    <row r="1524" spans="1:17" x14ac:dyDescent="0.25">
      <c r="A1524" s="549" t="s">
        <v>1018</v>
      </c>
      <c r="B1524" s="549" t="s">
        <v>1019</v>
      </c>
      <c r="C1524" s="549" t="s">
        <v>823</v>
      </c>
      <c r="D1524" s="549" t="s">
        <v>824</v>
      </c>
      <c r="E1524" s="549" t="s">
        <v>977</v>
      </c>
      <c r="F1524" s="549" t="s">
        <v>1212</v>
      </c>
      <c r="G1524" s="549" t="s">
        <v>1236</v>
      </c>
      <c r="H1524" s="549" t="s">
        <v>823</v>
      </c>
      <c r="I1524" s="549" t="s">
        <v>976</v>
      </c>
      <c r="J1524" s="549" t="s">
        <v>976</v>
      </c>
      <c r="K1524" s="549" t="s">
        <v>976</v>
      </c>
      <c r="L1524" s="549">
        <v>171401.8</v>
      </c>
      <c r="M1524" s="549">
        <v>12940.84</v>
      </c>
      <c r="N1524" s="549">
        <v>3787.98</v>
      </c>
      <c r="O1524" s="549">
        <v>992</v>
      </c>
      <c r="P1524" s="549">
        <v>100</v>
      </c>
      <c r="Q1524" s="549">
        <v>17720.82</v>
      </c>
    </row>
    <row r="1525" spans="1:17" x14ac:dyDescent="0.25">
      <c r="A1525" s="549" t="s">
        <v>1018</v>
      </c>
      <c r="B1525" s="549" t="s">
        <v>1019</v>
      </c>
      <c r="C1525" s="549" t="s">
        <v>823</v>
      </c>
      <c r="D1525" s="549" t="s">
        <v>824</v>
      </c>
      <c r="E1525" s="549" t="s">
        <v>977</v>
      </c>
      <c r="F1525" s="549" t="s">
        <v>1212</v>
      </c>
      <c r="G1525" s="549" t="s">
        <v>1322</v>
      </c>
      <c r="H1525" s="549" t="s">
        <v>823</v>
      </c>
      <c r="I1525" s="549" t="s">
        <v>976</v>
      </c>
      <c r="J1525" s="549" t="s">
        <v>976</v>
      </c>
      <c r="K1525" s="549" t="s">
        <v>976</v>
      </c>
      <c r="L1525" s="549">
        <v>31102.38</v>
      </c>
      <c r="M1525" s="549">
        <v>2348.23</v>
      </c>
      <c r="N1525" s="549">
        <v>687.36</v>
      </c>
      <c r="O1525" s="549">
        <v>0</v>
      </c>
      <c r="P1525" s="549">
        <v>100</v>
      </c>
      <c r="Q1525" s="549">
        <v>3035.59</v>
      </c>
    </row>
    <row r="1526" spans="1:17" x14ac:dyDescent="0.25">
      <c r="A1526" s="549" t="s">
        <v>1018</v>
      </c>
      <c r="B1526" s="549" t="s">
        <v>1019</v>
      </c>
      <c r="C1526" s="549" t="s">
        <v>823</v>
      </c>
      <c r="D1526" s="549" t="s">
        <v>824</v>
      </c>
      <c r="E1526" s="549" t="s">
        <v>977</v>
      </c>
      <c r="F1526" s="549" t="s">
        <v>1212</v>
      </c>
      <c r="G1526" s="549" t="s">
        <v>1323</v>
      </c>
      <c r="H1526" s="549" t="s">
        <v>823</v>
      </c>
      <c r="I1526" s="549" t="s">
        <v>976</v>
      </c>
      <c r="J1526" s="549" t="s">
        <v>976</v>
      </c>
      <c r="K1526" s="549" t="s">
        <v>976</v>
      </c>
      <c r="L1526" s="549">
        <v>31102.38</v>
      </c>
      <c r="M1526" s="549">
        <v>2348.23</v>
      </c>
      <c r="N1526" s="549">
        <v>687.36</v>
      </c>
      <c r="O1526" s="549">
        <v>0</v>
      </c>
      <c r="P1526" s="549">
        <v>100</v>
      </c>
      <c r="Q1526" s="549">
        <v>3035.59</v>
      </c>
    </row>
    <row r="1527" spans="1:17" x14ac:dyDescent="0.25">
      <c r="A1527" s="549" t="s">
        <v>1018</v>
      </c>
      <c r="B1527" s="549" t="s">
        <v>1019</v>
      </c>
      <c r="C1527" s="549" t="s">
        <v>823</v>
      </c>
      <c r="D1527" s="549" t="s">
        <v>824</v>
      </c>
      <c r="E1527" s="549" t="s">
        <v>977</v>
      </c>
      <c r="F1527" s="549" t="s">
        <v>1212</v>
      </c>
      <c r="G1527" s="549" t="s">
        <v>1324</v>
      </c>
      <c r="H1527" s="549" t="s">
        <v>823</v>
      </c>
      <c r="I1527" s="549" t="s">
        <v>976</v>
      </c>
      <c r="J1527" s="549" t="s">
        <v>976</v>
      </c>
      <c r="K1527" s="549" t="s">
        <v>976</v>
      </c>
      <c r="L1527" s="549">
        <v>31102.38</v>
      </c>
      <c r="M1527" s="549">
        <v>2348.23</v>
      </c>
      <c r="N1527" s="549">
        <v>687.36</v>
      </c>
      <c r="O1527" s="549">
        <v>0</v>
      </c>
      <c r="P1527" s="549">
        <v>100</v>
      </c>
      <c r="Q1527" s="549">
        <v>3035.59</v>
      </c>
    </row>
    <row r="1528" spans="1:17" x14ac:dyDescent="0.25">
      <c r="A1528" s="549" t="s">
        <v>1018</v>
      </c>
      <c r="B1528" s="549" t="s">
        <v>1019</v>
      </c>
      <c r="C1528" s="549" t="s">
        <v>823</v>
      </c>
      <c r="D1528" s="549" t="s">
        <v>824</v>
      </c>
      <c r="E1528" s="549" t="s">
        <v>977</v>
      </c>
      <c r="F1528" s="549" t="s">
        <v>1212</v>
      </c>
      <c r="G1528" s="549" t="s">
        <v>1325</v>
      </c>
      <c r="H1528" s="549" t="s">
        <v>823</v>
      </c>
      <c r="I1528" s="549" t="s">
        <v>976</v>
      </c>
      <c r="J1528" s="549" t="s">
        <v>976</v>
      </c>
      <c r="K1528" s="549" t="s">
        <v>976</v>
      </c>
      <c r="L1528" s="549">
        <v>31102.38</v>
      </c>
      <c r="M1528" s="549">
        <v>2348.23</v>
      </c>
      <c r="N1528" s="549">
        <v>687.36</v>
      </c>
      <c r="O1528" s="549">
        <v>0</v>
      </c>
      <c r="P1528" s="549">
        <v>100</v>
      </c>
      <c r="Q1528" s="549">
        <v>3035.59</v>
      </c>
    </row>
    <row r="1529" spans="1:17" x14ac:dyDescent="0.25">
      <c r="A1529" s="549" t="s">
        <v>1018</v>
      </c>
      <c r="B1529" s="549" t="s">
        <v>1019</v>
      </c>
      <c r="C1529" s="549" t="s">
        <v>823</v>
      </c>
      <c r="D1529" s="549" t="s">
        <v>824</v>
      </c>
      <c r="E1529" s="549" t="s">
        <v>977</v>
      </c>
      <c r="F1529" s="549" t="s">
        <v>1212</v>
      </c>
      <c r="G1529" s="549" t="s">
        <v>1319</v>
      </c>
      <c r="H1529" s="549" t="s">
        <v>823</v>
      </c>
      <c r="I1529" s="549" t="s">
        <v>976</v>
      </c>
      <c r="J1529" s="549" t="s">
        <v>976</v>
      </c>
      <c r="K1529" s="549" t="s">
        <v>976</v>
      </c>
      <c r="L1529" s="549">
        <v>46659.92</v>
      </c>
      <c r="M1529" s="549">
        <v>3522.82</v>
      </c>
      <c r="N1529" s="549">
        <v>1031.18</v>
      </c>
      <c r="O1529" s="549">
        <v>0</v>
      </c>
      <c r="P1529" s="549">
        <v>100</v>
      </c>
      <c r="Q1529" s="549">
        <v>4554</v>
      </c>
    </row>
    <row r="1530" spans="1:17" x14ac:dyDescent="0.25">
      <c r="A1530" s="549" t="s">
        <v>1018</v>
      </c>
      <c r="B1530" s="549" t="s">
        <v>1019</v>
      </c>
      <c r="C1530" s="549" t="s">
        <v>823</v>
      </c>
      <c r="D1530" s="549" t="s">
        <v>824</v>
      </c>
      <c r="E1530" s="549" t="s">
        <v>977</v>
      </c>
      <c r="F1530" s="549" t="s">
        <v>1212</v>
      </c>
      <c r="G1530" s="549" t="s">
        <v>1215</v>
      </c>
      <c r="H1530" s="549" t="s">
        <v>823</v>
      </c>
      <c r="I1530" s="549" t="s">
        <v>976</v>
      </c>
      <c r="J1530" s="549" t="s">
        <v>976</v>
      </c>
      <c r="K1530" s="549" t="s">
        <v>976</v>
      </c>
      <c r="L1530" s="549">
        <v>48805.45</v>
      </c>
      <c r="M1530" s="549">
        <v>3684.81</v>
      </c>
      <c r="N1530" s="549">
        <v>1078.5999999999999</v>
      </c>
      <c r="O1530" s="549">
        <v>0</v>
      </c>
      <c r="P1530" s="549">
        <v>100</v>
      </c>
      <c r="Q1530" s="549">
        <v>4763.41</v>
      </c>
    </row>
    <row r="1531" spans="1:17" x14ac:dyDescent="0.25">
      <c r="A1531" s="549" t="s">
        <v>1018</v>
      </c>
      <c r="B1531" s="549" t="s">
        <v>1019</v>
      </c>
      <c r="C1531" s="549" t="s">
        <v>823</v>
      </c>
      <c r="D1531" s="549" t="s">
        <v>824</v>
      </c>
      <c r="E1531" s="549" t="s">
        <v>977</v>
      </c>
      <c r="F1531" s="549" t="s">
        <v>1212</v>
      </c>
      <c r="G1531" s="549" t="s">
        <v>1288</v>
      </c>
      <c r="H1531" s="549" t="s">
        <v>823</v>
      </c>
      <c r="I1531" s="549" t="s">
        <v>976</v>
      </c>
      <c r="J1531" s="549" t="s">
        <v>976</v>
      </c>
      <c r="K1531" s="549" t="s">
        <v>976</v>
      </c>
      <c r="L1531" s="549">
        <v>48805.45</v>
      </c>
      <c r="M1531" s="549">
        <v>3684.81</v>
      </c>
      <c r="N1531" s="549">
        <v>1078.5999999999999</v>
      </c>
      <c r="O1531" s="549">
        <v>0</v>
      </c>
      <c r="P1531" s="549">
        <v>100</v>
      </c>
      <c r="Q1531" s="549">
        <v>4763.41</v>
      </c>
    </row>
    <row r="1532" spans="1:17" x14ac:dyDescent="0.25">
      <c r="A1532" s="549" t="s">
        <v>1018</v>
      </c>
      <c r="B1532" s="549" t="s">
        <v>1019</v>
      </c>
      <c r="C1532" s="549" t="s">
        <v>823</v>
      </c>
      <c r="D1532" s="549" t="s">
        <v>824</v>
      </c>
      <c r="E1532" s="549" t="s">
        <v>977</v>
      </c>
      <c r="F1532" s="549" t="s">
        <v>1212</v>
      </c>
      <c r="G1532" s="549">
        <v>162</v>
      </c>
      <c r="H1532" s="549" t="s">
        <v>814</v>
      </c>
      <c r="I1532" s="549" t="s">
        <v>976</v>
      </c>
      <c r="J1532" s="549" t="s">
        <v>976</v>
      </c>
      <c r="K1532" s="549" t="s">
        <v>976</v>
      </c>
      <c r="L1532" s="549">
        <v>475084.32</v>
      </c>
      <c r="M1532" s="549">
        <v>35868.870000000003</v>
      </c>
      <c r="N1532" s="549">
        <v>10499.36</v>
      </c>
      <c r="O1532" s="549">
        <v>3968</v>
      </c>
      <c r="P1532" s="549">
        <v>100</v>
      </c>
      <c r="Q1532" s="549">
        <v>50336.23</v>
      </c>
    </row>
    <row r="1533" spans="1:17" x14ac:dyDescent="0.25">
      <c r="A1533" s="549" t="s">
        <v>1018</v>
      </c>
      <c r="B1533" s="549" t="s">
        <v>1019</v>
      </c>
      <c r="C1533" s="549" t="s">
        <v>823</v>
      </c>
      <c r="D1533" s="549" t="s">
        <v>824</v>
      </c>
      <c r="E1533" s="549" t="s">
        <v>977</v>
      </c>
      <c r="F1533" s="549" t="s">
        <v>1212</v>
      </c>
      <c r="G1533" s="549">
        <v>182</v>
      </c>
      <c r="H1533" s="549" t="s">
        <v>814</v>
      </c>
      <c r="I1533" s="549" t="s">
        <v>976</v>
      </c>
      <c r="J1533" s="549" t="s">
        <v>976</v>
      </c>
      <c r="K1533" s="549" t="s">
        <v>976</v>
      </c>
      <c r="L1533" s="549">
        <v>475084.32</v>
      </c>
      <c r="M1533" s="549">
        <v>35868.870000000003</v>
      </c>
      <c r="N1533" s="549">
        <v>10499.36</v>
      </c>
      <c r="O1533" s="549">
        <v>3968</v>
      </c>
      <c r="P1533" s="549">
        <v>100</v>
      </c>
      <c r="Q1533" s="549">
        <v>50336.23</v>
      </c>
    </row>
    <row r="1534" spans="1:17" x14ac:dyDescent="0.25">
      <c r="A1534" s="549" t="s">
        <v>1018</v>
      </c>
      <c r="B1534" s="549" t="s">
        <v>1019</v>
      </c>
      <c r="C1534" s="549" t="s">
        <v>814</v>
      </c>
      <c r="D1534" s="549" t="s">
        <v>815</v>
      </c>
      <c r="E1534" s="549" t="s">
        <v>977</v>
      </c>
      <c r="F1534" s="549" t="s">
        <v>1212</v>
      </c>
      <c r="G1534" s="549">
        <v>152</v>
      </c>
      <c r="H1534" s="549" t="s">
        <v>814</v>
      </c>
      <c r="I1534" s="549" t="s">
        <v>976</v>
      </c>
      <c r="J1534" s="549" t="s">
        <v>976</v>
      </c>
      <c r="K1534" s="549" t="s">
        <v>976</v>
      </c>
      <c r="L1534" s="549">
        <v>481984.31</v>
      </c>
      <c r="M1534" s="549">
        <v>36389.82</v>
      </c>
      <c r="N1534" s="549">
        <v>10651.85</v>
      </c>
      <c r="O1534" s="549">
        <v>3968</v>
      </c>
      <c r="P1534" s="549">
        <v>100</v>
      </c>
      <c r="Q1534" s="549">
        <v>51009.67</v>
      </c>
    </row>
    <row r="1535" spans="1:17" x14ac:dyDescent="0.25">
      <c r="A1535" s="549" t="s">
        <v>1027</v>
      </c>
      <c r="B1535" s="549" t="s">
        <v>592</v>
      </c>
      <c r="C1535" s="549" t="s">
        <v>883</v>
      </c>
      <c r="D1535" s="549" t="s">
        <v>884</v>
      </c>
      <c r="E1535" s="549" t="s">
        <v>977</v>
      </c>
      <c r="F1535" s="549" t="s">
        <v>1212</v>
      </c>
      <c r="G1535" s="549" t="s">
        <v>1227</v>
      </c>
      <c r="H1535" s="549" t="s">
        <v>883</v>
      </c>
      <c r="I1535" s="549" t="s">
        <v>976</v>
      </c>
      <c r="J1535" s="549" t="s">
        <v>976</v>
      </c>
      <c r="K1535" s="549" t="s">
        <v>976</v>
      </c>
      <c r="L1535" s="549">
        <v>31410.32</v>
      </c>
      <c r="M1535" s="549">
        <v>2371.48</v>
      </c>
      <c r="N1535" s="549">
        <v>694.17</v>
      </c>
      <c r="O1535" s="549">
        <v>0</v>
      </c>
      <c r="P1535" s="549">
        <v>100</v>
      </c>
      <c r="Q1535" s="549">
        <v>3065.65</v>
      </c>
    </row>
    <row r="1536" spans="1:17" x14ac:dyDescent="0.25">
      <c r="A1536" s="549" t="s">
        <v>1027</v>
      </c>
      <c r="B1536" s="549" t="s">
        <v>592</v>
      </c>
      <c r="C1536" s="549" t="s">
        <v>883</v>
      </c>
      <c r="D1536" s="549" t="s">
        <v>884</v>
      </c>
      <c r="E1536" s="549" t="s">
        <v>977</v>
      </c>
      <c r="F1536" s="549" t="s">
        <v>1212</v>
      </c>
      <c r="G1536" s="549">
        <v>1062</v>
      </c>
      <c r="H1536" s="549" t="s">
        <v>883</v>
      </c>
      <c r="I1536" s="549" t="s">
        <v>976</v>
      </c>
      <c r="J1536" s="549" t="s">
        <v>976</v>
      </c>
      <c r="K1536" s="549" t="s">
        <v>976</v>
      </c>
      <c r="L1536" s="549">
        <v>100742</v>
      </c>
      <c r="M1536" s="549">
        <v>7606.02</v>
      </c>
      <c r="N1536" s="549">
        <v>2226.4</v>
      </c>
      <c r="O1536" s="549">
        <v>1984</v>
      </c>
      <c r="P1536" s="549">
        <v>100</v>
      </c>
      <c r="Q1536" s="549">
        <v>11816.42</v>
      </c>
    </row>
    <row r="1537" spans="1:17" x14ac:dyDescent="0.25">
      <c r="A1537" s="549" t="s">
        <v>1027</v>
      </c>
      <c r="B1537" s="549" t="s">
        <v>592</v>
      </c>
      <c r="C1537" s="549" t="s">
        <v>883</v>
      </c>
      <c r="D1537" s="549" t="s">
        <v>884</v>
      </c>
      <c r="E1537" s="549" t="s">
        <v>977</v>
      </c>
      <c r="F1537" s="549" t="s">
        <v>1212</v>
      </c>
      <c r="G1537" s="549">
        <v>62</v>
      </c>
      <c r="H1537" s="549" t="s">
        <v>883</v>
      </c>
      <c r="I1537" s="549" t="s">
        <v>976</v>
      </c>
      <c r="J1537" s="549" t="s">
        <v>976</v>
      </c>
      <c r="K1537" s="549" t="s">
        <v>976</v>
      </c>
      <c r="L1537" s="549">
        <v>331166.81</v>
      </c>
      <c r="M1537" s="549">
        <v>25003.09</v>
      </c>
      <c r="N1537" s="549">
        <v>7318.79</v>
      </c>
      <c r="O1537" s="549">
        <v>1984</v>
      </c>
      <c r="P1537" s="549">
        <v>100</v>
      </c>
      <c r="Q1537" s="549">
        <v>34305.879999999997</v>
      </c>
    </row>
    <row r="1538" spans="1:17" x14ac:dyDescent="0.25">
      <c r="A1538" s="549" t="s">
        <v>1018</v>
      </c>
      <c r="B1538" s="549" t="s">
        <v>1019</v>
      </c>
      <c r="C1538" s="549" t="s">
        <v>507</v>
      </c>
      <c r="D1538" s="549" t="s">
        <v>816</v>
      </c>
      <c r="E1538" s="549" t="s">
        <v>973</v>
      </c>
      <c r="F1538" s="549" t="s">
        <v>1212</v>
      </c>
      <c r="G1538" s="549">
        <v>82</v>
      </c>
      <c r="H1538" s="549" t="s">
        <v>507</v>
      </c>
      <c r="I1538" s="549" t="s">
        <v>976</v>
      </c>
      <c r="J1538" s="549" t="s">
        <v>976</v>
      </c>
      <c r="K1538" s="549" t="s">
        <v>976</v>
      </c>
      <c r="L1538" s="549">
        <v>447793.74</v>
      </c>
      <c r="M1538" s="549">
        <v>33808.43</v>
      </c>
      <c r="N1538" s="549">
        <v>25703.360000000001</v>
      </c>
      <c r="O1538" s="549">
        <v>1984</v>
      </c>
      <c r="P1538" s="549">
        <v>65.73</v>
      </c>
      <c r="Q1538" s="549">
        <v>40421.18</v>
      </c>
    </row>
    <row r="1539" spans="1:17" x14ac:dyDescent="0.25">
      <c r="A1539" s="549" t="s">
        <v>1018</v>
      </c>
      <c r="B1539" s="549" t="s">
        <v>1019</v>
      </c>
      <c r="C1539" s="549" t="s">
        <v>507</v>
      </c>
      <c r="D1539" s="549" t="s">
        <v>816</v>
      </c>
      <c r="E1539" s="549" t="s">
        <v>973</v>
      </c>
      <c r="F1539" s="549" t="s">
        <v>1212</v>
      </c>
      <c r="G1539" s="549">
        <v>182</v>
      </c>
      <c r="H1539" s="549" t="s">
        <v>507</v>
      </c>
      <c r="I1539" s="549" t="s">
        <v>976</v>
      </c>
      <c r="J1539" s="549" t="s">
        <v>976</v>
      </c>
      <c r="K1539" s="549" t="s">
        <v>976</v>
      </c>
      <c r="L1539" s="549">
        <v>447793.74</v>
      </c>
      <c r="M1539" s="549">
        <v>33808.43</v>
      </c>
      <c r="N1539" s="549">
        <v>25703.360000000001</v>
      </c>
      <c r="O1539" s="549">
        <v>1984</v>
      </c>
      <c r="P1539" s="549">
        <v>65.73</v>
      </c>
      <c r="Q1539" s="549">
        <v>40421.18</v>
      </c>
    </row>
    <row r="1540" spans="1:17" x14ac:dyDescent="0.25">
      <c r="A1540" s="549" t="s">
        <v>1018</v>
      </c>
      <c r="B1540" s="549" t="s">
        <v>1019</v>
      </c>
      <c r="C1540" s="549" t="s">
        <v>507</v>
      </c>
      <c r="D1540" s="549" t="s">
        <v>816</v>
      </c>
      <c r="E1540" s="549" t="s">
        <v>973</v>
      </c>
      <c r="F1540" s="549" t="s">
        <v>1212</v>
      </c>
      <c r="G1540" s="549">
        <v>2002</v>
      </c>
      <c r="H1540" s="549" t="s">
        <v>507</v>
      </c>
      <c r="I1540" s="549" t="s">
        <v>976</v>
      </c>
      <c r="J1540" s="549" t="s">
        <v>976</v>
      </c>
      <c r="K1540" s="549" t="s">
        <v>976</v>
      </c>
      <c r="L1540" s="549">
        <v>99162.07</v>
      </c>
      <c r="M1540" s="549">
        <v>7486.74</v>
      </c>
      <c r="N1540" s="549">
        <v>5691.9</v>
      </c>
      <c r="O1540" s="549">
        <v>992</v>
      </c>
      <c r="P1540" s="549">
        <v>65.73</v>
      </c>
      <c r="Q1540" s="549">
        <v>9314.36</v>
      </c>
    </row>
    <row r="1541" spans="1:17" x14ac:dyDescent="0.25">
      <c r="A1541" s="549" t="s">
        <v>1027</v>
      </c>
      <c r="B1541" s="549" t="s">
        <v>592</v>
      </c>
      <c r="C1541" s="549" t="s">
        <v>877</v>
      </c>
      <c r="D1541" s="549" t="s">
        <v>878</v>
      </c>
      <c r="E1541" s="549" t="s">
        <v>977</v>
      </c>
      <c r="F1541" s="549" t="s">
        <v>1212</v>
      </c>
      <c r="G1541" s="549" t="s">
        <v>1237</v>
      </c>
      <c r="H1541" s="549" t="s">
        <v>877</v>
      </c>
      <c r="I1541" s="549" t="s">
        <v>976</v>
      </c>
      <c r="J1541" s="549" t="s">
        <v>976</v>
      </c>
      <c r="K1541" s="549" t="s">
        <v>976</v>
      </c>
      <c r="L1541" s="549">
        <v>31410.32</v>
      </c>
      <c r="M1541" s="549">
        <v>2371.48</v>
      </c>
      <c r="N1541" s="549">
        <v>694.17</v>
      </c>
      <c r="O1541" s="549">
        <v>0</v>
      </c>
      <c r="P1541" s="549">
        <v>87.46</v>
      </c>
      <c r="Q1541" s="549">
        <v>2681.22</v>
      </c>
    </row>
    <row r="1542" spans="1:17" x14ac:dyDescent="0.25">
      <c r="A1542" s="549" t="s">
        <v>1018</v>
      </c>
      <c r="B1542" s="549" t="s">
        <v>1019</v>
      </c>
      <c r="C1542" s="549" t="s">
        <v>507</v>
      </c>
      <c r="D1542" s="549" t="s">
        <v>816</v>
      </c>
      <c r="E1542" s="549" t="s">
        <v>973</v>
      </c>
      <c r="F1542" s="549" t="s">
        <v>1212</v>
      </c>
      <c r="G1542" s="549">
        <v>2022</v>
      </c>
      <c r="H1542" s="549" t="s">
        <v>507</v>
      </c>
      <c r="I1542" s="549" t="s">
        <v>976</v>
      </c>
      <c r="J1542" s="549" t="s">
        <v>976</v>
      </c>
      <c r="K1542" s="549" t="s">
        <v>976</v>
      </c>
      <c r="L1542" s="549">
        <v>92748.31</v>
      </c>
      <c r="M1542" s="549">
        <v>7002.5</v>
      </c>
      <c r="N1542" s="549">
        <v>5323.75</v>
      </c>
      <c r="O1542" s="549">
        <v>992</v>
      </c>
      <c r="P1542" s="549">
        <v>65.73</v>
      </c>
      <c r="Q1542" s="549">
        <v>8754.09</v>
      </c>
    </row>
    <row r="1543" spans="1:17" x14ac:dyDescent="0.25">
      <c r="A1543" s="549" t="s">
        <v>1018</v>
      </c>
      <c r="B1543" s="549" t="s">
        <v>1019</v>
      </c>
      <c r="C1543" s="549" t="s">
        <v>507</v>
      </c>
      <c r="D1543" s="549" t="s">
        <v>816</v>
      </c>
      <c r="E1543" s="549" t="s">
        <v>973</v>
      </c>
      <c r="F1543" s="549" t="s">
        <v>1212</v>
      </c>
      <c r="G1543" s="549">
        <v>2032</v>
      </c>
      <c r="H1543" s="549" t="s">
        <v>507</v>
      </c>
      <c r="I1543" s="549" t="s">
        <v>976</v>
      </c>
      <c r="J1543" s="549" t="s">
        <v>976</v>
      </c>
      <c r="K1543" s="549" t="s">
        <v>976</v>
      </c>
      <c r="L1543" s="549">
        <v>92748.31</v>
      </c>
      <c r="M1543" s="549">
        <v>7002.5</v>
      </c>
      <c r="N1543" s="549">
        <v>5323.75</v>
      </c>
      <c r="O1543" s="549">
        <v>992</v>
      </c>
      <c r="P1543" s="549">
        <v>65.73</v>
      </c>
      <c r="Q1543" s="549">
        <v>8754.09</v>
      </c>
    </row>
    <row r="1544" spans="1:17" x14ac:dyDescent="0.25">
      <c r="A1544" s="549" t="s">
        <v>1018</v>
      </c>
      <c r="B1544" s="549" t="s">
        <v>1019</v>
      </c>
      <c r="C1544" s="549" t="s">
        <v>507</v>
      </c>
      <c r="D1544" s="549" t="s">
        <v>816</v>
      </c>
      <c r="E1544" s="549" t="s">
        <v>973</v>
      </c>
      <c r="F1544" s="549" t="s">
        <v>1212</v>
      </c>
      <c r="G1544" s="549">
        <v>2042</v>
      </c>
      <c r="H1544" s="549" t="s">
        <v>507</v>
      </c>
      <c r="I1544" s="549" t="s">
        <v>976</v>
      </c>
      <c r="J1544" s="549" t="s">
        <v>976</v>
      </c>
      <c r="K1544" s="549" t="s">
        <v>976</v>
      </c>
      <c r="L1544" s="549">
        <v>92748.31</v>
      </c>
      <c r="M1544" s="549">
        <v>7002.5</v>
      </c>
      <c r="N1544" s="549">
        <v>5323.75</v>
      </c>
      <c r="O1544" s="549">
        <v>992</v>
      </c>
      <c r="P1544" s="549">
        <v>65.73</v>
      </c>
      <c r="Q1544" s="549">
        <v>8754.09</v>
      </c>
    </row>
    <row r="1545" spans="1:17" x14ac:dyDescent="0.25">
      <c r="A1545" s="549" t="s">
        <v>1018</v>
      </c>
      <c r="B1545" s="549" t="s">
        <v>1019</v>
      </c>
      <c r="C1545" s="549" t="s">
        <v>507</v>
      </c>
      <c r="D1545" s="549" t="s">
        <v>816</v>
      </c>
      <c r="E1545" s="549" t="s">
        <v>973</v>
      </c>
      <c r="F1545" s="549" t="s">
        <v>1212</v>
      </c>
      <c r="G1545" s="549">
        <v>2052</v>
      </c>
      <c r="H1545" s="549" t="s">
        <v>507</v>
      </c>
      <c r="I1545" s="549" t="s">
        <v>976</v>
      </c>
      <c r="J1545" s="549" t="s">
        <v>976</v>
      </c>
      <c r="K1545" s="549" t="s">
        <v>976</v>
      </c>
      <c r="L1545" s="549">
        <v>92748.31</v>
      </c>
      <c r="M1545" s="549">
        <v>7002.5</v>
      </c>
      <c r="N1545" s="549">
        <v>5323.75</v>
      </c>
      <c r="O1545" s="549">
        <v>992</v>
      </c>
      <c r="P1545" s="549">
        <v>65.73</v>
      </c>
      <c r="Q1545" s="549">
        <v>8754.09</v>
      </c>
    </row>
    <row r="1546" spans="1:17" x14ac:dyDescent="0.25">
      <c r="A1546" s="549" t="s">
        <v>1018</v>
      </c>
      <c r="B1546" s="549" t="s">
        <v>1019</v>
      </c>
      <c r="C1546" s="549" t="s">
        <v>507</v>
      </c>
      <c r="D1546" s="549" t="s">
        <v>816</v>
      </c>
      <c r="E1546" s="549" t="s">
        <v>973</v>
      </c>
      <c r="F1546" s="549" t="s">
        <v>1212</v>
      </c>
      <c r="G1546" s="549">
        <v>2068</v>
      </c>
      <c r="H1546" s="549" t="s">
        <v>507</v>
      </c>
      <c r="I1546" s="549" t="s">
        <v>976</v>
      </c>
      <c r="J1546" s="549" t="s">
        <v>976</v>
      </c>
      <c r="K1546" s="549" t="s">
        <v>976</v>
      </c>
      <c r="L1546" s="549">
        <v>106431</v>
      </c>
      <c r="M1546" s="549">
        <v>8035.54</v>
      </c>
      <c r="N1546" s="549">
        <v>6109.14</v>
      </c>
      <c r="O1546" s="549">
        <v>992</v>
      </c>
      <c r="P1546" s="549">
        <v>65.73</v>
      </c>
      <c r="Q1546" s="549">
        <v>9949.34</v>
      </c>
    </row>
    <row r="1547" spans="1:17" x14ac:dyDescent="0.25">
      <c r="A1547" s="549" t="s">
        <v>1018</v>
      </c>
      <c r="B1547" s="549" t="s">
        <v>1019</v>
      </c>
      <c r="C1547" s="549" t="s">
        <v>507</v>
      </c>
      <c r="D1547" s="549" t="s">
        <v>816</v>
      </c>
      <c r="E1547" s="549" t="s">
        <v>973</v>
      </c>
      <c r="F1547" s="549" t="s">
        <v>1212</v>
      </c>
      <c r="G1547" s="549">
        <v>2072</v>
      </c>
      <c r="H1547" s="549" t="s">
        <v>507</v>
      </c>
      <c r="I1547" s="549" t="s">
        <v>976</v>
      </c>
      <c r="J1547" s="549" t="s">
        <v>976</v>
      </c>
      <c r="K1547" s="549" t="s">
        <v>976</v>
      </c>
      <c r="L1547" s="549">
        <v>99162.07</v>
      </c>
      <c r="M1547" s="549">
        <v>7486.74</v>
      </c>
      <c r="N1547" s="549">
        <v>5691.9</v>
      </c>
      <c r="O1547" s="549">
        <v>992</v>
      </c>
      <c r="P1547" s="549">
        <v>65.73</v>
      </c>
      <c r="Q1547" s="549">
        <v>9314.36</v>
      </c>
    </row>
    <row r="1548" spans="1:17" x14ac:dyDescent="0.25">
      <c r="A1548" s="549" t="s">
        <v>1027</v>
      </c>
      <c r="B1548" s="549" t="s">
        <v>592</v>
      </c>
      <c r="C1548" s="549" t="s">
        <v>877</v>
      </c>
      <c r="D1548" s="549" t="s">
        <v>878</v>
      </c>
      <c r="E1548" s="549" t="s">
        <v>977</v>
      </c>
      <c r="F1548" s="549" t="s">
        <v>1212</v>
      </c>
      <c r="G1548" s="549" t="s">
        <v>1309</v>
      </c>
      <c r="H1548" s="549" t="s">
        <v>877</v>
      </c>
      <c r="I1548" s="549" t="s">
        <v>976</v>
      </c>
      <c r="J1548" s="549" t="s">
        <v>976</v>
      </c>
      <c r="K1548" s="549" t="s">
        <v>976</v>
      </c>
      <c r="L1548" s="549">
        <v>31410.32</v>
      </c>
      <c r="M1548" s="549">
        <v>2371.48</v>
      </c>
      <c r="N1548" s="549">
        <v>694.17</v>
      </c>
      <c r="O1548" s="549">
        <v>0</v>
      </c>
      <c r="P1548" s="549">
        <v>87.46</v>
      </c>
      <c r="Q1548" s="549">
        <v>2681.22</v>
      </c>
    </row>
    <row r="1549" spans="1:17" x14ac:dyDescent="0.25">
      <c r="A1549" s="549" t="s">
        <v>1027</v>
      </c>
      <c r="B1549" s="549" t="s">
        <v>592</v>
      </c>
      <c r="C1549" s="549" t="s">
        <v>877</v>
      </c>
      <c r="D1549" s="549" t="s">
        <v>878</v>
      </c>
      <c r="E1549" s="549" t="s">
        <v>973</v>
      </c>
      <c r="F1549" s="549" t="s">
        <v>1212</v>
      </c>
      <c r="G1549" s="549" t="s">
        <v>1237</v>
      </c>
      <c r="H1549" s="549" t="s">
        <v>877</v>
      </c>
      <c r="I1549" s="549" t="s">
        <v>976</v>
      </c>
      <c r="J1549" s="549" t="s">
        <v>976</v>
      </c>
      <c r="K1549" s="549" t="s">
        <v>976</v>
      </c>
      <c r="L1549" s="549">
        <v>31410.32</v>
      </c>
      <c r="M1549" s="549">
        <v>2371.48</v>
      </c>
      <c r="N1549" s="549">
        <v>1802.95</v>
      </c>
      <c r="O1549" s="549">
        <v>0</v>
      </c>
      <c r="P1549" s="549">
        <v>12.54</v>
      </c>
      <c r="Q1549" s="549">
        <v>523.47</v>
      </c>
    </row>
    <row r="1550" spans="1:17" x14ac:dyDescent="0.25">
      <c r="A1550" s="549" t="s">
        <v>1018</v>
      </c>
      <c r="B1550" s="549" t="s">
        <v>1019</v>
      </c>
      <c r="C1550" s="549" t="s">
        <v>507</v>
      </c>
      <c r="D1550" s="549" t="s">
        <v>816</v>
      </c>
      <c r="E1550" s="549" t="s">
        <v>973</v>
      </c>
      <c r="F1550" s="549" t="s">
        <v>1212</v>
      </c>
      <c r="G1550" s="549" t="s">
        <v>1326</v>
      </c>
      <c r="H1550" s="549" t="s">
        <v>507</v>
      </c>
      <c r="I1550" s="549" t="s">
        <v>976</v>
      </c>
      <c r="J1550" s="549" t="s">
        <v>976</v>
      </c>
      <c r="K1550" s="549" t="s">
        <v>976</v>
      </c>
      <c r="L1550" s="549">
        <v>29129.16</v>
      </c>
      <c r="M1550" s="549">
        <v>2199.25</v>
      </c>
      <c r="N1550" s="549">
        <v>1672.01</v>
      </c>
      <c r="O1550" s="549">
        <v>0</v>
      </c>
      <c r="P1550" s="549">
        <v>65.73</v>
      </c>
      <c r="Q1550" s="549">
        <v>2544.58</v>
      </c>
    </row>
    <row r="1551" spans="1:17" x14ac:dyDescent="0.25">
      <c r="A1551" s="549" t="s">
        <v>1018</v>
      </c>
      <c r="B1551" s="549" t="s">
        <v>1019</v>
      </c>
      <c r="C1551" s="549" t="s">
        <v>507</v>
      </c>
      <c r="D1551" s="549" t="s">
        <v>816</v>
      </c>
      <c r="E1551" s="549" t="s">
        <v>973</v>
      </c>
      <c r="F1551" s="549" t="s">
        <v>1212</v>
      </c>
      <c r="G1551" s="549" t="s">
        <v>1278</v>
      </c>
      <c r="H1551" s="549" t="s">
        <v>507</v>
      </c>
      <c r="I1551" s="549" t="s">
        <v>976</v>
      </c>
      <c r="J1551" s="549" t="s">
        <v>976</v>
      </c>
      <c r="K1551" s="549" t="s">
        <v>976</v>
      </c>
      <c r="L1551" s="549">
        <v>29129.16</v>
      </c>
      <c r="M1551" s="549">
        <v>2199.25</v>
      </c>
      <c r="N1551" s="549">
        <v>1672.01</v>
      </c>
      <c r="O1551" s="549">
        <v>0</v>
      </c>
      <c r="P1551" s="549">
        <v>65.73</v>
      </c>
      <c r="Q1551" s="549">
        <v>2544.58</v>
      </c>
    </row>
    <row r="1552" spans="1:17" x14ac:dyDescent="0.25">
      <c r="A1552" s="549" t="s">
        <v>1018</v>
      </c>
      <c r="B1552" s="549" t="s">
        <v>1019</v>
      </c>
      <c r="C1552" s="549" t="s">
        <v>507</v>
      </c>
      <c r="D1552" s="549" t="s">
        <v>816</v>
      </c>
      <c r="E1552" s="549" t="s">
        <v>973</v>
      </c>
      <c r="F1552" s="549" t="s">
        <v>1212</v>
      </c>
      <c r="G1552" s="549" t="s">
        <v>1327</v>
      </c>
      <c r="H1552" s="549" t="s">
        <v>507</v>
      </c>
      <c r="I1552" s="549" t="s">
        <v>976</v>
      </c>
      <c r="J1552" s="549" t="s">
        <v>976</v>
      </c>
      <c r="K1552" s="549" t="s">
        <v>976</v>
      </c>
      <c r="L1552" s="549">
        <v>29129.16</v>
      </c>
      <c r="M1552" s="549">
        <v>2199.25</v>
      </c>
      <c r="N1552" s="549">
        <v>1672.01</v>
      </c>
      <c r="O1552" s="549">
        <v>0</v>
      </c>
      <c r="P1552" s="549">
        <v>65.73</v>
      </c>
      <c r="Q1552" s="549">
        <v>2544.58</v>
      </c>
    </row>
    <row r="1553" spans="1:17" x14ac:dyDescent="0.25">
      <c r="A1553" s="549" t="s">
        <v>1027</v>
      </c>
      <c r="B1553" s="549" t="s">
        <v>592</v>
      </c>
      <c r="C1553" s="549" t="s">
        <v>877</v>
      </c>
      <c r="D1553" s="549" t="s">
        <v>878</v>
      </c>
      <c r="E1553" s="549" t="s">
        <v>973</v>
      </c>
      <c r="F1553" s="549" t="s">
        <v>1212</v>
      </c>
      <c r="G1553" s="549" t="s">
        <v>1309</v>
      </c>
      <c r="H1553" s="549" t="s">
        <v>877</v>
      </c>
      <c r="I1553" s="549" t="s">
        <v>976</v>
      </c>
      <c r="J1553" s="549" t="s">
        <v>976</v>
      </c>
      <c r="K1553" s="549" t="s">
        <v>976</v>
      </c>
      <c r="L1553" s="549">
        <v>31410.32</v>
      </c>
      <c r="M1553" s="549">
        <v>2371.48</v>
      </c>
      <c r="N1553" s="549">
        <v>1802.95</v>
      </c>
      <c r="O1553" s="549">
        <v>0</v>
      </c>
      <c r="P1553" s="549">
        <v>12.54</v>
      </c>
      <c r="Q1553" s="549">
        <v>523.47</v>
      </c>
    </row>
    <row r="1554" spans="1:17" x14ac:dyDescent="0.25">
      <c r="A1554" s="549" t="s">
        <v>1018</v>
      </c>
      <c r="B1554" s="549" t="s">
        <v>1019</v>
      </c>
      <c r="C1554" s="549" t="s">
        <v>507</v>
      </c>
      <c r="D1554" s="549" t="s">
        <v>816</v>
      </c>
      <c r="E1554" s="549" t="s">
        <v>977</v>
      </c>
      <c r="F1554" s="549" t="s">
        <v>1212</v>
      </c>
      <c r="G1554" s="549">
        <v>82</v>
      </c>
      <c r="H1554" s="549" t="s">
        <v>507</v>
      </c>
      <c r="I1554" s="549" t="s">
        <v>976</v>
      </c>
      <c r="J1554" s="549" t="s">
        <v>976</v>
      </c>
      <c r="K1554" s="549" t="s">
        <v>976</v>
      </c>
      <c r="L1554" s="549">
        <v>447793.74</v>
      </c>
      <c r="M1554" s="549">
        <v>33808.43</v>
      </c>
      <c r="N1554" s="549">
        <v>9896.24</v>
      </c>
      <c r="O1554" s="549">
        <v>1984</v>
      </c>
      <c r="P1554" s="549">
        <v>34.270000000000003</v>
      </c>
      <c r="Q1554" s="549">
        <v>15657.51</v>
      </c>
    </row>
    <row r="1555" spans="1:17" x14ac:dyDescent="0.25">
      <c r="A1555" s="549" t="s">
        <v>1018</v>
      </c>
      <c r="B1555" s="549" t="s">
        <v>1019</v>
      </c>
      <c r="C1555" s="549" t="s">
        <v>507</v>
      </c>
      <c r="D1555" s="549" t="s">
        <v>816</v>
      </c>
      <c r="E1555" s="549" t="s">
        <v>977</v>
      </c>
      <c r="F1555" s="549" t="s">
        <v>1212</v>
      </c>
      <c r="G1555" s="549">
        <v>182</v>
      </c>
      <c r="H1555" s="549" t="s">
        <v>507</v>
      </c>
      <c r="I1555" s="549" t="s">
        <v>976</v>
      </c>
      <c r="J1555" s="549" t="s">
        <v>976</v>
      </c>
      <c r="K1555" s="549" t="s">
        <v>976</v>
      </c>
      <c r="L1555" s="549">
        <v>447793.74</v>
      </c>
      <c r="M1555" s="549">
        <v>33808.43</v>
      </c>
      <c r="N1555" s="549">
        <v>9896.24</v>
      </c>
      <c r="O1555" s="549">
        <v>1984</v>
      </c>
      <c r="P1555" s="549">
        <v>34.270000000000003</v>
      </c>
      <c r="Q1555" s="549">
        <v>15657.51</v>
      </c>
    </row>
    <row r="1556" spans="1:17" x14ac:dyDescent="0.25">
      <c r="A1556" s="549" t="s">
        <v>1018</v>
      </c>
      <c r="B1556" s="549" t="s">
        <v>1019</v>
      </c>
      <c r="C1556" s="549" t="s">
        <v>507</v>
      </c>
      <c r="D1556" s="549" t="s">
        <v>816</v>
      </c>
      <c r="E1556" s="549" t="s">
        <v>977</v>
      </c>
      <c r="F1556" s="549" t="s">
        <v>1212</v>
      </c>
      <c r="G1556" s="549">
        <v>2002</v>
      </c>
      <c r="H1556" s="549" t="s">
        <v>507</v>
      </c>
      <c r="I1556" s="549" t="s">
        <v>976</v>
      </c>
      <c r="J1556" s="549" t="s">
        <v>976</v>
      </c>
      <c r="K1556" s="549" t="s">
        <v>976</v>
      </c>
      <c r="L1556" s="549">
        <v>99162.07</v>
      </c>
      <c r="M1556" s="549">
        <v>7486.74</v>
      </c>
      <c r="N1556" s="549">
        <v>2191.48</v>
      </c>
      <c r="O1556" s="549">
        <v>992</v>
      </c>
      <c r="P1556" s="549">
        <v>34.270000000000003</v>
      </c>
      <c r="Q1556" s="549">
        <v>3656.68</v>
      </c>
    </row>
    <row r="1557" spans="1:17" x14ac:dyDescent="0.25">
      <c r="A1557" s="549" t="s">
        <v>1027</v>
      </c>
      <c r="B1557" s="549" t="s">
        <v>592</v>
      </c>
      <c r="C1557" s="549" t="s">
        <v>881</v>
      </c>
      <c r="D1557" s="549" t="s">
        <v>882</v>
      </c>
      <c r="E1557" s="549" t="s">
        <v>977</v>
      </c>
      <c r="F1557" s="549" t="s">
        <v>1212</v>
      </c>
      <c r="G1557" s="549" t="s">
        <v>1328</v>
      </c>
      <c r="H1557" s="549" t="s">
        <v>881</v>
      </c>
      <c r="I1557" s="549" t="s">
        <v>976</v>
      </c>
      <c r="J1557" s="549" t="s">
        <v>976</v>
      </c>
      <c r="K1557" s="549" t="s">
        <v>976</v>
      </c>
      <c r="L1557" s="549">
        <v>32316.799999999999</v>
      </c>
      <c r="M1557" s="549">
        <v>2439.92</v>
      </c>
      <c r="N1557" s="549">
        <v>714.2</v>
      </c>
      <c r="O1557" s="549">
        <v>0</v>
      </c>
      <c r="P1557" s="549">
        <v>100</v>
      </c>
      <c r="Q1557" s="549">
        <v>3154.12</v>
      </c>
    </row>
    <row r="1558" spans="1:17" x14ac:dyDescent="0.25">
      <c r="A1558" s="549" t="s">
        <v>1018</v>
      </c>
      <c r="B1558" s="549" t="s">
        <v>1019</v>
      </c>
      <c r="C1558" s="549" t="s">
        <v>507</v>
      </c>
      <c r="D1558" s="549" t="s">
        <v>816</v>
      </c>
      <c r="E1558" s="549" t="s">
        <v>977</v>
      </c>
      <c r="F1558" s="549" t="s">
        <v>1212</v>
      </c>
      <c r="G1558" s="549">
        <v>2022</v>
      </c>
      <c r="H1558" s="549" t="s">
        <v>507</v>
      </c>
      <c r="I1558" s="549" t="s">
        <v>976</v>
      </c>
      <c r="J1558" s="549" t="s">
        <v>976</v>
      </c>
      <c r="K1558" s="549" t="s">
        <v>976</v>
      </c>
      <c r="L1558" s="549">
        <v>92748.31</v>
      </c>
      <c r="M1558" s="549">
        <v>7002.5</v>
      </c>
      <c r="N1558" s="549">
        <v>2049.7399999999998</v>
      </c>
      <c r="O1558" s="549">
        <v>992</v>
      </c>
      <c r="P1558" s="549">
        <v>34.270000000000003</v>
      </c>
      <c r="Q1558" s="549">
        <v>3442.16</v>
      </c>
    </row>
    <row r="1559" spans="1:17" x14ac:dyDescent="0.25">
      <c r="A1559" s="549" t="s">
        <v>1018</v>
      </c>
      <c r="B1559" s="549" t="s">
        <v>1019</v>
      </c>
      <c r="C1559" s="549" t="s">
        <v>507</v>
      </c>
      <c r="D1559" s="549" t="s">
        <v>816</v>
      </c>
      <c r="E1559" s="549" t="s">
        <v>977</v>
      </c>
      <c r="F1559" s="549" t="s">
        <v>1212</v>
      </c>
      <c r="G1559" s="549">
        <v>2032</v>
      </c>
      <c r="H1559" s="549" t="s">
        <v>507</v>
      </c>
      <c r="I1559" s="549" t="s">
        <v>976</v>
      </c>
      <c r="J1559" s="549" t="s">
        <v>976</v>
      </c>
      <c r="K1559" s="549" t="s">
        <v>976</v>
      </c>
      <c r="L1559" s="549">
        <v>92748.31</v>
      </c>
      <c r="M1559" s="549">
        <v>7002.5</v>
      </c>
      <c r="N1559" s="549">
        <v>2049.7399999999998</v>
      </c>
      <c r="O1559" s="549">
        <v>992</v>
      </c>
      <c r="P1559" s="549">
        <v>34.270000000000003</v>
      </c>
      <c r="Q1559" s="549">
        <v>3442.16</v>
      </c>
    </row>
    <row r="1560" spans="1:17" x14ac:dyDescent="0.25">
      <c r="A1560" s="549" t="s">
        <v>1018</v>
      </c>
      <c r="B1560" s="549" t="s">
        <v>1019</v>
      </c>
      <c r="C1560" s="549" t="s">
        <v>507</v>
      </c>
      <c r="D1560" s="549" t="s">
        <v>816</v>
      </c>
      <c r="E1560" s="549" t="s">
        <v>977</v>
      </c>
      <c r="F1560" s="549" t="s">
        <v>1212</v>
      </c>
      <c r="G1560" s="549">
        <v>2042</v>
      </c>
      <c r="H1560" s="549" t="s">
        <v>507</v>
      </c>
      <c r="I1560" s="549" t="s">
        <v>976</v>
      </c>
      <c r="J1560" s="549" t="s">
        <v>976</v>
      </c>
      <c r="K1560" s="549" t="s">
        <v>976</v>
      </c>
      <c r="L1560" s="549">
        <v>92748.31</v>
      </c>
      <c r="M1560" s="549">
        <v>7002.5</v>
      </c>
      <c r="N1560" s="549">
        <v>2049.7399999999998</v>
      </c>
      <c r="O1560" s="549">
        <v>992</v>
      </c>
      <c r="P1560" s="549">
        <v>34.270000000000003</v>
      </c>
      <c r="Q1560" s="549">
        <v>3442.16</v>
      </c>
    </row>
    <row r="1561" spans="1:17" x14ac:dyDescent="0.25">
      <c r="A1561" s="549" t="s">
        <v>1018</v>
      </c>
      <c r="B1561" s="549" t="s">
        <v>1019</v>
      </c>
      <c r="C1561" s="549" t="s">
        <v>507</v>
      </c>
      <c r="D1561" s="549" t="s">
        <v>816</v>
      </c>
      <c r="E1561" s="549" t="s">
        <v>977</v>
      </c>
      <c r="F1561" s="549" t="s">
        <v>1212</v>
      </c>
      <c r="G1561" s="549">
        <v>2052</v>
      </c>
      <c r="H1561" s="549" t="s">
        <v>507</v>
      </c>
      <c r="I1561" s="549" t="s">
        <v>976</v>
      </c>
      <c r="J1561" s="549" t="s">
        <v>976</v>
      </c>
      <c r="K1561" s="549" t="s">
        <v>976</v>
      </c>
      <c r="L1561" s="549">
        <v>92748.31</v>
      </c>
      <c r="M1561" s="549">
        <v>7002.5</v>
      </c>
      <c r="N1561" s="549">
        <v>2049.7399999999998</v>
      </c>
      <c r="O1561" s="549">
        <v>992</v>
      </c>
      <c r="P1561" s="549">
        <v>34.270000000000003</v>
      </c>
      <c r="Q1561" s="549">
        <v>3442.16</v>
      </c>
    </row>
    <row r="1562" spans="1:17" x14ac:dyDescent="0.25">
      <c r="A1562" s="549" t="s">
        <v>1018</v>
      </c>
      <c r="B1562" s="549" t="s">
        <v>1019</v>
      </c>
      <c r="C1562" s="549" t="s">
        <v>507</v>
      </c>
      <c r="D1562" s="549" t="s">
        <v>816</v>
      </c>
      <c r="E1562" s="549" t="s">
        <v>977</v>
      </c>
      <c r="F1562" s="549" t="s">
        <v>1212</v>
      </c>
      <c r="G1562" s="549">
        <v>2068</v>
      </c>
      <c r="H1562" s="549" t="s">
        <v>507</v>
      </c>
      <c r="I1562" s="549" t="s">
        <v>976</v>
      </c>
      <c r="J1562" s="549" t="s">
        <v>976</v>
      </c>
      <c r="K1562" s="549" t="s">
        <v>976</v>
      </c>
      <c r="L1562" s="549">
        <v>106431</v>
      </c>
      <c r="M1562" s="549">
        <v>8035.54</v>
      </c>
      <c r="N1562" s="549">
        <v>2352.13</v>
      </c>
      <c r="O1562" s="549">
        <v>992</v>
      </c>
      <c r="P1562" s="549">
        <v>34.270000000000003</v>
      </c>
      <c r="Q1562" s="549">
        <v>3899.81</v>
      </c>
    </row>
    <row r="1563" spans="1:17" x14ac:dyDescent="0.25">
      <c r="A1563" s="549" t="s">
        <v>1018</v>
      </c>
      <c r="B1563" s="549" t="s">
        <v>1019</v>
      </c>
      <c r="C1563" s="549" t="s">
        <v>507</v>
      </c>
      <c r="D1563" s="549" t="s">
        <v>816</v>
      </c>
      <c r="E1563" s="549" t="s">
        <v>977</v>
      </c>
      <c r="F1563" s="549" t="s">
        <v>1212</v>
      </c>
      <c r="G1563" s="549">
        <v>2072</v>
      </c>
      <c r="H1563" s="549" t="s">
        <v>507</v>
      </c>
      <c r="I1563" s="549" t="s">
        <v>976</v>
      </c>
      <c r="J1563" s="549" t="s">
        <v>976</v>
      </c>
      <c r="K1563" s="549" t="s">
        <v>976</v>
      </c>
      <c r="L1563" s="549">
        <v>99162.07</v>
      </c>
      <c r="M1563" s="549">
        <v>7486.74</v>
      </c>
      <c r="N1563" s="549">
        <v>2191.48</v>
      </c>
      <c r="O1563" s="549">
        <v>992</v>
      </c>
      <c r="P1563" s="549">
        <v>34.270000000000003</v>
      </c>
      <c r="Q1563" s="549">
        <v>3656.68</v>
      </c>
    </row>
    <row r="1564" spans="1:17" x14ac:dyDescent="0.25">
      <c r="A1564" s="549" t="s">
        <v>1027</v>
      </c>
      <c r="B1564" s="549" t="s">
        <v>592</v>
      </c>
      <c r="C1564" s="549" t="s">
        <v>881</v>
      </c>
      <c r="D1564" s="549" t="s">
        <v>882</v>
      </c>
      <c r="E1564" s="549" t="s">
        <v>977</v>
      </c>
      <c r="F1564" s="549" t="s">
        <v>1212</v>
      </c>
      <c r="G1564" s="549" t="s">
        <v>1329</v>
      </c>
      <c r="H1564" s="549" t="s">
        <v>881</v>
      </c>
      <c r="I1564" s="549" t="s">
        <v>976</v>
      </c>
      <c r="J1564" s="549" t="s">
        <v>976</v>
      </c>
      <c r="K1564" s="549" t="s">
        <v>976</v>
      </c>
      <c r="L1564" s="549">
        <v>32316.799999999999</v>
      </c>
      <c r="M1564" s="549">
        <v>2439.92</v>
      </c>
      <c r="N1564" s="549">
        <v>714.2</v>
      </c>
      <c r="O1564" s="549">
        <v>0</v>
      </c>
      <c r="P1564" s="549">
        <v>100</v>
      </c>
      <c r="Q1564" s="549">
        <v>3154.12</v>
      </c>
    </row>
    <row r="1565" spans="1:17" x14ac:dyDescent="0.25">
      <c r="A1565" s="549" t="s">
        <v>1027</v>
      </c>
      <c r="B1565" s="549" t="s">
        <v>592</v>
      </c>
      <c r="C1565" s="549" t="s">
        <v>881</v>
      </c>
      <c r="D1565" s="549" t="s">
        <v>882</v>
      </c>
      <c r="E1565" s="549" t="s">
        <v>977</v>
      </c>
      <c r="F1565" s="549" t="s">
        <v>1212</v>
      </c>
      <c r="G1565" s="549">
        <v>1352</v>
      </c>
      <c r="H1565" s="549" t="s">
        <v>881</v>
      </c>
      <c r="I1565" s="549" t="s">
        <v>976</v>
      </c>
      <c r="J1565" s="549" t="s">
        <v>976</v>
      </c>
      <c r="K1565" s="549" t="s">
        <v>976</v>
      </c>
      <c r="L1565" s="549">
        <v>185873.18</v>
      </c>
      <c r="M1565" s="549">
        <v>14033.43</v>
      </c>
      <c r="N1565" s="549">
        <v>4107.8</v>
      </c>
      <c r="O1565" s="549">
        <v>1984</v>
      </c>
      <c r="P1565" s="549">
        <v>100</v>
      </c>
      <c r="Q1565" s="549">
        <v>20125.23</v>
      </c>
    </row>
    <row r="1566" spans="1:17" x14ac:dyDescent="0.25">
      <c r="A1566" s="549" t="s">
        <v>1018</v>
      </c>
      <c r="B1566" s="549" t="s">
        <v>1019</v>
      </c>
      <c r="C1566" s="549" t="s">
        <v>507</v>
      </c>
      <c r="D1566" s="549" t="s">
        <v>816</v>
      </c>
      <c r="E1566" s="549" t="s">
        <v>977</v>
      </c>
      <c r="F1566" s="549" t="s">
        <v>1212</v>
      </c>
      <c r="G1566" s="549" t="s">
        <v>1326</v>
      </c>
      <c r="H1566" s="549" t="s">
        <v>507</v>
      </c>
      <c r="I1566" s="549" t="s">
        <v>976</v>
      </c>
      <c r="J1566" s="549" t="s">
        <v>976</v>
      </c>
      <c r="K1566" s="549" t="s">
        <v>976</v>
      </c>
      <c r="L1566" s="549">
        <v>29129.16</v>
      </c>
      <c r="M1566" s="549">
        <v>2199.25</v>
      </c>
      <c r="N1566" s="549">
        <v>643.75</v>
      </c>
      <c r="O1566" s="549">
        <v>0</v>
      </c>
      <c r="P1566" s="549">
        <v>34.270000000000003</v>
      </c>
      <c r="Q1566" s="549">
        <v>974.3</v>
      </c>
    </row>
    <row r="1567" spans="1:17" x14ac:dyDescent="0.25">
      <c r="A1567" s="549" t="s">
        <v>1018</v>
      </c>
      <c r="B1567" s="549" t="s">
        <v>1019</v>
      </c>
      <c r="C1567" s="549" t="s">
        <v>507</v>
      </c>
      <c r="D1567" s="549" t="s">
        <v>816</v>
      </c>
      <c r="E1567" s="549" t="s">
        <v>977</v>
      </c>
      <c r="F1567" s="549" t="s">
        <v>1212</v>
      </c>
      <c r="G1567" s="549" t="s">
        <v>1278</v>
      </c>
      <c r="H1567" s="549" t="s">
        <v>507</v>
      </c>
      <c r="I1567" s="549" t="s">
        <v>976</v>
      </c>
      <c r="J1567" s="549" t="s">
        <v>976</v>
      </c>
      <c r="K1567" s="549" t="s">
        <v>976</v>
      </c>
      <c r="L1567" s="549">
        <v>29129.16</v>
      </c>
      <c r="M1567" s="549">
        <v>2199.25</v>
      </c>
      <c r="N1567" s="549">
        <v>643.75</v>
      </c>
      <c r="O1567" s="549">
        <v>0</v>
      </c>
      <c r="P1567" s="549">
        <v>34.270000000000003</v>
      </c>
      <c r="Q1567" s="549">
        <v>974.3</v>
      </c>
    </row>
    <row r="1568" spans="1:17" x14ac:dyDescent="0.25">
      <c r="A1568" s="549" t="s">
        <v>1018</v>
      </c>
      <c r="B1568" s="549" t="s">
        <v>1019</v>
      </c>
      <c r="C1568" s="549" t="s">
        <v>507</v>
      </c>
      <c r="D1568" s="549" t="s">
        <v>816</v>
      </c>
      <c r="E1568" s="549" t="s">
        <v>977</v>
      </c>
      <c r="F1568" s="549" t="s">
        <v>1212</v>
      </c>
      <c r="G1568" s="549" t="s">
        <v>1327</v>
      </c>
      <c r="H1568" s="549" t="s">
        <v>507</v>
      </c>
      <c r="I1568" s="549" t="s">
        <v>976</v>
      </c>
      <c r="J1568" s="549" t="s">
        <v>976</v>
      </c>
      <c r="K1568" s="549" t="s">
        <v>976</v>
      </c>
      <c r="L1568" s="549">
        <v>29129.16</v>
      </c>
      <c r="M1568" s="549">
        <v>2199.25</v>
      </c>
      <c r="N1568" s="549">
        <v>643.75</v>
      </c>
      <c r="O1568" s="549">
        <v>0</v>
      </c>
      <c r="P1568" s="549">
        <v>34.270000000000003</v>
      </c>
      <c r="Q1568" s="549">
        <v>974.3</v>
      </c>
    </row>
    <row r="1569" spans="1:17" x14ac:dyDescent="0.25">
      <c r="A1569" s="549" t="s">
        <v>1027</v>
      </c>
      <c r="B1569" s="549" t="s">
        <v>592</v>
      </c>
      <c r="C1569" s="549" t="s">
        <v>881</v>
      </c>
      <c r="D1569" s="549" t="s">
        <v>882</v>
      </c>
      <c r="E1569" s="549" t="s">
        <v>977</v>
      </c>
      <c r="F1569" s="549" t="s">
        <v>1212</v>
      </c>
      <c r="G1569" s="549">
        <v>1332</v>
      </c>
      <c r="H1569" s="549" t="s">
        <v>881</v>
      </c>
      <c r="I1569" s="549" t="s">
        <v>976</v>
      </c>
      <c r="J1569" s="549" t="s">
        <v>976</v>
      </c>
      <c r="K1569" s="549" t="s">
        <v>976</v>
      </c>
      <c r="L1569" s="549">
        <v>185873.18</v>
      </c>
      <c r="M1569" s="549">
        <v>14033.43</v>
      </c>
      <c r="N1569" s="549">
        <v>4107.8</v>
      </c>
      <c r="O1569" s="549">
        <v>1984</v>
      </c>
      <c r="P1569" s="549">
        <v>100</v>
      </c>
      <c r="Q1569" s="549">
        <v>20125.23</v>
      </c>
    </row>
    <row r="1570" spans="1:17" x14ac:dyDescent="0.25">
      <c r="A1570" s="549" t="s">
        <v>1018</v>
      </c>
      <c r="B1570" s="549" t="s">
        <v>1019</v>
      </c>
      <c r="C1570" s="549" t="s">
        <v>819</v>
      </c>
      <c r="D1570" s="549" t="s">
        <v>820</v>
      </c>
      <c r="E1570" s="549" t="s">
        <v>977</v>
      </c>
      <c r="F1570" s="549" t="s">
        <v>1212</v>
      </c>
      <c r="G1570" s="549">
        <v>652</v>
      </c>
      <c r="H1570" s="549" t="s">
        <v>821</v>
      </c>
      <c r="I1570" s="549" t="s">
        <v>976</v>
      </c>
      <c r="J1570" s="549" t="s">
        <v>976</v>
      </c>
      <c r="K1570" s="549" t="s">
        <v>976</v>
      </c>
      <c r="L1570" s="549">
        <v>806373.29</v>
      </c>
      <c r="M1570" s="549">
        <v>60881.18</v>
      </c>
      <c r="N1570" s="549">
        <v>17820.849999999999</v>
      </c>
      <c r="O1570" s="549">
        <v>4960</v>
      </c>
      <c r="P1570" s="549">
        <v>100</v>
      </c>
      <c r="Q1570" s="549">
        <v>83662.03</v>
      </c>
    </row>
    <row r="1571" spans="1:17" x14ac:dyDescent="0.25">
      <c r="A1571" s="549" t="s">
        <v>1018</v>
      </c>
      <c r="B1571" s="549" t="s">
        <v>1019</v>
      </c>
      <c r="C1571" s="549" t="s">
        <v>819</v>
      </c>
      <c r="D1571" s="549" t="s">
        <v>820</v>
      </c>
      <c r="E1571" s="549" t="s">
        <v>977</v>
      </c>
      <c r="F1571" s="549" t="s">
        <v>1212</v>
      </c>
      <c r="G1571" s="549">
        <v>672</v>
      </c>
      <c r="H1571" s="549" t="s">
        <v>821</v>
      </c>
      <c r="I1571" s="549" t="s">
        <v>976</v>
      </c>
      <c r="J1571" s="549" t="s">
        <v>976</v>
      </c>
      <c r="K1571" s="549" t="s">
        <v>976</v>
      </c>
      <c r="L1571" s="549">
        <v>806373.29</v>
      </c>
      <c r="M1571" s="549">
        <v>60881.18</v>
      </c>
      <c r="N1571" s="549">
        <v>17820.849999999999</v>
      </c>
      <c r="O1571" s="549">
        <v>4960</v>
      </c>
      <c r="P1571" s="549">
        <v>100</v>
      </c>
      <c r="Q1571" s="549">
        <v>83662.03</v>
      </c>
    </row>
    <row r="1572" spans="1:17" x14ac:dyDescent="0.25">
      <c r="A1572" s="549" t="s">
        <v>1018</v>
      </c>
      <c r="B1572" s="549" t="s">
        <v>1019</v>
      </c>
      <c r="C1572" s="549" t="s">
        <v>819</v>
      </c>
      <c r="D1572" s="549" t="s">
        <v>820</v>
      </c>
      <c r="E1572" s="549" t="s">
        <v>977</v>
      </c>
      <c r="F1572" s="549" t="s">
        <v>1212</v>
      </c>
      <c r="G1572" s="549" t="s">
        <v>1245</v>
      </c>
      <c r="H1572" s="549" t="s">
        <v>821</v>
      </c>
      <c r="I1572" s="549" t="s">
        <v>976</v>
      </c>
      <c r="J1572" s="549" t="s">
        <v>976</v>
      </c>
      <c r="K1572" s="549" t="s">
        <v>976</v>
      </c>
      <c r="L1572" s="549">
        <v>0.02</v>
      </c>
      <c r="M1572" s="549">
        <v>0</v>
      </c>
      <c r="N1572" s="549">
        <v>0</v>
      </c>
      <c r="O1572" s="549">
        <v>0</v>
      </c>
      <c r="P1572" s="549">
        <v>100</v>
      </c>
      <c r="Q1572" s="549">
        <v>0</v>
      </c>
    </row>
    <row r="1573" spans="1:17" x14ac:dyDescent="0.25">
      <c r="A1573" s="549" t="s">
        <v>1018</v>
      </c>
      <c r="B1573" s="549" t="s">
        <v>1019</v>
      </c>
      <c r="C1573" s="549" t="s">
        <v>819</v>
      </c>
      <c r="D1573" s="549" t="s">
        <v>820</v>
      </c>
      <c r="E1573" s="549" t="s">
        <v>977</v>
      </c>
      <c r="F1573" s="549" t="s">
        <v>1212</v>
      </c>
      <c r="G1573" s="549" t="s">
        <v>1253</v>
      </c>
      <c r="H1573" s="549" t="s">
        <v>821</v>
      </c>
      <c r="I1573" s="549" t="s">
        <v>976</v>
      </c>
      <c r="J1573" s="549" t="s">
        <v>976</v>
      </c>
      <c r="K1573" s="549" t="s">
        <v>976</v>
      </c>
      <c r="L1573" s="549">
        <v>0.02</v>
      </c>
      <c r="M1573" s="549">
        <v>0</v>
      </c>
      <c r="N1573" s="549">
        <v>0</v>
      </c>
      <c r="O1573" s="549">
        <v>0</v>
      </c>
      <c r="P1573" s="549">
        <v>100</v>
      </c>
      <c r="Q1573" s="549">
        <v>0</v>
      </c>
    </row>
    <row r="1574" spans="1:17" x14ac:dyDescent="0.25">
      <c r="A1574" s="549" t="s">
        <v>1018</v>
      </c>
      <c r="B1574" s="549" t="s">
        <v>1019</v>
      </c>
      <c r="C1574" s="549" t="s">
        <v>819</v>
      </c>
      <c r="D1574" s="549" t="s">
        <v>820</v>
      </c>
      <c r="E1574" s="549" t="s">
        <v>977</v>
      </c>
      <c r="F1574" s="549" t="s">
        <v>1212</v>
      </c>
      <c r="G1574" s="549">
        <v>857</v>
      </c>
      <c r="H1574" s="549" t="s">
        <v>819</v>
      </c>
      <c r="I1574" s="549" t="s">
        <v>976</v>
      </c>
      <c r="J1574" s="549" t="s">
        <v>976</v>
      </c>
      <c r="K1574" s="549" t="s">
        <v>976</v>
      </c>
      <c r="L1574" s="549">
        <v>0.02</v>
      </c>
      <c r="M1574" s="549">
        <v>0</v>
      </c>
      <c r="N1574" s="549">
        <v>0</v>
      </c>
      <c r="O1574" s="549">
        <v>992</v>
      </c>
      <c r="P1574" s="549">
        <v>100</v>
      </c>
      <c r="Q1574" s="549">
        <v>992</v>
      </c>
    </row>
    <row r="1575" spans="1:17" x14ac:dyDescent="0.25">
      <c r="A1575" s="549" t="s">
        <v>1018</v>
      </c>
      <c r="B1575" s="549" t="s">
        <v>1019</v>
      </c>
      <c r="C1575" s="549" t="s">
        <v>819</v>
      </c>
      <c r="D1575" s="549" t="s">
        <v>820</v>
      </c>
      <c r="E1575" s="549" t="s">
        <v>977</v>
      </c>
      <c r="F1575" s="549" t="s">
        <v>1212</v>
      </c>
      <c r="G1575" s="549">
        <v>1022</v>
      </c>
      <c r="H1575" s="549" t="s">
        <v>819</v>
      </c>
      <c r="I1575" s="549" t="s">
        <v>976</v>
      </c>
      <c r="J1575" s="549" t="s">
        <v>976</v>
      </c>
      <c r="K1575" s="549" t="s">
        <v>976</v>
      </c>
      <c r="L1575" s="549">
        <v>123385.09</v>
      </c>
      <c r="M1575" s="549">
        <v>9315.57</v>
      </c>
      <c r="N1575" s="549">
        <v>2726.81</v>
      </c>
      <c r="O1575" s="549">
        <v>1984</v>
      </c>
      <c r="P1575" s="549">
        <v>100</v>
      </c>
      <c r="Q1575" s="549">
        <v>14026.38</v>
      </c>
    </row>
    <row r="1576" spans="1:17" x14ac:dyDescent="0.25">
      <c r="A1576" s="549" t="s">
        <v>1018</v>
      </c>
      <c r="B1576" s="549" t="s">
        <v>1019</v>
      </c>
      <c r="C1576" s="549" t="s">
        <v>819</v>
      </c>
      <c r="D1576" s="549" t="s">
        <v>820</v>
      </c>
      <c r="E1576" s="549" t="s">
        <v>977</v>
      </c>
      <c r="F1576" s="549" t="s">
        <v>1212</v>
      </c>
      <c r="G1576" s="549">
        <v>1032</v>
      </c>
      <c r="H1576" s="549" t="s">
        <v>819</v>
      </c>
      <c r="I1576" s="549" t="s">
        <v>976</v>
      </c>
      <c r="J1576" s="549" t="s">
        <v>976</v>
      </c>
      <c r="K1576" s="549" t="s">
        <v>976</v>
      </c>
      <c r="L1576" s="549">
        <v>135402.25</v>
      </c>
      <c r="M1576" s="549">
        <v>10222.870000000001</v>
      </c>
      <c r="N1576" s="549">
        <v>2992.39</v>
      </c>
      <c r="O1576" s="549">
        <v>3968</v>
      </c>
      <c r="P1576" s="549">
        <v>100</v>
      </c>
      <c r="Q1576" s="549">
        <v>17183.259999999998</v>
      </c>
    </row>
    <row r="1577" spans="1:17" x14ac:dyDescent="0.25">
      <c r="A1577" s="549" t="s">
        <v>1018</v>
      </c>
      <c r="B1577" s="549" t="s">
        <v>1019</v>
      </c>
      <c r="C1577" s="549" t="s">
        <v>819</v>
      </c>
      <c r="D1577" s="549" t="s">
        <v>820</v>
      </c>
      <c r="E1577" s="549" t="s">
        <v>977</v>
      </c>
      <c r="F1577" s="549" t="s">
        <v>1212</v>
      </c>
      <c r="G1577" s="549">
        <v>1042</v>
      </c>
      <c r="H1577" s="549" t="s">
        <v>819</v>
      </c>
      <c r="I1577" s="549" t="s">
        <v>976</v>
      </c>
      <c r="J1577" s="549" t="s">
        <v>976</v>
      </c>
      <c r="K1577" s="549" t="s">
        <v>976</v>
      </c>
      <c r="L1577" s="549">
        <v>135402.25</v>
      </c>
      <c r="M1577" s="549">
        <v>10222.870000000001</v>
      </c>
      <c r="N1577" s="549">
        <v>2992.39</v>
      </c>
      <c r="O1577" s="549">
        <v>3968</v>
      </c>
      <c r="P1577" s="549">
        <v>100</v>
      </c>
      <c r="Q1577" s="549">
        <v>17183.259999999998</v>
      </c>
    </row>
    <row r="1578" spans="1:17" x14ac:dyDescent="0.25">
      <c r="A1578" s="549" t="s">
        <v>1018</v>
      </c>
      <c r="B1578" s="549" t="s">
        <v>1019</v>
      </c>
      <c r="C1578" s="549" t="s">
        <v>819</v>
      </c>
      <c r="D1578" s="549" t="s">
        <v>820</v>
      </c>
      <c r="E1578" s="549" t="s">
        <v>977</v>
      </c>
      <c r="F1578" s="549" t="s">
        <v>1212</v>
      </c>
      <c r="G1578" s="549">
        <v>1052</v>
      </c>
      <c r="H1578" s="549" t="s">
        <v>819</v>
      </c>
      <c r="I1578" s="549" t="s">
        <v>976</v>
      </c>
      <c r="J1578" s="549" t="s">
        <v>976</v>
      </c>
      <c r="K1578" s="549" t="s">
        <v>976</v>
      </c>
      <c r="L1578" s="549">
        <v>135402.25</v>
      </c>
      <c r="M1578" s="549">
        <v>10222.870000000001</v>
      </c>
      <c r="N1578" s="549">
        <v>2992.39</v>
      </c>
      <c r="O1578" s="549">
        <v>3968</v>
      </c>
      <c r="P1578" s="549">
        <v>100</v>
      </c>
      <c r="Q1578" s="549">
        <v>17183.259999999998</v>
      </c>
    </row>
    <row r="1579" spans="1:17" x14ac:dyDescent="0.25">
      <c r="A1579" s="549" t="s">
        <v>1018</v>
      </c>
      <c r="B1579" s="549" t="s">
        <v>1019</v>
      </c>
      <c r="C1579" s="549" t="s">
        <v>819</v>
      </c>
      <c r="D1579" s="549" t="s">
        <v>820</v>
      </c>
      <c r="E1579" s="549" t="s">
        <v>977</v>
      </c>
      <c r="F1579" s="549" t="s">
        <v>1212</v>
      </c>
      <c r="G1579" s="549">
        <v>1057</v>
      </c>
      <c r="H1579" s="549" t="s">
        <v>819</v>
      </c>
      <c r="I1579" s="549" t="s">
        <v>976</v>
      </c>
      <c r="J1579" s="549" t="s">
        <v>976</v>
      </c>
      <c r="K1579" s="549" t="s">
        <v>976</v>
      </c>
      <c r="L1579" s="549">
        <v>18616.689999999999</v>
      </c>
      <c r="M1579" s="549">
        <v>1405.56</v>
      </c>
      <c r="N1579" s="549">
        <v>411.43</v>
      </c>
      <c r="O1579" s="549">
        <v>992</v>
      </c>
      <c r="P1579" s="549">
        <v>100</v>
      </c>
      <c r="Q1579" s="549">
        <v>2808.99</v>
      </c>
    </row>
    <row r="1580" spans="1:17" x14ac:dyDescent="0.25">
      <c r="A1580" s="549" t="s">
        <v>1018</v>
      </c>
      <c r="B1580" s="549" t="s">
        <v>1019</v>
      </c>
      <c r="C1580" s="549" t="s">
        <v>819</v>
      </c>
      <c r="D1580" s="549" t="s">
        <v>820</v>
      </c>
      <c r="E1580" s="549" t="s">
        <v>977</v>
      </c>
      <c r="F1580" s="549" t="s">
        <v>1212</v>
      </c>
      <c r="G1580" s="549">
        <v>1072</v>
      </c>
      <c r="H1580" s="549" t="s">
        <v>819</v>
      </c>
      <c r="I1580" s="549" t="s">
        <v>976</v>
      </c>
      <c r="J1580" s="549" t="s">
        <v>976</v>
      </c>
      <c r="K1580" s="549" t="s">
        <v>976</v>
      </c>
      <c r="L1580" s="549">
        <v>135402.25</v>
      </c>
      <c r="M1580" s="549">
        <v>10222.870000000001</v>
      </c>
      <c r="N1580" s="549">
        <v>2992.39</v>
      </c>
      <c r="O1580" s="549">
        <v>3968</v>
      </c>
      <c r="P1580" s="549">
        <v>100</v>
      </c>
      <c r="Q1580" s="549">
        <v>17183.259999999998</v>
      </c>
    </row>
    <row r="1581" spans="1:17" x14ac:dyDescent="0.25">
      <c r="A1581" s="549" t="s">
        <v>1018</v>
      </c>
      <c r="B1581" s="549" t="s">
        <v>1019</v>
      </c>
      <c r="C1581" s="549" t="s">
        <v>819</v>
      </c>
      <c r="D1581" s="549" t="s">
        <v>820</v>
      </c>
      <c r="E1581" s="549" t="s">
        <v>977</v>
      </c>
      <c r="F1581" s="549" t="s">
        <v>1212</v>
      </c>
      <c r="G1581" s="549">
        <v>1082</v>
      </c>
      <c r="H1581" s="549" t="s">
        <v>819</v>
      </c>
      <c r="I1581" s="549" t="s">
        <v>976</v>
      </c>
      <c r="J1581" s="549" t="s">
        <v>976</v>
      </c>
      <c r="K1581" s="549" t="s">
        <v>976</v>
      </c>
      <c r="L1581" s="549">
        <v>135402.25</v>
      </c>
      <c r="M1581" s="549">
        <v>10222.870000000001</v>
      </c>
      <c r="N1581" s="549">
        <v>2992.39</v>
      </c>
      <c r="O1581" s="549">
        <v>3968</v>
      </c>
      <c r="P1581" s="549">
        <v>100</v>
      </c>
      <c r="Q1581" s="549">
        <v>17183.259999999998</v>
      </c>
    </row>
    <row r="1582" spans="1:17" x14ac:dyDescent="0.25">
      <c r="A1582" s="549" t="s">
        <v>1018</v>
      </c>
      <c r="B1582" s="549" t="s">
        <v>1019</v>
      </c>
      <c r="C1582" s="549" t="s">
        <v>819</v>
      </c>
      <c r="D1582" s="549" t="s">
        <v>820</v>
      </c>
      <c r="E1582" s="549" t="s">
        <v>977</v>
      </c>
      <c r="F1582" s="549" t="s">
        <v>1212</v>
      </c>
      <c r="G1582" s="549">
        <v>1092</v>
      </c>
      <c r="H1582" s="549" t="s">
        <v>819</v>
      </c>
      <c r="I1582" s="549" t="s">
        <v>976</v>
      </c>
      <c r="J1582" s="549" t="s">
        <v>976</v>
      </c>
      <c r="K1582" s="549" t="s">
        <v>976</v>
      </c>
      <c r="L1582" s="549">
        <v>135402.25</v>
      </c>
      <c r="M1582" s="549">
        <v>10222.870000000001</v>
      </c>
      <c r="N1582" s="549">
        <v>2992.39</v>
      </c>
      <c r="O1582" s="549">
        <v>3968</v>
      </c>
      <c r="P1582" s="549">
        <v>100</v>
      </c>
      <c r="Q1582" s="549">
        <v>17183.259999999998</v>
      </c>
    </row>
    <row r="1583" spans="1:17" x14ac:dyDescent="0.25">
      <c r="A1583" s="549" t="s">
        <v>1018</v>
      </c>
      <c r="B1583" s="549" t="s">
        <v>1019</v>
      </c>
      <c r="C1583" s="549" t="s">
        <v>819</v>
      </c>
      <c r="D1583" s="549" t="s">
        <v>820</v>
      </c>
      <c r="E1583" s="549" t="s">
        <v>977</v>
      </c>
      <c r="F1583" s="549" t="s">
        <v>1212</v>
      </c>
      <c r="G1583" s="549">
        <v>1102</v>
      </c>
      <c r="H1583" s="549" t="s">
        <v>819</v>
      </c>
      <c r="I1583" s="549" t="s">
        <v>976</v>
      </c>
      <c r="J1583" s="549" t="s">
        <v>976</v>
      </c>
      <c r="K1583" s="549" t="s">
        <v>976</v>
      </c>
      <c r="L1583" s="549">
        <v>123385.09</v>
      </c>
      <c r="M1583" s="549">
        <v>9315.57</v>
      </c>
      <c r="N1583" s="549">
        <v>2726.81</v>
      </c>
      <c r="O1583" s="549">
        <v>1984</v>
      </c>
      <c r="P1583" s="549">
        <v>100</v>
      </c>
      <c r="Q1583" s="549">
        <v>14026.38</v>
      </c>
    </row>
    <row r="1584" spans="1:17" x14ac:dyDescent="0.25">
      <c r="A1584" s="549" t="s">
        <v>1018</v>
      </c>
      <c r="B1584" s="549" t="s">
        <v>1019</v>
      </c>
      <c r="C1584" s="549" t="s">
        <v>819</v>
      </c>
      <c r="D1584" s="549" t="s">
        <v>820</v>
      </c>
      <c r="E1584" s="549" t="s">
        <v>977</v>
      </c>
      <c r="F1584" s="549" t="s">
        <v>1212</v>
      </c>
      <c r="G1584" s="549">
        <v>1112</v>
      </c>
      <c r="H1584" s="549" t="s">
        <v>819</v>
      </c>
      <c r="I1584" s="549" t="s">
        <v>976</v>
      </c>
      <c r="J1584" s="549" t="s">
        <v>976</v>
      </c>
      <c r="K1584" s="549" t="s">
        <v>976</v>
      </c>
      <c r="L1584" s="549">
        <v>135402.25</v>
      </c>
      <c r="M1584" s="549">
        <v>10222.870000000001</v>
      </c>
      <c r="N1584" s="549">
        <v>2992.39</v>
      </c>
      <c r="O1584" s="549">
        <v>3968</v>
      </c>
      <c r="P1584" s="549">
        <v>100</v>
      </c>
      <c r="Q1584" s="549">
        <v>17183.259999999998</v>
      </c>
    </row>
    <row r="1585" spans="1:17" x14ac:dyDescent="0.25">
      <c r="A1585" s="549" t="s">
        <v>1018</v>
      </c>
      <c r="B1585" s="549" t="s">
        <v>1019</v>
      </c>
      <c r="C1585" s="549" t="s">
        <v>819</v>
      </c>
      <c r="D1585" s="549" t="s">
        <v>820</v>
      </c>
      <c r="E1585" s="549" t="s">
        <v>977</v>
      </c>
      <c r="F1585" s="549" t="s">
        <v>1212</v>
      </c>
      <c r="G1585" s="549" t="s">
        <v>1233</v>
      </c>
      <c r="H1585" s="549" t="s">
        <v>819</v>
      </c>
      <c r="I1585" s="549" t="s">
        <v>976</v>
      </c>
      <c r="J1585" s="549" t="s">
        <v>976</v>
      </c>
      <c r="K1585" s="549" t="s">
        <v>976</v>
      </c>
      <c r="L1585" s="549">
        <v>31881.38</v>
      </c>
      <c r="M1585" s="549">
        <v>2407.04</v>
      </c>
      <c r="N1585" s="549">
        <v>704.58</v>
      </c>
      <c r="O1585" s="549">
        <v>1984</v>
      </c>
      <c r="P1585" s="549">
        <v>100</v>
      </c>
      <c r="Q1585" s="549">
        <v>5095.62</v>
      </c>
    </row>
    <row r="1586" spans="1:17" x14ac:dyDescent="0.25">
      <c r="A1586" s="549" t="s">
        <v>1018</v>
      </c>
      <c r="B1586" s="549" t="s">
        <v>1019</v>
      </c>
      <c r="C1586" s="549" t="s">
        <v>819</v>
      </c>
      <c r="D1586" s="549" t="s">
        <v>820</v>
      </c>
      <c r="E1586" s="549" t="s">
        <v>977</v>
      </c>
      <c r="F1586" s="549" t="s">
        <v>1212</v>
      </c>
      <c r="G1586" s="549" t="s">
        <v>1330</v>
      </c>
      <c r="H1586" s="549" t="s">
        <v>819</v>
      </c>
      <c r="I1586" s="549" t="s">
        <v>976</v>
      </c>
      <c r="J1586" s="549" t="s">
        <v>976</v>
      </c>
      <c r="K1586" s="549" t="s">
        <v>976</v>
      </c>
      <c r="L1586" s="549">
        <v>30774.49</v>
      </c>
      <c r="M1586" s="549">
        <v>2323.4699999999998</v>
      </c>
      <c r="N1586" s="549">
        <v>680.12</v>
      </c>
      <c r="O1586" s="549">
        <v>0</v>
      </c>
      <c r="P1586" s="549">
        <v>100</v>
      </c>
      <c r="Q1586" s="549">
        <v>3003.59</v>
      </c>
    </row>
    <row r="1587" spans="1:17" x14ac:dyDescent="0.25">
      <c r="A1587" s="549" t="s">
        <v>1018</v>
      </c>
      <c r="B1587" s="549" t="s">
        <v>1019</v>
      </c>
      <c r="C1587" s="549" t="s">
        <v>819</v>
      </c>
      <c r="D1587" s="549" t="s">
        <v>820</v>
      </c>
      <c r="E1587" s="549" t="s">
        <v>977</v>
      </c>
      <c r="F1587" s="549" t="s">
        <v>1212</v>
      </c>
      <c r="G1587" s="549" t="s">
        <v>1226</v>
      </c>
      <c r="H1587" s="549" t="s">
        <v>819</v>
      </c>
      <c r="I1587" s="549" t="s">
        <v>976</v>
      </c>
      <c r="J1587" s="549" t="s">
        <v>976</v>
      </c>
      <c r="K1587" s="549" t="s">
        <v>976</v>
      </c>
      <c r="L1587" s="549">
        <v>30774.49</v>
      </c>
      <c r="M1587" s="549">
        <v>2323.4699999999998</v>
      </c>
      <c r="N1587" s="549">
        <v>680.12</v>
      </c>
      <c r="O1587" s="549">
        <v>0</v>
      </c>
      <c r="P1587" s="549">
        <v>100</v>
      </c>
      <c r="Q1587" s="549">
        <v>3003.59</v>
      </c>
    </row>
    <row r="1588" spans="1:17" x14ac:dyDescent="0.25">
      <c r="A1588" s="549" t="s">
        <v>1018</v>
      </c>
      <c r="B1588" s="549" t="s">
        <v>1019</v>
      </c>
      <c r="C1588" s="549" t="s">
        <v>819</v>
      </c>
      <c r="D1588" s="549" t="s">
        <v>820</v>
      </c>
      <c r="E1588" s="549" t="s">
        <v>977</v>
      </c>
      <c r="F1588" s="549" t="s">
        <v>1212</v>
      </c>
      <c r="G1588" s="549" t="s">
        <v>1251</v>
      </c>
      <c r="H1588" s="549" t="s">
        <v>819</v>
      </c>
      <c r="I1588" s="549" t="s">
        <v>976</v>
      </c>
      <c r="J1588" s="549" t="s">
        <v>976</v>
      </c>
      <c r="K1588" s="549" t="s">
        <v>976</v>
      </c>
      <c r="L1588" s="549">
        <v>286934.52</v>
      </c>
      <c r="M1588" s="549">
        <v>21663.56</v>
      </c>
      <c r="N1588" s="549">
        <v>6341.25</v>
      </c>
      <c r="O1588" s="549">
        <v>992</v>
      </c>
      <c r="P1588" s="549">
        <v>100</v>
      </c>
      <c r="Q1588" s="549">
        <v>28996.81</v>
      </c>
    </row>
    <row r="1589" spans="1:17" x14ac:dyDescent="0.25">
      <c r="A1589" s="549" t="s">
        <v>1018</v>
      </c>
      <c r="B1589" s="549" t="s">
        <v>1019</v>
      </c>
      <c r="C1589" s="549" t="s">
        <v>819</v>
      </c>
      <c r="D1589" s="549" t="s">
        <v>820</v>
      </c>
      <c r="E1589" s="549" t="s">
        <v>977</v>
      </c>
      <c r="F1589" s="549" t="s">
        <v>1212</v>
      </c>
      <c r="G1589" s="549" t="s">
        <v>1287</v>
      </c>
      <c r="H1589" s="549" t="s">
        <v>819</v>
      </c>
      <c r="I1589" s="549" t="s">
        <v>976</v>
      </c>
      <c r="J1589" s="549" t="s">
        <v>976</v>
      </c>
      <c r="K1589" s="549" t="s">
        <v>976</v>
      </c>
      <c r="L1589" s="549">
        <v>286934.52</v>
      </c>
      <c r="M1589" s="549">
        <v>21663.56</v>
      </c>
      <c r="N1589" s="549">
        <v>6341.25</v>
      </c>
      <c r="O1589" s="549">
        <v>992</v>
      </c>
      <c r="P1589" s="549">
        <v>100</v>
      </c>
      <c r="Q1589" s="549">
        <v>28996.81</v>
      </c>
    </row>
    <row r="1590" spans="1:17" x14ac:dyDescent="0.25">
      <c r="A1590" s="549" t="s">
        <v>1027</v>
      </c>
      <c r="B1590" s="549" t="s">
        <v>592</v>
      </c>
      <c r="C1590" s="549" t="s">
        <v>881</v>
      </c>
      <c r="D1590" s="549" t="s">
        <v>882</v>
      </c>
      <c r="E1590" s="549" t="s">
        <v>977</v>
      </c>
      <c r="F1590" s="549" t="s">
        <v>1212</v>
      </c>
      <c r="G1590" s="549">
        <v>122</v>
      </c>
      <c r="H1590" s="549" t="s">
        <v>881</v>
      </c>
      <c r="I1590" s="549" t="s">
        <v>976</v>
      </c>
      <c r="J1590" s="549" t="s">
        <v>976</v>
      </c>
      <c r="K1590" s="549" t="s">
        <v>976</v>
      </c>
      <c r="L1590" s="549">
        <v>331166.81</v>
      </c>
      <c r="M1590" s="549">
        <v>25003.09</v>
      </c>
      <c r="N1590" s="549">
        <v>7318.79</v>
      </c>
      <c r="O1590" s="549">
        <v>1984</v>
      </c>
      <c r="P1590" s="549">
        <v>100</v>
      </c>
      <c r="Q1590" s="549">
        <v>34305.879999999997</v>
      </c>
    </row>
    <row r="1591" spans="1:17" x14ac:dyDescent="0.25">
      <c r="A1591" s="549" t="s">
        <v>1174</v>
      </c>
      <c r="B1591" s="549" t="s">
        <v>574</v>
      </c>
      <c r="C1591" s="549" t="s">
        <v>515</v>
      </c>
      <c r="D1591" s="549" t="s">
        <v>675</v>
      </c>
      <c r="E1591" s="549" t="s">
        <v>973</v>
      </c>
      <c r="F1591" s="549" t="s">
        <v>1212</v>
      </c>
      <c r="G1591" s="549">
        <v>102</v>
      </c>
      <c r="H1591" s="549" t="s">
        <v>515</v>
      </c>
      <c r="I1591" s="549" t="s">
        <v>976</v>
      </c>
      <c r="J1591" s="549" t="s">
        <v>976</v>
      </c>
      <c r="K1591" s="549" t="s">
        <v>976</v>
      </c>
      <c r="L1591" s="549">
        <v>205485.63</v>
      </c>
      <c r="M1591" s="549">
        <v>15514.17</v>
      </c>
      <c r="N1591" s="549">
        <v>11794.88</v>
      </c>
      <c r="O1591" s="549">
        <v>1984</v>
      </c>
      <c r="P1591" s="549">
        <v>37.42</v>
      </c>
      <c r="Q1591" s="549">
        <v>10961.46</v>
      </c>
    </row>
    <row r="1592" spans="1:17" x14ac:dyDescent="0.25">
      <c r="A1592" s="549" t="s">
        <v>1174</v>
      </c>
      <c r="B1592" s="549" t="s">
        <v>574</v>
      </c>
      <c r="C1592" s="549" t="s">
        <v>515</v>
      </c>
      <c r="D1592" s="549" t="s">
        <v>675</v>
      </c>
      <c r="E1592" s="549" t="s">
        <v>973</v>
      </c>
      <c r="F1592" s="549" t="s">
        <v>1212</v>
      </c>
      <c r="G1592" s="549">
        <v>112</v>
      </c>
      <c r="H1592" s="549" t="s">
        <v>515</v>
      </c>
      <c r="I1592" s="549" t="s">
        <v>976</v>
      </c>
      <c r="J1592" s="549" t="s">
        <v>976</v>
      </c>
      <c r="K1592" s="549" t="s">
        <v>976</v>
      </c>
      <c r="L1592" s="549">
        <v>205485.63</v>
      </c>
      <c r="M1592" s="549">
        <v>15514.17</v>
      </c>
      <c r="N1592" s="549">
        <v>11794.88</v>
      </c>
      <c r="O1592" s="549">
        <v>1984</v>
      </c>
      <c r="P1592" s="549">
        <v>37.42</v>
      </c>
      <c r="Q1592" s="549">
        <v>10961.46</v>
      </c>
    </row>
    <row r="1593" spans="1:17" x14ac:dyDescent="0.25">
      <c r="A1593" s="549" t="s">
        <v>1174</v>
      </c>
      <c r="B1593" s="549" t="s">
        <v>574</v>
      </c>
      <c r="C1593" s="549" t="s">
        <v>515</v>
      </c>
      <c r="D1593" s="549" t="s">
        <v>675</v>
      </c>
      <c r="E1593" s="549" t="s">
        <v>973</v>
      </c>
      <c r="F1593" s="549" t="s">
        <v>1212</v>
      </c>
      <c r="G1593" s="549">
        <v>302</v>
      </c>
      <c r="H1593" s="549" t="s">
        <v>515</v>
      </c>
      <c r="I1593" s="549" t="s">
        <v>976</v>
      </c>
      <c r="J1593" s="549" t="s">
        <v>976</v>
      </c>
      <c r="K1593" s="549" t="s">
        <v>976</v>
      </c>
      <c r="L1593" s="549">
        <v>128833.83</v>
      </c>
      <c r="M1593" s="549">
        <v>9726.9500000000007</v>
      </c>
      <c r="N1593" s="549">
        <v>7395.06</v>
      </c>
      <c r="O1593" s="549">
        <v>1984</v>
      </c>
      <c r="P1593" s="549">
        <v>37.42</v>
      </c>
      <c r="Q1593" s="549">
        <v>7149.47</v>
      </c>
    </row>
    <row r="1594" spans="1:17" x14ac:dyDescent="0.25">
      <c r="A1594" s="549" t="s">
        <v>1174</v>
      </c>
      <c r="B1594" s="549" t="s">
        <v>574</v>
      </c>
      <c r="C1594" s="549" t="s">
        <v>515</v>
      </c>
      <c r="D1594" s="549" t="s">
        <v>675</v>
      </c>
      <c r="E1594" s="549" t="s">
        <v>973</v>
      </c>
      <c r="F1594" s="549" t="s">
        <v>1212</v>
      </c>
      <c r="G1594" s="549">
        <v>324</v>
      </c>
      <c r="H1594" s="549" t="s">
        <v>515</v>
      </c>
      <c r="I1594" s="549" t="s">
        <v>976</v>
      </c>
      <c r="J1594" s="549" t="s">
        <v>976</v>
      </c>
      <c r="K1594" s="549" t="s">
        <v>976</v>
      </c>
      <c r="L1594" s="549">
        <v>45283.839999999997</v>
      </c>
      <c r="M1594" s="549">
        <v>3418.93</v>
      </c>
      <c r="N1594" s="549">
        <v>2599.29</v>
      </c>
      <c r="O1594" s="549">
        <v>892.8</v>
      </c>
      <c r="P1594" s="549">
        <v>37.42</v>
      </c>
      <c r="Q1594" s="549">
        <v>2586.1</v>
      </c>
    </row>
    <row r="1595" spans="1:17" x14ac:dyDescent="0.25">
      <c r="A1595" s="549" t="s">
        <v>1174</v>
      </c>
      <c r="B1595" s="549" t="s">
        <v>574</v>
      </c>
      <c r="C1595" s="549" t="s">
        <v>515</v>
      </c>
      <c r="D1595" s="549" t="s">
        <v>675</v>
      </c>
      <c r="E1595" s="549" t="s">
        <v>973</v>
      </c>
      <c r="F1595" s="549" t="s">
        <v>1212</v>
      </c>
      <c r="G1595" s="549">
        <v>342</v>
      </c>
      <c r="H1595" s="549" t="s">
        <v>515</v>
      </c>
      <c r="I1595" s="549" t="s">
        <v>976</v>
      </c>
      <c r="J1595" s="549" t="s">
        <v>976</v>
      </c>
      <c r="K1595" s="549" t="s">
        <v>976</v>
      </c>
      <c r="L1595" s="549">
        <v>128833.83</v>
      </c>
      <c r="M1595" s="549">
        <v>9726.9500000000007</v>
      </c>
      <c r="N1595" s="549">
        <v>7395.06</v>
      </c>
      <c r="O1595" s="549">
        <v>1984</v>
      </c>
      <c r="P1595" s="549">
        <v>37.42</v>
      </c>
      <c r="Q1595" s="549">
        <v>7149.47</v>
      </c>
    </row>
    <row r="1596" spans="1:17" x14ac:dyDescent="0.25">
      <c r="A1596" s="549" t="s">
        <v>1174</v>
      </c>
      <c r="B1596" s="549" t="s">
        <v>574</v>
      </c>
      <c r="C1596" s="549" t="s">
        <v>515</v>
      </c>
      <c r="D1596" s="549" t="s">
        <v>675</v>
      </c>
      <c r="E1596" s="549" t="s">
        <v>973</v>
      </c>
      <c r="F1596" s="549" t="s">
        <v>1212</v>
      </c>
      <c r="G1596" s="549" t="s">
        <v>1331</v>
      </c>
      <c r="H1596" s="549" t="s">
        <v>515</v>
      </c>
      <c r="I1596" s="549" t="s">
        <v>976</v>
      </c>
      <c r="J1596" s="549" t="s">
        <v>976</v>
      </c>
      <c r="K1596" s="549" t="s">
        <v>976</v>
      </c>
      <c r="L1596" s="549">
        <v>33289.279999999999</v>
      </c>
      <c r="M1596" s="549">
        <v>2513.34</v>
      </c>
      <c r="N1596" s="549">
        <v>1910.8</v>
      </c>
      <c r="O1596" s="549">
        <v>1984</v>
      </c>
      <c r="P1596" s="549">
        <v>37.42</v>
      </c>
      <c r="Q1596" s="549">
        <v>2397.9299999999998</v>
      </c>
    </row>
    <row r="1597" spans="1:17" x14ac:dyDescent="0.25">
      <c r="A1597" s="549" t="s">
        <v>1174</v>
      </c>
      <c r="B1597" s="549" t="s">
        <v>574</v>
      </c>
      <c r="C1597" s="549" t="s">
        <v>515</v>
      </c>
      <c r="D1597" s="549" t="s">
        <v>675</v>
      </c>
      <c r="E1597" s="549" t="s">
        <v>977</v>
      </c>
      <c r="F1597" s="549" t="s">
        <v>1212</v>
      </c>
      <c r="G1597" s="549">
        <v>102</v>
      </c>
      <c r="H1597" s="549" t="s">
        <v>515</v>
      </c>
      <c r="I1597" s="549" t="s">
        <v>976</v>
      </c>
      <c r="J1597" s="549" t="s">
        <v>976</v>
      </c>
      <c r="K1597" s="549" t="s">
        <v>976</v>
      </c>
      <c r="L1597" s="549">
        <v>205485.63</v>
      </c>
      <c r="M1597" s="549">
        <v>15514.17</v>
      </c>
      <c r="N1597" s="549">
        <v>4541.2299999999996</v>
      </c>
      <c r="O1597" s="549">
        <v>1984</v>
      </c>
      <c r="P1597" s="549">
        <v>62.58</v>
      </c>
      <c r="Q1597" s="549">
        <v>13792.26</v>
      </c>
    </row>
    <row r="1598" spans="1:17" x14ac:dyDescent="0.25">
      <c r="A1598" s="549" t="s">
        <v>1174</v>
      </c>
      <c r="B1598" s="549" t="s">
        <v>574</v>
      </c>
      <c r="C1598" s="549" t="s">
        <v>515</v>
      </c>
      <c r="D1598" s="549" t="s">
        <v>675</v>
      </c>
      <c r="E1598" s="549" t="s">
        <v>977</v>
      </c>
      <c r="F1598" s="549" t="s">
        <v>1212</v>
      </c>
      <c r="G1598" s="549">
        <v>112</v>
      </c>
      <c r="H1598" s="549" t="s">
        <v>515</v>
      </c>
      <c r="I1598" s="549" t="s">
        <v>976</v>
      </c>
      <c r="J1598" s="549" t="s">
        <v>976</v>
      </c>
      <c r="K1598" s="549" t="s">
        <v>976</v>
      </c>
      <c r="L1598" s="549">
        <v>205485.63</v>
      </c>
      <c r="M1598" s="549">
        <v>15514.17</v>
      </c>
      <c r="N1598" s="549">
        <v>4541.2299999999996</v>
      </c>
      <c r="O1598" s="549">
        <v>1984</v>
      </c>
      <c r="P1598" s="549">
        <v>62.58</v>
      </c>
      <c r="Q1598" s="549">
        <v>13792.26</v>
      </c>
    </row>
    <row r="1599" spans="1:17" x14ac:dyDescent="0.25">
      <c r="A1599" s="549" t="s">
        <v>1174</v>
      </c>
      <c r="B1599" s="549" t="s">
        <v>574</v>
      </c>
      <c r="C1599" s="549" t="s">
        <v>515</v>
      </c>
      <c r="D1599" s="549" t="s">
        <v>675</v>
      </c>
      <c r="E1599" s="549" t="s">
        <v>977</v>
      </c>
      <c r="F1599" s="549" t="s">
        <v>1212</v>
      </c>
      <c r="G1599" s="549">
        <v>292</v>
      </c>
      <c r="H1599" s="549" t="s">
        <v>515</v>
      </c>
      <c r="I1599" s="549" t="s">
        <v>976</v>
      </c>
      <c r="J1599" s="549" t="s">
        <v>976</v>
      </c>
      <c r="K1599" s="549" t="s">
        <v>976</v>
      </c>
      <c r="L1599" s="549">
        <v>141381.70000000001</v>
      </c>
      <c r="M1599" s="549">
        <v>10674.32</v>
      </c>
      <c r="N1599" s="549">
        <v>3124.54</v>
      </c>
      <c r="O1599" s="549">
        <v>3968</v>
      </c>
      <c r="P1599" s="549">
        <v>100</v>
      </c>
      <c r="Q1599" s="549">
        <v>17766.86</v>
      </c>
    </row>
    <row r="1600" spans="1:17" x14ac:dyDescent="0.25">
      <c r="A1600" s="549" t="s">
        <v>1174</v>
      </c>
      <c r="B1600" s="549" t="s">
        <v>574</v>
      </c>
      <c r="C1600" s="549" t="s">
        <v>515</v>
      </c>
      <c r="D1600" s="549" t="s">
        <v>675</v>
      </c>
      <c r="E1600" s="549" t="s">
        <v>977</v>
      </c>
      <c r="F1600" s="549" t="s">
        <v>1212</v>
      </c>
      <c r="G1600" s="549">
        <v>302</v>
      </c>
      <c r="H1600" s="549" t="s">
        <v>515</v>
      </c>
      <c r="I1600" s="549" t="s">
        <v>976</v>
      </c>
      <c r="J1600" s="549" t="s">
        <v>976</v>
      </c>
      <c r="K1600" s="549" t="s">
        <v>976</v>
      </c>
      <c r="L1600" s="549">
        <v>128833.83</v>
      </c>
      <c r="M1600" s="549">
        <v>9726.9500000000007</v>
      </c>
      <c r="N1600" s="549">
        <v>2847.23</v>
      </c>
      <c r="O1600" s="549">
        <v>1984</v>
      </c>
      <c r="P1600" s="549">
        <v>62.58</v>
      </c>
      <c r="Q1600" s="549">
        <v>9110.51</v>
      </c>
    </row>
    <row r="1601" spans="1:17" x14ac:dyDescent="0.25">
      <c r="A1601" s="549" t="s">
        <v>1174</v>
      </c>
      <c r="B1601" s="549" t="s">
        <v>574</v>
      </c>
      <c r="C1601" s="549" t="s">
        <v>515</v>
      </c>
      <c r="D1601" s="549" t="s">
        <v>675</v>
      </c>
      <c r="E1601" s="549" t="s">
        <v>977</v>
      </c>
      <c r="F1601" s="549" t="s">
        <v>1212</v>
      </c>
      <c r="G1601" s="549">
        <v>312</v>
      </c>
      <c r="H1601" s="549" t="s">
        <v>515</v>
      </c>
      <c r="I1601" s="549" t="s">
        <v>976</v>
      </c>
      <c r="J1601" s="549" t="s">
        <v>976</v>
      </c>
      <c r="K1601" s="549" t="s">
        <v>976</v>
      </c>
      <c r="L1601" s="549">
        <v>141381.70000000001</v>
      </c>
      <c r="M1601" s="549">
        <v>10674.32</v>
      </c>
      <c r="N1601" s="549">
        <v>3124.54</v>
      </c>
      <c r="O1601" s="549">
        <v>3968</v>
      </c>
      <c r="P1601" s="549">
        <v>100</v>
      </c>
      <c r="Q1601" s="549">
        <v>17766.86</v>
      </c>
    </row>
    <row r="1602" spans="1:17" x14ac:dyDescent="0.25">
      <c r="A1602" s="549" t="s">
        <v>1174</v>
      </c>
      <c r="B1602" s="549" t="s">
        <v>574</v>
      </c>
      <c r="C1602" s="549" t="s">
        <v>515</v>
      </c>
      <c r="D1602" s="549" t="s">
        <v>675</v>
      </c>
      <c r="E1602" s="549" t="s">
        <v>977</v>
      </c>
      <c r="F1602" s="549" t="s">
        <v>1212</v>
      </c>
      <c r="G1602" s="549">
        <v>324</v>
      </c>
      <c r="H1602" s="549" t="s">
        <v>515</v>
      </c>
      <c r="I1602" s="549" t="s">
        <v>976</v>
      </c>
      <c r="J1602" s="549" t="s">
        <v>976</v>
      </c>
      <c r="K1602" s="549" t="s">
        <v>976</v>
      </c>
      <c r="L1602" s="549">
        <v>45283.839999999997</v>
      </c>
      <c r="M1602" s="549">
        <v>3418.93</v>
      </c>
      <c r="N1602" s="549">
        <v>1000.77</v>
      </c>
      <c r="O1602" s="549">
        <v>892.8</v>
      </c>
      <c r="P1602" s="549">
        <v>62.58</v>
      </c>
      <c r="Q1602" s="549">
        <v>3324.56</v>
      </c>
    </row>
    <row r="1603" spans="1:17" x14ac:dyDescent="0.25">
      <c r="A1603" s="549" t="s">
        <v>1174</v>
      </c>
      <c r="B1603" s="549" t="s">
        <v>574</v>
      </c>
      <c r="C1603" s="549" t="s">
        <v>515</v>
      </c>
      <c r="D1603" s="549" t="s">
        <v>675</v>
      </c>
      <c r="E1603" s="549" t="s">
        <v>977</v>
      </c>
      <c r="F1603" s="549" t="s">
        <v>1212</v>
      </c>
      <c r="G1603" s="549">
        <v>332</v>
      </c>
      <c r="H1603" s="549" t="s">
        <v>515</v>
      </c>
      <c r="I1603" s="549" t="s">
        <v>976</v>
      </c>
      <c r="J1603" s="549" t="s">
        <v>976</v>
      </c>
      <c r="K1603" s="549" t="s">
        <v>976</v>
      </c>
      <c r="L1603" s="549">
        <v>141381.70000000001</v>
      </c>
      <c r="M1603" s="549">
        <v>10674.32</v>
      </c>
      <c r="N1603" s="549">
        <v>3124.54</v>
      </c>
      <c r="O1603" s="549">
        <v>3968</v>
      </c>
      <c r="P1603" s="549">
        <v>100</v>
      </c>
      <c r="Q1603" s="549">
        <v>17766.86</v>
      </c>
    </row>
    <row r="1604" spans="1:17" x14ac:dyDescent="0.25">
      <c r="A1604" s="549" t="s">
        <v>1174</v>
      </c>
      <c r="B1604" s="549" t="s">
        <v>574</v>
      </c>
      <c r="C1604" s="549" t="s">
        <v>515</v>
      </c>
      <c r="D1604" s="549" t="s">
        <v>675</v>
      </c>
      <c r="E1604" s="549" t="s">
        <v>977</v>
      </c>
      <c r="F1604" s="549" t="s">
        <v>1212</v>
      </c>
      <c r="G1604" s="549">
        <v>342</v>
      </c>
      <c r="H1604" s="549" t="s">
        <v>515</v>
      </c>
      <c r="I1604" s="549" t="s">
        <v>976</v>
      </c>
      <c r="J1604" s="549" t="s">
        <v>976</v>
      </c>
      <c r="K1604" s="549" t="s">
        <v>976</v>
      </c>
      <c r="L1604" s="549">
        <v>128833.83</v>
      </c>
      <c r="M1604" s="549">
        <v>9726.9500000000007</v>
      </c>
      <c r="N1604" s="549">
        <v>2847.23</v>
      </c>
      <c r="O1604" s="549">
        <v>1984</v>
      </c>
      <c r="P1604" s="549">
        <v>62.58</v>
      </c>
      <c r="Q1604" s="549">
        <v>9110.51</v>
      </c>
    </row>
    <row r="1605" spans="1:17" x14ac:dyDescent="0.25">
      <c r="A1605" s="549" t="s">
        <v>1174</v>
      </c>
      <c r="B1605" s="549" t="s">
        <v>574</v>
      </c>
      <c r="C1605" s="549" t="s">
        <v>515</v>
      </c>
      <c r="D1605" s="549" t="s">
        <v>675</v>
      </c>
      <c r="E1605" s="549" t="s">
        <v>977</v>
      </c>
      <c r="F1605" s="549" t="s">
        <v>1212</v>
      </c>
      <c r="G1605" s="549">
        <v>352</v>
      </c>
      <c r="H1605" s="549" t="s">
        <v>515</v>
      </c>
      <c r="I1605" s="549" t="s">
        <v>976</v>
      </c>
      <c r="J1605" s="549" t="s">
        <v>976</v>
      </c>
      <c r="K1605" s="549" t="s">
        <v>976</v>
      </c>
      <c r="L1605" s="549">
        <v>141381.70000000001</v>
      </c>
      <c r="M1605" s="549">
        <v>10674.32</v>
      </c>
      <c r="N1605" s="549">
        <v>3124.54</v>
      </c>
      <c r="O1605" s="549">
        <v>3968</v>
      </c>
      <c r="P1605" s="549">
        <v>100</v>
      </c>
      <c r="Q1605" s="549">
        <v>17766.86</v>
      </c>
    </row>
    <row r="1606" spans="1:17" x14ac:dyDescent="0.25">
      <c r="A1606" s="549" t="s">
        <v>1174</v>
      </c>
      <c r="B1606" s="549" t="s">
        <v>574</v>
      </c>
      <c r="C1606" s="549" t="s">
        <v>515</v>
      </c>
      <c r="D1606" s="549" t="s">
        <v>675</v>
      </c>
      <c r="E1606" s="549" t="s">
        <v>977</v>
      </c>
      <c r="F1606" s="549" t="s">
        <v>1212</v>
      </c>
      <c r="G1606" s="549" t="s">
        <v>1331</v>
      </c>
      <c r="H1606" s="549" t="s">
        <v>515</v>
      </c>
      <c r="I1606" s="549" t="s">
        <v>976</v>
      </c>
      <c r="J1606" s="549" t="s">
        <v>976</v>
      </c>
      <c r="K1606" s="549" t="s">
        <v>976</v>
      </c>
      <c r="L1606" s="549">
        <v>33289.279999999999</v>
      </c>
      <c r="M1606" s="549">
        <v>2513.34</v>
      </c>
      <c r="N1606" s="549">
        <v>735.69</v>
      </c>
      <c r="O1606" s="549">
        <v>1984</v>
      </c>
      <c r="P1606" s="549">
        <v>62.58</v>
      </c>
      <c r="Q1606" s="549">
        <v>3274.83</v>
      </c>
    </row>
    <row r="1607" spans="1:17" x14ac:dyDescent="0.25">
      <c r="A1607" s="549" t="s">
        <v>1174</v>
      </c>
      <c r="B1607" s="549" t="s">
        <v>574</v>
      </c>
      <c r="C1607" s="549" t="s">
        <v>515</v>
      </c>
      <c r="D1607" s="549" t="s">
        <v>675</v>
      </c>
      <c r="E1607" s="549" t="s">
        <v>977</v>
      </c>
      <c r="F1607" s="549" t="s">
        <v>1212</v>
      </c>
      <c r="G1607" s="549" t="s">
        <v>1243</v>
      </c>
      <c r="H1607" s="549" t="s">
        <v>515</v>
      </c>
      <c r="I1607" s="549" t="s">
        <v>976</v>
      </c>
      <c r="J1607" s="549" t="s">
        <v>976</v>
      </c>
      <c r="K1607" s="549" t="s">
        <v>976</v>
      </c>
      <c r="L1607" s="549">
        <v>17417.22</v>
      </c>
      <c r="M1607" s="549">
        <v>1315</v>
      </c>
      <c r="N1607" s="549">
        <v>384.92</v>
      </c>
      <c r="O1607" s="549">
        <v>0</v>
      </c>
      <c r="P1607" s="549">
        <v>100</v>
      </c>
      <c r="Q1607" s="549">
        <v>1699.92</v>
      </c>
    </row>
    <row r="1608" spans="1:17" x14ac:dyDescent="0.25">
      <c r="A1608" s="549" t="s">
        <v>1174</v>
      </c>
      <c r="B1608" s="549" t="s">
        <v>574</v>
      </c>
      <c r="C1608" s="549" t="s">
        <v>515</v>
      </c>
      <c r="D1608" s="549" t="s">
        <v>675</v>
      </c>
      <c r="E1608" s="549" t="s">
        <v>977</v>
      </c>
      <c r="F1608" s="549" t="s">
        <v>1212</v>
      </c>
      <c r="G1608" s="549" t="s">
        <v>1319</v>
      </c>
      <c r="H1608" s="549" t="s">
        <v>515</v>
      </c>
      <c r="I1608" s="549" t="s">
        <v>976</v>
      </c>
      <c r="J1608" s="549" t="s">
        <v>976</v>
      </c>
      <c r="K1608" s="549" t="s">
        <v>976</v>
      </c>
      <c r="L1608" s="549">
        <v>17417.22</v>
      </c>
      <c r="M1608" s="549">
        <v>1315</v>
      </c>
      <c r="N1608" s="549">
        <v>384.92</v>
      </c>
      <c r="O1608" s="549">
        <v>0</v>
      </c>
      <c r="P1608" s="549">
        <v>100</v>
      </c>
      <c r="Q1608" s="549">
        <v>1699.92</v>
      </c>
    </row>
    <row r="1609" spans="1:17" x14ac:dyDescent="0.25">
      <c r="A1609" s="549" t="s">
        <v>1174</v>
      </c>
      <c r="B1609" s="549" t="s">
        <v>574</v>
      </c>
      <c r="C1609" s="549" t="s">
        <v>515</v>
      </c>
      <c r="D1609" s="549" t="s">
        <v>675</v>
      </c>
      <c r="E1609" s="549" t="s">
        <v>977</v>
      </c>
      <c r="F1609" s="549" t="s">
        <v>1212</v>
      </c>
      <c r="G1609" s="549" t="s">
        <v>1332</v>
      </c>
      <c r="H1609" s="549" t="s">
        <v>515</v>
      </c>
      <c r="I1609" s="549" t="s">
        <v>976</v>
      </c>
      <c r="J1609" s="549" t="s">
        <v>976</v>
      </c>
      <c r="K1609" s="549" t="s">
        <v>976</v>
      </c>
      <c r="L1609" s="549">
        <v>17417.22</v>
      </c>
      <c r="M1609" s="549">
        <v>1315</v>
      </c>
      <c r="N1609" s="549">
        <v>384.92</v>
      </c>
      <c r="O1609" s="549">
        <v>0</v>
      </c>
      <c r="P1609" s="549">
        <v>100</v>
      </c>
      <c r="Q1609" s="549">
        <v>1699.92</v>
      </c>
    </row>
    <row r="1610" spans="1:17" x14ac:dyDescent="0.25">
      <c r="A1610" s="549" t="s">
        <v>1174</v>
      </c>
      <c r="B1610" s="549" t="s">
        <v>574</v>
      </c>
      <c r="C1610" s="549" t="s">
        <v>515</v>
      </c>
      <c r="D1610" s="549" t="s">
        <v>675</v>
      </c>
      <c r="E1610" s="549" t="s">
        <v>977</v>
      </c>
      <c r="F1610" s="549" t="s">
        <v>1212</v>
      </c>
      <c r="G1610" s="549" t="s">
        <v>1282</v>
      </c>
      <c r="H1610" s="549" t="s">
        <v>515</v>
      </c>
      <c r="I1610" s="549" t="s">
        <v>976</v>
      </c>
      <c r="J1610" s="549" t="s">
        <v>976</v>
      </c>
      <c r="K1610" s="549" t="s">
        <v>976</v>
      </c>
      <c r="L1610" s="549">
        <v>17417.22</v>
      </c>
      <c r="M1610" s="549">
        <v>1315</v>
      </c>
      <c r="N1610" s="549">
        <v>384.92</v>
      </c>
      <c r="O1610" s="549">
        <v>0</v>
      </c>
      <c r="P1610" s="549">
        <v>100</v>
      </c>
      <c r="Q1610" s="549">
        <v>1699.92</v>
      </c>
    </row>
    <row r="1611" spans="1:17" x14ac:dyDescent="0.25">
      <c r="A1611" s="549" t="s">
        <v>1174</v>
      </c>
      <c r="B1611" s="549" t="s">
        <v>574</v>
      </c>
      <c r="C1611" s="549" t="s">
        <v>676</v>
      </c>
      <c r="D1611" s="549" t="s">
        <v>466</v>
      </c>
      <c r="E1611" s="549" t="s">
        <v>977</v>
      </c>
      <c r="F1611" s="549" t="s">
        <v>1212</v>
      </c>
      <c r="G1611" s="549">
        <v>72</v>
      </c>
      <c r="H1611" s="549" t="s">
        <v>676</v>
      </c>
      <c r="I1611" s="549" t="s">
        <v>976</v>
      </c>
      <c r="J1611" s="549" t="s">
        <v>976</v>
      </c>
      <c r="K1611" s="549" t="s">
        <v>976</v>
      </c>
      <c r="L1611" s="549">
        <v>196605.26</v>
      </c>
      <c r="M1611" s="549">
        <v>14843.7</v>
      </c>
      <c r="N1611" s="549">
        <v>4344.9799999999996</v>
      </c>
      <c r="O1611" s="549">
        <v>1984</v>
      </c>
      <c r="P1611" s="549">
        <v>100</v>
      </c>
      <c r="Q1611" s="549">
        <v>21172.68</v>
      </c>
    </row>
    <row r="1612" spans="1:17" x14ac:dyDescent="0.25">
      <c r="A1612" s="549" t="s">
        <v>1174</v>
      </c>
      <c r="B1612" s="549" t="s">
        <v>574</v>
      </c>
      <c r="C1612" s="549" t="s">
        <v>676</v>
      </c>
      <c r="D1612" s="549" t="s">
        <v>466</v>
      </c>
      <c r="E1612" s="549" t="s">
        <v>977</v>
      </c>
      <c r="F1612" s="549" t="s">
        <v>1212</v>
      </c>
      <c r="G1612" s="549">
        <v>92</v>
      </c>
      <c r="H1612" s="549" t="s">
        <v>676</v>
      </c>
      <c r="I1612" s="549" t="s">
        <v>976</v>
      </c>
      <c r="J1612" s="549" t="s">
        <v>976</v>
      </c>
      <c r="K1612" s="549" t="s">
        <v>976</v>
      </c>
      <c r="L1612" s="549">
        <v>196605.26</v>
      </c>
      <c r="M1612" s="549">
        <v>14843.7</v>
      </c>
      <c r="N1612" s="549">
        <v>4344.9799999999996</v>
      </c>
      <c r="O1612" s="549">
        <v>1984</v>
      </c>
      <c r="P1612" s="549">
        <v>100</v>
      </c>
      <c r="Q1612" s="549">
        <v>21172.68</v>
      </c>
    </row>
    <row r="1613" spans="1:17" x14ac:dyDescent="0.25">
      <c r="A1613" s="549" t="s">
        <v>1027</v>
      </c>
      <c r="B1613" s="549" t="s">
        <v>592</v>
      </c>
      <c r="C1613" s="549" t="s">
        <v>881</v>
      </c>
      <c r="D1613" s="549" t="s">
        <v>882</v>
      </c>
      <c r="E1613" s="549" t="s">
        <v>977</v>
      </c>
      <c r="F1613" s="549" t="s">
        <v>1212</v>
      </c>
      <c r="G1613" s="549">
        <v>102</v>
      </c>
      <c r="H1613" s="549" t="s">
        <v>881</v>
      </c>
      <c r="I1613" s="549" t="s">
        <v>976</v>
      </c>
      <c r="J1613" s="549" t="s">
        <v>976</v>
      </c>
      <c r="K1613" s="549" t="s">
        <v>976</v>
      </c>
      <c r="L1613" s="549">
        <v>331166.81</v>
      </c>
      <c r="M1613" s="549">
        <v>25003.09</v>
      </c>
      <c r="N1613" s="549">
        <v>7318.79</v>
      </c>
      <c r="O1613" s="549">
        <v>1984</v>
      </c>
      <c r="P1613" s="549">
        <v>100</v>
      </c>
      <c r="Q1613" s="549">
        <v>34305.879999999997</v>
      </c>
    </row>
    <row r="1614" spans="1:17" x14ac:dyDescent="0.25">
      <c r="A1614" s="549" t="s">
        <v>1174</v>
      </c>
      <c r="B1614" s="549" t="s">
        <v>574</v>
      </c>
      <c r="C1614" s="549" t="s">
        <v>676</v>
      </c>
      <c r="D1614" s="549" t="s">
        <v>466</v>
      </c>
      <c r="E1614" s="549" t="s">
        <v>977</v>
      </c>
      <c r="F1614" s="549" t="s">
        <v>1212</v>
      </c>
      <c r="G1614" s="549">
        <v>2162</v>
      </c>
      <c r="H1614" s="549" t="s">
        <v>676</v>
      </c>
      <c r="I1614" s="549" t="s">
        <v>976</v>
      </c>
      <c r="J1614" s="549" t="s">
        <v>976</v>
      </c>
      <c r="K1614" s="549" t="s">
        <v>976</v>
      </c>
      <c r="L1614" s="549">
        <v>99162.07</v>
      </c>
      <c r="M1614" s="549">
        <v>7486.74</v>
      </c>
      <c r="N1614" s="549">
        <v>2191.48</v>
      </c>
      <c r="O1614" s="549">
        <v>992</v>
      </c>
      <c r="P1614" s="549">
        <v>100</v>
      </c>
      <c r="Q1614" s="549">
        <v>10670.22</v>
      </c>
    </row>
    <row r="1615" spans="1:17" x14ac:dyDescent="0.25">
      <c r="A1615" s="549" t="s">
        <v>1174</v>
      </c>
      <c r="B1615" s="549" t="s">
        <v>574</v>
      </c>
      <c r="C1615" s="549" t="s">
        <v>676</v>
      </c>
      <c r="D1615" s="549" t="s">
        <v>466</v>
      </c>
      <c r="E1615" s="549" t="s">
        <v>977</v>
      </c>
      <c r="F1615" s="549" t="s">
        <v>1212</v>
      </c>
      <c r="G1615" s="549">
        <v>2172</v>
      </c>
      <c r="H1615" s="549" t="s">
        <v>676</v>
      </c>
      <c r="I1615" s="549" t="s">
        <v>976</v>
      </c>
      <c r="J1615" s="549" t="s">
        <v>976</v>
      </c>
      <c r="K1615" s="549" t="s">
        <v>976</v>
      </c>
      <c r="L1615" s="549">
        <v>92748.31</v>
      </c>
      <c r="M1615" s="549">
        <v>7002.5</v>
      </c>
      <c r="N1615" s="549">
        <v>2049.7399999999998</v>
      </c>
      <c r="O1615" s="549">
        <v>992</v>
      </c>
      <c r="P1615" s="549">
        <v>100</v>
      </c>
      <c r="Q1615" s="549">
        <v>10044.24</v>
      </c>
    </row>
    <row r="1616" spans="1:17" x14ac:dyDescent="0.25">
      <c r="A1616" s="549" t="s">
        <v>1174</v>
      </c>
      <c r="B1616" s="549" t="s">
        <v>574</v>
      </c>
      <c r="C1616" s="549" t="s">
        <v>676</v>
      </c>
      <c r="D1616" s="549" t="s">
        <v>466</v>
      </c>
      <c r="E1616" s="549" t="s">
        <v>977</v>
      </c>
      <c r="F1616" s="549" t="s">
        <v>1212</v>
      </c>
      <c r="G1616" s="549">
        <v>2182</v>
      </c>
      <c r="H1616" s="549" t="s">
        <v>676</v>
      </c>
      <c r="I1616" s="549" t="s">
        <v>976</v>
      </c>
      <c r="J1616" s="549" t="s">
        <v>976</v>
      </c>
      <c r="K1616" s="549" t="s">
        <v>976</v>
      </c>
      <c r="L1616" s="549">
        <v>92748.31</v>
      </c>
      <c r="M1616" s="549">
        <v>7002.5</v>
      </c>
      <c r="N1616" s="549">
        <v>2049.7399999999998</v>
      </c>
      <c r="O1616" s="549">
        <v>992</v>
      </c>
      <c r="P1616" s="549">
        <v>100</v>
      </c>
      <c r="Q1616" s="549">
        <v>10044.24</v>
      </c>
    </row>
    <row r="1617" spans="1:17" x14ac:dyDescent="0.25">
      <c r="A1617" s="549" t="s">
        <v>1174</v>
      </c>
      <c r="B1617" s="549" t="s">
        <v>574</v>
      </c>
      <c r="C1617" s="549" t="s">
        <v>676</v>
      </c>
      <c r="D1617" s="549" t="s">
        <v>466</v>
      </c>
      <c r="E1617" s="549" t="s">
        <v>977</v>
      </c>
      <c r="F1617" s="549" t="s">
        <v>1212</v>
      </c>
      <c r="G1617" s="549">
        <v>2198</v>
      </c>
      <c r="H1617" s="549" t="s">
        <v>676</v>
      </c>
      <c r="I1617" s="549" t="s">
        <v>976</v>
      </c>
      <c r="J1617" s="549" t="s">
        <v>976</v>
      </c>
      <c r="K1617" s="549" t="s">
        <v>976</v>
      </c>
      <c r="L1617" s="549">
        <v>49086.64</v>
      </c>
      <c r="M1617" s="549">
        <v>3706.04</v>
      </c>
      <c r="N1617" s="549">
        <v>1084.81</v>
      </c>
      <c r="O1617" s="549">
        <v>992</v>
      </c>
      <c r="P1617" s="549">
        <v>100</v>
      </c>
      <c r="Q1617" s="549">
        <v>5782.85</v>
      </c>
    </row>
    <row r="1618" spans="1:17" x14ac:dyDescent="0.25">
      <c r="A1618" s="549" t="s">
        <v>1174</v>
      </c>
      <c r="B1618" s="549" t="s">
        <v>574</v>
      </c>
      <c r="C1618" s="549" t="s">
        <v>676</v>
      </c>
      <c r="D1618" s="549" t="s">
        <v>466</v>
      </c>
      <c r="E1618" s="549" t="s">
        <v>977</v>
      </c>
      <c r="F1618" s="549" t="s">
        <v>1212</v>
      </c>
      <c r="G1618" s="549">
        <v>2222</v>
      </c>
      <c r="H1618" s="549" t="s">
        <v>676</v>
      </c>
      <c r="I1618" s="549" t="s">
        <v>976</v>
      </c>
      <c r="J1618" s="549" t="s">
        <v>976</v>
      </c>
      <c r="K1618" s="549" t="s">
        <v>976</v>
      </c>
      <c r="L1618" s="549">
        <v>92748.31</v>
      </c>
      <c r="M1618" s="549">
        <v>7002.5</v>
      </c>
      <c r="N1618" s="549">
        <v>2049.7399999999998</v>
      </c>
      <c r="O1618" s="549">
        <v>992</v>
      </c>
      <c r="P1618" s="549">
        <v>100</v>
      </c>
      <c r="Q1618" s="549">
        <v>10044.24</v>
      </c>
    </row>
    <row r="1619" spans="1:17" x14ac:dyDescent="0.25">
      <c r="A1619" s="549" t="s">
        <v>1174</v>
      </c>
      <c r="B1619" s="549" t="s">
        <v>574</v>
      </c>
      <c r="C1619" s="549" t="s">
        <v>676</v>
      </c>
      <c r="D1619" s="549" t="s">
        <v>466</v>
      </c>
      <c r="E1619" s="549" t="s">
        <v>977</v>
      </c>
      <c r="F1619" s="549" t="s">
        <v>1212</v>
      </c>
      <c r="G1619" s="549">
        <v>2232</v>
      </c>
      <c r="H1619" s="549" t="s">
        <v>676</v>
      </c>
      <c r="I1619" s="549" t="s">
        <v>976</v>
      </c>
      <c r="J1619" s="549" t="s">
        <v>976</v>
      </c>
      <c r="K1619" s="549" t="s">
        <v>976</v>
      </c>
      <c r="L1619" s="549">
        <v>92748.31</v>
      </c>
      <c r="M1619" s="549">
        <v>7002.5</v>
      </c>
      <c r="N1619" s="549">
        <v>2049.7399999999998</v>
      </c>
      <c r="O1619" s="549">
        <v>992</v>
      </c>
      <c r="P1619" s="549">
        <v>100</v>
      </c>
      <c r="Q1619" s="549">
        <v>10044.24</v>
      </c>
    </row>
    <row r="1620" spans="1:17" x14ac:dyDescent="0.25">
      <c r="A1620" s="549" t="s">
        <v>1174</v>
      </c>
      <c r="B1620" s="549" t="s">
        <v>574</v>
      </c>
      <c r="C1620" s="549" t="s">
        <v>676</v>
      </c>
      <c r="D1620" s="549" t="s">
        <v>466</v>
      </c>
      <c r="E1620" s="549" t="s">
        <v>977</v>
      </c>
      <c r="F1620" s="549" t="s">
        <v>1212</v>
      </c>
      <c r="G1620" s="549">
        <v>2242</v>
      </c>
      <c r="H1620" s="549" t="s">
        <v>676</v>
      </c>
      <c r="I1620" s="549" t="s">
        <v>976</v>
      </c>
      <c r="J1620" s="549" t="s">
        <v>976</v>
      </c>
      <c r="K1620" s="549" t="s">
        <v>976</v>
      </c>
      <c r="L1620" s="549">
        <v>99162.07</v>
      </c>
      <c r="M1620" s="549">
        <v>7486.74</v>
      </c>
      <c r="N1620" s="549">
        <v>2191.48</v>
      </c>
      <c r="O1620" s="549">
        <v>992</v>
      </c>
      <c r="P1620" s="549">
        <v>100</v>
      </c>
      <c r="Q1620" s="549">
        <v>10670.22</v>
      </c>
    </row>
    <row r="1621" spans="1:17" x14ac:dyDescent="0.25">
      <c r="A1621" s="549" t="s">
        <v>1174</v>
      </c>
      <c r="B1621" s="549" t="s">
        <v>574</v>
      </c>
      <c r="C1621" s="549" t="s">
        <v>676</v>
      </c>
      <c r="D1621" s="549" t="s">
        <v>466</v>
      </c>
      <c r="E1621" s="549" t="s">
        <v>977</v>
      </c>
      <c r="F1621" s="549" t="s">
        <v>1212</v>
      </c>
      <c r="G1621" s="549">
        <v>2252</v>
      </c>
      <c r="H1621" s="549" t="s">
        <v>676</v>
      </c>
      <c r="I1621" s="549" t="s">
        <v>976</v>
      </c>
      <c r="J1621" s="549" t="s">
        <v>976</v>
      </c>
      <c r="K1621" s="549" t="s">
        <v>976</v>
      </c>
      <c r="L1621" s="549">
        <v>92748.31</v>
      </c>
      <c r="M1621" s="549">
        <v>7002.5</v>
      </c>
      <c r="N1621" s="549">
        <v>2049.7399999999998</v>
      </c>
      <c r="O1621" s="549">
        <v>992</v>
      </c>
      <c r="P1621" s="549">
        <v>100</v>
      </c>
      <c r="Q1621" s="549">
        <v>10044.24</v>
      </c>
    </row>
    <row r="1622" spans="1:17" x14ac:dyDescent="0.25">
      <c r="A1622" s="549" t="s">
        <v>1174</v>
      </c>
      <c r="B1622" s="549" t="s">
        <v>574</v>
      </c>
      <c r="C1622" s="549" t="s">
        <v>676</v>
      </c>
      <c r="D1622" s="549" t="s">
        <v>466</v>
      </c>
      <c r="E1622" s="549" t="s">
        <v>977</v>
      </c>
      <c r="F1622" s="549" t="s">
        <v>1212</v>
      </c>
      <c r="G1622" s="549" t="s">
        <v>1333</v>
      </c>
      <c r="H1622" s="549" t="s">
        <v>676</v>
      </c>
      <c r="I1622" s="549" t="s">
        <v>976</v>
      </c>
      <c r="J1622" s="549" t="s">
        <v>976</v>
      </c>
      <c r="K1622" s="549" t="s">
        <v>976</v>
      </c>
      <c r="L1622" s="549">
        <v>29129.16</v>
      </c>
      <c r="M1622" s="549">
        <v>2199.25</v>
      </c>
      <c r="N1622" s="549">
        <v>643.75</v>
      </c>
      <c r="O1622" s="549">
        <v>0</v>
      </c>
      <c r="P1622" s="549">
        <v>100</v>
      </c>
      <c r="Q1622" s="549">
        <v>2843</v>
      </c>
    </row>
    <row r="1623" spans="1:17" x14ac:dyDescent="0.25">
      <c r="A1623" s="549" t="s">
        <v>1174</v>
      </c>
      <c r="B1623" s="549" t="s">
        <v>574</v>
      </c>
      <c r="C1623" s="549" t="s">
        <v>676</v>
      </c>
      <c r="D1623" s="549" t="s">
        <v>466</v>
      </c>
      <c r="E1623" s="549" t="s">
        <v>977</v>
      </c>
      <c r="F1623" s="549" t="s">
        <v>1212</v>
      </c>
      <c r="G1623" s="549" t="s">
        <v>1334</v>
      </c>
      <c r="H1623" s="549" t="s">
        <v>676</v>
      </c>
      <c r="I1623" s="549" t="s">
        <v>976</v>
      </c>
      <c r="J1623" s="549" t="s">
        <v>976</v>
      </c>
      <c r="K1623" s="549" t="s">
        <v>976</v>
      </c>
      <c r="L1623" s="549">
        <v>29129.16</v>
      </c>
      <c r="M1623" s="549">
        <v>2199.25</v>
      </c>
      <c r="N1623" s="549">
        <v>643.75</v>
      </c>
      <c r="O1623" s="549">
        <v>0</v>
      </c>
      <c r="P1623" s="549">
        <v>100</v>
      </c>
      <c r="Q1623" s="549">
        <v>2843</v>
      </c>
    </row>
    <row r="1624" spans="1:17" x14ac:dyDescent="0.25">
      <c r="A1624" s="549" t="s">
        <v>1023</v>
      </c>
      <c r="B1624" s="549" t="s">
        <v>1024</v>
      </c>
      <c r="C1624" s="549" t="s">
        <v>684</v>
      </c>
      <c r="D1624" s="549" t="s">
        <v>685</v>
      </c>
      <c r="E1624" s="549" t="s">
        <v>973</v>
      </c>
      <c r="F1624" s="549" t="s">
        <v>1212</v>
      </c>
      <c r="G1624" s="549">
        <v>52</v>
      </c>
      <c r="H1624" s="549" t="s">
        <v>684</v>
      </c>
      <c r="I1624" s="549" t="s">
        <v>1096</v>
      </c>
      <c r="J1624" s="549" t="s">
        <v>1096</v>
      </c>
      <c r="K1624" s="549" t="s">
        <v>1096</v>
      </c>
      <c r="L1624" s="549">
        <v>116495.17</v>
      </c>
      <c r="M1624" s="549">
        <v>0</v>
      </c>
      <c r="N1624" s="549">
        <v>0</v>
      </c>
      <c r="O1624" s="549">
        <v>0</v>
      </c>
      <c r="P1624" s="549">
        <v>80.36</v>
      </c>
      <c r="Q1624" s="549">
        <v>0</v>
      </c>
    </row>
    <row r="1625" spans="1:17" x14ac:dyDescent="0.25">
      <c r="A1625" s="549" t="s">
        <v>1023</v>
      </c>
      <c r="B1625" s="549" t="s">
        <v>1024</v>
      </c>
      <c r="C1625" s="549" t="s">
        <v>684</v>
      </c>
      <c r="D1625" s="549" t="s">
        <v>685</v>
      </c>
      <c r="E1625" s="549" t="s">
        <v>973</v>
      </c>
      <c r="F1625" s="549" t="s">
        <v>1212</v>
      </c>
      <c r="G1625" s="549">
        <v>72</v>
      </c>
      <c r="H1625" s="549" t="s">
        <v>684</v>
      </c>
      <c r="I1625" s="549" t="s">
        <v>1096</v>
      </c>
      <c r="J1625" s="549" t="s">
        <v>1096</v>
      </c>
      <c r="K1625" s="549" t="s">
        <v>1096</v>
      </c>
      <c r="L1625" s="549">
        <v>123803.21</v>
      </c>
      <c r="M1625" s="549">
        <v>0</v>
      </c>
      <c r="N1625" s="549">
        <v>0</v>
      </c>
      <c r="O1625" s="549">
        <v>0</v>
      </c>
      <c r="P1625" s="549">
        <v>80.36</v>
      </c>
      <c r="Q1625" s="549">
        <v>0</v>
      </c>
    </row>
    <row r="1626" spans="1:17" x14ac:dyDescent="0.25">
      <c r="A1626" s="549" t="s">
        <v>1023</v>
      </c>
      <c r="B1626" s="549" t="s">
        <v>1024</v>
      </c>
      <c r="C1626" s="549" t="s">
        <v>684</v>
      </c>
      <c r="D1626" s="549" t="s">
        <v>685</v>
      </c>
      <c r="E1626" s="549" t="s">
        <v>973</v>
      </c>
      <c r="F1626" s="549" t="s">
        <v>1212</v>
      </c>
      <c r="G1626" s="549">
        <v>117</v>
      </c>
      <c r="H1626" s="549" t="s">
        <v>684</v>
      </c>
      <c r="I1626" s="549" t="s">
        <v>1096</v>
      </c>
      <c r="J1626" s="549" t="s">
        <v>1096</v>
      </c>
      <c r="K1626" s="549" t="s">
        <v>1096</v>
      </c>
      <c r="L1626" s="549">
        <v>34827.800000000003</v>
      </c>
      <c r="M1626" s="549">
        <v>0</v>
      </c>
      <c r="N1626" s="549">
        <v>0</v>
      </c>
      <c r="O1626" s="549">
        <v>0</v>
      </c>
      <c r="P1626" s="549">
        <v>80.36</v>
      </c>
      <c r="Q1626" s="549">
        <v>0</v>
      </c>
    </row>
    <row r="1627" spans="1:17" x14ac:dyDescent="0.25">
      <c r="A1627" s="549" t="s">
        <v>1023</v>
      </c>
      <c r="B1627" s="549" t="s">
        <v>1024</v>
      </c>
      <c r="C1627" s="549" t="s">
        <v>684</v>
      </c>
      <c r="D1627" s="549" t="s">
        <v>685</v>
      </c>
      <c r="E1627" s="549" t="s">
        <v>973</v>
      </c>
      <c r="F1627" s="549" t="s">
        <v>1212</v>
      </c>
      <c r="G1627" s="549">
        <v>132</v>
      </c>
      <c r="H1627" s="549" t="s">
        <v>684</v>
      </c>
      <c r="I1627" s="549" t="s">
        <v>1096</v>
      </c>
      <c r="J1627" s="549" t="s">
        <v>1096</v>
      </c>
      <c r="K1627" s="549" t="s">
        <v>1096</v>
      </c>
      <c r="L1627" s="549">
        <v>123803.21</v>
      </c>
      <c r="M1627" s="549">
        <v>0</v>
      </c>
      <c r="N1627" s="549">
        <v>0</v>
      </c>
      <c r="O1627" s="549">
        <v>0</v>
      </c>
      <c r="P1627" s="549">
        <v>80.36</v>
      </c>
      <c r="Q1627" s="549">
        <v>0</v>
      </c>
    </row>
    <row r="1628" spans="1:17" x14ac:dyDescent="0.25">
      <c r="A1628" s="549" t="s">
        <v>1023</v>
      </c>
      <c r="B1628" s="549" t="s">
        <v>1024</v>
      </c>
      <c r="C1628" s="549" t="s">
        <v>684</v>
      </c>
      <c r="D1628" s="549" t="s">
        <v>685</v>
      </c>
      <c r="E1628" s="549" t="s">
        <v>973</v>
      </c>
      <c r="F1628" s="549" t="s">
        <v>1212</v>
      </c>
      <c r="G1628" s="549">
        <v>442</v>
      </c>
      <c r="H1628" s="549" t="s">
        <v>684</v>
      </c>
      <c r="I1628" s="549" t="s">
        <v>1096</v>
      </c>
      <c r="J1628" s="549" t="s">
        <v>1096</v>
      </c>
      <c r="K1628" s="549" t="s">
        <v>1096</v>
      </c>
      <c r="L1628" s="549">
        <v>473331.21</v>
      </c>
      <c r="M1628" s="549">
        <v>0</v>
      </c>
      <c r="N1628" s="549">
        <v>0</v>
      </c>
      <c r="O1628" s="549">
        <v>0</v>
      </c>
      <c r="P1628" s="549">
        <v>80.36</v>
      </c>
      <c r="Q1628" s="549">
        <v>0</v>
      </c>
    </row>
    <row r="1629" spans="1:17" x14ac:dyDescent="0.25">
      <c r="A1629" s="549" t="s">
        <v>1023</v>
      </c>
      <c r="B1629" s="549" t="s">
        <v>1024</v>
      </c>
      <c r="C1629" s="549" t="s">
        <v>684</v>
      </c>
      <c r="D1629" s="549" t="s">
        <v>685</v>
      </c>
      <c r="E1629" s="549" t="s">
        <v>973</v>
      </c>
      <c r="F1629" s="549" t="s">
        <v>1212</v>
      </c>
      <c r="G1629" s="549">
        <v>452</v>
      </c>
      <c r="H1629" s="549" t="s">
        <v>684</v>
      </c>
      <c r="I1629" s="549" t="s">
        <v>1096</v>
      </c>
      <c r="J1629" s="549" t="s">
        <v>1096</v>
      </c>
      <c r="K1629" s="549" t="s">
        <v>1096</v>
      </c>
      <c r="L1629" s="549">
        <v>473331.21</v>
      </c>
      <c r="M1629" s="549">
        <v>0</v>
      </c>
      <c r="N1629" s="549">
        <v>0</v>
      </c>
      <c r="O1629" s="549">
        <v>0</v>
      </c>
      <c r="P1629" s="549">
        <v>80.36</v>
      </c>
      <c r="Q1629" s="549">
        <v>0</v>
      </c>
    </row>
    <row r="1630" spans="1:17" x14ac:dyDescent="0.25">
      <c r="A1630" s="549" t="s">
        <v>1023</v>
      </c>
      <c r="B1630" s="549" t="s">
        <v>1024</v>
      </c>
      <c r="C1630" s="549" t="s">
        <v>684</v>
      </c>
      <c r="D1630" s="549" t="s">
        <v>685</v>
      </c>
      <c r="E1630" s="549" t="s">
        <v>973</v>
      </c>
      <c r="F1630" s="549" t="s">
        <v>1212</v>
      </c>
      <c r="G1630" s="549" t="s">
        <v>1335</v>
      </c>
      <c r="H1630" s="549" t="s">
        <v>684</v>
      </c>
      <c r="I1630" s="549" t="s">
        <v>1096</v>
      </c>
      <c r="J1630" s="549" t="s">
        <v>1096</v>
      </c>
      <c r="K1630" s="549" t="s">
        <v>1096</v>
      </c>
      <c r="L1630" s="549">
        <v>59643.13</v>
      </c>
      <c r="M1630" s="549">
        <v>0</v>
      </c>
      <c r="N1630" s="549">
        <v>0</v>
      </c>
      <c r="O1630" s="549">
        <v>0</v>
      </c>
      <c r="P1630" s="549">
        <v>80.36</v>
      </c>
      <c r="Q1630" s="549">
        <v>0</v>
      </c>
    </row>
    <row r="1631" spans="1:17" x14ac:dyDescent="0.25">
      <c r="A1631" s="549" t="s">
        <v>1023</v>
      </c>
      <c r="B1631" s="549" t="s">
        <v>1024</v>
      </c>
      <c r="C1631" s="549" t="s">
        <v>684</v>
      </c>
      <c r="D1631" s="549" t="s">
        <v>685</v>
      </c>
      <c r="E1631" s="549" t="s">
        <v>973</v>
      </c>
      <c r="F1631" s="549" t="s">
        <v>1212</v>
      </c>
      <c r="G1631" s="549" t="s">
        <v>1336</v>
      </c>
      <c r="H1631" s="549" t="s">
        <v>684</v>
      </c>
      <c r="I1631" s="549" t="s">
        <v>1096</v>
      </c>
      <c r="J1631" s="549" t="s">
        <v>1096</v>
      </c>
      <c r="K1631" s="549" t="s">
        <v>1096</v>
      </c>
      <c r="L1631" s="549">
        <v>59643.13</v>
      </c>
      <c r="M1631" s="549">
        <v>0</v>
      </c>
      <c r="N1631" s="549">
        <v>0</v>
      </c>
      <c r="O1631" s="549">
        <v>0</v>
      </c>
      <c r="P1631" s="549">
        <v>80.36</v>
      </c>
      <c r="Q1631" s="549">
        <v>0</v>
      </c>
    </row>
    <row r="1632" spans="1:17" x14ac:dyDescent="0.25">
      <c r="A1632" s="549" t="s">
        <v>1023</v>
      </c>
      <c r="B1632" s="549" t="s">
        <v>1024</v>
      </c>
      <c r="C1632" s="549" t="s">
        <v>684</v>
      </c>
      <c r="D1632" s="549" t="s">
        <v>685</v>
      </c>
      <c r="E1632" s="549" t="s">
        <v>973</v>
      </c>
      <c r="F1632" s="549" t="s">
        <v>1212</v>
      </c>
      <c r="G1632" s="549" t="s">
        <v>1337</v>
      </c>
      <c r="H1632" s="549" t="s">
        <v>684</v>
      </c>
      <c r="I1632" s="549" t="s">
        <v>1096</v>
      </c>
      <c r="J1632" s="549" t="s">
        <v>1096</v>
      </c>
      <c r="K1632" s="549" t="s">
        <v>1096</v>
      </c>
      <c r="L1632" s="549">
        <v>59643.13</v>
      </c>
      <c r="M1632" s="549">
        <v>0</v>
      </c>
      <c r="N1632" s="549">
        <v>0</v>
      </c>
      <c r="O1632" s="549">
        <v>0</v>
      </c>
      <c r="P1632" s="549">
        <v>80.36</v>
      </c>
      <c r="Q1632" s="549">
        <v>0</v>
      </c>
    </row>
    <row r="1633" spans="1:17" x14ac:dyDescent="0.25">
      <c r="A1633" s="549" t="s">
        <v>1023</v>
      </c>
      <c r="B1633" s="549" t="s">
        <v>1024</v>
      </c>
      <c r="C1633" s="549" t="s">
        <v>684</v>
      </c>
      <c r="D1633" s="549" t="s">
        <v>685</v>
      </c>
      <c r="E1633" s="549" t="s">
        <v>973</v>
      </c>
      <c r="F1633" s="549" t="s">
        <v>1212</v>
      </c>
      <c r="G1633" s="549" t="s">
        <v>1305</v>
      </c>
      <c r="H1633" s="549" t="s">
        <v>684</v>
      </c>
      <c r="I1633" s="549" t="s">
        <v>1096</v>
      </c>
      <c r="J1633" s="549" t="s">
        <v>1096</v>
      </c>
      <c r="K1633" s="549" t="s">
        <v>1096</v>
      </c>
      <c r="L1633" s="549">
        <v>31205.759999999998</v>
      </c>
      <c r="M1633" s="549">
        <v>0</v>
      </c>
      <c r="N1633" s="549">
        <v>0</v>
      </c>
      <c r="O1633" s="549">
        <v>0</v>
      </c>
      <c r="P1633" s="549">
        <v>80.36</v>
      </c>
      <c r="Q1633" s="549">
        <v>0</v>
      </c>
    </row>
    <row r="1634" spans="1:17" x14ac:dyDescent="0.25">
      <c r="A1634" s="549" t="s">
        <v>1023</v>
      </c>
      <c r="B1634" s="549" t="s">
        <v>1024</v>
      </c>
      <c r="C1634" s="549" t="s">
        <v>684</v>
      </c>
      <c r="D1634" s="549" t="s">
        <v>685</v>
      </c>
      <c r="E1634" s="549" t="s">
        <v>973</v>
      </c>
      <c r="F1634" s="549" t="s">
        <v>1212</v>
      </c>
      <c r="G1634" s="549" t="s">
        <v>1256</v>
      </c>
      <c r="H1634" s="549" t="s">
        <v>684</v>
      </c>
      <c r="I1634" s="549" t="s">
        <v>1096</v>
      </c>
      <c r="J1634" s="549" t="s">
        <v>1096</v>
      </c>
      <c r="K1634" s="549" t="s">
        <v>1096</v>
      </c>
      <c r="L1634" s="549">
        <v>31205.759999999998</v>
      </c>
      <c r="M1634" s="549">
        <v>0</v>
      </c>
      <c r="N1634" s="549">
        <v>0</v>
      </c>
      <c r="O1634" s="549">
        <v>0</v>
      </c>
      <c r="P1634" s="549">
        <v>80.36</v>
      </c>
      <c r="Q1634" s="549">
        <v>0</v>
      </c>
    </row>
    <row r="1635" spans="1:17" x14ac:dyDescent="0.25">
      <c r="A1635" s="549" t="s">
        <v>1023</v>
      </c>
      <c r="B1635" s="549" t="s">
        <v>1024</v>
      </c>
      <c r="C1635" s="549" t="s">
        <v>684</v>
      </c>
      <c r="D1635" s="549" t="s">
        <v>685</v>
      </c>
      <c r="E1635" s="549" t="s">
        <v>977</v>
      </c>
      <c r="F1635" s="549" t="s">
        <v>1212</v>
      </c>
      <c r="G1635" s="549">
        <v>52</v>
      </c>
      <c r="H1635" s="549" t="s">
        <v>684</v>
      </c>
      <c r="I1635" s="549" t="s">
        <v>1096</v>
      </c>
      <c r="J1635" s="549" t="s">
        <v>1096</v>
      </c>
      <c r="K1635" s="549" t="s">
        <v>1096</v>
      </c>
      <c r="L1635" s="549">
        <v>116495.17</v>
      </c>
      <c r="M1635" s="549">
        <v>0</v>
      </c>
      <c r="N1635" s="549">
        <v>0</v>
      </c>
      <c r="O1635" s="549">
        <v>0</v>
      </c>
      <c r="P1635" s="549">
        <v>19.64</v>
      </c>
      <c r="Q1635" s="549">
        <v>0</v>
      </c>
    </row>
    <row r="1636" spans="1:17" x14ac:dyDescent="0.25">
      <c r="A1636" s="549" t="s">
        <v>1023</v>
      </c>
      <c r="B1636" s="549" t="s">
        <v>1024</v>
      </c>
      <c r="C1636" s="549" t="s">
        <v>684</v>
      </c>
      <c r="D1636" s="549" t="s">
        <v>685</v>
      </c>
      <c r="E1636" s="549" t="s">
        <v>977</v>
      </c>
      <c r="F1636" s="549" t="s">
        <v>1212</v>
      </c>
      <c r="G1636" s="549">
        <v>62</v>
      </c>
      <c r="H1636" s="549" t="s">
        <v>684</v>
      </c>
      <c r="I1636" s="549" t="s">
        <v>1096</v>
      </c>
      <c r="J1636" s="549" t="s">
        <v>1096</v>
      </c>
      <c r="K1636" s="549" t="s">
        <v>1096</v>
      </c>
      <c r="L1636" s="549">
        <v>116495.17</v>
      </c>
      <c r="M1636" s="549">
        <v>0</v>
      </c>
      <c r="N1636" s="549">
        <v>0</v>
      </c>
      <c r="O1636" s="549">
        <v>0</v>
      </c>
      <c r="P1636" s="549">
        <v>100</v>
      </c>
      <c r="Q1636" s="549">
        <v>0</v>
      </c>
    </row>
    <row r="1637" spans="1:17" x14ac:dyDescent="0.25">
      <c r="A1637" s="549" t="s">
        <v>1023</v>
      </c>
      <c r="B1637" s="549" t="s">
        <v>1024</v>
      </c>
      <c r="C1637" s="549" t="s">
        <v>684</v>
      </c>
      <c r="D1637" s="549" t="s">
        <v>685</v>
      </c>
      <c r="E1637" s="549" t="s">
        <v>977</v>
      </c>
      <c r="F1637" s="549" t="s">
        <v>1212</v>
      </c>
      <c r="G1637" s="549">
        <v>72</v>
      </c>
      <c r="H1637" s="549" t="s">
        <v>684</v>
      </c>
      <c r="I1637" s="549" t="s">
        <v>1096</v>
      </c>
      <c r="J1637" s="549" t="s">
        <v>1096</v>
      </c>
      <c r="K1637" s="549" t="s">
        <v>1096</v>
      </c>
      <c r="L1637" s="549">
        <v>123803.21</v>
      </c>
      <c r="M1637" s="549">
        <v>0</v>
      </c>
      <c r="N1637" s="549">
        <v>0</v>
      </c>
      <c r="O1637" s="549">
        <v>0</v>
      </c>
      <c r="P1637" s="549">
        <v>19.64</v>
      </c>
      <c r="Q1637" s="549">
        <v>0</v>
      </c>
    </row>
    <row r="1638" spans="1:17" x14ac:dyDescent="0.25">
      <c r="A1638" s="549" t="s">
        <v>1023</v>
      </c>
      <c r="B1638" s="549" t="s">
        <v>1024</v>
      </c>
      <c r="C1638" s="549" t="s">
        <v>684</v>
      </c>
      <c r="D1638" s="549" t="s">
        <v>685</v>
      </c>
      <c r="E1638" s="549" t="s">
        <v>977</v>
      </c>
      <c r="F1638" s="549" t="s">
        <v>1212</v>
      </c>
      <c r="G1638" s="549">
        <v>82</v>
      </c>
      <c r="H1638" s="549" t="s">
        <v>684</v>
      </c>
      <c r="I1638" s="549" t="s">
        <v>1096</v>
      </c>
      <c r="J1638" s="549" t="s">
        <v>1096</v>
      </c>
      <c r="K1638" s="549" t="s">
        <v>1096</v>
      </c>
      <c r="L1638" s="549">
        <v>116495.17</v>
      </c>
      <c r="M1638" s="549">
        <v>0</v>
      </c>
      <c r="N1638" s="549">
        <v>0</v>
      </c>
      <c r="O1638" s="549">
        <v>0</v>
      </c>
      <c r="P1638" s="549">
        <v>100</v>
      </c>
      <c r="Q1638" s="549">
        <v>0</v>
      </c>
    </row>
    <row r="1639" spans="1:17" x14ac:dyDescent="0.25">
      <c r="A1639" s="549" t="s">
        <v>1023</v>
      </c>
      <c r="B1639" s="549" t="s">
        <v>1024</v>
      </c>
      <c r="C1639" s="549" t="s">
        <v>684</v>
      </c>
      <c r="D1639" s="549" t="s">
        <v>685</v>
      </c>
      <c r="E1639" s="549" t="s">
        <v>977</v>
      </c>
      <c r="F1639" s="549" t="s">
        <v>1212</v>
      </c>
      <c r="G1639" s="549">
        <v>102</v>
      </c>
      <c r="H1639" s="549" t="s">
        <v>684</v>
      </c>
      <c r="I1639" s="549" t="s">
        <v>1096</v>
      </c>
      <c r="J1639" s="549" t="s">
        <v>1096</v>
      </c>
      <c r="K1639" s="549" t="s">
        <v>1096</v>
      </c>
      <c r="L1639" s="549">
        <v>116495.17</v>
      </c>
      <c r="M1639" s="549">
        <v>0</v>
      </c>
      <c r="N1639" s="549">
        <v>0</v>
      </c>
      <c r="O1639" s="549">
        <v>0</v>
      </c>
      <c r="P1639" s="549">
        <v>100</v>
      </c>
      <c r="Q1639" s="549">
        <v>0</v>
      </c>
    </row>
    <row r="1640" spans="1:17" x14ac:dyDescent="0.25">
      <c r="A1640" s="549" t="s">
        <v>1023</v>
      </c>
      <c r="B1640" s="549" t="s">
        <v>1024</v>
      </c>
      <c r="C1640" s="549" t="s">
        <v>684</v>
      </c>
      <c r="D1640" s="549" t="s">
        <v>685</v>
      </c>
      <c r="E1640" s="549" t="s">
        <v>977</v>
      </c>
      <c r="F1640" s="549" t="s">
        <v>1212</v>
      </c>
      <c r="G1640" s="549">
        <v>112</v>
      </c>
      <c r="H1640" s="549" t="s">
        <v>684</v>
      </c>
      <c r="I1640" s="549" t="s">
        <v>1096</v>
      </c>
      <c r="J1640" s="549" t="s">
        <v>1096</v>
      </c>
      <c r="K1640" s="549" t="s">
        <v>1096</v>
      </c>
      <c r="L1640" s="549">
        <v>116495.17</v>
      </c>
      <c r="M1640" s="549">
        <v>0</v>
      </c>
      <c r="N1640" s="549">
        <v>0</v>
      </c>
      <c r="O1640" s="549">
        <v>0</v>
      </c>
      <c r="P1640" s="549">
        <v>100</v>
      </c>
      <c r="Q1640" s="549">
        <v>0</v>
      </c>
    </row>
    <row r="1641" spans="1:17" x14ac:dyDescent="0.25">
      <c r="A1641" s="549" t="s">
        <v>1023</v>
      </c>
      <c r="B1641" s="549" t="s">
        <v>1024</v>
      </c>
      <c r="C1641" s="549" t="s">
        <v>684</v>
      </c>
      <c r="D1641" s="549" t="s">
        <v>685</v>
      </c>
      <c r="E1641" s="549" t="s">
        <v>977</v>
      </c>
      <c r="F1641" s="549" t="s">
        <v>1212</v>
      </c>
      <c r="G1641" s="549">
        <v>117</v>
      </c>
      <c r="H1641" s="549" t="s">
        <v>684</v>
      </c>
      <c r="I1641" s="549" t="s">
        <v>1096</v>
      </c>
      <c r="J1641" s="549" t="s">
        <v>1096</v>
      </c>
      <c r="K1641" s="549" t="s">
        <v>1096</v>
      </c>
      <c r="L1641" s="549">
        <v>34827.800000000003</v>
      </c>
      <c r="M1641" s="549">
        <v>0</v>
      </c>
      <c r="N1641" s="549">
        <v>0</v>
      </c>
      <c r="O1641" s="549">
        <v>0</v>
      </c>
      <c r="P1641" s="549">
        <v>19.64</v>
      </c>
      <c r="Q1641" s="549">
        <v>0</v>
      </c>
    </row>
    <row r="1642" spans="1:17" x14ac:dyDescent="0.25">
      <c r="A1642" s="549" t="s">
        <v>1023</v>
      </c>
      <c r="B1642" s="549" t="s">
        <v>1024</v>
      </c>
      <c r="C1642" s="549" t="s">
        <v>684</v>
      </c>
      <c r="D1642" s="549" t="s">
        <v>685</v>
      </c>
      <c r="E1642" s="549" t="s">
        <v>977</v>
      </c>
      <c r="F1642" s="549" t="s">
        <v>1212</v>
      </c>
      <c r="G1642" s="549">
        <v>122</v>
      </c>
      <c r="H1642" s="549" t="s">
        <v>684</v>
      </c>
      <c r="I1642" s="549" t="s">
        <v>1096</v>
      </c>
      <c r="J1642" s="549" t="s">
        <v>1096</v>
      </c>
      <c r="K1642" s="549" t="s">
        <v>1096</v>
      </c>
      <c r="L1642" s="549">
        <v>116495.17</v>
      </c>
      <c r="M1642" s="549">
        <v>0</v>
      </c>
      <c r="N1642" s="549">
        <v>0</v>
      </c>
      <c r="O1642" s="549">
        <v>0</v>
      </c>
      <c r="P1642" s="549">
        <v>100</v>
      </c>
      <c r="Q1642" s="549">
        <v>0</v>
      </c>
    </row>
    <row r="1643" spans="1:17" x14ac:dyDescent="0.25">
      <c r="A1643" s="549" t="s">
        <v>1023</v>
      </c>
      <c r="B1643" s="549" t="s">
        <v>1024</v>
      </c>
      <c r="C1643" s="549" t="s">
        <v>684</v>
      </c>
      <c r="D1643" s="549" t="s">
        <v>685</v>
      </c>
      <c r="E1643" s="549" t="s">
        <v>977</v>
      </c>
      <c r="F1643" s="549" t="s">
        <v>1212</v>
      </c>
      <c r="G1643" s="549">
        <v>132</v>
      </c>
      <c r="H1643" s="549" t="s">
        <v>684</v>
      </c>
      <c r="I1643" s="549" t="s">
        <v>1096</v>
      </c>
      <c r="J1643" s="549" t="s">
        <v>1096</v>
      </c>
      <c r="K1643" s="549" t="s">
        <v>1096</v>
      </c>
      <c r="L1643" s="549">
        <v>123803.21</v>
      </c>
      <c r="M1643" s="549">
        <v>0</v>
      </c>
      <c r="N1643" s="549">
        <v>0</v>
      </c>
      <c r="O1643" s="549">
        <v>0</v>
      </c>
      <c r="P1643" s="549">
        <v>19.64</v>
      </c>
      <c r="Q1643" s="549">
        <v>0</v>
      </c>
    </row>
    <row r="1644" spans="1:17" x14ac:dyDescent="0.25">
      <c r="A1644" s="549" t="s">
        <v>1023</v>
      </c>
      <c r="B1644" s="549" t="s">
        <v>1024</v>
      </c>
      <c r="C1644" s="549" t="s">
        <v>684</v>
      </c>
      <c r="D1644" s="549" t="s">
        <v>685</v>
      </c>
      <c r="E1644" s="549" t="s">
        <v>977</v>
      </c>
      <c r="F1644" s="549" t="s">
        <v>1212</v>
      </c>
      <c r="G1644" s="549">
        <v>142</v>
      </c>
      <c r="H1644" s="549" t="s">
        <v>684</v>
      </c>
      <c r="I1644" s="549" t="s">
        <v>1096</v>
      </c>
      <c r="J1644" s="549" t="s">
        <v>1096</v>
      </c>
      <c r="K1644" s="549" t="s">
        <v>1096</v>
      </c>
      <c r="L1644" s="549">
        <v>116495.17</v>
      </c>
      <c r="M1644" s="549">
        <v>0</v>
      </c>
      <c r="N1644" s="549">
        <v>0</v>
      </c>
      <c r="O1644" s="549">
        <v>0</v>
      </c>
      <c r="P1644" s="549">
        <v>100</v>
      </c>
      <c r="Q1644" s="549">
        <v>0</v>
      </c>
    </row>
    <row r="1645" spans="1:17" x14ac:dyDescent="0.25">
      <c r="A1645" s="549" t="s">
        <v>1023</v>
      </c>
      <c r="B1645" s="549" t="s">
        <v>1024</v>
      </c>
      <c r="C1645" s="549" t="s">
        <v>684</v>
      </c>
      <c r="D1645" s="549" t="s">
        <v>685</v>
      </c>
      <c r="E1645" s="549" t="s">
        <v>977</v>
      </c>
      <c r="F1645" s="549" t="s">
        <v>1212</v>
      </c>
      <c r="G1645" s="549">
        <v>162</v>
      </c>
      <c r="H1645" s="549" t="s">
        <v>684</v>
      </c>
      <c r="I1645" s="549" t="s">
        <v>1096</v>
      </c>
      <c r="J1645" s="549" t="s">
        <v>1096</v>
      </c>
      <c r="K1645" s="549" t="s">
        <v>1096</v>
      </c>
      <c r="L1645" s="549">
        <v>116495.17</v>
      </c>
      <c r="M1645" s="549">
        <v>0</v>
      </c>
      <c r="N1645" s="549">
        <v>0</v>
      </c>
      <c r="O1645" s="549">
        <v>0</v>
      </c>
      <c r="P1645" s="549">
        <v>100</v>
      </c>
      <c r="Q1645" s="549">
        <v>0</v>
      </c>
    </row>
    <row r="1646" spans="1:17" x14ac:dyDescent="0.25">
      <c r="A1646" s="549" t="s">
        <v>1023</v>
      </c>
      <c r="B1646" s="549" t="s">
        <v>1024</v>
      </c>
      <c r="C1646" s="549" t="s">
        <v>684</v>
      </c>
      <c r="D1646" s="549" t="s">
        <v>685</v>
      </c>
      <c r="E1646" s="549" t="s">
        <v>977</v>
      </c>
      <c r="F1646" s="549" t="s">
        <v>1212</v>
      </c>
      <c r="G1646" s="549">
        <v>442</v>
      </c>
      <c r="H1646" s="549" t="s">
        <v>684</v>
      </c>
      <c r="I1646" s="549" t="s">
        <v>1096</v>
      </c>
      <c r="J1646" s="549" t="s">
        <v>1096</v>
      </c>
      <c r="K1646" s="549" t="s">
        <v>1096</v>
      </c>
      <c r="L1646" s="549">
        <v>473331.21</v>
      </c>
      <c r="M1646" s="549">
        <v>0</v>
      </c>
      <c r="N1646" s="549">
        <v>0</v>
      </c>
      <c r="O1646" s="549">
        <v>0</v>
      </c>
      <c r="P1646" s="549">
        <v>19.64</v>
      </c>
      <c r="Q1646" s="549">
        <v>0</v>
      </c>
    </row>
    <row r="1647" spans="1:17" x14ac:dyDescent="0.25">
      <c r="A1647" s="549" t="s">
        <v>1023</v>
      </c>
      <c r="B1647" s="549" t="s">
        <v>1024</v>
      </c>
      <c r="C1647" s="549" t="s">
        <v>684</v>
      </c>
      <c r="D1647" s="549" t="s">
        <v>685</v>
      </c>
      <c r="E1647" s="549" t="s">
        <v>977</v>
      </c>
      <c r="F1647" s="549" t="s">
        <v>1212</v>
      </c>
      <c r="G1647" s="549">
        <v>452</v>
      </c>
      <c r="H1647" s="549" t="s">
        <v>684</v>
      </c>
      <c r="I1647" s="549" t="s">
        <v>1096</v>
      </c>
      <c r="J1647" s="549" t="s">
        <v>1096</v>
      </c>
      <c r="K1647" s="549" t="s">
        <v>1096</v>
      </c>
      <c r="L1647" s="549">
        <v>473331.21</v>
      </c>
      <c r="M1647" s="549">
        <v>0</v>
      </c>
      <c r="N1647" s="549">
        <v>0</v>
      </c>
      <c r="O1647" s="549">
        <v>0</v>
      </c>
      <c r="P1647" s="549">
        <v>19.64</v>
      </c>
      <c r="Q1647" s="549">
        <v>0</v>
      </c>
    </row>
    <row r="1648" spans="1:17" x14ac:dyDescent="0.25">
      <c r="A1648" s="549" t="s">
        <v>1023</v>
      </c>
      <c r="B1648" s="549" t="s">
        <v>1024</v>
      </c>
      <c r="C1648" s="549" t="s">
        <v>684</v>
      </c>
      <c r="D1648" s="549" t="s">
        <v>685</v>
      </c>
      <c r="E1648" s="549" t="s">
        <v>977</v>
      </c>
      <c r="F1648" s="549" t="s">
        <v>1212</v>
      </c>
      <c r="G1648" s="549" t="s">
        <v>1335</v>
      </c>
      <c r="H1648" s="549" t="s">
        <v>684</v>
      </c>
      <c r="I1648" s="549" t="s">
        <v>1096</v>
      </c>
      <c r="J1648" s="549" t="s">
        <v>1096</v>
      </c>
      <c r="K1648" s="549" t="s">
        <v>1096</v>
      </c>
      <c r="L1648" s="549">
        <v>59643.13</v>
      </c>
      <c r="M1648" s="549">
        <v>0</v>
      </c>
      <c r="N1648" s="549">
        <v>0</v>
      </c>
      <c r="O1648" s="549">
        <v>0</v>
      </c>
      <c r="P1648" s="549">
        <v>19.64</v>
      </c>
      <c r="Q1648" s="549">
        <v>0</v>
      </c>
    </row>
    <row r="1649" spans="1:17" x14ac:dyDescent="0.25">
      <c r="A1649" s="549" t="s">
        <v>1023</v>
      </c>
      <c r="B1649" s="549" t="s">
        <v>1024</v>
      </c>
      <c r="C1649" s="549" t="s">
        <v>684</v>
      </c>
      <c r="D1649" s="549" t="s">
        <v>685</v>
      </c>
      <c r="E1649" s="549" t="s">
        <v>977</v>
      </c>
      <c r="F1649" s="549" t="s">
        <v>1212</v>
      </c>
      <c r="G1649" s="549" t="s">
        <v>1336</v>
      </c>
      <c r="H1649" s="549" t="s">
        <v>684</v>
      </c>
      <c r="I1649" s="549" t="s">
        <v>1096</v>
      </c>
      <c r="J1649" s="549" t="s">
        <v>1096</v>
      </c>
      <c r="K1649" s="549" t="s">
        <v>1096</v>
      </c>
      <c r="L1649" s="549">
        <v>59643.13</v>
      </c>
      <c r="M1649" s="549">
        <v>0</v>
      </c>
      <c r="N1649" s="549">
        <v>0</v>
      </c>
      <c r="O1649" s="549">
        <v>0</v>
      </c>
      <c r="P1649" s="549">
        <v>19.64</v>
      </c>
      <c r="Q1649" s="549">
        <v>0</v>
      </c>
    </row>
    <row r="1650" spans="1:17" x14ac:dyDescent="0.25">
      <c r="A1650" s="549" t="s">
        <v>1023</v>
      </c>
      <c r="B1650" s="549" t="s">
        <v>1024</v>
      </c>
      <c r="C1650" s="549" t="s">
        <v>684</v>
      </c>
      <c r="D1650" s="549" t="s">
        <v>685</v>
      </c>
      <c r="E1650" s="549" t="s">
        <v>977</v>
      </c>
      <c r="F1650" s="549" t="s">
        <v>1212</v>
      </c>
      <c r="G1650" s="549" t="s">
        <v>1337</v>
      </c>
      <c r="H1650" s="549" t="s">
        <v>684</v>
      </c>
      <c r="I1650" s="549" t="s">
        <v>1096</v>
      </c>
      <c r="J1650" s="549" t="s">
        <v>1096</v>
      </c>
      <c r="K1650" s="549" t="s">
        <v>1096</v>
      </c>
      <c r="L1650" s="549">
        <v>59643.13</v>
      </c>
      <c r="M1650" s="549">
        <v>0</v>
      </c>
      <c r="N1650" s="549">
        <v>0</v>
      </c>
      <c r="O1650" s="549">
        <v>0</v>
      </c>
      <c r="P1650" s="549">
        <v>19.64</v>
      </c>
      <c r="Q1650" s="549">
        <v>0</v>
      </c>
    </row>
    <row r="1651" spans="1:17" x14ac:dyDescent="0.25">
      <c r="A1651" s="549" t="s">
        <v>1023</v>
      </c>
      <c r="B1651" s="549" t="s">
        <v>1024</v>
      </c>
      <c r="C1651" s="549" t="s">
        <v>684</v>
      </c>
      <c r="D1651" s="549" t="s">
        <v>685</v>
      </c>
      <c r="E1651" s="549" t="s">
        <v>977</v>
      </c>
      <c r="F1651" s="549" t="s">
        <v>1212</v>
      </c>
      <c r="G1651" s="549" t="s">
        <v>1305</v>
      </c>
      <c r="H1651" s="549" t="s">
        <v>684</v>
      </c>
      <c r="I1651" s="549" t="s">
        <v>1096</v>
      </c>
      <c r="J1651" s="549" t="s">
        <v>1096</v>
      </c>
      <c r="K1651" s="549" t="s">
        <v>1096</v>
      </c>
      <c r="L1651" s="549">
        <v>31205.759999999998</v>
      </c>
      <c r="M1651" s="549">
        <v>0</v>
      </c>
      <c r="N1651" s="549">
        <v>0</v>
      </c>
      <c r="O1651" s="549">
        <v>0</v>
      </c>
      <c r="P1651" s="549">
        <v>19.64</v>
      </c>
      <c r="Q1651" s="549">
        <v>0</v>
      </c>
    </row>
    <row r="1652" spans="1:17" x14ac:dyDescent="0.25">
      <c r="A1652" s="549" t="s">
        <v>1023</v>
      </c>
      <c r="B1652" s="549" t="s">
        <v>1024</v>
      </c>
      <c r="C1652" s="549" t="s">
        <v>684</v>
      </c>
      <c r="D1652" s="549" t="s">
        <v>685</v>
      </c>
      <c r="E1652" s="549" t="s">
        <v>977</v>
      </c>
      <c r="F1652" s="549" t="s">
        <v>1212</v>
      </c>
      <c r="G1652" s="549" t="s">
        <v>1256</v>
      </c>
      <c r="H1652" s="549" t="s">
        <v>684</v>
      </c>
      <c r="I1652" s="549" t="s">
        <v>1096</v>
      </c>
      <c r="J1652" s="549" t="s">
        <v>1096</v>
      </c>
      <c r="K1652" s="549" t="s">
        <v>1096</v>
      </c>
      <c r="L1652" s="549">
        <v>31205.759999999998</v>
      </c>
      <c r="M1652" s="549">
        <v>0</v>
      </c>
      <c r="N1652" s="549">
        <v>0</v>
      </c>
      <c r="O1652" s="549">
        <v>0</v>
      </c>
      <c r="P1652" s="549">
        <v>19.64</v>
      </c>
      <c r="Q1652" s="549">
        <v>0</v>
      </c>
    </row>
    <row r="1653" spans="1:17" x14ac:dyDescent="0.25">
      <c r="A1653" s="549" t="s">
        <v>1023</v>
      </c>
      <c r="B1653" s="549" t="s">
        <v>1024</v>
      </c>
      <c r="C1653" s="549" t="s">
        <v>228</v>
      </c>
      <c r="D1653" s="549" t="s">
        <v>683</v>
      </c>
      <c r="E1653" s="549" t="s">
        <v>973</v>
      </c>
      <c r="F1653" s="549" t="s">
        <v>1212</v>
      </c>
      <c r="G1653" s="549">
        <v>8</v>
      </c>
      <c r="H1653" s="549" t="s">
        <v>228</v>
      </c>
      <c r="I1653" s="549" t="s">
        <v>976</v>
      </c>
      <c r="J1653" s="549" t="s">
        <v>976</v>
      </c>
      <c r="K1653" s="549" t="s">
        <v>976</v>
      </c>
      <c r="L1653" s="549">
        <v>84884.11</v>
      </c>
      <c r="M1653" s="549">
        <v>6408.75</v>
      </c>
      <c r="N1653" s="549">
        <v>4872.3500000000004</v>
      </c>
      <c r="O1653" s="549">
        <v>992</v>
      </c>
      <c r="P1653" s="549">
        <v>1.21</v>
      </c>
      <c r="Q1653" s="549">
        <v>148.5</v>
      </c>
    </row>
    <row r="1654" spans="1:17" x14ac:dyDescent="0.25">
      <c r="A1654" s="549" t="s">
        <v>1023</v>
      </c>
      <c r="B1654" s="549" t="s">
        <v>1024</v>
      </c>
      <c r="C1654" s="549" t="s">
        <v>228</v>
      </c>
      <c r="D1654" s="549" t="s">
        <v>683</v>
      </c>
      <c r="E1654" s="549" t="s">
        <v>973</v>
      </c>
      <c r="F1654" s="549" t="s">
        <v>1212</v>
      </c>
      <c r="G1654" s="549">
        <v>9</v>
      </c>
      <c r="H1654" s="549" t="s">
        <v>228</v>
      </c>
      <c r="I1654" s="549" t="s">
        <v>976</v>
      </c>
      <c r="J1654" s="549" t="s">
        <v>976</v>
      </c>
      <c r="K1654" s="549" t="s">
        <v>976</v>
      </c>
      <c r="L1654" s="549">
        <v>0.02</v>
      </c>
      <c r="M1654" s="549">
        <v>0</v>
      </c>
      <c r="N1654" s="549">
        <v>0</v>
      </c>
      <c r="O1654" s="549">
        <v>992</v>
      </c>
      <c r="P1654" s="549">
        <v>1.21</v>
      </c>
      <c r="Q1654" s="549">
        <v>12</v>
      </c>
    </row>
    <row r="1655" spans="1:17" x14ac:dyDescent="0.25">
      <c r="A1655" s="549" t="s">
        <v>1023</v>
      </c>
      <c r="B1655" s="549" t="s">
        <v>1024</v>
      </c>
      <c r="C1655" s="549" t="s">
        <v>228</v>
      </c>
      <c r="D1655" s="549" t="s">
        <v>683</v>
      </c>
      <c r="E1655" s="549" t="s">
        <v>973</v>
      </c>
      <c r="F1655" s="549" t="s">
        <v>1212</v>
      </c>
      <c r="G1655" s="549">
        <v>11</v>
      </c>
      <c r="H1655" s="549" t="s">
        <v>228</v>
      </c>
      <c r="I1655" s="549" t="s">
        <v>976</v>
      </c>
      <c r="J1655" s="549" t="s">
        <v>976</v>
      </c>
      <c r="K1655" s="549" t="s">
        <v>976</v>
      </c>
      <c r="L1655" s="549">
        <v>84884.11</v>
      </c>
      <c r="M1655" s="549">
        <v>6408.75</v>
      </c>
      <c r="N1655" s="549">
        <v>4872.3500000000004</v>
      </c>
      <c r="O1655" s="549">
        <v>992</v>
      </c>
      <c r="P1655" s="549">
        <v>1.21</v>
      </c>
      <c r="Q1655" s="549">
        <v>148.5</v>
      </c>
    </row>
    <row r="1656" spans="1:17" x14ac:dyDescent="0.25">
      <c r="A1656" s="549" t="s">
        <v>1023</v>
      </c>
      <c r="B1656" s="549" t="s">
        <v>1024</v>
      </c>
      <c r="C1656" s="549" t="s">
        <v>228</v>
      </c>
      <c r="D1656" s="549" t="s">
        <v>683</v>
      </c>
      <c r="E1656" s="549" t="s">
        <v>973</v>
      </c>
      <c r="F1656" s="549" t="s">
        <v>1212</v>
      </c>
      <c r="G1656" s="549">
        <v>12</v>
      </c>
      <c r="H1656" s="549" t="s">
        <v>228</v>
      </c>
      <c r="I1656" s="549" t="s">
        <v>976</v>
      </c>
      <c r="J1656" s="549" t="s">
        <v>976</v>
      </c>
      <c r="K1656" s="549" t="s">
        <v>976</v>
      </c>
      <c r="L1656" s="549">
        <v>84884.11</v>
      </c>
      <c r="M1656" s="549">
        <v>6408.75</v>
      </c>
      <c r="N1656" s="549">
        <v>4872.3500000000004</v>
      </c>
      <c r="O1656" s="549">
        <v>992</v>
      </c>
      <c r="P1656" s="549">
        <v>1.21</v>
      </c>
      <c r="Q1656" s="549">
        <v>148.5</v>
      </c>
    </row>
    <row r="1657" spans="1:17" x14ac:dyDescent="0.25">
      <c r="A1657" s="549" t="s">
        <v>1023</v>
      </c>
      <c r="B1657" s="549" t="s">
        <v>1024</v>
      </c>
      <c r="C1657" s="549" t="s">
        <v>228</v>
      </c>
      <c r="D1657" s="549" t="s">
        <v>683</v>
      </c>
      <c r="E1657" s="549" t="s">
        <v>973</v>
      </c>
      <c r="F1657" s="549" t="s">
        <v>1212</v>
      </c>
      <c r="G1657" s="549">
        <v>13</v>
      </c>
      <c r="H1657" s="549" t="s">
        <v>228</v>
      </c>
      <c r="I1657" s="549" t="s">
        <v>976</v>
      </c>
      <c r="J1657" s="549" t="s">
        <v>976</v>
      </c>
      <c r="K1657" s="549" t="s">
        <v>976</v>
      </c>
      <c r="L1657" s="549">
        <v>84884.11</v>
      </c>
      <c r="M1657" s="549">
        <v>6408.75</v>
      </c>
      <c r="N1657" s="549">
        <v>4872.3500000000004</v>
      </c>
      <c r="O1657" s="549">
        <v>992</v>
      </c>
      <c r="P1657" s="549">
        <v>1.21</v>
      </c>
      <c r="Q1657" s="549">
        <v>148.5</v>
      </c>
    </row>
    <row r="1658" spans="1:17" x14ac:dyDescent="0.25">
      <c r="A1658" s="549" t="s">
        <v>1023</v>
      </c>
      <c r="B1658" s="549" t="s">
        <v>1024</v>
      </c>
      <c r="C1658" s="549" t="s">
        <v>228</v>
      </c>
      <c r="D1658" s="549" t="s">
        <v>683</v>
      </c>
      <c r="E1658" s="549" t="s">
        <v>973</v>
      </c>
      <c r="F1658" s="549" t="s">
        <v>1212</v>
      </c>
      <c r="G1658" s="549">
        <v>14</v>
      </c>
      <c r="H1658" s="549" t="s">
        <v>228</v>
      </c>
      <c r="I1658" s="549" t="s">
        <v>976</v>
      </c>
      <c r="J1658" s="549" t="s">
        <v>976</v>
      </c>
      <c r="K1658" s="549" t="s">
        <v>976</v>
      </c>
      <c r="L1658" s="549">
        <v>84884.11</v>
      </c>
      <c r="M1658" s="549">
        <v>6408.75</v>
      </c>
      <c r="N1658" s="549">
        <v>4872.3500000000004</v>
      </c>
      <c r="O1658" s="549">
        <v>992</v>
      </c>
      <c r="P1658" s="549">
        <v>1.21</v>
      </c>
      <c r="Q1658" s="549">
        <v>148.5</v>
      </c>
    </row>
    <row r="1659" spans="1:17" x14ac:dyDescent="0.25">
      <c r="A1659" s="549" t="s">
        <v>1023</v>
      </c>
      <c r="B1659" s="549" t="s">
        <v>1024</v>
      </c>
      <c r="C1659" s="549" t="s">
        <v>228</v>
      </c>
      <c r="D1659" s="549" t="s">
        <v>683</v>
      </c>
      <c r="E1659" s="549" t="s">
        <v>973</v>
      </c>
      <c r="F1659" s="549" t="s">
        <v>1212</v>
      </c>
      <c r="G1659" s="549">
        <v>15</v>
      </c>
      <c r="H1659" s="549" t="s">
        <v>228</v>
      </c>
      <c r="I1659" s="549" t="s">
        <v>976</v>
      </c>
      <c r="J1659" s="549" t="s">
        <v>976</v>
      </c>
      <c r="K1659" s="549" t="s">
        <v>976</v>
      </c>
      <c r="L1659" s="549">
        <v>84884.11</v>
      </c>
      <c r="M1659" s="549">
        <v>6408.75</v>
      </c>
      <c r="N1659" s="549">
        <v>4872.3500000000004</v>
      </c>
      <c r="O1659" s="549">
        <v>992</v>
      </c>
      <c r="P1659" s="549">
        <v>1.21</v>
      </c>
      <c r="Q1659" s="549">
        <v>148.5</v>
      </c>
    </row>
    <row r="1660" spans="1:17" x14ac:dyDescent="0.25">
      <c r="A1660" s="549" t="s">
        <v>1023</v>
      </c>
      <c r="B1660" s="549" t="s">
        <v>1024</v>
      </c>
      <c r="C1660" s="549" t="s">
        <v>228</v>
      </c>
      <c r="D1660" s="549" t="s">
        <v>683</v>
      </c>
      <c r="E1660" s="549" t="s">
        <v>973</v>
      </c>
      <c r="F1660" s="549" t="s">
        <v>1212</v>
      </c>
      <c r="G1660" s="549">
        <v>37</v>
      </c>
      <c r="H1660" s="549" t="s">
        <v>228</v>
      </c>
      <c r="I1660" s="549" t="s">
        <v>976</v>
      </c>
      <c r="J1660" s="549" t="s">
        <v>976</v>
      </c>
      <c r="K1660" s="549" t="s">
        <v>976</v>
      </c>
      <c r="L1660" s="549">
        <v>87493.14</v>
      </c>
      <c r="M1660" s="549">
        <v>6605.73</v>
      </c>
      <c r="N1660" s="549">
        <v>5022.1099999999997</v>
      </c>
      <c r="O1660" s="549">
        <v>992</v>
      </c>
      <c r="P1660" s="549">
        <v>1.21</v>
      </c>
      <c r="Q1660" s="549">
        <v>152.69999999999999</v>
      </c>
    </row>
    <row r="1661" spans="1:17" x14ac:dyDescent="0.25">
      <c r="A1661" s="549" t="s">
        <v>1023</v>
      </c>
      <c r="B1661" s="549" t="s">
        <v>1024</v>
      </c>
      <c r="C1661" s="549" t="s">
        <v>228</v>
      </c>
      <c r="D1661" s="549" t="s">
        <v>683</v>
      </c>
      <c r="E1661" s="549" t="s">
        <v>973</v>
      </c>
      <c r="F1661" s="549" t="s">
        <v>1212</v>
      </c>
      <c r="G1661" s="549">
        <v>39</v>
      </c>
      <c r="H1661" s="549" t="s">
        <v>228</v>
      </c>
      <c r="I1661" s="549" t="s">
        <v>976</v>
      </c>
      <c r="J1661" s="549" t="s">
        <v>976</v>
      </c>
      <c r="K1661" s="549" t="s">
        <v>976</v>
      </c>
      <c r="L1661" s="549">
        <v>87493.14</v>
      </c>
      <c r="M1661" s="549">
        <v>6605.73</v>
      </c>
      <c r="N1661" s="549">
        <v>5022.1099999999997</v>
      </c>
      <c r="O1661" s="549">
        <v>992</v>
      </c>
      <c r="P1661" s="549">
        <v>1.21</v>
      </c>
      <c r="Q1661" s="549">
        <v>152.69999999999999</v>
      </c>
    </row>
    <row r="1662" spans="1:17" x14ac:dyDescent="0.25">
      <c r="A1662" s="549" t="s">
        <v>1023</v>
      </c>
      <c r="B1662" s="549" t="s">
        <v>1024</v>
      </c>
      <c r="C1662" s="549" t="s">
        <v>228</v>
      </c>
      <c r="D1662" s="549" t="s">
        <v>683</v>
      </c>
      <c r="E1662" s="549" t="s">
        <v>973</v>
      </c>
      <c r="F1662" s="549" t="s">
        <v>1212</v>
      </c>
      <c r="G1662" s="549">
        <v>42</v>
      </c>
      <c r="H1662" s="549" t="s">
        <v>228</v>
      </c>
      <c r="I1662" s="549" t="s">
        <v>976</v>
      </c>
      <c r="J1662" s="549" t="s">
        <v>976</v>
      </c>
      <c r="K1662" s="549" t="s">
        <v>976</v>
      </c>
      <c r="L1662" s="549">
        <v>347493.52</v>
      </c>
      <c r="M1662" s="549">
        <v>26235.759999999998</v>
      </c>
      <c r="N1662" s="549">
        <v>19946.13</v>
      </c>
      <c r="O1662" s="549">
        <v>1984</v>
      </c>
      <c r="P1662" s="549">
        <v>1.21</v>
      </c>
      <c r="Q1662" s="549">
        <v>582.80999999999995</v>
      </c>
    </row>
    <row r="1663" spans="1:17" x14ac:dyDescent="0.25">
      <c r="A1663" s="549" t="s">
        <v>1023</v>
      </c>
      <c r="B1663" s="549" t="s">
        <v>1024</v>
      </c>
      <c r="C1663" s="549" t="s">
        <v>228</v>
      </c>
      <c r="D1663" s="549" t="s">
        <v>683</v>
      </c>
      <c r="E1663" s="549" t="s">
        <v>973</v>
      </c>
      <c r="F1663" s="549" t="s">
        <v>1212</v>
      </c>
      <c r="G1663" s="549">
        <v>52</v>
      </c>
      <c r="H1663" s="549" t="s">
        <v>228</v>
      </c>
      <c r="I1663" s="549" t="s">
        <v>976</v>
      </c>
      <c r="J1663" s="549" t="s">
        <v>976</v>
      </c>
      <c r="K1663" s="549" t="s">
        <v>976</v>
      </c>
      <c r="L1663" s="549">
        <v>347493.52</v>
      </c>
      <c r="M1663" s="549">
        <v>26235.759999999998</v>
      </c>
      <c r="N1663" s="549">
        <v>19946.13</v>
      </c>
      <c r="O1663" s="549">
        <v>1984</v>
      </c>
      <c r="P1663" s="549">
        <v>1.21</v>
      </c>
      <c r="Q1663" s="549">
        <v>582.80999999999995</v>
      </c>
    </row>
    <row r="1664" spans="1:17" x14ac:dyDescent="0.25">
      <c r="A1664" s="549" t="s">
        <v>1023</v>
      </c>
      <c r="B1664" s="549" t="s">
        <v>1024</v>
      </c>
      <c r="C1664" s="549" t="s">
        <v>228</v>
      </c>
      <c r="D1664" s="549" t="s">
        <v>683</v>
      </c>
      <c r="E1664" s="549" t="s">
        <v>973</v>
      </c>
      <c r="F1664" s="549" t="s">
        <v>1212</v>
      </c>
      <c r="G1664" s="549" t="s">
        <v>1309</v>
      </c>
      <c r="H1664" s="549" t="s">
        <v>228</v>
      </c>
      <c r="I1664" s="549" t="s">
        <v>976</v>
      </c>
      <c r="J1664" s="549" t="s">
        <v>976</v>
      </c>
      <c r="K1664" s="549" t="s">
        <v>976</v>
      </c>
      <c r="L1664" s="549">
        <v>23231.360000000001</v>
      </c>
      <c r="M1664" s="549">
        <v>1753.97</v>
      </c>
      <c r="N1664" s="549">
        <v>1333.48</v>
      </c>
      <c r="O1664" s="549">
        <v>0</v>
      </c>
      <c r="P1664" s="549">
        <v>1.21</v>
      </c>
      <c r="Q1664" s="549">
        <v>37.36</v>
      </c>
    </row>
    <row r="1665" spans="1:17" x14ac:dyDescent="0.25">
      <c r="A1665" s="549" t="s">
        <v>1023</v>
      </c>
      <c r="B1665" s="549" t="s">
        <v>1024</v>
      </c>
      <c r="C1665" s="549" t="s">
        <v>228</v>
      </c>
      <c r="D1665" s="549" t="s">
        <v>683</v>
      </c>
      <c r="E1665" s="549" t="s">
        <v>973</v>
      </c>
      <c r="F1665" s="549" t="s">
        <v>1212</v>
      </c>
      <c r="G1665" s="549" t="s">
        <v>1238</v>
      </c>
      <c r="H1665" s="549" t="s">
        <v>228</v>
      </c>
      <c r="I1665" s="549" t="s">
        <v>976</v>
      </c>
      <c r="J1665" s="549" t="s">
        <v>976</v>
      </c>
      <c r="K1665" s="549" t="s">
        <v>976</v>
      </c>
      <c r="L1665" s="549">
        <v>23231.360000000001</v>
      </c>
      <c r="M1665" s="549">
        <v>1753.97</v>
      </c>
      <c r="N1665" s="549">
        <v>1333.48</v>
      </c>
      <c r="O1665" s="549">
        <v>0</v>
      </c>
      <c r="P1665" s="549">
        <v>1.21</v>
      </c>
      <c r="Q1665" s="549">
        <v>37.36</v>
      </c>
    </row>
    <row r="1666" spans="1:17" x14ac:dyDescent="0.25">
      <c r="A1666" s="549" t="s">
        <v>1023</v>
      </c>
      <c r="B1666" s="549" t="s">
        <v>1024</v>
      </c>
      <c r="C1666" s="549" t="s">
        <v>228</v>
      </c>
      <c r="D1666" s="549" t="s">
        <v>683</v>
      </c>
      <c r="E1666" s="549" t="s">
        <v>977</v>
      </c>
      <c r="F1666" s="549" t="s">
        <v>1212</v>
      </c>
      <c r="G1666" s="549">
        <v>8</v>
      </c>
      <c r="H1666" s="549" t="s">
        <v>228</v>
      </c>
      <c r="I1666" s="549" t="s">
        <v>976</v>
      </c>
      <c r="J1666" s="549" t="s">
        <v>976</v>
      </c>
      <c r="K1666" s="549" t="s">
        <v>976</v>
      </c>
      <c r="L1666" s="549">
        <v>84884.11</v>
      </c>
      <c r="M1666" s="549">
        <v>6408.75</v>
      </c>
      <c r="N1666" s="549">
        <v>1875.94</v>
      </c>
      <c r="O1666" s="549">
        <v>992</v>
      </c>
      <c r="P1666" s="549">
        <v>98.79</v>
      </c>
      <c r="Q1666" s="549">
        <v>9164.44</v>
      </c>
    </row>
    <row r="1667" spans="1:17" x14ac:dyDescent="0.25">
      <c r="A1667" s="549" t="s">
        <v>1023</v>
      </c>
      <c r="B1667" s="549" t="s">
        <v>1024</v>
      </c>
      <c r="C1667" s="549" t="s">
        <v>228</v>
      </c>
      <c r="D1667" s="549" t="s">
        <v>683</v>
      </c>
      <c r="E1667" s="549" t="s">
        <v>977</v>
      </c>
      <c r="F1667" s="549" t="s">
        <v>1212</v>
      </c>
      <c r="G1667" s="549">
        <v>9</v>
      </c>
      <c r="H1667" s="549" t="s">
        <v>228</v>
      </c>
      <c r="I1667" s="549" t="s">
        <v>976</v>
      </c>
      <c r="J1667" s="549" t="s">
        <v>976</v>
      </c>
      <c r="K1667" s="549" t="s">
        <v>976</v>
      </c>
      <c r="L1667" s="549">
        <v>0.02</v>
      </c>
      <c r="M1667" s="549">
        <v>0</v>
      </c>
      <c r="N1667" s="549">
        <v>0</v>
      </c>
      <c r="O1667" s="549">
        <v>992</v>
      </c>
      <c r="P1667" s="549">
        <v>98.79</v>
      </c>
      <c r="Q1667" s="549">
        <v>980</v>
      </c>
    </row>
    <row r="1668" spans="1:17" x14ac:dyDescent="0.25">
      <c r="A1668" s="549" t="s">
        <v>1023</v>
      </c>
      <c r="B1668" s="549" t="s">
        <v>1024</v>
      </c>
      <c r="C1668" s="549" t="s">
        <v>228</v>
      </c>
      <c r="D1668" s="549" t="s">
        <v>683</v>
      </c>
      <c r="E1668" s="549" t="s">
        <v>977</v>
      </c>
      <c r="F1668" s="549" t="s">
        <v>1212</v>
      </c>
      <c r="G1668" s="549">
        <v>11</v>
      </c>
      <c r="H1668" s="549" t="s">
        <v>228</v>
      </c>
      <c r="I1668" s="549" t="s">
        <v>976</v>
      </c>
      <c r="J1668" s="549" t="s">
        <v>976</v>
      </c>
      <c r="K1668" s="549" t="s">
        <v>976</v>
      </c>
      <c r="L1668" s="549">
        <v>84884.11</v>
      </c>
      <c r="M1668" s="549">
        <v>6408.75</v>
      </c>
      <c r="N1668" s="549">
        <v>1875.94</v>
      </c>
      <c r="O1668" s="549">
        <v>992</v>
      </c>
      <c r="P1668" s="549">
        <v>98.79</v>
      </c>
      <c r="Q1668" s="549">
        <v>9164.44</v>
      </c>
    </row>
    <row r="1669" spans="1:17" x14ac:dyDescent="0.25">
      <c r="A1669" s="549" t="s">
        <v>1023</v>
      </c>
      <c r="B1669" s="549" t="s">
        <v>1024</v>
      </c>
      <c r="C1669" s="549" t="s">
        <v>228</v>
      </c>
      <c r="D1669" s="549" t="s">
        <v>683</v>
      </c>
      <c r="E1669" s="549" t="s">
        <v>977</v>
      </c>
      <c r="F1669" s="549" t="s">
        <v>1212</v>
      </c>
      <c r="G1669" s="549">
        <v>12</v>
      </c>
      <c r="H1669" s="549" t="s">
        <v>228</v>
      </c>
      <c r="I1669" s="549" t="s">
        <v>976</v>
      </c>
      <c r="J1669" s="549" t="s">
        <v>976</v>
      </c>
      <c r="K1669" s="549" t="s">
        <v>976</v>
      </c>
      <c r="L1669" s="549">
        <v>84884.11</v>
      </c>
      <c r="M1669" s="549">
        <v>6408.75</v>
      </c>
      <c r="N1669" s="549">
        <v>1875.94</v>
      </c>
      <c r="O1669" s="549">
        <v>992</v>
      </c>
      <c r="P1669" s="549">
        <v>98.79</v>
      </c>
      <c r="Q1669" s="549">
        <v>9164.44</v>
      </c>
    </row>
    <row r="1670" spans="1:17" x14ac:dyDescent="0.25">
      <c r="A1670" s="549" t="s">
        <v>1023</v>
      </c>
      <c r="B1670" s="549" t="s">
        <v>1024</v>
      </c>
      <c r="C1670" s="549" t="s">
        <v>228</v>
      </c>
      <c r="D1670" s="549" t="s">
        <v>683</v>
      </c>
      <c r="E1670" s="549" t="s">
        <v>977</v>
      </c>
      <c r="F1670" s="549" t="s">
        <v>1212</v>
      </c>
      <c r="G1670" s="549">
        <v>13</v>
      </c>
      <c r="H1670" s="549" t="s">
        <v>228</v>
      </c>
      <c r="I1670" s="549" t="s">
        <v>976</v>
      </c>
      <c r="J1670" s="549" t="s">
        <v>976</v>
      </c>
      <c r="K1670" s="549" t="s">
        <v>976</v>
      </c>
      <c r="L1670" s="549">
        <v>84884.11</v>
      </c>
      <c r="M1670" s="549">
        <v>6408.75</v>
      </c>
      <c r="N1670" s="549">
        <v>1875.94</v>
      </c>
      <c r="O1670" s="549">
        <v>992</v>
      </c>
      <c r="P1670" s="549">
        <v>98.79</v>
      </c>
      <c r="Q1670" s="549">
        <v>9164.44</v>
      </c>
    </row>
    <row r="1671" spans="1:17" x14ac:dyDescent="0.25">
      <c r="A1671" s="549" t="s">
        <v>1023</v>
      </c>
      <c r="B1671" s="549" t="s">
        <v>1024</v>
      </c>
      <c r="C1671" s="549" t="s">
        <v>228</v>
      </c>
      <c r="D1671" s="549" t="s">
        <v>683</v>
      </c>
      <c r="E1671" s="549" t="s">
        <v>977</v>
      </c>
      <c r="F1671" s="549" t="s">
        <v>1212</v>
      </c>
      <c r="G1671" s="549">
        <v>14</v>
      </c>
      <c r="H1671" s="549" t="s">
        <v>228</v>
      </c>
      <c r="I1671" s="549" t="s">
        <v>976</v>
      </c>
      <c r="J1671" s="549" t="s">
        <v>976</v>
      </c>
      <c r="K1671" s="549" t="s">
        <v>976</v>
      </c>
      <c r="L1671" s="549">
        <v>84884.11</v>
      </c>
      <c r="M1671" s="549">
        <v>6408.75</v>
      </c>
      <c r="N1671" s="549">
        <v>1875.94</v>
      </c>
      <c r="O1671" s="549">
        <v>992</v>
      </c>
      <c r="P1671" s="549">
        <v>98.79</v>
      </c>
      <c r="Q1671" s="549">
        <v>9164.44</v>
      </c>
    </row>
    <row r="1672" spans="1:17" x14ac:dyDescent="0.25">
      <c r="A1672" s="549" t="s">
        <v>1023</v>
      </c>
      <c r="B1672" s="549" t="s">
        <v>1024</v>
      </c>
      <c r="C1672" s="549" t="s">
        <v>228</v>
      </c>
      <c r="D1672" s="549" t="s">
        <v>683</v>
      </c>
      <c r="E1672" s="549" t="s">
        <v>977</v>
      </c>
      <c r="F1672" s="549" t="s">
        <v>1212</v>
      </c>
      <c r="G1672" s="549">
        <v>15</v>
      </c>
      <c r="H1672" s="549" t="s">
        <v>228</v>
      </c>
      <c r="I1672" s="549" t="s">
        <v>976</v>
      </c>
      <c r="J1672" s="549" t="s">
        <v>976</v>
      </c>
      <c r="K1672" s="549" t="s">
        <v>976</v>
      </c>
      <c r="L1672" s="549">
        <v>84884.11</v>
      </c>
      <c r="M1672" s="549">
        <v>6408.75</v>
      </c>
      <c r="N1672" s="549">
        <v>1875.94</v>
      </c>
      <c r="O1672" s="549">
        <v>992</v>
      </c>
      <c r="P1672" s="549">
        <v>98.79</v>
      </c>
      <c r="Q1672" s="549">
        <v>9164.44</v>
      </c>
    </row>
    <row r="1673" spans="1:17" x14ac:dyDescent="0.25">
      <c r="A1673" s="549" t="s">
        <v>1023</v>
      </c>
      <c r="B1673" s="549" t="s">
        <v>1024</v>
      </c>
      <c r="C1673" s="549" t="s">
        <v>228</v>
      </c>
      <c r="D1673" s="549" t="s">
        <v>683</v>
      </c>
      <c r="E1673" s="549" t="s">
        <v>977</v>
      </c>
      <c r="F1673" s="549" t="s">
        <v>1212</v>
      </c>
      <c r="G1673" s="549">
        <v>37</v>
      </c>
      <c r="H1673" s="549" t="s">
        <v>228</v>
      </c>
      <c r="I1673" s="549" t="s">
        <v>976</v>
      </c>
      <c r="J1673" s="549" t="s">
        <v>976</v>
      </c>
      <c r="K1673" s="549" t="s">
        <v>976</v>
      </c>
      <c r="L1673" s="549">
        <v>87493.14</v>
      </c>
      <c r="M1673" s="549">
        <v>6605.73</v>
      </c>
      <c r="N1673" s="549">
        <v>1933.6</v>
      </c>
      <c r="O1673" s="549">
        <v>992</v>
      </c>
      <c r="P1673" s="549">
        <v>98.79</v>
      </c>
      <c r="Q1673" s="549">
        <v>9416</v>
      </c>
    </row>
    <row r="1674" spans="1:17" x14ac:dyDescent="0.25">
      <c r="A1674" s="549" t="s">
        <v>1023</v>
      </c>
      <c r="B1674" s="549" t="s">
        <v>1024</v>
      </c>
      <c r="C1674" s="549" t="s">
        <v>228</v>
      </c>
      <c r="D1674" s="549" t="s">
        <v>683</v>
      </c>
      <c r="E1674" s="549" t="s">
        <v>977</v>
      </c>
      <c r="F1674" s="549" t="s">
        <v>1212</v>
      </c>
      <c r="G1674" s="549">
        <v>39</v>
      </c>
      <c r="H1674" s="549" t="s">
        <v>228</v>
      </c>
      <c r="I1674" s="549" t="s">
        <v>976</v>
      </c>
      <c r="J1674" s="549" t="s">
        <v>976</v>
      </c>
      <c r="K1674" s="549" t="s">
        <v>976</v>
      </c>
      <c r="L1674" s="549">
        <v>87493.14</v>
      </c>
      <c r="M1674" s="549">
        <v>6605.73</v>
      </c>
      <c r="N1674" s="549">
        <v>1933.6</v>
      </c>
      <c r="O1674" s="549">
        <v>992</v>
      </c>
      <c r="P1674" s="549">
        <v>98.79</v>
      </c>
      <c r="Q1674" s="549">
        <v>9416</v>
      </c>
    </row>
    <row r="1675" spans="1:17" x14ac:dyDescent="0.25">
      <c r="A1675" s="549" t="s">
        <v>1023</v>
      </c>
      <c r="B1675" s="549" t="s">
        <v>1024</v>
      </c>
      <c r="C1675" s="549" t="s">
        <v>228</v>
      </c>
      <c r="D1675" s="549" t="s">
        <v>683</v>
      </c>
      <c r="E1675" s="549" t="s">
        <v>977</v>
      </c>
      <c r="F1675" s="549" t="s">
        <v>1212</v>
      </c>
      <c r="G1675" s="549">
        <v>42</v>
      </c>
      <c r="H1675" s="549" t="s">
        <v>228</v>
      </c>
      <c r="I1675" s="549" t="s">
        <v>976</v>
      </c>
      <c r="J1675" s="549" t="s">
        <v>976</v>
      </c>
      <c r="K1675" s="549" t="s">
        <v>976</v>
      </c>
      <c r="L1675" s="549">
        <v>347493.52</v>
      </c>
      <c r="M1675" s="549">
        <v>26235.759999999998</v>
      </c>
      <c r="N1675" s="549">
        <v>7679.61</v>
      </c>
      <c r="O1675" s="549">
        <v>1984</v>
      </c>
      <c r="P1675" s="549">
        <v>98.79</v>
      </c>
      <c r="Q1675" s="549">
        <v>35464.99</v>
      </c>
    </row>
    <row r="1676" spans="1:17" x14ac:dyDescent="0.25">
      <c r="A1676" s="549" t="s">
        <v>1023</v>
      </c>
      <c r="B1676" s="549" t="s">
        <v>1024</v>
      </c>
      <c r="C1676" s="549" t="s">
        <v>228</v>
      </c>
      <c r="D1676" s="549" t="s">
        <v>683</v>
      </c>
      <c r="E1676" s="549" t="s">
        <v>977</v>
      </c>
      <c r="F1676" s="549" t="s">
        <v>1212</v>
      </c>
      <c r="G1676" s="549">
        <v>52</v>
      </c>
      <c r="H1676" s="549" t="s">
        <v>228</v>
      </c>
      <c r="I1676" s="549" t="s">
        <v>976</v>
      </c>
      <c r="J1676" s="549" t="s">
        <v>976</v>
      </c>
      <c r="K1676" s="549" t="s">
        <v>976</v>
      </c>
      <c r="L1676" s="549">
        <v>347493.52</v>
      </c>
      <c r="M1676" s="549">
        <v>26235.759999999998</v>
      </c>
      <c r="N1676" s="549">
        <v>7679.61</v>
      </c>
      <c r="O1676" s="549">
        <v>1984</v>
      </c>
      <c r="P1676" s="549">
        <v>98.79</v>
      </c>
      <c r="Q1676" s="549">
        <v>35464.99</v>
      </c>
    </row>
    <row r="1677" spans="1:17" x14ac:dyDescent="0.25">
      <c r="A1677" s="549" t="s">
        <v>1023</v>
      </c>
      <c r="B1677" s="549" t="s">
        <v>1024</v>
      </c>
      <c r="C1677" s="549" t="s">
        <v>228</v>
      </c>
      <c r="D1677" s="549" t="s">
        <v>683</v>
      </c>
      <c r="E1677" s="549" t="s">
        <v>977</v>
      </c>
      <c r="F1677" s="549" t="s">
        <v>1212</v>
      </c>
      <c r="G1677" s="549" t="s">
        <v>1309</v>
      </c>
      <c r="H1677" s="549" t="s">
        <v>228</v>
      </c>
      <c r="I1677" s="549" t="s">
        <v>976</v>
      </c>
      <c r="J1677" s="549" t="s">
        <v>976</v>
      </c>
      <c r="K1677" s="549" t="s">
        <v>976</v>
      </c>
      <c r="L1677" s="549">
        <v>23231.360000000001</v>
      </c>
      <c r="M1677" s="549">
        <v>1753.97</v>
      </c>
      <c r="N1677" s="549">
        <v>513.41</v>
      </c>
      <c r="O1677" s="549">
        <v>0</v>
      </c>
      <c r="P1677" s="549">
        <v>98.79</v>
      </c>
      <c r="Q1677" s="549">
        <v>2239.94</v>
      </c>
    </row>
    <row r="1678" spans="1:17" x14ac:dyDescent="0.25">
      <c r="A1678" s="549" t="s">
        <v>1023</v>
      </c>
      <c r="B1678" s="549" t="s">
        <v>1024</v>
      </c>
      <c r="C1678" s="549" t="s">
        <v>228</v>
      </c>
      <c r="D1678" s="549" t="s">
        <v>683</v>
      </c>
      <c r="E1678" s="549" t="s">
        <v>977</v>
      </c>
      <c r="F1678" s="549" t="s">
        <v>1212</v>
      </c>
      <c r="G1678" s="549" t="s">
        <v>1238</v>
      </c>
      <c r="H1678" s="549" t="s">
        <v>228</v>
      </c>
      <c r="I1678" s="549" t="s">
        <v>976</v>
      </c>
      <c r="J1678" s="549" t="s">
        <v>976</v>
      </c>
      <c r="K1678" s="549" t="s">
        <v>976</v>
      </c>
      <c r="L1678" s="549">
        <v>23231.360000000001</v>
      </c>
      <c r="M1678" s="549">
        <v>1753.97</v>
      </c>
      <c r="N1678" s="549">
        <v>513.41</v>
      </c>
      <c r="O1678" s="549">
        <v>0</v>
      </c>
      <c r="P1678" s="549">
        <v>98.79</v>
      </c>
      <c r="Q1678" s="549">
        <v>2239.94</v>
      </c>
    </row>
    <row r="1679" spans="1:17" x14ac:dyDescent="0.25">
      <c r="A1679" s="549" t="s">
        <v>1023</v>
      </c>
      <c r="B1679" s="549" t="s">
        <v>1024</v>
      </c>
      <c r="C1679" s="549" t="s">
        <v>681</v>
      </c>
      <c r="D1679" s="549" t="s">
        <v>682</v>
      </c>
      <c r="E1679" s="549" t="s">
        <v>977</v>
      </c>
      <c r="F1679" s="549" t="s">
        <v>1212</v>
      </c>
      <c r="G1679" s="549">
        <v>222</v>
      </c>
      <c r="H1679" s="549" t="s">
        <v>684</v>
      </c>
      <c r="I1679" s="549" t="s">
        <v>976</v>
      </c>
      <c r="J1679" s="549" t="s">
        <v>976</v>
      </c>
      <c r="K1679" s="549" t="s">
        <v>976</v>
      </c>
      <c r="L1679" s="549">
        <v>509625.72</v>
      </c>
      <c r="M1679" s="549">
        <v>38476.74</v>
      </c>
      <c r="N1679" s="549">
        <v>11262.73</v>
      </c>
      <c r="O1679" s="549">
        <v>3968</v>
      </c>
      <c r="P1679" s="549">
        <v>13.7</v>
      </c>
      <c r="Q1679" s="549">
        <v>7357.92</v>
      </c>
    </row>
    <row r="1680" spans="1:17" x14ac:dyDescent="0.25">
      <c r="A1680" s="549" t="s">
        <v>1023</v>
      </c>
      <c r="B1680" s="549" t="s">
        <v>1024</v>
      </c>
      <c r="C1680" s="549" t="s">
        <v>681</v>
      </c>
      <c r="D1680" s="549" t="s">
        <v>682</v>
      </c>
      <c r="E1680" s="549" t="s">
        <v>977</v>
      </c>
      <c r="F1680" s="549" t="s">
        <v>1212</v>
      </c>
      <c r="G1680" s="549" t="s">
        <v>1235</v>
      </c>
      <c r="H1680" s="549" t="s">
        <v>684</v>
      </c>
      <c r="I1680" s="549" t="s">
        <v>976</v>
      </c>
      <c r="J1680" s="549" t="s">
        <v>976</v>
      </c>
      <c r="K1680" s="549" t="s">
        <v>976</v>
      </c>
      <c r="L1680" s="549">
        <v>271431.39</v>
      </c>
      <c r="M1680" s="549">
        <v>20493.07</v>
      </c>
      <c r="N1680" s="549">
        <v>5998.63</v>
      </c>
      <c r="O1680" s="549">
        <v>992</v>
      </c>
      <c r="P1680" s="549">
        <v>13.7</v>
      </c>
      <c r="Q1680" s="549">
        <v>3765.27</v>
      </c>
    </row>
    <row r="1681" spans="1:17" x14ac:dyDescent="0.25">
      <c r="A1681" s="549" t="s">
        <v>1023</v>
      </c>
      <c r="B1681" s="549" t="s">
        <v>1024</v>
      </c>
      <c r="C1681" s="549" t="s">
        <v>681</v>
      </c>
      <c r="D1681" s="549" t="s">
        <v>682</v>
      </c>
      <c r="E1681" s="549" t="s">
        <v>977</v>
      </c>
      <c r="F1681" s="549" t="s">
        <v>1212</v>
      </c>
      <c r="G1681" s="549">
        <v>1</v>
      </c>
      <c r="H1681" s="549" t="s">
        <v>681</v>
      </c>
      <c r="I1681" s="549" t="s">
        <v>976</v>
      </c>
      <c r="J1681" s="549" t="s">
        <v>976</v>
      </c>
      <c r="K1681" s="549" t="s">
        <v>976</v>
      </c>
      <c r="L1681" s="549">
        <v>49105.88</v>
      </c>
      <c r="M1681" s="549">
        <v>3707.49</v>
      </c>
      <c r="N1681" s="549">
        <v>1085.24</v>
      </c>
      <c r="O1681" s="549">
        <v>1984</v>
      </c>
      <c r="P1681" s="549">
        <v>100</v>
      </c>
      <c r="Q1681" s="549">
        <v>6776.73</v>
      </c>
    </row>
    <row r="1682" spans="1:17" x14ac:dyDescent="0.25">
      <c r="A1682" s="549" t="s">
        <v>1023</v>
      </c>
      <c r="B1682" s="549" t="s">
        <v>1024</v>
      </c>
      <c r="C1682" s="549" t="s">
        <v>681</v>
      </c>
      <c r="D1682" s="549" t="s">
        <v>682</v>
      </c>
      <c r="E1682" s="549" t="s">
        <v>977</v>
      </c>
      <c r="F1682" s="549" t="s">
        <v>1212</v>
      </c>
      <c r="G1682" s="549">
        <v>2</v>
      </c>
      <c r="H1682" s="549" t="s">
        <v>681</v>
      </c>
      <c r="I1682" s="549" t="s">
        <v>976</v>
      </c>
      <c r="J1682" s="549" t="s">
        <v>976</v>
      </c>
      <c r="K1682" s="549" t="s">
        <v>976</v>
      </c>
      <c r="L1682" s="549">
        <v>49105.88</v>
      </c>
      <c r="M1682" s="549">
        <v>3707.49</v>
      </c>
      <c r="N1682" s="549">
        <v>1085.24</v>
      </c>
      <c r="O1682" s="549">
        <v>1984</v>
      </c>
      <c r="P1682" s="549">
        <v>100</v>
      </c>
      <c r="Q1682" s="549">
        <v>6776.73</v>
      </c>
    </row>
    <row r="1683" spans="1:17" x14ac:dyDescent="0.25">
      <c r="A1683" s="549" t="s">
        <v>1023</v>
      </c>
      <c r="B1683" s="549" t="s">
        <v>1024</v>
      </c>
      <c r="C1683" s="549" t="s">
        <v>681</v>
      </c>
      <c r="D1683" s="549" t="s">
        <v>682</v>
      </c>
      <c r="E1683" s="549" t="s">
        <v>977</v>
      </c>
      <c r="F1683" s="549" t="s">
        <v>1212</v>
      </c>
      <c r="G1683" s="549">
        <v>1051</v>
      </c>
      <c r="H1683" s="549" t="s">
        <v>681</v>
      </c>
      <c r="I1683" s="549" t="s">
        <v>976</v>
      </c>
      <c r="J1683" s="549" t="s">
        <v>976</v>
      </c>
      <c r="K1683" s="549" t="s">
        <v>976</v>
      </c>
      <c r="L1683" s="549">
        <v>52041.68</v>
      </c>
      <c r="M1683" s="549">
        <v>3929.15</v>
      </c>
      <c r="N1683" s="549">
        <v>1150.1199999999999</v>
      </c>
      <c r="O1683" s="549">
        <v>2976</v>
      </c>
      <c r="P1683" s="549">
        <v>100</v>
      </c>
      <c r="Q1683" s="549">
        <v>8055.27</v>
      </c>
    </row>
    <row r="1684" spans="1:17" x14ac:dyDescent="0.25">
      <c r="A1684" s="549" t="s">
        <v>1023</v>
      </c>
      <c r="B1684" s="549" t="s">
        <v>1024</v>
      </c>
      <c r="C1684" s="549" t="s">
        <v>681</v>
      </c>
      <c r="D1684" s="549" t="s">
        <v>682</v>
      </c>
      <c r="E1684" s="549" t="s">
        <v>977</v>
      </c>
      <c r="F1684" s="549" t="s">
        <v>1212</v>
      </c>
      <c r="G1684" s="549" t="s">
        <v>1235</v>
      </c>
      <c r="H1684" s="549" t="s">
        <v>681</v>
      </c>
      <c r="I1684" s="549" t="s">
        <v>976</v>
      </c>
      <c r="J1684" s="549" t="s">
        <v>976</v>
      </c>
      <c r="K1684" s="549" t="s">
        <v>976</v>
      </c>
      <c r="L1684" s="549">
        <v>0.04</v>
      </c>
      <c r="M1684" s="549">
        <v>0</v>
      </c>
      <c r="N1684" s="549">
        <v>0</v>
      </c>
      <c r="O1684" s="549">
        <v>992</v>
      </c>
      <c r="P1684" s="549">
        <v>100</v>
      </c>
      <c r="Q1684" s="549">
        <v>992</v>
      </c>
    </row>
    <row r="1685" spans="1:17" x14ac:dyDescent="0.25">
      <c r="A1685" s="549" t="s">
        <v>1023</v>
      </c>
      <c r="B1685" s="549" t="s">
        <v>1024</v>
      </c>
      <c r="C1685" s="549" t="s">
        <v>681</v>
      </c>
      <c r="D1685" s="549" t="s">
        <v>682</v>
      </c>
      <c r="E1685" s="549" t="s">
        <v>977</v>
      </c>
      <c r="F1685" s="549" t="s">
        <v>1212</v>
      </c>
      <c r="G1685" s="549" t="s">
        <v>1338</v>
      </c>
      <c r="H1685" s="549" t="s">
        <v>681</v>
      </c>
      <c r="I1685" s="549" t="s">
        <v>976</v>
      </c>
      <c r="J1685" s="549" t="s">
        <v>976</v>
      </c>
      <c r="K1685" s="549" t="s">
        <v>976</v>
      </c>
      <c r="L1685" s="549">
        <v>31410.32</v>
      </c>
      <c r="M1685" s="549">
        <v>2371.48</v>
      </c>
      <c r="N1685" s="549">
        <v>694.17</v>
      </c>
      <c r="O1685" s="549">
        <v>0</v>
      </c>
      <c r="P1685" s="549">
        <v>100</v>
      </c>
      <c r="Q1685" s="549">
        <v>3065.65</v>
      </c>
    </row>
    <row r="1686" spans="1:17" x14ac:dyDescent="0.25">
      <c r="A1686" s="549" t="s">
        <v>1023</v>
      </c>
      <c r="B1686" s="549" t="s">
        <v>1024</v>
      </c>
      <c r="C1686" s="549" t="s">
        <v>681</v>
      </c>
      <c r="D1686" s="549" t="s">
        <v>682</v>
      </c>
      <c r="E1686" s="549" t="s">
        <v>977</v>
      </c>
      <c r="F1686" s="549" t="s">
        <v>1212</v>
      </c>
      <c r="G1686" s="549">
        <v>92</v>
      </c>
      <c r="H1686" s="549" t="s">
        <v>679</v>
      </c>
      <c r="I1686" s="549" t="s">
        <v>976</v>
      </c>
      <c r="J1686" s="549" t="s">
        <v>976</v>
      </c>
      <c r="K1686" s="549" t="s">
        <v>976</v>
      </c>
      <c r="L1686" s="549">
        <v>236477.72</v>
      </c>
      <c r="M1686" s="549">
        <v>17854.07</v>
      </c>
      <c r="N1686" s="549">
        <v>5226.16</v>
      </c>
      <c r="O1686" s="549">
        <v>3968</v>
      </c>
      <c r="P1686" s="549">
        <v>100</v>
      </c>
      <c r="Q1686" s="549">
        <v>27048.23</v>
      </c>
    </row>
    <row r="1687" spans="1:17" x14ac:dyDescent="0.25">
      <c r="A1687" s="549" t="s">
        <v>1023</v>
      </c>
      <c r="B1687" s="549" t="s">
        <v>1024</v>
      </c>
      <c r="C1687" s="549" t="s">
        <v>681</v>
      </c>
      <c r="D1687" s="549" t="s">
        <v>682</v>
      </c>
      <c r="E1687" s="549" t="s">
        <v>977</v>
      </c>
      <c r="F1687" s="549" t="s">
        <v>1212</v>
      </c>
      <c r="G1687" s="549">
        <v>102</v>
      </c>
      <c r="H1687" s="549" t="s">
        <v>679</v>
      </c>
      <c r="I1687" s="549" t="s">
        <v>976</v>
      </c>
      <c r="J1687" s="549" t="s">
        <v>976</v>
      </c>
      <c r="K1687" s="549" t="s">
        <v>976</v>
      </c>
      <c r="L1687" s="549">
        <v>347493.52</v>
      </c>
      <c r="M1687" s="549">
        <v>26235.759999999998</v>
      </c>
      <c r="N1687" s="549">
        <v>7679.61</v>
      </c>
      <c r="O1687" s="549">
        <v>1984</v>
      </c>
      <c r="P1687" s="549">
        <v>13.7</v>
      </c>
      <c r="Q1687" s="549">
        <v>4918.21</v>
      </c>
    </row>
    <row r="1688" spans="1:17" x14ac:dyDescent="0.25">
      <c r="A1688" s="549" t="s">
        <v>1023</v>
      </c>
      <c r="B1688" s="549" t="s">
        <v>1024</v>
      </c>
      <c r="C1688" s="549" t="s">
        <v>681</v>
      </c>
      <c r="D1688" s="549" t="s">
        <v>682</v>
      </c>
      <c r="E1688" s="549" t="s">
        <v>977</v>
      </c>
      <c r="F1688" s="549" t="s">
        <v>1212</v>
      </c>
      <c r="G1688" s="549">
        <v>112</v>
      </c>
      <c r="H1688" s="549" t="s">
        <v>679</v>
      </c>
      <c r="I1688" s="549" t="s">
        <v>976</v>
      </c>
      <c r="J1688" s="549" t="s">
        <v>976</v>
      </c>
      <c r="K1688" s="549" t="s">
        <v>976</v>
      </c>
      <c r="L1688" s="549">
        <v>347493.52</v>
      </c>
      <c r="M1688" s="549">
        <v>26235.759999999998</v>
      </c>
      <c r="N1688" s="549">
        <v>7679.61</v>
      </c>
      <c r="O1688" s="549">
        <v>1984</v>
      </c>
      <c r="P1688" s="549">
        <v>13.7</v>
      </c>
      <c r="Q1688" s="549">
        <v>4918.21</v>
      </c>
    </row>
    <row r="1689" spans="1:17" x14ac:dyDescent="0.25">
      <c r="A1689" s="549" t="s">
        <v>1023</v>
      </c>
      <c r="B1689" s="549" t="s">
        <v>1024</v>
      </c>
      <c r="C1689" s="549" t="s">
        <v>681</v>
      </c>
      <c r="D1689" s="549" t="s">
        <v>682</v>
      </c>
      <c r="E1689" s="549" t="s">
        <v>977</v>
      </c>
      <c r="F1689" s="549" t="s">
        <v>1212</v>
      </c>
      <c r="G1689" s="549">
        <v>2732</v>
      </c>
      <c r="H1689" s="549" t="s">
        <v>679</v>
      </c>
      <c r="I1689" s="549" t="s">
        <v>976</v>
      </c>
      <c r="J1689" s="549" t="s">
        <v>976</v>
      </c>
      <c r="K1689" s="549" t="s">
        <v>976</v>
      </c>
      <c r="L1689" s="549">
        <v>78531.14</v>
      </c>
      <c r="M1689" s="549">
        <v>5929.1</v>
      </c>
      <c r="N1689" s="549">
        <v>1735.54</v>
      </c>
      <c r="O1689" s="549">
        <v>992</v>
      </c>
      <c r="P1689" s="549">
        <v>13.7</v>
      </c>
      <c r="Q1689" s="549">
        <v>1185.96</v>
      </c>
    </row>
    <row r="1690" spans="1:17" x14ac:dyDescent="0.25">
      <c r="A1690" s="549" t="s">
        <v>1023</v>
      </c>
      <c r="B1690" s="549" t="s">
        <v>1024</v>
      </c>
      <c r="C1690" s="549" t="s">
        <v>681</v>
      </c>
      <c r="D1690" s="549" t="s">
        <v>682</v>
      </c>
      <c r="E1690" s="549" t="s">
        <v>977</v>
      </c>
      <c r="F1690" s="549" t="s">
        <v>1212</v>
      </c>
      <c r="G1690" s="549">
        <v>2742</v>
      </c>
      <c r="H1690" s="549" t="s">
        <v>679</v>
      </c>
      <c r="I1690" s="549" t="s">
        <v>976</v>
      </c>
      <c r="J1690" s="549" t="s">
        <v>976</v>
      </c>
      <c r="K1690" s="549" t="s">
        <v>976</v>
      </c>
      <c r="L1690" s="549">
        <v>78531.14</v>
      </c>
      <c r="M1690" s="549">
        <v>5929.1</v>
      </c>
      <c r="N1690" s="549">
        <v>1735.54</v>
      </c>
      <c r="O1690" s="549">
        <v>992</v>
      </c>
      <c r="P1690" s="549">
        <v>13.7</v>
      </c>
      <c r="Q1690" s="549">
        <v>1185.96</v>
      </c>
    </row>
    <row r="1691" spans="1:17" x14ac:dyDescent="0.25">
      <c r="A1691" s="549" t="s">
        <v>1023</v>
      </c>
      <c r="B1691" s="549" t="s">
        <v>1024</v>
      </c>
      <c r="C1691" s="549" t="s">
        <v>681</v>
      </c>
      <c r="D1691" s="549" t="s">
        <v>682</v>
      </c>
      <c r="E1691" s="549" t="s">
        <v>977</v>
      </c>
      <c r="F1691" s="549" t="s">
        <v>1212</v>
      </c>
      <c r="G1691" s="549">
        <v>2752</v>
      </c>
      <c r="H1691" s="549" t="s">
        <v>679</v>
      </c>
      <c r="I1691" s="549" t="s">
        <v>976</v>
      </c>
      <c r="J1691" s="549" t="s">
        <v>976</v>
      </c>
      <c r="K1691" s="549" t="s">
        <v>976</v>
      </c>
      <c r="L1691" s="549">
        <v>74255.3</v>
      </c>
      <c r="M1691" s="549">
        <v>5606.28</v>
      </c>
      <c r="N1691" s="549">
        <v>1641.04</v>
      </c>
      <c r="O1691" s="549">
        <v>992</v>
      </c>
      <c r="P1691" s="549">
        <v>100</v>
      </c>
      <c r="Q1691" s="549">
        <v>8239.32</v>
      </c>
    </row>
    <row r="1692" spans="1:17" x14ac:dyDescent="0.25">
      <c r="A1692" s="549" t="s">
        <v>1023</v>
      </c>
      <c r="B1692" s="549" t="s">
        <v>1024</v>
      </c>
      <c r="C1692" s="549" t="s">
        <v>681</v>
      </c>
      <c r="D1692" s="549" t="s">
        <v>682</v>
      </c>
      <c r="E1692" s="549" t="s">
        <v>977</v>
      </c>
      <c r="F1692" s="549" t="s">
        <v>1212</v>
      </c>
      <c r="G1692" s="549" t="s">
        <v>1235</v>
      </c>
      <c r="H1692" s="549" t="s">
        <v>679</v>
      </c>
      <c r="I1692" s="549" t="s">
        <v>976</v>
      </c>
      <c r="J1692" s="549" t="s">
        <v>976</v>
      </c>
      <c r="K1692" s="549" t="s">
        <v>976</v>
      </c>
      <c r="L1692" s="549">
        <v>0.03</v>
      </c>
      <c r="M1692" s="549">
        <v>0</v>
      </c>
      <c r="N1692" s="549">
        <v>0</v>
      </c>
      <c r="O1692" s="549">
        <v>992</v>
      </c>
      <c r="P1692" s="549">
        <v>13.7</v>
      </c>
      <c r="Q1692" s="549">
        <v>135.9</v>
      </c>
    </row>
    <row r="1693" spans="1:17" x14ac:dyDescent="0.25">
      <c r="A1693" s="549" t="s">
        <v>1023</v>
      </c>
      <c r="B1693" s="549" t="s">
        <v>1024</v>
      </c>
      <c r="C1693" s="549" t="s">
        <v>681</v>
      </c>
      <c r="D1693" s="549" t="s">
        <v>682</v>
      </c>
      <c r="E1693" s="549" t="s">
        <v>977</v>
      </c>
      <c r="F1693" s="549" t="s">
        <v>1212</v>
      </c>
      <c r="G1693" s="549" t="s">
        <v>1228</v>
      </c>
      <c r="H1693" s="549" t="s">
        <v>679</v>
      </c>
      <c r="I1693" s="549" t="s">
        <v>976</v>
      </c>
      <c r="J1693" s="549" t="s">
        <v>976</v>
      </c>
      <c r="K1693" s="549" t="s">
        <v>976</v>
      </c>
      <c r="L1693" s="549">
        <v>31410.32</v>
      </c>
      <c r="M1693" s="549">
        <v>2371.48</v>
      </c>
      <c r="N1693" s="549">
        <v>694.17</v>
      </c>
      <c r="O1693" s="549">
        <v>0</v>
      </c>
      <c r="P1693" s="549">
        <v>100</v>
      </c>
      <c r="Q1693" s="549">
        <v>3065.65</v>
      </c>
    </row>
    <row r="1694" spans="1:17" x14ac:dyDescent="0.25">
      <c r="A1694" s="549" t="s">
        <v>1023</v>
      </c>
      <c r="B1694" s="549" t="s">
        <v>1024</v>
      </c>
      <c r="C1694" s="549" t="s">
        <v>679</v>
      </c>
      <c r="D1694" s="549" t="s">
        <v>680</v>
      </c>
      <c r="E1694" s="549" t="s">
        <v>977</v>
      </c>
      <c r="F1694" s="549" t="s">
        <v>1212</v>
      </c>
      <c r="G1694" s="549">
        <v>222</v>
      </c>
      <c r="H1694" s="549" t="s">
        <v>684</v>
      </c>
      <c r="I1694" s="549" t="s">
        <v>976</v>
      </c>
      <c r="J1694" s="549" t="s">
        <v>976</v>
      </c>
      <c r="K1694" s="549" t="s">
        <v>976</v>
      </c>
      <c r="L1694" s="549">
        <v>509625.72</v>
      </c>
      <c r="M1694" s="549">
        <v>38476.74</v>
      </c>
      <c r="N1694" s="549">
        <v>11262.73</v>
      </c>
      <c r="O1694" s="549">
        <v>3968</v>
      </c>
      <c r="P1694" s="549">
        <v>86.3</v>
      </c>
      <c r="Q1694" s="549">
        <v>46349.55</v>
      </c>
    </row>
    <row r="1695" spans="1:17" x14ac:dyDescent="0.25">
      <c r="A1695" s="549" t="s">
        <v>1023</v>
      </c>
      <c r="B1695" s="549" t="s">
        <v>1024</v>
      </c>
      <c r="C1695" s="549" t="s">
        <v>679</v>
      </c>
      <c r="D1695" s="549" t="s">
        <v>680</v>
      </c>
      <c r="E1695" s="549" t="s">
        <v>977</v>
      </c>
      <c r="F1695" s="549" t="s">
        <v>1212</v>
      </c>
      <c r="G1695" s="549" t="s">
        <v>1235</v>
      </c>
      <c r="H1695" s="549" t="s">
        <v>684</v>
      </c>
      <c r="I1695" s="549" t="s">
        <v>976</v>
      </c>
      <c r="J1695" s="549" t="s">
        <v>976</v>
      </c>
      <c r="K1695" s="549" t="s">
        <v>976</v>
      </c>
      <c r="L1695" s="549">
        <v>271431.39</v>
      </c>
      <c r="M1695" s="549">
        <v>20493.07</v>
      </c>
      <c r="N1695" s="549">
        <v>5998.63</v>
      </c>
      <c r="O1695" s="549">
        <v>992</v>
      </c>
      <c r="P1695" s="549">
        <v>86.3</v>
      </c>
      <c r="Q1695" s="549">
        <v>23718.43</v>
      </c>
    </row>
    <row r="1696" spans="1:17" x14ac:dyDescent="0.25">
      <c r="A1696" s="549" t="s">
        <v>1023</v>
      </c>
      <c r="B1696" s="549" t="s">
        <v>1024</v>
      </c>
      <c r="C1696" s="549" t="s">
        <v>679</v>
      </c>
      <c r="D1696" s="549" t="s">
        <v>680</v>
      </c>
      <c r="E1696" s="549" t="s">
        <v>977</v>
      </c>
      <c r="F1696" s="549" t="s">
        <v>1212</v>
      </c>
      <c r="G1696" s="549">
        <v>102</v>
      </c>
      <c r="H1696" s="549" t="s">
        <v>679</v>
      </c>
      <c r="I1696" s="549" t="s">
        <v>976</v>
      </c>
      <c r="J1696" s="549" t="s">
        <v>976</v>
      </c>
      <c r="K1696" s="549" t="s">
        <v>976</v>
      </c>
      <c r="L1696" s="549">
        <v>347493.52</v>
      </c>
      <c r="M1696" s="549">
        <v>26235.759999999998</v>
      </c>
      <c r="N1696" s="549">
        <v>7679.61</v>
      </c>
      <c r="O1696" s="549">
        <v>1984</v>
      </c>
      <c r="P1696" s="549">
        <v>86.3</v>
      </c>
      <c r="Q1696" s="549">
        <v>30981.16</v>
      </c>
    </row>
    <row r="1697" spans="1:17" x14ac:dyDescent="0.25">
      <c r="A1697" s="549" t="s">
        <v>1023</v>
      </c>
      <c r="B1697" s="549" t="s">
        <v>1024</v>
      </c>
      <c r="C1697" s="549" t="s">
        <v>679</v>
      </c>
      <c r="D1697" s="549" t="s">
        <v>680</v>
      </c>
      <c r="E1697" s="549" t="s">
        <v>977</v>
      </c>
      <c r="F1697" s="549" t="s">
        <v>1212</v>
      </c>
      <c r="G1697" s="549">
        <v>112</v>
      </c>
      <c r="H1697" s="549" t="s">
        <v>679</v>
      </c>
      <c r="I1697" s="549" t="s">
        <v>976</v>
      </c>
      <c r="J1697" s="549" t="s">
        <v>976</v>
      </c>
      <c r="K1697" s="549" t="s">
        <v>976</v>
      </c>
      <c r="L1697" s="549">
        <v>347493.52</v>
      </c>
      <c r="M1697" s="549">
        <v>26235.759999999998</v>
      </c>
      <c r="N1697" s="549">
        <v>7679.61</v>
      </c>
      <c r="O1697" s="549">
        <v>1984</v>
      </c>
      <c r="P1697" s="549">
        <v>86.3</v>
      </c>
      <c r="Q1697" s="549">
        <v>30981.16</v>
      </c>
    </row>
    <row r="1698" spans="1:17" x14ac:dyDescent="0.25">
      <c r="A1698" s="549" t="s">
        <v>1023</v>
      </c>
      <c r="B1698" s="549" t="s">
        <v>1024</v>
      </c>
      <c r="C1698" s="549" t="s">
        <v>679</v>
      </c>
      <c r="D1698" s="549" t="s">
        <v>680</v>
      </c>
      <c r="E1698" s="549" t="s">
        <v>977</v>
      </c>
      <c r="F1698" s="549" t="s">
        <v>1212</v>
      </c>
      <c r="G1698" s="549">
        <v>2722</v>
      </c>
      <c r="H1698" s="549" t="s">
        <v>679</v>
      </c>
      <c r="I1698" s="549" t="s">
        <v>976</v>
      </c>
      <c r="J1698" s="549" t="s">
        <v>976</v>
      </c>
      <c r="K1698" s="549" t="s">
        <v>976</v>
      </c>
      <c r="L1698" s="549">
        <v>74255.3</v>
      </c>
      <c r="M1698" s="549">
        <v>5606.28</v>
      </c>
      <c r="N1698" s="549">
        <v>1641.04</v>
      </c>
      <c r="O1698" s="549">
        <v>992</v>
      </c>
      <c r="P1698" s="549">
        <v>100</v>
      </c>
      <c r="Q1698" s="549">
        <v>8239.32</v>
      </c>
    </row>
    <row r="1699" spans="1:17" x14ac:dyDescent="0.25">
      <c r="A1699" s="549" t="s">
        <v>1023</v>
      </c>
      <c r="B1699" s="549" t="s">
        <v>1024</v>
      </c>
      <c r="C1699" s="549" t="s">
        <v>679</v>
      </c>
      <c r="D1699" s="549" t="s">
        <v>680</v>
      </c>
      <c r="E1699" s="549" t="s">
        <v>977</v>
      </c>
      <c r="F1699" s="549" t="s">
        <v>1212</v>
      </c>
      <c r="G1699" s="549">
        <v>2732</v>
      </c>
      <c r="H1699" s="549" t="s">
        <v>679</v>
      </c>
      <c r="I1699" s="549" t="s">
        <v>976</v>
      </c>
      <c r="J1699" s="549" t="s">
        <v>976</v>
      </c>
      <c r="K1699" s="549" t="s">
        <v>976</v>
      </c>
      <c r="L1699" s="549">
        <v>78531.14</v>
      </c>
      <c r="M1699" s="549">
        <v>5929.1</v>
      </c>
      <c r="N1699" s="549">
        <v>1735.54</v>
      </c>
      <c r="O1699" s="549">
        <v>992</v>
      </c>
      <c r="P1699" s="549">
        <v>86.3</v>
      </c>
      <c r="Q1699" s="549">
        <v>7470.68</v>
      </c>
    </row>
    <row r="1700" spans="1:17" x14ac:dyDescent="0.25">
      <c r="A1700" s="549" t="s">
        <v>1023</v>
      </c>
      <c r="B1700" s="549" t="s">
        <v>1024</v>
      </c>
      <c r="C1700" s="549" t="s">
        <v>679</v>
      </c>
      <c r="D1700" s="549" t="s">
        <v>680</v>
      </c>
      <c r="E1700" s="549" t="s">
        <v>977</v>
      </c>
      <c r="F1700" s="549" t="s">
        <v>1212</v>
      </c>
      <c r="G1700" s="549">
        <v>2742</v>
      </c>
      <c r="H1700" s="549" t="s">
        <v>679</v>
      </c>
      <c r="I1700" s="549" t="s">
        <v>976</v>
      </c>
      <c r="J1700" s="549" t="s">
        <v>976</v>
      </c>
      <c r="K1700" s="549" t="s">
        <v>976</v>
      </c>
      <c r="L1700" s="549">
        <v>78531.14</v>
      </c>
      <c r="M1700" s="549">
        <v>5929.1</v>
      </c>
      <c r="N1700" s="549">
        <v>1735.54</v>
      </c>
      <c r="O1700" s="549">
        <v>992</v>
      </c>
      <c r="P1700" s="549">
        <v>86.3</v>
      </c>
      <c r="Q1700" s="549">
        <v>7470.68</v>
      </c>
    </row>
    <row r="1701" spans="1:17" x14ac:dyDescent="0.25">
      <c r="A1701" s="549" t="s">
        <v>1023</v>
      </c>
      <c r="B1701" s="549" t="s">
        <v>1024</v>
      </c>
      <c r="C1701" s="549" t="s">
        <v>679</v>
      </c>
      <c r="D1701" s="549" t="s">
        <v>680</v>
      </c>
      <c r="E1701" s="549" t="s">
        <v>977</v>
      </c>
      <c r="F1701" s="549" t="s">
        <v>1212</v>
      </c>
      <c r="G1701" s="549" t="s">
        <v>1235</v>
      </c>
      <c r="H1701" s="549" t="s">
        <v>679</v>
      </c>
      <c r="I1701" s="549" t="s">
        <v>976</v>
      </c>
      <c r="J1701" s="549" t="s">
        <v>976</v>
      </c>
      <c r="K1701" s="549" t="s">
        <v>976</v>
      </c>
      <c r="L1701" s="549">
        <v>0.03</v>
      </c>
      <c r="M1701" s="549">
        <v>0</v>
      </c>
      <c r="N1701" s="549">
        <v>0</v>
      </c>
      <c r="O1701" s="549">
        <v>992</v>
      </c>
      <c r="P1701" s="549">
        <v>86.3</v>
      </c>
      <c r="Q1701" s="549">
        <v>856.1</v>
      </c>
    </row>
    <row r="1702" spans="1:17" x14ac:dyDescent="0.25">
      <c r="A1702" s="549" t="s">
        <v>1023</v>
      </c>
      <c r="B1702" s="549" t="s">
        <v>1024</v>
      </c>
      <c r="C1702" s="549" t="s">
        <v>679</v>
      </c>
      <c r="D1702" s="549" t="s">
        <v>680</v>
      </c>
      <c r="E1702" s="549" t="s">
        <v>977</v>
      </c>
      <c r="F1702" s="549" t="s">
        <v>1212</v>
      </c>
      <c r="G1702" s="549" t="s">
        <v>1339</v>
      </c>
      <c r="H1702" s="549" t="s">
        <v>679</v>
      </c>
      <c r="I1702" s="549" t="s">
        <v>976</v>
      </c>
      <c r="J1702" s="549" t="s">
        <v>976</v>
      </c>
      <c r="K1702" s="549" t="s">
        <v>976</v>
      </c>
      <c r="L1702" s="549">
        <v>31410.32</v>
      </c>
      <c r="M1702" s="549">
        <v>2371.48</v>
      </c>
      <c r="N1702" s="549">
        <v>694.17</v>
      </c>
      <c r="O1702" s="549">
        <v>0</v>
      </c>
      <c r="P1702" s="549">
        <v>100</v>
      </c>
      <c r="Q1702" s="549">
        <v>3065.65</v>
      </c>
    </row>
    <row r="1703" spans="1:17" x14ac:dyDescent="0.25">
      <c r="A1703" s="549" t="s">
        <v>1027</v>
      </c>
      <c r="B1703" s="549" t="s">
        <v>592</v>
      </c>
      <c r="C1703" s="549" t="s">
        <v>881</v>
      </c>
      <c r="D1703" s="549" t="s">
        <v>882</v>
      </c>
      <c r="E1703" s="549" t="s">
        <v>973</v>
      </c>
      <c r="F1703" s="549" t="s">
        <v>1212</v>
      </c>
      <c r="G1703" s="549" t="s">
        <v>1328</v>
      </c>
      <c r="H1703" s="549" t="s">
        <v>881</v>
      </c>
      <c r="I1703" s="549" t="s">
        <v>976</v>
      </c>
      <c r="J1703" s="549" t="s">
        <v>976</v>
      </c>
      <c r="K1703" s="549" t="s">
        <v>976</v>
      </c>
      <c r="L1703" s="549">
        <v>32316.799999999999</v>
      </c>
      <c r="M1703" s="549">
        <v>2439.92</v>
      </c>
      <c r="N1703" s="549">
        <v>1854.98</v>
      </c>
      <c r="O1703" s="549">
        <v>0</v>
      </c>
      <c r="P1703" s="549">
        <v>0</v>
      </c>
      <c r="Q1703" s="549">
        <v>0</v>
      </c>
    </row>
    <row r="1704" spans="1:17" x14ac:dyDescent="0.25">
      <c r="A1704" s="549" t="s">
        <v>1027</v>
      </c>
      <c r="B1704" s="549" t="s">
        <v>592</v>
      </c>
      <c r="C1704" s="549" t="s">
        <v>881</v>
      </c>
      <c r="D1704" s="549" t="s">
        <v>882</v>
      </c>
      <c r="E1704" s="549" t="s">
        <v>973</v>
      </c>
      <c r="F1704" s="549" t="s">
        <v>1212</v>
      </c>
      <c r="G1704" s="549" t="s">
        <v>1329</v>
      </c>
      <c r="H1704" s="549" t="s">
        <v>881</v>
      </c>
      <c r="I1704" s="549" t="s">
        <v>976</v>
      </c>
      <c r="J1704" s="549" t="s">
        <v>976</v>
      </c>
      <c r="K1704" s="549" t="s">
        <v>976</v>
      </c>
      <c r="L1704" s="549">
        <v>32316.799999999999</v>
      </c>
      <c r="M1704" s="549">
        <v>2439.92</v>
      </c>
      <c r="N1704" s="549">
        <v>1854.98</v>
      </c>
      <c r="O1704" s="549">
        <v>0</v>
      </c>
      <c r="P1704" s="549">
        <v>0</v>
      </c>
      <c r="Q1704" s="549">
        <v>0</v>
      </c>
    </row>
    <row r="1705" spans="1:17" x14ac:dyDescent="0.25">
      <c r="A1705" s="549" t="s">
        <v>1027</v>
      </c>
      <c r="B1705" s="549" t="s">
        <v>592</v>
      </c>
      <c r="C1705" s="549" t="s">
        <v>881</v>
      </c>
      <c r="D1705" s="549" t="s">
        <v>882</v>
      </c>
      <c r="E1705" s="549" t="s">
        <v>973</v>
      </c>
      <c r="F1705" s="549" t="s">
        <v>1212</v>
      </c>
      <c r="G1705" s="549">
        <v>1352</v>
      </c>
      <c r="H1705" s="549" t="s">
        <v>881</v>
      </c>
      <c r="I1705" s="549" t="s">
        <v>976</v>
      </c>
      <c r="J1705" s="549" t="s">
        <v>976</v>
      </c>
      <c r="K1705" s="549" t="s">
        <v>976</v>
      </c>
      <c r="L1705" s="549">
        <v>185873.18</v>
      </c>
      <c r="M1705" s="549">
        <v>14033.43</v>
      </c>
      <c r="N1705" s="549">
        <v>10669.12</v>
      </c>
      <c r="O1705" s="549">
        <v>1984</v>
      </c>
      <c r="P1705" s="549">
        <v>0</v>
      </c>
      <c r="Q1705" s="549">
        <v>0</v>
      </c>
    </row>
    <row r="1706" spans="1:17" x14ac:dyDescent="0.25">
      <c r="A1706" s="549" t="s">
        <v>1027</v>
      </c>
      <c r="B1706" s="549" t="s">
        <v>592</v>
      </c>
      <c r="C1706" s="549" t="s">
        <v>881</v>
      </c>
      <c r="D1706" s="549" t="s">
        <v>882</v>
      </c>
      <c r="E1706" s="549" t="s">
        <v>973</v>
      </c>
      <c r="F1706" s="549" t="s">
        <v>1212</v>
      </c>
      <c r="G1706" s="549">
        <v>1332</v>
      </c>
      <c r="H1706" s="549" t="s">
        <v>881</v>
      </c>
      <c r="I1706" s="549" t="s">
        <v>976</v>
      </c>
      <c r="J1706" s="549" t="s">
        <v>976</v>
      </c>
      <c r="K1706" s="549" t="s">
        <v>976</v>
      </c>
      <c r="L1706" s="549">
        <v>185873.18</v>
      </c>
      <c r="M1706" s="549">
        <v>14033.43</v>
      </c>
      <c r="N1706" s="549">
        <v>10669.12</v>
      </c>
      <c r="O1706" s="549">
        <v>1984</v>
      </c>
      <c r="P1706" s="549">
        <v>0</v>
      </c>
      <c r="Q1706" s="549">
        <v>0</v>
      </c>
    </row>
    <row r="1707" spans="1:17" x14ac:dyDescent="0.25">
      <c r="A1707" s="549" t="s">
        <v>1027</v>
      </c>
      <c r="B1707" s="549" t="s">
        <v>592</v>
      </c>
      <c r="C1707" s="549" t="s">
        <v>881</v>
      </c>
      <c r="D1707" s="549" t="s">
        <v>882</v>
      </c>
      <c r="E1707" s="549" t="s">
        <v>973</v>
      </c>
      <c r="F1707" s="549" t="s">
        <v>1212</v>
      </c>
      <c r="G1707" s="549">
        <v>122</v>
      </c>
      <c r="H1707" s="549" t="s">
        <v>881</v>
      </c>
      <c r="I1707" s="549" t="s">
        <v>976</v>
      </c>
      <c r="J1707" s="549" t="s">
        <v>976</v>
      </c>
      <c r="K1707" s="549" t="s">
        <v>976</v>
      </c>
      <c r="L1707" s="549">
        <v>331166.81</v>
      </c>
      <c r="M1707" s="549">
        <v>25003.09</v>
      </c>
      <c r="N1707" s="549">
        <v>19008.97</v>
      </c>
      <c r="O1707" s="549">
        <v>1984</v>
      </c>
      <c r="P1707" s="549">
        <v>0</v>
      </c>
      <c r="Q1707" s="549">
        <v>0</v>
      </c>
    </row>
    <row r="1708" spans="1:17" x14ac:dyDescent="0.25">
      <c r="A1708" s="549" t="s">
        <v>1027</v>
      </c>
      <c r="B1708" s="549" t="s">
        <v>592</v>
      </c>
      <c r="C1708" s="549" t="s">
        <v>881</v>
      </c>
      <c r="D1708" s="549" t="s">
        <v>882</v>
      </c>
      <c r="E1708" s="549" t="s">
        <v>973</v>
      </c>
      <c r="F1708" s="549" t="s">
        <v>1212</v>
      </c>
      <c r="G1708" s="549">
        <v>102</v>
      </c>
      <c r="H1708" s="549" t="s">
        <v>881</v>
      </c>
      <c r="I1708" s="549" t="s">
        <v>976</v>
      </c>
      <c r="J1708" s="549" t="s">
        <v>976</v>
      </c>
      <c r="K1708" s="549" t="s">
        <v>976</v>
      </c>
      <c r="L1708" s="549">
        <v>331166.81</v>
      </c>
      <c r="M1708" s="549">
        <v>25003.09</v>
      </c>
      <c r="N1708" s="549">
        <v>19008.97</v>
      </c>
      <c r="O1708" s="549">
        <v>1984</v>
      </c>
      <c r="P1708" s="549">
        <v>0</v>
      </c>
      <c r="Q1708" s="549">
        <v>0</v>
      </c>
    </row>
    <row r="1709" spans="1:17" x14ac:dyDescent="0.25">
      <c r="A1709" s="549" t="s">
        <v>1179</v>
      </c>
      <c r="B1709" s="549" t="s">
        <v>577</v>
      </c>
      <c r="C1709" s="549" t="s">
        <v>695</v>
      </c>
      <c r="D1709" s="549" t="s">
        <v>696</v>
      </c>
      <c r="E1709" s="549" t="s">
        <v>977</v>
      </c>
      <c r="F1709" s="549" t="s">
        <v>1212</v>
      </c>
      <c r="G1709" s="549">
        <v>72</v>
      </c>
      <c r="H1709" s="549" t="s">
        <v>695</v>
      </c>
      <c r="I1709" s="549" t="s">
        <v>976</v>
      </c>
      <c r="J1709" s="549" t="s">
        <v>976</v>
      </c>
      <c r="K1709" s="549" t="s">
        <v>976</v>
      </c>
      <c r="L1709" s="549">
        <v>347493.52</v>
      </c>
      <c r="M1709" s="549">
        <v>26235.759999999998</v>
      </c>
      <c r="N1709" s="549">
        <v>7679.61</v>
      </c>
      <c r="O1709" s="549">
        <v>1984</v>
      </c>
      <c r="P1709" s="549">
        <v>100</v>
      </c>
      <c r="Q1709" s="549">
        <v>35899.370000000003</v>
      </c>
    </row>
    <row r="1710" spans="1:17" x14ac:dyDescent="0.25">
      <c r="A1710" s="549" t="s">
        <v>1179</v>
      </c>
      <c r="B1710" s="549" t="s">
        <v>577</v>
      </c>
      <c r="C1710" s="549" t="s">
        <v>695</v>
      </c>
      <c r="D1710" s="549" t="s">
        <v>696</v>
      </c>
      <c r="E1710" s="549" t="s">
        <v>977</v>
      </c>
      <c r="F1710" s="549" t="s">
        <v>1212</v>
      </c>
      <c r="G1710" s="549">
        <v>92</v>
      </c>
      <c r="H1710" s="549" t="s">
        <v>695</v>
      </c>
      <c r="I1710" s="549" t="s">
        <v>976</v>
      </c>
      <c r="J1710" s="549" t="s">
        <v>976</v>
      </c>
      <c r="K1710" s="549" t="s">
        <v>976</v>
      </c>
      <c r="L1710" s="549">
        <v>347493.52</v>
      </c>
      <c r="M1710" s="549">
        <v>26235.759999999998</v>
      </c>
      <c r="N1710" s="549">
        <v>7679.61</v>
      </c>
      <c r="O1710" s="549">
        <v>1984</v>
      </c>
      <c r="P1710" s="549">
        <v>100</v>
      </c>
      <c r="Q1710" s="549">
        <v>35899.370000000003</v>
      </c>
    </row>
    <row r="1711" spans="1:17" x14ac:dyDescent="0.25">
      <c r="A1711" s="549" t="s">
        <v>1045</v>
      </c>
      <c r="B1711" s="549" t="s">
        <v>1046</v>
      </c>
      <c r="C1711" s="549" t="s">
        <v>1047</v>
      </c>
      <c r="D1711" s="549" t="s">
        <v>494</v>
      </c>
      <c r="E1711" s="549" t="s">
        <v>977</v>
      </c>
      <c r="F1711" s="549" t="s">
        <v>1212</v>
      </c>
      <c r="G1711" s="549" t="s">
        <v>1340</v>
      </c>
      <c r="H1711" s="549" t="s">
        <v>1047</v>
      </c>
      <c r="I1711" s="549" t="s">
        <v>976</v>
      </c>
      <c r="J1711" s="549" t="s">
        <v>976</v>
      </c>
      <c r="K1711" s="549" t="s">
        <v>976</v>
      </c>
      <c r="L1711" s="549">
        <v>31410.32</v>
      </c>
      <c r="M1711" s="549">
        <v>2371.48</v>
      </c>
      <c r="N1711" s="549">
        <v>694.17</v>
      </c>
      <c r="O1711" s="549">
        <v>0</v>
      </c>
      <c r="P1711" s="549">
        <v>100</v>
      </c>
      <c r="Q1711" s="549">
        <v>3065.65</v>
      </c>
    </row>
    <row r="1712" spans="1:17" x14ac:dyDescent="0.25">
      <c r="A1712" s="549" t="s">
        <v>1179</v>
      </c>
      <c r="B1712" s="549" t="s">
        <v>577</v>
      </c>
      <c r="C1712" s="549" t="s">
        <v>695</v>
      </c>
      <c r="D1712" s="549" t="s">
        <v>696</v>
      </c>
      <c r="E1712" s="549" t="s">
        <v>977</v>
      </c>
      <c r="F1712" s="549" t="s">
        <v>1212</v>
      </c>
      <c r="G1712" s="549">
        <v>2032</v>
      </c>
      <c r="H1712" s="549" t="s">
        <v>695</v>
      </c>
      <c r="I1712" s="549" t="s">
        <v>976</v>
      </c>
      <c r="J1712" s="549" t="s">
        <v>976</v>
      </c>
      <c r="K1712" s="549" t="s">
        <v>976</v>
      </c>
      <c r="L1712" s="549">
        <v>92748.31</v>
      </c>
      <c r="M1712" s="549">
        <v>7002.5</v>
      </c>
      <c r="N1712" s="549">
        <v>2049.7399999999998</v>
      </c>
      <c r="O1712" s="549">
        <v>892.8</v>
      </c>
      <c r="P1712" s="549">
        <v>100</v>
      </c>
      <c r="Q1712" s="549">
        <v>9945.0400000000009</v>
      </c>
    </row>
    <row r="1713" spans="1:17" x14ac:dyDescent="0.25">
      <c r="A1713" s="549" t="s">
        <v>1179</v>
      </c>
      <c r="B1713" s="549" t="s">
        <v>577</v>
      </c>
      <c r="C1713" s="549" t="s">
        <v>695</v>
      </c>
      <c r="D1713" s="549" t="s">
        <v>696</v>
      </c>
      <c r="E1713" s="549" t="s">
        <v>977</v>
      </c>
      <c r="F1713" s="549" t="s">
        <v>1212</v>
      </c>
      <c r="G1713" s="549">
        <v>2042</v>
      </c>
      <c r="H1713" s="549" t="s">
        <v>695</v>
      </c>
      <c r="I1713" s="549" t="s">
        <v>976</v>
      </c>
      <c r="J1713" s="549" t="s">
        <v>976</v>
      </c>
      <c r="K1713" s="549" t="s">
        <v>976</v>
      </c>
      <c r="L1713" s="549">
        <v>92748.31</v>
      </c>
      <c r="M1713" s="549">
        <v>7002.5</v>
      </c>
      <c r="N1713" s="549">
        <v>2049.7399999999998</v>
      </c>
      <c r="O1713" s="549">
        <v>892.8</v>
      </c>
      <c r="P1713" s="549">
        <v>100</v>
      </c>
      <c r="Q1713" s="549">
        <v>9945.0400000000009</v>
      </c>
    </row>
    <row r="1714" spans="1:17" x14ac:dyDescent="0.25">
      <c r="A1714" s="549" t="s">
        <v>1179</v>
      </c>
      <c r="B1714" s="549" t="s">
        <v>577</v>
      </c>
      <c r="C1714" s="549" t="s">
        <v>695</v>
      </c>
      <c r="D1714" s="549" t="s">
        <v>696</v>
      </c>
      <c r="E1714" s="549" t="s">
        <v>977</v>
      </c>
      <c r="F1714" s="549" t="s">
        <v>1212</v>
      </c>
      <c r="G1714" s="549">
        <v>2052</v>
      </c>
      <c r="H1714" s="549" t="s">
        <v>695</v>
      </c>
      <c r="I1714" s="549" t="s">
        <v>976</v>
      </c>
      <c r="J1714" s="549" t="s">
        <v>976</v>
      </c>
      <c r="K1714" s="549" t="s">
        <v>976</v>
      </c>
      <c r="L1714" s="549">
        <v>92748.31</v>
      </c>
      <c r="M1714" s="549">
        <v>7002.5</v>
      </c>
      <c r="N1714" s="549">
        <v>2049.7399999999998</v>
      </c>
      <c r="O1714" s="549">
        <v>892.8</v>
      </c>
      <c r="P1714" s="549">
        <v>100</v>
      </c>
      <c r="Q1714" s="549">
        <v>9945.0400000000009</v>
      </c>
    </row>
    <row r="1715" spans="1:17" x14ac:dyDescent="0.25">
      <c r="A1715" s="549" t="s">
        <v>1179</v>
      </c>
      <c r="B1715" s="549" t="s">
        <v>577</v>
      </c>
      <c r="C1715" s="549" t="s">
        <v>695</v>
      </c>
      <c r="D1715" s="549" t="s">
        <v>696</v>
      </c>
      <c r="E1715" s="549" t="s">
        <v>977</v>
      </c>
      <c r="F1715" s="549" t="s">
        <v>1212</v>
      </c>
      <c r="G1715" s="549">
        <v>2092</v>
      </c>
      <c r="H1715" s="549" t="s">
        <v>695</v>
      </c>
      <c r="I1715" s="549" t="s">
        <v>976</v>
      </c>
      <c r="J1715" s="549" t="s">
        <v>976</v>
      </c>
      <c r="K1715" s="549" t="s">
        <v>976</v>
      </c>
      <c r="L1715" s="549">
        <v>99162.07</v>
      </c>
      <c r="M1715" s="549">
        <v>7486.74</v>
      </c>
      <c r="N1715" s="549">
        <v>2191.48</v>
      </c>
      <c r="O1715" s="549">
        <v>992</v>
      </c>
      <c r="P1715" s="549">
        <v>100</v>
      </c>
      <c r="Q1715" s="549">
        <v>10670.22</v>
      </c>
    </row>
    <row r="1716" spans="1:17" x14ac:dyDescent="0.25">
      <c r="A1716" s="549" t="s">
        <v>1179</v>
      </c>
      <c r="B1716" s="549" t="s">
        <v>577</v>
      </c>
      <c r="C1716" s="549" t="s">
        <v>695</v>
      </c>
      <c r="D1716" s="549" t="s">
        <v>696</v>
      </c>
      <c r="E1716" s="549" t="s">
        <v>977</v>
      </c>
      <c r="F1716" s="549" t="s">
        <v>1212</v>
      </c>
      <c r="G1716" s="549">
        <v>2108</v>
      </c>
      <c r="H1716" s="549" t="s">
        <v>695</v>
      </c>
      <c r="I1716" s="549" t="s">
        <v>976</v>
      </c>
      <c r="J1716" s="549" t="s">
        <v>976</v>
      </c>
      <c r="K1716" s="549" t="s">
        <v>976</v>
      </c>
      <c r="L1716" s="549">
        <v>106431</v>
      </c>
      <c r="M1716" s="549">
        <v>8035.54</v>
      </c>
      <c r="N1716" s="549">
        <v>2352.13</v>
      </c>
      <c r="O1716" s="549">
        <v>992</v>
      </c>
      <c r="P1716" s="549">
        <v>100</v>
      </c>
      <c r="Q1716" s="549">
        <v>11379.67</v>
      </c>
    </row>
    <row r="1717" spans="1:17" x14ac:dyDescent="0.25">
      <c r="A1717" s="549" t="s">
        <v>1179</v>
      </c>
      <c r="B1717" s="549" t="s">
        <v>577</v>
      </c>
      <c r="C1717" s="549" t="s">
        <v>695</v>
      </c>
      <c r="D1717" s="549" t="s">
        <v>696</v>
      </c>
      <c r="E1717" s="549" t="s">
        <v>977</v>
      </c>
      <c r="F1717" s="549" t="s">
        <v>1212</v>
      </c>
      <c r="G1717" s="549">
        <v>2112</v>
      </c>
      <c r="H1717" s="549" t="s">
        <v>695</v>
      </c>
      <c r="I1717" s="549" t="s">
        <v>976</v>
      </c>
      <c r="J1717" s="549" t="s">
        <v>976</v>
      </c>
      <c r="K1717" s="549" t="s">
        <v>976</v>
      </c>
      <c r="L1717" s="549">
        <v>99162.07</v>
      </c>
      <c r="M1717" s="549">
        <v>7486.74</v>
      </c>
      <c r="N1717" s="549">
        <v>2191.48</v>
      </c>
      <c r="O1717" s="549">
        <v>992</v>
      </c>
      <c r="P1717" s="549">
        <v>100</v>
      </c>
      <c r="Q1717" s="549">
        <v>10670.22</v>
      </c>
    </row>
    <row r="1718" spans="1:17" x14ac:dyDescent="0.25">
      <c r="A1718" s="549" t="s">
        <v>1179</v>
      </c>
      <c r="B1718" s="549" t="s">
        <v>577</v>
      </c>
      <c r="C1718" s="549" t="s">
        <v>695</v>
      </c>
      <c r="D1718" s="549" t="s">
        <v>696</v>
      </c>
      <c r="E1718" s="549" t="s">
        <v>977</v>
      </c>
      <c r="F1718" s="549" t="s">
        <v>1212</v>
      </c>
      <c r="G1718" s="549">
        <v>2152</v>
      </c>
      <c r="H1718" s="549" t="s">
        <v>695</v>
      </c>
      <c r="I1718" s="549" t="s">
        <v>976</v>
      </c>
      <c r="J1718" s="549" t="s">
        <v>976</v>
      </c>
      <c r="K1718" s="549" t="s">
        <v>976</v>
      </c>
      <c r="L1718" s="549">
        <v>92748.31</v>
      </c>
      <c r="M1718" s="549">
        <v>7002.5</v>
      </c>
      <c r="N1718" s="549">
        <v>2049.7399999999998</v>
      </c>
      <c r="O1718" s="549">
        <v>892.8</v>
      </c>
      <c r="P1718" s="549">
        <v>100</v>
      </c>
      <c r="Q1718" s="549">
        <v>9945.0400000000009</v>
      </c>
    </row>
    <row r="1719" spans="1:17" x14ac:dyDescent="0.25">
      <c r="A1719" s="549" t="s">
        <v>1179</v>
      </c>
      <c r="B1719" s="549" t="s">
        <v>577</v>
      </c>
      <c r="C1719" s="549" t="s">
        <v>695</v>
      </c>
      <c r="D1719" s="549" t="s">
        <v>696</v>
      </c>
      <c r="E1719" s="549" t="s">
        <v>977</v>
      </c>
      <c r="F1719" s="549" t="s">
        <v>1212</v>
      </c>
      <c r="G1719" s="549">
        <v>2162</v>
      </c>
      <c r="H1719" s="549" t="s">
        <v>695</v>
      </c>
      <c r="I1719" s="549" t="s">
        <v>976</v>
      </c>
      <c r="J1719" s="549" t="s">
        <v>976</v>
      </c>
      <c r="K1719" s="549" t="s">
        <v>976</v>
      </c>
      <c r="L1719" s="549">
        <v>92748.31</v>
      </c>
      <c r="M1719" s="549">
        <v>7002.5</v>
      </c>
      <c r="N1719" s="549">
        <v>2049.7399999999998</v>
      </c>
      <c r="O1719" s="549">
        <v>892.8</v>
      </c>
      <c r="P1719" s="549">
        <v>100</v>
      </c>
      <c r="Q1719" s="549">
        <v>9945.0400000000009</v>
      </c>
    </row>
    <row r="1720" spans="1:17" x14ac:dyDescent="0.25">
      <c r="A1720" s="549" t="s">
        <v>1179</v>
      </c>
      <c r="B1720" s="549" t="s">
        <v>577</v>
      </c>
      <c r="C1720" s="549" t="s">
        <v>695</v>
      </c>
      <c r="D1720" s="549" t="s">
        <v>696</v>
      </c>
      <c r="E1720" s="549" t="s">
        <v>977</v>
      </c>
      <c r="F1720" s="549" t="s">
        <v>1212</v>
      </c>
      <c r="G1720" s="549">
        <v>2172</v>
      </c>
      <c r="H1720" s="549" t="s">
        <v>695</v>
      </c>
      <c r="I1720" s="549" t="s">
        <v>976</v>
      </c>
      <c r="J1720" s="549" t="s">
        <v>976</v>
      </c>
      <c r="K1720" s="549" t="s">
        <v>976</v>
      </c>
      <c r="L1720" s="549">
        <v>92748.31</v>
      </c>
      <c r="M1720" s="549">
        <v>7002.5</v>
      </c>
      <c r="N1720" s="549">
        <v>2049.7399999999998</v>
      </c>
      <c r="O1720" s="549">
        <v>892.8</v>
      </c>
      <c r="P1720" s="549">
        <v>100</v>
      </c>
      <c r="Q1720" s="549">
        <v>9945.0400000000009</v>
      </c>
    </row>
    <row r="1721" spans="1:17" x14ac:dyDescent="0.25">
      <c r="A1721" s="549" t="s">
        <v>1045</v>
      </c>
      <c r="B1721" s="549" t="s">
        <v>1046</v>
      </c>
      <c r="C1721" s="549" t="s">
        <v>1047</v>
      </c>
      <c r="D1721" s="549" t="s">
        <v>494</v>
      </c>
      <c r="E1721" s="549" t="s">
        <v>977</v>
      </c>
      <c r="F1721" s="549" t="s">
        <v>1212</v>
      </c>
      <c r="G1721" s="549" t="s">
        <v>1341</v>
      </c>
      <c r="H1721" s="549" t="s">
        <v>1047</v>
      </c>
      <c r="I1721" s="549" t="s">
        <v>976</v>
      </c>
      <c r="J1721" s="549" t="s">
        <v>976</v>
      </c>
      <c r="K1721" s="549" t="s">
        <v>976</v>
      </c>
      <c r="L1721" s="549">
        <v>31410.32</v>
      </c>
      <c r="M1721" s="549">
        <v>2371.48</v>
      </c>
      <c r="N1721" s="549">
        <v>694.17</v>
      </c>
      <c r="O1721" s="549">
        <v>0</v>
      </c>
      <c r="P1721" s="549">
        <v>100</v>
      </c>
      <c r="Q1721" s="549">
        <v>3065.65</v>
      </c>
    </row>
    <row r="1722" spans="1:17" x14ac:dyDescent="0.25">
      <c r="A1722" s="549" t="s">
        <v>1045</v>
      </c>
      <c r="B1722" s="549" t="s">
        <v>1046</v>
      </c>
      <c r="C1722" s="549" t="s">
        <v>1047</v>
      </c>
      <c r="D1722" s="549" t="s">
        <v>494</v>
      </c>
      <c r="E1722" s="549" t="s">
        <v>977</v>
      </c>
      <c r="F1722" s="549" t="s">
        <v>1212</v>
      </c>
      <c r="G1722" s="549">
        <v>332</v>
      </c>
      <c r="H1722" s="549" t="s">
        <v>1047</v>
      </c>
      <c r="I1722" s="549" t="s">
        <v>976</v>
      </c>
      <c r="J1722" s="549" t="s">
        <v>976</v>
      </c>
      <c r="K1722" s="549" t="s">
        <v>976</v>
      </c>
      <c r="L1722" s="549">
        <v>1053162.69</v>
      </c>
      <c r="M1722" s="549">
        <v>79513.78</v>
      </c>
      <c r="N1722" s="549">
        <v>23274.9</v>
      </c>
      <c r="O1722" s="549">
        <v>4960</v>
      </c>
      <c r="P1722" s="549">
        <v>82.8</v>
      </c>
      <c r="Q1722" s="549">
        <v>89215.91</v>
      </c>
    </row>
    <row r="1723" spans="1:17" x14ac:dyDescent="0.25">
      <c r="A1723" s="549" t="s">
        <v>1045</v>
      </c>
      <c r="B1723" s="549" t="s">
        <v>1046</v>
      </c>
      <c r="C1723" s="549" t="s">
        <v>1047</v>
      </c>
      <c r="D1723" s="549" t="s">
        <v>494</v>
      </c>
      <c r="E1723" s="549" t="s">
        <v>977</v>
      </c>
      <c r="F1723" s="549" t="s">
        <v>1212</v>
      </c>
      <c r="G1723" s="549">
        <v>312</v>
      </c>
      <c r="H1723" s="549" t="s">
        <v>1047</v>
      </c>
      <c r="I1723" s="549" t="s">
        <v>976</v>
      </c>
      <c r="J1723" s="549" t="s">
        <v>976</v>
      </c>
      <c r="K1723" s="549" t="s">
        <v>976</v>
      </c>
      <c r="L1723" s="549">
        <v>1053162.69</v>
      </c>
      <c r="M1723" s="549">
        <v>79513.78</v>
      </c>
      <c r="N1723" s="549">
        <v>23274.9</v>
      </c>
      <c r="O1723" s="549">
        <v>4960</v>
      </c>
      <c r="P1723" s="549">
        <v>82.8</v>
      </c>
      <c r="Q1723" s="549">
        <v>89215.91</v>
      </c>
    </row>
    <row r="1724" spans="1:17" x14ac:dyDescent="0.25">
      <c r="A1724" s="549" t="s">
        <v>1045</v>
      </c>
      <c r="B1724" s="549" t="s">
        <v>1046</v>
      </c>
      <c r="C1724" s="549" t="s">
        <v>1047</v>
      </c>
      <c r="D1724" s="549" t="s">
        <v>494</v>
      </c>
      <c r="E1724" s="549" t="s">
        <v>977</v>
      </c>
      <c r="F1724" s="549" t="s">
        <v>1212</v>
      </c>
      <c r="G1724" s="549">
        <v>288</v>
      </c>
      <c r="H1724" s="549" t="s">
        <v>1047</v>
      </c>
      <c r="I1724" s="549" t="s">
        <v>976</v>
      </c>
      <c r="J1724" s="549" t="s">
        <v>976</v>
      </c>
      <c r="K1724" s="549" t="s">
        <v>976</v>
      </c>
      <c r="L1724" s="549">
        <v>146406.91</v>
      </c>
      <c r="M1724" s="549">
        <v>11053.72</v>
      </c>
      <c r="N1724" s="549">
        <v>3235.59</v>
      </c>
      <c r="O1724" s="549">
        <v>2976</v>
      </c>
      <c r="P1724" s="549">
        <v>82.8</v>
      </c>
      <c r="Q1724" s="549">
        <v>14295.68</v>
      </c>
    </row>
    <row r="1725" spans="1:17" x14ac:dyDescent="0.25">
      <c r="A1725" s="549" t="s">
        <v>1045</v>
      </c>
      <c r="B1725" s="549" t="s">
        <v>1046</v>
      </c>
      <c r="C1725" s="549" t="s">
        <v>1047</v>
      </c>
      <c r="D1725" s="549" t="s">
        <v>494</v>
      </c>
      <c r="E1725" s="549" t="s">
        <v>977</v>
      </c>
      <c r="F1725" s="549" t="s">
        <v>1212</v>
      </c>
      <c r="G1725" s="549">
        <v>272</v>
      </c>
      <c r="H1725" s="549" t="s">
        <v>1047</v>
      </c>
      <c r="I1725" s="549" t="s">
        <v>976</v>
      </c>
      <c r="J1725" s="549" t="s">
        <v>976</v>
      </c>
      <c r="K1725" s="549" t="s">
        <v>976</v>
      </c>
      <c r="L1725" s="549">
        <v>473331.21</v>
      </c>
      <c r="M1725" s="549">
        <v>35736.51</v>
      </c>
      <c r="N1725" s="549">
        <v>10460.620000000001</v>
      </c>
      <c r="O1725" s="549">
        <v>2976</v>
      </c>
      <c r="P1725" s="549">
        <v>100</v>
      </c>
      <c r="Q1725" s="549">
        <v>49173.13</v>
      </c>
    </row>
    <row r="1726" spans="1:17" x14ac:dyDescent="0.25">
      <c r="A1726" s="549" t="s">
        <v>1045</v>
      </c>
      <c r="B1726" s="549" t="s">
        <v>1046</v>
      </c>
      <c r="C1726" s="549" t="s">
        <v>1047</v>
      </c>
      <c r="D1726" s="549" t="s">
        <v>494</v>
      </c>
      <c r="E1726" s="549" t="s">
        <v>977</v>
      </c>
      <c r="F1726" s="549" t="s">
        <v>1212</v>
      </c>
      <c r="G1726" s="549">
        <v>252</v>
      </c>
      <c r="H1726" s="549" t="s">
        <v>1047</v>
      </c>
      <c r="I1726" s="549" t="s">
        <v>976</v>
      </c>
      <c r="J1726" s="549" t="s">
        <v>976</v>
      </c>
      <c r="K1726" s="549" t="s">
        <v>976</v>
      </c>
      <c r="L1726" s="549">
        <v>473331.21</v>
      </c>
      <c r="M1726" s="549">
        <v>35736.51</v>
      </c>
      <c r="N1726" s="549">
        <v>10460.620000000001</v>
      </c>
      <c r="O1726" s="549">
        <v>2976</v>
      </c>
      <c r="P1726" s="549">
        <v>100</v>
      </c>
      <c r="Q1726" s="549">
        <v>49173.13</v>
      </c>
    </row>
    <row r="1727" spans="1:17" x14ac:dyDescent="0.25">
      <c r="A1727" s="549" t="s">
        <v>1045</v>
      </c>
      <c r="B1727" s="549" t="s">
        <v>1046</v>
      </c>
      <c r="C1727" s="549" t="s">
        <v>1047</v>
      </c>
      <c r="D1727" s="549" t="s">
        <v>494</v>
      </c>
      <c r="E1727" s="549" t="s">
        <v>977</v>
      </c>
      <c r="F1727" s="549" t="s">
        <v>1212</v>
      </c>
      <c r="G1727" s="549">
        <v>34</v>
      </c>
      <c r="H1727" s="549" t="s">
        <v>1047</v>
      </c>
      <c r="I1727" s="549" t="s">
        <v>976</v>
      </c>
      <c r="J1727" s="549" t="s">
        <v>976</v>
      </c>
      <c r="K1727" s="549" t="s">
        <v>976</v>
      </c>
      <c r="L1727" s="549">
        <v>155603.16</v>
      </c>
      <c r="M1727" s="549">
        <v>11748.04</v>
      </c>
      <c r="N1727" s="549">
        <v>3438.83</v>
      </c>
      <c r="O1727" s="549">
        <v>992</v>
      </c>
      <c r="P1727" s="549">
        <v>100</v>
      </c>
      <c r="Q1727" s="549">
        <v>16178.87</v>
      </c>
    </row>
    <row r="1728" spans="1:17" x14ac:dyDescent="0.25">
      <c r="A1728" s="549" t="s">
        <v>1179</v>
      </c>
      <c r="B1728" s="549" t="s">
        <v>577</v>
      </c>
      <c r="C1728" s="549" t="s">
        <v>695</v>
      </c>
      <c r="D1728" s="549" t="s">
        <v>696</v>
      </c>
      <c r="E1728" s="549" t="s">
        <v>977</v>
      </c>
      <c r="F1728" s="549" t="s">
        <v>1212</v>
      </c>
      <c r="G1728" s="549" t="s">
        <v>1342</v>
      </c>
      <c r="H1728" s="549" t="s">
        <v>695</v>
      </c>
      <c r="I1728" s="549" t="s">
        <v>976</v>
      </c>
      <c r="J1728" s="549" t="s">
        <v>976</v>
      </c>
      <c r="K1728" s="549" t="s">
        <v>976</v>
      </c>
      <c r="L1728" s="549">
        <v>31410.32</v>
      </c>
      <c r="M1728" s="549">
        <v>2371.48</v>
      </c>
      <c r="N1728" s="549">
        <v>694.17</v>
      </c>
      <c r="O1728" s="549">
        <v>0</v>
      </c>
      <c r="P1728" s="549">
        <v>100</v>
      </c>
      <c r="Q1728" s="549">
        <v>3065.65</v>
      </c>
    </row>
    <row r="1729" spans="1:17" x14ac:dyDescent="0.25">
      <c r="A1729" s="549" t="s">
        <v>1179</v>
      </c>
      <c r="B1729" s="549" t="s">
        <v>577</v>
      </c>
      <c r="C1729" s="549" t="s">
        <v>695</v>
      </c>
      <c r="D1729" s="549" t="s">
        <v>696</v>
      </c>
      <c r="E1729" s="549" t="s">
        <v>977</v>
      </c>
      <c r="F1729" s="549" t="s">
        <v>1212</v>
      </c>
      <c r="G1729" s="549" t="s">
        <v>1343</v>
      </c>
      <c r="H1729" s="549" t="s">
        <v>695</v>
      </c>
      <c r="I1729" s="549" t="s">
        <v>976</v>
      </c>
      <c r="J1729" s="549" t="s">
        <v>976</v>
      </c>
      <c r="K1729" s="549" t="s">
        <v>976</v>
      </c>
      <c r="L1729" s="549">
        <v>31410.32</v>
      </c>
      <c r="M1729" s="549">
        <v>2371.48</v>
      </c>
      <c r="N1729" s="549">
        <v>694.17</v>
      </c>
      <c r="O1729" s="549">
        <v>0</v>
      </c>
      <c r="P1729" s="549">
        <v>100</v>
      </c>
      <c r="Q1729" s="549">
        <v>3065.65</v>
      </c>
    </row>
    <row r="1730" spans="1:17" x14ac:dyDescent="0.25">
      <c r="A1730" s="549" t="s">
        <v>1045</v>
      </c>
      <c r="B1730" s="549" t="s">
        <v>1046</v>
      </c>
      <c r="C1730" s="549" t="s">
        <v>1047</v>
      </c>
      <c r="D1730" s="549" t="s">
        <v>494</v>
      </c>
      <c r="E1730" s="549" t="s">
        <v>977</v>
      </c>
      <c r="F1730" s="549" t="s">
        <v>1212</v>
      </c>
      <c r="G1730" s="549">
        <v>33</v>
      </c>
      <c r="H1730" s="549" t="s">
        <v>1047</v>
      </c>
      <c r="I1730" s="549" t="s">
        <v>976</v>
      </c>
      <c r="J1730" s="549" t="s">
        <v>976</v>
      </c>
      <c r="K1730" s="549" t="s">
        <v>976</v>
      </c>
      <c r="L1730" s="549">
        <v>129905.36</v>
      </c>
      <c r="M1730" s="549">
        <v>9807.85</v>
      </c>
      <c r="N1730" s="549">
        <v>2870.91</v>
      </c>
      <c r="O1730" s="549">
        <v>992</v>
      </c>
      <c r="P1730" s="549">
        <v>100</v>
      </c>
      <c r="Q1730" s="549">
        <v>13670.76</v>
      </c>
    </row>
    <row r="1731" spans="1:17" x14ac:dyDescent="0.25">
      <c r="A1731" s="549" t="s">
        <v>1179</v>
      </c>
      <c r="B1731" s="549" t="s">
        <v>577</v>
      </c>
      <c r="C1731" s="549" t="s">
        <v>695</v>
      </c>
      <c r="D1731" s="549" t="s">
        <v>696</v>
      </c>
      <c r="E1731" s="549" t="s">
        <v>977</v>
      </c>
      <c r="F1731" s="549" t="s">
        <v>1212</v>
      </c>
      <c r="G1731" s="549" t="s">
        <v>1344</v>
      </c>
      <c r="H1731" s="549" t="s">
        <v>695</v>
      </c>
      <c r="I1731" s="549" t="s">
        <v>976</v>
      </c>
      <c r="J1731" s="549" t="s">
        <v>976</v>
      </c>
      <c r="K1731" s="549" t="s">
        <v>976</v>
      </c>
      <c r="L1731" s="549">
        <v>0.01</v>
      </c>
      <c r="M1731" s="549">
        <v>0</v>
      </c>
      <c r="N1731" s="549">
        <v>0</v>
      </c>
      <c r="O1731" s="549">
        <v>0</v>
      </c>
      <c r="P1731" s="549">
        <v>100</v>
      </c>
      <c r="Q1731" s="549">
        <v>0</v>
      </c>
    </row>
    <row r="1732" spans="1:17" x14ac:dyDescent="0.25">
      <c r="A1732" s="549" t="s">
        <v>1179</v>
      </c>
      <c r="B1732" s="549" t="s">
        <v>577</v>
      </c>
      <c r="C1732" s="549" t="s">
        <v>695</v>
      </c>
      <c r="D1732" s="549" t="s">
        <v>696</v>
      </c>
      <c r="E1732" s="549" t="s">
        <v>977</v>
      </c>
      <c r="F1732" s="549" t="s">
        <v>1212</v>
      </c>
      <c r="G1732" s="549" t="s">
        <v>1345</v>
      </c>
      <c r="H1732" s="549" t="s">
        <v>695</v>
      </c>
      <c r="I1732" s="549" t="s">
        <v>976</v>
      </c>
      <c r="J1732" s="549" t="s">
        <v>976</v>
      </c>
      <c r="K1732" s="549" t="s">
        <v>976</v>
      </c>
      <c r="L1732" s="549">
        <v>1.07</v>
      </c>
      <c r="M1732" s="549">
        <v>0.08</v>
      </c>
      <c r="N1732" s="549">
        <v>0.02</v>
      </c>
      <c r="O1732" s="549">
        <v>0</v>
      </c>
      <c r="P1732" s="549">
        <v>100</v>
      </c>
      <c r="Q1732" s="549">
        <v>0.1</v>
      </c>
    </row>
    <row r="1733" spans="1:17" x14ac:dyDescent="0.25">
      <c r="A1733" s="549" t="s">
        <v>1045</v>
      </c>
      <c r="B1733" s="549" t="s">
        <v>1046</v>
      </c>
      <c r="C1733" s="549" t="s">
        <v>1047</v>
      </c>
      <c r="D1733" s="549" t="s">
        <v>494</v>
      </c>
      <c r="E1733" s="549" t="s">
        <v>977</v>
      </c>
      <c r="F1733" s="549" t="s">
        <v>1212</v>
      </c>
      <c r="G1733" s="549">
        <v>32</v>
      </c>
      <c r="H1733" s="549" t="s">
        <v>1047</v>
      </c>
      <c r="I1733" s="549" t="s">
        <v>976</v>
      </c>
      <c r="J1733" s="549" t="s">
        <v>976</v>
      </c>
      <c r="K1733" s="549" t="s">
        <v>976</v>
      </c>
      <c r="L1733" s="549">
        <v>155603.16</v>
      </c>
      <c r="M1733" s="549">
        <v>11748.04</v>
      </c>
      <c r="N1733" s="549">
        <v>3438.83</v>
      </c>
      <c r="O1733" s="549">
        <v>992</v>
      </c>
      <c r="P1733" s="549">
        <v>100</v>
      </c>
      <c r="Q1733" s="549">
        <v>16178.87</v>
      </c>
    </row>
    <row r="1734" spans="1:17" x14ac:dyDescent="0.25">
      <c r="A1734" s="549" t="s">
        <v>1045</v>
      </c>
      <c r="B1734" s="549" t="s">
        <v>1046</v>
      </c>
      <c r="C1734" s="549" t="s">
        <v>1047</v>
      </c>
      <c r="D1734" s="549" t="s">
        <v>494</v>
      </c>
      <c r="E1734" s="549" t="s">
        <v>977</v>
      </c>
      <c r="F1734" s="549" t="s">
        <v>1212</v>
      </c>
      <c r="G1734" s="549">
        <v>17</v>
      </c>
      <c r="H1734" s="549" t="s">
        <v>1047</v>
      </c>
      <c r="I1734" s="549" t="s">
        <v>976</v>
      </c>
      <c r="J1734" s="549" t="s">
        <v>976</v>
      </c>
      <c r="K1734" s="549" t="s">
        <v>976</v>
      </c>
      <c r="L1734" s="549">
        <v>102155.16</v>
      </c>
      <c r="M1734" s="549">
        <v>7712.71</v>
      </c>
      <c r="N1734" s="549">
        <v>2257.63</v>
      </c>
      <c r="O1734" s="549">
        <v>992</v>
      </c>
      <c r="P1734" s="549">
        <v>100</v>
      </c>
      <c r="Q1734" s="549">
        <v>10962.34</v>
      </c>
    </row>
    <row r="1735" spans="1:17" x14ac:dyDescent="0.25">
      <c r="A1735" s="549" t="s">
        <v>1045</v>
      </c>
      <c r="B1735" s="549" t="s">
        <v>1046</v>
      </c>
      <c r="C1735" s="549" t="s">
        <v>1047</v>
      </c>
      <c r="D1735" s="549" t="s">
        <v>494</v>
      </c>
      <c r="E1735" s="549" t="s">
        <v>977</v>
      </c>
      <c r="F1735" s="549" t="s">
        <v>1212</v>
      </c>
      <c r="G1735" s="549">
        <v>16</v>
      </c>
      <c r="H1735" s="549" t="s">
        <v>1047</v>
      </c>
      <c r="I1735" s="549" t="s">
        <v>976</v>
      </c>
      <c r="J1735" s="549" t="s">
        <v>976</v>
      </c>
      <c r="K1735" s="549" t="s">
        <v>976</v>
      </c>
      <c r="L1735" s="549">
        <v>102155.16</v>
      </c>
      <c r="M1735" s="549">
        <v>7712.71</v>
      </c>
      <c r="N1735" s="549">
        <v>2257.63</v>
      </c>
      <c r="O1735" s="549">
        <v>992</v>
      </c>
      <c r="P1735" s="549">
        <v>100</v>
      </c>
      <c r="Q1735" s="549">
        <v>10962.34</v>
      </c>
    </row>
    <row r="1736" spans="1:17" x14ac:dyDescent="0.25">
      <c r="A1736" s="549" t="s">
        <v>1045</v>
      </c>
      <c r="B1736" s="549" t="s">
        <v>1046</v>
      </c>
      <c r="C1736" s="549" t="s">
        <v>1047</v>
      </c>
      <c r="D1736" s="549" t="s">
        <v>494</v>
      </c>
      <c r="E1736" s="549" t="s">
        <v>977</v>
      </c>
      <c r="F1736" s="549" t="s">
        <v>1212</v>
      </c>
      <c r="G1736" s="549">
        <v>14</v>
      </c>
      <c r="H1736" s="549" t="s">
        <v>1047</v>
      </c>
      <c r="I1736" s="549" t="s">
        <v>976</v>
      </c>
      <c r="J1736" s="549" t="s">
        <v>976</v>
      </c>
      <c r="K1736" s="549" t="s">
        <v>976</v>
      </c>
      <c r="L1736" s="549">
        <v>102155.16</v>
      </c>
      <c r="M1736" s="549">
        <v>7712.71</v>
      </c>
      <c r="N1736" s="549">
        <v>2257.63</v>
      </c>
      <c r="O1736" s="549">
        <v>992</v>
      </c>
      <c r="P1736" s="549">
        <v>100</v>
      </c>
      <c r="Q1736" s="549">
        <v>10962.34</v>
      </c>
    </row>
    <row r="1737" spans="1:17" x14ac:dyDescent="0.25">
      <c r="A1737" s="549" t="s">
        <v>1045</v>
      </c>
      <c r="B1737" s="549" t="s">
        <v>1046</v>
      </c>
      <c r="C1737" s="549" t="s">
        <v>1047</v>
      </c>
      <c r="D1737" s="549" t="s">
        <v>494</v>
      </c>
      <c r="E1737" s="549" t="s">
        <v>973</v>
      </c>
      <c r="F1737" s="549" t="s">
        <v>1212</v>
      </c>
      <c r="G1737" s="549" t="s">
        <v>1340</v>
      </c>
      <c r="H1737" s="549" t="s">
        <v>1047</v>
      </c>
      <c r="I1737" s="549" t="s">
        <v>976</v>
      </c>
      <c r="J1737" s="549" t="s">
        <v>976</v>
      </c>
      <c r="K1737" s="549" t="s">
        <v>976</v>
      </c>
      <c r="L1737" s="549">
        <v>31410.32</v>
      </c>
      <c r="M1737" s="549">
        <v>2371.48</v>
      </c>
      <c r="N1737" s="549">
        <v>1802.95</v>
      </c>
      <c r="O1737" s="549">
        <v>0</v>
      </c>
      <c r="P1737" s="549">
        <v>0</v>
      </c>
      <c r="Q1737" s="549">
        <v>0</v>
      </c>
    </row>
    <row r="1738" spans="1:17" x14ac:dyDescent="0.25">
      <c r="A1738" s="549" t="s">
        <v>1045</v>
      </c>
      <c r="B1738" s="549" t="s">
        <v>1046</v>
      </c>
      <c r="C1738" s="549" t="s">
        <v>1047</v>
      </c>
      <c r="D1738" s="549" t="s">
        <v>494</v>
      </c>
      <c r="E1738" s="549" t="s">
        <v>973</v>
      </c>
      <c r="F1738" s="549" t="s">
        <v>1212</v>
      </c>
      <c r="G1738" s="549" t="s">
        <v>1341</v>
      </c>
      <c r="H1738" s="549" t="s">
        <v>1047</v>
      </c>
      <c r="I1738" s="549" t="s">
        <v>976</v>
      </c>
      <c r="J1738" s="549" t="s">
        <v>976</v>
      </c>
      <c r="K1738" s="549" t="s">
        <v>976</v>
      </c>
      <c r="L1738" s="549">
        <v>31410.32</v>
      </c>
      <c r="M1738" s="549">
        <v>2371.48</v>
      </c>
      <c r="N1738" s="549">
        <v>1802.95</v>
      </c>
      <c r="O1738" s="549">
        <v>0</v>
      </c>
      <c r="P1738" s="549">
        <v>0</v>
      </c>
      <c r="Q1738" s="549">
        <v>0</v>
      </c>
    </row>
    <row r="1739" spans="1:17" x14ac:dyDescent="0.25">
      <c r="A1739" s="549" t="s">
        <v>1045</v>
      </c>
      <c r="B1739" s="549" t="s">
        <v>1046</v>
      </c>
      <c r="C1739" s="549" t="s">
        <v>1047</v>
      </c>
      <c r="D1739" s="549" t="s">
        <v>494</v>
      </c>
      <c r="E1739" s="549" t="s">
        <v>973</v>
      </c>
      <c r="F1739" s="549" t="s">
        <v>1212</v>
      </c>
      <c r="G1739" s="549">
        <v>332</v>
      </c>
      <c r="H1739" s="549" t="s">
        <v>1047</v>
      </c>
      <c r="I1739" s="549" t="s">
        <v>976</v>
      </c>
      <c r="J1739" s="549" t="s">
        <v>976</v>
      </c>
      <c r="K1739" s="549" t="s">
        <v>976</v>
      </c>
      <c r="L1739" s="549">
        <v>1053162.69</v>
      </c>
      <c r="M1739" s="549">
        <v>79513.78</v>
      </c>
      <c r="N1739" s="549">
        <v>60451.54</v>
      </c>
      <c r="O1739" s="549">
        <v>4960</v>
      </c>
      <c r="P1739" s="549">
        <v>0</v>
      </c>
      <c r="Q1739" s="549">
        <v>0</v>
      </c>
    </row>
    <row r="1740" spans="1:17" x14ac:dyDescent="0.25">
      <c r="A1740" s="549" t="s">
        <v>1045</v>
      </c>
      <c r="B1740" s="549" t="s">
        <v>1046</v>
      </c>
      <c r="C1740" s="549" t="s">
        <v>1047</v>
      </c>
      <c r="D1740" s="549" t="s">
        <v>494</v>
      </c>
      <c r="E1740" s="549" t="s">
        <v>973</v>
      </c>
      <c r="F1740" s="549" t="s">
        <v>1212</v>
      </c>
      <c r="G1740" s="549">
        <v>312</v>
      </c>
      <c r="H1740" s="549" t="s">
        <v>1047</v>
      </c>
      <c r="I1740" s="549" t="s">
        <v>976</v>
      </c>
      <c r="J1740" s="549" t="s">
        <v>976</v>
      </c>
      <c r="K1740" s="549" t="s">
        <v>976</v>
      </c>
      <c r="L1740" s="549">
        <v>1053162.69</v>
      </c>
      <c r="M1740" s="549">
        <v>79513.78</v>
      </c>
      <c r="N1740" s="549">
        <v>60451.54</v>
      </c>
      <c r="O1740" s="549">
        <v>4960</v>
      </c>
      <c r="P1740" s="549">
        <v>0</v>
      </c>
      <c r="Q1740" s="549">
        <v>0</v>
      </c>
    </row>
    <row r="1741" spans="1:17" x14ac:dyDescent="0.25">
      <c r="A1741" s="549" t="s">
        <v>1045</v>
      </c>
      <c r="B1741" s="549" t="s">
        <v>1046</v>
      </c>
      <c r="C1741" s="549" t="s">
        <v>1047</v>
      </c>
      <c r="D1741" s="549" t="s">
        <v>494</v>
      </c>
      <c r="E1741" s="549" t="s">
        <v>973</v>
      </c>
      <c r="F1741" s="549" t="s">
        <v>1212</v>
      </c>
      <c r="G1741" s="549">
        <v>288</v>
      </c>
      <c r="H1741" s="549" t="s">
        <v>1047</v>
      </c>
      <c r="I1741" s="549" t="s">
        <v>976</v>
      </c>
      <c r="J1741" s="549" t="s">
        <v>976</v>
      </c>
      <c r="K1741" s="549" t="s">
        <v>976</v>
      </c>
      <c r="L1741" s="549">
        <v>146406.91</v>
      </c>
      <c r="M1741" s="549">
        <v>11053.72</v>
      </c>
      <c r="N1741" s="549">
        <v>8403.76</v>
      </c>
      <c r="O1741" s="549">
        <v>2976</v>
      </c>
      <c r="P1741" s="549">
        <v>0</v>
      </c>
      <c r="Q1741" s="549">
        <v>0</v>
      </c>
    </row>
    <row r="1742" spans="1:17" x14ac:dyDescent="0.25">
      <c r="A1742" s="549" t="s">
        <v>1045</v>
      </c>
      <c r="B1742" s="549" t="s">
        <v>1046</v>
      </c>
      <c r="C1742" s="549" t="s">
        <v>1047</v>
      </c>
      <c r="D1742" s="549" t="s">
        <v>494</v>
      </c>
      <c r="E1742" s="549" t="s">
        <v>973</v>
      </c>
      <c r="F1742" s="549" t="s">
        <v>1212</v>
      </c>
      <c r="G1742" s="549">
        <v>272</v>
      </c>
      <c r="H1742" s="549" t="s">
        <v>1047</v>
      </c>
      <c r="I1742" s="549" t="s">
        <v>976</v>
      </c>
      <c r="J1742" s="549" t="s">
        <v>976</v>
      </c>
      <c r="K1742" s="549" t="s">
        <v>976</v>
      </c>
      <c r="L1742" s="549">
        <v>473331.21</v>
      </c>
      <c r="M1742" s="549">
        <v>35736.51</v>
      </c>
      <c r="N1742" s="549">
        <v>27169.21</v>
      </c>
      <c r="O1742" s="549">
        <v>2976</v>
      </c>
      <c r="P1742" s="549">
        <v>0</v>
      </c>
      <c r="Q1742" s="549">
        <v>0</v>
      </c>
    </row>
    <row r="1743" spans="1:17" x14ac:dyDescent="0.25">
      <c r="A1743" s="549" t="s">
        <v>1029</v>
      </c>
      <c r="B1743" s="549" t="s">
        <v>1030</v>
      </c>
      <c r="C1743" s="549" t="s">
        <v>540</v>
      </c>
      <c r="D1743" s="549" t="s">
        <v>487</v>
      </c>
      <c r="E1743" s="549" t="s">
        <v>973</v>
      </c>
      <c r="F1743" s="549" t="s">
        <v>1212</v>
      </c>
      <c r="G1743" s="549">
        <v>92</v>
      </c>
      <c r="H1743" s="549" t="s">
        <v>873</v>
      </c>
      <c r="I1743" s="549" t="s">
        <v>976</v>
      </c>
      <c r="J1743" s="549" t="s">
        <v>976</v>
      </c>
      <c r="K1743" s="549" t="s">
        <v>976</v>
      </c>
      <c r="L1743" s="549">
        <v>714112.63</v>
      </c>
      <c r="M1743" s="549">
        <v>53915.5</v>
      </c>
      <c r="N1743" s="549">
        <v>40990.06</v>
      </c>
      <c r="O1743" s="549">
        <v>4960</v>
      </c>
      <c r="P1743" s="549">
        <v>43.01</v>
      </c>
      <c r="Q1743" s="549">
        <v>42952.18</v>
      </c>
    </row>
    <row r="1744" spans="1:17" x14ac:dyDescent="0.25">
      <c r="A1744" s="549" t="s">
        <v>1029</v>
      </c>
      <c r="B1744" s="549" t="s">
        <v>1030</v>
      </c>
      <c r="C1744" s="549" t="s">
        <v>540</v>
      </c>
      <c r="D1744" s="549" t="s">
        <v>487</v>
      </c>
      <c r="E1744" s="549" t="s">
        <v>973</v>
      </c>
      <c r="F1744" s="549" t="s">
        <v>1212</v>
      </c>
      <c r="G1744" s="549">
        <v>112</v>
      </c>
      <c r="H1744" s="549" t="s">
        <v>873</v>
      </c>
      <c r="I1744" s="549" t="s">
        <v>976</v>
      </c>
      <c r="J1744" s="549" t="s">
        <v>976</v>
      </c>
      <c r="K1744" s="549" t="s">
        <v>976</v>
      </c>
      <c r="L1744" s="549">
        <v>714112.63</v>
      </c>
      <c r="M1744" s="549">
        <v>53915.5</v>
      </c>
      <c r="N1744" s="549">
        <v>40990.06</v>
      </c>
      <c r="O1744" s="549">
        <v>4960</v>
      </c>
      <c r="P1744" s="549">
        <v>43.01</v>
      </c>
      <c r="Q1744" s="549">
        <v>42952.18</v>
      </c>
    </row>
    <row r="1745" spans="1:17" x14ac:dyDescent="0.25">
      <c r="A1745" s="549" t="s">
        <v>1045</v>
      </c>
      <c r="B1745" s="549" t="s">
        <v>1046</v>
      </c>
      <c r="C1745" s="549" t="s">
        <v>1047</v>
      </c>
      <c r="D1745" s="549" t="s">
        <v>494</v>
      </c>
      <c r="E1745" s="549" t="s">
        <v>973</v>
      </c>
      <c r="F1745" s="549" t="s">
        <v>1212</v>
      </c>
      <c r="G1745" s="549">
        <v>252</v>
      </c>
      <c r="H1745" s="549" t="s">
        <v>1047</v>
      </c>
      <c r="I1745" s="549" t="s">
        <v>976</v>
      </c>
      <c r="J1745" s="549" t="s">
        <v>976</v>
      </c>
      <c r="K1745" s="549" t="s">
        <v>976</v>
      </c>
      <c r="L1745" s="549">
        <v>473331.21</v>
      </c>
      <c r="M1745" s="549">
        <v>35736.51</v>
      </c>
      <c r="N1745" s="549">
        <v>27169.21</v>
      </c>
      <c r="O1745" s="549">
        <v>2976</v>
      </c>
      <c r="P1745" s="549">
        <v>0</v>
      </c>
      <c r="Q1745" s="549">
        <v>0</v>
      </c>
    </row>
    <row r="1746" spans="1:17" x14ac:dyDescent="0.25">
      <c r="A1746" s="549" t="s">
        <v>1045</v>
      </c>
      <c r="B1746" s="549" t="s">
        <v>1046</v>
      </c>
      <c r="C1746" s="549" t="s">
        <v>1047</v>
      </c>
      <c r="D1746" s="549" t="s">
        <v>494</v>
      </c>
      <c r="E1746" s="549" t="s">
        <v>973</v>
      </c>
      <c r="F1746" s="549" t="s">
        <v>1212</v>
      </c>
      <c r="G1746" s="549">
        <v>34</v>
      </c>
      <c r="H1746" s="549" t="s">
        <v>1047</v>
      </c>
      <c r="I1746" s="549" t="s">
        <v>976</v>
      </c>
      <c r="J1746" s="549" t="s">
        <v>976</v>
      </c>
      <c r="K1746" s="549" t="s">
        <v>976</v>
      </c>
      <c r="L1746" s="549">
        <v>155603.16</v>
      </c>
      <c r="M1746" s="549">
        <v>11748.04</v>
      </c>
      <c r="N1746" s="549">
        <v>8931.6200000000008</v>
      </c>
      <c r="O1746" s="549">
        <v>992</v>
      </c>
      <c r="P1746" s="549">
        <v>0</v>
      </c>
      <c r="Q1746" s="549">
        <v>0</v>
      </c>
    </row>
    <row r="1747" spans="1:17" x14ac:dyDescent="0.25">
      <c r="A1747" s="549" t="s">
        <v>1045</v>
      </c>
      <c r="B1747" s="549" t="s">
        <v>1046</v>
      </c>
      <c r="C1747" s="549" t="s">
        <v>1047</v>
      </c>
      <c r="D1747" s="549" t="s">
        <v>494</v>
      </c>
      <c r="E1747" s="549" t="s">
        <v>973</v>
      </c>
      <c r="F1747" s="549" t="s">
        <v>1212</v>
      </c>
      <c r="G1747" s="549">
        <v>33</v>
      </c>
      <c r="H1747" s="549" t="s">
        <v>1047</v>
      </c>
      <c r="I1747" s="549" t="s">
        <v>976</v>
      </c>
      <c r="J1747" s="549" t="s">
        <v>976</v>
      </c>
      <c r="K1747" s="549" t="s">
        <v>976</v>
      </c>
      <c r="L1747" s="549">
        <v>129905.36</v>
      </c>
      <c r="M1747" s="549">
        <v>9807.85</v>
      </c>
      <c r="N1747" s="549">
        <v>7456.57</v>
      </c>
      <c r="O1747" s="549">
        <v>992</v>
      </c>
      <c r="P1747" s="549">
        <v>0</v>
      </c>
      <c r="Q1747" s="549">
        <v>0</v>
      </c>
    </row>
    <row r="1748" spans="1:17" x14ac:dyDescent="0.25">
      <c r="A1748" s="549" t="s">
        <v>1045</v>
      </c>
      <c r="B1748" s="549" t="s">
        <v>1046</v>
      </c>
      <c r="C1748" s="549" t="s">
        <v>1047</v>
      </c>
      <c r="D1748" s="549" t="s">
        <v>494</v>
      </c>
      <c r="E1748" s="549" t="s">
        <v>973</v>
      </c>
      <c r="F1748" s="549" t="s">
        <v>1212</v>
      </c>
      <c r="G1748" s="549">
        <v>32</v>
      </c>
      <c r="H1748" s="549" t="s">
        <v>1047</v>
      </c>
      <c r="I1748" s="549" t="s">
        <v>976</v>
      </c>
      <c r="J1748" s="549" t="s">
        <v>976</v>
      </c>
      <c r="K1748" s="549" t="s">
        <v>976</v>
      </c>
      <c r="L1748" s="549">
        <v>155603.16</v>
      </c>
      <c r="M1748" s="549">
        <v>11748.04</v>
      </c>
      <c r="N1748" s="549">
        <v>8931.6200000000008</v>
      </c>
      <c r="O1748" s="549">
        <v>992</v>
      </c>
      <c r="P1748" s="549">
        <v>0</v>
      </c>
      <c r="Q1748" s="549">
        <v>0</v>
      </c>
    </row>
    <row r="1749" spans="1:17" x14ac:dyDescent="0.25">
      <c r="A1749" s="549" t="s">
        <v>1029</v>
      </c>
      <c r="B1749" s="549" t="s">
        <v>1030</v>
      </c>
      <c r="C1749" s="549" t="s">
        <v>540</v>
      </c>
      <c r="D1749" s="549" t="s">
        <v>487</v>
      </c>
      <c r="E1749" s="549" t="s">
        <v>977</v>
      </c>
      <c r="F1749" s="549" t="s">
        <v>1212</v>
      </c>
      <c r="G1749" s="549">
        <v>92</v>
      </c>
      <c r="H1749" s="549" t="s">
        <v>873</v>
      </c>
      <c r="I1749" s="549" t="s">
        <v>976</v>
      </c>
      <c r="J1749" s="549" t="s">
        <v>976</v>
      </c>
      <c r="K1749" s="549" t="s">
        <v>976</v>
      </c>
      <c r="L1749" s="549">
        <v>714112.63</v>
      </c>
      <c r="M1749" s="549">
        <v>53915.5</v>
      </c>
      <c r="N1749" s="549">
        <v>15781.89</v>
      </c>
      <c r="O1749" s="549">
        <v>4960</v>
      </c>
      <c r="P1749" s="549">
        <v>0.3</v>
      </c>
      <c r="Q1749" s="549">
        <v>223.97</v>
      </c>
    </row>
    <row r="1750" spans="1:17" x14ac:dyDescent="0.25">
      <c r="A1750" s="549" t="s">
        <v>1029</v>
      </c>
      <c r="B1750" s="549" t="s">
        <v>1030</v>
      </c>
      <c r="C1750" s="549" t="s">
        <v>540</v>
      </c>
      <c r="D1750" s="549" t="s">
        <v>487</v>
      </c>
      <c r="E1750" s="549" t="s">
        <v>977</v>
      </c>
      <c r="F1750" s="549" t="s">
        <v>1212</v>
      </c>
      <c r="G1750" s="549">
        <v>112</v>
      </c>
      <c r="H1750" s="549" t="s">
        <v>873</v>
      </c>
      <c r="I1750" s="549" t="s">
        <v>976</v>
      </c>
      <c r="J1750" s="549" t="s">
        <v>976</v>
      </c>
      <c r="K1750" s="549" t="s">
        <v>976</v>
      </c>
      <c r="L1750" s="549">
        <v>714112.63</v>
      </c>
      <c r="M1750" s="549">
        <v>53915.5</v>
      </c>
      <c r="N1750" s="549">
        <v>15781.89</v>
      </c>
      <c r="O1750" s="549">
        <v>4960</v>
      </c>
      <c r="P1750" s="549">
        <v>0.3</v>
      </c>
      <c r="Q1750" s="549">
        <v>223.97</v>
      </c>
    </row>
    <row r="1751" spans="1:17" x14ac:dyDescent="0.25">
      <c r="A1751" s="549" t="s">
        <v>1045</v>
      </c>
      <c r="B1751" s="549" t="s">
        <v>1046</v>
      </c>
      <c r="C1751" s="549" t="s">
        <v>1047</v>
      </c>
      <c r="D1751" s="549" t="s">
        <v>494</v>
      </c>
      <c r="E1751" s="549" t="s">
        <v>973</v>
      </c>
      <c r="F1751" s="549" t="s">
        <v>1212</v>
      </c>
      <c r="G1751" s="549">
        <v>17</v>
      </c>
      <c r="H1751" s="549" t="s">
        <v>1047</v>
      </c>
      <c r="I1751" s="549" t="s">
        <v>976</v>
      </c>
      <c r="J1751" s="549" t="s">
        <v>976</v>
      </c>
      <c r="K1751" s="549" t="s">
        <v>976</v>
      </c>
      <c r="L1751" s="549">
        <v>102155.16</v>
      </c>
      <c r="M1751" s="549">
        <v>7712.71</v>
      </c>
      <c r="N1751" s="549">
        <v>5863.71</v>
      </c>
      <c r="O1751" s="549">
        <v>992</v>
      </c>
      <c r="P1751" s="549">
        <v>0</v>
      </c>
      <c r="Q1751" s="549">
        <v>0</v>
      </c>
    </row>
    <row r="1752" spans="1:17" x14ac:dyDescent="0.25">
      <c r="A1752" s="549" t="s">
        <v>1045</v>
      </c>
      <c r="B1752" s="549" t="s">
        <v>1046</v>
      </c>
      <c r="C1752" s="549" t="s">
        <v>1047</v>
      </c>
      <c r="D1752" s="549" t="s">
        <v>494</v>
      </c>
      <c r="E1752" s="549" t="s">
        <v>973</v>
      </c>
      <c r="F1752" s="549" t="s">
        <v>1212</v>
      </c>
      <c r="G1752" s="549">
        <v>16</v>
      </c>
      <c r="H1752" s="549" t="s">
        <v>1047</v>
      </c>
      <c r="I1752" s="549" t="s">
        <v>976</v>
      </c>
      <c r="J1752" s="549" t="s">
        <v>976</v>
      </c>
      <c r="K1752" s="549" t="s">
        <v>976</v>
      </c>
      <c r="L1752" s="549">
        <v>102155.16</v>
      </c>
      <c r="M1752" s="549">
        <v>7712.71</v>
      </c>
      <c r="N1752" s="549">
        <v>5863.71</v>
      </c>
      <c r="O1752" s="549">
        <v>992</v>
      </c>
      <c r="P1752" s="549">
        <v>0</v>
      </c>
      <c r="Q1752" s="549">
        <v>0</v>
      </c>
    </row>
    <row r="1753" spans="1:17" x14ac:dyDescent="0.25">
      <c r="A1753" s="549" t="s">
        <v>1045</v>
      </c>
      <c r="B1753" s="549" t="s">
        <v>1046</v>
      </c>
      <c r="C1753" s="549" t="s">
        <v>1047</v>
      </c>
      <c r="D1753" s="549" t="s">
        <v>494</v>
      </c>
      <c r="E1753" s="549" t="s">
        <v>973</v>
      </c>
      <c r="F1753" s="549" t="s">
        <v>1212</v>
      </c>
      <c r="G1753" s="549">
        <v>14</v>
      </c>
      <c r="H1753" s="549" t="s">
        <v>1047</v>
      </c>
      <c r="I1753" s="549" t="s">
        <v>976</v>
      </c>
      <c r="J1753" s="549" t="s">
        <v>976</v>
      </c>
      <c r="K1753" s="549" t="s">
        <v>976</v>
      </c>
      <c r="L1753" s="549">
        <v>102155.16</v>
      </c>
      <c r="M1753" s="549">
        <v>7712.71</v>
      </c>
      <c r="N1753" s="549">
        <v>5863.71</v>
      </c>
      <c r="O1753" s="549">
        <v>992</v>
      </c>
      <c r="P1753" s="549">
        <v>0</v>
      </c>
      <c r="Q1753" s="549">
        <v>0</v>
      </c>
    </row>
    <row r="1754" spans="1:17" x14ac:dyDescent="0.25">
      <c r="A1754" s="549" t="s">
        <v>514</v>
      </c>
      <c r="B1754" s="549" t="s">
        <v>1032</v>
      </c>
      <c r="C1754" s="549" t="s">
        <v>528</v>
      </c>
      <c r="D1754" s="549" t="s">
        <v>1182</v>
      </c>
      <c r="E1754" s="549" t="s">
        <v>973</v>
      </c>
      <c r="F1754" s="549" t="s">
        <v>1212</v>
      </c>
      <c r="G1754" s="549">
        <v>42</v>
      </c>
      <c r="H1754" s="549" t="s">
        <v>528</v>
      </c>
      <c r="I1754" s="549" t="s">
        <v>976</v>
      </c>
      <c r="J1754" s="549" t="s">
        <v>976</v>
      </c>
      <c r="K1754" s="549" t="s">
        <v>976</v>
      </c>
      <c r="L1754" s="549">
        <v>157965.97</v>
      </c>
      <c r="M1754" s="549">
        <v>11926.43</v>
      </c>
      <c r="N1754" s="549">
        <v>9067.25</v>
      </c>
      <c r="O1754" s="549">
        <v>892.8</v>
      </c>
      <c r="P1754" s="549">
        <v>99.77</v>
      </c>
      <c r="Q1754" s="549">
        <v>21836.14</v>
      </c>
    </row>
    <row r="1755" spans="1:17" x14ac:dyDescent="0.25">
      <c r="A1755" s="549" t="s">
        <v>514</v>
      </c>
      <c r="B1755" s="549" t="s">
        <v>1032</v>
      </c>
      <c r="C1755" s="549" t="s">
        <v>528</v>
      </c>
      <c r="D1755" s="549" t="s">
        <v>1182</v>
      </c>
      <c r="E1755" s="549" t="s">
        <v>973</v>
      </c>
      <c r="F1755" s="549" t="s">
        <v>1212</v>
      </c>
      <c r="G1755" s="549">
        <v>52</v>
      </c>
      <c r="H1755" s="549" t="s">
        <v>528</v>
      </c>
      <c r="I1755" s="549" t="s">
        <v>976</v>
      </c>
      <c r="J1755" s="549" t="s">
        <v>976</v>
      </c>
      <c r="K1755" s="549" t="s">
        <v>976</v>
      </c>
      <c r="L1755" s="549">
        <v>157965.97</v>
      </c>
      <c r="M1755" s="549">
        <v>11926.43</v>
      </c>
      <c r="N1755" s="549">
        <v>9067.25</v>
      </c>
      <c r="O1755" s="549">
        <v>892.8</v>
      </c>
      <c r="P1755" s="549">
        <v>99.77</v>
      </c>
      <c r="Q1755" s="549">
        <v>21836.14</v>
      </c>
    </row>
    <row r="1756" spans="1:17" x14ac:dyDescent="0.25">
      <c r="A1756" s="549" t="s">
        <v>514</v>
      </c>
      <c r="B1756" s="549" t="s">
        <v>1032</v>
      </c>
      <c r="C1756" s="549" t="s">
        <v>528</v>
      </c>
      <c r="D1756" s="549" t="s">
        <v>1182</v>
      </c>
      <c r="E1756" s="549" t="s">
        <v>973</v>
      </c>
      <c r="F1756" s="549" t="s">
        <v>1212</v>
      </c>
      <c r="G1756" s="549">
        <v>62</v>
      </c>
      <c r="H1756" s="549" t="s">
        <v>528</v>
      </c>
      <c r="I1756" s="549" t="s">
        <v>976</v>
      </c>
      <c r="J1756" s="549" t="s">
        <v>976</v>
      </c>
      <c r="K1756" s="549" t="s">
        <v>976</v>
      </c>
      <c r="L1756" s="549">
        <v>157965.97</v>
      </c>
      <c r="M1756" s="549">
        <v>11926.43</v>
      </c>
      <c r="N1756" s="549">
        <v>9067.25</v>
      </c>
      <c r="O1756" s="549">
        <v>892.8</v>
      </c>
      <c r="P1756" s="549">
        <v>99.77</v>
      </c>
      <c r="Q1756" s="549">
        <v>21836.14</v>
      </c>
    </row>
    <row r="1757" spans="1:17" x14ac:dyDescent="0.25">
      <c r="A1757" s="549" t="s">
        <v>514</v>
      </c>
      <c r="B1757" s="549" t="s">
        <v>1032</v>
      </c>
      <c r="C1757" s="549" t="s">
        <v>528</v>
      </c>
      <c r="D1757" s="549" t="s">
        <v>1182</v>
      </c>
      <c r="E1757" s="549" t="s">
        <v>973</v>
      </c>
      <c r="F1757" s="549" t="s">
        <v>1212</v>
      </c>
      <c r="G1757" s="549">
        <v>72</v>
      </c>
      <c r="H1757" s="549" t="s">
        <v>528</v>
      </c>
      <c r="I1757" s="549" t="s">
        <v>976</v>
      </c>
      <c r="J1757" s="549" t="s">
        <v>976</v>
      </c>
      <c r="K1757" s="549" t="s">
        <v>976</v>
      </c>
      <c r="L1757" s="549">
        <v>157965.97</v>
      </c>
      <c r="M1757" s="549">
        <v>11926.43</v>
      </c>
      <c r="N1757" s="549">
        <v>9067.25</v>
      </c>
      <c r="O1757" s="549">
        <v>892.8</v>
      </c>
      <c r="P1757" s="549">
        <v>99.77</v>
      </c>
      <c r="Q1757" s="549">
        <v>21836.14</v>
      </c>
    </row>
    <row r="1758" spans="1:17" x14ac:dyDescent="0.25">
      <c r="A1758" s="549" t="s">
        <v>514</v>
      </c>
      <c r="B1758" s="549" t="s">
        <v>1032</v>
      </c>
      <c r="C1758" s="549" t="s">
        <v>528</v>
      </c>
      <c r="D1758" s="549" t="s">
        <v>1182</v>
      </c>
      <c r="E1758" s="549" t="s">
        <v>977</v>
      </c>
      <c r="F1758" s="549" t="s">
        <v>1212</v>
      </c>
      <c r="G1758" s="549">
        <v>42</v>
      </c>
      <c r="H1758" s="549" t="s">
        <v>528</v>
      </c>
      <c r="I1758" s="549" t="s">
        <v>976</v>
      </c>
      <c r="J1758" s="549" t="s">
        <v>976</v>
      </c>
      <c r="K1758" s="549" t="s">
        <v>976</v>
      </c>
      <c r="L1758" s="549">
        <v>157965.97</v>
      </c>
      <c r="M1758" s="549">
        <v>11926.43</v>
      </c>
      <c r="N1758" s="549">
        <v>3491.05</v>
      </c>
      <c r="O1758" s="549">
        <v>892.8</v>
      </c>
      <c r="P1758" s="549">
        <v>0.23</v>
      </c>
      <c r="Q1758" s="549">
        <v>37.51</v>
      </c>
    </row>
    <row r="1759" spans="1:17" x14ac:dyDescent="0.25">
      <c r="A1759" s="549" t="s">
        <v>514</v>
      </c>
      <c r="B1759" s="549" t="s">
        <v>1032</v>
      </c>
      <c r="C1759" s="549" t="s">
        <v>528</v>
      </c>
      <c r="D1759" s="549" t="s">
        <v>1182</v>
      </c>
      <c r="E1759" s="549" t="s">
        <v>977</v>
      </c>
      <c r="F1759" s="549" t="s">
        <v>1212</v>
      </c>
      <c r="G1759" s="549">
        <v>52</v>
      </c>
      <c r="H1759" s="549" t="s">
        <v>528</v>
      </c>
      <c r="I1759" s="549" t="s">
        <v>976</v>
      </c>
      <c r="J1759" s="549" t="s">
        <v>976</v>
      </c>
      <c r="K1759" s="549" t="s">
        <v>976</v>
      </c>
      <c r="L1759" s="549">
        <v>157965.97</v>
      </c>
      <c r="M1759" s="549">
        <v>11926.43</v>
      </c>
      <c r="N1759" s="549">
        <v>3491.05</v>
      </c>
      <c r="O1759" s="549">
        <v>892.8</v>
      </c>
      <c r="P1759" s="549">
        <v>0.23</v>
      </c>
      <c r="Q1759" s="549">
        <v>37.51</v>
      </c>
    </row>
    <row r="1760" spans="1:17" x14ac:dyDescent="0.25">
      <c r="A1760" s="549" t="s">
        <v>514</v>
      </c>
      <c r="B1760" s="549" t="s">
        <v>1032</v>
      </c>
      <c r="C1760" s="549" t="s">
        <v>528</v>
      </c>
      <c r="D1760" s="549" t="s">
        <v>1182</v>
      </c>
      <c r="E1760" s="549" t="s">
        <v>977</v>
      </c>
      <c r="F1760" s="549" t="s">
        <v>1212</v>
      </c>
      <c r="G1760" s="549">
        <v>62</v>
      </c>
      <c r="H1760" s="549" t="s">
        <v>528</v>
      </c>
      <c r="I1760" s="549" t="s">
        <v>976</v>
      </c>
      <c r="J1760" s="549" t="s">
        <v>976</v>
      </c>
      <c r="K1760" s="549" t="s">
        <v>976</v>
      </c>
      <c r="L1760" s="549">
        <v>157965.97</v>
      </c>
      <c r="M1760" s="549">
        <v>11926.43</v>
      </c>
      <c r="N1760" s="549">
        <v>3491.05</v>
      </c>
      <c r="O1760" s="549">
        <v>892.8</v>
      </c>
      <c r="P1760" s="549">
        <v>0.23</v>
      </c>
      <c r="Q1760" s="549">
        <v>37.51</v>
      </c>
    </row>
    <row r="1761" spans="1:17" x14ac:dyDescent="0.25">
      <c r="A1761" s="549" t="s">
        <v>514</v>
      </c>
      <c r="B1761" s="549" t="s">
        <v>1032</v>
      </c>
      <c r="C1761" s="549" t="s">
        <v>528</v>
      </c>
      <c r="D1761" s="549" t="s">
        <v>1182</v>
      </c>
      <c r="E1761" s="549" t="s">
        <v>977</v>
      </c>
      <c r="F1761" s="549" t="s">
        <v>1212</v>
      </c>
      <c r="G1761" s="549">
        <v>72</v>
      </c>
      <c r="H1761" s="549" t="s">
        <v>528</v>
      </c>
      <c r="I1761" s="549" t="s">
        <v>976</v>
      </c>
      <c r="J1761" s="549" t="s">
        <v>976</v>
      </c>
      <c r="K1761" s="549" t="s">
        <v>976</v>
      </c>
      <c r="L1761" s="549">
        <v>157965.97</v>
      </c>
      <c r="M1761" s="549">
        <v>11926.43</v>
      </c>
      <c r="N1761" s="549">
        <v>3491.05</v>
      </c>
      <c r="O1761" s="549">
        <v>892.8</v>
      </c>
      <c r="P1761" s="549">
        <v>0.23</v>
      </c>
      <c r="Q1761" s="549">
        <v>37.51</v>
      </c>
    </row>
    <row r="1762" spans="1:17" x14ac:dyDescent="0.25">
      <c r="A1762" s="549" t="s">
        <v>514</v>
      </c>
      <c r="B1762" s="549" t="s">
        <v>1032</v>
      </c>
      <c r="C1762" s="549" t="s">
        <v>529</v>
      </c>
      <c r="D1762" s="549" t="s">
        <v>1183</v>
      </c>
      <c r="E1762" s="549" t="s">
        <v>973</v>
      </c>
      <c r="F1762" s="549" t="s">
        <v>1212</v>
      </c>
      <c r="G1762" s="549">
        <v>462</v>
      </c>
      <c r="H1762" s="549" t="s">
        <v>529</v>
      </c>
      <c r="I1762" s="549" t="s">
        <v>976</v>
      </c>
      <c r="J1762" s="549" t="s">
        <v>976</v>
      </c>
      <c r="K1762" s="549" t="s">
        <v>976</v>
      </c>
      <c r="L1762" s="549">
        <v>421195.34</v>
      </c>
      <c r="M1762" s="549">
        <v>31800.25</v>
      </c>
      <c r="N1762" s="549">
        <v>24176.61</v>
      </c>
      <c r="O1762" s="549">
        <v>1785.6</v>
      </c>
      <c r="P1762" s="549">
        <v>98.41</v>
      </c>
      <c r="Q1762" s="549">
        <v>56844.04</v>
      </c>
    </row>
    <row r="1763" spans="1:17" x14ac:dyDescent="0.25">
      <c r="A1763" s="549" t="s">
        <v>514</v>
      </c>
      <c r="B1763" s="549" t="s">
        <v>1032</v>
      </c>
      <c r="C1763" s="549" t="s">
        <v>529</v>
      </c>
      <c r="D1763" s="549" t="s">
        <v>1183</v>
      </c>
      <c r="E1763" s="549" t="s">
        <v>973</v>
      </c>
      <c r="F1763" s="549" t="s">
        <v>1212</v>
      </c>
      <c r="G1763" s="549">
        <v>522</v>
      </c>
      <c r="H1763" s="549" t="s">
        <v>529</v>
      </c>
      <c r="I1763" s="549" t="s">
        <v>976</v>
      </c>
      <c r="J1763" s="549" t="s">
        <v>976</v>
      </c>
      <c r="K1763" s="549" t="s">
        <v>976</v>
      </c>
      <c r="L1763" s="549">
        <v>421195.34</v>
      </c>
      <c r="M1763" s="549">
        <v>31800.25</v>
      </c>
      <c r="N1763" s="549">
        <v>24176.61</v>
      </c>
      <c r="O1763" s="549">
        <v>1785.6</v>
      </c>
      <c r="P1763" s="549">
        <v>98.41</v>
      </c>
      <c r="Q1763" s="549">
        <v>56844.04</v>
      </c>
    </row>
    <row r="1764" spans="1:17" x14ac:dyDescent="0.25">
      <c r="A1764" s="549" t="s">
        <v>514</v>
      </c>
      <c r="B1764" s="549" t="s">
        <v>1032</v>
      </c>
      <c r="C1764" s="549" t="s">
        <v>529</v>
      </c>
      <c r="D1764" s="549" t="s">
        <v>1183</v>
      </c>
      <c r="E1764" s="549" t="s">
        <v>977</v>
      </c>
      <c r="F1764" s="549" t="s">
        <v>1212</v>
      </c>
      <c r="G1764" s="549">
        <v>462</v>
      </c>
      <c r="H1764" s="549" t="s">
        <v>529</v>
      </c>
      <c r="I1764" s="549" t="s">
        <v>976</v>
      </c>
      <c r="J1764" s="549" t="s">
        <v>976</v>
      </c>
      <c r="K1764" s="549" t="s">
        <v>976</v>
      </c>
      <c r="L1764" s="549">
        <v>421195.34</v>
      </c>
      <c r="M1764" s="549">
        <v>31800.25</v>
      </c>
      <c r="N1764" s="549">
        <v>9308.42</v>
      </c>
      <c r="O1764" s="549">
        <v>1785.6</v>
      </c>
      <c r="P1764" s="549">
        <v>1.59</v>
      </c>
      <c r="Q1764" s="549">
        <v>682.02</v>
      </c>
    </row>
    <row r="1765" spans="1:17" x14ac:dyDescent="0.25">
      <c r="A1765" s="549" t="s">
        <v>514</v>
      </c>
      <c r="B1765" s="549" t="s">
        <v>1032</v>
      </c>
      <c r="C1765" s="549" t="s">
        <v>529</v>
      </c>
      <c r="D1765" s="549" t="s">
        <v>1183</v>
      </c>
      <c r="E1765" s="549" t="s">
        <v>977</v>
      </c>
      <c r="F1765" s="549" t="s">
        <v>1212</v>
      </c>
      <c r="G1765" s="549">
        <v>522</v>
      </c>
      <c r="H1765" s="549" t="s">
        <v>529</v>
      </c>
      <c r="I1765" s="549" t="s">
        <v>976</v>
      </c>
      <c r="J1765" s="549" t="s">
        <v>976</v>
      </c>
      <c r="K1765" s="549" t="s">
        <v>976</v>
      </c>
      <c r="L1765" s="549">
        <v>421195.34</v>
      </c>
      <c r="M1765" s="549">
        <v>31800.25</v>
      </c>
      <c r="N1765" s="549">
        <v>9308.42</v>
      </c>
      <c r="O1765" s="549">
        <v>1785.6</v>
      </c>
      <c r="P1765" s="549">
        <v>1.59</v>
      </c>
      <c r="Q1765" s="549">
        <v>682.02</v>
      </c>
    </row>
    <row r="1766" spans="1:17" x14ac:dyDescent="0.25">
      <c r="A1766" s="549" t="s">
        <v>514</v>
      </c>
      <c r="B1766" s="549" t="s">
        <v>1032</v>
      </c>
      <c r="C1766" s="549" t="s">
        <v>513</v>
      </c>
      <c r="D1766" s="549" t="s">
        <v>456</v>
      </c>
      <c r="E1766" s="549" t="s">
        <v>973</v>
      </c>
      <c r="F1766" s="549" t="s">
        <v>1212</v>
      </c>
      <c r="G1766" s="549">
        <v>42</v>
      </c>
      <c r="H1766" s="549" t="s">
        <v>513</v>
      </c>
      <c r="I1766" s="549" t="s">
        <v>976</v>
      </c>
      <c r="J1766" s="549" t="s">
        <v>976</v>
      </c>
      <c r="K1766" s="549" t="s">
        <v>976</v>
      </c>
      <c r="L1766" s="549">
        <v>159529.99</v>
      </c>
      <c r="M1766" s="549">
        <v>12044.51</v>
      </c>
      <c r="N1766" s="549">
        <v>9157.02</v>
      </c>
      <c r="O1766" s="549">
        <v>892.8</v>
      </c>
      <c r="P1766" s="549">
        <v>100</v>
      </c>
      <c r="Q1766" s="549">
        <v>22094.33</v>
      </c>
    </row>
    <row r="1767" spans="1:17" x14ac:dyDescent="0.25">
      <c r="A1767" s="549" t="s">
        <v>514</v>
      </c>
      <c r="B1767" s="549" t="s">
        <v>1032</v>
      </c>
      <c r="C1767" s="549" t="s">
        <v>513</v>
      </c>
      <c r="D1767" s="549" t="s">
        <v>456</v>
      </c>
      <c r="E1767" s="549" t="s">
        <v>973</v>
      </c>
      <c r="F1767" s="549" t="s">
        <v>1212</v>
      </c>
      <c r="G1767" s="549">
        <v>52</v>
      </c>
      <c r="H1767" s="549" t="s">
        <v>513</v>
      </c>
      <c r="I1767" s="549" t="s">
        <v>976</v>
      </c>
      <c r="J1767" s="549" t="s">
        <v>976</v>
      </c>
      <c r="K1767" s="549" t="s">
        <v>976</v>
      </c>
      <c r="L1767" s="549">
        <v>159529.99</v>
      </c>
      <c r="M1767" s="549">
        <v>12044.51</v>
      </c>
      <c r="N1767" s="549">
        <v>9157.02</v>
      </c>
      <c r="O1767" s="549">
        <v>892.8</v>
      </c>
      <c r="P1767" s="549">
        <v>100</v>
      </c>
      <c r="Q1767" s="549">
        <v>22094.33</v>
      </c>
    </row>
    <row r="1768" spans="1:17" x14ac:dyDescent="0.25">
      <c r="A1768" s="549" t="s">
        <v>514</v>
      </c>
      <c r="B1768" s="549" t="s">
        <v>1032</v>
      </c>
      <c r="C1768" s="549" t="s">
        <v>513</v>
      </c>
      <c r="D1768" s="549" t="s">
        <v>456</v>
      </c>
      <c r="E1768" s="549" t="s">
        <v>973</v>
      </c>
      <c r="F1768" s="549" t="s">
        <v>1212</v>
      </c>
      <c r="G1768" s="549">
        <v>62</v>
      </c>
      <c r="H1768" s="549" t="s">
        <v>513</v>
      </c>
      <c r="I1768" s="549" t="s">
        <v>976</v>
      </c>
      <c r="J1768" s="549" t="s">
        <v>976</v>
      </c>
      <c r="K1768" s="549" t="s">
        <v>976</v>
      </c>
      <c r="L1768" s="549">
        <v>159529.99</v>
      </c>
      <c r="M1768" s="549">
        <v>12044.51</v>
      </c>
      <c r="N1768" s="549">
        <v>9157.02</v>
      </c>
      <c r="O1768" s="549">
        <v>892.8</v>
      </c>
      <c r="P1768" s="549">
        <v>100</v>
      </c>
      <c r="Q1768" s="549">
        <v>22094.33</v>
      </c>
    </row>
    <row r="1769" spans="1:17" x14ac:dyDescent="0.25">
      <c r="A1769" s="549" t="s">
        <v>514</v>
      </c>
      <c r="B1769" s="549" t="s">
        <v>1032</v>
      </c>
      <c r="C1769" s="549" t="s">
        <v>513</v>
      </c>
      <c r="D1769" s="549" t="s">
        <v>456</v>
      </c>
      <c r="E1769" s="549" t="s">
        <v>973</v>
      </c>
      <c r="F1769" s="549" t="s">
        <v>1212</v>
      </c>
      <c r="G1769" s="549">
        <v>72</v>
      </c>
      <c r="H1769" s="549" t="s">
        <v>513</v>
      </c>
      <c r="I1769" s="549" t="s">
        <v>976</v>
      </c>
      <c r="J1769" s="549" t="s">
        <v>976</v>
      </c>
      <c r="K1769" s="549" t="s">
        <v>976</v>
      </c>
      <c r="L1769" s="549">
        <v>159529.99</v>
      </c>
      <c r="M1769" s="549">
        <v>12044.51</v>
      </c>
      <c r="N1769" s="549">
        <v>9157.02</v>
      </c>
      <c r="O1769" s="549">
        <v>892.8</v>
      </c>
      <c r="P1769" s="549">
        <v>100</v>
      </c>
      <c r="Q1769" s="549">
        <v>22094.33</v>
      </c>
    </row>
    <row r="1770" spans="1:17" x14ac:dyDescent="0.25">
      <c r="A1770" s="549" t="s">
        <v>514</v>
      </c>
      <c r="B1770" s="549" t="s">
        <v>1032</v>
      </c>
      <c r="C1770" s="549" t="s">
        <v>513</v>
      </c>
      <c r="D1770" s="549" t="s">
        <v>456</v>
      </c>
      <c r="E1770" s="549" t="s">
        <v>973</v>
      </c>
      <c r="F1770" s="549" t="s">
        <v>1212</v>
      </c>
      <c r="G1770" s="549">
        <v>82</v>
      </c>
      <c r="H1770" s="549" t="s">
        <v>513</v>
      </c>
      <c r="I1770" s="549" t="s">
        <v>976</v>
      </c>
      <c r="J1770" s="549" t="s">
        <v>976</v>
      </c>
      <c r="K1770" s="549" t="s">
        <v>976</v>
      </c>
      <c r="L1770" s="549">
        <v>159529.99</v>
      </c>
      <c r="M1770" s="549">
        <v>12044.51</v>
      </c>
      <c r="N1770" s="549">
        <v>9157.02</v>
      </c>
      <c r="O1770" s="549">
        <v>892.8</v>
      </c>
      <c r="P1770" s="549">
        <v>100</v>
      </c>
      <c r="Q1770" s="549">
        <v>22094.33</v>
      </c>
    </row>
    <row r="1771" spans="1:17" x14ac:dyDescent="0.25">
      <c r="A1771" s="549" t="s">
        <v>514</v>
      </c>
      <c r="B1771" s="549" t="s">
        <v>1032</v>
      </c>
      <c r="C1771" s="549" t="s">
        <v>513</v>
      </c>
      <c r="D1771" s="549" t="s">
        <v>456</v>
      </c>
      <c r="E1771" s="549" t="s">
        <v>973</v>
      </c>
      <c r="F1771" s="549" t="s">
        <v>1212</v>
      </c>
      <c r="G1771" s="549">
        <v>92</v>
      </c>
      <c r="H1771" s="549" t="s">
        <v>513</v>
      </c>
      <c r="I1771" s="549" t="s">
        <v>976</v>
      </c>
      <c r="J1771" s="549" t="s">
        <v>976</v>
      </c>
      <c r="K1771" s="549" t="s">
        <v>976</v>
      </c>
      <c r="L1771" s="549">
        <v>159529.99</v>
      </c>
      <c r="M1771" s="549">
        <v>12044.51</v>
      </c>
      <c r="N1771" s="549">
        <v>9157.02</v>
      </c>
      <c r="O1771" s="549">
        <v>892.8</v>
      </c>
      <c r="P1771" s="549">
        <v>100</v>
      </c>
      <c r="Q1771" s="549">
        <v>22094.33</v>
      </c>
    </row>
    <row r="1772" spans="1:17" x14ac:dyDescent="0.25">
      <c r="A1772" s="549" t="s">
        <v>514</v>
      </c>
      <c r="B1772" s="549" t="s">
        <v>1032</v>
      </c>
      <c r="C1772" s="549" t="s">
        <v>513</v>
      </c>
      <c r="D1772" s="549" t="s">
        <v>456</v>
      </c>
      <c r="E1772" s="549" t="s">
        <v>973</v>
      </c>
      <c r="F1772" s="549" t="s">
        <v>1212</v>
      </c>
      <c r="G1772" s="549">
        <v>102</v>
      </c>
      <c r="H1772" s="549" t="s">
        <v>513</v>
      </c>
      <c r="I1772" s="549" t="s">
        <v>976</v>
      </c>
      <c r="J1772" s="549" t="s">
        <v>976</v>
      </c>
      <c r="K1772" s="549" t="s">
        <v>976</v>
      </c>
      <c r="L1772" s="549">
        <v>159529.99</v>
      </c>
      <c r="M1772" s="549">
        <v>12044.51</v>
      </c>
      <c r="N1772" s="549">
        <v>9157.02</v>
      </c>
      <c r="O1772" s="549">
        <v>892.8</v>
      </c>
      <c r="P1772" s="549">
        <v>100</v>
      </c>
      <c r="Q1772" s="549">
        <v>22094.33</v>
      </c>
    </row>
    <row r="1773" spans="1:17" x14ac:dyDescent="0.25">
      <c r="A1773" s="549" t="s">
        <v>514</v>
      </c>
      <c r="B1773" s="549" t="s">
        <v>1032</v>
      </c>
      <c r="C1773" s="549" t="s">
        <v>513</v>
      </c>
      <c r="D1773" s="549" t="s">
        <v>456</v>
      </c>
      <c r="E1773" s="549" t="s">
        <v>973</v>
      </c>
      <c r="F1773" s="549" t="s">
        <v>1212</v>
      </c>
      <c r="G1773" s="549">
        <v>202</v>
      </c>
      <c r="H1773" s="549" t="s">
        <v>513</v>
      </c>
      <c r="I1773" s="549" t="s">
        <v>976</v>
      </c>
      <c r="J1773" s="549" t="s">
        <v>976</v>
      </c>
      <c r="K1773" s="549" t="s">
        <v>976</v>
      </c>
      <c r="L1773" s="549">
        <v>892972.4</v>
      </c>
      <c r="M1773" s="549">
        <v>67419.42</v>
      </c>
      <c r="N1773" s="549">
        <v>51256.62</v>
      </c>
      <c r="O1773" s="549">
        <v>3968</v>
      </c>
      <c r="P1773" s="549">
        <v>100</v>
      </c>
      <c r="Q1773" s="549">
        <v>122644.04</v>
      </c>
    </row>
    <row r="1774" spans="1:17" x14ac:dyDescent="0.25">
      <c r="A1774" s="549" t="s">
        <v>514</v>
      </c>
      <c r="B1774" s="549" t="s">
        <v>1032</v>
      </c>
      <c r="C1774" s="549" t="s">
        <v>513</v>
      </c>
      <c r="D1774" s="549" t="s">
        <v>456</v>
      </c>
      <c r="E1774" s="549" t="s">
        <v>973</v>
      </c>
      <c r="F1774" s="549" t="s">
        <v>1212</v>
      </c>
      <c r="G1774" s="549">
        <v>222</v>
      </c>
      <c r="H1774" s="549" t="s">
        <v>513</v>
      </c>
      <c r="I1774" s="549" t="s">
        <v>976</v>
      </c>
      <c r="J1774" s="549" t="s">
        <v>976</v>
      </c>
      <c r="K1774" s="549" t="s">
        <v>976</v>
      </c>
      <c r="L1774" s="549">
        <v>892972.4</v>
      </c>
      <c r="M1774" s="549">
        <v>67419.42</v>
      </c>
      <c r="N1774" s="549">
        <v>51256.62</v>
      </c>
      <c r="O1774" s="549">
        <v>3968</v>
      </c>
      <c r="P1774" s="549">
        <v>100</v>
      </c>
      <c r="Q1774" s="549">
        <v>122644.04</v>
      </c>
    </row>
    <row r="1775" spans="1:17" x14ac:dyDescent="0.25">
      <c r="A1775" s="549" t="s">
        <v>514</v>
      </c>
      <c r="B1775" s="549" t="s">
        <v>1032</v>
      </c>
      <c r="C1775" s="549" t="s">
        <v>513</v>
      </c>
      <c r="D1775" s="549" t="s">
        <v>456</v>
      </c>
      <c r="E1775" s="549" t="s">
        <v>973</v>
      </c>
      <c r="F1775" s="549" t="s">
        <v>1212</v>
      </c>
      <c r="G1775" s="549">
        <v>238</v>
      </c>
      <c r="H1775" s="549" t="s">
        <v>513</v>
      </c>
      <c r="I1775" s="549" t="s">
        <v>976</v>
      </c>
      <c r="J1775" s="549" t="s">
        <v>976</v>
      </c>
      <c r="K1775" s="549" t="s">
        <v>976</v>
      </c>
      <c r="L1775" s="549">
        <v>447039.54</v>
      </c>
      <c r="M1775" s="549">
        <v>33751.49</v>
      </c>
      <c r="N1775" s="549">
        <v>25660.07</v>
      </c>
      <c r="O1775" s="549">
        <v>2976</v>
      </c>
      <c r="P1775" s="549">
        <v>100</v>
      </c>
      <c r="Q1775" s="549">
        <v>62387.56</v>
      </c>
    </row>
    <row r="1776" spans="1:17" x14ac:dyDescent="0.25">
      <c r="A1776" s="549" t="s">
        <v>514</v>
      </c>
      <c r="B1776" s="549" t="s">
        <v>1032</v>
      </c>
      <c r="C1776" s="549" t="s">
        <v>513</v>
      </c>
      <c r="D1776" s="549" t="s">
        <v>456</v>
      </c>
      <c r="E1776" s="549" t="s">
        <v>973</v>
      </c>
      <c r="F1776" s="549" t="s">
        <v>1212</v>
      </c>
      <c r="G1776" s="549">
        <v>252</v>
      </c>
      <c r="H1776" s="549" t="s">
        <v>513</v>
      </c>
      <c r="I1776" s="549" t="s">
        <v>976</v>
      </c>
      <c r="J1776" s="549" t="s">
        <v>976</v>
      </c>
      <c r="K1776" s="549" t="s">
        <v>976</v>
      </c>
      <c r="L1776" s="549">
        <v>892972.4</v>
      </c>
      <c r="M1776" s="549">
        <v>67419.42</v>
      </c>
      <c r="N1776" s="549">
        <v>51256.62</v>
      </c>
      <c r="O1776" s="549">
        <v>3968</v>
      </c>
      <c r="P1776" s="549">
        <v>100</v>
      </c>
      <c r="Q1776" s="549">
        <v>122644.04</v>
      </c>
    </row>
    <row r="1777" spans="1:17" x14ac:dyDescent="0.25">
      <c r="A1777" s="549" t="s">
        <v>514</v>
      </c>
      <c r="B1777" s="549" t="s">
        <v>1032</v>
      </c>
      <c r="C1777" s="549" t="s">
        <v>513</v>
      </c>
      <c r="D1777" s="549" t="s">
        <v>456</v>
      </c>
      <c r="E1777" s="549" t="s">
        <v>973</v>
      </c>
      <c r="F1777" s="549" t="s">
        <v>1212</v>
      </c>
      <c r="G1777" s="549">
        <v>272</v>
      </c>
      <c r="H1777" s="549" t="s">
        <v>513</v>
      </c>
      <c r="I1777" s="549" t="s">
        <v>976</v>
      </c>
      <c r="J1777" s="549" t="s">
        <v>976</v>
      </c>
      <c r="K1777" s="549" t="s">
        <v>976</v>
      </c>
      <c r="L1777" s="549">
        <v>892972.4</v>
      </c>
      <c r="M1777" s="549">
        <v>67419.42</v>
      </c>
      <c r="N1777" s="549">
        <v>51256.62</v>
      </c>
      <c r="O1777" s="549">
        <v>3968</v>
      </c>
      <c r="P1777" s="549">
        <v>100</v>
      </c>
      <c r="Q1777" s="549">
        <v>122644.04</v>
      </c>
    </row>
    <row r="1778" spans="1:17" x14ac:dyDescent="0.25">
      <c r="A1778" s="549" t="s">
        <v>514</v>
      </c>
      <c r="B1778" s="549" t="s">
        <v>1032</v>
      </c>
      <c r="C1778" s="549" t="s">
        <v>513</v>
      </c>
      <c r="D1778" s="549" t="s">
        <v>456</v>
      </c>
      <c r="E1778" s="549" t="s">
        <v>973</v>
      </c>
      <c r="F1778" s="549" t="s">
        <v>1212</v>
      </c>
      <c r="G1778" s="549" t="s">
        <v>1346</v>
      </c>
      <c r="H1778" s="549" t="s">
        <v>513</v>
      </c>
      <c r="I1778" s="549" t="s">
        <v>976</v>
      </c>
      <c r="J1778" s="549" t="s">
        <v>976</v>
      </c>
      <c r="K1778" s="549" t="s">
        <v>976</v>
      </c>
      <c r="L1778" s="549">
        <v>0.02</v>
      </c>
      <c r="M1778" s="549">
        <v>0</v>
      </c>
      <c r="N1778" s="549">
        <v>0</v>
      </c>
      <c r="O1778" s="549">
        <v>0</v>
      </c>
      <c r="P1778" s="549">
        <v>100</v>
      </c>
      <c r="Q1778" s="549">
        <v>0</v>
      </c>
    </row>
    <row r="1779" spans="1:17" x14ac:dyDescent="0.25">
      <c r="A1779" s="549" t="s">
        <v>514</v>
      </c>
      <c r="B1779" s="549" t="s">
        <v>1032</v>
      </c>
      <c r="C1779" s="549" t="s">
        <v>513</v>
      </c>
      <c r="D1779" s="549" t="s">
        <v>456</v>
      </c>
      <c r="E1779" s="549" t="s">
        <v>973</v>
      </c>
      <c r="F1779" s="549" t="s">
        <v>1212</v>
      </c>
      <c r="G1779" s="549" t="s">
        <v>1347</v>
      </c>
      <c r="H1779" s="549" t="s">
        <v>513</v>
      </c>
      <c r="I1779" s="549" t="s">
        <v>976</v>
      </c>
      <c r="J1779" s="549" t="s">
        <v>976</v>
      </c>
      <c r="K1779" s="549" t="s">
        <v>976</v>
      </c>
      <c r="L1779" s="549">
        <v>0.02</v>
      </c>
      <c r="M1779" s="549">
        <v>0</v>
      </c>
      <c r="N1779" s="549">
        <v>0</v>
      </c>
      <c r="O1779" s="549">
        <v>0</v>
      </c>
      <c r="P1779" s="549">
        <v>100</v>
      </c>
      <c r="Q1779" s="549">
        <v>0</v>
      </c>
    </row>
    <row r="1780" spans="1:17" x14ac:dyDescent="0.25">
      <c r="A1780" s="549" t="s">
        <v>514</v>
      </c>
      <c r="B1780" s="549" t="s">
        <v>1032</v>
      </c>
      <c r="C1780" s="549" t="s">
        <v>513</v>
      </c>
      <c r="D1780" s="549" t="s">
        <v>456</v>
      </c>
      <c r="E1780" s="549" t="s">
        <v>973</v>
      </c>
      <c r="F1780" s="549" t="s">
        <v>1212</v>
      </c>
      <c r="G1780" s="549" t="s">
        <v>1348</v>
      </c>
      <c r="H1780" s="549" t="s">
        <v>513</v>
      </c>
      <c r="I1780" s="549" t="s">
        <v>976</v>
      </c>
      <c r="J1780" s="549" t="s">
        <v>976</v>
      </c>
      <c r="K1780" s="549" t="s">
        <v>976</v>
      </c>
      <c r="L1780" s="549">
        <v>0.02</v>
      </c>
      <c r="M1780" s="549">
        <v>0</v>
      </c>
      <c r="N1780" s="549">
        <v>0</v>
      </c>
      <c r="O1780" s="549">
        <v>0</v>
      </c>
      <c r="P1780" s="549">
        <v>100</v>
      </c>
      <c r="Q1780" s="549">
        <v>0</v>
      </c>
    </row>
    <row r="1781" spans="1:17" x14ac:dyDescent="0.25">
      <c r="A1781" s="549" t="s">
        <v>514</v>
      </c>
      <c r="B1781" s="549" t="s">
        <v>1032</v>
      </c>
      <c r="C1781" s="549" t="s">
        <v>513</v>
      </c>
      <c r="D1781" s="549" t="s">
        <v>456</v>
      </c>
      <c r="E1781" s="549" t="s">
        <v>973</v>
      </c>
      <c r="F1781" s="549" t="s">
        <v>1212</v>
      </c>
      <c r="G1781" s="549" t="s">
        <v>1349</v>
      </c>
      <c r="H1781" s="549" t="s">
        <v>513</v>
      </c>
      <c r="I1781" s="549" t="s">
        <v>976</v>
      </c>
      <c r="J1781" s="549" t="s">
        <v>976</v>
      </c>
      <c r="K1781" s="549" t="s">
        <v>976</v>
      </c>
      <c r="L1781" s="549">
        <v>0.02</v>
      </c>
      <c r="M1781" s="549">
        <v>0</v>
      </c>
      <c r="N1781" s="549">
        <v>0</v>
      </c>
      <c r="O1781" s="549">
        <v>0</v>
      </c>
      <c r="P1781" s="549">
        <v>100</v>
      </c>
      <c r="Q1781" s="549">
        <v>0</v>
      </c>
    </row>
    <row r="1782" spans="1:17" x14ac:dyDescent="0.25">
      <c r="A1782" s="549" t="s">
        <v>514</v>
      </c>
      <c r="B1782" s="549" t="s">
        <v>1032</v>
      </c>
      <c r="C1782" s="549" t="s">
        <v>513</v>
      </c>
      <c r="D1782" s="549" t="s">
        <v>456</v>
      </c>
      <c r="E1782" s="549" t="s">
        <v>973</v>
      </c>
      <c r="F1782" s="549" t="s">
        <v>1212</v>
      </c>
      <c r="G1782" s="549">
        <v>612</v>
      </c>
      <c r="H1782" s="549" t="s">
        <v>792</v>
      </c>
      <c r="I1782" s="549" t="s">
        <v>976</v>
      </c>
      <c r="J1782" s="549" t="s">
        <v>976</v>
      </c>
      <c r="K1782" s="549" t="s">
        <v>976</v>
      </c>
      <c r="L1782" s="549">
        <v>1053162.69</v>
      </c>
      <c r="M1782" s="549">
        <v>79513.78</v>
      </c>
      <c r="N1782" s="549">
        <v>60451.54</v>
      </c>
      <c r="O1782" s="549">
        <v>4960</v>
      </c>
      <c r="P1782" s="549">
        <v>100</v>
      </c>
      <c r="Q1782" s="549">
        <v>144925.32</v>
      </c>
    </row>
    <row r="1783" spans="1:17" x14ac:dyDescent="0.25">
      <c r="A1783" s="549" t="s">
        <v>514</v>
      </c>
      <c r="B1783" s="549" t="s">
        <v>1032</v>
      </c>
      <c r="C1783" s="549" t="s">
        <v>513</v>
      </c>
      <c r="D1783" s="549" t="s">
        <v>456</v>
      </c>
      <c r="E1783" s="549" t="s">
        <v>973</v>
      </c>
      <c r="F1783" s="549" t="s">
        <v>1212</v>
      </c>
      <c r="G1783" s="549">
        <v>762</v>
      </c>
      <c r="H1783" s="549" t="s">
        <v>792</v>
      </c>
      <c r="I1783" s="549" t="s">
        <v>976</v>
      </c>
      <c r="J1783" s="549" t="s">
        <v>976</v>
      </c>
      <c r="K1783" s="549" t="s">
        <v>976</v>
      </c>
      <c r="L1783" s="549">
        <v>1053162.69</v>
      </c>
      <c r="M1783" s="549">
        <v>79513.78</v>
      </c>
      <c r="N1783" s="549">
        <v>60451.54</v>
      </c>
      <c r="O1783" s="549">
        <v>4960</v>
      </c>
      <c r="P1783" s="549">
        <v>100</v>
      </c>
      <c r="Q1783" s="549">
        <v>144925.32</v>
      </c>
    </row>
    <row r="1784" spans="1:17" x14ac:dyDescent="0.25">
      <c r="A1784" s="549" t="s">
        <v>514</v>
      </c>
      <c r="B1784" s="549" t="s">
        <v>1032</v>
      </c>
      <c r="C1784" s="549" t="s">
        <v>513</v>
      </c>
      <c r="D1784" s="549" t="s">
        <v>456</v>
      </c>
      <c r="E1784" s="549" t="s">
        <v>973</v>
      </c>
      <c r="F1784" s="549" t="s">
        <v>1212</v>
      </c>
      <c r="G1784" s="549">
        <v>802</v>
      </c>
      <c r="H1784" s="549" t="s">
        <v>792</v>
      </c>
      <c r="I1784" s="549" t="s">
        <v>976</v>
      </c>
      <c r="J1784" s="549" t="s">
        <v>976</v>
      </c>
      <c r="K1784" s="549" t="s">
        <v>976</v>
      </c>
      <c r="L1784" s="549">
        <v>1053162.69</v>
      </c>
      <c r="M1784" s="549">
        <v>79513.78</v>
      </c>
      <c r="N1784" s="549">
        <v>60451.54</v>
      </c>
      <c r="O1784" s="549">
        <v>4960</v>
      </c>
      <c r="P1784" s="549">
        <v>100</v>
      </c>
      <c r="Q1784" s="549">
        <v>144925.32</v>
      </c>
    </row>
    <row r="1785" spans="1:17" x14ac:dyDescent="0.25">
      <c r="A1785" s="549" t="s">
        <v>514</v>
      </c>
      <c r="B1785" s="549" t="s">
        <v>1032</v>
      </c>
      <c r="C1785" s="549" t="s">
        <v>513</v>
      </c>
      <c r="D1785" s="549" t="s">
        <v>456</v>
      </c>
      <c r="E1785" s="549" t="s">
        <v>973</v>
      </c>
      <c r="F1785" s="549" t="s">
        <v>1212</v>
      </c>
      <c r="G1785" s="549" t="s">
        <v>1297</v>
      </c>
      <c r="H1785" s="549" t="s">
        <v>792</v>
      </c>
      <c r="I1785" s="549" t="s">
        <v>976</v>
      </c>
      <c r="J1785" s="549" t="s">
        <v>976</v>
      </c>
      <c r="K1785" s="549" t="s">
        <v>976</v>
      </c>
      <c r="L1785" s="549">
        <v>0.02</v>
      </c>
      <c r="M1785" s="549">
        <v>0</v>
      </c>
      <c r="N1785" s="549">
        <v>0</v>
      </c>
      <c r="O1785" s="549">
        <v>0</v>
      </c>
      <c r="P1785" s="549">
        <v>100</v>
      </c>
      <c r="Q1785" s="549">
        <v>0</v>
      </c>
    </row>
    <row r="1786" spans="1:17" x14ac:dyDescent="0.25">
      <c r="A1786" s="549" t="s">
        <v>514</v>
      </c>
      <c r="B1786" s="549" t="s">
        <v>1032</v>
      </c>
      <c r="C1786" s="549" t="s">
        <v>513</v>
      </c>
      <c r="D1786" s="549" t="s">
        <v>456</v>
      </c>
      <c r="E1786" s="549" t="s">
        <v>973</v>
      </c>
      <c r="F1786" s="549" t="s">
        <v>1212</v>
      </c>
      <c r="G1786" s="549" t="s">
        <v>1350</v>
      </c>
      <c r="H1786" s="549" t="s">
        <v>792</v>
      </c>
      <c r="I1786" s="549" t="s">
        <v>976</v>
      </c>
      <c r="J1786" s="549" t="s">
        <v>976</v>
      </c>
      <c r="K1786" s="549" t="s">
        <v>976</v>
      </c>
      <c r="L1786" s="549">
        <v>0.02</v>
      </c>
      <c r="M1786" s="549">
        <v>0</v>
      </c>
      <c r="N1786" s="549">
        <v>0</v>
      </c>
      <c r="O1786" s="549">
        <v>0</v>
      </c>
      <c r="P1786" s="549">
        <v>100</v>
      </c>
      <c r="Q1786" s="549">
        <v>0</v>
      </c>
    </row>
    <row r="1787" spans="1:17" x14ac:dyDescent="0.25">
      <c r="A1787" s="549" t="s">
        <v>514</v>
      </c>
      <c r="B1787" s="549" t="s">
        <v>1032</v>
      </c>
      <c r="C1787" s="549" t="s">
        <v>513</v>
      </c>
      <c r="D1787" s="549" t="s">
        <v>456</v>
      </c>
      <c r="E1787" s="549" t="s">
        <v>973</v>
      </c>
      <c r="F1787" s="549" t="s">
        <v>1212</v>
      </c>
      <c r="G1787" s="549" t="s">
        <v>1252</v>
      </c>
      <c r="H1787" s="549" t="s">
        <v>792</v>
      </c>
      <c r="I1787" s="549" t="s">
        <v>976</v>
      </c>
      <c r="J1787" s="549" t="s">
        <v>976</v>
      </c>
      <c r="K1787" s="549" t="s">
        <v>976</v>
      </c>
      <c r="L1787" s="549">
        <v>0.02</v>
      </c>
      <c r="M1787" s="549">
        <v>0</v>
      </c>
      <c r="N1787" s="549">
        <v>0</v>
      </c>
      <c r="O1787" s="549">
        <v>0</v>
      </c>
      <c r="P1787" s="549">
        <v>100</v>
      </c>
      <c r="Q1787" s="549">
        <v>0</v>
      </c>
    </row>
    <row r="1788" spans="1:17" x14ac:dyDescent="0.25">
      <c r="A1788" s="549" t="s">
        <v>514</v>
      </c>
      <c r="B1788" s="549" t="s">
        <v>1032</v>
      </c>
      <c r="C1788" s="549" t="s">
        <v>513</v>
      </c>
      <c r="D1788" s="549" t="s">
        <v>456</v>
      </c>
      <c r="E1788" s="549" t="s">
        <v>977</v>
      </c>
      <c r="F1788" s="549" t="s">
        <v>1212</v>
      </c>
      <c r="G1788" s="549">
        <v>42</v>
      </c>
      <c r="H1788" s="549" t="s">
        <v>513</v>
      </c>
      <c r="I1788" s="549" t="s">
        <v>976</v>
      </c>
      <c r="J1788" s="549" t="s">
        <v>976</v>
      </c>
      <c r="K1788" s="549" t="s">
        <v>976</v>
      </c>
      <c r="L1788" s="549">
        <v>159529.99</v>
      </c>
      <c r="M1788" s="549">
        <v>12044.51</v>
      </c>
      <c r="N1788" s="549">
        <v>3525.61</v>
      </c>
      <c r="O1788" s="549">
        <v>892.8</v>
      </c>
      <c r="P1788" s="549">
        <v>0</v>
      </c>
      <c r="Q1788" s="549">
        <v>0</v>
      </c>
    </row>
    <row r="1789" spans="1:17" x14ac:dyDescent="0.25">
      <c r="A1789" s="549" t="s">
        <v>514</v>
      </c>
      <c r="B1789" s="549" t="s">
        <v>1032</v>
      </c>
      <c r="C1789" s="549" t="s">
        <v>513</v>
      </c>
      <c r="D1789" s="549" t="s">
        <v>456</v>
      </c>
      <c r="E1789" s="549" t="s">
        <v>977</v>
      </c>
      <c r="F1789" s="549" t="s">
        <v>1212</v>
      </c>
      <c r="G1789" s="549">
        <v>52</v>
      </c>
      <c r="H1789" s="549" t="s">
        <v>513</v>
      </c>
      <c r="I1789" s="549" t="s">
        <v>976</v>
      </c>
      <c r="J1789" s="549" t="s">
        <v>976</v>
      </c>
      <c r="K1789" s="549" t="s">
        <v>976</v>
      </c>
      <c r="L1789" s="549">
        <v>159529.99</v>
      </c>
      <c r="M1789" s="549">
        <v>12044.51</v>
      </c>
      <c r="N1789" s="549">
        <v>3525.61</v>
      </c>
      <c r="O1789" s="549">
        <v>892.8</v>
      </c>
      <c r="P1789" s="549">
        <v>0</v>
      </c>
      <c r="Q1789" s="549">
        <v>0</v>
      </c>
    </row>
    <row r="1790" spans="1:17" x14ac:dyDescent="0.25">
      <c r="A1790" s="549" t="s">
        <v>514</v>
      </c>
      <c r="B1790" s="549" t="s">
        <v>1032</v>
      </c>
      <c r="C1790" s="549" t="s">
        <v>513</v>
      </c>
      <c r="D1790" s="549" t="s">
        <v>456</v>
      </c>
      <c r="E1790" s="549" t="s">
        <v>977</v>
      </c>
      <c r="F1790" s="549" t="s">
        <v>1212</v>
      </c>
      <c r="G1790" s="549">
        <v>62</v>
      </c>
      <c r="H1790" s="549" t="s">
        <v>513</v>
      </c>
      <c r="I1790" s="549" t="s">
        <v>976</v>
      </c>
      <c r="J1790" s="549" t="s">
        <v>976</v>
      </c>
      <c r="K1790" s="549" t="s">
        <v>976</v>
      </c>
      <c r="L1790" s="549">
        <v>159529.99</v>
      </c>
      <c r="M1790" s="549">
        <v>12044.51</v>
      </c>
      <c r="N1790" s="549">
        <v>3525.61</v>
      </c>
      <c r="O1790" s="549">
        <v>892.8</v>
      </c>
      <c r="P1790" s="549">
        <v>0</v>
      </c>
      <c r="Q1790" s="549">
        <v>0</v>
      </c>
    </row>
    <row r="1791" spans="1:17" x14ac:dyDescent="0.25">
      <c r="A1791" s="549" t="s">
        <v>514</v>
      </c>
      <c r="B1791" s="549" t="s">
        <v>1032</v>
      </c>
      <c r="C1791" s="549" t="s">
        <v>513</v>
      </c>
      <c r="D1791" s="549" t="s">
        <v>456</v>
      </c>
      <c r="E1791" s="549" t="s">
        <v>977</v>
      </c>
      <c r="F1791" s="549" t="s">
        <v>1212</v>
      </c>
      <c r="G1791" s="549">
        <v>72</v>
      </c>
      <c r="H1791" s="549" t="s">
        <v>513</v>
      </c>
      <c r="I1791" s="549" t="s">
        <v>976</v>
      </c>
      <c r="J1791" s="549" t="s">
        <v>976</v>
      </c>
      <c r="K1791" s="549" t="s">
        <v>976</v>
      </c>
      <c r="L1791" s="549">
        <v>159529.99</v>
      </c>
      <c r="M1791" s="549">
        <v>12044.51</v>
      </c>
      <c r="N1791" s="549">
        <v>3525.61</v>
      </c>
      <c r="O1791" s="549">
        <v>892.8</v>
      </c>
      <c r="P1791" s="549">
        <v>0</v>
      </c>
      <c r="Q1791" s="549">
        <v>0</v>
      </c>
    </row>
    <row r="1792" spans="1:17" x14ac:dyDescent="0.25">
      <c r="A1792" s="549" t="s">
        <v>514</v>
      </c>
      <c r="B1792" s="549" t="s">
        <v>1032</v>
      </c>
      <c r="C1792" s="549" t="s">
        <v>513</v>
      </c>
      <c r="D1792" s="549" t="s">
        <v>456</v>
      </c>
      <c r="E1792" s="549" t="s">
        <v>977</v>
      </c>
      <c r="F1792" s="549" t="s">
        <v>1212</v>
      </c>
      <c r="G1792" s="549">
        <v>82</v>
      </c>
      <c r="H1792" s="549" t="s">
        <v>513</v>
      </c>
      <c r="I1792" s="549" t="s">
        <v>976</v>
      </c>
      <c r="J1792" s="549" t="s">
        <v>976</v>
      </c>
      <c r="K1792" s="549" t="s">
        <v>976</v>
      </c>
      <c r="L1792" s="549">
        <v>159529.99</v>
      </c>
      <c r="M1792" s="549">
        <v>12044.51</v>
      </c>
      <c r="N1792" s="549">
        <v>3525.61</v>
      </c>
      <c r="O1792" s="549">
        <v>892.8</v>
      </c>
      <c r="P1792" s="549">
        <v>0</v>
      </c>
      <c r="Q1792" s="549">
        <v>0</v>
      </c>
    </row>
    <row r="1793" spans="1:17" x14ac:dyDescent="0.25">
      <c r="A1793" s="549" t="s">
        <v>514</v>
      </c>
      <c r="B1793" s="549" t="s">
        <v>1032</v>
      </c>
      <c r="C1793" s="549" t="s">
        <v>513</v>
      </c>
      <c r="D1793" s="549" t="s">
        <v>456</v>
      </c>
      <c r="E1793" s="549" t="s">
        <v>977</v>
      </c>
      <c r="F1793" s="549" t="s">
        <v>1212</v>
      </c>
      <c r="G1793" s="549">
        <v>92</v>
      </c>
      <c r="H1793" s="549" t="s">
        <v>513</v>
      </c>
      <c r="I1793" s="549" t="s">
        <v>976</v>
      </c>
      <c r="J1793" s="549" t="s">
        <v>976</v>
      </c>
      <c r="K1793" s="549" t="s">
        <v>976</v>
      </c>
      <c r="L1793" s="549">
        <v>159529.99</v>
      </c>
      <c r="M1793" s="549">
        <v>12044.51</v>
      </c>
      <c r="N1793" s="549">
        <v>3525.61</v>
      </c>
      <c r="O1793" s="549">
        <v>892.8</v>
      </c>
      <c r="P1793" s="549">
        <v>0</v>
      </c>
      <c r="Q1793" s="549">
        <v>0</v>
      </c>
    </row>
    <row r="1794" spans="1:17" x14ac:dyDescent="0.25">
      <c r="A1794" s="549" t="s">
        <v>514</v>
      </c>
      <c r="B1794" s="549" t="s">
        <v>1032</v>
      </c>
      <c r="C1794" s="549" t="s">
        <v>513</v>
      </c>
      <c r="D1794" s="549" t="s">
        <v>456</v>
      </c>
      <c r="E1794" s="549" t="s">
        <v>977</v>
      </c>
      <c r="F1794" s="549" t="s">
        <v>1212</v>
      </c>
      <c r="G1794" s="549">
        <v>102</v>
      </c>
      <c r="H1794" s="549" t="s">
        <v>513</v>
      </c>
      <c r="I1794" s="549" t="s">
        <v>976</v>
      </c>
      <c r="J1794" s="549" t="s">
        <v>976</v>
      </c>
      <c r="K1794" s="549" t="s">
        <v>976</v>
      </c>
      <c r="L1794" s="549">
        <v>159529.99</v>
      </c>
      <c r="M1794" s="549">
        <v>12044.51</v>
      </c>
      <c r="N1794" s="549">
        <v>3525.61</v>
      </c>
      <c r="O1794" s="549">
        <v>892.8</v>
      </c>
      <c r="P1794" s="549">
        <v>0</v>
      </c>
      <c r="Q1794" s="549">
        <v>0</v>
      </c>
    </row>
    <row r="1795" spans="1:17" x14ac:dyDescent="0.25">
      <c r="A1795" s="549" t="s">
        <v>514</v>
      </c>
      <c r="B1795" s="549" t="s">
        <v>1032</v>
      </c>
      <c r="C1795" s="549" t="s">
        <v>513</v>
      </c>
      <c r="D1795" s="549" t="s">
        <v>456</v>
      </c>
      <c r="E1795" s="549" t="s">
        <v>977</v>
      </c>
      <c r="F1795" s="549" t="s">
        <v>1212</v>
      </c>
      <c r="G1795" s="549">
        <v>202</v>
      </c>
      <c r="H1795" s="549" t="s">
        <v>513</v>
      </c>
      <c r="I1795" s="549" t="s">
        <v>976</v>
      </c>
      <c r="J1795" s="549" t="s">
        <v>976</v>
      </c>
      <c r="K1795" s="549" t="s">
        <v>976</v>
      </c>
      <c r="L1795" s="549">
        <v>892972.4</v>
      </c>
      <c r="M1795" s="549">
        <v>67419.42</v>
      </c>
      <c r="N1795" s="549">
        <v>19734.689999999999</v>
      </c>
      <c r="O1795" s="549">
        <v>3968</v>
      </c>
      <c r="P1795" s="549">
        <v>0</v>
      </c>
      <c r="Q1795" s="549">
        <v>0</v>
      </c>
    </row>
    <row r="1796" spans="1:17" x14ac:dyDescent="0.25">
      <c r="A1796" s="549" t="s">
        <v>514</v>
      </c>
      <c r="B1796" s="549" t="s">
        <v>1032</v>
      </c>
      <c r="C1796" s="549" t="s">
        <v>513</v>
      </c>
      <c r="D1796" s="549" t="s">
        <v>456</v>
      </c>
      <c r="E1796" s="549" t="s">
        <v>977</v>
      </c>
      <c r="F1796" s="549" t="s">
        <v>1212</v>
      </c>
      <c r="G1796" s="549">
        <v>212</v>
      </c>
      <c r="H1796" s="549" t="s">
        <v>513</v>
      </c>
      <c r="I1796" s="549" t="s">
        <v>976</v>
      </c>
      <c r="J1796" s="549" t="s">
        <v>976</v>
      </c>
      <c r="K1796" s="549" t="s">
        <v>976</v>
      </c>
      <c r="L1796" s="549">
        <v>156154.21</v>
      </c>
      <c r="M1796" s="549">
        <v>11789.64</v>
      </c>
      <c r="N1796" s="549">
        <v>3451.01</v>
      </c>
      <c r="O1796" s="549">
        <v>892.8</v>
      </c>
      <c r="P1796" s="549">
        <v>100</v>
      </c>
      <c r="Q1796" s="549">
        <v>16133.45</v>
      </c>
    </row>
    <row r="1797" spans="1:17" x14ac:dyDescent="0.25">
      <c r="A1797" s="549" t="s">
        <v>514</v>
      </c>
      <c r="B1797" s="549" t="s">
        <v>1032</v>
      </c>
      <c r="C1797" s="549" t="s">
        <v>513</v>
      </c>
      <c r="D1797" s="549" t="s">
        <v>456</v>
      </c>
      <c r="E1797" s="549" t="s">
        <v>977</v>
      </c>
      <c r="F1797" s="549" t="s">
        <v>1212</v>
      </c>
      <c r="G1797" s="549">
        <v>222</v>
      </c>
      <c r="H1797" s="549" t="s">
        <v>513</v>
      </c>
      <c r="I1797" s="549" t="s">
        <v>976</v>
      </c>
      <c r="J1797" s="549" t="s">
        <v>976</v>
      </c>
      <c r="K1797" s="549" t="s">
        <v>976</v>
      </c>
      <c r="L1797" s="549">
        <v>892972.4</v>
      </c>
      <c r="M1797" s="549">
        <v>67419.42</v>
      </c>
      <c r="N1797" s="549">
        <v>19734.689999999999</v>
      </c>
      <c r="O1797" s="549">
        <v>3968</v>
      </c>
      <c r="P1797" s="549">
        <v>0</v>
      </c>
      <c r="Q1797" s="549">
        <v>0</v>
      </c>
    </row>
    <row r="1798" spans="1:17" x14ac:dyDescent="0.25">
      <c r="A1798" s="549" t="s">
        <v>514</v>
      </c>
      <c r="B1798" s="549" t="s">
        <v>1032</v>
      </c>
      <c r="C1798" s="549" t="s">
        <v>513</v>
      </c>
      <c r="D1798" s="549" t="s">
        <v>456</v>
      </c>
      <c r="E1798" s="549" t="s">
        <v>977</v>
      </c>
      <c r="F1798" s="549" t="s">
        <v>1212</v>
      </c>
      <c r="G1798" s="549">
        <v>238</v>
      </c>
      <c r="H1798" s="549" t="s">
        <v>513</v>
      </c>
      <c r="I1798" s="549" t="s">
        <v>976</v>
      </c>
      <c r="J1798" s="549" t="s">
        <v>976</v>
      </c>
      <c r="K1798" s="549" t="s">
        <v>976</v>
      </c>
      <c r="L1798" s="549">
        <v>447039.54</v>
      </c>
      <c r="M1798" s="549">
        <v>33751.49</v>
      </c>
      <c r="N1798" s="549">
        <v>9879.57</v>
      </c>
      <c r="O1798" s="549">
        <v>2976</v>
      </c>
      <c r="P1798" s="549">
        <v>0</v>
      </c>
      <c r="Q1798" s="549">
        <v>0</v>
      </c>
    </row>
    <row r="1799" spans="1:17" x14ac:dyDescent="0.25">
      <c r="A1799" s="549" t="s">
        <v>514</v>
      </c>
      <c r="B1799" s="549" t="s">
        <v>1032</v>
      </c>
      <c r="C1799" s="549" t="s">
        <v>513</v>
      </c>
      <c r="D1799" s="549" t="s">
        <v>456</v>
      </c>
      <c r="E1799" s="549" t="s">
        <v>977</v>
      </c>
      <c r="F1799" s="549" t="s">
        <v>1212</v>
      </c>
      <c r="G1799" s="549">
        <v>252</v>
      </c>
      <c r="H1799" s="549" t="s">
        <v>513</v>
      </c>
      <c r="I1799" s="549" t="s">
        <v>976</v>
      </c>
      <c r="J1799" s="549" t="s">
        <v>976</v>
      </c>
      <c r="K1799" s="549" t="s">
        <v>976</v>
      </c>
      <c r="L1799" s="549">
        <v>892972.4</v>
      </c>
      <c r="M1799" s="549">
        <v>67419.42</v>
      </c>
      <c r="N1799" s="549">
        <v>19734.689999999999</v>
      </c>
      <c r="O1799" s="549">
        <v>3968</v>
      </c>
      <c r="P1799" s="549">
        <v>0</v>
      </c>
      <c r="Q1799" s="549">
        <v>0</v>
      </c>
    </row>
    <row r="1800" spans="1:17" x14ac:dyDescent="0.25">
      <c r="A1800" s="549" t="s">
        <v>514</v>
      </c>
      <c r="B1800" s="549" t="s">
        <v>1032</v>
      </c>
      <c r="C1800" s="549" t="s">
        <v>513</v>
      </c>
      <c r="D1800" s="549" t="s">
        <v>456</v>
      </c>
      <c r="E1800" s="549" t="s">
        <v>977</v>
      </c>
      <c r="F1800" s="549" t="s">
        <v>1212</v>
      </c>
      <c r="G1800" s="549">
        <v>262</v>
      </c>
      <c r="H1800" s="549" t="s">
        <v>513</v>
      </c>
      <c r="I1800" s="549" t="s">
        <v>976</v>
      </c>
      <c r="J1800" s="549" t="s">
        <v>976</v>
      </c>
      <c r="K1800" s="549" t="s">
        <v>976</v>
      </c>
      <c r="L1800" s="549">
        <v>156154.21</v>
      </c>
      <c r="M1800" s="549">
        <v>11789.64</v>
      </c>
      <c r="N1800" s="549">
        <v>3451.01</v>
      </c>
      <c r="O1800" s="549">
        <v>892.8</v>
      </c>
      <c r="P1800" s="549">
        <v>100</v>
      </c>
      <c r="Q1800" s="549">
        <v>16133.45</v>
      </c>
    </row>
    <row r="1801" spans="1:17" x14ac:dyDescent="0.25">
      <c r="A1801" s="549" t="s">
        <v>514</v>
      </c>
      <c r="B1801" s="549" t="s">
        <v>1032</v>
      </c>
      <c r="C1801" s="549" t="s">
        <v>513</v>
      </c>
      <c r="D1801" s="549" t="s">
        <v>456</v>
      </c>
      <c r="E1801" s="549" t="s">
        <v>977</v>
      </c>
      <c r="F1801" s="549" t="s">
        <v>1212</v>
      </c>
      <c r="G1801" s="549">
        <v>272</v>
      </c>
      <c r="H1801" s="549" t="s">
        <v>513</v>
      </c>
      <c r="I1801" s="549" t="s">
        <v>976</v>
      </c>
      <c r="J1801" s="549" t="s">
        <v>976</v>
      </c>
      <c r="K1801" s="549" t="s">
        <v>976</v>
      </c>
      <c r="L1801" s="549">
        <v>892972.4</v>
      </c>
      <c r="M1801" s="549">
        <v>67419.42</v>
      </c>
      <c r="N1801" s="549">
        <v>19734.689999999999</v>
      </c>
      <c r="O1801" s="549">
        <v>3968</v>
      </c>
      <c r="P1801" s="549">
        <v>0</v>
      </c>
      <c r="Q1801" s="549">
        <v>0</v>
      </c>
    </row>
    <row r="1802" spans="1:17" x14ac:dyDescent="0.25">
      <c r="A1802" s="549" t="s">
        <v>514</v>
      </c>
      <c r="B1802" s="549" t="s">
        <v>1032</v>
      </c>
      <c r="C1802" s="549" t="s">
        <v>513</v>
      </c>
      <c r="D1802" s="549" t="s">
        <v>456</v>
      </c>
      <c r="E1802" s="549" t="s">
        <v>977</v>
      </c>
      <c r="F1802" s="549" t="s">
        <v>1212</v>
      </c>
      <c r="G1802" s="549" t="s">
        <v>1346</v>
      </c>
      <c r="H1802" s="549" t="s">
        <v>513</v>
      </c>
      <c r="I1802" s="549" t="s">
        <v>976</v>
      </c>
      <c r="J1802" s="549" t="s">
        <v>976</v>
      </c>
      <c r="K1802" s="549" t="s">
        <v>976</v>
      </c>
      <c r="L1802" s="549">
        <v>0.02</v>
      </c>
      <c r="M1802" s="549">
        <v>0</v>
      </c>
      <c r="N1802" s="549">
        <v>0</v>
      </c>
      <c r="O1802" s="549">
        <v>0</v>
      </c>
      <c r="P1802" s="549">
        <v>0</v>
      </c>
      <c r="Q1802" s="549">
        <v>0</v>
      </c>
    </row>
    <row r="1803" spans="1:17" x14ac:dyDescent="0.25">
      <c r="A1803" s="549" t="s">
        <v>514</v>
      </c>
      <c r="B1803" s="549" t="s">
        <v>1032</v>
      </c>
      <c r="C1803" s="549" t="s">
        <v>513</v>
      </c>
      <c r="D1803" s="549" t="s">
        <v>456</v>
      </c>
      <c r="E1803" s="549" t="s">
        <v>977</v>
      </c>
      <c r="F1803" s="549" t="s">
        <v>1212</v>
      </c>
      <c r="G1803" s="549" t="s">
        <v>1347</v>
      </c>
      <c r="H1803" s="549" t="s">
        <v>513</v>
      </c>
      <c r="I1803" s="549" t="s">
        <v>976</v>
      </c>
      <c r="J1803" s="549" t="s">
        <v>976</v>
      </c>
      <c r="K1803" s="549" t="s">
        <v>976</v>
      </c>
      <c r="L1803" s="549">
        <v>0.02</v>
      </c>
      <c r="M1803" s="549">
        <v>0</v>
      </c>
      <c r="N1803" s="549">
        <v>0</v>
      </c>
      <c r="O1803" s="549">
        <v>0</v>
      </c>
      <c r="P1803" s="549">
        <v>0</v>
      </c>
      <c r="Q1803" s="549">
        <v>0</v>
      </c>
    </row>
    <row r="1804" spans="1:17" x14ac:dyDescent="0.25">
      <c r="A1804" s="549" t="s">
        <v>514</v>
      </c>
      <c r="B1804" s="549" t="s">
        <v>1032</v>
      </c>
      <c r="C1804" s="549" t="s">
        <v>513</v>
      </c>
      <c r="D1804" s="549" t="s">
        <v>456</v>
      </c>
      <c r="E1804" s="549" t="s">
        <v>977</v>
      </c>
      <c r="F1804" s="549" t="s">
        <v>1212</v>
      </c>
      <c r="G1804" s="549" t="s">
        <v>1348</v>
      </c>
      <c r="H1804" s="549" t="s">
        <v>513</v>
      </c>
      <c r="I1804" s="549" t="s">
        <v>976</v>
      </c>
      <c r="J1804" s="549" t="s">
        <v>976</v>
      </c>
      <c r="K1804" s="549" t="s">
        <v>976</v>
      </c>
      <c r="L1804" s="549">
        <v>0.02</v>
      </c>
      <c r="M1804" s="549">
        <v>0</v>
      </c>
      <c r="N1804" s="549">
        <v>0</v>
      </c>
      <c r="O1804" s="549">
        <v>0</v>
      </c>
      <c r="P1804" s="549">
        <v>0</v>
      </c>
      <c r="Q1804" s="549">
        <v>0</v>
      </c>
    </row>
    <row r="1805" spans="1:17" x14ac:dyDescent="0.25">
      <c r="A1805" s="549" t="s">
        <v>514</v>
      </c>
      <c r="B1805" s="549" t="s">
        <v>1032</v>
      </c>
      <c r="C1805" s="549" t="s">
        <v>513</v>
      </c>
      <c r="D1805" s="549" t="s">
        <v>456</v>
      </c>
      <c r="E1805" s="549" t="s">
        <v>977</v>
      </c>
      <c r="F1805" s="549" t="s">
        <v>1212</v>
      </c>
      <c r="G1805" s="549" t="s">
        <v>1349</v>
      </c>
      <c r="H1805" s="549" t="s">
        <v>513</v>
      </c>
      <c r="I1805" s="549" t="s">
        <v>976</v>
      </c>
      <c r="J1805" s="549" t="s">
        <v>976</v>
      </c>
      <c r="K1805" s="549" t="s">
        <v>976</v>
      </c>
      <c r="L1805" s="549">
        <v>0.02</v>
      </c>
      <c r="M1805" s="549">
        <v>0</v>
      </c>
      <c r="N1805" s="549">
        <v>0</v>
      </c>
      <c r="O1805" s="549">
        <v>0</v>
      </c>
      <c r="P1805" s="549">
        <v>0</v>
      </c>
      <c r="Q1805" s="549">
        <v>0</v>
      </c>
    </row>
    <row r="1806" spans="1:17" x14ac:dyDescent="0.25">
      <c r="A1806" s="549" t="s">
        <v>514</v>
      </c>
      <c r="B1806" s="549" t="s">
        <v>1032</v>
      </c>
      <c r="C1806" s="549" t="s">
        <v>513</v>
      </c>
      <c r="D1806" s="549" t="s">
        <v>456</v>
      </c>
      <c r="E1806" s="549" t="s">
        <v>977</v>
      </c>
      <c r="F1806" s="549" t="s">
        <v>1212</v>
      </c>
      <c r="G1806" s="549">
        <v>612</v>
      </c>
      <c r="H1806" s="549" t="s">
        <v>792</v>
      </c>
      <c r="I1806" s="549" t="s">
        <v>976</v>
      </c>
      <c r="J1806" s="549" t="s">
        <v>976</v>
      </c>
      <c r="K1806" s="549" t="s">
        <v>976</v>
      </c>
      <c r="L1806" s="549">
        <v>1053162.69</v>
      </c>
      <c r="M1806" s="549">
        <v>79513.78</v>
      </c>
      <c r="N1806" s="549">
        <v>23274.9</v>
      </c>
      <c r="O1806" s="549">
        <v>4960</v>
      </c>
      <c r="P1806" s="549">
        <v>0</v>
      </c>
      <c r="Q1806" s="549">
        <v>0</v>
      </c>
    </row>
    <row r="1807" spans="1:17" x14ac:dyDescent="0.25">
      <c r="A1807" s="549" t="s">
        <v>514</v>
      </c>
      <c r="B1807" s="549" t="s">
        <v>1032</v>
      </c>
      <c r="C1807" s="549" t="s">
        <v>513</v>
      </c>
      <c r="D1807" s="549" t="s">
        <v>456</v>
      </c>
      <c r="E1807" s="549" t="s">
        <v>977</v>
      </c>
      <c r="F1807" s="549" t="s">
        <v>1212</v>
      </c>
      <c r="G1807" s="549">
        <v>762</v>
      </c>
      <c r="H1807" s="549" t="s">
        <v>792</v>
      </c>
      <c r="I1807" s="549" t="s">
        <v>976</v>
      </c>
      <c r="J1807" s="549" t="s">
        <v>976</v>
      </c>
      <c r="K1807" s="549" t="s">
        <v>976</v>
      </c>
      <c r="L1807" s="549">
        <v>1053162.69</v>
      </c>
      <c r="M1807" s="549">
        <v>79513.78</v>
      </c>
      <c r="N1807" s="549">
        <v>23274.9</v>
      </c>
      <c r="O1807" s="549">
        <v>4960</v>
      </c>
      <c r="P1807" s="549">
        <v>0</v>
      </c>
      <c r="Q1807" s="549">
        <v>0</v>
      </c>
    </row>
    <row r="1808" spans="1:17" x14ac:dyDescent="0.25">
      <c r="A1808" s="549" t="s">
        <v>514</v>
      </c>
      <c r="B1808" s="549" t="s">
        <v>1032</v>
      </c>
      <c r="C1808" s="549" t="s">
        <v>513</v>
      </c>
      <c r="D1808" s="549" t="s">
        <v>456</v>
      </c>
      <c r="E1808" s="549" t="s">
        <v>977</v>
      </c>
      <c r="F1808" s="549" t="s">
        <v>1212</v>
      </c>
      <c r="G1808" s="549">
        <v>802</v>
      </c>
      <c r="H1808" s="549" t="s">
        <v>792</v>
      </c>
      <c r="I1808" s="549" t="s">
        <v>976</v>
      </c>
      <c r="J1808" s="549" t="s">
        <v>976</v>
      </c>
      <c r="K1808" s="549" t="s">
        <v>976</v>
      </c>
      <c r="L1808" s="549">
        <v>1053162.69</v>
      </c>
      <c r="M1808" s="549">
        <v>79513.78</v>
      </c>
      <c r="N1808" s="549">
        <v>23274.9</v>
      </c>
      <c r="O1808" s="549">
        <v>4960</v>
      </c>
      <c r="P1808" s="549">
        <v>0</v>
      </c>
      <c r="Q1808" s="549">
        <v>0</v>
      </c>
    </row>
    <row r="1809" spans="1:17" x14ac:dyDescent="0.25">
      <c r="A1809" s="549" t="s">
        <v>514</v>
      </c>
      <c r="B1809" s="549" t="s">
        <v>1032</v>
      </c>
      <c r="C1809" s="549" t="s">
        <v>513</v>
      </c>
      <c r="D1809" s="549" t="s">
        <v>456</v>
      </c>
      <c r="E1809" s="549" t="s">
        <v>977</v>
      </c>
      <c r="F1809" s="549" t="s">
        <v>1212</v>
      </c>
      <c r="G1809" s="549" t="s">
        <v>1297</v>
      </c>
      <c r="H1809" s="549" t="s">
        <v>792</v>
      </c>
      <c r="I1809" s="549" t="s">
        <v>976</v>
      </c>
      <c r="J1809" s="549" t="s">
        <v>976</v>
      </c>
      <c r="K1809" s="549" t="s">
        <v>976</v>
      </c>
      <c r="L1809" s="549">
        <v>0.02</v>
      </c>
      <c r="M1809" s="549">
        <v>0</v>
      </c>
      <c r="N1809" s="549">
        <v>0</v>
      </c>
      <c r="O1809" s="549">
        <v>0</v>
      </c>
      <c r="P1809" s="549">
        <v>0</v>
      </c>
      <c r="Q1809" s="549">
        <v>0</v>
      </c>
    </row>
    <row r="1810" spans="1:17" x14ac:dyDescent="0.25">
      <c r="A1810" s="549" t="s">
        <v>514</v>
      </c>
      <c r="B1810" s="549" t="s">
        <v>1032</v>
      </c>
      <c r="C1810" s="549" t="s">
        <v>513</v>
      </c>
      <c r="D1810" s="549" t="s">
        <v>456</v>
      </c>
      <c r="E1810" s="549" t="s">
        <v>977</v>
      </c>
      <c r="F1810" s="549" t="s">
        <v>1212</v>
      </c>
      <c r="G1810" s="549" t="s">
        <v>1350</v>
      </c>
      <c r="H1810" s="549" t="s">
        <v>792</v>
      </c>
      <c r="I1810" s="549" t="s">
        <v>976</v>
      </c>
      <c r="J1810" s="549" t="s">
        <v>976</v>
      </c>
      <c r="K1810" s="549" t="s">
        <v>976</v>
      </c>
      <c r="L1810" s="549">
        <v>0.02</v>
      </c>
      <c r="M1810" s="549">
        <v>0</v>
      </c>
      <c r="N1810" s="549">
        <v>0</v>
      </c>
      <c r="O1810" s="549">
        <v>0</v>
      </c>
      <c r="P1810" s="549">
        <v>0</v>
      </c>
      <c r="Q1810" s="549">
        <v>0</v>
      </c>
    </row>
    <row r="1811" spans="1:17" x14ac:dyDescent="0.25">
      <c r="A1811" s="549" t="s">
        <v>514</v>
      </c>
      <c r="B1811" s="549" t="s">
        <v>1032</v>
      </c>
      <c r="C1811" s="549" t="s">
        <v>513</v>
      </c>
      <c r="D1811" s="549" t="s">
        <v>456</v>
      </c>
      <c r="E1811" s="549" t="s">
        <v>977</v>
      </c>
      <c r="F1811" s="549" t="s">
        <v>1212</v>
      </c>
      <c r="G1811" s="549" t="s">
        <v>1252</v>
      </c>
      <c r="H1811" s="549" t="s">
        <v>792</v>
      </c>
      <c r="I1811" s="549" t="s">
        <v>976</v>
      </c>
      <c r="J1811" s="549" t="s">
        <v>976</v>
      </c>
      <c r="K1811" s="549" t="s">
        <v>976</v>
      </c>
      <c r="L1811" s="549">
        <v>0.02</v>
      </c>
      <c r="M1811" s="549">
        <v>0</v>
      </c>
      <c r="N1811" s="549">
        <v>0</v>
      </c>
      <c r="O1811" s="549">
        <v>0</v>
      </c>
      <c r="P1811" s="549">
        <v>0</v>
      </c>
      <c r="Q1811" s="549">
        <v>0</v>
      </c>
    </row>
    <row r="1812" spans="1:17" x14ac:dyDescent="0.25">
      <c r="A1812" s="549" t="s">
        <v>514</v>
      </c>
      <c r="B1812" s="549" t="s">
        <v>1032</v>
      </c>
      <c r="C1812" s="549" t="s">
        <v>530</v>
      </c>
      <c r="D1812" s="549" t="s">
        <v>1035</v>
      </c>
      <c r="E1812" s="549" t="s">
        <v>973</v>
      </c>
      <c r="F1812" s="549" t="s">
        <v>1212</v>
      </c>
      <c r="G1812" s="549">
        <v>402</v>
      </c>
      <c r="H1812" s="549" t="s">
        <v>530</v>
      </c>
      <c r="I1812" s="549" t="s">
        <v>976</v>
      </c>
      <c r="J1812" s="549" t="s">
        <v>976</v>
      </c>
      <c r="K1812" s="549" t="s">
        <v>976</v>
      </c>
      <c r="L1812" s="549">
        <v>892972.4</v>
      </c>
      <c r="M1812" s="549">
        <v>67419.42</v>
      </c>
      <c r="N1812" s="549">
        <v>51256.62</v>
      </c>
      <c r="O1812" s="549">
        <v>3968</v>
      </c>
      <c r="P1812" s="549">
        <v>98.22</v>
      </c>
      <c r="Q1812" s="549">
        <v>120460.98</v>
      </c>
    </row>
    <row r="1813" spans="1:17" x14ac:dyDescent="0.25">
      <c r="A1813" s="549" t="s">
        <v>514</v>
      </c>
      <c r="B1813" s="549" t="s">
        <v>1032</v>
      </c>
      <c r="C1813" s="549" t="s">
        <v>530</v>
      </c>
      <c r="D1813" s="549" t="s">
        <v>1035</v>
      </c>
      <c r="E1813" s="549" t="s">
        <v>973</v>
      </c>
      <c r="F1813" s="549" t="s">
        <v>1212</v>
      </c>
      <c r="G1813" s="549">
        <v>407</v>
      </c>
      <c r="H1813" s="549" t="s">
        <v>530</v>
      </c>
      <c r="I1813" s="549" t="s">
        <v>976</v>
      </c>
      <c r="J1813" s="549" t="s">
        <v>976</v>
      </c>
      <c r="K1813" s="549" t="s">
        <v>976</v>
      </c>
      <c r="L1813" s="549">
        <v>28128.26</v>
      </c>
      <c r="M1813" s="549">
        <v>2123.6799999999998</v>
      </c>
      <c r="N1813" s="549">
        <v>1614.56</v>
      </c>
      <c r="O1813" s="549">
        <v>992</v>
      </c>
      <c r="P1813" s="549">
        <v>98.22</v>
      </c>
      <c r="Q1813" s="549">
        <v>4646.04</v>
      </c>
    </row>
    <row r="1814" spans="1:17" x14ac:dyDescent="0.25">
      <c r="A1814" s="549" t="s">
        <v>514</v>
      </c>
      <c r="B1814" s="549" t="s">
        <v>1032</v>
      </c>
      <c r="C1814" s="549" t="s">
        <v>530</v>
      </c>
      <c r="D1814" s="549" t="s">
        <v>1035</v>
      </c>
      <c r="E1814" s="549" t="s">
        <v>973</v>
      </c>
      <c r="F1814" s="549" t="s">
        <v>1212</v>
      </c>
      <c r="G1814" s="549">
        <v>412</v>
      </c>
      <c r="H1814" s="549" t="s">
        <v>530</v>
      </c>
      <c r="I1814" s="549" t="s">
        <v>976</v>
      </c>
      <c r="J1814" s="549" t="s">
        <v>976</v>
      </c>
      <c r="K1814" s="549" t="s">
        <v>976</v>
      </c>
      <c r="L1814" s="549">
        <v>159529.99</v>
      </c>
      <c r="M1814" s="549">
        <v>12044.51</v>
      </c>
      <c r="N1814" s="549">
        <v>9157.02</v>
      </c>
      <c r="O1814" s="549">
        <v>892.8</v>
      </c>
      <c r="P1814" s="549">
        <v>98.22</v>
      </c>
      <c r="Q1814" s="549">
        <v>21701.05</v>
      </c>
    </row>
    <row r="1815" spans="1:17" x14ac:dyDescent="0.25">
      <c r="A1815" s="549" t="s">
        <v>514</v>
      </c>
      <c r="B1815" s="549" t="s">
        <v>1032</v>
      </c>
      <c r="C1815" s="549" t="s">
        <v>530</v>
      </c>
      <c r="D1815" s="549" t="s">
        <v>1035</v>
      </c>
      <c r="E1815" s="549" t="s">
        <v>973</v>
      </c>
      <c r="F1815" s="549" t="s">
        <v>1212</v>
      </c>
      <c r="G1815" s="549">
        <v>507</v>
      </c>
      <c r="H1815" s="549" t="s">
        <v>530</v>
      </c>
      <c r="I1815" s="549" t="s">
        <v>976</v>
      </c>
      <c r="J1815" s="549" t="s">
        <v>976</v>
      </c>
      <c r="K1815" s="549" t="s">
        <v>976</v>
      </c>
      <c r="L1815" s="549">
        <v>28128.26</v>
      </c>
      <c r="M1815" s="549">
        <v>2123.6799999999998</v>
      </c>
      <c r="N1815" s="549">
        <v>1614.56</v>
      </c>
      <c r="O1815" s="549">
        <v>992</v>
      </c>
      <c r="P1815" s="549">
        <v>98.22</v>
      </c>
      <c r="Q1815" s="549">
        <v>4646.04</v>
      </c>
    </row>
    <row r="1816" spans="1:17" x14ac:dyDescent="0.25">
      <c r="A1816" s="549" t="s">
        <v>514</v>
      </c>
      <c r="B1816" s="549" t="s">
        <v>1032</v>
      </c>
      <c r="C1816" s="549" t="s">
        <v>530</v>
      </c>
      <c r="D1816" s="549" t="s">
        <v>1035</v>
      </c>
      <c r="E1816" s="549" t="s">
        <v>973</v>
      </c>
      <c r="F1816" s="549" t="s">
        <v>1212</v>
      </c>
      <c r="G1816" s="549">
        <v>512</v>
      </c>
      <c r="H1816" s="549" t="s">
        <v>530</v>
      </c>
      <c r="I1816" s="549" t="s">
        <v>976</v>
      </c>
      <c r="J1816" s="549" t="s">
        <v>976</v>
      </c>
      <c r="K1816" s="549" t="s">
        <v>976</v>
      </c>
      <c r="L1816" s="549">
        <v>159529.99</v>
      </c>
      <c r="M1816" s="549">
        <v>12044.51</v>
      </c>
      <c r="N1816" s="549">
        <v>9157.02</v>
      </c>
      <c r="O1816" s="549">
        <v>892.8</v>
      </c>
      <c r="P1816" s="549">
        <v>98.22</v>
      </c>
      <c r="Q1816" s="549">
        <v>21701.05</v>
      </c>
    </row>
    <row r="1817" spans="1:17" x14ac:dyDescent="0.25">
      <c r="A1817" s="549" t="s">
        <v>514</v>
      </c>
      <c r="B1817" s="549" t="s">
        <v>1032</v>
      </c>
      <c r="C1817" s="549" t="s">
        <v>530</v>
      </c>
      <c r="D1817" s="549" t="s">
        <v>1035</v>
      </c>
      <c r="E1817" s="549" t="s">
        <v>973</v>
      </c>
      <c r="F1817" s="549" t="s">
        <v>1212</v>
      </c>
      <c r="G1817" s="549">
        <v>612</v>
      </c>
      <c r="H1817" s="549" t="s">
        <v>530</v>
      </c>
      <c r="I1817" s="549" t="s">
        <v>976</v>
      </c>
      <c r="J1817" s="549" t="s">
        <v>976</v>
      </c>
      <c r="K1817" s="549" t="s">
        <v>976</v>
      </c>
      <c r="L1817" s="549">
        <v>159529.99</v>
      </c>
      <c r="M1817" s="549">
        <v>12044.51</v>
      </c>
      <c r="N1817" s="549">
        <v>9157.02</v>
      </c>
      <c r="O1817" s="549">
        <v>892.8</v>
      </c>
      <c r="P1817" s="549">
        <v>98.22</v>
      </c>
      <c r="Q1817" s="549">
        <v>21701.05</v>
      </c>
    </row>
    <row r="1818" spans="1:17" x14ac:dyDescent="0.25">
      <c r="A1818" s="549" t="s">
        <v>514</v>
      </c>
      <c r="B1818" s="549" t="s">
        <v>1032</v>
      </c>
      <c r="C1818" s="549" t="s">
        <v>530</v>
      </c>
      <c r="D1818" s="549" t="s">
        <v>1035</v>
      </c>
      <c r="E1818" s="549" t="s">
        <v>973</v>
      </c>
      <c r="F1818" s="549" t="s">
        <v>1212</v>
      </c>
      <c r="G1818" s="549">
        <v>702</v>
      </c>
      <c r="H1818" s="549" t="s">
        <v>530</v>
      </c>
      <c r="I1818" s="549" t="s">
        <v>976</v>
      </c>
      <c r="J1818" s="549" t="s">
        <v>976</v>
      </c>
      <c r="K1818" s="549" t="s">
        <v>976</v>
      </c>
      <c r="L1818" s="549">
        <v>892972.4</v>
      </c>
      <c r="M1818" s="549">
        <v>67419.42</v>
      </c>
      <c r="N1818" s="549">
        <v>51256.62</v>
      </c>
      <c r="O1818" s="549">
        <v>3968</v>
      </c>
      <c r="P1818" s="549">
        <v>98.22</v>
      </c>
      <c r="Q1818" s="549">
        <v>120460.98</v>
      </c>
    </row>
    <row r="1819" spans="1:17" x14ac:dyDescent="0.25">
      <c r="A1819" s="549" t="s">
        <v>514</v>
      </c>
      <c r="B1819" s="549" t="s">
        <v>1032</v>
      </c>
      <c r="C1819" s="549" t="s">
        <v>530</v>
      </c>
      <c r="D1819" s="549" t="s">
        <v>1035</v>
      </c>
      <c r="E1819" s="549" t="s">
        <v>973</v>
      </c>
      <c r="F1819" s="549" t="s">
        <v>1212</v>
      </c>
      <c r="G1819" s="549">
        <v>707</v>
      </c>
      <c r="H1819" s="549" t="s">
        <v>530</v>
      </c>
      <c r="I1819" s="549" t="s">
        <v>976</v>
      </c>
      <c r="J1819" s="549" t="s">
        <v>976</v>
      </c>
      <c r="K1819" s="549" t="s">
        <v>976</v>
      </c>
      <c r="L1819" s="549">
        <v>28128.26</v>
      </c>
      <c r="M1819" s="549">
        <v>2123.6799999999998</v>
      </c>
      <c r="N1819" s="549">
        <v>1614.56</v>
      </c>
      <c r="O1819" s="549">
        <v>992</v>
      </c>
      <c r="P1819" s="549">
        <v>98.22</v>
      </c>
      <c r="Q1819" s="549">
        <v>4646.04</v>
      </c>
    </row>
    <row r="1820" spans="1:17" x14ac:dyDescent="0.25">
      <c r="A1820" s="549" t="s">
        <v>514</v>
      </c>
      <c r="B1820" s="549" t="s">
        <v>1032</v>
      </c>
      <c r="C1820" s="549" t="s">
        <v>530</v>
      </c>
      <c r="D1820" s="549" t="s">
        <v>1035</v>
      </c>
      <c r="E1820" s="549" t="s">
        <v>973</v>
      </c>
      <c r="F1820" s="549" t="s">
        <v>1212</v>
      </c>
      <c r="G1820" s="549">
        <v>712</v>
      </c>
      <c r="H1820" s="549" t="s">
        <v>530</v>
      </c>
      <c r="I1820" s="549" t="s">
        <v>976</v>
      </c>
      <c r="J1820" s="549" t="s">
        <v>976</v>
      </c>
      <c r="K1820" s="549" t="s">
        <v>976</v>
      </c>
      <c r="L1820" s="549">
        <v>159529.99</v>
      </c>
      <c r="M1820" s="549">
        <v>12044.51</v>
      </c>
      <c r="N1820" s="549">
        <v>9157.02</v>
      </c>
      <c r="O1820" s="549">
        <v>892.8</v>
      </c>
      <c r="P1820" s="549">
        <v>98.22</v>
      </c>
      <c r="Q1820" s="549">
        <v>21701.05</v>
      </c>
    </row>
    <row r="1821" spans="1:17" x14ac:dyDescent="0.25">
      <c r="A1821" s="549" t="s">
        <v>514</v>
      </c>
      <c r="B1821" s="549" t="s">
        <v>1032</v>
      </c>
      <c r="C1821" s="549" t="s">
        <v>530</v>
      </c>
      <c r="D1821" s="549" t="s">
        <v>1035</v>
      </c>
      <c r="E1821" s="549" t="s">
        <v>973</v>
      </c>
      <c r="F1821" s="549" t="s">
        <v>1212</v>
      </c>
      <c r="G1821" s="549" t="s">
        <v>1351</v>
      </c>
      <c r="H1821" s="549" t="s">
        <v>530</v>
      </c>
      <c r="I1821" s="549" t="s">
        <v>976</v>
      </c>
      <c r="J1821" s="549" t="s">
        <v>976</v>
      </c>
      <c r="K1821" s="549" t="s">
        <v>976</v>
      </c>
      <c r="L1821" s="549">
        <v>0.02</v>
      </c>
      <c r="M1821" s="549">
        <v>0</v>
      </c>
      <c r="N1821" s="549">
        <v>0</v>
      </c>
      <c r="O1821" s="549">
        <v>0</v>
      </c>
      <c r="P1821" s="549">
        <v>98.22</v>
      </c>
      <c r="Q1821" s="549">
        <v>0</v>
      </c>
    </row>
    <row r="1822" spans="1:17" x14ac:dyDescent="0.25">
      <c r="A1822" s="549" t="s">
        <v>514</v>
      </c>
      <c r="B1822" s="549" t="s">
        <v>1032</v>
      </c>
      <c r="C1822" s="549" t="s">
        <v>530</v>
      </c>
      <c r="D1822" s="549" t="s">
        <v>1035</v>
      </c>
      <c r="E1822" s="549" t="s">
        <v>973</v>
      </c>
      <c r="F1822" s="549" t="s">
        <v>1212</v>
      </c>
      <c r="G1822" s="549" t="s">
        <v>1352</v>
      </c>
      <c r="H1822" s="549" t="s">
        <v>530</v>
      </c>
      <c r="I1822" s="549" t="s">
        <v>976</v>
      </c>
      <c r="J1822" s="549" t="s">
        <v>976</v>
      </c>
      <c r="K1822" s="549" t="s">
        <v>976</v>
      </c>
      <c r="L1822" s="549">
        <v>0.02</v>
      </c>
      <c r="M1822" s="549">
        <v>0</v>
      </c>
      <c r="N1822" s="549">
        <v>0</v>
      </c>
      <c r="O1822" s="549">
        <v>0</v>
      </c>
      <c r="P1822" s="549">
        <v>98.22</v>
      </c>
      <c r="Q1822" s="549">
        <v>0</v>
      </c>
    </row>
    <row r="1823" spans="1:17" x14ac:dyDescent="0.25">
      <c r="A1823" s="549" t="s">
        <v>514</v>
      </c>
      <c r="B1823" s="549" t="s">
        <v>1032</v>
      </c>
      <c r="C1823" s="549" t="s">
        <v>530</v>
      </c>
      <c r="D1823" s="549" t="s">
        <v>1035</v>
      </c>
      <c r="E1823" s="549" t="s">
        <v>973</v>
      </c>
      <c r="F1823" s="549" t="s">
        <v>1212</v>
      </c>
      <c r="G1823" s="549">
        <v>2372</v>
      </c>
      <c r="H1823" s="549" t="s">
        <v>648</v>
      </c>
      <c r="I1823" s="549" t="s">
        <v>976</v>
      </c>
      <c r="J1823" s="549" t="s">
        <v>976</v>
      </c>
      <c r="K1823" s="549" t="s">
        <v>976</v>
      </c>
      <c r="L1823" s="549">
        <v>892972.4</v>
      </c>
      <c r="M1823" s="549">
        <v>67419.42</v>
      </c>
      <c r="N1823" s="549">
        <v>51256.62</v>
      </c>
      <c r="O1823" s="549">
        <v>3968</v>
      </c>
      <c r="P1823" s="549">
        <v>98.22</v>
      </c>
      <c r="Q1823" s="549">
        <v>120460.98</v>
      </c>
    </row>
    <row r="1824" spans="1:17" x14ac:dyDescent="0.25">
      <c r="A1824" s="549" t="s">
        <v>514</v>
      </c>
      <c r="B1824" s="549" t="s">
        <v>1032</v>
      </c>
      <c r="C1824" s="549" t="s">
        <v>530</v>
      </c>
      <c r="D1824" s="549" t="s">
        <v>1035</v>
      </c>
      <c r="E1824" s="549" t="s">
        <v>973</v>
      </c>
      <c r="F1824" s="549" t="s">
        <v>1212</v>
      </c>
      <c r="G1824" s="549">
        <v>2402</v>
      </c>
      <c r="H1824" s="549" t="s">
        <v>648</v>
      </c>
      <c r="I1824" s="549" t="s">
        <v>976</v>
      </c>
      <c r="J1824" s="549" t="s">
        <v>976</v>
      </c>
      <c r="K1824" s="549" t="s">
        <v>976</v>
      </c>
      <c r="L1824" s="549">
        <v>892972.4</v>
      </c>
      <c r="M1824" s="549">
        <v>67419.42</v>
      </c>
      <c r="N1824" s="549">
        <v>51256.62</v>
      </c>
      <c r="O1824" s="549">
        <v>3968</v>
      </c>
      <c r="P1824" s="549">
        <v>98.22</v>
      </c>
      <c r="Q1824" s="549">
        <v>120460.98</v>
      </c>
    </row>
    <row r="1825" spans="1:17" x14ac:dyDescent="0.25">
      <c r="A1825" s="549" t="s">
        <v>514</v>
      </c>
      <c r="B1825" s="549" t="s">
        <v>1032</v>
      </c>
      <c r="C1825" s="549" t="s">
        <v>530</v>
      </c>
      <c r="D1825" s="549" t="s">
        <v>1035</v>
      </c>
      <c r="E1825" s="549" t="s">
        <v>977</v>
      </c>
      <c r="F1825" s="549" t="s">
        <v>1212</v>
      </c>
      <c r="G1825" s="549">
        <v>402</v>
      </c>
      <c r="H1825" s="549" t="s">
        <v>530</v>
      </c>
      <c r="I1825" s="549" t="s">
        <v>976</v>
      </c>
      <c r="J1825" s="549" t="s">
        <v>976</v>
      </c>
      <c r="K1825" s="549" t="s">
        <v>976</v>
      </c>
      <c r="L1825" s="549">
        <v>892972.4</v>
      </c>
      <c r="M1825" s="549">
        <v>67419.42</v>
      </c>
      <c r="N1825" s="549">
        <v>19734.689999999999</v>
      </c>
      <c r="O1825" s="549">
        <v>3968</v>
      </c>
      <c r="P1825" s="549">
        <v>1.78</v>
      </c>
      <c r="Q1825" s="549">
        <v>1621.97</v>
      </c>
    </row>
    <row r="1826" spans="1:17" x14ac:dyDescent="0.25">
      <c r="A1826" s="549" t="s">
        <v>514</v>
      </c>
      <c r="B1826" s="549" t="s">
        <v>1032</v>
      </c>
      <c r="C1826" s="549" t="s">
        <v>530</v>
      </c>
      <c r="D1826" s="549" t="s">
        <v>1035</v>
      </c>
      <c r="E1826" s="549" t="s">
        <v>977</v>
      </c>
      <c r="F1826" s="549" t="s">
        <v>1212</v>
      </c>
      <c r="G1826" s="549">
        <v>407</v>
      </c>
      <c r="H1826" s="549" t="s">
        <v>530</v>
      </c>
      <c r="I1826" s="549" t="s">
        <v>976</v>
      </c>
      <c r="J1826" s="549" t="s">
        <v>976</v>
      </c>
      <c r="K1826" s="549" t="s">
        <v>976</v>
      </c>
      <c r="L1826" s="549">
        <v>28128.26</v>
      </c>
      <c r="M1826" s="549">
        <v>2123.6799999999998</v>
      </c>
      <c r="N1826" s="549">
        <v>621.63</v>
      </c>
      <c r="O1826" s="549">
        <v>992</v>
      </c>
      <c r="P1826" s="549">
        <v>1.78</v>
      </c>
      <c r="Q1826" s="549">
        <v>66.52</v>
      </c>
    </row>
    <row r="1827" spans="1:17" x14ac:dyDescent="0.25">
      <c r="A1827" s="549" t="s">
        <v>514</v>
      </c>
      <c r="B1827" s="549" t="s">
        <v>1032</v>
      </c>
      <c r="C1827" s="549" t="s">
        <v>530</v>
      </c>
      <c r="D1827" s="549" t="s">
        <v>1035</v>
      </c>
      <c r="E1827" s="549" t="s">
        <v>977</v>
      </c>
      <c r="F1827" s="549" t="s">
        <v>1212</v>
      </c>
      <c r="G1827" s="549">
        <v>412</v>
      </c>
      <c r="H1827" s="549" t="s">
        <v>530</v>
      </c>
      <c r="I1827" s="549" t="s">
        <v>976</v>
      </c>
      <c r="J1827" s="549" t="s">
        <v>976</v>
      </c>
      <c r="K1827" s="549" t="s">
        <v>976</v>
      </c>
      <c r="L1827" s="549">
        <v>159529.99</v>
      </c>
      <c r="M1827" s="549">
        <v>12044.51</v>
      </c>
      <c r="N1827" s="549">
        <v>3525.61</v>
      </c>
      <c r="O1827" s="549">
        <v>892.8</v>
      </c>
      <c r="P1827" s="549">
        <v>1.78</v>
      </c>
      <c r="Q1827" s="549">
        <v>293.04000000000002</v>
      </c>
    </row>
    <row r="1828" spans="1:17" x14ac:dyDescent="0.25">
      <c r="A1828" s="549" t="s">
        <v>514</v>
      </c>
      <c r="B1828" s="549" t="s">
        <v>1032</v>
      </c>
      <c r="C1828" s="549" t="s">
        <v>530</v>
      </c>
      <c r="D1828" s="549" t="s">
        <v>1035</v>
      </c>
      <c r="E1828" s="549" t="s">
        <v>977</v>
      </c>
      <c r="F1828" s="549" t="s">
        <v>1212</v>
      </c>
      <c r="G1828" s="549">
        <v>507</v>
      </c>
      <c r="H1828" s="549" t="s">
        <v>530</v>
      </c>
      <c r="I1828" s="549" t="s">
        <v>976</v>
      </c>
      <c r="J1828" s="549" t="s">
        <v>976</v>
      </c>
      <c r="K1828" s="549" t="s">
        <v>976</v>
      </c>
      <c r="L1828" s="549">
        <v>28128.26</v>
      </c>
      <c r="M1828" s="549">
        <v>2123.6799999999998</v>
      </c>
      <c r="N1828" s="549">
        <v>621.63</v>
      </c>
      <c r="O1828" s="549">
        <v>992</v>
      </c>
      <c r="P1828" s="549">
        <v>1.78</v>
      </c>
      <c r="Q1828" s="549">
        <v>66.52</v>
      </c>
    </row>
    <row r="1829" spans="1:17" x14ac:dyDescent="0.25">
      <c r="A1829" s="549" t="s">
        <v>514</v>
      </c>
      <c r="B1829" s="549" t="s">
        <v>1032</v>
      </c>
      <c r="C1829" s="549" t="s">
        <v>530</v>
      </c>
      <c r="D1829" s="549" t="s">
        <v>1035</v>
      </c>
      <c r="E1829" s="549" t="s">
        <v>977</v>
      </c>
      <c r="F1829" s="549" t="s">
        <v>1212</v>
      </c>
      <c r="G1829" s="549">
        <v>512</v>
      </c>
      <c r="H1829" s="549" t="s">
        <v>530</v>
      </c>
      <c r="I1829" s="549" t="s">
        <v>976</v>
      </c>
      <c r="J1829" s="549" t="s">
        <v>976</v>
      </c>
      <c r="K1829" s="549" t="s">
        <v>976</v>
      </c>
      <c r="L1829" s="549">
        <v>159529.99</v>
      </c>
      <c r="M1829" s="549">
        <v>12044.51</v>
      </c>
      <c r="N1829" s="549">
        <v>3525.61</v>
      </c>
      <c r="O1829" s="549">
        <v>892.8</v>
      </c>
      <c r="P1829" s="549">
        <v>1.78</v>
      </c>
      <c r="Q1829" s="549">
        <v>293.04000000000002</v>
      </c>
    </row>
    <row r="1830" spans="1:17" x14ac:dyDescent="0.25">
      <c r="A1830" s="549" t="s">
        <v>514</v>
      </c>
      <c r="B1830" s="549" t="s">
        <v>1032</v>
      </c>
      <c r="C1830" s="549" t="s">
        <v>530</v>
      </c>
      <c r="D1830" s="549" t="s">
        <v>1035</v>
      </c>
      <c r="E1830" s="549" t="s">
        <v>977</v>
      </c>
      <c r="F1830" s="549" t="s">
        <v>1212</v>
      </c>
      <c r="G1830" s="549">
        <v>612</v>
      </c>
      <c r="H1830" s="549" t="s">
        <v>530</v>
      </c>
      <c r="I1830" s="549" t="s">
        <v>976</v>
      </c>
      <c r="J1830" s="549" t="s">
        <v>976</v>
      </c>
      <c r="K1830" s="549" t="s">
        <v>976</v>
      </c>
      <c r="L1830" s="549">
        <v>159529.99</v>
      </c>
      <c r="M1830" s="549">
        <v>12044.51</v>
      </c>
      <c r="N1830" s="549">
        <v>3525.61</v>
      </c>
      <c r="O1830" s="549">
        <v>892.8</v>
      </c>
      <c r="P1830" s="549">
        <v>1.78</v>
      </c>
      <c r="Q1830" s="549">
        <v>293.04000000000002</v>
      </c>
    </row>
    <row r="1831" spans="1:17" x14ac:dyDescent="0.25">
      <c r="A1831" s="549" t="s">
        <v>514</v>
      </c>
      <c r="B1831" s="549" t="s">
        <v>1032</v>
      </c>
      <c r="C1831" s="549" t="s">
        <v>530</v>
      </c>
      <c r="D1831" s="549" t="s">
        <v>1035</v>
      </c>
      <c r="E1831" s="549" t="s">
        <v>977</v>
      </c>
      <c r="F1831" s="549" t="s">
        <v>1212</v>
      </c>
      <c r="G1831" s="549">
        <v>702</v>
      </c>
      <c r="H1831" s="549" t="s">
        <v>530</v>
      </c>
      <c r="I1831" s="549" t="s">
        <v>976</v>
      </c>
      <c r="J1831" s="549" t="s">
        <v>976</v>
      </c>
      <c r="K1831" s="549" t="s">
        <v>976</v>
      </c>
      <c r="L1831" s="549">
        <v>892972.4</v>
      </c>
      <c r="M1831" s="549">
        <v>67419.42</v>
      </c>
      <c r="N1831" s="549">
        <v>19734.689999999999</v>
      </c>
      <c r="O1831" s="549">
        <v>3968</v>
      </c>
      <c r="P1831" s="549">
        <v>1.78</v>
      </c>
      <c r="Q1831" s="549">
        <v>1621.97</v>
      </c>
    </row>
    <row r="1832" spans="1:17" x14ac:dyDescent="0.25">
      <c r="A1832" s="549" t="s">
        <v>514</v>
      </c>
      <c r="B1832" s="549" t="s">
        <v>1032</v>
      </c>
      <c r="C1832" s="549" t="s">
        <v>530</v>
      </c>
      <c r="D1832" s="549" t="s">
        <v>1035</v>
      </c>
      <c r="E1832" s="549" t="s">
        <v>977</v>
      </c>
      <c r="F1832" s="549" t="s">
        <v>1212</v>
      </c>
      <c r="G1832" s="549">
        <v>707</v>
      </c>
      <c r="H1832" s="549" t="s">
        <v>530</v>
      </c>
      <c r="I1832" s="549" t="s">
        <v>976</v>
      </c>
      <c r="J1832" s="549" t="s">
        <v>976</v>
      </c>
      <c r="K1832" s="549" t="s">
        <v>976</v>
      </c>
      <c r="L1832" s="549">
        <v>28128.26</v>
      </c>
      <c r="M1832" s="549">
        <v>2123.6799999999998</v>
      </c>
      <c r="N1832" s="549">
        <v>621.63</v>
      </c>
      <c r="O1832" s="549">
        <v>992</v>
      </c>
      <c r="P1832" s="549">
        <v>1.78</v>
      </c>
      <c r="Q1832" s="549">
        <v>66.52</v>
      </c>
    </row>
    <row r="1833" spans="1:17" x14ac:dyDescent="0.25">
      <c r="A1833" s="549" t="s">
        <v>514</v>
      </c>
      <c r="B1833" s="549" t="s">
        <v>1032</v>
      </c>
      <c r="C1833" s="549" t="s">
        <v>530</v>
      </c>
      <c r="D1833" s="549" t="s">
        <v>1035</v>
      </c>
      <c r="E1833" s="549" t="s">
        <v>977</v>
      </c>
      <c r="F1833" s="549" t="s">
        <v>1212</v>
      </c>
      <c r="G1833" s="549">
        <v>712</v>
      </c>
      <c r="H1833" s="549" t="s">
        <v>530</v>
      </c>
      <c r="I1833" s="549" t="s">
        <v>976</v>
      </c>
      <c r="J1833" s="549" t="s">
        <v>976</v>
      </c>
      <c r="K1833" s="549" t="s">
        <v>976</v>
      </c>
      <c r="L1833" s="549">
        <v>159529.99</v>
      </c>
      <c r="M1833" s="549">
        <v>12044.51</v>
      </c>
      <c r="N1833" s="549">
        <v>3525.61</v>
      </c>
      <c r="O1833" s="549">
        <v>892.8</v>
      </c>
      <c r="P1833" s="549">
        <v>1.78</v>
      </c>
      <c r="Q1833" s="549">
        <v>293.04000000000002</v>
      </c>
    </row>
    <row r="1834" spans="1:17" x14ac:dyDescent="0.25">
      <c r="A1834" s="549" t="s">
        <v>514</v>
      </c>
      <c r="B1834" s="549" t="s">
        <v>1032</v>
      </c>
      <c r="C1834" s="549" t="s">
        <v>530</v>
      </c>
      <c r="D1834" s="549" t="s">
        <v>1035</v>
      </c>
      <c r="E1834" s="549" t="s">
        <v>977</v>
      </c>
      <c r="F1834" s="549" t="s">
        <v>1212</v>
      </c>
      <c r="G1834" s="549" t="s">
        <v>1351</v>
      </c>
      <c r="H1834" s="549" t="s">
        <v>530</v>
      </c>
      <c r="I1834" s="549" t="s">
        <v>976</v>
      </c>
      <c r="J1834" s="549" t="s">
        <v>976</v>
      </c>
      <c r="K1834" s="549" t="s">
        <v>976</v>
      </c>
      <c r="L1834" s="549">
        <v>0.02</v>
      </c>
      <c r="M1834" s="549">
        <v>0</v>
      </c>
      <c r="N1834" s="549">
        <v>0</v>
      </c>
      <c r="O1834" s="549">
        <v>0</v>
      </c>
      <c r="P1834" s="549">
        <v>1.78</v>
      </c>
      <c r="Q1834" s="549">
        <v>0</v>
      </c>
    </row>
    <row r="1835" spans="1:17" x14ac:dyDescent="0.25">
      <c r="A1835" s="549" t="s">
        <v>514</v>
      </c>
      <c r="B1835" s="549" t="s">
        <v>1032</v>
      </c>
      <c r="C1835" s="549" t="s">
        <v>530</v>
      </c>
      <c r="D1835" s="549" t="s">
        <v>1035</v>
      </c>
      <c r="E1835" s="549" t="s">
        <v>977</v>
      </c>
      <c r="F1835" s="549" t="s">
        <v>1212</v>
      </c>
      <c r="G1835" s="549" t="s">
        <v>1352</v>
      </c>
      <c r="H1835" s="549" t="s">
        <v>530</v>
      </c>
      <c r="I1835" s="549" t="s">
        <v>976</v>
      </c>
      <c r="J1835" s="549" t="s">
        <v>976</v>
      </c>
      <c r="K1835" s="549" t="s">
        <v>976</v>
      </c>
      <c r="L1835" s="549">
        <v>0.02</v>
      </c>
      <c r="M1835" s="549">
        <v>0</v>
      </c>
      <c r="N1835" s="549">
        <v>0</v>
      </c>
      <c r="O1835" s="549">
        <v>0</v>
      </c>
      <c r="P1835" s="549">
        <v>1.78</v>
      </c>
      <c r="Q1835" s="549">
        <v>0</v>
      </c>
    </row>
    <row r="1836" spans="1:17" x14ac:dyDescent="0.25">
      <c r="A1836" s="549" t="s">
        <v>514</v>
      </c>
      <c r="B1836" s="549" t="s">
        <v>1032</v>
      </c>
      <c r="C1836" s="549" t="s">
        <v>530</v>
      </c>
      <c r="D1836" s="549" t="s">
        <v>1035</v>
      </c>
      <c r="E1836" s="549" t="s">
        <v>977</v>
      </c>
      <c r="F1836" s="549" t="s">
        <v>1212</v>
      </c>
      <c r="G1836" s="549">
        <v>2372</v>
      </c>
      <c r="H1836" s="549" t="s">
        <v>648</v>
      </c>
      <c r="I1836" s="549" t="s">
        <v>976</v>
      </c>
      <c r="J1836" s="549" t="s">
        <v>976</v>
      </c>
      <c r="K1836" s="549" t="s">
        <v>976</v>
      </c>
      <c r="L1836" s="549">
        <v>892972.4</v>
      </c>
      <c r="M1836" s="549">
        <v>67419.42</v>
      </c>
      <c r="N1836" s="549">
        <v>19734.689999999999</v>
      </c>
      <c r="O1836" s="549">
        <v>3968</v>
      </c>
      <c r="P1836" s="549">
        <v>1.78</v>
      </c>
      <c r="Q1836" s="549">
        <v>1621.97</v>
      </c>
    </row>
    <row r="1837" spans="1:17" x14ac:dyDescent="0.25">
      <c r="A1837" s="549" t="s">
        <v>514</v>
      </c>
      <c r="B1837" s="549" t="s">
        <v>1032</v>
      </c>
      <c r="C1837" s="549" t="s">
        <v>530</v>
      </c>
      <c r="D1837" s="549" t="s">
        <v>1035</v>
      </c>
      <c r="E1837" s="549" t="s">
        <v>977</v>
      </c>
      <c r="F1837" s="549" t="s">
        <v>1212</v>
      </c>
      <c r="G1837" s="549">
        <v>2402</v>
      </c>
      <c r="H1837" s="549" t="s">
        <v>648</v>
      </c>
      <c r="I1837" s="549" t="s">
        <v>976</v>
      </c>
      <c r="J1837" s="549" t="s">
        <v>976</v>
      </c>
      <c r="K1837" s="549" t="s">
        <v>976</v>
      </c>
      <c r="L1837" s="549">
        <v>892972.4</v>
      </c>
      <c r="M1837" s="549">
        <v>67419.42</v>
      </c>
      <c r="N1837" s="549">
        <v>19734.689999999999</v>
      </c>
      <c r="O1837" s="549">
        <v>3968</v>
      </c>
      <c r="P1837" s="549">
        <v>1.78</v>
      </c>
      <c r="Q1837" s="549">
        <v>1621.97</v>
      </c>
    </row>
    <row r="1838" spans="1:17" x14ac:dyDescent="0.25">
      <c r="A1838" s="549" t="s">
        <v>514</v>
      </c>
      <c r="B1838" s="549" t="s">
        <v>1032</v>
      </c>
      <c r="C1838" s="549" t="s">
        <v>531</v>
      </c>
      <c r="D1838" s="549" t="s">
        <v>1184</v>
      </c>
      <c r="E1838" s="549" t="s">
        <v>973</v>
      </c>
      <c r="F1838" s="549" t="s">
        <v>1212</v>
      </c>
      <c r="G1838" s="549">
        <v>812</v>
      </c>
      <c r="H1838" s="549" t="s">
        <v>531</v>
      </c>
      <c r="I1838" s="549" t="s">
        <v>976</v>
      </c>
      <c r="J1838" s="549" t="s">
        <v>976</v>
      </c>
      <c r="K1838" s="549" t="s">
        <v>976</v>
      </c>
      <c r="L1838" s="549">
        <v>159529.99</v>
      </c>
      <c r="M1838" s="549">
        <v>12044.51</v>
      </c>
      <c r="N1838" s="549">
        <v>9157.02</v>
      </c>
      <c r="O1838" s="549">
        <v>892.8</v>
      </c>
      <c r="P1838" s="549">
        <v>98.05</v>
      </c>
      <c r="Q1838" s="549">
        <v>21663.49</v>
      </c>
    </row>
    <row r="1839" spans="1:17" x14ac:dyDescent="0.25">
      <c r="A1839" s="549" t="s">
        <v>514</v>
      </c>
      <c r="B1839" s="549" t="s">
        <v>1032</v>
      </c>
      <c r="C1839" s="549" t="s">
        <v>531</v>
      </c>
      <c r="D1839" s="549" t="s">
        <v>1184</v>
      </c>
      <c r="E1839" s="549" t="s">
        <v>973</v>
      </c>
      <c r="F1839" s="549" t="s">
        <v>1212</v>
      </c>
      <c r="G1839" s="549">
        <v>912</v>
      </c>
      <c r="H1839" s="549" t="s">
        <v>531</v>
      </c>
      <c r="I1839" s="549" t="s">
        <v>976</v>
      </c>
      <c r="J1839" s="549" t="s">
        <v>976</v>
      </c>
      <c r="K1839" s="549" t="s">
        <v>976</v>
      </c>
      <c r="L1839" s="549">
        <v>159529.99</v>
      </c>
      <c r="M1839" s="549">
        <v>12044.51</v>
      </c>
      <c r="N1839" s="549">
        <v>9157.02</v>
      </c>
      <c r="O1839" s="549">
        <v>892.8</v>
      </c>
      <c r="P1839" s="549">
        <v>98.05</v>
      </c>
      <c r="Q1839" s="549">
        <v>21663.49</v>
      </c>
    </row>
    <row r="1840" spans="1:17" x14ac:dyDescent="0.25">
      <c r="A1840" s="549" t="s">
        <v>514</v>
      </c>
      <c r="B1840" s="549" t="s">
        <v>1032</v>
      </c>
      <c r="C1840" s="549" t="s">
        <v>531</v>
      </c>
      <c r="D1840" s="549" t="s">
        <v>1184</v>
      </c>
      <c r="E1840" s="549" t="s">
        <v>973</v>
      </c>
      <c r="F1840" s="549" t="s">
        <v>1212</v>
      </c>
      <c r="G1840" s="549">
        <v>1012</v>
      </c>
      <c r="H1840" s="549" t="s">
        <v>531</v>
      </c>
      <c r="I1840" s="549" t="s">
        <v>976</v>
      </c>
      <c r="J1840" s="549" t="s">
        <v>976</v>
      </c>
      <c r="K1840" s="549" t="s">
        <v>976</v>
      </c>
      <c r="L1840" s="549">
        <v>159529.99</v>
      </c>
      <c r="M1840" s="549">
        <v>12044.51</v>
      </c>
      <c r="N1840" s="549">
        <v>9157.02</v>
      </c>
      <c r="O1840" s="549">
        <v>892.8</v>
      </c>
      <c r="P1840" s="549">
        <v>98.05</v>
      </c>
      <c r="Q1840" s="549">
        <v>21663.49</v>
      </c>
    </row>
    <row r="1841" spans="1:17" x14ac:dyDescent="0.25">
      <c r="A1841" s="549" t="s">
        <v>514</v>
      </c>
      <c r="B1841" s="549" t="s">
        <v>1032</v>
      </c>
      <c r="C1841" s="549" t="s">
        <v>531</v>
      </c>
      <c r="D1841" s="549" t="s">
        <v>1184</v>
      </c>
      <c r="E1841" s="549" t="s">
        <v>973</v>
      </c>
      <c r="F1841" s="549" t="s">
        <v>1212</v>
      </c>
      <c r="G1841" s="549">
        <v>1112</v>
      </c>
      <c r="H1841" s="549" t="s">
        <v>531</v>
      </c>
      <c r="I1841" s="549" t="s">
        <v>976</v>
      </c>
      <c r="J1841" s="549" t="s">
        <v>976</v>
      </c>
      <c r="K1841" s="549" t="s">
        <v>976</v>
      </c>
      <c r="L1841" s="549">
        <v>159529.99</v>
      </c>
      <c r="M1841" s="549">
        <v>12044.51</v>
      </c>
      <c r="N1841" s="549">
        <v>9157.02</v>
      </c>
      <c r="O1841" s="549">
        <v>892.8</v>
      </c>
      <c r="P1841" s="549">
        <v>98.05</v>
      </c>
      <c r="Q1841" s="549">
        <v>21663.49</v>
      </c>
    </row>
    <row r="1842" spans="1:17" x14ac:dyDescent="0.25">
      <c r="A1842" s="549" t="s">
        <v>514</v>
      </c>
      <c r="B1842" s="549" t="s">
        <v>1032</v>
      </c>
      <c r="C1842" s="549" t="s">
        <v>531</v>
      </c>
      <c r="D1842" s="549" t="s">
        <v>1184</v>
      </c>
      <c r="E1842" s="549" t="s">
        <v>977</v>
      </c>
      <c r="F1842" s="549" t="s">
        <v>1212</v>
      </c>
      <c r="G1842" s="549">
        <v>812</v>
      </c>
      <c r="H1842" s="549" t="s">
        <v>531</v>
      </c>
      <c r="I1842" s="549" t="s">
        <v>976</v>
      </c>
      <c r="J1842" s="549" t="s">
        <v>976</v>
      </c>
      <c r="K1842" s="549" t="s">
        <v>976</v>
      </c>
      <c r="L1842" s="549">
        <v>159529.99</v>
      </c>
      <c r="M1842" s="549">
        <v>12044.51</v>
      </c>
      <c r="N1842" s="549">
        <v>3525.61</v>
      </c>
      <c r="O1842" s="549">
        <v>892.8</v>
      </c>
      <c r="P1842" s="549">
        <v>1.95</v>
      </c>
      <c r="Q1842" s="549">
        <v>321.02999999999997</v>
      </c>
    </row>
    <row r="1843" spans="1:17" x14ac:dyDescent="0.25">
      <c r="A1843" s="549" t="s">
        <v>514</v>
      </c>
      <c r="B1843" s="549" t="s">
        <v>1032</v>
      </c>
      <c r="C1843" s="549" t="s">
        <v>531</v>
      </c>
      <c r="D1843" s="549" t="s">
        <v>1184</v>
      </c>
      <c r="E1843" s="549" t="s">
        <v>977</v>
      </c>
      <c r="F1843" s="549" t="s">
        <v>1212</v>
      </c>
      <c r="G1843" s="549">
        <v>912</v>
      </c>
      <c r="H1843" s="549" t="s">
        <v>531</v>
      </c>
      <c r="I1843" s="549" t="s">
        <v>976</v>
      </c>
      <c r="J1843" s="549" t="s">
        <v>976</v>
      </c>
      <c r="K1843" s="549" t="s">
        <v>976</v>
      </c>
      <c r="L1843" s="549">
        <v>159529.99</v>
      </c>
      <c r="M1843" s="549">
        <v>12044.51</v>
      </c>
      <c r="N1843" s="549">
        <v>3525.61</v>
      </c>
      <c r="O1843" s="549">
        <v>892.8</v>
      </c>
      <c r="P1843" s="549">
        <v>1.95</v>
      </c>
      <c r="Q1843" s="549">
        <v>321.02999999999997</v>
      </c>
    </row>
    <row r="1844" spans="1:17" x14ac:dyDescent="0.25">
      <c r="A1844" s="549" t="s">
        <v>514</v>
      </c>
      <c r="B1844" s="549" t="s">
        <v>1032</v>
      </c>
      <c r="C1844" s="549" t="s">
        <v>531</v>
      </c>
      <c r="D1844" s="549" t="s">
        <v>1184</v>
      </c>
      <c r="E1844" s="549" t="s">
        <v>977</v>
      </c>
      <c r="F1844" s="549" t="s">
        <v>1212</v>
      </c>
      <c r="G1844" s="549">
        <v>1012</v>
      </c>
      <c r="H1844" s="549" t="s">
        <v>531</v>
      </c>
      <c r="I1844" s="549" t="s">
        <v>976</v>
      </c>
      <c r="J1844" s="549" t="s">
        <v>976</v>
      </c>
      <c r="K1844" s="549" t="s">
        <v>976</v>
      </c>
      <c r="L1844" s="549">
        <v>159529.99</v>
      </c>
      <c r="M1844" s="549">
        <v>12044.51</v>
      </c>
      <c r="N1844" s="549">
        <v>3525.61</v>
      </c>
      <c r="O1844" s="549">
        <v>892.8</v>
      </c>
      <c r="P1844" s="549">
        <v>1.95</v>
      </c>
      <c r="Q1844" s="549">
        <v>321.02999999999997</v>
      </c>
    </row>
    <row r="1845" spans="1:17" x14ac:dyDescent="0.25">
      <c r="A1845" s="549" t="s">
        <v>514</v>
      </c>
      <c r="B1845" s="549" t="s">
        <v>1032</v>
      </c>
      <c r="C1845" s="549" t="s">
        <v>531</v>
      </c>
      <c r="D1845" s="549" t="s">
        <v>1184</v>
      </c>
      <c r="E1845" s="549" t="s">
        <v>977</v>
      </c>
      <c r="F1845" s="549" t="s">
        <v>1212</v>
      </c>
      <c r="G1845" s="549">
        <v>1112</v>
      </c>
      <c r="H1845" s="549" t="s">
        <v>531</v>
      </c>
      <c r="I1845" s="549" t="s">
        <v>976</v>
      </c>
      <c r="J1845" s="549" t="s">
        <v>976</v>
      </c>
      <c r="K1845" s="549" t="s">
        <v>976</v>
      </c>
      <c r="L1845" s="549">
        <v>159529.99</v>
      </c>
      <c r="M1845" s="549">
        <v>12044.51</v>
      </c>
      <c r="N1845" s="549">
        <v>3525.61</v>
      </c>
      <c r="O1845" s="549">
        <v>892.8</v>
      </c>
      <c r="P1845" s="549">
        <v>1.95</v>
      </c>
      <c r="Q1845" s="549">
        <v>321.02999999999997</v>
      </c>
    </row>
    <row r="1846" spans="1:17" x14ac:dyDescent="0.25">
      <c r="A1846" s="549" t="s">
        <v>514</v>
      </c>
      <c r="B1846" s="549" t="s">
        <v>1032</v>
      </c>
      <c r="C1846" s="549" t="s">
        <v>532</v>
      </c>
      <c r="D1846" s="549" t="s">
        <v>1185</v>
      </c>
      <c r="E1846" s="549" t="s">
        <v>973</v>
      </c>
      <c r="F1846" s="549" t="s">
        <v>1212</v>
      </c>
      <c r="G1846" s="549">
        <v>1212</v>
      </c>
      <c r="H1846" s="549" t="s">
        <v>532</v>
      </c>
      <c r="I1846" s="549" t="s">
        <v>976</v>
      </c>
      <c r="J1846" s="549" t="s">
        <v>976</v>
      </c>
      <c r="K1846" s="549" t="s">
        <v>976</v>
      </c>
      <c r="L1846" s="549">
        <v>159529.99</v>
      </c>
      <c r="M1846" s="549">
        <v>12044.51</v>
      </c>
      <c r="N1846" s="549">
        <v>9157.02</v>
      </c>
      <c r="O1846" s="549">
        <v>892.8</v>
      </c>
      <c r="P1846" s="549">
        <v>98.19</v>
      </c>
      <c r="Q1846" s="549">
        <v>21694.42</v>
      </c>
    </row>
    <row r="1847" spans="1:17" x14ac:dyDescent="0.25">
      <c r="A1847" s="549" t="s">
        <v>514</v>
      </c>
      <c r="B1847" s="549" t="s">
        <v>1032</v>
      </c>
      <c r="C1847" s="549" t="s">
        <v>532</v>
      </c>
      <c r="D1847" s="549" t="s">
        <v>1185</v>
      </c>
      <c r="E1847" s="549" t="s">
        <v>973</v>
      </c>
      <c r="F1847" s="549" t="s">
        <v>1212</v>
      </c>
      <c r="G1847" s="549">
        <v>1312</v>
      </c>
      <c r="H1847" s="549" t="s">
        <v>532</v>
      </c>
      <c r="I1847" s="549" t="s">
        <v>976</v>
      </c>
      <c r="J1847" s="549" t="s">
        <v>976</v>
      </c>
      <c r="K1847" s="549" t="s">
        <v>976</v>
      </c>
      <c r="L1847" s="549">
        <v>159529.99</v>
      </c>
      <c r="M1847" s="549">
        <v>12044.51</v>
      </c>
      <c r="N1847" s="549">
        <v>9157.02</v>
      </c>
      <c r="O1847" s="549">
        <v>892.8</v>
      </c>
      <c r="P1847" s="549">
        <v>98.19</v>
      </c>
      <c r="Q1847" s="549">
        <v>21694.42</v>
      </c>
    </row>
    <row r="1848" spans="1:17" x14ac:dyDescent="0.25">
      <c r="A1848" s="549" t="s">
        <v>514</v>
      </c>
      <c r="B1848" s="549" t="s">
        <v>1032</v>
      </c>
      <c r="C1848" s="549" t="s">
        <v>532</v>
      </c>
      <c r="D1848" s="549" t="s">
        <v>1185</v>
      </c>
      <c r="E1848" s="549" t="s">
        <v>973</v>
      </c>
      <c r="F1848" s="549" t="s">
        <v>1212</v>
      </c>
      <c r="G1848" s="549">
        <v>1412</v>
      </c>
      <c r="H1848" s="549" t="s">
        <v>532</v>
      </c>
      <c r="I1848" s="549" t="s">
        <v>976</v>
      </c>
      <c r="J1848" s="549" t="s">
        <v>976</v>
      </c>
      <c r="K1848" s="549" t="s">
        <v>976</v>
      </c>
      <c r="L1848" s="549">
        <v>159529.99</v>
      </c>
      <c r="M1848" s="549">
        <v>12044.51</v>
      </c>
      <c r="N1848" s="549">
        <v>9157.02</v>
      </c>
      <c r="O1848" s="549">
        <v>892.8</v>
      </c>
      <c r="P1848" s="549">
        <v>98.19</v>
      </c>
      <c r="Q1848" s="549">
        <v>21694.42</v>
      </c>
    </row>
    <row r="1849" spans="1:17" x14ac:dyDescent="0.25">
      <c r="A1849" s="549" t="s">
        <v>514</v>
      </c>
      <c r="B1849" s="549" t="s">
        <v>1032</v>
      </c>
      <c r="C1849" s="549" t="s">
        <v>532</v>
      </c>
      <c r="D1849" s="549" t="s">
        <v>1185</v>
      </c>
      <c r="E1849" s="549" t="s">
        <v>973</v>
      </c>
      <c r="F1849" s="549" t="s">
        <v>1212</v>
      </c>
      <c r="G1849" s="549">
        <v>1512</v>
      </c>
      <c r="H1849" s="549" t="s">
        <v>532</v>
      </c>
      <c r="I1849" s="549" t="s">
        <v>976</v>
      </c>
      <c r="J1849" s="549" t="s">
        <v>976</v>
      </c>
      <c r="K1849" s="549" t="s">
        <v>976</v>
      </c>
      <c r="L1849" s="549">
        <v>159529.99</v>
      </c>
      <c r="M1849" s="549">
        <v>12044.51</v>
      </c>
      <c r="N1849" s="549">
        <v>9157.02</v>
      </c>
      <c r="O1849" s="549">
        <v>892.8</v>
      </c>
      <c r="P1849" s="549">
        <v>98.19</v>
      </c>
      <c r="Q1849" s="549">
        <v>21694.42</v>
      </c>
    </row>
    <row r="1850" spans="1:17" x14ac:dyDescent="0.25">
      <c r="A1850" s="549" t="s">
        <v>514</v>
      </c>
      <c r="B1850" s="549" t="s">
        <v>1032</v>
      </c>
      <c r="C1850" s="549" t="s">
        <v>532</v>
      </c>
      <c r="D1850" s="549" t="s">
        <v>1185</v>
      </c>
      <c r="E1850" s="549" t="s">
        <v>977</v>
      </c>
      <c r="F1850" s="549" t="s">
        <v>1212</v>
      </c>
      <c r="G1850" s="549">
        <v>1212</v>
      </c>
      <c r="H1850" s="549" t="s">
        <v>532</v>
      </c>
      <c r="I1850" s="549" t="s">
        <v>976</v>
      </c>
      <c r="J1850" s="549" t="s">
        <v>976</v>
      </c>
      <c r="K1850" s="549" t="s">
        <v>976</v>
      </c>
      <c r="L1850" s="549">
        <v>159529.99</v>
      </c>
      <c r="M1850" s="549">
        <v>12044.51</v>
      </c>
      <c r="N1850" s="549">
        <v>3525.61</v>
      </c>
      <c r="O1850" s="549">
        <v>892.8</v>
      </c>
      <c r="P1850" s="549">
        <v>1.81</v>
      </c>
      <c r="Q1850" s="549">
        <v>297.98</v>
      </c>
    </row>
    <row r="1851" spans="1:17" x14ac:dyDescent="0.25">
      <c r="A1851" s="549" t="s">
        <v>514</v>
      </c>
      <c r="B1851" s="549" t="s">
        <v>1032</v>
      </c>
      <c r="C1851" s="549" t="s">
        <v>532</v>
      </c>
      <c r="D1851" s="549" t="s">
        <v>1185</v>
      </c>
      <c r="E1851" s="549" t="s">
        <v>977</v>
      </c>
      <c r="F1851" s="549" t="s">
        <v>1212</v>
      </c>
      <c r="G1851" s="549">
        <v>1312</v>
      </c>
      <c r="H1851" s="549" t="s">
        <v>532</v>
      </c>
      <c r="I1851" s="549" t="s">
        <v>976</v>
      </c>
      <c r="J1851" s="549" t="s">
        <v>976</v>
      </c>
      <c r="K1851" s="549" t="s">
        <v>976</v>
      </c>
      <c r="L1851" s="549">
        <v>159529.99</v>
      </c>
      <c r="M1851" s="549">
        <v>12044.51</v>
      </c>
      <c r="N1851" s="549">
        <v>3525.61</v>
      </c>
      <c r="O1851" s="549">
        <v>892.8</v>
      </c>
      <c r="P1851" s="549">
        <v>1.81</v>
      </c>
      <c r="Q1851" s="549">
        <v>297.98</v>
      </c>
    </row>
    <row r="1852" spans="1:17" x14ac:dyDescent="0.25">
      <c r="A1852" s="549" t="s">
        <v>514</v>
      </c>
      <c r="B1852" s="549" t="s">
        <v>1032</v>
      </c>
      <c r="C1852" s="549" t="s">
        <v>532</v>
      </c>
      <c r="D1852" s="549" t="s">
        <v>1185</v>
      </c>
      <c r="E1852" s="549" t="s">
        <v>977</v>
      </c>
      <c r="F1852" s="549" t="s">
        <v>1212</v>
      </c>
      <c r="G1852" s="549">
        <v>1412</v>
      </c>
      <c r="H1852" s="549" t="s">
        <v>532</v>
      </c>
      <c r="I1852" s="549" t="s">
        <v>976</v>
      </c>
      <c r="J1852" s="549" t="s">
        <v>976</v>
      </c>
      <c r="K1852" s="549" t="s">
        <v>976</v>
      </c>
      <c r="L1852" s="549">
        <v>159529.99</v>
      </c>
      <c r="M1852" s="549">
        <v>12044.51</v>
      </c>
      <c r="N1852" s="549">
        <v>3525.61</v>
      </c>
      <c r="O1852" s="549">
        <v>892.8</v>
      </c>
      <c r="P1852" s="549">
        <v>1.81</v>
      </c>
      <c r="Q1852" s="549">
        <v>297.98</v>
      </c>
    </row>
    <row r="1853" spans="1:17" x14ac:dyDescent="0.25">
      <c r="A1853" s="549" t="s">
        <v>514</v>
      </c>
      <c r="B1853" s="549" t="s">
        <v>1032</v>
      </c>
      <c r="C1853" s="549" t="s">
        <v>532</v>
      </c>
      <c r="D1853" s="549" t="s">
        <v>1185</v>
      </c>
      <c r="E1853" s="549" t="s">
        <v>977</v>
      </c>
      <c r="F1853" s="549" t="s">
        <v>1212</v>
      </c>
      <c r="G1853" s="549">
        <v>1512</v>
      </c>
      <c r="H1853" s="549" t="s">
        <v>532</v>
      </c>
      <c r="I1853" s="549" t="s">
        <v>976</v>
      </c>
      <c r="J1853" s="549" t="s">
        <v>976</v>
      </c>
      <c r="K1853" s="549" t="s">
        <v>976</v>
      </c>
      <c r="L1853" s="549">
        <v>159529.99</v>
      </c>
      <c r="M1853" s="549">
        <v>12044.51</v>
      </c>
      <c r="N1853" s="549">
        <v>3525.61</v>
      </c>
      <c r="O1853" s="549">
        <v>892.8</v>
      </c>
      <c r="P1853" s="549">
        <v>1.81</v>
      </c>
      <c r="Q1853" s="549">
        <v>297.98</v>
      </c>
    </row>
    <row r="1854" spans="1:17" x14ac:dyDescent="0.25">
      <c r="A1854" s="549" t="s">
        <v>514</v>
      </c>
      <c r="B1854" s="549" t="s">
        <v>1032</v>
      </c>
      <c r="C1854" s="549" t="s">
        <v>648</v>
      </c>
      <c r="D1854" s="549" t="s">
        <v>649</v>
      </c>
      <c r="E1854" s="549" t="s">
        <v>977</v>
      </c>
      <c r="F1854" s="549" t="s">
        <v>1212</v>
      </c>
      <c r="G1854" s="549">
        <v>2492</v>
      </c>
      <c r="H1854" s="549" t="s">
        <v>648</v>
      </c>
      <c r="I1854" s="549" t="s">
        <v>976</v>
      </c>
      <c r="J1854" s="549" t="s">
        <v>976</v>
      </c>
      <c r="K1854" s="549" t="s">
        <v>976</v>
      </c>
      <c r="L1854" s="549">
        <v>633521.49</v>
      </c>
      <c r="M1854" s="549">
        <v>47830.87</v>
      </c>
      <c r="N1854" s="549">
        <v>14000.82</v>
      </c>
      <c r="O1854" s="549">
        <v>2976</v>
      </c>
      <c r="P1854" s="549">
        <v>17.690000000000001</v>
      </c>
      <c r="Q1854" s="549">
        <v>11464.48</v>
      </c>
    </row>
    <row r="1855" spans="1:17" x14ac:dyDescent="0.25">
      <c r="A1855" s="549" t="s">
        <v>514</v>
      </c>
      <c r="B1855" s="549" t="s">
        <v>1032</v>
      </c>
      <c r="C1855" s="549" t="s">
        <v>648</v>
      </c>
      <c r="D1855" s="549" t="s">
        <v>649</v>
      </c>
      <c r="E1855" s="549" t="s">
        <v>977</v>
      </c>
      <c r="F1855" s="549" t="s">
        <v>1212</v>
      </c>
      <c r="G1855" s="549">
        <v>2522</v>
      </c>
      <c r="H1855" s="549" t="s">
        <v>648</v>
      </c>
      <c r="I1855" s="549" t="s">
        <v>976</v>
      </c>
      <c r="J1855" s="549" t="s">
        <v>976</v>
      </c>
      <c r="K1855" s="549" t="s">
        <v>976</v>
      </c>
      <c r="L1855" s="549">
        <v>633521.49</v>
      </c>
      <c r="M1855" s="549">
        <v>47830.87</v>
      </c>
      <c r="N1855" s="549">
        <v>14000.82</v>
      </c>
      <c r="O1855" s="549">
        <v>2976</v>
      </c>
      <c r="P1855" s="549">
        <v>17.690000000000001</v>
      </c>
      <c r="Q1855" s="549">
        <v>11464.48</v>
      </c>
    </row>
    <row r="1856" spans="1:17" x14ac:dyDescent="0.25">
      <c r="A1856" s="549" t="s">
        <v>514</v>
      </c>
      <c r="B1856" s="549" t="s">
        <v>1032</v>
      </c>
      <c r="C1856" s="549" t="s">
        <v>648</v>
      </c>
      <c r="D1856" s="549" t="s">
        <v>649</v>
      </c>
      <c r="E1856" s="549" t="s">
        <v>977</v>
      </c>
      <c r="F1856" s="549" t="s">
        <v>1212</v>
      </c>
      <c r="G1856" s="549">
        <v>6302</v>
      </c>
      <c r="H1856" s="549" t="s">
        <v>648</v>
      </c>
      <c r="I1856" s="549" t="s">
        <v>976</v>
      </c>
      <c r="J1856" s="549" t="s">
        <v>976</v>
      </c>
      <c r="K1856" s="549" t="s">
        <v>976</v>
      </c>
      <c r="L1856" s="549">
        <v>136264.03</v>
      </c>
      <c r="M1856" s="549">
        <v>10287.93</v>
      </c>
      <c r="N1856" s="549">
        <v>3011.44</v>
      </c>
      <c r="O1856" s="549">
        <v>1984</v>
      </c>
      <c r="P1856" s="549">
        <v>17.690000000000001</v>
      </c>
      <c r="Q1856" s="549">
        <v>2703.63</v>
      </c>
    </row>
    <row r="1857" spans="1:17" x14ac:dyDescent="0.25">
      <c r="A1857" s="549" t="s">
        <v>514</v>
      </c>
      <c r="B1857" s="549" t="s">
        <v>1032</v>
      </c>
      <c r="C1857" s="549" t="s">
        <v>648</v>
      </c>
      <c r="D1857" s="549" t="s">
        <v>649</v>
      </c>
      <c r="E1857" s="549" t="s">
        <v>977</v>
      </c>
      <c r="F1857" s="549" t="s">
        <v>1212</v>
      </c>
      <c r="G1857" s="549">
        <v>6332</v>
      </c>
      <c r="H1857" s="549" t="s">
        <v>648</v>
      </c>
      <c r="I1857" s="549" t="s">
        <v>976</v>
      </c>
      <c r="J1857" s="549" t="s">
        <v>976</v>
      </c>
      <c r="K1857" s="549" t="s">
        <v>976</v>
      </c>
      <c r="L1857" s="549">
        <v>47895.48</v>
      </c>
      <c r="M1857" s="549">
        <v>3616.11</v>
      </c>
      <c r="N1857" s="549">
        <v>1058.49</v>
      </c>
      <c r="O1857" s="549">
        <v>892.8</v>
      </c>
      <c r="P1857" s="549">
        <v>100</v>
      </c>
      <c r="Q1857" s="549">
        <v>5567.4</v>
      </c>
    </row>
    <row r="1858" spans="1:17" x14ac:dyDescent="0.25">
      <c r="A1858" s="549" t="s">
        <v>514</v>
      </c>
      <c r="B1858" s="549" t="s">
        <v>1032</v>
      </c>
      <c r="C1858" s="549" t="s">
        <v>648</v>
      </c>
      <c r="D1858" s="549" t="s">
        <v>649</v>
      </c>
      <c r="E1858" s="549" t="s">
        <v>977</v>
      </c>
      <c r="F1858" s="549" t="s">
        <v>1212</v>
      </c>
      <c r="G1858" s="549">
        <v>6382</v>
      </c>
      <c r="H1858" s="549" t="s">
        <v>648</v>
      </c>
      <c r="I1858" s="549" t="s">
        <v>976</v>
      </c>
      <c r="J1858" s="549" t="s">
        <v>976</v>
      </c>
      <c r="K1858" s="549" t="s">
        <v>976</v>
      </c>
      <c r="L1858" s="549">
        <v>136264.03</v>
      </c>
      <c r="M1858" s="549">
        <v>10287.93</v>
      </c>
      <c r="N1858" s="549">
        <v>3011.44</v>
      </c>
      <c r="O1858" s="549">
        <v>1984</v>
      </c>
      <c r="P1858" s="549">
        <v>17.690000000000001</v>
      </c>
      <c r="Q1858" s="549">
        <v>2703.63</v>
      </c>
    </row>
    <row r="1859" spans="1:17" x14ac:dyDescent="0.25">
      <c r="A1859" s="549" t="s">
        <v>514</v>
      </c>
      <c r="B1859" s="549" t="s">
        <v>1032</v>
      </c>
      <c r="C1859" s="549" t="s">
        <v>648</v>
      </c>
      <c r="D1859" s="549" t="s">
        <v>649</v>
      </c>
      <c r="E1859" s="549" t="s">
        <v>977</v>
      </c>
      <c r="F1859" s="549" t="s">
        <v>1212</v>
      </c>
      <c r="G1859" s="549">
        <v>6392</v>
      </c>
      <c r="H1859" s="549" t="s">
        <v>648</v>
      </c>
      <c r="I1859" s="549" t="s">
        <v>976</v>
      </c>
      <c r="J1859" s="549" t="s">
        <v>976</v>
      </c>
      <c r="K1859" s="549" t="s">
        <v>976</v>
      </c>
      <c r="L1859" s="549">
        <v>47895.48</v>
      </c>
      <c r="M1859" s="549">
        <v>3616.11</v>
      </c>
      <c r="N1859" s="549">
        <v>1058.49</v>
      </c>
      <c r="O1859" s="549">
        <v>892.8</v>
      </c>
      <c r="P1859" s="549">
        <v>100</v>
      </c>
      <c r="Q1859" s="549">
        <v>5567.4</v>
      </c>
    </row>
    <row r="1860" spans="1:17" x14ac:dyDescent="0.25">
      <c r="A1860" s="549" t="s">
        <v>514</v>
      </c>
      <c r="B1860" s="549" t="s">
        <v>1032</v>
      </c>
      <c r="C1860" s="549" t="s">
        <v>648</v>
      </c>
      <c r="D1860" s="549" t="s">
        <v>649</v>
      </c>
      <c r="E1860" s="549" t="s">
        <v>977</v>
      </c>
      <c r="F1860" s="549" t="s">
        <v>1212</v>
      </c>
      <c r="G1860" s="549">
        <v>6412</v>
      </c>
      <c r="H1860" s="549" t="s">
        <v>648</v>
      </c>
      <c r="I1860" s="549" t="s">
        <v>976</v>
      </c>
      <c r="J1860" s="549" t="s">
        <v>976</v>
      </c>
      <c r="K1860" s="549" t="s">
        <v>976</v>
      </c>
      <c r="L1860" s="549">
        <v>47895.48</v>
      </c>
      <c r="M1860" s="549">
        <v>3616.11</v>
      </c>
      <c r="N1860" s="549">
        <v>1058.49</v>
      </c>
      <c r="O1860" s="549">
        <v>892.8</v>
      </c>
      <c r="P1860" s="549">
        <v>100</v>
      </c>
      <c r="Q1860" s="549">
        <v>5567.4</v>
      </c>
    </row>
    <row r="1861" spans="1:17" x14ac:dyDescent="0.25">
      <c r="A1861" s="549" t="s">
        <v>514</v>
      </c>
      <c r="B1861" s="549" t="s">
        <v>1032</v>
      </c>
      <c r="C1861" s="549" t="s">
        <v>648</v>
      </c>
      <c r="D1861" s="549" t="s">
        <v>649</v>
      </c>
      <c r="E1861" s="549" t="s">
        <v>977</v>
      </c>
      <c r="F1861" s="549" t="s">
        <v>1212</v>
      </c>
      <c r="G1861" s="549" t="s">
        <v>1231</v>
      </c>
      <c r="H1861" s="549" t="s">
        <v>648</v>
      </c>
      <c r="I1861" s="549" t="s">
        <v>976</v>
      </c>
      <c r="J1861" s="549" t="s">
        <v>976</v>
      </c>
      <c r="K1861" s="549" t="s">
        <v>976</v>
      </c>
      <c r="L1861" s="549">
        <v>35209.17</v>
      </c>
      <c r="M1861" s="549">
        <v>2658.29</v>
      </c>
      <c r="N1861" s="549">
        <v>778.12</v>
      </c>
      <c r="O1861" s="549">
        <v>1984</v>
      </c>
      <c r="P1861" s="549">
        <v>17.690000000000001</v>
      </c>
      <c r="Q1861" s="549">
        <v>958.87</v>
      </c>
    </row>
    <row r="1862" spans="1:17" x14ac:dyDescent="0.25">
      <c r="A1862" s="549" t="s">
        <v>514</v>
      </c>
      <c r="B1862" s="549" t="s">
        <v>1032</v>
      </c>
      <c r="C1862" s="549" t="s">
        <v>648</v>
      </c>
      <c r="D1862" s="549" t="s">
        <v>649</v>
      </c>
      <c r="E1862" s="549" t="s">
        <v>977</v>
      </c>
      <c r="F1862" s="549" t="s">
        <v>1212</v>
      </c>
      <c r="G1862" s="549" t="s">
        <v>1353</v>
      </c>
      <c r="H1862" s="549" t="s">
        <v>648</v>
      </c>
      <c r="I1862" s="549" t="s">
        <v>976</v>
      </c>
      <c r="J1862" s="549" t="s">
        <v>976</v>
      </c>
      <c r="K1862" s="549" t="s">
        <v>976</v>
      </c>
      <c r="L1862" s="549">
        <v>30946.23</v>
      </c>
      <c r="M1862" s="549">
        <v>2336.44</v>
      </c>
      <c r="N1862" s="549">
        <v>683.91</v>
      </c>
      <c r="O1862" s="549">
        <v>0</v>
      </c>
      <c r="P1862" s="549">
        <v>100</v>
      </c>
      <c r="Q1862" s="549">
        <v>3020.35</v>
      </c>
    </row>
    <row r="1863" spans="1:17" x14ac:dyDescent="0.25">
      <c r="A1863" s="549" t="s">
        <v>514</v>
      </c>
      <c r="B1863" s="549" t="s">
        <v>1032</v>
      </c>
      <c r="C1863" s="549" t="s">
        <v>648</v>
      </c>
      <c r="D1863" s="549" t="s">
        <v>649</v>
      </c>
      <c r="E1863" s="549" t="s">
        <v>977</v>
      </c>
      <c r="F1863" s="549" t="s">
        <v>1212</v>
      </c>
      <c r="G1863" s="549" t="s">
        <v>1354</v>
      </c>
      <c r="H1863" s="549" t="s">
        <v>648</v>
      </c>
      <c r="I1863" s="549" t="s">
        <v>976</v>
      </c>
      <c r="J1863" s="549" t="s">
        <v>976</v>
      </c>
      <c r="K1863" s="549" t="s">
        <v>976</v>
      </c>
      <c r="L1863" s="549">
        <v>30946.23</v>
      </c>
      <c r="M1863" s="549">
        <v>2336.44</v>
      </c>
      <c r="N1863" s="549">
        <v>683.91</v>
      </c>
      <c r="O1863" s="549">
        <v>0</v>
      </c>
      <c r="P1863" s="549">
        <v>100</v>
      </c>
      <c r="Q1863" s="549">
        <v>3020.35</v>
      </c>
    </row>
    <row r="1864" spans="1:17" x14ac:dyDescent="0.25">
      <c r="A1864" s="549" t="s">
        <v>514</v>
      </c>
      <c r="B1864" s="549" t="s">
        <v>1032</v>
      </c>
      <c r="C1864" s="549" t="s">
        <v>648</v>
      </c>
      <c r="D1864" s="549" t="s">
        <v>649</v>
      </c>
      <c r="E1864" s="549" t="s">
        <v>977</v>
      </c>
      <c r="F1864" s="549" t="s">
        <v>1212</v>
      </c>
      <c r="G1864" s="549" t="s">
        <v>1355</v>
      </c>
      <c r="H1864" s="549" t="s">
        <v>648</v>
      </c>
      <c r="I1864" s="549" t="s">
        <v>976</v>
      </c>
      <c r="J1864" s="549" t="s">
        <v>976</v>
      </c>
      <c r="K1864" s="549" t="s">
        <v>976</v>
      </c>
      <c r="L1864" s="549">
        <v>30946.23</v>
      </c>
      <c r="M1864" s="549">
        <v>2336.44</v>
      </c>
      <c r="N1864" s="549">
        <v>683.91</v>
      </c>
      <c r="O1864" s="549">
        <v>0</v>
      </c>
      <c r="P1864" s="549">
        <v>100</v>
      </c>
      <c r="Q1864" s="549">
        <v>3020.35</v>
      </c>
    </row>
    <row r="1865" spans="1:17" x14ac:dyDescent="0.25">
      <c r="A1865" s="549" t="s">
        <v>514</v>
      </c>
      <c r="B1865" s="549" t="s">
        <v>1032</v>
      </c>
      <c r="C1865" s="549" t="s">
        <v>535</v>
      </c>
      <c r="D1865" s="549" t="s">
        <v>711</v>
      </c>
      <c r="E1865" s="549" t="s">
        <v>973</v>
      </c>
      <c r="F1865" s="549" t="s">
        <v>1212</v>
      </c>
      <c r="G1865" s="549">
        <v>18</v>
      </c>
      <c r="H1865" s="549" t="s">
        <v>535</v>
      </c>
      <c r="I1865" s="549" t="s">
        <v>976</v>
      </c>
      <c r="J1865" s="549" t="s">
        <v>976</v>
      </c>
      <c r="K1865" s="549" t="s">
        <v>976</v>
      </c>
      <c r="L1865" s="549">
        <v>154077.64000000001</v>
      </c>
      <c r="M1865" s="549">
        <v>11632.86</v>
      </c>
      <c r="N1865" s="549">
        <v>8844.06</v>
      </c>
      <c r="O1865" s="549">
        <v>992</v>
      </c>
      <c r="P1865" s="549">
        <v>0</v>
      </c>
      <c r="Q1865" s="549">
        <v>0</v>
      </c>
    </row>
    <row r="1866" spans="1:17" x14ac:dyDescent="0.25">
      <c r="A1866" s="549" t="s">
        <v>514</v>
      </c>
      <c r="B1866" s="549" t="s">
        <v>1032</v>
      </c>
      <c r="C1866" s="549" t="s">
        <v>535</v>
      </c>
      <c r="D1866" s="549" t="s">
        <v>711</v>
      </c>
      <c r="E1866" s="549" t="s">
        <v>973</v>
      </c>
      <c r="F1866" s="549" t="s">
        <v>1212</v>
      </c>
      <c r="G1866" s="549">
        <v>28</v>
      </c>
      <c r="H1866" s="549" t="s">
        <v>535</v>
      </c>
      <c r="I1866" s="549" t="s">
        <v>976</v>
      </c>
      <c r="J1866" s="549" t="s">
        <v>976</v>
      </c>
      <c r="K1866" s="549" t="s">
        <v>976</v>
      </c>
      <c r="L1866" s="549">
        <v>154077.64000000001</v>
      </c>
      <c r="M1866" s="549">
        <v>11632.86</v>
      </c>
      <c r="N1866" s="549">
        <v>8844.06</v>
      </c>
      <c r="O1866" s="549">
        <v>992</v>
      </c>
      <c r="P1866" s="549">
        <v>0</v>
      </c>
      <c r="Q1866" s="549">
        <v>0</v>
      </c>
    </row>
    <row r="1867" spans="1:17" x14ac:dyDescent="0.25">
      <c r="A1867" s="549" t="s">
        <v>514</v>
      </c>
      <c r="B1867" s="549" t="s">
        <v>1032</v>
      </c>
      <c r="C1867" s="549" t="s">
        <v>535</v>
      </c>
      <c r="D1867" s="549" t="s">
        <v>711</v>
      </c>
      <c r="E1867" s="549" t="s">
        <v>973</v>
      </c>
      <c r="F1867" s="549" t="s">
        <v>1212</v>
      </c>
      <c r="G1867" s="549">
        <v>422</v>
      </c>
      <c r="H1867" s="549" t="s">
        <v>535</v>
      </c>
      <c r="I1867" s="549" t="s">
        <v>976</v>
      </c>
      <c r="J1867" s="549" t="s">
        <v>976</v>
      </c>
      <c r="K1867" s="549" t="s">
        <v>976</v>
      </c>
      <c r="L1867" s="549">
        <v>468690.7</v>
      </c>
      <c r="M1867" s="549">
        <v>35386.15</v>
      </c>
      <c r="N1867" s="549">
        <v>26902.85</v>
      </c>
      <c r="O1867" s="549">
        <v>1984</v>
      </c>
      <c r="P1867" s="549">
        <v>95.98</v>
      </c>
      <c r="Q1867" s="549">
        <v>61689.23</v>
      </c>
    </row>
    <row r="1868" spans="1:17" x14ac:dyDescent="0.25">
      <c r="A1868" s="549" t="s">
        <v>514</v>
      </c>
      <c r="B1868" s="549" t="s">
        <v>1032</v>
      </c>
      <c r="C1868" s="549" t="s">
        <v>535</v>
      </c>
      <c r="D1868" s="549" t="s">
        <v>711</v>
      </c>
      <c r="E1868" s="549" t="s">
        <v>973</v>
      </c>
      <c r="F1868" s="549" t="s">
        <v>1212</v>
      </c>
      <c r="G1868" s="549">
        <v>462</v>
      </c>
      <c r="H1868" s="549" t="s">
        <v>535</v>
      </c>
      <c r="I1868" s="549" t="s">
        <v>976</v>
      </c>
      <c r="J1868" s="549" t="s">
        <v>976</v>
      </c>
      <c r="K1868" s="549" t="s">
        <v>976</v>
      </c>
      <c r="L1868" s="549">
        <v>468690.7</v>
      </c>
      <c r="M1868" s="549">
        <v>35386.15</v>
      </c>
      <c r="N1868" s="549">
        <v>26902.85</v>
      </c>
      <c r="O1868" s="549">
        <v>1984</v>
      </c>
      <c r="P1868" s="549">
        <v>95.98</v>
      </c>
      <c r="Q1868" s="549">
        <v>61689.23</v>
      </c>
    </row>
    <row r="1869" spans="1:17" x14ac:dyDescent="0.25">
      <c r="A1869" s="549" t="s">
        <v>514</v>
      </c>
      <c r="B1869" s="549" t="s">
        <v>1032</v>
      </c>
      <c r="C1869" s="549" t="s">
        <v>535</v>
      </c>
      <c r="D1869" s="549" t="s">
        <v>711</v>
      </c>
      <c r="E1869" s="549" t="s">
        <v>977</v>
      </c>
      <c r="F1869" s="549" t="s">
        <v>1212</v>
      </c>
      <c r="G1869" s="549">
        <v>18</v>
      </c>
      <c r="H1869" s="549" t="s">
        <v>535</v>
      </c>
      <c r="I1869" s="549" t="s">
        <v>976</v>
      </c>
      <c r="J1869" s="549" t="s">
        <v>976</v>
      </c>
      <c r="K1869" s="549" t="s">
        <v>976</v>
      </c>
      <c r="L1869" s="549">
        <v>154077.64000000001</v>
      </c>
      <c r="M1869" s="549">
        <v>11632.86</v>
      </c>
      <c r="N1869" s="549">
        <v>3405.12</v>
      </c>
      <c r="O1869" s="549">
        <v>992</v>
      </c>
      <c r="P1869" s="549">
        <v>0</v>
      </c>
      <c r="Q1869" s="549">
        <v>0</v>
      </c>
    </row>
    <row r="1870" spans="1:17" x14ac:dyDescent="0.25">
      <c r="A1870" s="549" t="s">
        <v>514</v>
      </c>
      <c r="B1870" s="549" t="s">
        <v>1032</v>
      </c>
      <c r="C1870" s="549" t="s">
        <v>535</v>
      </c>
      <c r="D1870" s="549" t="s">
        <v>711</v>
      </c>
      <c r="E1870" s="549" t="s">
        <v>977</v>
      </c>
      <c r="F1870" s="549" t="s">
        <v>1212</v>
      </c>
      <c r="G1870" s="549">
        <v>422</v>
      </c>
      <c r="H1870" s="549" t="s">
        <v>535</v>
      </c>
      <c r="I1870" s="549" t="s">
        <v>976</v>
      </c>
      <c r="J1870" s="549" t="s">
        <v>976</v>
      </c>
      <c r="K1870" s="549" t="s">
        <v>976</v>
      </c>
      <c r="L1870" s="549">
        <v>468690.7</v>
      </c>
      <c r="M1870" s="549">
        <v>35386.15</v>
      </c>
      <c r="N1870" s="549">
        <v>10358.06</v>
      </c>
      <c r="O1870" s="549">
        <v>1984</v>
      </c>
      <c r="P1870" s="549">
        <v>0</v>
      </c>
      <c r="Q1870" s="549">
        <v>0</v>
      </c>
    </row>
    <row r="1871" spans="1:17" x14ac:dyDescent="0.25">
      <c r="A1871" s="549" t="s">
        <v>514</v>
      </c>
      <c r="B1871" s="549" t="s">
        <v>1032</v>
      </c>
      <c r="C1871" s="549" t="s">
        <v>535</v>
      </c>
      <c r="D1871" s="549" t="s">
        <v>711</v>
      </c>
      <c r="E1871" s="549" t="s">
        <v>977</v>
      </c>
      <c r="F1871" s="549" t="s">
        <v>1212</v>
      </c>
      <c r="G1871" s="549">
        <v>462</v>
      </c>
      <c r="H1871" s="549" t="s">
        <v>535</v>
      </c>
      <c r="I1871" s="549" t="s">
        <v>976</v>
      </c>
      <c r="J1871" s="549" t="s">
        <v>976</v>
      </c>
      <c r="K1871" s="549" t="s">
        <v>976</v>
      </c>
      <c r="L1871" s="549">
        <v>468690.7</v>
      </c>
      <c r="M1871" s="549">
        <v>35386.15</v>
      </c>
      <c r="N1871" s="549">
        <v>10358.06</v>
      </c>
      <c r="O1871" s="549">
        <v>1984</v>
      </c>
      <c r="P1871" s="549">
        <v>0</v>
      </c>
      <c r="Q1871" s="549">
        <v>0</v>
      </c>
    </row>
    <row r="1872" spans="1:17" x14ac:dyDescent="0.25">
      <c r="A1872" s="549" t="s">
        <v>1186</v>
      </c>
      <c r="B1872" s="549" t="s">
        <v>1187</v>
      </c>
      <c r="C1872" s="549" t="s">
        <v>1188</v>
      </c>
      <c r="D1872" s="549" t="s">
        <v>1189</v>
      </c>
      <c r="E1872" s="549" t="s">
        <v>977</v>
      </c>
      <c r="F1872" s="549" t="s">
        <v>1212</v>
      </c>
      <c r="G1872" s="549">
        <v>812</v>
      </c>
      <c r="H1872" s="549" t="s">
        <v>1188</v>
      </c>
      <c r="I1872" s="549" t="s">
        <v>976</v>
      </c>
      <c r="J1872" s="549" t="s">
        <v>976</v>
      </c>
      <c r="K1872" s="549" t="s">
        <v>976</v>
      </c>
      <c r="L1872" s="549">
        <v>843788.5</v>
      </c>
      <c r="M1872" s="549">
        <v>63706.03</v>
      </c>
      <c r="N1872" s="549">
        <v>18647.73</v>
      </c>
      <c r="O1872" s="549">
        <v>6944</v>
      </c>
      <c r="P1872" s="549">
        <v>100</v>
      </c>
      <c r="Q1872" s="549">
        <v>89297.76</v>
      </c>
    </row>
    <row r="1873" spans="1:17" x14ac:dyDescent="0.25">
      <c r="A1873" s="549" t="s">
        <v>1186</v>
      </c>
      <c r="B1873" s="549" t="s">
        <v>1187</v>
      </c>
      <c r="C1873" s="549" t="s">
        <v>1188</v>
      </c>
      <c r="D1873" s="549" t="s">
        <v>1189</v>
      </c>
      <c r="E1873" s="549" t="s">
        <v>977</v>
      </c>
      <c r="F1873" s="549" t="s">
        <v>1212</v>
      </c>
      <c r="G1873" s="549">
        <v>882</v>
      </c>
      <c r="H1873" s="549" t="s">
        <v>1188</v>
      </c>
      <c r="I1873" s="549" t="s">
        <v>976</v>
      </c>
      <c r="J1873" s="549" t="s">
        <v>976</v>
      </c>
      <c r="K1873" s="549" t="s">
        <v>976</v>
      </c>
      <c r="L1873" s="549">
        <v>843788.5</v>
      </c>
      <c r="M1873" s="549">
        <v>63706.03</v>
      </c>
      <c r="N1873" s="549">
        <v>18647.73</v>
      </c>
      <c r="O1873" s="549">
        <v>6944</v>
      </c>
      <c r="P1873" s="549">
        <v>100</v>
      </c>
      <c r="Q1873" s="549">
        <v>89297.76</v>
      </c>
    </row>
    <row r="1874" spans="1:17" x14ac:dyDescent="0.25">
      <c r="A1874" s="549" t="s">
        <v>1186</v>
      </c>
      <c r="B1874" s="549" t="s">
        <v>1187</v>
      </c>
      <c r="C1874" s="549" t="s">
        <v>1188</v>
      </c>
      <c r="D1874" s="549" t="s">
        <v>1189</v>
      </c>
      <c r="E1874" s="549" t="s">
        <v>977</v>
      </c>
      <c r="F1874" s="549" t="s">
        <v>1212</v>
      </c>
      <c r="G1874" s="549">
        <v>2052</v>
      </c>
      <c r="H1874" s="549" t="s">
        <v>1188</v>
      </c>
      <c r="I1874" s="549" t="s">
        <v>976</v>
      </c>
      <c r="J1874" s="549" t="s">
        <v>976</v>
      </c>
      <c r="K1874" s="549" t="s">
        <v>976</v>
      </c>
      <c r="L1874" s="549">
        <v>154077.64000000001</v>
      </c>
      <c r="M1874" s="549">
        <v>11632.86</v>
      </c>
      <c r="N1874" s="549">
        <v>3405.12</v>
      </c>
      <c r="O1874" s="549">
        <v>992</v>
      </c>
      <c r="P1874" s="549">
        <v>100</v>
      </c>
      <c r="Q1874" s="549">
        <v>16029.98</v>
      </c>
    </row>
    <row r="1875" spans="1:17" x14ac:dyDescent="0.25">
      <c r="A1875" s="549" t="s">
        <v>1186</v>
      </c>
      <c r="B1875" s="549" t="s">
        <v>1187</v>
      </c>
      <c r="C1875" s="549" t="s">
        <v>1188</v>
      </c>
      <c r="D1875" s="549" t="s">
        <v>1189</v>
      </c>
      <c r="E1875" s="549" t="s">
        <v>977</v>
      </c>
      <c r="F1875" s="549" t="s">
        <v>1212</v>
      </c>
      <c r="G1875" s="549">
        <v>2082</v>
      </c>
      <c r="H1875" s="549" t="s">
        <v>1188</v>
      </c>
      <c r="I1875" s="549" t="s">
        <v>976</v>
      </c>
      <c r="J1875" s="549" t="s">
        <v>976</v>
      </c>
      <c r="K1875" s="549" t="s">
        <v>976</v>
      </c>
      <c r="L1875" s="549">
        <v>154077.64000000001</v>
      </c>
      <c r="M1875" s="549">
        <v>11632.86</v>
      </c>
      <c r="N1875" s="549">
        <v>3405.12</v>
      </c>
      <c r="O1875" s="549">
        <v>992</v>
      </c>
      <c r="P1875" s="549">
        <v>100</v>
      </c>
      <c r="Q1875" s="549">
        <v>16029.98</v>
      </c>
    </row>
    <row r="1876" spans="1:17" x14ac:dyDescent="0.25">
      <c r="A1876" s="549" t="s">
        <v>1186</v>
      </c>
      <c r="B1876" s="549" t="s">
        <v>1187</v>
      </c>
      <c r="C1876" s="549" t="s">
        <v>1188</v>
      </c>
      <c r="D1876" s="549" t="s">
        <v>1189</v>
      </c>
      <c r="E1876" s="549" t="s">
        <v>977</v>
      </c>
      <c r="F1876" s="549" t="s">
        <v>1212</v>
      </c>
      <c r="G1876" s="549" t="s">
        <v>1327</v>
      </c>
      <c r="H1876" s="549" t="s">
        <v>1188</v>
      </c>
      <c r="I1876" s="549" t="s">
        <v>976</v>
      </c>
      <c r="J1876" s="549" t="s">
        <v>976</v>
      </c>
      <c r="K1876" s="549" t="s">
        <v>976</v>
      </c>
      <c r="L1876" s="549">
        <v>31102.38</v>
      </c>
      <c r="M1876" s="549">
        <v>2348.23</v>
      </c>
      <c r="N1876" s="549">
        <v>687.36</v>
      </c>
      <c r="O1876" s="549">
        <v>0</v>
      </c>
      <c r="P1876" s="549">
        <v>100</v>
      </c>
      <c r="Q1876" s="549">
        <v>3035.59</v>
      </c>
    </row>
    <row r="1877" spans="1:17" x14ac:dyDescent="0.25">
      <c r="A1877" s="549" t="s">
        <v>1186</v>
      </c>
      <c r="B1877" s="549" t="s">
        <v>1187</v>
      </c>
      <c r="C1877" s="549" t="s">
        <v>1188</v>
      </c>
      <c r="D1877" s="549" t="s">
        <v>1189</v>
      </c>
      <c r="E1877" s="549" t="s">
        <v>977</v>
      </c>
      <c r="F1877" s="549" t="s">
        <v>1212</v>
      </c>
      <c r="G1877" s="549" t="s">
        <v>1279</v>
      </c>
      <c r="H1877" s="549" t="s">
        <v>1188</v>
      </c>
      <c r="I1877" s="549" t="s">
        <v>976</v>
      </c>
      <c r="J1877" s="549" t="s">
        <v>976</v>
      </c>
      <c r="K1877" s="549" t="s">
        <v>976</v>
      </c>
      <c r="L1877" s="549">
        <v>31102.38</v>
      </c>
      <c r="M1877" s="549">
        <v>2348.23</v>
      </c>
      <c r="N1877" s="549">
        <v>687.36</v>
      </c>
      <c r="O1877" s="549">
        <v>0</v>
      </c>
      <c r="P1877" s="549">
        <v>100</v>
      </c>
      <c r="Q1877" s="549">
        <v>3035.59</v>
      </c>
    </row>
    <row r="1878" spans="1:17" x14ac:dyDescent="0.25">
      <c r="A1878" s="549" t="s">
        <v>1037</v>
      </c>
      <c r="B1878" s="549" t="s">
        <v>1038</v>
      </c>
      <c r="C1878" s="549" t="s">
        <v>688</v>
      </c>
      <c r="D1878" s="549" t="s">
        <v>689</v>
      </c>
      <c r="E1878" s="549" t="s">
        <v>977</v>
      </c>
      <c r="F1878" s="549" t="s">
        <v>1212</v>
      </c>
      <c r="G1878" s="549">
        <v>122</v>
      </c>
      <c r="H1878" s="549" t="s">
        <v>688</v>
      </c>
      <c r="I1878" s="549" t="s">
        <v>976</v>
      </c>
      <c r="J1878" s="549" t="s">
        <v>976</v>
      </c>
      <c r="K1878" s="549" t="s">
        <v>976</v>
      </c>
      <c r="L1878" s="549">
        <v>255288.34</v>
      </c>
      <c r="M1878" s="549">
        <v>19274.27</v>
      </c>
      <c r="N1878" s="549">
        <v>5641.87</v>
      </c>
      <c r="O1878" s="549">
        <v>1984</v>
      </c>
      <c r="P1878" s="549">
        <v>100</v>
      </c>
      <c r="Q1878" s="549">
        <v>26900.14</v>
      </c>
    </row>
    <row r="1879" spans="1:17" x14ac:dyDescent="0.25">
      <c r="A1879" s="549" t="s">
        <v>1037</v>
      </c>
      <c r="B1879" s="549" t="s">
        <v>1038</v>
      </c>
      <c r="C1879" s="549" t="s">
        <v>688</v>
      </c>
      <c r="D1879" s="549" t="s">
        <v>689</v>
      </c>
      <c r="E1879" s="549" t="s">
        <v>977</v>
      </c>
      <c r="F1879" s="549" t="s">
        <v>1212</v>
      </c>
      <c r="G1879" s="549">
        <v>132</v>
      </c>
      <c r="H1879" s="549" t="s">
        <v>688</v>
      </c>
      <c r="I1879" s="549" t="s">
        <v>1310</v>
      </c>
      <c r="J1879" s="549" t="s">
        <v>1310</v>
      </c>
      <c r="K1879" s="549" t="s">
        <v>1310</v>
      </c>
      <c r="L1879" s="549">
        <v>0.04</v>
      </c>
      <c r="M1879" s="549">
        <v>0</v>
      </c>
      <c r="N1879" s="549">
        <v>0</v>
      </c>
      <c r="O1879" s="549">
        <v>0</v>
      </c>
      <c r="P1879" s="549">
        <v>100</v>
      </c>
      <c r="Q1879" s="549">
        <v>0</v>
      </c>
    </row>
    <row r="1880" spans="1:17" x14ac:dyDescent="0.25">
      <c r="A1880" s="549" t="s">
        <v>1037</v>
      </c>
      <c r="B1880" s="549" t="s">
        <v>1038</v>
      </c>
      <c r="C1880" s="549" t="s">
        <v>688</v>
      </c>
      <c r="D1880" s="549" t="s">
        <v>689</v>
      </c>
      <c r="E1880" s="549" t="s">
        <v>977</v>
      </c>
      <c r="F1880" s="549" t="s">
        <v>1212</v>
      </c>
      <c r="G1880" s="549">
        <v>152</v>
      </c>
      <c r="H1880" s="549" t="s">
        <v>688</v>
      </c>
      <c r="I1880" s="549" t="s">
        <v>976</v>
      </c>
      <c r="J1880" s="549" t="s">
        <v>976</v>
      </c>
      <c r="K1880" s="549" t="s">
        <v>976</v>
      </c>
      <c r="L1880" s="549">
        <v>374203.32</v>
      </c>
      <c r="M1880" s="549">
        <v>28252.35</v>
      </c>
      <c r="N1880" s="549">
        <v>8269.89</v>
      </c>
      <c r="O1880" s="549">
        <v>3968</v>
      </c>
      <c r="P1880" s="549">
        <v>100</v>
      </c>
      <c r="Q1880" s="549">
        <v>40490.239999999998</v>
      </c>
    </row>
    <row r="1881" spans="1:17" x14ac:dyDescent="0.25">
      <c r="A1881" s="549" t="s">
        <v>1037</v>
      </c>
      <c r="B1881" s="549" t="s">
        <v>1038</v>
      </c>
      <c r="C1881" s="549" t="s">
        <v>688</v>
      </c>
      <c r="D1881" s="549" t="s">
        <v>689</v>
      </c>
      <c r="E1881" s="549" t="s">
        <v>977</v>
      </c>
      <c r="F1881" s="549" t="s">
        <v>1212</v>
      </c>
      <c r="G1881" s="549">
        <v>162</v>
      </c>
      <c r="H1881" s="549" t="s">
        <v>688</v>
      </c>
      <c r="I1881" s="549" t="s">
        <v>976</v>
      </c>
      <c r="J1881" s="549" t="s">
        <v>976</v>
      </c>
      <c r="K1881" s="549" t="s">
        <v>976</v>
      </c>
      <c r="L1881" s="549">
        <v>255288.34</v>
      </c>
      <c r="M1881" s="549">
        <v>19274.27</v>
      </c>
      <c r="N1881" s="549">
        <v>5641.87</v>
      </c>
      <c r="O1881" s="549">
        <v>1984</v>
      </c>
      <c r="P1881" s="549">
        <v>100</v>
      </c>
      <c r="Q1881" s="549">
        <v>26900.14</v>
      </c>
    </row>
    <row r="1882" spans="1:17" x14ac:dyDescent="0.25">
      <c r="A1882" s="549" t="s">
        <v>1037</v>
      </c>
      <c r="B1882" s="549" t="s">
        <v>1038</v>
      </c>
      <c r="C1882" s="549" t="s">
        <v>688</v>
      </c>
      <c r="D1882" s="549" t="s">
        <v>689</v>
      </c>
      <c r="E1882" s="549" t="s">
        <v>977</v>
      </c>
      <c r="F1882" s="549" t="s">
        <v>1212</v>
      </c>
      <c r="G1882" s="549">
        <v>172</v>
      </c>
      <c r="H1882" s="549" t="s">
        <v>688</v>
      </c>
      <c r="I1882" s="549" t="s">
        <v>976</v>
      </c>
      <c r="J1882" s="549" t="s">
        <v>976</v>
      </c>
      <c r="K1882" s="549" t="s">
        <v>976</v>
      </c>
      <c r="L1882" s="549">
        <v>374203.32</v>
      </c>
      <c r="M1882" s="549">
        <v>28252.35</v>
      </c>
      <c r="N1882" s="549">
        <v>8269.89</v>
      </c>
      <c r="O1882" s="549">
        <v>3968</v>
      </c>
      <c r="P1882" s="549">
        <v>100</v>
      </c>
      <c r="Q1882" s="549">
        <v>40490.239999999998</v>
      </c>
    </row>
    <row r="1883" spans="1:17" x14ac:dyDescent="0.25">
      <c r="A1883" s="549" t="s">
        <v>1037</v>
      </c>
      <c r="B1883" s="549" t="s">
        <v>1038</v>
      </c>
      <c r="C1883" s="549" t="s">
        <v>688</v>
      </c>
      <c r="D1883" s="549" t="s">
        <v>689</v>
      </c>
      <c r="E1883" s="549" t="s">
        <v>977</v>
      </c>
      <c r="F1883" s="549" t="s">
        <v>1212</v>
      </c>
      <c r="G1883" s="549">
        <v>2612</v>
      </c>
      <c r="H1883" s="549" t="s">
        <v>688</v>
      </c>
      <c r="I1883" s="549" t="s">
        <v>976</v>
      </c>
      <c r="J1883" s="549" t="s">
        <v>976</v>
      </c>
      <c r="K1883" s="549" t="s">
        <v>976</v>
      </c>
      <c r="L1883" s="549">
        <v>74255.3</v>
      </c>
      <c r="M1883" s="549">
        <v>5606.28</v>
      </c>
      <c r="N1883" s="549">
        <v>1641.04</v>
      </c>
      <c r="O1883" s="549">
        <v>892.8</v>
      </c>
      <c r="P1883" s="549">
        <v>100</v>
      </c>
      <c r="Q1883" s="549">
        <v>8140.12</v>
      </c>
    </row>
    <row r="1884" spans="1:17" x14ac:dyDescent="0.25">
      <c r="A1884" s="549" t="s">
        <v>1037</v>
      </c>
      <c r="B1884" s="549" t="s">
        <v>1038</v>
      </c>
      <c r="C1884" s="549" t="s">
        <v>688</v>
      </c>
      <c r="D1884" s="549" t="s">
        <v>689</v>
      </c>
      <c r="E1884" s="549" t="s">
        <v>977</v>
      </c>
      <c r="F1884" s="549" t="s">
        <v>1212</v>
      </c>
      <c r="G1884" s="549">
        <v>2622</v>
      </c>
      <c r="H1884" s="549" t="s">
        <v>688</v>
      </c>
      <c r="I1884" s="549" t="s">
        <v>976</v>
      </c>
      <c r="J1884" s="549" t="s">
        <v>976</v>
      </c>
      <c r="K1884" s="549" t="s">
        <v>976</v>
      </c>
      <c r="L1884" s="549">
        <v>74255.3</v>
      </c>
      <c r="M1884" s="549">
        <v>5606.28</v>
      </c>
      <c r="N1884" s="549">
        <v>1641.04</v>
      </c>
      <c r="O1884" s="549">
        <v>892.8</v>
      </c>
      <c r="P1884" s="549">
        <v>100</v>
      </c>
      <c r="Q1884" s="549">
        <v>8140.12</v>
      </c>
    </row>
    <row r="1885" spans="1:17" x14ac:dyDescent="0.25">
      <c r="A1885" s="549" t="s">
        <v>1037</v>
      </c>
      <c r="B1885" s="549" t="s">
        <v>1038</v>
      </c>
      <c r="C1885" s="549" t="s">
        <v>688</v>
      </c>
      <c r="D1885" s="549" t="s">
        <v>689</v>
      </c>
      <c r="E1885" s="549" t="s">
        <v>977</v>
      </c>
      <c r="F1885" s="549" t="s">
        <v>1212</v>
      </c>
      <c r="G1885" s="549">
        <v>2632</v>
      </c>
      <c r="H1885" s="549" t="s">
        <v>688</v>
      </c>
      <c r="I1885" s="549" t="s">
        <v>976</v>
      </c>
      <c r="J1885" s="549" t="s">
        <v>976</v>
      </c>
      <c r="K1885" s="549" t="s">
        <v>976</v>
      </c>
      <c r="L1885" s="549">
        <v>78531.14</v>
      </c>
      <c r="M1885" s="549">
        <v>5929.1</v>
      </c>
      <c r="N1885" s="549">
        <v>1735.54</v>
      </c>
      <c r="O1885" s="549">
        <v>992</v>
      </c>
      <c r="P1885" s="549">
        <v>100</v>
      </c>
      <c r="Q1885" s="549">
        <v>8656.64</v>
      </c>
    </row>
    <row r="1886" spans="1:17" x14ac:dyDescent="0.25">
      <c r="A1886" s="549" t="s">
        <v>1037</v>
      </c>
      <c r="B1886" s="549" t="s">
        <v>1038</v>
      </c>
      <c r="C1886" s="549" t="s">
        <v>688</v>
      </c>
      <c r="D1886" s="549" t="s">
        <v>689</v>
      </c>
      <c r="E1886" s="549" t="s">
        <v>977</v>
      </c>
      <c r="F1886" s="549" t="s">
        <v>1212</v>
      </c>
      <c r="G1886" s="549">
        <v>2642</v>
      </c>
      <c r="H1886" s="549" t="s">
        <v>688</v>
      </c>
      <c r="I1886" s="549" t="s">
        <v>976</v>
      </c>
      <c r="J1886" s="549" t="s">
        <v>976</v>
      </c>
      <c r="K1886" s="549" t="s">
        <v>976</v>
      </c>
      <c r="L1886" s="549">
        <v>74255.3</v>
      </c>
      <c r="M1886" s="549">
        <v>5606.28</v>
      </c>
      <c r="N1886" s="549">
        <v>1641.04</v>
      </c>
      <c r="O1886" s="549">
        <v>892.8</v>
      </c>
      <c r="P1886" s="549">
        <v>100</v>
      </c>
      <c r="Q1886" s="549">
        <v>8140.12</v>
      </c>
    </row>
    <row r="1887" spans="1:17" x14ac:dyDescent="0.25">
      <c r="A1887" s="549" t="s">
        <v>1037</v>
      </c>
      <c r="B1887" s="549" t="s">
        <v>1038</v>
      </c>
      <c r="C1887" s="549" t="s">
        <v>688</v>
      </c>
      <c r="D1887" s="549" t="s">
        <v>689</v>
      </c>
      <c r="E1887" s="549" t="s">
        <v>977</v>
      </c>
      <c r="F1887" s="549" t="s">
        <v>1212</v>
      </c>
      <c r="G1887" s="549">
        <v>2658</v>
      </c>
      <c r="H1887" s="549" t="s">
        <v>688</v>
      </c>
      <c r="I1887" s="549" t="s">
        <v>976</v>
      </c>
      <c r="J1887" s="549" t="s">
        <v>976</v>
      </c>
      <c r="K1887" s="549" t="s">
        <v>976</v>
      </c>
      <c r="L1887" s="549">
        <v>75965.64</v>
      </c>
      <c r="M1887" s="549">
        <v>5735.41</v>
      </c>
      <c r="N1887" s="549">
        <v>1678.84</v>
      </c>
      <c r="O1887" s="549">
        <v>992</v>
      </c>
      <c r="P1887" s="549">
        <v>100</v>
      </c>
      <c r="Q1887" s="549">
        <v>8406.25</v>
      </c>
    </row>
    <row r="1888" spans="1:17" x14ac:dyDescent="0.25">
      <c r="A1888" s="549" t="s">
        <v>1037</v>
      </c>
      <c r="B1888" s="549" t="s">
        <v>1038</v>
      </c>
      <c r="C1888" s="549" t="s">
        <v>688</v>
      </c>
      <c r="D1888" s="549" t="s">
        <v>689</v>
      </c>
      <c r="E1888" s="549" t="s">
        <v>977</v>
      </c>
      <c r="F1888" s="549" t="s">
        <v>1212</v>
      </c>
      <c r="G1888" s="549">
        <v>2662</v>
      </c>
      <c r="H1888" s="549" t="s">
        <v>688</v>
      </c>
      <c r="I1888" s="549" t="s">
        <v>976</v>
      </c>
      <c r="J1888" s="549" t="s">
        <v>976</v>
      </c>
      <c r="K1888" s="549" t="s">
        <v>976</v>
      </c>
      <c r="L1888" s="549">
        <v>74255.3</v>
      </c>
      <c r="M1888" s="549">
        <v>5606.28</v>
      </c>
      <c r="N1888" s="549">
        <v>1641.04</v>
      </c>
      <c r="O1888" s="549">
        <v>892.8</v>
      </c>
      <c r="P1888" s="549">
        <v>100</v>
      </c>
      <c r="Q1888" s="549">
        <v>8140.12</v>
      </c>
    </row>
    <row r="1889" spans="1:17" x14ac:dyDescent="0.25">
      <c r="A1889" s="549" t="s">
        <v>1037</v>
      </c>
      <c r="B1889" s="549" t="s">
        <v>1038</v>
      </c>
      <c r="C1889" s="549" t="s">
        <v>688</v>
      </c>
      <c r="D1889" s="549" t="s">
        <v>689</v>
      </c>
      <c r="E1889" s="549" t="s">
        <v>977</v>
      </c>
      <c r="F1889" s="549" t="s">
        <v>1212</v>
      </c>
      <c r="G1889" s="549">
        <v>2672</v>
      </c>
      <c r="H1889" s="549" t="s">
        <v>688</v>
      </c>
      <c r="I1889" s="549" t="s">
        <v>976</v>
      </c>
      <c r="J1889" s="549" t="s">
        <v>976</v>
      </c>
      <c r="K1889" s="549" t="s">
        <v>976</v>
      </c>
      <c r="L1889" s="549">
        <v>78531.14</v>
      </c>
      <c r="M1889" s="549">
        <v>5929.1</v>
      </c>
      <c r="N1889" s="549">
        <v>1735.54</v>
      </c>
      <c r="O1889" s="549">
        <v>992</v>
      </c>
      <c r="P1889" s="549">
        <v>100</v>
      </c>
      <c r="Q1889" s="549">
        <v>8656.64</v>
      </c>
    </row>
    <row r="1890" spans="1:17" x14ac:dyDescent="0.25">
      <c r="A1890" s="549" t="s">
        <v>1037</v>
      </c>
      <c r="B1890" s="549" t="s">
        <v>1038</v>
      </c>
      <c r="C1890" s="549" t="s">
        <v>688</v>
      </c>
      <c r="D1890" s="549" t="s">
        <v>689</v>
      </c>
      <c r="E1890" s="549" t="s">
        <v>977</v>
      </c>
      <c r="F1890" s="549" t="s">
        <v>1212</v>
      </c>
      <c r="G1890" s="549">
        <v>2682</v>
      </c>
      <c r="H1890" s="549" t="s">
        <v>688</v>
      </c>
      <c r="I1890" s="549" t="s">
        <v>976</v>
      </c>
      <c r="J1890" s="549" t="s">
        <v>976</v>
      </c>
      <c r="K1890" s="549" t="s">
        <v>976</v>
      </c>
      <c r="L1890" s="549">
        <v>74255.3</v>
      </c>
      <c r="M1890" s="549">
        <v>5606.28</v>
      </c>
      <c r="N1890" s="549">
        <v>1641.04</v>
      </c>
      <c r="O1890" s="549">
        <v>892.8</v>
      </c>
      <c r="P1890" s="549">
        <v>100</v>
      </c>
      <c r="Q1890" s="549">
        <v>8140.12</v>
      </c>
    </row>
    <row r="1891" spans="1:17" x14ac:dyDescent="0.25">
      <c r="A1891" s="549" t="s">
        <v>1037</v>
      </c>
      <c r="B1891" s="549" t="s">
        <v>1038</v>
      </c>
      <c r="C1891" s="549" t="s">
        <v>688</v>
      </c>
      <c r="D1891" s="549" t="s">
        <v>689</v>
      </c>
      <c r="E1891" s="549" t="s">
        <v>977</v>
      </c>
      <c r="F1891" s="549" t="s">
        <v>1212</v>
      </c>
      <c r="G1891" s="549" t="s">
        <v>1356</v>
      </c>
      <c r="H1891" s="549" t="s">
        <v>688</v>
      </c>
      <c r="I1891" s="549" t="s">
        <v>976</v>
      </c>
      <c r="J1891" s="549" t="s">
        <v>976</v>
      </c>
      <c r="K1891" s="549" t="s">
        <v>976</v>
      </c>
      <c r="L1891" s="549">
        <v>57991.09</v>
      </c>
      <c r="M1891" s="549">
        <v>4378.33</v>
      </c>
      <c r="N1891" s="549">
        <v>1281.5999999999999</v>
      </c>
      <c r="O1891" s="549">
        <v>1984</v>
      </c>
      <c r="P1891" s="549">
        <v>100</v>
      </c>
      <c r="Q1891" s="549">
        <v>7643.93</v>
      </c>
    </row>
    <row r="1892" spans="1:17" x14ac:dyDescent="0.25">
      <c r="A1892" s="549" t="s">
        <v>1037</v>
      </c>
      <c r="B1892" s="549" t="s">
        <v>1038</v>
      </c>
      <c r="C1892" s="549" t="s">
        <v>688</v>
      </c>
      <c r="D1892" s="549" t="s">
        <v>689</v>
      </c>
      <c r="E1892" s="549" t="s">
        <v>977</v>
      </c>
      <c r="F1892" s="549" t="s">
        <v>1212</v>
      </c>
      <c r="G1892" s="549" t="s">
        <v>1357</v>
      </c>
      <c r="H1892" s="549" t="s">
        <v>688</v>
      </c>
      <c r="I1892" s="549" t="s">
        <v>976</v>
      </c>
      <c r="J1892" s="549" t="s">
        <v>976</v>
      </c>
      <c r="K1892" s="549" t="s">
        <v>976</v>
      </c>
      <c r="L1892" s="549">
        <v>57991.09</v>
      </c>
      <c r="M1892" s="549">
        <v>4378.33</v>
      </c>
      <c r="N1892" s="549">
        <v>1281.5999999999999</v>
      </c>
      <c r="O1892" s="549">
        <v>1984</v>
      </c>
      <c r="P1892" s="549">
        <v>100</v>
      </c>
      <c r="Q1892" s="549">
        <v>7643.93</v>
      </c>
    </row>
    <row r="1893" spans="1:17" x14ac:dyDescent="0.25">
      <c r="A1893" s="549" t="s">
        <v>1037</v>
      </c>
      <c r="B1893" s="549" t="s">
        <v>1038</v>
      </c>
      <c r="C1893" s="549" t="s">
        <v>688</v>
      </c>
      <c r="D1893" s="549" t="s">
        <v>689</v>
      </c>
      <c r="E1893" s="549" t="s">
        <v>977</v>
      </c>
      <c r="F1893" s="549" t="s">
        <v>1212</v>
      </c>
      <c r="G1893" s="549" t="s">
        <v>1358</v>
      </c>
      <c r="H1893" s="549" t="s">
        <v>688</v>
      </c>
      <c r="I1893" s="549" t="s">
        <v>976</v>
      </c>
      <c r="J1893" s="549" t="s">
        <v>976</v>
      </c>
      <c r="K1893" s="549" t="s">
        <v>976</v>
      </c>
      <c r="L1893" s="549">
        <v>31410.32</v>
      </c>
      <c r="M1893" s="549">
        <v>2371.48</v>
      </c>
      <c r="N1893" s="549">
        <v>694.17</v>
      </c>
      <c r="O1893" s="549">
        <v>0</v>
      </c>
      <c r="P1893" s="549">
        <v>100</v>
      </c>
      <c r="Q1893" s="549">
        <v>3065.65</v>
      </c>
    </row>
    <row r="1894" spans="1:17" x14ac:dyDescent="0.25">
      <c r="A1894" s="549" t="s">
        <v>1037</v>
      </c>
      <c r="B1894" s="549" t="s">
        <v>1038</v>
      </c>
      <c r="C1894" s="549" t="s">
        <v>688</v>
      </c>
      <c r="D1894" s="549" t="s">
        <v>689</v>
      </c>
      <c r="E1894" s="549" t="s">
        <v>977</v>
      </c>
      <c r="F1894" s="549" t="s">
        <v>1212</v>
      </c>
      <c r="G1894" s="549" t="s">
        <v>1271</v>
      </c>
      <c r="H1894" s="549" t="s">
        <v>688</v>
      </c>
      <c r="I1894" s="549" t="s">
        <v>976</v>
      </c>
      <c r="J1894" s="549" t="s">
        <v>976</v>
      </c>
      <c r="K1894" s="549" t="s">
        <v>976</v>
      </c>
      <c r="L1894" s="549">
        <v>31410.32</v>
      </c>
      <c r="M1894" s="549">
        <v>2371.48</v>
      </c>
      <c r="N1894" s="549">
        <v>694.17</v>
      </c>
      <c r="O1894" s="549">
        <v>0</v>
      </c>
      <c r="P1894" s="549">
        <v>100</v>
      </c>
      <c r="Q1894" s="549">
        <v>3065.65</v>
      </c>
    </row>
    <row r="1895" spans="1:17" x14ac:dyDescent="0.25">
      <c r="A1895" s="549" t="s">
        <v>1037</v>
      </c>
      <c r="B1895" s="549" t="s">
        <v>1038</v>
      </c>
      <c r="C1895" s="549" t="s">
        <v>688</v>
      </c>
      <c r="D1895" s="549" t="s">
        <v>689</v>
      </c>
      <c r="E1895" s="549" t="s">
        <v>977</v>
      </c>
      <c r="F1895" s="549" t="s">
        <v>1212</v>
      </c>
      <c r="G1895" s="549" t="s">
        <v>1359</v>
      </c>
      <c r="H1895" s="549" t="s">
        <v>688</v>
      </c>
      <c r="I1895" s="549" t="s">
        <v>976</v>
      </c>
      <c r="J1895" s="549" t="s">
        <v>976</v>
      </c>
      <c r="K1895" s="549" t="s">
        <v>976</v>
      </c>
      <c r="L1895" s="549">
        <v>41641.339999999997</v>
      </c>
      <c r="M1895" s="549">
        <v>3143.92</v>
      </c>
      <c r="N1895" s="549">
        <v>920.27</v>
      </c>
      <c r="O1895" s="549">
        <v>0</v>
      </c>
      <c r="P1895" s="549">
        <v>100</v>
      </c>
      <c r="Q1895" s="549">
        <v>4064.19</v>
      </c>
    </row>
    <row r="1896" spans="1:17" x14ac:dyDescent="0.25">
      <c r="A1896" s="549" t="s">
        <v>1037</v>
      </c>
      <c r="B1896" s="549" t="s">
        <v>1038</v>
      </c>
      <c r="C1896" s="549" t="s">
        <v>688</v>
      </c>
      <c r="D1896" s="549" t="s">
        <v>689</v>
      </c>
      <c r="E1896" s="549" t="s">
        <v>977</v>
      </c>
      <c r="F1896" s="549" t="s">
        <v>1212</v>
      </c>
      <c r="G1896" s="549">
        <v>72</v>
      </c>
      <c r="H1896" s="549" t="s">
        <v>690</v>
      </c>
      <c r="I1896" s="549" t="s">
        <v>976</v>
      </c>
      <c r="J1896" s="549" t="s">
        <v>976</v>
      </c>
      <c r="K1896" s="549" t="s">
        <v>976</v>
      </c>
      <c r="L1896" s="549">
        <v>485426.5</v>
      </c>
      <c r="M1896" s="549">
        <v>36649.699999999997</v>
      </c>
      <c r="N1896" s="549">
        <v>10727.93</v>
      </c>
      <c r="O1896" s="549">
        <v>3968</v>
      </c>
      <c r="P1896" s="549">
        <v>100</v>
      </c>
      <c r="Q1896" s="549">
        <v>51345.63</v>
      </c>
    </row>
    <row r="1897" spans="1:17" x14ac:dyDescent="0.25">
      <c r="A1897" s="549" t="s">
        <v>1037</v>
      </c>
      <c r="B1897" s="549" t="s">
        <v>1038</v>
      </c>
      <c r="C1897" s="549" t="s">
        <v>692</v>
      </c>
      <c r="D1897" s="549" t="s">
        <v>462</v>
      </c>
      <c r="E1897" s="549" t="s">
        <v>977</v>
      </c>
      <c r="F1897" s="549" t="s">
        <v>1212</v>
      </c>
      <c r="G1897" s="549">
        <v>102</v>
      </c>
      <c r="H1897" s="549" t="s">
        <v>692</v>
      </c>
      <c r="I1897" s="549" t="s">
        <v>976</v>
      </c>
      <c r="J1897" s="549" t="s">
        <v>976</v>
      </c>
      <c r="K1897" s="549" t="s">
        <v>976</v>
      </c>
      <c r="L1897" s="549">
        <v>331166.81</v>
      </c>
      <c r="M1897" s="549">
        <v>25003.09</v>
      </c>
      <c r="N1897" s="549">
        <v>7318.79</v>
      </c>
      <c r="O1897" s="549">
        <v>1984</v>
      </c>
      <c r="P1897" s="549">
        <v>100</v>
      </c>
      <c r="Q1897" s="549">
        <v>34305.879999999997</v>
      </c>
    </row>
    <row r="1898" spans="1:17" x14ac:dyDescent="0.25">
      <c r="A1898" s="549" t="s">
        <v>1037</v>
      </c>
      <c r="B1898" s="549" t="s">
        <v>1038</v>
      </c>
      <c r="C1898" s="549" t="s">
        <v>692</v>
      </c>
      <c r="D1898" s="549" t="s">
        <v>462</v>
      </c>
      <c r="E1898" s="549" t="s">
        <v>977</v>
      </c>
      <c r="F1898" s="549" t="s">
        <v>1212</v>
      </c>
      <c r="G1898" s="549">
        <v>142</v>
      </c>
      <c r="H1898" s="549" t="s">
        <v>692</v>
      </c>
      <c r="I1898" s="549" t="s">
        <v>976</v>
      </c>
      <c r="J1898" s="549" t="s">
        <v>976</v>
      </c>
      <c r="K1898" s="549" t="s">
        <v>976</v>
      </c>
      <c r="L1898" s="549">
        <v>485426.5</v>
      </c>
      <c r="M1898" s="549">
        <v>36649.699999999997</v>
      </c>
      <c r="N1898" s="549">
        <v>10727.93</v>
      </c>
      <c r="O1898" s="549">
        <v>3868.8</v>
      </c>
      <c r="P1898" s="549">
        <v>100</v>
      </c>
      <c r="Q1898" s="549">
        <v>51246.43</v>
      </c>
    </row>
    <row r="1899" spans="1:17" x14ac:dyDescent="0.25">
      <c r="A1899" s="549" t="s">
        <v>1037</v>
      </c>
      <c r="B1899" s="549" t="s">
        <v>1038</v>
      </c>
      <c r="C1899" s="549" t="s">
        <v>692</v>
      </c>
      <c r="D1899" s="549" t="s">
        <v>462</v>
      </c>
      <c r="E1899" s="549" t="s">
        <v>977</v>
      </c>
      <c r="F1899" s="549" t="s">
        <v>1212</v>
      </c>
      <c r="G1899" s="549">
        <v>147</v>
      </c>
      <c r="H1899" s="549" t="s">
        <v>692</v>
      </c>
      <c r="I1899" s="549" t="s">
        <v>976</v>
      </c>
      <c r="J1899" s="549" t="s">
        <v>976</v>
      </c>
      <c r="K1899" s="549" t="s">
        <v>976</v>
      </c>
      <c r="L1899" s="549">
        <v>30332.1</v>
      </c>
      <c r="M1899" s="549">
        <v>2290.0700000000002</v>
      </c>
      <c r="N1899" s="549">
        <v>670.34</v>
      </c>
      <c r="O1899" s="549">
        <v>992</v>
      </c>
      <c r="P1899" s="549">
        <v>100</v>
      </c>
      <c r="Q1899" s="549">
        <v>3952.41</v>
      </c>
    </row>
    <row r="1900" spans="1:17" x14ac:dyDescent="0.25">
      <c r="A1900" s="549" t="s">
        <v>1037</v>
      </c>
      <c r="B1900" s="549" t="s">
        <v>1038</v>
      </c>
      <c r="C1900" s="549" t="s">
        <v>692</v>
      </c>
      <c r="D1900" s="549" t="s">
        <v>462</v>
      </c>
      <c r="E1900" s="549" t="s">
        <v>977</v>
      </c>
      <c r="F1900" s="549" t="s">
        <v>1212</v>
      </c>
      <c r="G1900" s="549">
        <v>402</v>
      </c>
      <c r="H1900" s="549" t="s">
        <v>692</v>
      </c>
      <c r="I1900" s="549" t="s">
        <v>976</v>
      </c>
      <c r="J1900" s="549" t="s">
        <v>976</v>
      </c>
      <c r="K1900" s="549" t="s">
        <v>976</v>
      </c>
      <c r="L1900" s="549">
        <v>806373.29</v>
      </c>
      <c r="M1900" s="549">
        <v>60881.18</v>
      </c>
      <c r="N1900" s="549">
        <v>17820.849999999999</v>
      </c>
      <c r="O1900" s="549">
        <v>3968</v>
      </c>
      <c r="P1900" s="549">
        <v>100</v>
      </c>
      <c r="Q1900" s="549">
        <v>82670.03</v>
      </c>
    </row>
    <row r="1901" spans="1:17" x14ac:dyDescent="0.25">
      <c r="A1901" s="549" t="s">
        <v>1037</v>
      </c>
      <c r="B1901" s="549" t="s">
        <v>1038</v>
      </c>
      <c r="C1901" s="549" t="s">
        <v>692</v>
      </c>
      <c r="D1901" s="549" t="s">
        <v>462</v>
      </c>
      <c r="E1901" s="549" t="s">
        <v>977</v>
      </c>
      <c r="F1901" s="549" t="s">
        <v>1212</v>
      </c>
      <c r="G1901" s="549">
        <v>412</v>
      </c>
      <c r="H1901" s="549" t="s">
        <v>692</v>
      </c>
      <c r="I1901" s="549" t="s">
        <v>976</v>
      </c>
      <c r="J1901" s="549" t="s">
        <v>976</v>
      </c>
      <c r="K1901" s="549" t="s">
        <v>976</v>
      </c>
      <c r="L1901" s="549">
        <v>806373.29</v>
      </c>
      <c r="M1901" s="549">
        <v>60881.18</v>
      </c>
      <c r="N1901" s="549">
        <v>17820.849999999999</v>
      </c>
      <c r="O1901" s="549">
        <v>3968</v>
      </c>
      <c r="P1901" s="549">
        <v>100</v>
      </c>
      <c r="Q1901" s="549">
        <v>82670.03</v>
      </c>
    </row>
    <row r="1902" spans="1:17" x14ac:dyDescent="0.25">
      <c r="A1902" s="549" t="s">
        <v>1037</v>
      </c>
      <c r="B1902" s="549" t="s">
        <v>1038</v>
      </c>
      <c r="C1902" s="549" t="s">
        <v>692</v>
      </c>
      <c r="D1902" s="549" t="s">
        <v>462</v>
      </c>
      <c r="E1902" s="549" t="s">
        <v>977</v>
      </c>
      <c r="F1902" s="549" t="s">
        <v>1212</v>
      </c>
      <c r="G1902" s="549">
        <v>1212</v>
      </c>
      <c r="H1902" s="549" t="s">
        <v>692</v>
      </c>
      <c r="I1902" s="549" t="s">
        <v>976</v>
      </c>
      <c r="J1902" s="549" t="s">
        <v>976</v>
      </c>
      <c r="K1902" s="549" t="s">
        <v>976</v>
      </c>
      <c r="L1902" s="549">
        <v>239044.95</v>
      </c>
      <c r="M1902" s="549">
        <v>18047.89</v>
      </c>
      <c r="N1902" s="549">
        <v>5282.89</v>
      </c>
      <c r="O1902" s="549">
        <v>1984</v>
      </c>
      <c r="P1902" s="549">
        <v>100</v>
      </c>
      <c r="Q1902" s="549">
        <v>25314.78</v>
      </c>
    </row>
    <row r="1903" spans="1:17" x14ac:dyDescent="0.25">
      <c r="A1903" s="549" t="s">
        <v>1037</v>
      </c>
      <c r="B1903" s="549" t="s">
        <v>1038</v>
      </c>
      <c r="C1903" s="549" t="s">
        <v>692</v>
      </c>
      <c r="D1903" s="549" t="s">
        <v>462</v>
      </c>
      <c r="E1903" s="549" t="s">
        <v>977</v>
      </c>
      <c r="F1903" s="549" t="s">
        <v>1212</v>
      </c>
      <c r="G1903" s="549">
        <v>1222</v>
      </c>
      <c r="H1903" s="549" t="s">
        <v>692</v>
      </c>
      <c r="I1903" s="549" t="s">
        <v>976</v>
      </c>
      <c r="J1903" s="549" t="s">
        <v>976</v>
      </c>
      <c r="K1903" s="549" t="s">
        <v>976</v>
      </c>
      <c r="L1903" s="549">
        <v>151175.07</v>
      </c>
      <c r="M1903" s="549">
        <v>11413.72</v>
      </c>
      <c r="N1903" s="549">
        <v>3340.97</v>
      </c>
      <c r="O1903" s="549">
        <v>3670.4</v>
      </c>
      <c r="P1903" s="549">
        <v>100</v>
      </c>
      <c r="Q1903" s="549">
        <v>18425.09</v>
      </c>
    </row>
    <row r="1904" spans="1:17" x14ac:dyDescent="0.25">
      <c r="A1904" s="549" t="s">
        <v>1037</v>
      </c>
      <c r="B1904" s="549" t="s">
        <v>1038</v>
      </c>
      <c r="C1904" s="549" t="s">
        <v>692</v>
      </c>
      <c r="D1904" s="549" t="s">
        <v>462</v>
      </c>
      <c r="E1904" s="549" t="s">
        <v>977</v>
      </c>
      <c r="F1904" s="549" t="s">
        <v>1212</v>
      </c>
      <c r="G1904" s="549">
        <v>1232</v>
      </c>
      <c r="H1904" s="549" t="s">
        <v>692</v>
      </c>
      <c r="I1904" s="549" t="s">
        <v>976</v>
      </c>
      <c r="J1904" s="549" t="s">
        <v>976</v>
      </c>
      <c r="K1904" s="549" t="s">
        <v>976</v>
      </c>
      <c r="L1904" s="549">
        <v>239044.95</v>
      </c>
      <c r="M1904" s="549">
        <v>18047.89</v>
      </c>
      <c r="N1904" s="549">
        <v>5282.89</v>
      </c>
      <c r="O1904" s="549">
        <v>1984</v>
      </c>
      <c r="P1904" s="549">
        <v>100</v>
      </c>
      <c r="Q1904" s="549">
        <v>25314.78</v>
      </c>
    </row>
    <row r="1905" spans="1:17" x14ac:dyDescent="0.25">
      <c r="A1905" s="549" t="s">
        <v>1037</v>
      </c>
      <c r="B1905" s="549" t="s">
        <v>1038</v>
      </c>
      <c r="C1905" s="549" t="s">
        <v>692</v>
      </c>
      <c r="D1905" s="549" t="s">
        <v>462</v>
      </c>
      <c r="E1905" s="549" t="s">
        <v>977</v>
      </c>
      <c r="F1905" s="549" t="s">
        <v>1212</v>
      </c>
      <c r="G1905" s="549">
        <v>1242</v>
      </c>
      <c r="H1905" s="549" t="s">
        <v>692</v>
      </c>
      <c r="I1905" s="549" t="s">
        <v>976</v>
      </c>
      <c r="J1905" s="549" t="s">
        <v>976</v>
      </c>
      <c r="K1905" s="549" t="s">
        <v>976</v>
      </c>
      <c r="L1905" s="549">
        <v>151175.07</v>
      </c>
      <c r="M1905" s="549">
        <v>11413.72</v>
      </c>
      <c r="N1905" s="549">
        <v>3340.97</v>
      </c>
      <c r="O1905" s="549">
        <v>3670.4</v>
      </c>
      <c r="P1905" s="549">
        <v>100</v>
      </c>
      <c r="Q1905" s="549">
        <v>18425.09</v>
      </c>
    </row>
    <row r="1906" spans="1:17" x14ac:dyDescent="0.25">
      <c r="A1906" s="549" t="s">
        <v>1037</v>
      </c>
      <c r="B1906" s="549" t="s">
        <v>1038</v>
      </c>
      <c r="C1906" s="549" t="s">
        <v>692</v>
      </c>
      <c r="D1906" s="549" t="s">
        <v>462</v>
      </c>
      <c r="E1906" s="549" t="s">
        <v>977</v>
      </c>
      <c r="F1906" s="549" t="s">
        <v>1212</v>
      </c>
      <c r="G1906" s="549">
        <v>1252</v>
      </c>
      <c r="H1906" s="549" t="s">
        <v>692</v>
      </c>
      <c r="I1906" s="549" t="s">
        <v>976</v>
      </c>
      <c r="J1906" s="549" t="s">
        <v>976</v>
      </c>
      <c r="K1906" s="549" t="s">
        <v>976</v>
      </c>
      <c r="L1906" s="549">
        <v>239044.95</v>
      </c>
      <c r="M1906" s="549">
        <v>18047.89</v>
      </c>
      <c r="N1906" s="549">
        <v>5282.89</v>
      </c>
      <c r="O1906" s="549">
        <v>1984</v>
      </c>
      <c r="P1906" s="549">
        <v>100</v>
      </c>
      <c r="Q1906" s="549">
        <v>25314.78</v>
      </c>
    </row>
    <row r="1907" spans="1:17" x14ac:dyDescent="0.25">
      <c r="A1907" s="549" t="s">
        <v>1037</v>
      </c>
      <c r="B1907" s="549" t="s">
        <v>1038</v>
      </c>
      <c r="C1907" s="549" t="s">
        <v>692</v>
      </c>
      <c r="D1907" s="549" t="s">
        <v>462</v>
      </c>
      <c r="E1907" s="549" t="s">
        <v>977</v>
      </c>
      <c r="F1907" s="549" t="s">
        <v>1212</v>
      </c>
      <c r="G1907" s="549" t="s">
        <v>1360</v>
      </c>
      <c r="H1907" s="549" t="s">
        <v>692</v>
      </c>
      <c r="I1907" s="549" t="s">
        <v>976</v>
      </c>
      <c r="J1907" s="549" t="s">
        <v>976</v>
      </c>
      <c r="K1907" s="549" t="s">
        <v>976</v>
      </c>
      <c r="L1907" s="549">
        <v>55317.97</v>
      </c>
      <c r="M1907" s="549">
        <v>4176.51</v>
      </c>
      <c r="N1907" s="549">
        <v>1222.53</v>
      </c>
      <c r="O1907" s="549">
        <v>1984</v>
      </c>
      <c r="P1907" s="549">
        <v>100</v>
      </c>
      <c r="Q1907" s="549">
        <v>7383.04</v>
      </c>
    </row>
    <row r="1908" spans="1:17" x14ac:dyDescent="0.25">
      <c r="A1908" s="549" t="s">
        <v>1037</v>
      </c>
      <c r="B1908" s="549" t="s">
        <v>1038</v>
      </c>
      <c r="C1908" s="549" t="s">
        <v>692</v>
      </c>
      <c r="D1908" s="549" t="s">
        <v>462</v>
      </c>
      <c r="E1908" s="549" t="s">
        <v>977</v>
      </c>
      <c r="F1908" s="549" t="s">
        <v>1212</v>
      </c>
      <c r="G1908" s="549" t="s">
        <v>1361</v>
      </c>
      <c r="H1908" s="549" t="s">
        <v>692</v>
      </c>
      <c r="I1908" s="549" t="s">
        <v>976</v>
      </c>
      <c r="J1908" s="549" t="s">
        <v>976</v>
      </c>
      <c r="K1908" s="549" t="s">
        <v>976</v>
      </c>
      <c r="L1908" s="549">
        <v>61766.65</v>
      </c>
      <c r="M1908" s="549">
        <v>4663.38</v>
      </c>
      <c r="N1908" s="549">
        <v>1365.04</v>
      </c>
      <c r="O1908" s="549">
        <v>1984</v>
      </c>
      <c r="P1908" s="549">
        <v>100</v>
      </c>
      <c r="Q1908" s="549">
        <v>8012.42</v>
      </c>
    </row>
    <row r="1909" spans="1:17" x14ac:dyDescent="0.25">
      <c r="A1909" s="549" t="s">
        <v>1037</v>
      </c>
      <c r="B1909" s="549" t="s">
        <v>1038</v>
      </c>
      <c r="C1909" s="549" t="s">
        <v>692</v>
      </c>
      <c r="D1909" s="549" t="s">
        <v>462</v>
      </c>
      <c r="E1909" s="549" t="s">
        <v>977</v>
      </c>
      <c r="F1909" s="549" t="s">
        <v>1212</v>
      </c>
      <c r="G1909" s="549" t="s">
        <v>1362</v>
      </c>
      <c r="H1909" s="549" t="s">
        <v>692</v>
      </c>
      <c r="I1909" s="549" t="s">
        <v>976</v>
      </c>
      <c r="J1909" s="549" t="s">
        <v>976</v>
      </c>
      <c r="K1909" s="549" t="s">
        <v>976</v>
      </c>
      <c r="L1909" s="549">
        <v>32316.799999999999</v>
      </c>
      <c r="M1909" s="549">
        <v>2439.92</v>
      </c>
      <c r="N1909" s="549">
        <v>714.2</v>
      </c>
      <c r="O1909" s="549">
        <v>0</v>
      </c>
      <c r="P1909" s="549">
        <v>100</v>
      </c>
      <c r="Q1909" s="549">
        <v>3154.12</v>
      </c>
    </row>
    <row r="1910" spans="1:17" x14ac:dyDescent="0.25">
      <c r="A1910" s="549" t="s">
        <v>1037</v>
      </c>
      <c r="B1910" s="549" t="s">
        <v>1038</v>
      </c>
      <c r="C1910" s="549" t="s">
        <v>692</v>
      </c>
      <c r="D1910" s="549" t="s">
        <v>462</v>
      </c>
      <c r="E1910" s="549" t="s">
        <v>977</v>
      </c>
      <c r="F1910" s="549" t="s">
        <v>1212</v>
      </c>
      <c r="G1910" s="549" t="s">
        <v>1363</v>
      </c>
      <c r="H1910" s="549" t="s">
        <v>692</v>
      </c>
      <c r="I1910" s="549" t="s">
        <v>976</v>
      </c>
      <c r="J1910" s="549" t="s">
        <v>976</v>
      </c>
      <c r="K1910" s="549" t="s">
        <v>976</v>
      </c>
      <c r="L1910" s="549">
        <v>32316.799999999999</v>
      </c>
      <c r="M1910" s="549">
        <v>2439.92</v>
      </c>
      <c r="N1910" s="549">
        <v>714.2</v>
      </c>
      <c r="O1910" s="549">
        <v>0</v>
      </c>
      <c r="P1910" s="549">
        <v>100</v>
      </c>
      <c r="Q1910" s="549">
        <v>3154.12</v>
      </c>
    </row>
    <row r="1911" spans="1:17" x14ac:dyDescent="0.25">
      <c r="A1911" s="549" t="s">
        <v>1037</v>
      </c>
      <c r="B1911" s="549" t="s">
        <v>1038</v>
      </c>
      <c r="C1911" s="549" t="s">
        <v>692</v>
      </c>
      <c r="D1911" s="549" t="s">
        <v>462</v>
      </c>
      <c r="E1911" s="549" t="s">
        <v>977</v>
      </c>
      <c r="F1911" s="549" t="s">
        <v>1212</v>
      </c>
      <c r="G1911" s="549" t="s">
        <v>1250</v>
      </c>
      <c r="H1911" s="549" t="s">
        <v>692</v>
      </c>
      <c r="I1911" s="549" t="s">
        <v>976</v>
      </c>
      <c r="J1911" s="549" t="s">
        <v>976</v>
      </c>
      <c r="K1911" s="549" t="s">
        <v>976</v>
      </c>
      <c r="L1911" s="549">
        <v>41641.339999999997</v>
      </c>
      <c r="M1911" s="549">
        <v>3143.92</v>
      </c>
      <c r="N1911" s="549">
        <v>920.27</v>
      </c>
      <c r="O1911" s="549">
        <v>0</v>
      </c>
      <c r="P1911" s="549">
        <v>100</v>
      </c>
      <c r="Q1911" s="549">
        <v>4064.19</v>
      </c>
    </row>
    <row r="1912" spans="1:17" x14ac:dyDescent="0.25">
      <c r="A1912" s="549" t="s">
        <v>1037</v>
      </c>
      <c r="B1912" s="549" t="s">
        <v>1038</v>
      </c>
      <c r="C1912" s="549" t="s">
        <v>693</v>
      </c>
      <c r="D1912" s="549" t="s">
        <v>694</v>
      </c>
      <c r="E1912" s="549" t="s">
        <v>977</v>
      </c>
      <c r="F1912" s="549" t="s">
        <v>1212</v>
      </c>
      <c r="G1912" s="549">
        <v>1</v>
      </c>
      <c r="H1912" s="549" t="s">
        <v>693</v>
      </c>
      <c r="I1912" s="549" t="s">
        <v>976</v>
      </c>
      <c r="J1912" s="549" t="s">
        <v>976</v>
      </c>
      <c r="K1912" s="549" t="s">
        <v>976</v>
      </c>
      <c r="L1912" s="549">
        <v>73143.039999999994</v>
      </c>
      <c r="M1912" s="549">
        <v>5522.3</v>
      </c>
      <c r="N1912" s="549">
        <v>1616.46</v>
      </c>
      <c r="O1912" s="549">
        <v>892.8</v>
      </c>
      <c r="P1912" s="549">
        <v>100</v>
      </c>
      <c r="Q1912" s="549">
        <v>8031.56</v>
      </c>
    </row>
    <row r="1913" spans="1:17" x14ac:dyDescent="0.25">
      <c r="A1913" s="549" t="s">
        <v>1037</v>
      </c>
      <c r="B1913" s="549" t="s">
        <v>1038</v>
      </c>
      <c r="C1913" s="549" t="s">
        <v>693</v>
      </c>
      <c r="D1913" s="549" t="s">
        <v>694</v>
      </c>
      <c r="E1913" s="549" t="s">
        <v>977</v>
      </c>
      <c r="F1913" s="549" t="s">
        <v>1212</v>
      </c>
      <c r="G1913" s="549">
        <v>2</v>
      </c>
      <c r="H1913" s="549" t="s">
        <v>693</v>
      </c>
      <c r="I1913" s="549" t="s">
        <v>976</v>
      </c>
      <c r="J1913" s="549" t="s">
        <v>976</v>
      </c>
      <c r="K1913" s="549" t="s">
        <v>976</v>
      </c>
      <c r="L1913" s="549">
        <v>73143.039999999994</v>
      </c>
      <c r="M1913" s="549">
        <v>5522.3</v>
      </c>
      <c r="N1913" s="549">
        <v>1616.46</v>
      </c>
      <c r="O1913" s="549">
        <v>892.8</v>
      </c>
      <c r="P1913" s="549">
        <v>100</v>
      </c>
      <c r="Q1913" s="549">
        <v>8031.56</v>
      </c>
    </row>
    <row r="1914" spans="1:17" x14ac:dyDescent="0.25">
      <c r="A1914" s="549" t="s">
        <v>1037</v>
      </c>
      <c r="B1914" s="549" t="s">
        <v>1038</v>
      </c>
      <c r="C1914" s="549" t="s">
        <v>693</v>
      </c>
      <c r="D1914" s="549" t="s">
        <v>694</v>
      </c>
      <c r="E1914" s="549" t="s">
        <v>977</v>
      </c>
      <c r="F1914" s="549" t="s">
        <v>1212</v>
      </c>
      <c r="G1914" s="549">
        <v>3</v>
      </c>
      <c r="H1914" s="549" t="s">
        <v>693</v>
      </c>
      <c r="I1914" s="549" t="s">
        <v>976</v>
      </c>
      <c r="J1914" s="549" t="s">
        <v>976</v>
      </c>
      <c r="K1914" s="549" t="s">
        <v>976</v>
      </c>
      <c r="L1914" s="549">
        <v>73143.039999999994</v>
      </c>
      <c r="M1914" s="549">
        <v>5522.3</v>
      </c>
      <c r="N1914" s="549">
        <v>1616.46</v>
      </c>
      <c r="O1914" s="549">
        <v>892.8</v>
      </c>
      <c r="P1914" s="549">
        <v>100</v>
      </c>
      <c r="Q1914" s="549">
        <v>8031.56</v>
      </c>
    </row>
    <row r="1915" spans="1:17" x14ac:dyDescent="0.25">
      <c r="A1915" s="549" t="s">
        <v>1037</v>
      </c>
      <c r="B1915" s="549" t="s">
        <v>1038</v>
      </c>
      <c r="C1915" s="549" t="s">
        <v>693</v>
      </c>
      <c r="D1915" s="549" t="s">
        <v>694</v>
      </c>
      <c r="E1915" s="549" t="s">
        <v>977</v>
      </c>
      <c r="F1915" s="549" t="s">
        <v>1212</v>
      </c>
      <c r="G1915" s="549">
        <v>4</v>
      </c>
      <c r="H1915" s="549" t="s">
        <v>693</v>
      </c>
      <c r="I1915" s="549" t="s">
        <v>976</v>
      </c>
      <c r="J1915" s="549" t="s">
        <v>976</v>
      </c>
      <c r="K1915" s="549" t="s">
        <v>976</v>
      </c>
      <c r="L1915" s="549">
        <v>73143.039999999994</v>
      </c>
      <c r="M1915" s="549">
        <v>5522.3</v>
      </c>
      <c r="N1915" s="549">
        <v>1616.46</v>
      </c>
      <c r="O1915" s="549">
        <v>892.8</v>
      </c>
      <c r="P1915" s="549">
        <v>100</v>
      </c>
      <c r="Q1915" s="549">
        <v>8031.56</v>
      </c>
    </row>
    <row r="1916" spans="1:17" x14ac:dyDescent="0.25">
      <c r="A1916" s="549" t="s">
        <v>1037</v>
      </c>
      <c r="B1916" s="549" t="s">
        <v>1038</v>
      </c>
      <c r="C1916" s="549" t="s">
        <v>693</v>
      </c>
      <c r="D1916" s="549" t="s">
        <v>694</v>
      </c>
      <c r="E1916" s="549" t="s">
        <v>977</v>
      </c>
      <c r="F1916" s="549" t="s">
        <v>1212</v>
      </c>
      <c r="G1916" s="549">
        <v>5</v>
      </c>
      <c r="H1916" s="549" t="s">
        <v>693</v>
      </c>
      <c r="I1916" s="549" t="s">
        <v>976</v>
      </c>
      <c r="J1916" s="549" t="s">
        <v>976</v>
      </c>
      <c r="K1916" s="549" t="s">
        <v>976</v>
      </c>
      <c r="L1916" s="549">
        <v>0.02</v>
      </c>
      <c r="M1916" s="549">
        <v>0</v>
      </c>
      <c r="N1916" s="549">
        <v>0</v>
      </c>
      <c r="O1916" s="549">
        <v>892.8</v>
      </c>
      <c r="P1916" s="549">
        <v>100</v>
      </c>
      <c r="Q1916" s="549">
        <v>892.8</v>
      </c>
    </row>
    <row r="1917" spans="1:17" x14ac:dyDescent="0.25">
      <c r="A1917" s="549" t="s">
        <v>1037</v>
      </c>
      <c r="B1917" s="549" t="s">
        <v>1038</v>
      </c>
      <c r="C1917" s="549" t="s">
        <v>693</v>
      </c>
      <c r="D1917" s="549" t="s">
        <v>694</v>
      </c>
      <c r="E1917" s="549" t="s">
        <v>977</v>
      </c>
      <c r="F1917" s="549" t="s">
        <v>1212</v>
      </c>
      <c r="G1917" s="549">
        <v>6</v>
      </c>
      <c r="H1917" s="549" t="s">
        <v>693</v>
      </c>
      <c r="I1917" s="549" t="s">
        <v>976</v>
      </c>
      <c r="J1917" s="549" t="s">
        <v>976</v>
      </c>
      <c r="K1917" s="549" t="s">
        <v>976</v>
      </c>
      <c r="L1917" s="549">
        <v>73143.039999999994</v>
      </c>
      <c r="M1917" s="549">
        <v>5522.3</v>
      </c>
      <c r="N1917" s="549">
        <v>1616.46</v>
      </c>
      <c r="O1917" s="549">
        <v>892.8</v>
      </c>
      <c r="P1917" s="549">
        <v>100</v>
      </c>
      <c r="Q1917" s="549">
        <v>8031.56</v>
      </c>
    </row>
    <row r="1918" spans="1:17" x14ac:dyDescent="0.25">
      <c r="A1918" s="549" t="s">
        <v>1037</v>
      </c>
      <c r="B1918" s="549" t="s">
        <v>1038</v>
      </c>
      <c r="C1918" s="549" t="s">
        <v>693</v>
      </c>
      <c r="D1918" s="549" t="s">
        <v>694</v>
      </c>
      <c r="E1918" s="549" t="s">
        <v>977</v>
      </c>
      <c r="F1918" s="549" t="s">
        <v>1212</v>
      </c>
      <c r="G1918" s="549">
        <v>7</v>
      </c>
      <c r="H1918" s="549" t="s">
        <v>693</v>
      </c>
      <c r="I1918" s="549" t="s">
        <v>976</v>
      </c>
      <c r="J1918" s="549" t="s">
        <v>976</v>
      </c>
      <c r="K1918" s="549" t="s">
        <v>976</v>
      </c>
      <c r="L1918" s="549">
        <v>73143.039999999994</v>
      </c>
      <c r="M1918" s="549">
        <v>5522.3</v>
      </c>
      <c r="N1918" s="549">
        <v>1616.46</v>
      </c>
      <c r="O1918" s="549">
        <v>892.8</v>
      </c>
      <c r="P1918" s="549">
        <v>100</v>
      </c>
      <c r="Q1918" s="549">
        <v>8031.56</v>
      </c>
    </row>
    <row r="1919" spans="1:17" x14ac:dyDescent="0.25">
      <c r="A1919" s="549" t="s">
        <v>1037</v>
      </c>
      <c r="B1919" s="549" t="s">
        <v>1038</v>
      </c>
      <c r="C1919" s="549" t="s">
        <v>693</v>
      </c>
      <c r="D1919" s="549" t="s">
        <v>694</v>
      </c>
      <c r="E1919" s="549" t="s">
        <v>977</v>
      </c>
      <c r="F1919" s="549" t="s">
        <v>1212</v>
      </c>
      <c r="G1919" s="549">
        <v>24</v>
      </c>
      <c r="H1919" s="549" t="s">
        <v>693</v>
      </c>
      <c r="I1919" s="549" t="s">
        <v>976</v>
      </c>
      <c r="J1919" s="549" t="s">
        <v>976</v>
      </c>
      <c r="K1919" s="549" t="s">
        <v>976</v>
      </c>
      <c r="L1919" s="549">
        <v>73527.31</v>
      </c>
      <c r="M1919" s="549">
        <v>5551.31</v>
      </c>
      <c r="N1919" s="549">
        <v>1624.95</v>
      </c>
      <c r="O1919" s="549">
        <v>892.8</v>
      </c>
      <c r="P1919" s="549">
        <v>100</v>
      </c>
      <c r="Q1919" s="549">
        <v>8069.06</v>
      </c>
    </row>
    <row r="1920" spans="1:17" x14ac:dyDescent="0.25">
      <c r="A1920" s="549" t="s">
        <v>1037</v>
      </c>
      <c r="B1920" s="549" t="s">
        <v>1038</v>
      </c>
      <c r="C1920" s="549" t="s">
        <v>693</v>
      </c>
      <c r="D1920" s="549" t="s">
        <v>694</v>
      </c>
      <c r="E1920" s="549" t="s">
        <v>977</v>
      </c>
      <c r="F1920" s="549" t="s">
        <v>1212</v>
      </c>
      <c r="G1920" s="549">
        <v>36</v>
      </c>
      <c r="H1920" s="549" t="s">
        <v>693</v>
      </c>
      <c r="I1920" s="549" t="s">
        <v>976</v>
      </c>
      <c r="J1920" s="549" t="s">
        <v>976</v>
      </c>
      <c r="K1920" s="549" t="s">
        <v>976</v>
      </c>
      <c r="L1920" s="549">
        <v>116524.5</v>
      </c>
      <c r="M1920" s="549">
        <v>8797.6</v>
      </c>
      <c r="N1920" s="549">
        <v>2575.19</v>
      </c>
      <c r="O1920" s="549">
        <v>992</v>
      </c>
      <c r="P1920" s="549">
        <v>100</v>
      </c>
      <c r="Q1920" s="549">
        <v>12364.79</v>
      </c>
    </row>
    <row r="1921" spans="1:17" x14ac:dyDescent="0.25">
      <c r="A1921" s="549" t="s">
        <v>1037</v>
      </c>
      <c r="B1921" s="549" t="s">
        <v>1038</v>
      </c>
      <c r="C1921" s="549" t="s">
        <v>693</v>
      </c>
      <c r="D1921" s="549" t="s">
        <v>694</v>
      </c>
      <c r="E1921" s="549" t="s">
        <v>977</v>
      </c>
      <c r="F1921" s="549" t="s">
        <v>1212</v>
      </c>
      <c r="G1921" s="549">
        <v>37</v>
      </c>
      <c r="H1921" s="549" t="s">
        <v>693</v>
      </c>
      <c r="I1921" s="549" t="s">
        <v>976</v>
      </c>
      <c r="J1921" s="549" t="s">
        <v>976</v>
      </c>
      <c r="K1921" s="549" t="s">
        <v>976</v>
      </c>
      <c r="L1921" s="549">
        <v>116524.5</v>
      </c>
      <c r="M1921" s="549">
        <v>8797.6</v>
      </c>
      <c r="N1921" s="549">
        <v>2575.19</v>
      </c>
      <c r="O1921" s="549">
        <v>992</v>
      </c>
      <c r="P1921" s="549">
        <v>100</v>
      </c>
      <c r="Q1921" s="549">
        <v>12364.79</v>
      </c>
    </row>
    <row r="1922" spans="1:17" x14ac:dyDescent="0.25">
      <c r="A1922" s="549" t="s">
        <v>1037</v>
      </c>
      <c r="B1922" s="549" t="s">
        <v>1038</v>
      </c>
      <c r="C1922" s="549" t="s">
        <v>693</v>
      </c>
      <c r="D1922" s="549" t="s">
        <v>694</v>
      </c>
      <c r="E1922" s="549" t="s">
        <v>977</v>
      </c>
      <c r="F1922" s="549" t="s">
        <v>1212</v>
      </c>
      <c r="G1922" s="549">
        <v>62</v>
      </c>
      <c r="H1922" s="549" t="s">
        <v>693</v>
      </c>
      <c r="I1922" s="549" t="s">
        <v>976</v>
      </c>
      <c r="J1922" s="549" t="s">
        <v>976</v>
      </c>
      <c r="K1922" s="549" t="s">
        <v>976</v>
      </c>
      <c r="L1922" s="549">
        <v>327920.08</v>
      </c>
      <c r="M1922" s="549">
        <v>24757.97</v>
      </c>
      <c r="N1922" s="549">
        <v>7247.03</v>
      </c>
      <c r="O1922" s="549">
        <v>1984</v>
      </c>
      <c r="P1922" s="549">
        <v>100</v>
      </c>
      <c r="Q1922" s="549">
        <v>33989</v>
      </c>
    </row>
    <row r="1923" spans="1:17" x14ac:dyDescent="0.25">
      <c r="A1923" s="549" t="s">
        <v>1037</v>
      </c>
      <c r="B1923" s="549" t="s">
        <v>1038</v>
      </c>
      <c r="C1923" s="549" t="s">
        <v>693</v>
      </c>
      <c r="D1923" s="549" t="s">
        <v>694</v>
      </c>
      <c r="E1923" s="549" t="s">
        <v>977</v>
      </c>
      <c r="F1923" s="549" t="s">
        <v>1212</v>
      </c>
      <c r="G1923" s="549">
        <v>72</v>
      </c>
      <c r="H1923" s="549" t="s">
        <v>693</v>
      </c>
      <c r="I1923" s="549" t="s">
        <v>976</v>
      </c>
      <c r="J1923" s="549" t="s">
        <v>976</v>
      </c>
      <c r="K1923" s="549" t="s">
        <v>976</v>
      </c>
      <c r="L1923" s="549">
        <v>480667.43</v>
      </c>
      <c r="M1923" s="549">
        <v>36290.39</v>
      </c>
      <c r="N1923" s="549">
        <v>10622.75</v>
      </c>
      <c r="O1923" s="549">
        <v>3968</v>
      </c>
      <c r="P1923" s="549">
        <v>100</v>
      </c>
      <c r="Q1923" s="549">
        <v>50881.14</v>
      </c>
    </row>
    <row r="1924" spans="1:17" x14ac:dyDescent="0.25">
      <c r="A1924" s="549" t="s">
        <v>1037</v>
      </c>
      <c r="B1924" s="549" t="s">
        <v>1038</v>
      </c>
      <c r="C1924" s="549" t="s">
        <v>693</v>
      </c>
      <c r="D1924" s="549" t="s">
        <v>694</v>
      </c>
      <c r="E1924" s="549" t="s">
        <v>977</v>
      </c>
      <c r="F1924" s="549" t="s">
        <v>1212</v>
      </c>
      <c r="G1924" s="549">
        <v>82</v>
      </c>
      <c r="H1924" s="549" t="s">
        <v>693</v>
      </c>
      <c r="I1924" s="549" t="s">
        <v>976</v>
      </c>
      <c r="J1924" s="549" t="s">
        <v>976</v>
      </c>
      <c r="K1924" s="549" t="s">
        <v>976</v>
      </c>
      <c r="L1924" s="549">
        <v>327920.08</v>
      </c>
      <c r="M1924" s="549">
        <v>24757.97</v>
      </c>
      <c r="N1924" s="549">
        <v>7247.03</v>
      </c>
      <c r="O1924" s="549">
        <v>1984</v>
      </c>
      <c r="P1924" s="549">
        <v>100</v>
      </c>
      <c r="Q1924" s="549">
        <v>33989</v>
      </c>
    </row>
    <row r="1925" spans="1:17" x14ac:dyDescent="0.25">
      <c r="A1925" s="549" t="s">
        <v>1037</v>
      </c>
      <c r="B1925" s="549" t="s">
        <v>1038</v>
      </c>
      <c r="C1925" s="549" t="s">
        <v>693</v>
      </c>
      <c r="D1925" s="549" t="s">
        <v>694</v>
      </c>
      <c r="E1925" s="549" t="s">
        <v>977</v>
      </c>
      <c r="F1925" s="549" t="s">
        <v>1212</v>
      </c>
      <c r="G1925" s="549">
        <v>92</v>
      </c>
      <c r="H1925" s="549" t="s">
        <v>693</v>
      </c>
      <c r="I1925" s="549" t="s">
        <v>976</v>
      </c>
      <c r="J1925" s="549" t="s">
        <v>976</v>
      </c>
      <c r="K1925" s="549" t="s">
        <v>976</v>
      </c>
      <c r="L1925" s="549">
        <v>480667.43</v>
      </c>
      <c r="M1925" s="549">
        <v>36290.39</v>
      </c>
      <c r="N1925" s="549">
        <v>10622.75</v>
      </c>
      <c r="O1925" s="549">
        <v>3968</v>
      </c>
      <c r="P1925" s="549">
        <v>100</v>
      </c>
      <c r="Q1925" s="549">
        <v>50881.14</v>
      </c>
    </row>
    <row r="1926" spans="1:17" x14ac:dyDescent="0.25">
      <c r="A1926" s="549" t="s">
        <v>1037</v>
      </c>
      <c r="B1926" s="549" t="s">
        <v>1038</v>
      </c>
      <c r="C1926" s="549" t="s">
        <v>693</v>
      </c>
      <c r="D1926" s="549" t="s">
        <v>694</v>
      </c>
      <c r="E1926" s="549" t="s">
        <v>977</v>
      </c>
      <c r="F1926" s="549" t="s">
        <v>1212</v>
      </c>
      <c r="G1926" s="549" t="s">
        <v>1364</v>
      </c>
      <c r="H1926" s="549" t="s">
        <v>693</v>
      </c>
      <c r="I1926" s="549" t="s">
        <v>976</v>
      </c>
      <c r="J1926" s="549" t="s">
        <v>976</v>
      </c>
      <c r="K1926" s="549" t="s">
        <v>976</v>
      </c>
      <c r="L1926" s="549">
        <v>114845.08</v>
      </c>
      <c r="M1926" s="549">
        <v>8670.7999999999993</v>
      </c>
      <c r="N1926" s="549">
        <v>2538.08</v>
      </c>
      <c r="O1926" s="549">
        <v>1984</v>
      </c>
      <c r="P1926" s="549">
        <v>100</v>
      </c>
      <c r="Q1926" s="549">
        <v>13192.88</v>
      </c>
    </row>
    <row r="1927" spans="1:17" x14ac:dyDescent="0.25">
      <c r="A1927" s="549" t="s">
        <v>1037</v>
      </c>
      <c r="B1927" s="549" t="s">
        <v>1038</v>
      </c>
      <c r="C1927" s="549" t="s">
        <v>693</v>
      </c>
      <c r="D1927" s="549" t="s">
        <v>694</v>
      </c>
      <c r="E1927" s="549" t="s">
        <v>977</v>
      </c>
      <c r="F1927" s="549" t="s">
        <v>1212</v>
      </c>
      <c r="G1927" s="549" t="s">
        <v>1365</v>
      </c>
      <c r="H1927" s="549" t="s">
        <v>693</v>
      </c>
      <c r="I1927" s="549" t="s">
        <v>976</v>
      </c>
      <c r="J1927" s="549" t="s">
        <v>976</v>
      </c>
      <c r="K1927" s="549" t="s">
        <v>976</v>
      </c>
      <c r="L1927" s="549">
        <v>31102.38</v>
      </c>
      <c r="M1927" s="549">
        <v>2348.23</v>
      </c>
      <c r="N1927" s="549">
        <v>687.36</v>
      </c>
      <c r="O1927" s="549">
        <v>0</v>
      </c>
      <c r="P1927" s="549">
        <v>100</v>
      </c>
      <c r="Q1927" s="549">
        <v>3035.59</v>
      </c>
    </row>
    <row r="1928" spans="1:17" x14ac:dyDescent="0.25">
      <c r="A1928" s="549" t="s">
        <v>1037</v>
      </c>
      <c r="B1928" s="549" t="s">
        <v>1038</v>
      </c>
      <c r="C1928" s="549" t="s">
        <v>693</v>
      </c>
      <c r="D1928" s="549" t="s">
        <v>694</v>
      </c>
      <c r="E1928" s="549" t="s">
        <v>977</v>
      </c>
      <c r="F1928" s="549" t="s">
        <v>1212</v>
      </c>
      <c r="G1928" s="549" t="s">
        <v>1309</v>
      </c>
      <c r="H1928" s="549" t="s">
        <v>693</v>
      </c>
      <c r="I1928" s="549" t="s">
        <v>976</v>
      </c>
      <c r="J1928" s="549" t="s">
        <v>976</v>
      </c>
      <c r="K1928" s="549" t="s">
        <v>976</v>
      </c>
      <c r="L1928" s="549">
        <v>31102.38</v>
      </c>
      <c r="M1928" s="549">
        <v>2348.23</v>
      </c>
      <c r="N1928" s="549">
        <v>687.36</v>
      </c>
      <c r="O1928" s="549">
        <v>0</v>
      </c>
      <c r="P1928" s="549">
        <v>100</v>
      </c>
      <c r="Q1928" s="549">
        <v>3035.59</v>
      </c>
    </row>
    <row r="1929" spans="1:17" x14ac:dyDescent="0.25">
      <c r="A1929" s="549" t="s">
        <v>1037</v>
      </c>
      <c r="B1929" s="549" t="s">
        <v>1038</v>
      </c>
      <c r="C1929" s="549" t="s">
        <v>693</v>
      </c>
      <c r="D1929" s="549" t="s">
        <v>694</v>
      </c>
      <c r="E1929" s="549" t="s">
        <v>977</v>
      </c>
      <c r="F1929" s="549" t="s">
        <v>1212</v>
      </c>
      <c r="G1929" s="549" t="s">
        <v>1249</v>
      </c>
      <c r="H1929" s="549" t="s">
        <v>693</v>
      </c>
      <c r="I1929" s="549" t="s">
        <v>976</v>
      </c>
      <c r="J1929" s="549" t="s">
        <v>976</v>
      </c>
      <c r="K1929" s="549" t="s">
        <v>976</v>
      </c>
      <c r="L1929" s="549">
        <v>41233.089999999997</v>
      </c>
      <c r="M1929" s="549">
        <v>3113.1</v>
      </c>
      <c r="N1929" s="549">
        <v>911.25</v>
      </c>
      <c r="O1929" s="549">
        <v>0</v>
      </c>
      <c r="P1929" s="549">
        <v>100</v>
      </c>
      <c r="Q1929" s="549">
        <v>4024.35</v>
      </c>
    </row>
    <row r="1930" spans="1:17" x14ac:dyDescent="0.25">
      <c r="A1930" s="549" t="s">
        <v>1037</v>
      </c>
      <c r="B1930" s="549" t="s">
        <v>1038</v>
      </c>
      <c r="C1930" s="549" t="s">
        <v>693</v>
      </c>
      <c r="D1930" s="549" t="s">
        <v>694</v>
      </c>
      <c r="E1930" s="549" t="s">
        <v>977</v>
      </c>
      <c r="F1930" s="549" t="s">
        <v>1212</v>
      </c>
      <c r="G1930" s="549">
        <v>62</v>
      </c>
      <c r="H1930" s="549" t="s">
        <v>690</v>
      </c>
      <c r="I1930" s="549" t="s">
        <v>976</v>
      </c>
      <c r="J1930" s="549" t="s">
        <v>976</v>
      </c>
      <c r="K1930" s="549" t="s">
        <v>976</v>
      </c>
      <c r="L1930" s="549">
        <v>448657.49</v>
      </c>
      <c r="M1930" s="549">
        <v>33873.64</v>
      </c>
      <c r="N1930" s="549">
        <v>9915.33</v>
      </c>
      <c r="O1930" s="549">
        <v>3968</v>
      </c>
      <c r="P1930" s="549">
        <v>100</v>
      </c>
      <c r="Q1930" s="549">
        <v>47756.97</v>
      </c>
    </row>
    <row r="1931" spans="1:17" x14ac:dyDescent="0.25">
      <c r="A1931" s="549" t="s">
        <v>1037</v>
      </c>
      <c r="B1931" s="549" t="s">
        <v>1038</v>
      </c>
      <c r="C1931" s="549" t="s">
        <v>693</v>
      </c>
      <c r="D1931" s="549" t="s">
        <v>694</v>
      </c>
      <c r="E1931" s="549" t="s">
        <v>977</v>
      </c>
      <c r="F1931" s="549" t="s">
        <v>1212</v>
      </c>
      <c r="G1931" s="549">
        <v>102</v>
      </c>
      <c r="H1931" s="549" t="s">
        <v>690</v>
      </c>
      <c r="I1931" s="549" t="s">
        <v>976</v>
      </c>
      <c r="J1931" s="549" t="s">
        <v>976</v>
      </c>
      <c r="K1931" s="549" t="s">
        <v>976</v>
      </c>
      <c r="L1931" s="549">
        <v>485426.5</v>
      </c>
      <c r="M1931" s="549">
        <v>36649.699999999997</v>
      </c>
      <c r="N1931" s="549">
        <v>10727.93</v>
      </c>
      <c r="O1931" s="549">
        <v>3968</v>
      </c>
      <c r="P1931" s="549">
        <v>100</v>
      </c>
      <c r="Q1931" s="549">
        <v>51345.63</v>
      </c>
    </row>
    <row r="1932" spans="1:17" x14ac:dyDescent="0.25">
      <c r="A1932" s="549" t="s">
        <v>1037</v>
      </c>
      <c r="B1932" s="549" t="s">
        <v>1038</v>
      </c>
      <c r="C1932" s="549" t="s">
        <v>690</v>
      </c>
      <c r="D1932" s="549" t="s">
        <v>691</v>
      </c>
      <c r="E1932" s="549" t="s">
        <v>977</v>
      </c>
      <c r="F1932" s="549" t="s">
        <v>1212</v>
      </c>
      <c r="G1932" s="549">
        <v>42</v>
      </c>
      <c r="H1932" s="549" t="s">
        <v>690</v>
      </c>
      <c r="I1932" s="549" t="s">
        <v>976</v>
      </c>
      <c r="J1932" s="549" t="s">
        <v>976</v>
      </c>
      <c r="K1932" s="549" t="s">
        <v>976</v>
      </c>
      <c r="L1932" s="549">
        <v>331166.81</v>
      </c>
      <c r="M1932" s="549">
        <v>25003.09</v>
      </c>
      <c r="N1932" s="549">
        <v>7318.79</v>
      </c>
      <c r="O1932" s="549">
        <v>3968</v>
      </c>
      <c r="P1932" s="549">
        <v>100</v>
      </c>
      <c r="Q1932" s="549">
        <v>36289.879999999997</v>
      </c>
    </row>
    <row r="1933" spans="1:17" x14ac:dyDescent="0.25">
      <c r="A1933" s="549" t="s">
        <v>1037</v>
      </c>
      <c r="B1933" s="549" t="s">
        <v>1038</v>
      </c>
      <c r="C1933" s="549" t="s">
        <v>690</v>
      </c>
      <c r="D1933" s="549" t="s">
        <v>691</v>
      </c>
      <c r="E1933" s="549" t="s">
        <v>977</v>
      </c>
      <c r="F1933" s="549" t="s">
        <v>1212</v>
      </c>
      <c r="G1933" s="549">
        <v>82</v>
      </c>
      <c r="H1933" s="549" t="s">
        <v>690</v>
      </c>
      <c r="I1933" s="549" t="s">
        <v>976</v>
      </c>
      <c r="J1933" s="549" t="s">
        <v>976</v>
      </c>
      <c r="K1933" s="549" t="s">
        <v>976</v>
      </c>
      <c r="L1933" s="549">
        <v>331166.81</v>
      </c>
      <c r="M1933" s="549">
        <v>25003.09</v>
      </c>
      <c r="N1933" s="549">
        <v>7318.79</v>
      </c>
      <c r="O1933" s="549">
        <v>1984</v>
      </c>
      <c r="P1933" s="549">
        <v>100</v>
      </c>
      <c r="Q1933" s="549">
        <v>34305.879999999997</v>
      </c>
    </row>
    <row r="1934" spans="1:17" x14ac:dyDescent="0.25">
      <c r="A1934" s="549" t="s">
        <v>1037</v>
      </c>
      <c r="B1934" s="549" t="s">
        <v>1038</v>
      </c>
      <c r="C1934" s="549" t="s">
        <v>690</v>
      </c>
      <c r="D1934" s="549" t="s">
        <v>691</v>
      </c>
      <c r="E1934" s="549" t="s">
        <v>977</v>
      </c>
      <c r="F1934" s="549" t="s">
        <v>1212</v>
      </c>
      <c r="G1934" s="549">
        <v>1252</v>
      </c>
      <c r="H1934" s="549" t="s">
        <v>690</v>
      </c>
      <c r="I1934" s="549" t="s">
        <v>976</v>
      </c>
      <c r="J1934" s="549" t="s">
        <v>976</v>
      </c>
      <c r="K1934" s="549" t="s">
        <v>976</v>
      </c>
      <c r="L1934" s="549">
        <v>216723.36</v>
      </c>
      <c r="M1934" s="549">
        <v>16362.61</v>
      </c>
      <c r="N1934" s="549">
        <v>4789.59</v>
      </c>
      <c r="O1934" s="549">
        <v>1984</v>
      </c>
      <c r="P1934" s="549">
        <v>100</v>
      </c>
      <c r="Q1934" s="549">
        <v>23136.2</v>
      </c>
    </row>
    <row r="1935" spans="1:17" x14ac:dyDescent="0.25">
      <c r="A1935" s="549" t="s">
        <v>1037</v>
      </c>
      <c r="B1935" s="549" t="s">
        <v>1038</v>
      </c>
      <c r="C1935" s="549" t="s">
        <v>690</v>
      </c>
      <c r="D1935" s="549" t="s">
        <v>691</v>
      </c>
      <c r="E1935" s="549" t="s">
        <v>977</v>
      </c>
      <c r="F1935" s="549" t="s">
        <v>1212</v>
      </c>
      <c r="G1935" s="549">
        <v>1262</v>
      </c>
      <c r="H1935" s="549" t="s">
        <v>690</v>
      </c>
      <c r="I1935" s="549" t="s">
        <v>976</v>
      </c>
      <c r="J1935" s="549" t="s">
        <v>976</v>
      </c>
      <c r="K1935" s="549" t="s">
        <v>976</v>
      </c>
      <c r="L1935" s="549">
        <v>216723.36</v>
      </c>
      <c r="M1935" s="549">
        <v>16362.61</v>
      </c>
      <c r="N1935" s="549">
        <v>4789.59</v>
      </c>
      <c r="O1935" s="549">
        <v>1984</v>
      </c>
      <c r="P1935" s="549">
        <v>100</v>
      </c>
      <c r="Q1935" s="549">
        <v>23136.2</v>
      </c>
    </row>
    <row r="1936" spans="1:17" x14ac:dyDescent="0.25">
      <c r="A1936" s="549" t="s">
        <v>1037</v>
      </c>
      <c r="B1936" s="549" t="s">
        <v>1038</v>
      </c>
      <c r="C1936" s="549" t="s">
        <v>690</v>
      </c>
      <c r="D1936" s="549" t="s">
        <v>691</v>
      </c>
      <c r="E1936" s="549" t="s">
        <v>977</v>
      </c>
      <c r="F1936" s="549" t="s">
        <v>1212</v>
      </c>
      <c r="G1936" s="549" t="s">
        <v>1222</v>
      </c>
      <c r="H1936" s="549" t="s">
        <v>690</v>
      </c>
      <c r="I1936" s="549" t="s">
        <v>976</v>
      </c>
      <c r="J1936" s="549" t="s">
        <v>976</v>
      </c>
      <c r="K1936" s="549" t="s">
        <v>976</v>
      </c>
      <c r="L1936" s="549">
        <v>32316.799999999999</v>
      </c>
      <c r="M1936" s="549">
        <v>2439.92</v>
      </c>
      <c r="N1936" s="549">
        <v>714.2</v>
      </c>
      <c r="O1936" s="549">
        <v>0</v>
      </c>
      <c r="P1936" s="549">
        <v>100</v>
      </c>
      <c r="Q1936" s="549">
        <v>3154.12</v>
      </c>
    </row>
    <row r="1937" spans="1:17" x14ac:dyDescent="0.25">
      <c r="A1937" s="549" t="s">
        <v>1037</v>
      </c>
      <c r="B1937" s="549" t="s">
        <v>1038</v>
      </c>
      <c r="C1937" s="549" t="s">
        <v>690</v>
      </c>
      <c r="D1937" s="549" t="s">
        <v>691</v>
      </c>
      <c r="E1937" s="549" t="s">
        <v>977</v>
      </c>
      <c r="F1937" s="549" t="s">
        <v>1212</v>
      </c>
      <c r="G1937" s="549" t="s">
        <v>1366</v>
      </c>
      <c r="H1937" s="549" t="s">
        <v>690</v>
      </c>
      <c r="I1937" s="549" t="s">
        <v>976</v>
      </c>
      <c r="J1937" s="549" t="s">
        <v>976</v>
      </c>
      <c r="K1937" s="549" t="s">
        <v>976</v>
      </c>
      <c r="L1937" s="549">
        <v>32316.799999999999</v>
      </c>
      <c r="M1937" s="549">
        <v>2439.92</v>
      </c>
      <c r="N1937" s="549">
        <v>714.2</v>
      </c>
      <c r="O1937" s="549">
        <v>0</v>
      </c>
      <c r="P1937" s="549">
        <v>100</v>
      </c>
      <c r="Q1937" s="549">
        <v>3154.12</v>
      </c>
    </row>
    <row r="1938" spans="1:17" x14ac:dyDescent="0.25">
      <c r="A1938" s="549" t="s">
        <v>1037</v>
      </c>
      <c r="B1938" s="549" t="s">
        <v>1038</v>
      </c>
      <c r="C1938" s="549" t="s">
        <v>686</v>
      </c>
      <c r="D1938" s="549" t="s">
        <v>687</v>
      </c>
      <c r="E1938" s="549" t="s">
        <v>973</v>
      </c>
      <c r="F1938" s="549" t="s">
        <v>1212</v>
      </c>
      <c r="G1938" s="549">
        <v>82</v>
      </c>
      <c r="H1938" s="549" t="s">
        <v>686</v>
      </c>
      <c r="I1938" s="549" t="s">
        <v>976</v>
      </c>
      <c r="J1938" s="549" t="s">
        <v>976</v>
      </c>
      <c r="K1938" s="549" t="s">
        <v>976</v>
      </c>
      <c r="L1938" s="549">
        <v>331166.81</v>
      </c>
      <c r="M1938" s="549">
        <v>25003.09</v>
      </c>
      <c r="N1938" s="549">
        <v>19008.97</v>
      </c>
      <c r="O1938" s="549">
        <v>1785.6</v>
      </c>
      <c r="P1938" s="549">
        <v>0</v>
      </c>
      <c r="Q1938" s="549">
        <v>0</v>
      </c>
    </row>
    <row r="1939" spans="1:17" x14ac:dyDescent="0.25">
      <c r="A1939" s="549" t="s">
        <v>1037</v>
      </c>
      <c r="B1939" s="549" t="s">
        <v>1038</v>
      </c>
      <c r="C1939" s="549" t="s">
        <v>686</v>
      </c>
      <c r="D1939" s="549" t="s">
        <v>687</v>
      </c>
      <c r="E1939" s="549" t="s">
        <v>973</v>
      </c>
      <c r="F1939" s="549" t="s">
        <v>1212</v>
      </c>
      <c r="G1939" s="549" t="s">
        <v>1367</v>
      </c>
      <c r="H1939" s="549" t="s">
        <v>686</v>
      </c>
      <c r="I1939" s="549" t="s">
        <v>976</v>
      </c>
      <c r="J1939" s="549" t="s">
        <v>976</v>
      </c>
      <c r="K1939" s="549" t="s">
        <v>976</v>
      </c>
      <c r="L1939" s="549">
        <v>45358.11</v>
      </c>
      <c r="M1939" s="549">
        <v>3424.54</v>
      </c>
      <c r="N1939" s="549">
        <v>2603.56</v>
      </c>
      <c r="O1939" s="549">
        <v>0</v>
      </c>
      <c r="P1939" s="549">
        <v>0</v>
      </c>
      <c r="Q1939" s="549">
        <v>0</v>
      </c>
    </row>
    <row r="1940" spans="1:17" x14ac:dyDescent="0.25">
      <c r="A1940" s="549" t="s">
        <v>1037</v>
      </c>
      <c r="B1940" s="549" t="s">
        <v>1038</v>
      </c>
      <c r="C1940" s="549" t="s">
        <v>686</v>
      </c>
      <c r="D1940" s="549" t="s">
        <v>687</v>
      </c>
      <c r="E1940" s="549" t="s">
        <v>977</v>
      </c>
      <c r="F1940" s="549" t="s">
        <v>1212</v>
      </c>
      <c r="G1940" s="549">
        <v>82</v>
      </c>
      <c r="H1940" s="549" t="s">
        <v>686</v>
      </c>
      <c r="I1940" s="549" t="s">
        <v>976</v>
      </c>
      <c r="J1940" s="549" t="s">
        <v>976</v>
      </c>
      <c r="K1940" s="549" t="s">
        <v>976</v>
      </c>
      <c r="L1940" s="549">
        <v>331166.81</v>
      </c>
      <c r="M1940" s="549">
        <v>25003.09</v>
      </c>
      <c r="N1940" s="549">
        <v>7318.79</v>
      </c>
      <c r="O1940" s="549">
        <v>1785.6</v>
      </c>
      <c r="P1940" s="549">
        <v>100</v>
      </c>
      <c r="Q1940" s="549">
        <v>34107.480000000003</v>
      </c>
    </row>
    <row r="1941" spans="1:17" x14ac:dyDescent="0.25">
      <c r="A1941" s="549" t="s">
        <v>1037</v>
      </c>
      <c r="B1941" s="549" t="s">
        <v>1038</v>
      </c>
      <c r="C1941" s="549" t="s">
        <v>686</v>
      </c>
      <c r="D1941" s="549" t="s">
        <v>687</v>
      </c>
      <c r="E1941" s="549" t="s">
        <v>977</v>
      </c>
      <c r="F1941" s="549" t="s">
        <v>1212</v>
      </c>
      <c r="G1941" s="549">
        <v>112</v>
      </c>
      <c r="H1941" s="549" t="s">
        <v>686</v>
      </c>
      <c r="I1941" s="549" t="s">
        <v>976</v>
      </c>
      <c r="J1941" s="549" t="s">
        <v>976</v>
      </c>
      <c r="K1941" s="549" t="s">
        <v>976</v>
      </c>
      <c r="L1941" s="549">
        <v>331166.81</v>
      </c>
      <c r="M1941" s="549">
        <v>25003.09</v>
      </c>
      <c r="N1941" s="549">
        <v>7318.79</v>
      </c>
      <c r="O1941" s="549">
        <v>1984</v>
      </c>
      <c r="P1941" s="549">
        <v>100</v>
      </c>
      <c r="Q1941" s="549">
        <v>34305.879999999997</v>
      </c>
    </row>
    <row r="1942" spans="1:17" x14ac:dyDescent="0.25">
      <c r="A1942" s="549" t="s">
        <v>1037</v>
      </c>
      <c r="B1942" s="549" t="s">
        <v>1038</v>
      </c>
      <c r="C1942" s="549" t="s">
        <v>686</v>
      </c>
      <c r="D1942" s="549" t="s">
        <v>687</v>
      </c>
      <c r="E1942" s="549" t="s">
        <v>977</v>
      </c>
      <c r="F1942" s="549" t="s">
        <v>1212</v>
      </c>
      <c r="G1942" s="549">
        <v>1122</v>
      </c>
      <c r="H1942" s="549" t="s">
        <v>686</v>
      </c>
      <c r="I1942" s="549" t="s">
        <v>976</v>
      </c>
      <c r="J1942" s="549" t="s">
        <v>976</v>
      </c>
      <c r="K1942" s="549" t="s">
        <v>976</v>
      </c>
      <c r="L1942" s="549">
        <v>103702.51</v>
      </c>
      <c r="M1942" s="549">
        <v>7829.54</v>
      </c>
      <c r="N1942" s="549">
        <v>2291.83</v>
      </c>
      <c r="O1942" s="549">
        <v>1984</v>
      </c>
      <c r="P1942" s="549">
        <v>100</v>
      </c>
      <c r="Q1942" s="549">
        <v>12105.37</v>
      </c>
    </row>
    <row r="1943" spans="1:17" x14ac:dyDescent="0.25">
      <c r="A1943" s="549" t="s">
        <v>1037</v>
      </c>
      <c r="B1943" s="549" t="s">
        <v>1038</v>
      </c>
      <c r="C1943" s="549" t="s">
        <v>686</v>
      </c>
      <c r="D1943" s="549" t="s">
        <v>687</v>
      </c>
      <c r="E1943" s="549" t="s">
        <v>977</v>
      </c>
      <c r="F1943" s="549" t="s">
        <v>1212</v>
      </c>
      <c r="G1943" s="549">
        <v>1132</v>
      </c>
      <c r="H1943" s="549" t="s">
        <v>686</v>
      </c>
      <c r="I1943" s="549" t="s">
        <v>976</v>
      </c>
      <c r="J1943" s="549" t="s">
        <v>976</v>
      </c>
      <c r="K1943" s="549" t="s">
        <v>976</v>
      </c>
      <c r="L1943" s="549">
        <v>113802.69</v>
      </c>
      <c r="M1943" s="549">
        <v>8592.1</v>
      </c>
      <c r="N1943" s="549">
        <v>2515.04</v>
      </c>
      <c r="O1943" s="549">
        <v>3769.6</v>
      </c>
      <c r="P1943" s="549">
        <v>100</v>
      </c>
      <c r="Q1943" s="549">
        <v>14876.74</v>
      </c>
    </row>
    <row r="1944" spans="1:17" x14ac:dyDescent="0.25">
      <c r="A1944" s="549" t="s">
        <v>1037</v>
      </c>
      <c r="B1944" s="549" t="s">
        <v>1038</v>
      </c>
      <c r="C1944" s="549" t="s">
        <v>686</v>
      </c>
      <c r="D1944" s="549" t="s">
        <v>687</v>
      </c>
      <c r="E1944" s="549" t="s">
        <v>977</v>
      </c>
      <c r="F1944" s="549" t="s">
        <v>1212</v>
      </c>
      <c r="G1944" s="549">
        <v>1172</v>
      </c>
      <c r="H1944" s="549" t="s">
        <v>686</v>
      </c>
      <c r="I1944" s="549" t="s">
        <v>976</v>
      </c>
      <c r="J1944" s="549" t="s">
        <v>976</v>
      </c>
      <c r="K1944" s="549" t="s">
        <v>976</v>
      </c>
      <c r="L1944" s="549">
        <v>146449.82</v>
      </c>
      <c r="M1944" s="549">
        <v>11056.96</v>
      </c>
      <c r="N1944" s="549">
        <v>3236.54</v>
      </c>
      <c r="O1944" s="549">
        <v>3670.4</v>
      </c>
      <c r="P1944" s="549">
        <v>100</v>
      </c>
      <c r="Q1944" s="549">
        <v>17963.900000000001</v>
      </c>
    </row>
    <row r="1945" spans="1:17" x14ac:dyDescent="0.25">
      <c r="A1945" s="549" t="s">
        <v>1037</v>
      </c>
      <c r="B1945" s="549" t="s">
        <v>1038</v>
      </c>
      <c r="C1945" s="549" t="s">
        <v>686</v>
      </c>
      <c r="D1945" s="549" t="s">
        <v>687</v>
      </c>
      <c r="E1945" s="549" t="s">
        <v>977</v>
      </c>
      <c r="F1945" s="549" t="s">
        <v>1212</v>
      </c>
      <c r="G1945" s="549">
        <v>1192</v>
      </c>
      <c r="H1945" s="549" t="s">
        <v>686</v>
      </c>
      <c r="I1945" s="549" t="s">
        <v>976</v>
      </c>
      <c r="J1945" s="549" t="s">
        <v>976</v>
      </c>
      <c r="K1945" s="549" t="s">
        <v>976</v>
      </c>
      <c r="L1945" s="549">
        <v>113802.69</v>
      </c>
      <c r="M1945" s="549">
        <v>8592.1</v>
      </c>
      <c r="N1945" s="549">
        <v>2515.04</v>
      </c>
      <c r="O1945" s="549">
        <v>3769.6</v>
      </c>
      <c r="P1945" s="549">
        <v>100</v>
      </c>
      <c r="Q1945" s="549">
        <v>14876.74</v>
      </c>
    </row>
    <row r="1946" spans="1:17" x14ac:dyDescent="0.25">
      <c r="A1946" s="549" t="s">
        <v>1037</v>
      </c>
      <c r="B1946" s="549" t="s">
        <v>1038</v>
      </c>
      <c r="C1946" s="549" t="s">
        <v>686</v>
      </c>
      <c r="D1946" s="549" t="s">
        <v>687</v>
      </c>
      <c r="E1946" s="549" t="s">
        <v>977</v>
      </c>
      <c r="F1946" s="549" t="s">
        <v>1212</v>
      </c>
      <c r="G1946" s="549" t="s">
        <v>1368</v>
      </c>
      <c r="H1946" s="549" t="s">
        <v>686</v>
      </c>
      <c r="I1946" s="549" t="s">
        <v>976</v>
      </c>
      <c r="J1946" s="549" t="s">
        <v>976</v>
      </c>
      <c r="K1946" s="549" t="s">
        <v>976</v>
      </c>
      <c r="L1946" s="549">
        <v>0.02</v>
      </c>
      <c r="M1946" s="549">
        <v>0</v>
      </c>
      <c r="N1946" s="549">
        <v>0</v>
      </c>
      <c r="O1946" s="549">
        <v>1984</v>
      </c>
      <c r="P1946" s="549">
        <v>100</v>
      </c>
      <c r="Q1946" s="549">
        <v>1984</v>
      </c>
    </row>
    <row r="1947" spans="1:17" x14ac:dyDescent="0.25">
      <c r="A1947" s="549" t="s">
        <v>1037</v>
      </c>
      <c r="B1947" s="549" t="s">
        <v>1038</v>
      </c>
      <c r="C1947" s="549" t="s">
        <v>686</v>
      </c>
      <c r="D1947" s="549" t="s">
        <v>687</v>
      </c>
      <c r="E1947" s="549" t="s">
        <v>977</v>
      </c>
      <c r="F1947" s="549" t="s">
        <v>1212</v>
      </c>
      <c r="G1947" s="549" t="s">
        <v>1369</v>
      </c>
      <c r="H1947" s="549" t="s">
        <v>686</v>
      </c>
      <c r="I1947" s="549" t="s">
        <v>976</v>
      </c>
      <c r="J1947" s="549" t="s">
        <v>976</v>
      </c>
      <c r="K1947" s="549" t="s">
        <v>976</v>
      </c>
      <c r="L1947" s="549">
        <v>31410.32</v>
      </c>
      <c r="M1947" s="549">
        <v>2371.48</v>
      </c>
      <c r="N1947" s="549">
        <v>694.17</v>
      </c>
      <c r="O1947" s="549">
        <v>0</v>
      </c>
      <c r="P1947" s="549">
        <v>100</v>
      </c>
      <c r="Q1947" s="549">
        <v>3065.65</v>
      </c>
    </row>
    <row r="1948" spans="1:17" x14ac:dyDescent="0.25">
      <c r="A1948" s="549" t="s">
        <v>1037</v>
      </c>
      <c r="B1948" s="549" t="s">
        <v>1038</v>
      </c>
      <c r="C1948" s="549" t="s">
        <v>686</v>
      </c>
      <c r="D1948" s="549" t="s">
        <v>687</v>
      </c>
      <c r="E1948" s="549" t="s">
        <v>977</v>
      </c>
      <c r="F1948" s="549" t="s">
        <v>1212</v>
      </c>
      <c r="G1948" s="549" t="s">
        <v>1367</v>
      </c>
      <c r="H1948" s="549" t="s">
        <v>686</v>
      </c>
      <c r="I1948" s="549" t="s">
        <v>976</v>
      </c>
      <c r="J1948" s="549" t="s">
        <v>976</v>
      </c>
      <c r="K1948" s="549" t="s">
        <v>976</v>
      </c>
      <c r="L1948" s="549">
        <v>45358.11</v>
      </c>
      <c r="M1948" s="549">
        <v>3424.54</v>
      </c>
      <c r="N1948" s="549">
        <v>1002.41</v>
      </c>
      <c r="O1948" s="549">
        <v>0</v>
      </c>
      <c r="P1948" s="549">
        <v>100</v>
      </c>
      <c r="Q1948" s="549">
        <v>4426.95</v>
      </c>
    </row>
    <row r="1949" spans="1:17" x14ac:dyDescent="0.25">
      <c r="A1949" s="549" t="s">
        <v>502</v>
      </c>
      <c r="B1949" s="549" t="s">
        <v>1049</v>
      </c>
      <c r="C1949" s="549" t="s">
        <v>1194</v>
      </c>
      <c r="D1949" s="549" t="s">
        <v>1195</v>
      </c>
      <c r="E1949" s="549" t="s">
        <v>973</v>
      </c>
      <c r="F1949" s="549" t="s">
        <v>1212</v>
      </c>
      <c r="G1949" s="549">
        <v>42</v>
      </c>
      <c r="H1949" s="549" t="s">
        <v>1194</v>
      </c>
      <c r="I1949" s="549" t="s">
        <v>976</v>
      </c>
      <c r="J1949" s="549" t="s">
        <v>976</v>
      </c>
      <c r="K1949" s="549" t="s">
        <v>976</v>
      </c>
      <c r="L1949" s="549">
        <v>131264.75</v>
      </c>
      <c r="M1949" s="549">
        <v>9910.49</v>
      </c>
      <c r="N1949" s="549">
        <v>7534.6</v>
      </c>
      <c r="O1949" s="549">
        <v>892.8</v>
      </c>
      <c r="P1949" s="549">
        <v>99.43</v>
      </c>
      <c r="Q1949" s="549">
        <v>18233.36</v>
      </c>
    </row>
    <row r="1950" spans="1:17" x14ac:dyDescent="0.25">
      <c r="A1950" s="549" t="s">
        <v>502</v>
      </c>
      <c r="B1950" s="549" t="s">
        <v>1049</v>
      </c>
      <c r="C1950" s="549" t="s">
        <v>1194</v>
      </c>
      <c r="D1950" s="549" t="s">
        <v>1195</v>
      </c>
      <c r="E1950" s="549" t="s">
        <v>973</v>
      </c>
      <c r="F1950" s="549" t="s">
        <v>1212</v>
      </c>
      <c r="G1950" s="549">
        <v>77</v>
      </c>
      <c r="H1950" s="549" t="s">
        <v>1194</v>
      </c>
      <c r="I1950" s="549" t="s">
        <v>976</v>
      </c>
      <c r="J1950" s="549" t="s">
        <v>976</v>
      </c>
      <c r="K1950" s="549" t="s">
        <v>976</v>
      </c>
      <c r="L1950" s="549">
        <v>0.02</v>
      </c>
      <c r="M1950" s="549">
        <v>0</v>
      </c>
      <c r="N1950" s="549">
        <v>0</v>
      </c>
      <c r="O1950" s="549">
        <v>992</v>
      </c>
      <c r="P1950" s="549">
        <v>99.43</v>
      </c>
      <c r="Q1950" s="549">
        <v>986.35</v>
      </c>
    </row>
    <row r="1951" spans="1:17" x14ac:dyDescent="0.25">
      <c r="A1951" s="549" t="s">
        <v>502</v>
      </c>
      <c r="B1951" s="549" t="s">
        <v>1049</v>
      </c>
      <c r="C1951" s="549" t="s">
        <v>1194</v>
      </c>
      <c r="D1951" s="549" t="s">
        <v>1195</v>
      </c>
      <c r="E1951" s="549" t="s">
        <v>973</v>
      </c>
      <c r="F1951" s="549" t="s">
        <v>1212</v>
      </c>
      <c r="G1951" s="549">
        <v>82</v>
      </c>
      <c r="H1951" s="549" t="s">
        <v>1194</v>
      </c>
      <c r="I1951" s="549" t="s">
        <v>976</v>
      </c>
      <c r="J1951" s="549" t="s">
        <v>976</v>
      </c>
      <c r="K1951" s="549" t="s">
        <v>976</v>
      </c>
      <c r="L1951" s="549">
        <v>333746.89</v>
      </c>
      <c r="M1951" s="549">
        <v>25197.89</v>
      </c>
      <c r="N1951" s="549">
        <v>19157.07</v>
      </c>
      <c r="O1951" s="549">
        <v>1785.6</v>
      </c>
      <c r="P1951" s="549">
        <v>99.43</v>
      </c>
      <c r="Q1951" s="549">
        <v>45877.56</v>
      </c>
    </row>
    <row r="1952" spans="1:17" x14ac:dyDescent="0.25">
      <c r="A1952" s="549" t="s">
        <v>502</v>
      </c>
      <c r="B1952" s="549" t="s">
        <v>1049</v>
      </c>
      <c r="C1952" s="549" t="s">
        <v>1194</v>
      </c>
      <c r="D1952" s="549" t="s">
        <v>1195</v>
      </c>
      <c r="E1952" s="549" t="s">
        <v>973</v>
      </c>
      <c r="F1952" s="549" t="s">
        <v>1212</v>
      </c>
      <c r="G1952" s="549">
        <v>92</v>
      </c>
      <c r="H1952" s="549" t="s">
        <v>1194</v>
      </c>
      <c r="I1952" s="549" t="s">
        <v>976</v>
      </c>
      <c r="J1952" s="549" t="s">
        <v>976</v>
      </c>
      <c r="K1952" s="549" t="s">
        <v>976</v>
      </c>
      <c r="L1952" s="549">
        <v>333746.89</v>
      </c>
      <c r="M1952" s="549">
        <v>25197.89</v>
      </c>
      <c r="N1952" s="549">
        <v>19157.07</v>
      </c>
      <c r="O1952" s="549">
        <v>1785.6</v>
      </c>
      <c r="P1952" s="549">
        <v>99.43</v>
      </c>
      <c r="Q1952" s="549">
        <v>45877.56</v>
      </c>
    </row>
    <row r="1953" spans="1:17" x14ac:dyDescent="0.25">
      <c r="A1953" s="549" t="s">
        <v>502</v>
      </c>
      <c r="B1953" s="549" t="s">
        <v>1049</v>
      </c>
      <c r="C1953" s="549" t="s">
        <v>1194</v>
      </c>
      <c r="D1953" s="549" t="s">
        <v>1195</v>
      </c>
      <c r="E1953" s="549" t="s">
        <v>973</v>
      </c>
      <c r="F1953" s="549" t="s">
        <v>1212</v>
      </c>
      <c r="G1953" s="549">
        <v>102</v>
      </c>
      <c r="H1953" s="549" t="s">
        <v>1194</v>
      </c>
      <c r="I1953" s="549" t="s">
        <v>976</v>
      </c>
      <c r="J1953" s="549" t="s">
        <v>976</v>
      </c>
      <c r="K1953" s="549" t="s">
        <v>976</v>
      </c>
      <c r="L1953" s="549">
        <v>333746.89</v>
      </c>
      <c r="M1953" s="549">
        <v>25197.89</v>
      </c>
      <c r="N1953" s="549">
        <v>19157.07</v>
      </c>
      <c r="O1953" s="549">
        <v>1785.6</v>
      </c>
      <c r="P1953" s="549">
        <v>99.43</v>
      </c>
      <c r="Q1953" s="549">
        <v>45877.56</v>
      </c>
    </row>
    <row r="1954" spans="1:17" x14ac:dyDescent="0.25">
      <c r="A1954" s="549" t="s">
        <v>502</v>
      </c>
      <c r="B1954" s="549" t="s">
        <v>1049</v>
      </c>
      <c r="C1954" s="549" t="s">
        <v>1194</v>
      </c>
      <c r="D1954" s="549" t="s">
        <v>1195</v>
      </c>
      <c r="E1954" s="549" t="s">
        <v>973</v>
      </c>
      <c r="F1954" s="549" t="s">
        <v>1212</v>
      </c>
      <c r="G1954" s="549">
        <v>112</v>
      </c>
      <c r="H1954" s="549" t="s">
        <v>1194</v>
      </c>
      <c r="I1954" s="549" t="s">
        <v>976</v>
      </c>
      <c r="J1954" s="549" t="s">
        <v>976</v>
      </c>
      <c r="K1954" s="549" t="s">
        <v>976</v>
      </c>
      <c r="L1954" s="549">
        <v>333746.89</v>
      </c>
      <c r="M1954" s="549">
        <v>25197.89</v>
      </c>
      <c r="N1954" s="549">
        <v>19157.07</v>
      </c>
      <c r="O1954" s="549">
        <v>1785.6</v>
      </c>
      <c r="P1954" s="549">
        <v>99.43</v>
      </c>
      <c r="Q1954" s="549">
        <v>45877.56</v>
      </c>
    </row>
    <row r="1955" spans="1:17" x14ac:dyDescent="0.25">
      <c r="A1955" s="549" t="s">
        <v>502</v>
      </c>
      <c r="B1955" s="549" t="s">
        <v>1049</v>
      </c>
      <c r="C1955" s="549" t="s">
        <v>1194</v>
      </c>
      <c r="D1955" s="549" t="s">
        <v>1195</v>
      </c>
      <c r="E1955" s="549" t="s">
        <v>977</v>
      </c>
      <c r="F1955" s="549" t="s">
        <v>1212</v>
      </c>
      <c r="G1955" s="549">
        <v>42</v>
      </c>
      <c r="H1955" s="549" t="s">
        <v>1194</v>
      </c>
      <c r="I1955" s="549" t="s">
        <v>976</v>
      </c>
      <c r="J1955" s="549" t="s">
        <v>976</v>
      </c>
      <c r="K1955" s="549" t="s">
        <v>976</v>
      </c>
      <c r="L1955" s="549">
        <v>131264.75</v>
      </c>
      <c r="M1955" s="549">
        <v>9910.49</v>
      </c>
      <c r="N1955" s="549">
        <v>2900.95</v>
      </c>
      <c r="O1955" s="549">
        <v>892.8</v>
      </c>
      <c r="P1955" s="549">
        <v>0.56999999999999995</v>
      </c>
      <c r="Q1955" s="549">
        <v>78.11</v>
      </c>
    </row>
    <row r="1956" spans="1:17" x14ac:dyDescent="0.25">
      <c r="A1956" s="549" t="s">
        <v>502</v>
      </c>
      <c r="B1956" s="549" t="s">
        <v>1049</v>
      </c>
      <c r="C1956" s="549" t="s">
        <v>1194</v>
      </c>
      <c r="D1956" s="549" t="s">
        <v>1195</v>
      </c>
      <c r="E1956" s="549" t="s">
        <v>977</v>
      </c>
      <c r="F1956" s="549" t="s">
        <v>1212</v>
      </c>
      <c r="G1956" s="549">
        <v>77</v>
      </c>
      <c r="H1956" s="549" t="s">
        <v>1194</v>
      </c>
      <c r="I1956" s="549" t="s">
        <v>976</v>
      </c>
      <c r="J1956" s="549" t="s">
        <v>976</v>
      </c>
      <c r="K1956" s="549" t="s">
        <v>976</v>
      </c>
      <c r="L1956" s="549">
        <v>0.02</v>
      </c>
      <c r="M1956" s="549">
        <v>0</v>
      </c>
      <c r="N1956" s="549">
        <v>0</v>
      </c>
      <c r="O1956" s="549">
        <v>992</v>
      </c>
      <c r="P1956" s="549">
        <v>0.56999999999999995</v>
      </c>
      <c r="Q1956" s="549">
        <v>5.65</v>
      </c>
    </row>
    <row r="1957" spans="1:17" x14ac:dyDescent="0.25">
      <c r="A1957" s="549" t="s">
        <v>502</v>
      </c>
      <c r="B1957" s="549" t="s">
        <v>1049</v>
      </c>
      <c r="C1957" s="549" t="s">
        <v>1194</v>
      </c>
      <c r="D1957" s="549" t="s">
        <v>1195</v>
      </c>
      <c r="E1957" s="549" t="s">
        <v>977</v>
      </c>
      <c r="F1957" s="549" t="s">
        <v>1212</v>
      </c>
      <c r="G1957" s="549">
        <v>82</v>
      </c>
      <c r="H1957" s="549" t="s">
        <v>1194</v>
      </c>
      <c r="I1957" s="549" t="s">
        <v>976</v>
      </c>
      <c r="J1957" s="549" t="s">
        <v>976</v>
      </c>
      <c r="K1957" s="549" t="s">
        <v>976</v>
      </c>
      <c r="L1957" s="549">
        <v>333746.89</v>
      </c>
      <c r="M1957" s="549">
        <v>25197.89</v>
      </c>
      <c r="N1957" s="549">
        <v>7375.81</v>
      </c>
      <c r="O1957" s="549">
        <v>1785.6</v>
      </c>
      <c r="P1957" s="549">
        <v>0.56999999999999995</v>
      </c>
      <c r="Q1957" s="549">
        <v>195.85</v>
      </c>
    </row>
    <row r="1958" spans="1:17" x14ac:dyDescent="0.25">
      <c r="A1958" s="549" t="s">
        <v>502</v>
      </c>
      <c r="B1958" s="549" t="s">
        <v>1049</v>
      </c>
      <c r="C1958" s="549" t="s">
        <v>1194</v>
      </c>
      <c r="D1958" s="549" t="s">
        <v>1195</v>
      </c>
      <c r="E1958" s="549" t="s">
        <v>977</v>
      </c>
      <c r="F1958" s="549" t="s">
        <v>1212</v>
      </c>
      <c r="G1958" s="549">
        <v>92</v>
      </c>
      <c r="H1958" s="549" t="s">
        <v>1194</v>
      </c>
      <c r="I1958" s="549" t="s">
        <v>976</v>
      </c>
      <c r="J1958" s="549" t="s">
        <v>976</v>
      </c>
      <c r="K1958" s="549" t="s">
        <v>976</v>
      </c>
      <c r="L1958" s="549">
        <v>333746.89</v>
      </c>
      <c r="M1958" s="549">
        <v>25197.89</v>
      </c>
      <c r="N1958" s="549">
        <v>7375.81</v>
      </c>
      <c r="O1958" s="549">
        <v>1785.6</v>
      </c>
      <c r="P1958" s="549">
        <v>0.56999999999999995</v>
      </c>
      <c r="Q1958" s="549">
        <v>195.85</v>
      </c>
    </row>
    <row r="1959" spans="1:17" x14ac:dyDescent="0.25">
      <c r="A1959" s="549" t="s">
        <v>502</v>
      </c>
      <c r="B1959" s="549" t="s">
        <v>1049</v>
      </c>
      <c r="C1959" s="549" t="s">
        <v>1194</v>
      </c>
      <c r="D1959" s="549" t="s">
        <v>1195</v>
      </c>
      <c r="E1959" s="549" t="s">
        <v>977</v>
      </c>
      <c r="F1959" s="549" t="s">
        <v>1212</v>
      </c>
      <c r="G1959" s="549">
        <v>102</v>
      </c>
      <c r="H1959" s="549" t="s">
        <v>1194</v>
      </c>
      <c r="I1959" s="549" t="s">
        <v>976</v>
      </c>
      <c r="J1959" s="549" t="s">
        <v>976</v>
      </c>
      <c r="K1959" s="549" t="s">
        <v>976</v>
      </c>
      <c r="L1959" s="549">
        <v>333746.89</v>
      </c>
      <c r="M1959" s="549">
        <v>25197.89</v>
      </c>
      <c r="N1959" s="549">
        <v>7375.81</v>
      </c>
      <c r="O1959" s="549">
        <v>1785.6</v>
      </c>
      <c r="P1959" s="549">
        <v>0.56999999999999995</v>
      </c>
      <c r="Q1959" s="549">
        <v>195.85</v>
      </c>
    </row>
    <row r="1960" spans="1:17" x14ac:dyDescent="0.25">
      <c r="A1960" s="549" t="s">
        <v>502</v>
      </c>
      <c r="B1960" s="549" t="s">
        <v>1049</v>
      </c>
      <c r="C1960" s="549" t="s">
        <v>1194</v>
      </c>
      <c r="D1960" s="549" t="s">
        <v>1195</v>
      </c>
      <c r="E1960" s="549" t="s">
        <v>977</v>
      </c>
      <c r="F1960" s="549" t="s">
        <v>1212</v>
      </c>
      <c r="G1960" s="549">
        <v>112</v>
      </c>
      <c r="H1960" s="549" t="s">
        <v>1194</v>
      </c>
      <c r="I1960" s="549" t="s">
        <v>976</v>
      </c>
      <c r="J1960" s="549" t="s">
        <v>976</v>
      </c>
      <c r="K1960" s="549" t="s">
        <v>976</v>
      </c>
      <c r="L1960" s="549">
        <v>333746.89</v>
      </c>
      <c r="M1960" s="549">
        <v>25197.89</v>
      </c>
      <c r="N1960" s="549">
        <v>7375.81</v>
      </c>
      <c r="O1960" s="549">
        <v>1785.6</v>
      </c>
      <c r="P1960" s="549">
        <v>0.56999999999999995</v>
      </c>
      <c r="Q1960" s="549">
        <v>195.85</v>
      </c>
    </row>
    <row r="1961" spans="1:17" x14ac:dyDescent="0.25">
      <c r="A1961" s="549" t="s">
        <v>502</v>
      </c>
      <c r="B1961" s="549" t="s">
        <v>1049</v>
      </c>
      <c r="C1961" s="549" t="s">
        <v>521</v>
      </c>
      <c r="D1961" s="549" t="s">
        <v>1050</v>
      </c>
      <c r="E1961" s="549" t="s">
        <v>973</v>
      </c>
      <c r="F1961" s="549" t="s">
        <v>1212</v>
      </c>
      <c r="G1961" s="549">
        <v>42</v>
      </c>
      <c r="H1961" s="549" t="s">
        <v>521</v>
      </c>
      <c r="I1961" s="549" t="s">
        <v>976</v>
      </c>
      <c r="J1961" s="549" t="s">
        <v>976</v>
      </c>
      <c r="K1961" s="549" t="s">
        <v>976</v>
      </c>
      <c r="L1961" s="549">
        <v>157965.97</v>
      </c>
      <c r="M1961" s="549">
        <v>11926.43</v>
      </c>
      <c r="N1961" s="549">
        <v>9067.25</v>
      </c>
      <c r="O1961" s="549">
        <v>892.8</v>
      </c>
      <c r="P1961" s="549">
        <v>100</v>
      </c>
      <c r="Q1961" s="549">
        <v>21886.48</v>
      </c>
    </row>
    <row r="1962" spans="1:17" x14ac:dyDescent="0.25">
      <c r="A1962" s="549" t="s">
        <v>502</v>
      </c>
      <c r="B1962" s="549" t="s">
        <v>1049</v>
      </c>
      <c r="C1962" s="549" t="s">
        <v>521</v>
      </c>
      <c r="D1962" s="549" t="s">
        <v>1050</v>
      </c>
      <c r="E1962" s="549" t="s">
        <v>973</v>
      </c>
      <c r="F1962" s="549" t="s">
        <v>1212</v>
      </c>
      <c r="G1962" s="549">
        <v>52</v>
      </c>
      <c r="H1962" s="549" t="s">
        <v>521</v>
      </c>
      <c r="I1962" s="549" t="s">
        <v>976</v>
      </c>
      <c r="J1962" s="549" t="s">
        <v>976</v>
      </c>
      <c r="K1962" s="549" t="s">
        <v>976</v>
      </c>
      <c r="L1962" s="549">
        <v>157965.97</v>
      </c>
      <c r="M1962" s="549">
        <v>11926.43</v>
      </c>
      <c r="N1962" s="549">
        <v>9067.25</v>
      </c>
      <c r="O1962" s="549">
        <v>892.8</v>
      </c>
      <c r="P1962" s="549">
        <v>100</v>
      </c>
      <c r="Q1962" s="549">
        <v>21886.48</v>
      </c>
    </row>
    <row r="1963" spans="1:17" x14ac:dyDescent="0.25">
      <c r="A1963" s="549" t="s">
        <v>502</v>
      </c>
      <c r="B1963" s="549" t="s">
        <v>1049</v>
      </c>
      <c r="C1963" s="549" t="s">
        <v>521</v>
      </c>
      <c r="D1963" s="549" t="s">
        <v>1050</v>
      </c>
      <c r="E1963" s="549" t="s">
        <v>973</v>
      </c>
      <c r="F1963" s="549" t="s">
        <v>1212</v>
      </c>
      <c r="G1963" s="549">
        <v>62</v>
      </c>
      <c r="H1963" s="549" t="s">
        <v>521</v>
      </c>
      <c r="I1963" s="549" t="s">
        <v>976</v>
      </c>
      <c r="J1963" s="549" t="s">
        <v>976</v>
      </c>
      <c r="K1963" s="549" t="s">
        <v>976</v>
      </c>
      <c r="L1963" s="549">
        <v>157965.97</v>
      </c>
      <c r="M1963" s="549">
        <v>11926.43</v>
      </c>
      <c r="N1963" s="549">
        <v>9067.25</v>
      </c>
      <c r="O1963" s="549">
        <v>892.8</v>
      </c>
      <c r="P1963" s="549">
        <v>100</v>
      </c>
      <c r="Q1963" s="549">
        <v>21886.48</v>
      </c>
    </row>
    <row r="1964" spans="1:17" x14ac:dyDescent="0.25">
      <c r="A1964" s="549" t="s">
        <v>502</v>
      </c>
      <c r="B1964" s="549" t="s">
        <v>1049</v>
      </c>
      <c r="C1964" s="549" t="s">
        <v>521</v>
      </c>
      <c r="D1964" s="549" t="s">
        <v>1050</v>
      </c>
      <c r="E1964" s="549" t="s">
        <v>973</v>
      </c>
      <c r="F1964" s="549" t="s">
        <v>1212</v>
      </c>
      <c r="G1964" s="549">
        <v>72</v>
      </c>
      <c r="H1964" s="549" t="s">
        <v>521</v>
      </c>
      <c r="I1964" s="549" t="s">
        <v>976</v>
      </c>
      <c r="J1964" s="549" t="s">
        <v>976</v>
      </c>
      <c r="K1964" s="549" t="s">
        <v>976</v>
      </c>
      <c r="L1964" s="549">
        <v>884217.76</v>
      </c>
      <c r="M1964" s="549">
        <v>66758.44</v>
      </c>
      <c r="N1964" s="549">
        <v>50754.1</v>
      </c>
      <c r="O1964" s="549">
        <v>3968</v>
      </c>
      <c r="P1964" s="549">
        <v>100</v>
      </c>
      <c r="Q1964" s="549">
        <v>121480.54</v>
      </c>
    </row>
    <row r="1965" spans="1:17" x14ac:dyDescent="0.25">
      <c r="A1965" s="549" t="s">
        <v>502</v>
      </c>
      <c r="B1965" s="549" t="s">
        <v>1049</v>
      </c>
      <c r="C1965" s="549" t="s">
        <v>521</v>
      </c>
      <c r="D1965" s="549" t="s">
        <v>1050</v>
      </c>
      <c r="E1965" s="549" t="s">
        <v>973</v>
      </c>
      <c r="F1965" s="549" t="s">
        <v>1212</v>
      </c>
      <c r="G1965" s="549" t="s">
        <v>1352</v>
      </c>
      <c r="H1965" s="549" t="s">
        <v>521</v>
      </c>
      <c r="I1965" s="549" t="s">
        <v>976</v>
      </c>
      <c r="J1965" s="549" t="s">
        <v>976</v>
      </c>
      <c r="K1965" s="549" t="s">
        <v>976</v>
      </c>
      <c r="L1965" s="549">
        <v>0.02</v>
      </c>
      <c r="M1965" s="549">
        <v>0</v>
      </c>
      <c r="N1965" s="549">
        <v>0</v>
      </c>
      <c r="O1965" s="549">
        <v>0</v>
      </c>
      <c r="P1965" s="549">
        <v>100</v>
      </c>
      <c r="Q1965" s="549">
        <v>0</v>
      </c>
    </row>
    <row r="1966" spans="1:17" x14ac:dyDescent="0.25">
      <c r="A1966" s="549" t="s">
        <v>502</v>
      </c>
      <c r="B1966" s="549" t="s">
        <v>1049</v>
      </c>
      <c r="C1966" s="549" t="s">
        <v>521</v>
      </c>
      <c r="D1966" s="549" t="s">
        <v>1050</v>
      </c>
      <c r="E1966" s="549" t="s">
        <v>973</v>
      </c>
      <c r="F1966" s="549" t="s">
        <v>1212</v>
      </c>
      <c r="G1966" s="549">
        <v>132</v>
      </c>
      <c r="H1966" s="549" t="s">
        <v>507</v>
      </c>
      <c r="I1966" s="549" t="s">
        <v>976</v>
      </c>
      <c r="J1966" s="549" t="s">
        <v>976</v>
      </c>
      <c r="K1966" s="549" t="s">
        <v>976</v>
      </c>
      <c r="L1966" s="549">
        <v>844794.19</v>
      </c>
      <c r="M1966" s="549">
        <v>63781.96</v>
      </c>
      <c r="N1966" s="549">
        <v>48491.19</v>
      </c>
      <c r="O1966" s="549">
        <v>3968</v>
      </c>
      <c r="P1966" s="549">
        <v>100</v>
      </c>
      <c r="Q1966" s="549">
        <v>116241.15</v>
      </c>
    </row>
    <row r="1967" spans="1:17" x14ac:dyDescent="0.25">
      <c r="A1967" s="549" t="s">
        <v>502</v>
      </c>
      <c r="B1967" s="549" t="s">
        <v>1049</v>
      </c>
      <c r="C1967" s="549" t="s">
        <v>521</v>
      </c>
      <c r="D1967" s="549" t="s">
        <v>1050</v>
      </c>
      <c r="E1967" s="549" t="s">
        <v>977</v>
      </c>
      <c r="F1967" s="549" t="s">
        <v>1212</v>
      </c>
      <c r="G1967" s="549">
        <v>42</v>
      </c>
      <c r="H1967" s="549" t="s">
        <v>521</v>
      </c>
      <c r="I1967" s="549" t="s">
        <v>976</v>
      </c>
      <c r="J1967" s="549" t="s">
        <v>976</v>
      </c>
      <c r="K1967" s="549" t="s">
        <v>976</v>
      </c>
      <c r="L1967" s="549">
        <v>157965.97</v>
      </c>
      <c r="M1967" s="549">
        <v>11926.43</v>
      </c>
      <c r="N1967" s="549">
        <v>3491.05</v>
      </c>
      <c r="O1967" s="549">
        <v>892.8</v>
      </c>
      <c r="P1967" s="549">
        <v>0</v>
      </c>
      <c r="Q1967" s="549">
        <v>0</v>
      </c>
    </row>
    <row r="1968" spans="1:17" x14ac:dyDescent="0.25">
      <c r="A1968" s="549" t="s">
        <v>502</v>
      </c>
      <c r="B1968" s="549" t="s">
        <v>1049</v>
      </c>
      <c r="C1968" s="549" t="s">
        <v>521</v>
      </c>
      <c r="D1968" s="549" t="s">
        <v>1050</v>
      </c>
      <c r="E1968" s="549" t="s">
        <v>977</v>
      </c>
      <c r="F1968" s="549" t="s">
        <v>1212</v>
      </c>
      <c r="G1968" s="549">
        <v>52</v>
      </c>
      <c r="H1968" s="549" t="s">
        <v>521</v>
      </c>
      <c r="I1968" s="549" t="s">
        <v>976</v>
      </c>
      <c r="J1968" s="549" t="s">
        <v>976</v>
      </c>
      <c r="K1968" s="549" t="s">
        <v>976</v>
      </c>
      <c r="L1968" s="549">
        <v>157965.97</v>
      </c>
      <c r="M1968" s="549">
        <v>11926.43</v>
      </c>
      <c r="N1968" s="549">
        <v>3491.05</v>
      </c>
      <c r="O1968" s="549">
        <v>892.8</v>
      </c>
      <c r="P1968" s="549">
        <v>0</v>
      </c>
      <c r="Q1968" s="549">
        <v>0</v>
      </c>
    </row>
    <row r="1969" spans="1:17" x14ac:dyDescent="0.25">
      <c r="A1969" s="549" t="s">
        <v>502</v>
      </c>
      <c r="B1969" s="549" t="s">
        <v>1049</v>
      </c>
      <c r="C1969" s="549" t="s">
        <v>521</v>
      </c>
      <c r="D1969" s="549" t="s">
        <v>1050</v>
      </c>
      <c r="E1969" s="549" t="s">
        <v>977</v>
      </c>
      <c r="F1969" s="549" t="s">
        <v>1212</v>
      </c>
      <c r="G1969" s="549">
        <v>62</v>
      </c>
      <c r="H1969" s="549" t="s">
        <v>521</v>
      </c>
      <c r="I1969" s="549" t="s">
        <v>976</v>
      </c>
      <c r="J1969" s="549" t="s">
        <v>976</v>
      </c>
      <c r="K1969" s="549" t="s">
        <v>976</v>
      </c>
      <c r="L1969" s="549">
        <v>157965.97</v>
      </c>
      <c r="M1969" s="549">
        <v>11926.43</v>
      </c>
      <c r="N1969" s="549">
        <v>3491.05</v>
      </c>
      <c r="O1969" s="549">
        <v>892.8</v>
      </c>
      <c r="P1969" s="549">
        <v>0</v>
      </c>
      <c r="Q1969" s="549">
        <v>0</v>
      </c>
    </row>
    <row r="1970" spans="1:17" x14ac:dyDescent="0.25">
      <c r="A1970" s="549" t="s">
        <v>502</v>
      </c>
      <c r="B1970" s="549" t="s">
        <v>1049</v>
      </c>
      <c r="C1970" s="549" t="s">
        <v>521</v>
      </c>
      <c r="D1970" s="549" t="s">
        <v>1050</v>
      </c>
      <c r="E1970" s="549" t="s">
        <v>977</v>
      </c>
      <c r="F1970" s="549" t="s">
        <v>1212</v>
      </c>
      <c r="G1970" s="549">
        <v>72</v>
      </c>
      <c r="H1970" s="549" t="s">
        <v>521</v>
      </c>
      <c r="I1970" s="549" t="s">
        <v>976</v>
      </c>
      <c r="J1970" s="549" t="s">
        <v>976</v>
      </c>
      <c r="K1970" s="549" t="s">
        <v>976</v>
      </c>
      <c r="L1970" s="549">
        <v>884217.76</v>
      </c>
      <c r="M1970" s="549">
        <v>66758.44</v>
      </c>
      <c r="N1970" s="549">
        <v>19541.21</v>
      </c>
      <c r="O1970" s="549">
        <v>3968</v>
      </c>
      <c r="P1970" s="549">
        <v>0</v>
      </c>
      <c r="Q1970" s="549">
        <v>0</v>
      </c>
    </row>
    <row r="1971" spans="1:17" x14ac:dyDescent="0.25">
      <c r="A1971" s="549" t="s">
        <v>502</v>
      </c>
      <c r="B1971" s="549" t="s">
        <v>1049</v>
      </c>
      <c r="C1971" s="549" t="s">
        <v>521</v>
      </c>
      <c r="D1971" s="549" t="s">
        <v>1050</v>
      </c>
      <c r="E1971" s="549" t="s">
        <v>977</v>
      </c>
      <c r="F1971" s="549" t="s">
        <v>1212</v>
      </c>
      <c r="G1971" s="549" t="s">
        <v>1352</v>
      </c>
      <c r="H1971" s="549" t="s">
        <v>521</v>
      </c>
      <c r="I1971" s="549" t="s">
        <v>976</v>
      </c>
      <c r="J1971" s="549" t="s">
        <v>976</v>
      </c>
      <c r="K1971" s="549" t="s">
        <v>976</v>
      </c>
      <c r="L1971" s="549">
        <v>0.02</v>
      </c>
      <c r="M1971" s="549">
        <v>0</v>
      </c>
      <c r="N1971" s="549">
        <v>0</v>
      </c>
      <c r="O1971" s="549">
        <v>0</v>
      </c>
      <c r="P1971" s="549">
        <v>0</v>
      </c>
      <c r="Q1971" s="549">
        <v>0</v>
      </c>
    </row>
    <row r="1972" spans="1:17" x14ac:dyDescent="0.25">
      <c r="A1972" s="549" t="s">
        <v>502</v>
      </c>
      <c r="B1972" s="549" t="s">
        <v>1049</v>
      </c>
      <c r="C1972" s="549" t="s">
        <v>521</v>
      </c>
      <c r="D1972" s="549" t="s">
        <v>1050</v>
      </c>
      <c r="E1972" s="549" t="s">
        <v>977</v>
      </c>
      <c r="F1972" s="549" t="s">
        <v>1212</v>
      </c>
      <c r="G1972" s="549">
        <v>132</v>
      </c>
      <c r="H1972" s="549" t="s">
        <v>507</v>
      </c>
      <c r="I1972" s="549" t="s">
        <v>976</v>
      </c>
      <c r="J1972" s="549" t="s">
        <v>976</v>
      </c>
      <c r="K1972" s="549" t="s">
        <v>976</v>
      </c>
      <c r="L1972" s="549">
        <v>844794.19</v>
      </c>
      <c r="M1972" s="549">
        <v>63781.96</v>
      </c>
      <c r="N1972" s="549">
        <v>18669.95</v>
      </c>
      <c r="O1972" s="549">
        <v>3968</v>
      </c>
      <c r="P1972" s="549">
        <v>0</v>
      </c>
      <c r="Q1972" s="549">
        <v>0</v>
      </c>
    </row>
    <row r="1973" spans="1:17" x14ac:dyDescent="0.25">
      <c r="A1973" s="549" t="s">
        <v>502</v>
      </c>
      <c r="B1973" s="549" t="s">
        <v>1049</v>
      </c>
      <c r="C1973" s="549" t="s">
        <v>522</v>
      </c>
      <c r="D1973" s="549" t="s">
        <v>1196</v>
      </c>
      <c r="E1973" s="549" t="s">
        <v>973</v>
      </c>
      <c r="F1973" s="549" t="s">
        <v>1212</v>
      </c>
      <c r="G1973" s="549">
        <v>42</v>
      </c>
      <c r="H1973" s="549" t="s">
        <v>522</v>
      </c>
      <c r="I1973" s="549" t="s">
        <v>976</v>
      </c>
      <c r="J1973" s="549" t="s">
        <v>976</v>
      </c>
      <c r="K1973" s="549" t="s">
        <v>976</v>
      </c>
      <c r="L1973" s="549">
        <v>157965.97</v>
      </c>
      <c r="M1973" s="549">
        <v>11926.43</v>
      </c>
      <c r="N1973" s="549">
        <v>9067.25</v>
      </c>
      <c r="O1973" s="549">
        <v>892.8</v>
      </c>
      <c r="P1973" s="549">
        <v>96.08</v>
      </c>
      <c r="Q1973" s="549">
        <v>21028.53</v>
      </c>
    </row>
    <row r="1974" spans="1:17" x14ac:dyDescent="0.25">
      <c r="A1974" s="549" t="s">
        <v>502</v>
      </c>
      <c r="B1974" s="549" t="s">
        <v>1049</v>
      </c>
      <c r="C1974" s="549" t="s">
        <v>522</v>
      </c>
      <c r="D1974" s="549" t="s">
        <v>1196</v>
      </c>
      <c r="E1974" s="549" t="s">
        <v>973</v>
      </c>
      <c r="F1974" s="549" t="s">
        <v>1212</v>
      </c>
      <c r="G1974" s="549">
        <v>52</v>
      </c>
      <c r="H1974" s="549" t="s">
        <v>522</v>
      </c>
      <c r="I1974" s="549" t="s">
        <v>976</v>
      </c>
      <c r="J1974" s="549" t="s">
        <v>976</v>
      </c>
      <c r="K1974" s="549" t="s">
        <v>976</v>
      </c>
      <c r="L1974" s="549">
        <v>157965.97</v>
      </c>
      <c r="M1974" s="549">
        <v>11926.43</v>
      </c>
      <c r="N1974" s="549">
        <v>9067.25</v>
      </c>
      <c r="O1974" s="549">
        <v>892.8</v>
      </c>
      <c r="P1974" s="549">
        <v>96.08</v>
      </c>
      <c r="Q1974" s="549">
        <v>21028.53</v>
      </c>
    </row>
    <row r="1975" spans="1:17" x14ac:dyDescent="0.25">
      <c r="A1975" s="549" t="s">
        <v>502</v>
      </c>
      <c r="B1975" s="549" t="s">
        <v>1049</v>
      </c>
      <c r="C1975" s="549" t="s">
        <v>522</v>
      </c>
      <c r="D1975" s="549" t="s">
        <v>1196</v>
      </c>
      <c r="E1975" s="549" t="s">
        <v>973</v>
      </c>
      <c r="F1975" s="549" t="s">
        <v>1212</v>
      </c>
      <c r="G1975" s="549">
        <v>62</v>
      </c>
      <c r="H1975" s="549" t="s">
        <v>522</v>
      </c>
      <c r="I1975" s="549" t="s">
        <v>976</v>
      </c>
      <c r="J1975" s="549" t="s">
        <v>976</v>
      </c>
      <c r="K1975" s="549" t="s">
        <v>976</v>
      </c>
      <c r="L1975" s="549">
        <v>157965.97</v>
      </c>
      <c r="M1975" s="549">
        <v>11926.43</v>
      </c>
      <c r="N1975" s="549">
        <v>9067.25</v>
      </c>
      <c r="O1975" s="549">
        <v>892.8</v>
      </c>
      <c r="P1975" s="549">
        <v>96.08</v>
      </c>
      <c r="Q1975" s="549">
        <v>21028.53</v>
      </c>
    </row>
    <row r="1976" spans="1:17" x14ac:dyDescent="0.25">
      <c r="A1976" s="549" t="s">
        <v>502</v>
      </c>
      <c r="B1976" s="549" t="s">
        <v>1049</v>
      </c>
      <c r="C1976" s="549" t="s">
        <v>522</v>
      </c>
      <c r="D1976" s="549" t="s">
        <v>1196</v>
      </c>
      <c r="E1976" s="549" t="s">
        <v>973</v>
      </c>
      <c r="F1976" s="549" t="s">
        <v>1212</v>
      </c>
      <c r="G1976" s="549">
        <v>72</v>
      </c>
      <c r="H1976" s="549" t="s">
        <v>522</v>
      </c>
      <c r="I1976" s="549" t="s">
        <v>976</v>
      </c>
      <c r="J1976" s="549" t="s">
        <v>976</v>
      </c>
      <c r="K1976" s="549" t="s">
        <v>976</v>
      </c>
      <c r="L1976" s="549">
        <v>157965.97</v>
      </c>
      <c r="M1976" s="549">
        <v>11926.43</v>
      </c>
      <c r="N1976" s="549">
        <v>9067.25</v>
      </c>
      <c r="O1976" s="549">
        <v>892.8</v>
      </c>
      <c r="P1976" s="549">
        <v>96.08</v>
      </c>
      <c r="Q1976" s="549">
        <v>21028.53</v>
      </c>
    </row>
    <row r="1977" spans="1:17" x14ac:dyDescent="0.25">
      <c r="A1977" s="549" t="s">
        <v>502</v>
      </c>
      <c r="B1977" s="549" t="s">
        <v>1049</v>
      </c>
      <c r="C1977" s="549" t="s">
        <v>522</v>
      </c>
      <c r="D1977" s="549" t="s">
        <v>1196</v>
      </c>
      <c r="E1977" s="549" t="s">
        <v>977</v>
      </c>
      <c r="F1977" s="549" t="s">
        <v>1212</v>
      </c>
      <c r="G1977" s="549">
        <v>42</v>
      </c>
      <c r="H1977" s="549" t="s">
        <v>522</v>
      </c>
      <c r="I1977" s="549" t="s">
        <v>976</v>
      </c>
      <c r="J1977" s="549" t="s">
        <v>976</v>
      </c>
      <c r="K1977" s="549" t="s">
        <v>976</v>
      </c>
      <c r="L1977" s="549">
        <v>157965.97</v>
      </c>
      <c r="M1977" s="549">
        <v>11926.43</v>
      </c>
      <c r="N1977" s="549">
        <v>3491.05</v>
      </c>
      <c r="O1977" s="549">
        <v>892.8</v>
      </c>
      <c r="P1977" s="549">
        <v>3.92</v>
      </c>
      <c r="Q1977" s="549">
        <v>639.36</v>
      </c>
    </row>
    <row r="1978" spans="1:17" x14ac:dyDescent="0.25">
      <c r="A1978" s="549" t="s">
        <v>502</v>
      </c>
      <c r="B1978" s="549" t="s">
        <v>1049</v>
      </c>
      <c r="C1978" s="549" t="s">
        <v>522</v>
      </c>
      <c r="D1978" s="549" t="s">
        <v>1196</v>
      </c>
      <c r="E1978" s="549" t="s">
        <v>977</v>
      </c>
      <c r="F1978" s="549" t="s">
        <v>1212</v>
      </c>
      <c r="G1978" s="549">
        <v>52</v>
      </c>
      <c r="H1978" s="549" t="s">
        <v>522</v>
      </c>
      <c r="I1978" s="549" t="s">
        <v>976</v>
      </c>
      <c r="J1978" s="549" t="s">
        <v>976</v>
      </c>
      <c r="K1978" s="549" t="s">
        <v>976</v>
      </c>
      <c r="L1978" s="549">
        <v>157965.97</v>
      </c>
      <c r="M1978" s="549">
        <v>11926.43</v>
      </c>
      <c r="N1978" s="549">
        <v>3491.05</v>
      </c>
      <c r="O1978" s="549">
        <v>892.8</v>
      </c>
      <c r="P1978" s="549">
        <v>3.92</v>
      </c>
      <c r="Q1978" s="549">
        <v>639.36</v>
      </c>
    </row>
    <row r="1979" spans="1:17" x14ac:dyDescent="0.25">
      <c r="A1979" s="549" t="s">
        <v>502</v>
      </c>
      <c r="B1979" s="549" t="s">
        <v>1049</v>
      </c>
      <c r="C1979" s="549" t="s">
        <v>522</v>
      </c>
      <c r="D1979" s="549" t="s">
        <v>1196</v>
      </c>
      <c r="E1979" s="549" t="s">
        <v>977</v>
      </c>
      <c r="F1979" s="549" t="s">
        <v>1212</v>
      </c>
      <c r="G1979" s="549">
        <v>62</v>
      </c>
      <c r="H1979" s="549" t="s">
        <v>522</v>
      </c>
      <c r="I1979" s="549" t="s">
        <v>976</v>
      </c>
      <c r="J1979" s="549" t="s">
        <v>976</v>
      </c>
      <c r="K1979" s="549" t="s">
        <v>976</v>
      </c>
      <c r="L1979" s="549">
        <v>157965.97</v>
      </c>
      <c r="M1979" s="549">
        <v>11926.43</v>
      </c>
      <c r="N1979" s="549">
        <v>3491.05</v>
      </c>
      <c r="O1979" s="549">
        <v>892.8</v>
      </c>
      <c r="P1979" s="549">
        <v>3.92</v>
      </c>
      <c r="Q1979" s="549">
        <v>639.36</v>
      </c>
    </row>
    <row r="1980" spans="1:17" x14ac:dyDescent="0.25">
      <c r="A1980" s="549" t="s">
        <v>502</v>
      </c>
      <c r="B1980" s="549" t="s">
        <v>1049</v>
      </c>
      <c r="C1980" s="549" t="s">
        <v>522</v>
      </c>
      <c r="D1980" s="549" t="s">
        <v>1196</v>
      </c>
      <c r="E1980" s="549" t="s">
        <v>977</v>
      </c>
      <c r="F1980" s="549" t="s">
        <v>1212</v>
      </c>
      <c r="G1980" s="549">
        <v>72</v>
      </c>
      <c r="H1980" s="549" t="s">
        <v>522</v>
      </c>
      <c r="I1980" s="549" t="s">
        <v>976</v>
      </c>
      <c r="J1980" s="549" t="s">
        <v>976</v>
      </c>
      <c r="K1980" s="549" t="s">
        <v>976</v>
      </c>
      <c r="L1980" s="549">
        <v>157965.97</v>
      </c>
      <c r="M1980" s="549">
        <v>11926.43</v>
      </c>
      <c r="N1980" s="549">
        <v>3491.05</v>
      </c>
      <c r="O1980" s="549">
        <v>892.8</v>
      </c>
      <c r="P1980" s="549">
        <v>3.92</v>
      </c>
      <c r="Q1980" s="549">
        <v>639.36</v>
      </c>
    </row>
    <row r="1981" spans="1:17" x14ac:dyDescent="0.25">
      <c r="A1981" s="549" t="s">
        <v>502</v>
      </c>
      <c r="B1981" s="549" t="s">
        <v>1049</v>
      </c>
      <c r="C1981" s="549" t="s">
        <v>523</v>
      </c>
      <c r="D1981" s="549" t="s">
        <v>1052</v>
      </c>
      <c r="E1981" s="549" t="s">
        <v>973</v>
      </c>
      <c r="F1981" s="549" t="s">
        <v>1212</v>
      </c>
      <c r="G1981" s="549" t="s">
        <v>1235</v>
      </c>
      <c r="H1981" s="549" t="s">
        <v>849</v>
      </c>
      <c r="I1981" s="549" t="s">
        <v>976</v>
      </c>
      <c r="J1981" s="549" t="s">
        <v>976</v>
      </c>
      <c r="K1981" s="549" t="s">
        <v>976</v>
      </c>
      <c r="L1981" s="549">
        <v>311322.25</v>
      </c>
      <c r="M1981" s="549">
        <v>23504.83</v>
      </c>
      <c r="N1981" s="549">
        <v>17869.900000000001</v>
      </c>
      <c r="O1981" s="549">
        <v>992</v>
      </c>
      <c r="P1981" s="549">
        <v>44.52</v>
      </c>
      <c r="Q1981" s="549">
        <v>18861.669999999998</v>
      </c>
    </row>
    <row r="1982" spans="1:17" x14ac:dyDescent="0.25">
      <c r="A1982" s="549" t="s">
        <v>502</v>
      </c>
      <c r="B1982" s="549" t="s">
        <v>1049</v>
      </c>
      <c r="C1982" s="549" t="s">
        <v>523</v>
      </c>
      <c r="D1982" s="549" t="s">
        <v>1052</v>
      </c>
      <c r="E1982" s="549" t="s">
        <v>973</v>
      </c>
      <c r="F1982" s="549" t="s">
        <v>1212</v>
      </c>
      <c r="G1982" s="549" t="s">
        <v>1236</v>
      </c>
      <c r="H1982" s="549" t="s">
        <v>849</v>
      </c>
      <c r="I1982" s="549" t="s">
        <v>976</v>
      </c>
      <c r="J1982" s="549" t="s">
        <v>976</v>
      </c>
      <c r="K1982" s="549" t="s">
        <v>976</v>
      </c>
      <c r="L1982" s="549">
        <v>268770.3</v>
      </c>
      <c r="M1982" s="549">
        <v>20292.16</v>
      </c>
      <c r="N1982" s="549">
        <v>15427.42</v>
      </c>
      <c r="O1982" s="549">
        <v>992</v>
      </c>
      <c r="P1982" s="549">
        <v>53.39</v>
      </c>
      <c r="Q1982" s="549">
        <v>19600.310000000001</v>
      </c>
    </row>
    <row r="1983" spans="1:17" x14ac:dyDescent="0.25">
      <c r="A1983" s="549" t="s">
        <v>502</v>
      </c>
      <c r="B1983" s="549" t="s">
        <v>1049</v>
      </c>
      <c r="C1983" s="549" t="s">
        <v>523</v>
      </c>
      <c r="D1983" s="549" t="s">
        <v>1052</v>
      </c>
      <c r="E1983" s="549" t="s">
        <v>973</v>
      </c>
      <c r="F1983" s="549" t="s">
        <v>1212</v>
      </c>
      <c r="G1983" s="549" t="s">
        <v>1247</v>
      </c>
      <c r="H1983" s="549" t="s">
        <v>849</v>
      </c>
      <c r="I1983" s="549" t="s">
        <v>976</v>
      </c>
      <c r="J1983" s="549" t="s">
        <v>976</v>
      </c>
      <c r="K1983" s="549" t="s">
        <v>976</v>
      </c>
      <c r="L1983" s="549">
        <v>311322.25</v>
      </c>
      <c r="M1983" s="549">
        <v>23504.83</v>
      </c>
      <c r="N1983" s="549">
        <v>17869.900000000001</v>
      </c>
      <c r="O1983" s="549">
        <v>992</v>
      </c>
      <c r="P1983" s="549">
        <v>44.52</v>
      </c>
      <c r="Q1983" s="549">
        <v>18861.669999999998</v>
      </c>
    </row>
    <row r="1984" spans="1:17" x14ac:dyDescent="0.25">
      <c r="A1984" s="549" t="s">
        <v>502</v>
      </c>
      <c r="B1984" s="549" t="s">
        <v>1049</v>
      </c>
      <c r="C1984" s="549" t="s">
        <v>523</v>
      </c>
      <c r="D1984" s="549" t="s">
        <v>1052</v>
      </c>
      <c r="E1984" s="549" t="s">
        <v>973</v>
      </c>
      <c r="F1984" s="549" t="s">
        <v>1212</v>
      </c>
      <c r="G1984" s="549" t="s">
        <v>1248</v>
      </c>
      <c r="H1984" s="549" t="s">
        <v>849</v>
      </c>
      <c r="I1984" s="549" t="s">
        <v>976</v>
      </c>
      <c r="J1984" s="549" t="s">
        <v>976</v>
      </c>
      <c r="K1984" s="549" t="s">
        <v>976</v>
      </c>
      <c r="L1984" s="549">
        <v>268770.3</v>
      </c>
      <c r="M1984" s="549">
        <v>20292.16</v>
      </c>
      <c r="N1984" s="549">
        <v>15427.42</v>
      </c>
      <c r="O1984" s="549">
        <v>992</v>
      </c>
      <c r="P1984" s="549">
        <v>53.39</v>
      </c>
      <c r="Q1984" s="549">
        <v>19600.310000000001</v>
      </c>
    </row>
    <row r="1985" spans="1:17" x14ac:dyDescent="0.25">
      <c r="A1985" s="549" t="s">
        <v>502</v>
      </c>
      <c r="B1985" s="549" t="s">
        <v>1049</v>
      </c>
      <c r="C1985" s="549" t="s">
        <v>523</v>
      </c>
      <c r="D1985" s="549" t="s">
        <v>1052</v>
      </c>
      <c r="E1985" s="549" t="s">
        <v>973</v>
      </c>
      <c r="F1985" s="549" t="s">
        <v>1212</v>
      </c>
      <c r="G1985" s="549">
        <v>112</v>
      </c>
      <c r="H1985" s="549" t="s">
        <v>855</v>
      </c>
      <c r="I1985" s="549" t="s">
        <v>976</v>
      </c>
      <c r="J1985" s="549" t="s">
        <v>976</v>
      </c>
      <c r="K1985" s="549" t="s">
        <v>976</v>
      </c>
      <c r="L1985" s="549">
        <v>509800.94</v>
      </c>
      <c r="M1985" s="549">
        <v>38489.97</v>
      </c>
      <c r="N1985" s="549">
        <v>29262.57</v>
      </c>
      <c r="O1985" s="549">
        <v>3968</v>
      </c>
      <c r="P1985" s="549">
        <v>44.52</v>
      </c>
      <c r="Q1985" s="549">
        <v>31929.98</v>
      </c>
    </row>
    <row r="1986" spans="1:17" x14ac:dyDescent="0.25">
      <c r="A1986" s="549" t="s">
        <v>502</v>
      </c>
      <c r="B1986" s="549" t="s">
        <v>1049</v>
      </c>
      <c r="C1986" s="549" t="s">
        <v>523</v>
      </c>
      <c r="D1986" s="549" t="s">
        <v>1052</v>
      </c>
      <c r="E1986" s="549" t="s">
        <v>973</v>
      </c>
      <c r="F1986" s="549" t="s">
        <v>1212</v>
      </c>
      <c r="G1986" s="549">
        <v>132</v>
      </c>
      <c r="H1986" s="549" t="s">
        <v>855</v>
      </c>
      <c r="I1986" s="549" t="s">
        <v>976</v>
      </c>
      <c r="J1986" s="549" t="s">
        <v>976</v>
      </c>
      <c r="K1986" s="549" t="s">
        <v>976</v>
      </c>
      <c r="L1986" s="549">
        <v>509800.94</v>
      </c>
      <c r="M1986" s="549">
        <v>38489.97</v>
      </c>
      <c r="N1986" s="549">
        <v>29262.57</v>
      </c>
      <c r="O1986" s="549">
        <v>3968</v>
      </c>
      <c r="P1986" s="549">
        <v>44.52</v>
      </c>
      <c r="Q1986" s="549">
        <v>31929.98</v>
      </c>
    </row>
    <row r="1987" spans="1:17" x14ac:dyDescent="0.25">
      <c r="A1987" s="549" t="s">
        <v>502</v>
      </c>
      <c r="B1987" s="549" t="s">
        <v>1049</v>
      </c>
      <c r="C1987" s="549" t="s">
        <v>523</v>
      </c>
      <c r="D1987" s="549" t="s">
        <v>1052</v>
      </c>
      <c r="E1987" s="549" t="s">
        <v>973</v>
      </c>
      <c r="F1987" s="549" t="s">
        <v>1212</v>
      </c>
      <c r="G1987" s="549">
        <v>42</v>
      </c>
      <c r="H1987" s="549" t="s">
        <v>523</v>
      </c>
      <c r="I1987" s="549" t="s">
        <v>976</v>
      </c>
      <c r="J1987" s="549" t="s">
        <v>976</v>
      </c>
      <c r="K1987" s="549" t="s">
        <v>976</v>
      </c>
      <c r="L1987" s="549">
        <v>131264.75</v>
      </c>
      <c r="M1987" s="549">
        <v>9910.49</v>
      </c>
      <c r="N1987" s="549">
        <v>7534.6</v>
      </c>
      <c r="O1987" s="549">
        <v>892.8</v>
      </c>
      <c r="P1987" s="549">
        <v>100</v>
      </c>
      <c r="Q1987" s="549">
        <v>18337.89</v>
      </c>
    </row>
    <row r="1988" spans="1:17" x14ac:dyDescent="0.25">
      <c r="A1988" s="549" t="s">
        <v>502</v>
      </c>
      <c r="B1988" s="549" t="s">
        <v>1049</v>
      </c>
      <c r="C1988" s="549" t="s">
        <v>523</v>
      </c>
      <c r="D1988" s="549" t="s">
        <v>1052</v>
      </c>
      <c r="E1988" s="549" t="s">
        <v>973</v>
      </c>
      <c r="F1988" s="549" t="s">
        <v>1212</v>
      </c>
      <c r="G1988" s="549">
        <v>47</v>
      </c>
      <c r="H1988" s="549" t="s">
        <v>523</v>
      </c>
      <c r="I1988" s="549" t="s">
        <v>976</v>
      </c>
      <c r="J1988" s="549" t="s">
        <v>976</v>
      </c>
      <c r="K1988" s="549" t="s">
        <v>976</v>
      </c>
      <c r="L1988" s="549">
        <v>15928.48</v>
      </c>
      <c r="M1988" s="549">
        <v>1202.5999999999999</v>
      </c>
      <c r="N1988" s="549">
        <v>914.29</v>
      </c>
      <c r="O1988" s="549">
        <v>992</v>
      </c>
      <c r="P1988" s="549">
        <v>100</v>
      </c>
      <c r="Q1988" s="549">
        <v>3108.89</v>
      </c>
    </row>
    <row r="1989" spans="1:17" x14ac:dyDescent="0.25">
      <c r="A1989" s="549" t="s">
        <v>502</v>
      </c>
      <c r="B1989" s="549" t="s">
        <v>1049</v>
      </c>
      <c r="C1989" s="549" t="s">
        <v>523</v>
      </c>
      <c r="D1989" s="549" t="s">
        <v>1052</v>
      </c>
      <c r="E1989" s="549" t="s">
        <v>973</v>
      </c>
      <c r="F1989" s="549" t="s">
        <v>1212</v>
      </c>
      <c r="G1989" s="549">
        <v>52</v>
      </c>
      <c r="H1989" s="549" t="s">
        <v>523</v>
      </c>
      <c r="I1989" s="549" t="s">
        <v>976</v>
      </c>
      <c r="J1989" s="549" t="s">
        <v>976</v>
      </c>
      <c r="K1989" s="549" t="s">
        <v>976</v>
      </c>
      <c r="L1989" s="549">
        <v>131264.75</v>
      </c>
      <c r="M1989" s="549">
        <v>9910.49</v>
      </c>
      <c r="N1989" s="549">
        <v>7534.6</v>
      </c>
      <c r="O1989" s="549">
        <v>892.8</v>
      </c>
      <c r="P1989" s="549">
        <v>100</v>
      </c>
      <c r="Q1989" s="549">
        <v>18337.89</v>
      </c>
    </row>
    <row r="1990" spans="1:17" x14ac:dyDescent="0.25">
      <c r="A1990" s="549" t="s">
        <v>502</v>
      </c>
      <c r="B1990" s="549" t="s">
        <v>1049</v>
      </c>
      <c r="C1990" s="549" t="s">
        <v>523</v>
      </c>
      <c r="D1990" s="549" t="s">
        <v>1052</v>
      </c>
      <c r="E1990" s="549" t="s">
        <v>973</v>
      </c>
      <c r="F1990" s="549" t="s">
        <v>1212</v>
      </c>
      <c r="G1990" s="549">
        <v>57</v>
      </c>
      <c r="H1990" s="549" t="s">
        <v>523</v>
      </c>
      <c r="I1990" s="549" t="s">
        <v>976</v>
      </c>
      <c r="J1990" s="549" t="s">
        <v>976</v>
      </c>
      <c r="K1990" s="549" t="s">
        <v>976</v>
      </c>
      <c r="L1990" s="549">
        <v>15928.48</v>
      </c>
      <c r="M1990" s="549">
        <v>1202.5999999999999</v>
      </c>
      <c r="N1990" s="549">
        <v>914.29</v>
      </c>
      <c r="O1990" s="549">
        <v>992</v>
      </c>
      <c r="P1990" s="549">
        <v>100</v>
      </c>
      <c r="Q1990" s="549">
        <v>3108.89</v>
      </c>
    </row>
    <row r="1991" spans="1:17" x14ac:dyDescent="0.25">
      <c r="A1991" s="549" t="s">
        <v>502</v>
      </c>
      <c r="B1991" s="549" t="s">
        <v>1049</v>
      </c>
      <c r="C1991" s="549" t="s">
        <v>523</v>
      </c>
      <c r="D1991" s="549" t="s">
        <v>1052</v>
      </c>
      <c r="E1991" s="549" t="s">
        <v>973</v>
      </c>
      <c r="F1991" s="549" t="s">
        <v>1212</v>
      </c>
      <c r="G1991" s="549">
        <v>62</v>
      </c>
      <c r="H1991" s="549" t="s">
        <v>523</v>
      </c>
      <c r="I1991" s="549" t="s">
        <v>976</v>
      </c>
      <c r="J1991" s="549" t="s">
        <v>976</v>
      </c>
      <c r="K1991" s="549" t="s">
        <v>976</v>
      </c>
      <c r="L1991" s="549">
        <v>131264.75</v>
      </c>
      <c r="M1991" s="549">
        <v>9910.49</v>
      </c>
      <c r="N1991" s="549">
        <v>7534.6</v>
      </c>
      <c r="O1991" s="549">
        <v>892.8</v>
      </c>
      <c r="P1991" s="549">
        <v>100</v>
      </c>
      <c r="Q1991" s="549">
        <v>18337.89</v>
      </c>
    </row>
    <row r="1992" spans="1:17" x14ac:dyDescent="0.25">
      <c r="A1992" s="549" t="s">
        <v>502</v>
      </c>
      <c r="B1992" s="549" t="s">
        <v>1049</v>
      </c>
      <c r="C1992" s="549" t="s">
        <v>523</v>
      </c>
      <c r="D1992" s="549" t="s">
        <v>1052</v>
      </c>
      <c r="E1992" s="549" t="s">
        <v>973</v>
      </c>
      <c r="F1992" s="549" t="s">
        <v>1212</v>
      </c>
      <c r="G1992" s="549">
        <v>67</v>
      </c>
      <c r="H1992" s="549" t="s">
        <v>523</v>
      </c>
      <c r="I1992" s="549" t="s">
        <v>976</v>
      </c>
      <c r="J1992" s="549" t="s">
        <v>976</v>
      </c>
      <c r="K1992" s="549" t="s">
        <v>976</v>
      </c>
      <c r="L1992" s="549">
        <v>15928.48</v>
      </c>
      <c r="M1992" s="549">
        <v>1202.5999999999999</v>
      </c>
      <c r="N1992" s="549">
        <v>914.29</v>
      </c>
      <c r="O1992" s="549">
        <v>992</v>
      </c>
      <c r="P1992" s="549">
        <v>100</v>
      </c>
      <c r="Q1992" s="549">
        <v>3108.89</v>
      </c>
    </row>
    <row r="1993" spans="1:17" x14ac:dyDescent="0.25">
      <c r="A1993" s="549" t="s">
        <v>502</v>
      </c>
      <c r="B1993" s="549" t="s">
        <v>1049</v>
      </c>
      <c r="C1993" s="549" t="s">
        <v>523</v>
      </c>
      <c r="D1993" s="549" t="s">
        <v>1052</v>
      </c>
      <c r="E1993" s="549" t="s">
        <v>973</v>
      </c>
      <c r="F1993" s="549" t="s">
        <v>1212</v>
      </c>
      <c r="G1993" s="549">
        <v>72</v>
      </c>
      <c r="H1993" s="549" t="s">
        <v>523</v>
      </c>
      <c r="I1993" s="549" t="s">
        <v>976</v>
      </c>
      <c r="J1993" s="549" t="s">
        <v>976</v>
      </c>
      <c r="K1993" s="549" t="s">
        <v>976</v>
      </c>
      <c r="L1993" s="549">
        <v>504629.39</v>
      </c>
      <c r="M1993" s="549">
        <v>38099.519999999997</v>
      </c>
      <c r="N1993" s="549">
        <v>28965.73</v>
      </c>
      <c r="O1993" s="549">
        <v>3968</v>
      </c>
      <c r="P1993" s="549">
        <v>53.39</v>
      </c>
      <c r="Q1993" s="549">
        <v>37924.65</v>
      </c>
    </row>
    <row r="1994" spans="1:17" x14ac:dyDescent="0.25">
      <c r="A1994" s="549" t="s">
        <v>502</v>
      </c>
      <c r="B1994" s="549" t="s">
        <v>1049</v>
      </c>
      <c r="C1994" s="549" t="s">
        <v>523</v>
      </c>
      <c r="D1994" s="549" t="s">
        <v>1052</v>
      </c>
      <c r="E1994" s="549" t="s">
        <v>973</v>
      </c>
      <c r="F1994" s="549" t="s">
        <v>1212</v>
      </c>
      <c r="G1994" s="549">
        <v>77</v>
      </c>
      <c r="H1994" s="549" t="s">
        <v>523</v>
      </c>
      <c r="I1994" s="549" t="s">
        <v>976</v>
      </c>
      <c r="J1994" s="549" t="s">
        <v>976</v>
      </c>
      <c r="K1994" s="549" t="s">
        <v>976</v>
      </c>
      <c r="L1994" s="549">
        <v>15928.48</v>
      </c>
      <c r="M1994" s="549">
        <v>1202.5999999999999</v>
      </c>
      <c r="N1994" s="549">
        <v>914.29</v>
      </c>
      <c r="O1994" s="549">
        <v>992</v>
      </c>
      <c r="P1994" s="549">
        <v>100</v>
      </c>
      <c r="Q1994" s="549">
        <v>3108.89</v>
      </c>
    </row>
    <row r="1995" spans="1:17" x14ac:dyDescent="0.25">
      <c r="A1995" s="549" t="s">
        <v>502</v>
      </c>
      <c r="B1995" s="549" t="s">
        <v>1049</v>
      </c>
      <c r="C1995" s="549" t="s">
        <v>523</v>
      </c>
      <c r="D1995" s="549" t="s">
        <v>1052</v>
      </c>
      <c r="E1995" s="549" t="s">
        <v>973</v>
      </c>
      <c r="F1995" s="549" t="s">
        <v>1212</v>
      </c>
      <c r="G1995" s="549">
        <v>87</v>
      </c>
      <c r="H1995" s="549" t="s">
        <v>523</v>
      </c>
      <c r="I1995" s="549" t="s">
        <v>976</v>
      </c>
      <c r="J1995" s="549" t="s">
        <v>976</v>
      </c>
      <c r="K1995" s="549" t="s">
        <v>976</v>
      </c>
      <c r="L1995" s="549">
        <v>15928.48</v>
      </c>
      <c r="M1995" s="549">
        <v>1202.5999999999999</v>
      </c>
      <c r="N1995" s="549">
        <v>914.29</v>
      </c>
      <c r="O1995" s="549">
        <v>992</v>
      </c>
      <c r="P1995" s="549">
        <v>100</v>
      </c>
      <c r="Q1995" s="549">
        <v>3108.89</v>
      </c>
    </row>
    <row r="1996" spans="1:17" x14ac:dyDescent="0.25">
      <c r="A1996" s="549" t="s">
        <v>502</v>
      </c>
      <c r="B1996" s="549" t="s">
        <v>1049</v>
      </c>
      <c r="C1996" s="549" t="s">
        <v>523</v>
      </c>
      <c r="D1996" s="549" t="s">
        <v>1052</v>
      </c>
      <c r="E1996" s="549" t="s">
        <v>973</v>
      </c>
      <c r="F1996" s="549" t="s">
        <v>1212</v>
      </c>
      <c r="G1996" s="549">
        <v>92</v>
      </c>
      <c r="H1996" s="549" t="s">
        <v>523</v>
      </c>
      <c r="I1996" s="549" t="s">
        <v>976</v>
      </c>
      <c r="J1996" s="549" t="s">
        <v>976</v>
      </c>
      <c r="K1996" s="549" t="s">
        <v>976</v>
      </c>
      <c r="L1996" s="549">
        <v>504629.39</v>
      </c>
      <c r="M1996" s="549">
        <v>38099.519999999997</v>
      </c>
      <c r="N1996" s="549">
        <v>28965.73</v>
      </c>
      <c r="O1996" s="549">
        <v>3968</v>
      </c>
      <c r="P1996" s="549">
        <v>53.39</v>
      </c>
      <c r="Q1996" s="549">
        <v>37924.65</v>
      </c>
    </row>
    <row r="1997" spans="1:17" x14ac:dyDescent="0.25">
      <c r="A1997" s="549" t="s">
        <v>502</v>
      </c>
      <c r="B1997" s="549" t="s">
        <v>1049</v>
      </c>
      <c r="C1997" s="549" t="s">
        <v>523</v>
      </c>
      <c r="D1997" s="549" t="s">
        <v>1052</v>
      </c>
      <c r="E1997" s="549" t="s">
        <v>973</v>
      </c>
      <c r="F1997" s="549" t="s">
        <v>1212</v>
      </c>
      <c r="G1997" s="549">
        <v>97</v>
      </c>
      <c r="H1997" s="549" t="s">
        <v>523</v>
      </c>
      <c r="I1997" s="549" t="s">
        <v>976</v>
      </c>
      <c r="J1997" s="549" t="s">
        <v>976</v>
      </c>
      <c r="K1997" s="549" t="s">
        <v>976</v>
      </c>
      <c r="L1997" s="549">
        <v>15928.48</v>
      </c>
      <c r="M1997" s="549">
        <v>1202.5999999999999</v>
      </c>
      <c r="N1997" s="549">
        <v>914.29</v>
      </c>
      <c r="O1997" s="549">
        <v>992</v>
      </c>
      <c r="P1997" s="549">
        <v>100</v>
      </c>
      <c r="Q1997" s="549">
        <v>3108.89</v>
      </c>
    </row>
    <row r="1998" spans="1:17" x14ac:dyDescent="0.25">
      <c r="A1998" s="549" t="s">
        <v>502</v>
      </c>
      <c r="B1998" s="549" t="s">
        <v>1049</v>
      </c>
      <c r="C1998" s="549" t="s">
        <v>523</v>
      </c>
      <c r="D1998" s="549" t="s">
        <v>1052</v>
      </c>
      <c r="E1998" s="549" t="s">
        <v>973</v>
      </c>
      <c r="F1998" s="549" t="s">
        <v>1212</v>
      </c>
      <c r="G1998" s="549">
        <v>117</v>
      </c>
      <c r="H1998" s="549" t="s">
        <v>523</v>
      </c>
      <c r="I1998" s="549" t="s">
        <v>976</v>
      </c>
      <c r="J1998" s="549" t="s">
        <v>976</v>
      </c>
      <c r="K1998" s="549" t="s">
        <v>976</v>
      </c>
      <c r="L1998" s="549">
        <v>15928.48</v>
      </c>
      <c r="M1998" s="549">
        <v>1202.5999999999999</v>
      </c>
      <c r="N1998" s="549">
        <v>914.29</v>
      </c>
      <c r="O1998" s="549">
        <v>992</v>
      </c>
      <c r="P1998" s="549">
        <v>100</v>
      </c>
      <c r="Q1998" s="549">
        <v>3108.89</v>
      </c>
    </row>
    <row r="1999" spans="1:17" x14ac:dyDescent="0.25">
      <c r="A1999" s="549" t="s">
        <v>502</v>
      </c>
      <c r="B1999" s="549" t="s">
        <v>1049</v>
      </c>
      <c r="C1999" s="549" t="s">
        <v>523</v>
      </c>
      <c r="D1999" s="549" t="s">
        <v>1052</v>
      </c>
      <c r="E1999" s="549" t="s">
        <v>973</v>
      </c>
      <c r="F1999" s="549" t="s">
        <v>1212</v>
      </c>
      <c r="G1999" s="549">
        <v>127</v>
      </c>
      <c r="H1999" s="549" t="s">
        <v>523</v>
      </c>
      <c r="I1999" s="549" t="s">
        <v>976</v>
      </c>
      <c r="J1999" s="549" t="s">
        <v>976</v>
      </c>
      <c r="K1999" s="549" t="s">
        <v>976</v>
      </c>
      <c r="L1999" s="549">
        <v>11696.92</v>
      </c>
      <c r="M1999" s="549">
        <v>883.12</v>
      </c>
      <c r="N1999" s="549">
        <v>671.4</v>
      </c>
      <c r="O1999" s="549">
        <v>992</v>
      </c>
      <c r="P1999" s="549">
        <v>100</v>
      </c>
      <c r="Q1999" s="549">
        <v>2546.52</v>
      </c>
    </row>
    <row r="2000" spans="1:17" x14ac:dyDescent="0.25">
      <c r="A2000" s="549" t="s">
        <v>502</v>
      </c>
      <c r="B2000" s="549" t="s">
        <v>1049</v>
      </c>
      <c r="C2000" s="549" t="s">
        <v>523</v>
      </c>
      <c r="D2000" s="549" t="s">
        <v>1052</v>
      </c>
      <c r="E2000" s="549" t="s">
        <v>973</v>
      </c>
      <c r="F2000" s="549" t="s">
        <v>1212</v>
      </c>
      <c r="G2000" s="549">
        <v>137</v>
      </c>
      <c r="H2000" s="549" t="s">
        <v>523</v>
      </c>
      <c r="I2000" s="549" t="s">
        <v>976</v>
      </c>
      <c r="J2000" s="549" t="s">
        <v>976</v>
      </c>
      <c r="K2000" s="549" t="s">
        <v>976</v>
      </c>
      <c r="L2000" s="549">
        <v>15928.48</v>
      </c>
      <c r="M2000" s="549">
        <v>1202.5999999999999</v>
      </c>
      <c r="N2000" s="549">
        <v>914.29</v>
      </c>
      <c r="O2000" s="549">
        <v>992</v>
      </c>
      <c r="P2000" s="549">
        <v>100</v>
      </c>
      <c r="Q2000" s="549">
        <v>3108.89</v>
      </c>
    </row>
    <row r="2001" spans="1:17" x14ac:dyDescent="0.25">
      <c r="A2001" s="549" t="s">
        <v>502</v>
      </c>
      <c r="B2001" s="549" t="s">
        <v>1049</v>
      </c>
      <c r="C2001" s="549" t="s">
        <v>523</v>
      </c>
      <c r="D2001" s="549" t="s">
        <v>1052</v>
      </c>
      <c r="E2001" s="549" t="s">
        <v>973</v>
      </c>
      <c r="F2001" s="549" t="s">
        <v>1212</v>
      </c>
      <c r="G2001" s="549" t="s">
        <v>1249</v>
      </c>
      <c r="H2001" s="549" t="s">
        <v>523</v>
      </c>
      <c r="I2001" s="549" t="s">
        <v>976</v>
      </c>
      <c r="J2001" s="549" t="s">
        <v>976</v>
      </c>
      <c r="K2001" s="549" t="s">
        <v>976</v>
      </c>
      <c r="L2001" s="549">
        <v>48805.45</v>
      </c>
      <c r="M2001" s="549">
        <v>3684.81</v>
      </c>
      <c r="N2001" s="549">
        <v>2801.43</v>
      </c>
      <c r="O2001" s="549">
        <v>0</v>
      </c>
      <c r="P2001" s="549">
        <v>53.39</v>
      </c>
      <c r="Q2001" s="549">
        <v>3463</v>
      </c>
    </row>
    <row r="2002" spans="1:17" x14ac:dyDescent="0.25">
      <c r="A2002" s="549" t="s">
        <v>502</v>
      </c>
      <c r="B2002" s="549" t="s">
        <v>1049</v>
      </c>
      <c r="C2002" s="549" t="s">
        <v>523</v>
      </c>
      <c r="D2002" s="549" t="s">
        <v>1052</v>
      </c>
      <c r="E2002" s="549" t="s">
        <v>973</v>
      </c>
      <c r="F2002" s="549" t="s">
        <v>1212</v>
      </c>
      <c r="G2002" s="549" t="s">
        <v>1250</v>
      </c>
      <c r="H2002" s="549" t="s">
        <v>523</v>
      </c>
      <c r="I2002" s="549" t="s">
        <v>976</v>
      </c>
      <c r="J2002" s="549" t="s">
        <v>976</v>
      </c>
      <c r="K2002" s="549" t="s">
        <v>976</v>
      </c>
      <c r="L2002" s="549">
        <v>48805.45</v>
      </c>
      <c r="M2002" s="549">
        <v>3684.81</v>
      </c>
      <c r="N2002" s="549">
        <v>2801.43</v>
      </c>
      <c r="O2002" s="549">
        <v>0</v>
      </c>
      <c r="P2002" s="549">
        <v>53.39</v>
      </c>
      <c r="Q2002" s="549">
        <v>3463</v>
      </c>
    </row>
    <row r="2003" spans="1:17" x14ac:dyDescent="0.25">
      <c r="A2003" s="549" t="s">
        <v>502</v>
      </c>
      <c r="B2003" s="549" t="s">
        <v>1049</v>
      </c>
      <c r="C2003" s="549" t="s">
        <v>523</v>
      </c>
      <c r="D2003" s="549" t="s">
        <v>1052</v>
      </c>
      <c r="E2003" s="549" t="s">
        <v>973</v>
      </c>
      <c r="F2003" s="549" t="s">
        <v>1212</v>
      </c>
      <c r="G2003" s="549" t="s">
        <v>1215</v>
      </c>
      <c r="H2003" s="549" t="s">
        <v>523</v>
      </c>
      <c r="I2003" s="549" t="s">
        <v>976</v>
      </c>
      <c r="J2003" s="549" t="s">
        <v>976</v>
      </c>
      <c r="K2003" s="549" t="s">
        <v>976</v>
      </c>
      <c r="L2003" s="549">
        <v>48805.45</v>
      </c>
      <c r="M2003" s="549">
        <v>3684.81</v>
      </c>
      <c r="N2003" s="549">
        <v>2801.43</v>
      </c>
      <c r="O2003" s="549">
        <v>0</v>
      </c>
      <c r="P2003" s="549">
        <v>100</v>
      </c>
      <c r="Q2003" s="549">
        <v>6486.24</v>
      </c>
    </row>
    <row r="2004" spans="1:17" x14ac:dyDescent="0.25">
      <c r="A2004" s="549" t="s">
        <v>502</v>
      </c>
      <c r="B2004" s="549" t="s">
        <v>1049</v>
      </c>
      <c r="C2004" s="549" t="s">
        <v>523</v>
      </c>
      <c r="D2004" s="549" t="s">
        <v>1052</v>
      </c>
      <c r="E2004" s="549" t="s">
        <v>973</v>
      </c>
      <c r="F2004" s="549" t="s">
        <v>1212</v>
      </c>
      <c r="G2004" s="549" t="s">
        <v>1288</v>
      </c>
      <c r="H2004" s="549" t="s">
        <v>523</v>
      </c>
      <c r="I2004" s="549" t="s">
        <v>976</v>
      </c>
      <c r="J2004" s="549" t="s">
        <v>976</v>
      </c>
      <c r="K2004" s="549" t="s">
        <v>976</v>
      </c>
      <c r="L2004" s="549">
        <v>48805.45</v>
      </c>
      <c r="M2004" s="549">
        <v>3684.81</v>
      </c>
      <c r="N2004" s="549">
        <v>2801.43</v>
      </c>
      <c r="O2004" s="549">
        <v>0</v>
      </c>
      <c r="P2004" s="549">
        <v>100</v>
      </c>
      <c r="Q2004" s="549">
        <v>6486.24</v>
      </c>
    </row>
    <row r="2005" spans="1:17" x14ac:dyDescent="0.25">
      <c r="A2005" s="549" t="s">
        <v>502</v>
      </c>
      <c r="B2005" s="549" t="s">
        <v>1049</v>
      </c>
      <c r="C2005" s="549" t="s">
        <v>523</v>
      </c>
      <c r="D2005" s="549" t="s">
        <v>1052</v>
      </c>
      <c r="E2005" s="549" t="s">
        <v>977</v>
      </c>
      <c r="F2005" s="549" t="s">
        <v>1212</v>
      </c>
      <c r="G2005" s="549" t="s">
        <v>1235</v>
      </c>
      <c r="H2005" s="549" t="s">
        <v>849</v>
      </c>
      <c r="I2005" s="549" t="s">
        <v>976</v>
      </c>
      <c r="J2005" s="549" t="s">
        <v>976</v>
      </c>
      <c r="K2005" s="549" t="s">
        <v>976</v>
      </c>
      <c r="L2005" s="549">
        <v>311322.25</v>
      </c>
      <c r="M2005" s="549">
        <v>23504.83</v>
      </c>
      <c r="N2005" s="549">
        <v>6880.22</v>
      </c>
      <c r="O2005" s="549">
        <v>992</v>
      </c>
      <c r="P2005" s="549">
        <v>0</v>
      </c>
      <c r="Q2005" s="549">
        <v>0</v>
      </c>
    </row>
    <row r="2006" spans="1:17" x14ac:dyDescent="0.25">
      <c r="A2006" s="549" t="s">
        <v>502</v>
      </c>
      <c r="B2006" s="549" t="s">
        <v>1049</v>
      </c>
      <c r="C2006" s="549" t="s">
        <v>523</v>
      </c>
      <c r="D2006" s="549" t="s">
        <v>1052</v>
      </c>
      <c r="E2006" s="549" t="s">
        <v>977</v>
      </c>
      <c r="F2006" s="549" t="s">
        <v>1212</v>
      </c>
      <c r="G2006" s="549" t="s">
        <v>1236</v>
      </c>
      <c r="H2006" s="549" t="s">
        <v>849</v>
      </c>
      <c r="I2006" s="549" t="s">
        <v>976</v>
      </c>
      <c r="J2006" s="549" t="s">
        <v>976</v>
      </c>
      <c r="K2006" s="549" t="s">
        <v>976</v>
      </c>
      <c r="L2006" s="549">
        <v>268770.3</v>
      </c>
      <c r="M2006" s="549">
        <v>20292.16</v>
      </c>
      <c r="N2006" s="549">
        <v>5939.82</v>
      </c>
      <c r="O2006" s="549">
        <v>992</v>
      </c>
      <c r="P2006" s="549">
        <v>0</v>
      </c>
      <c r="Q2006" s="549">
        <v>0</v>
      </c>
    </row>
    <row r="2007" spans="1:17" x14ac:dyDescent="0.25">
      <c r="A2007" s="549" t="s">
        <v>502</v>
      </c>
      <c r="B2007" s="549" t="s">
        <v>1049</v>
      </c>
      <c r="C2007" s="549" t="s">
        <v>523</v>
      </c>
      <c r="D2007" s="549" t="s">
        <v>1052</v>
      </c>
      <c r="E2007" s="549" t="s">
        <v>977</v>
      </c>
      <c r="F2007" s="549" t="s">
        <v>1212</v>
      </c>
      <c r="G2007" s="549" t="s">
        <v>1247</v>
      </c>
      <c r="H2007" s="549" t="s">
        <v>849</v>
      </c>
      <c r="I2007" s="549" t="s">
        <v>976</v>
      </c>
      <c r="J2007" s="549" t="s">
        <v>976</v>
      </c>
      <c r="K2007" s="549" t="s">
        <v>976</v>
      </c>
      <c r="L2007" s="549">
        <v>311322.25</v>
      </c>
      <c r="M2007" s="549">
        <v>23504.83</v>
      </c>
      <c r="N2007" s="549">
        <v>6880.22</v>
      </c>
      <c r="O2007" s="549">
        <v>992</v>
      </c>
      <c r="P2007" s="549">
        <v>0</v>
      </c>
      <c r="Q2007" s="549">
        <v>0</v>
      </c>
    </row>
    <row r="2008" spans="1:17" x14ac:dyDescent="0.25">
      <c r="A2008" s="549" t="s">
        <v>502</v>
      </c>
      <c r="B2008" s="549" t="s">
        <v>1049</v>
      </c>
      <c r="C2008" s="549" t="s">
        <v>523</v>
      </c>
      <c r="D2008" s="549" t="s">
        <v>1052</v>
      </c>
      <c r="E2008" s="549" t="s">
        <v>977</v>
      </c>
      <c r="F2008" s="549" t="s">
        <v>1212</v>
      </c>
      <c r="G2008" s="549" t="s">
        <v>1248</v>
      </c>
      <c r="H2008" s="549" t="s">
        <v>849</v>
      </c>
      <c r="I2008" s="549" t="s">
        <v>976</v>
      </c>
      <c r="J2008" s="549" t="s">
        <v>976</v>
      </c>
      <c r="K2008" s="549" t="s">
        <v>976</v>
      </c>
      <c r="L2008" s="549">
        <v>268770.3</v>
      </c>
      <c r="M2008" s="549">
        <v>20292.16</v>
      </c>
      <c r="N2008" s="549">
        <v>5939.82</v>
      </c>
      <c r="O2008" s="549">
        <v>992</v>
      </c>
      <c r="P2008" s="549">
        <v>0</v>
      </c>
      <c r="Q2008" s="549">
        <v>0</v>
      </c>
    </row>
    <row r="2009" spans="1:17" x14ac:dyDescent="0.25">
      <c r="A2009" s="549" t="s">
        <v>502</v>
      </c>
      <c r="B2009" s="549" t="s">
        <v>1049</v>
      </c>
      <c r="C2009" s="549" t="s">
        <v>523</v>
      </c>
      <c r="D2009" s="549" t="s">
        <v>1052</v>
      </c>
      <c r="E2009" s="549" t="s">
        <v>977</v>
      </c>
      <c r="F2009" s="549" t="s">
        <v>1212</v>
      </c>
      <c r="G2009" s="549">
        <v>112</v>
      </c>
      <c r="H2009" s="549" t="s">
        <v>855</v>
      </c>
      <c r="I2009" s="549" t="s">
        <v>976</v>
      </c>
      <c r="J2009" s="549" t="s">
        <v>976</v>
      </c>
      <c r="K2009" s="549" t="s">
        <v>976</v>
      </c>
      <c r="L2009" s="549">
        <v>509800.94</v>
      </c>
      <c r="M2009" s="549">
        <v>38489.97</v>
      </c>
      <c r="N2009" s="549">
        <v>11266.6</v>
      </c>
      <c r="O2009" s="549">
        <v>3968</v>
      </c>
      <c r="P2009" s="549">
        <v>0</v>
      </c>
      <c r="Q2009" s="549">
        <v>0</v>
      </c>
    </row>
    <row r="2010" spans="1:17" x14ac:dyDescent="0.25">
      <c r="A2010" s="549" t="s">
        <v>502</v>
      </c>
      <c r="B2010" s="549" t="s">
        <v>1049</v>
      </c>
      <c r="C2010" s="549" t="s">
        <v>523</v>
      </c>
      <c r="D2010" s="549" t="s">
        <v>1052</v>
      </c>
      <c r="E2010" s="549" t="s">
        <v>977</v>
      </c>
      <c r="F2010" s="549" t="s">
        <v>1212</v>
      </c>
      <c r="G2010" s="549">
        <v>132</v>
      </c>
      <c r="H2010" s="549" t="s">
        <v>855</v>
      </c>
      <c r="I2010" s="549" t="s">
        <v>976</v>
      </c>
      <c r="J2010" s="549" t="s">
        <v>976</v>
      </c>
      <c r="K2010" s="549" t="s">
        <v>976</v>
      </c>
      <c r="L2010" s="549">
        <v>509800.94</v>
      </c>
      <c r="M2010" s="549">
        <v>38489.97</v>
      </c>
      <c r="N2010" s="549">
        <v>11266.6</v>
      </c>
      <c r="O2010" s="549">
        <v>3968</v>
      </c>
      <c r="P2010" s="549">
        <v>0</v>
      </c>
      <c r="Q2010" s="549">
        <v>0</v>
      </c>
    </row>
    <row r="2011" spans="1:17" x14ac:dyDescent="0.25">
      <c r="A2011" s="549" t="s">
        <v>502</v>
      </c>
      <c r="B2011" s="549" t="s">
        <v>1049</v>
      </c>
      <c r="C2011" s="549" t="s">
        <v>523</v>
      </c>
      <c r="D2011" s="549" t="s">
        <v>1052</v>
      </c>
      <c r="E2011" s="549" t="s">
        <v>977</v>
      </c>
      <c r="F2011" s="549" t="s">
        <v>1212</v>
      </c>
      <c r="G2011" s="549">
        <v>42</v>
      </c>
      <c r="H2011" s="549" t="s">
        <v>523</v>
      </c>
      <c r="I2011" s="549" t="s">
        <v>976</v>
      </c>
      <c r="J2011" s="549" t="s">
        <v>976</v>
      </c>
      <c r="K2011" s="549" t="s">
        <v>976</v>
      </c>
      <c r="L2011" s="549">
        <v>131264.75</v>
      </c>
      <c r="M2011" s="549">
        <v>9910.49</v>
      </c>
      <c r="N2011" s="549">
        <v>2900.95</v>
      </c>
      <c r="O2011" s="549">
        <v>892.8</v>
      </c>
      <c r="P2011" s="549">
        <v>0</v>
      </c>
      <c r="Q2011" s="549">
        <v>0</v>
      </c>
    </row>
    <row r="2012" spans="1:17" x14ac:dyDescent="0.25">
      <c r="A2012" s="549" t="s">
        <v>502</v>
      </c>
      <c r="B2012" s="549" t="s">
        <v>1049</v>
      </c>
      <c r="C2012" s="549" t="s">
        <v>523</v>
      </c>
      <c r="D2012" s="549" t="s">
        <v>1052</v>
      </c>
      <c r="E2012" s="549" t="s">
        <v>977</v>
      </c>
      <c r="F2012" s="549" t="s">
        <v>1212</v>
      </c>
      <c r="G2012" s="549">
        <v>47</v>
      </c>
      <c r="H2012" s="549" t="s">
        <v>523</v>
      </c>
      <c r="I2012" s="549" t="s">
        <v>976</v>
      </c>
      <c r="J2012" s="549" t="s">
        <v>976</v>
      </c>
      <c r="K2012" s="549" t="s">
        <v>976</v>
      </c>
      <c r="L2012" s="549">
        <v>15928.48</v>
      </c>
      <c r="M2012" s="549">
        <v>1202.5999999999999</v>
      </c>
      <c r="N2012" s="549">
        <v>352.02</v>
      </c>
      <c r="O2012" s="549">
        <v>992</v>
      </c>
      <c r="P2012" s="549">
        <v>0</v>
      </c>
      <c r="Q2012" s="549">
        <v>0</v>
      </c>
    </row>
    <row r="2013" spans="1:17" x14ac:dyDescent="0.25">
      <c r="A2013" s="549" t="s">
        <v>502</v>
      </c>
      <c r="B2013" s="549" t="s">
        <v>1049</v>
      </c>
      <c r="C2013" s="549" t="s">
        <v>523</v>
      </c>
      <c r="D2013" s="549" t="s">
        <v>1052</v>
      </c>
      <c r="E2013" s="549" t="s">
        <v>977</v>
      </c>
      <c r="F2013" s="549" t="s">
        <v>1212</v>
      </c>
      <c r="G2013" s="549">
        <v>52</v>
      </c>
      <c r="H2013" s="549" t="s">
        <v>523</v>
      </c>
      <c r="I2013" s="549" t="s">
        <v>976</v>
      </c>
      <c r="J2013" s="549" t="s">
        <v>976</v>
      </c>
      <c r="K2013" s="549" t="s">
        <v>976</v>
      </c>
      <c r="L2013" s="549">
        <v>131264.75</v>
      </c>
      <c r="M2013" s="549">
        <v>9910.49</v>
      </c>
      <c r="N2013" s="549">
        <v>2900.95</v>
      </c>
      <c r="O2013" s="549">
        <v>892.8</v>
      </c>
      <c r="P2013" s="549">
        <v>0</v>
      </c>
      <c r="Q2013" s="549">
        <v>0</v>
      </c>
    </row>
    <row r="2014" spans="1:17" x14ac:dyDescent="0.25">
      <c r="A2014" s="549" t="s">
        <v>502</v>
      </c>
      <c r="B2014" s="549" t="s">
        <v>1049</v>
      </c>
      <c r="C2014" s="549" t="s">
        <v>523</v>
      </c>
      <c r="D2014" s="549" t="s">
        <v>1052</v>
      </c>
      <c r="E2014" s="549" t="s">
        <v>977</v>
      </c>
      <c r="F2014" s="549" t="s">
        <v>1212</v>
      </c>
      <c r="G2014" s="549">
        <v>57</v>
      </c>
      <c r="H2014" s="549" t="s">
        <v>523</v>
      </c>
      <c r="I2014" s="549" t="s">
        <v>976</v>
      </c>
      <c r="J2014" s="549" t="s">
        <v>976</v>
      </c>
      <c r="K2014" s="549" t="s">
        <v>976</v>
      </c>
      <c r="L2014" s="549">
        <v>15928.48</v>
      </c>
      <c r="M2014" s="549">
        <v>1202.5999999999999</v>
      </c>
      <c r="N2014" s="549">
        <v>352.02</v>
      </c>
      <c r="O2014" s="549">
        <v>992</v>
      </c>
      <c r="P2014" s="549">
        <v>0</v>
      </c>
      <c r="Q2014" s="549">
        <v>0</v>
      </c>
    </row>
    <row r="2015" spans="1:17" x14ac:dyDescent="0.25">
      <c r="A2015" s="549" t="s">
        <v>502</v>
      </c>
      <c r="B2015" s="549" t="s">
        <v>1049</v>
      </c>
      <c r="C2015" s="549" t="s">
        <v>523</v>
      </c>
      <c r="D2015" s="549" t="s">
        <v>1052</v>
      </c>
      <c r="E2015" s="549" t="s">
        <v>977</v>
      </c>
      <c r="F2015" s="549" t="s">
        <v>1212</v>
      </c>
      <c r="G2015" s="549">
        <v>62</v>
      </c>
      <c r="H2015" s="549" t="s">
        <v>523</v>
      </c>
      <c r="I2015" s="549" t="s">
        <v>976</v>
      </c>
      <c r="J2015" s="549" t="s">
        <v>976</v>
      </c>
      <c r="K2015" s="549" t="s">
        <v>976</v>
      </c>
      <c r="L2015" s="549">
        <v>131264.75</v>
      </c>
      <c r="M2015" s="549">
        <v>9910.49</v>
      </c>
      <c r="N2015" s="549">
        <v>2900.95</v>
      </c>
      <c r="O2015" s="549">
        <v>892.8</v>
      </c>
      <c r="P2015" s="549">
        <v>0</v>
      </c>
      <c r="Q2015" s="549">
        <v>0</v>
      </c>
    </row>
    <row r="2016" spans="1:17" x14ac:dyDescent="0.25">
      <c r="A2016" s="549" t="s">
        <v>502</v>
      </c>
      <c r="B2016" s="549" t="s">
        <v>1049</v>
      </c>
      <c r="C2016" s="549" t="s">
        <v>523</v>
      </c>
      <c r="D2016" s="549" t="s">
        <v>1052</v>
      </c>
      <c r="E2016" s="549" t="s">
        <v>977</v>
      </c>
      <c r="F2016" s="549" t="s">
        <v>1212</v>
      </c>
      <c r="G2016" s="549">
        <v>67</v>
      </c>
      <c r="H2016" s="549" t="s">
        <v>523</v>
      </c>
      <c r="I2016" s="549" t="s">
        <v>976</v>
      </c>
      <c r="J2016" s="549" t="s">
        <v>976</v>
      </c>
      <c r="K2016" s="549" t="s">
        <v>976</v>
      </c>
      <c r="L2016" s="549">
        <v>15928.48</v>
      </c>
      <c r="M2016" s="549">
        <v>1202.5999999999999</v>
      </c>
      <c r="N2016" s="549">
        <v>352.02</v>
      </c>
      <c r="O2016" s="549">
        <v>992</v>
      </c>
      <c r="P2016" s="549">
        <v>0</v>
      </c>
      <c r="Q2016" s="549">
        <v>0</v>
      </c>
    </row>
    <row r="2017" spans="1:17" x14ac:dyDescent="0.25">
      <c r="A2017" s="549" t="s">
        <v>502</v>
      </c>
      <c r="B2017" s="549" t="s">
        <v>1049</v>
      </c>
      <c r="C2017" s="549" t="s">
        <v>523</v>
      </c>
      <c r="D2017" s="549" t="s">
        <v>1052</v>
      </c>
      <c r="E2017" s="549" t="s">
        <v>977</v>
      </c>
      <c r="F2017" s="549" t="s">
        <v>1212</v>
      </c>
      <c r="G2017" s="549">
        <v>72</v>
      </c>
      <c r="H2017" s="549" t="s">
        <v>523</v>
      </c>
      <c r="I2017" s="549" t="s">
        <v>976</v>
      </c>
      <c r="J2017" s="549" t="s">
        <v>976</v>
      </c>
      <c r="K2017" s="549" t="s">
        <v>976</v>
      </c>
      <c r="L2017" s="549">
        <v>504629.39</v>
      </c>
      <c r="M2017" s="549">
        <v>38099.519999999997</v>
      </c>
      <c r="N2017" s="549">
        <v>11152.31</v>
      </c>
      <c r="O2017" s="549">
        <v>3968</v>
      </c>
      <c r="P2017" s="549">
        <v>0</v>
      </c>
      <c r="Q2017" s="549">
        <v>0</v>
      </c>
    </row>
    <row r="2018" spans="1:17" x14ac:dyDescent="0.25">
      <c r="A2018" s="549" t="s">
        <v>502</v>
      </c>
      <c r="B2018" s="549" t="s">
        <v>1049</v>
      </c>
      <c r="C2018" s="549" t="s">
        <v>523</v>
      </c>
      <c r="D2018" s="549" t="s">
        <v>1052</v>
      </c>
      <c r="E2018" s="549" t="s">
        <v>977</v>
      </c>
      <c r="F2018" s="549" t="s">
        <v>1212</v>
      </c>
      <c r="G2018" s="549">
        <v>77</v>
      </c>
      <c r="H2018" s="549" t="s">
        <v>523</v>
      </c>
      <c r="I2018" s="549" t="s">
        <v>976</v>
      </c>
      <c r="J2018" s="549" t="s">
        <v>976</v>
      </c>
      <c r="K2018" s="549" t="s">
        <v>976</v>
      </c>
      <c r="L2018" s="549">
        <v>15928.48</v>
      </c>
      <c r="M2018" s="549">
        <v>1202.5999999999999</v>
      </c>
      <c r="N2018" s="549">
        <v>352.02</v>
      </c>
      <c r="O2018" s="549">
        <v>992</v>
      </c>
      <c r="P2018" s="549">
        <v>0</v>
      </c>
      <c r="Q2018" s="549">
        <v>0</v>
      </c>
    </row>
    <row r="2019" spans="1:17" x14ac:dyDescent="0.25">
      <c r="A2019" s="549" t="s">
        <v>502</v>
      </c>
      <c r="B2019" s="549" t="s">
        <v>1049</v>
      </c>
      <c r="C2019" s="549" t="s">
        <v>523</v>
      </c>
      <c r="D2019" s="549" t="s">
        <v>1052</v>
      </c>
      <c r="E2019" s="549" t="s">
        <v>977</v>
      </c>
      <c r="F2019" s="549" t="s">
        <v>1212</v>
      </c>
      <c r="G2019" s="549">
        <v>87</v>
      </c>
      <c r="H2019" s="549" t="s">
        <v>523</v>
      </c>
      <c r="I2019" s="549" t="s">
        <v>976</v>
      </c>
      <c r="J2019" s="549" t="s">
        <v>976</v>
      </c>
      <c r="K2019" s="549" t="s">
        <v>976</v>
      </c>
      <c r="L2019" s="549">
        <v>15928.48</v>
      </c>
      <c r="M2019" s="549">
        <v>1202.5999999999999</v>
      </c>
      <c r="N2019" s="549">
        <v>352.02</v>
      </c>
      <c r="O2019" s="549">
        <v>992</v>
      </c>
      <c r="P2019" s="549">
        <v>0</v>
      </c>
      <c r="Q2019" s="549">
        <v>0</v>
      </c>
    </row>
    <row r="2020" spans="1:17" x14ac:dyDescent="0.25">
      <c r="A2020" s="549" t="s">
        <v>502</v>
      </c>
      <c r="B2020" s="549" t="s">
        <v>1049</v>
      </c>
      <c r="C2020" s="549" t="s">
        <v>523</v>
      </c>
      <c r="D2020" s="549" t="s">
        <v>1052</v>
      </c>
      <c r="E2020" s="549" t="s">
        <v>977</v>
      </c>
      <c r="F2020" s="549" t="s">
        <v>1212</v>
      </c>
      <c r="G2020" s="549">
        <v>92</v>
      </c>
      <c r="H2020" s="549" t="s">
        <v>523</v>
      </c>
      <c r="I2020" s="549" t="s">
        <v>976</v>
      </c>
      <c r="J2020" s="549" t="s">
        <v>976</v>
      </c>
      <c r="K2020" s="549" t="s">
        <v>976</v>
      </c>
      <c r="L2020" s="549">
        <v>504629.39</v>
      </c>
      <c r="M2020" s="549">
        <v>38099.519999999997</v>
      </c>
      <c r="N2020" s="549">
        <v>11152.31</v>
      </c>
      <c r="O2020" s="549">
        <v>3968</v>
      </c>
      <c r="P2020" s="549">
        <v>0</v>
      </c>
      <c r="Q2020" s="549">
        <v>0</v>
      </c>
    </row>
    <row r="2021" spans="1:17" x14ac:dyDescent="0.25">
      <c r="A2021" s="549" t="s">
        <v>502</v>
      </c>
      <c r="B2021" s="549" t="s">
        <v>1049</v>
      </c>
      <c r="C2021" s="549" t="s">
        <v>523</v>
      </c>
      <c r="D2021" s="549" t="s">
        <v>1052</v>
      </c>
      <c r="E2021" s="549" t="s">
        <v>977</v>
      </c>
      <c r="F2021" s="549" t="s">
        <v>1212</v>
      </c>
      <c r="G2021" s="549">
        <v>97</v>
      </c>
      <c r="H2021" s="549" t="s">
        <v>523</v>
      </c>
      <c r="I2021" s="549" t="s">
        <v>976</v>
      </c>
      <c r="J2021" s="549" t="s">
        <v>976</v>
      </c>
      <c r="K2021" s="549" t="s">
        <v>976</v>
      </c>
      <c r="L2021" s="549">
        <v>15928.48</v>
      </c>
      <c r="M2021" s="549">
        <v>1202.5999999999999</v>
      </c>
      <c r="N2021" s="549">
        <v>352.02</v>
      </c>
      <c r="O2021" s="549">
        <v>992</v>
      </c>
      <c r="P2021" s="549">
        <v>0</v>
      </c>
      <c r="Q2021" s="549">
        <v>0</v>
      </c>
    </row>
    <row r="2022" spans="1:17" x14ac:dyDescent="0.25">
      <c r="A2022" s="549" t="s">
        <v>502</v>
      </c>
      <c r="B2022" s="549" t="s">
        <v>1049</v>
      </c>
      <c r="C2022" s="549" t="s">
        <v>523</v>
      </c>
      <c r="D2022" s="549" t="s">
        <v>1052</v>
      </c>
      <c r="E2022" s="549" t="s">
        <v>977</v>
      </c>
      <c r="F2022" s="549" t="s">
        <v>1212</v>
      </c>
      <c r="G2022" s="549">
        <v>117</v>
      </c>
      <c r="H2022" s="549" t="s">
        <v>523</v>
      </c>
      <c r="I2022" s="549" t="s">
        <v>976</v>
      </c>
      <c r="J2022" s="549" t="s">
        <v>976</v>
      </c>
      <c r="K2022" s="549" t="s">
        <v>976</v>
      </c>
      <c r="L2022" s="549">
        <v>15928.48</v>
      </c>
      <c r="M2022" s="549">
        <v>1202.5999999999999</v>
      </c>
      <c r="N2022" s="549">
        <v>352.02</v>
      </c>
      <c r="O2022" s="549">
        <v>992</v>
      </c>
      <c r="P2022" s="549">
        <v>0</v>
      </c>
      <c r="Q2022" s="549">
        <v>0</v>
      </c>
    </row>
    <row r="2023" spans="1:17" x14ac:dyDescent="0.25">
      <c r="A2023" s="549" t="s">
        <v>502</v>
      </c>
      <c r="B2023" s="549" t="s">
        <v>1049</v>
      </c>
      <c r="C2023" s="549" t="s">
        <v>523</v>
      </c>
      <c r="D2023" s="549" t="s">
        <v>1052</v>
      </c>
      <c r="E2023" s="549" t="s">
        <v>977</v>
      </c>
      <c r="F2023" s="549" t="s">
        <v>1212</v>
      </c>
      <c r="G2023" s="549">
        <v>127</v>
      </c>
      <c r="H2023" s="549" t="s">
        <v>523</v>
      </c>
      <c r="I2023" s="549" t="s">
        <v>976</v>
      </c>
      <c r="J2023" s="549" t="s">
        <v>976</v>
      </c>
      <c r="K2023" s="549" t="s">
        <v>976</v>
      </c>
      <c r="L2023" s="549">
        <v>11696.92</v>
      </c>
      <c r="M2023" s="549">
        <v>883.12</v>
      </c>
      <c r="N2023" s="549">
        <v>258.5</v>
      </c>
      <c r="O2023" s="549">
        <v>992</v>
      </c>
      <c r="P2023" s="549">
        <v>0</v>
      </c>
      <c r="Q2023" s="549">
        <v>0</v>
      </c>
    </row>
    <row r="2024" spans="1:17" x14ac:dyDescent="0.25">
      <c r="A2024" s="549" t="s">
        <v>502</v>
      </c>
      <c r="B2024" s="549" t="s">
        <v>1049</v>
      </c>
      <c r="C2024" s="549" t="s">
        <v>523</v>
      </c>
      <c r="D2024" s="549" t="s">
        <v>1052</v>
      </c>
      <c r="E2024" s="549" t="s">
        <v>977</v>
      </c>
      <c r="F2024" s="549" t="s">
        <v>1212</v>
      </c>
      <c r="G2024" s="549">
        <v>137</v>
      </c>
      <c r="H2024" s="549" t="s">
        <v>523</v>
      </c>
      <c r="I2024" s="549" t="s">
        <v>976</v>
      </c>
      <c r="J2024" s="549" t="s">
        <v>976</v>
      </c>
      <c r="K2024" s="549" t="s">
        <v>976</v>
      </c>
      <c r="L2024" s="549">
        <v>15928.48</v>
      </c>
      <c r="M2024" s="549">
        <v>1202.5999999999999</v>
      </c>
      <c r="N2024" s="549">
        <v>352.02</v>
      </c>
      <c r="O2024" s="549">
        <v>992</v>
      </c>
      <c r="P2024" s="549">
        <v>0</v>
      </c>
      <c r="Q2024" s="549">
        <v>0</v>
      </c>
    </row>
    <row r="2025" spans="1:17" x14ac:dyDescent="0.25">
      <c r="A2025" s="549" t="s">
        <v>502</v>
      </c>
      <c r="B2025" s="549" t="s">
        <v>1049</v>
      </c>
      <c r="C2025" s="549" t="s">
        <v>523</v>
      </c>
      <c r="D2025" s="549" t="s">
        <v>1052</v>
      </c>
      <c r="E2025" s="549" t="s">
        <v>977</v>
      </c>
      <c r="F2025" s="549" t="s">
        <v>1212</v>
      </c>
      <c r="G2025" s="549" t="s">
        <v>1249</v>
      </c>
      <c r="H2025" s="549" t="s">
        <v>523</v>
      </c>
      <c r="I2025" s="549" t="s">
        <v>976</v>
      </c>
      <c r="J2025" s="549" t="s">
        <v>976</v>
      </c>
      <c r="K2025" s="549" t="s">
        <v>976</v>
      </c>
      <c r="L2025" s="549">
        <v>48805.45</v>
      </c>
      <c r="M2025" s="549">
        <v>3684.81</v>
      </c>
      <c r="N2025" s="549">
        <v>1078.5999999999999</v>
      </c>
      <c r="O2025" s="549">
        <v>0</v>
      </c>
      <c r="P2025" s="549">
        <v>0</v>
      </c>
      <c r="Q2025" s="549">
        <v>0</v>
      </c>
    </row>
    <row r="2026" spans="1:17" x14ac:dyDescent="0.25">
      <c r="A2026" s="549" t="s">
        <v>502</v>
      </c>
      <c r="B2026" s="549" t="s">
        <v>1049</v>
      </c>
      <c r="C2026" s="549" t="s">
        <v>523</v>
      </c>
      <c r="D2026" s="549" t="s">
        <v>1052</v>
      </c>
      <c r="E2026" s="549" t="s">
        <v>977</v>
      </c>
      <c r="F2026" s="549" t="s">
        <v>1212</v>
      </c>
      <c r="G2026" s="549" t="s">
        <v>1250</v>
      </c>
      <c r="H2026" s="549" t="s">
        <v>523</v>
      </c>
      <c r="I2026" s="549" t="s">
        <v>976</v>
      </c>
      <c r="J2026" s="549" t="s">
        <v>976</v>
      </c>
      <c r="K2026" s="549" t="s">
        <v>976</v>
      </c>
      <c r="L2026" s="549">
        <v>48805.45</v>
      </c>
      <c r="M2026" s="549">
        <v>3684.81</v>
      </c>
      <c r="N2026" s="549">
        <v>1078.5999999999999</v>
      </c>
      <c r="O2026" s="549">
        <v>0</v>
      </c>
      <c r="P2026" s="549">
        <v>0</v>
      </c>
      <c r="Q2026" s="549">
        <v>0</v>
      </c>
    </row>
    <row r="2027" spans="1:17" x14ac:dyDescent="0.25">
      <c r="A2027" s="549" t="s">
        <v>502</v>
      </c>
      <c r="B2027" s="549" t="s">
        <v>1049</v>
      </c>
      <c r="C2027" s="549" t="s">
        <v>523</v>
      </c>
      <c r="D2027" s="549" t="s">
        <v>1052</v>
      </c>
      <c r="E2027" s="549" t="s">
        <v>977</v>
      </c>
      <c r="F2027" s="549" t="s">
        <v>1212</v>
      </c>
      <c r="G2027" s="549" t="s">
        <v>1215</v>
      </c>
      <c r="H2027" s="549" t="s">
        <v>523</v>
      </c>
      <c r="I2027" s="549" t="s">
        <v>976</v>
      </c>
      <c r="J2027" s="549" t="s">
        <v>976</v>
      </c>
      <c r="K2027" s="549" t="s">
        <v>976</v>
      </c>
      <c r="L2027" s="549">
        <v>48805.45</v>
      </c>
      <c r="M2027" s="549">
        <v>3684.81</v>
      </c>
      <c r="N2027" s="549">
        <v>1078.5999999999999</v>
      </c>
      <c r="O2027" s="549">
        <v>0</v>
      </c>
      <c r="P2027" s="549">
        <v>0</v>
      </c>
      <c r="Q2027" s="549">
        <v>0</v>
      </c>
    </row>
    <row r="2028" spans="1:17" x14ac:dyDescent="0.25">
      <c r="A2028" s="549" t="s">
        <v>502</v>
      </c>
      <c r="B2028" s="549" t="s">
        <v>1049</v>
      </c>
      <c r="C2028" s="549" t="s">
        <v>523</v>
      </c>
      <c r="D2028" s="549" t="s">
        <v>1052</v>
      </c>
      <c r="E2028" s="549" t="s">
        <v>977</v>
      </c>
      <c r="F2028" s="549" t="s">
        <v>1212</v>
      </c>
      <c r="G2028" s="549" t="s">
        <v>1288</v>
      </c>
      <c r="H2028" s="549" t="s">
        <v>523</v>
      </c>
      <c r="I2028" s="549" t="s">
        <v>976</v>
      </c>
      <c r="J2028" s="549" t="s">
        <v>976</v>
      </c>
      <c r="K2028" s="549" t="s">
        <v>976</v>
      </c>
      <c r="L2028" s="549">
        <v>48805.45</v>
      </c>
      <c r="M2028" s="549">
        <v>3684.81</v>
      </c>
      <c r="N2028" s="549">
        <v>1078.5999999999999</v>
      </c>
      <c r="O2028" s="549">
        <v>0</v>
      </c>
      <c r="P2028" s="549">
        <v>0</v>
      </c>
      <c r="Q2028" s="549">
        <v>0</v>
      </c>
    </row>
    <row r="2029" spans="1:17" x14ac:dyDescent="0.25">
      <c r="A2029" s="549" t="s">
        <v>502</v>
      </c>
      <c r="B2029" s="549" t="s">
        <v>1049</v>
      </c>
      <c r="C2029" s="549" t="s">
        <v>524</v>
      </c>
      <c r="D2029" s="549" t="s">
        <v>1055</v>
      </c>
      <c r="E2029" s="549" t="s">
        <v>973</v>
      </c>
      <c r="F2029" s="549" t="s">
        <v>1212</v>
      </c>
      <c r="G2029" s="549">
        <v>42</v>
      </c>
      <c r="H2029" s="549" t="s">
        <v>524</v>
      </c>
      <c r="I2029" s="549" t="s">
        <v>976</v>
      </c>
      <c r="J2029" s="549" t="s">
        <v>976</v>
      </c>
      <c r="K2029" s="549" t="s">
        <v>976</v>
      </c>
      <c r="L2029" s="549">
        <v>157965.97</v>
      </c>
      <c r="M2029" s="549">
        <v>11926.43</v>
      </c>
      <c r="N2029" s="549">
        <v>9067.25</v>
      </c>
      <c r="O2029" s="549">
        <v>892.8</v>
      </c>
      <c r="P2029" s="549">
        <v>99.51</v>
      </c>
      <c r="Q2029" s="549">
        <v>21779.24</v>
      </c>
    </row>
    <row r="2030" spans="1:17" x14ac:dyDescent="0.25">
      <c r="A2030" s="549" t="s">
        <v>502</v>
      </c>
      <c r="B2030" s="549" t="s">
        <v>1049</v>
      </c>
      <c r="C2030" s="549" t="s">
        <v>524</v>
      </c>
      <c r="D2030" s="549" t="s">
        <v>1055</v>
      </c>
      <c r="E2030" s="549" t="s">
        <v>973</v>
      </c>
      <c r="F2030" s="549" t="s">
        <v>1212</v>
      </c>
      <c r="G2030" s="549">
        <v>52</v>
      </c>
      <c r="H2030" s="549" t="s">
        <v>524</v>
      </c>
      <c r="I2030" s="549" t="s">
        <v>976</v>
      </c>
      <c r="J2030" s="549" t="s">
        <v>976</v>
      </c>
      <c r="K2030" s="549" t="s">
        <v>976</v>
      </c>
      <c r="L2030" s="549">
        <v>157965.97</v>
      </c>
      <c r="M2030" s="549">
        <v>11926.43</v>
      </c>
      <c r="N2030" s="549">
        <v>9067.25</v>
      </c>
      <c r="O2030" s="549">
        <v>892.8</v>
      </c>
      <c r="P2030" s="549">
        <v>99.51</v>
      </c>
      <c r="Q2030" s="549">
        <v>21779.24</v>
      </c>
    </row>
    <row r="2031" spans="1:17" x14ac:dyDescent="0.25">
      <c r="A2031" s="549" t="s">
        <v>502</v>
      </c>
      <c r="B2031" s="549" t="s">
        <v>1049</v>
      </c>
      <c r="C2031" s="549" t="s">
        <v>524</v>
      </c>
      <c r="D2031" s="549" t="s">
        <v>1055</v>
      </c>
      <c r="E2031" s="549" t="s">
        <v>973</v>
      </c>
      <c r="F2031" s="549" t="s">
        <v>1212</v>
      </c>
      <c r="G2031" s="549">
        <v>62</v>
      </c>
      <c r="H2031" s="549" t="s">
        <v>524</v>
      </c>
      <c r="I2031" s="549" t="s">
        <v>976</v>
      </c>
      <c r="J2031" s="549" t="s">
        <v>976</v>
      </c>
      <c r="K2031" s="549" t="s">
        <v>976</v>
      </c>
      <c r="L2031" s="549">
        <v>157965.97</v>
      </c>
      <c r="M2031" s="549">
        <v>11926.43</v>
      </c>
      <c r="N2031" s="549">
        <v>9067.25</v>
      </c>
      <c r="O2031" s="549">
        <v>892.8</v>
      </c>
      <c r="P2031" s="549">
        <v>99.51</v>
      </c>
      <c r="Q2031" s="549">
        <v>21779.24</v>
      </c>
    </row>
    <row r="2032" spans="1:17" x14ac:dyDescent="0.25">
      <c r="A2032" s="549" t="s">
        <v>502</v>
      </c>
      <c r="B2032" s="549" t="s">
        <v>1049</v>
      </c>
      <c r="C2032" s="549" t="s">
        <v>524</v>
      </c>
      <c r="D2032" s="549" t="s">
        <v>1055</v>
      </c>
      <c r="E2032" s="549" t="s">
        <v>973</v>
      </c>
      <c r="F2032" s="549" t="s">
        <v>1212</v>
      </c>
      <c r="G2032" s="549">
        <v>72</v>
      </c>
      <c r="H2032" s="549" t="s">
        <v>524</v>
      </c>
      <c r="I2032" s="549" t="s">
        <v>976</v>
      </c>
      <c r="J2032" s="549" t="s">
        <v>976</v>
      </c>
      <c r="K2032" s="549" t="s">
        <v>976</v>
      </c>
      <c r="L2032" s="549">
        <v>157965.97</v>
      </c>
      <c r="M2032" s="549">
        <v>11926.43</v>
      </c>
      <c r="N2032" s="549">
        <v>9067.25</v>
      </c>
      <c r="O2032" s="549">
        <v>892.8</v>
      </c>
      <c r="P2032" s="549">
        <v>99.51</v>
      </c>
      <c r="Q2032" s="549">
        <v>21779.24</v>
      </c>
    </row>
    <row r="2033" spans="1:17" x14ac:dyDescent="0.25">
      <c r="A2033" s="549" t="s">
        <v>502</v>
      </c>
      <c r="B2033" s="549" t="s">
        <v>1049</v>
      </c>
      <c r="C2033" s="549" t="s">
        <v>524</v>
      </c>
      <c r="D2033" s="549" t="s">
        <v>1055</v>
      </c>
      <c r="E2033" s="549" t="s">
        <v>973</v>
      </c>
      <c r="F2033" s="549" t="s">
        <v>1212</v>
      </c>
      <c r="G2033" s="549">
        <v>82</v>
      </c>
      <c r="H2033" s="549" t="s">
        <v>524</v>
      </c>
      <c r="I2033" s="549" t="s">
        <v>976</v>
      </c>
      <c r="J2033" s="549" t="s">
        <v>976</v>
      </c>
      <c r="K2033" s="549" t="s">
        <v>976</v>
      </c>
      <c r="L2033" s="549">
        <v>157965.97</v>
      </c>
      <c r="M2033" s="549">
        <v>11926.43</v>
      </c>
      <c r="N2033" s="549">
        <v>9067.25</v>
      </c>
      <c r="O2033" s="549">
        <v>892.8</v>
      </c>
      <c r="P2033" s="549">
        <v>99.51</v>
      </c>
      <c r="Q2033" s="549">
        <v>21779.24</v>
      </c>
    </row>
    <row r="2034" spans="1:17" x14ac:dyDescent="0.25">
      <c r="A2034" s="549" t="s">
        <v>502</v>
      </c>
      <c r="B2034" s="549" t="s">
        <v>1049</v>
      </c>
      <c r="C2034" s="549" t="s">
        <v>524</v>
      </c>
      <c r="D2034" s="549" t="s">
        <v>1055</v>
      </c>
      <c r="E2034" s="549" t="s">
        <v>973</v>
      </c>
      <c r="F2034" s="549" t="s">
        <v>1212</v>
      </c>
      <c r="G2034" s="549">
        <v>87</v>
      </c>
      <c r="H2034" s="549" t="s">
        <v>524</v>
      </c>
      <c r="I2034" s="549" t="s">
        <v>976</v>
      </c>
      <c r="J2034" s="549" t="s">
        <v>976</v>
      </c>
      <c r="K2034" s="549" t="s">
        <v>976</v>
      </c>
      <c r="L2034" s="549">
        <v>20889.37</v>
      </c>
      <c r="M2034" s="549">
        <v>1577.15</v>
      </c>
      <c r="N2034" s="549">
        <v>1199.05</v>
      </c>
      <c r="O2034" s="549">
        <v>992</v>
      </c>
      <c r="P2034" s="549">
        <v>85.56</v>
      </c>
      <c r="Q2034" s="549">
        <v>3224.07</v>
      </c>
    </row>
    <row r="2035" spans="1:17" x14ac:dyDescent="0.25">
      <c r="A2035" s="549" t="s">
        <v>502</v>
      </c>
      <c r="B2035" s="549" t="s">
        <v>1049</v>
      </c>
      <c r="C2035" s="549" t="s">
        <v>524</v>
      </c>
      <c r="D2035" s="549" t="s">
        <v>1055</v>
      </c>
      <c r="E2035" s="549" t="s">
        <v>973</v>
      </c>
      <c r="F2035" s="549" t="s">
        <v>1212</v>
      </c>
      <c r="G2035" s="549">
        <v>97</v>
      </c>
      <c r="H2035" s="549" t="s">
        <v>524</v>
      </c>
      <c r="I2035" s="549" t="s">
        <v>976</v>
      </c>
      <c r="J2035" s="549" t="s">
        <v>976</v>
      </c>
      <c r="K2035" s="549" t="s">
        <v>976</v>
      </c>
      <c r="L2035" s="549">
        <v>20889.37</v>
      </c>
      <c r="M2035" s="549">
        <v>1577.15</v>
      </c>
      <c r="N2035" s="549">
        <v>1199.05</v>
      </c>
      <c r="O2035" s="549">
        <v>992</v>
      </c>
      <c r="P2035" s="549">
        <v>85.56</v>
      </c>
      <c r="Q2035" s="549">
        <v>3224.07</v>
      </c>
    </row>
    <row r="2036" spans="1:17" x14ac:dyDescent="0.25">
      <c r="A2036" s="549" t="s">
        <v>502</v>
      </c>
      <c r="B2036" s="549" t="s">
        <v>1049</v>
      </c>
      <c r="C2036" s="549" t="s">
        <v>524</v>
      </c>
      <c r="D2036" s="549" t="s">
        <v>1055</v>
      </c>
      <c r="E2036" s="549" t="s">
        <v>973</v>
      </c>
      <c r="F2036" s="549" t="s">
        <v>1212</v>
      </c>
      <c r="G2036" s="549">
        <v>102</v>
      </c>
      <c r="H2036" s="549" t="s">
        <v>524</v>
      </c>
      <c r="I2036" s="549" t="s">
        <v>976</v>
      </c>
      <c r="J2036" s="549" t="s">
        <v>976</v>
      </c>
      <c r="K2036" s="549" t="s">
        <v>976</v>
      </c>
      <c r="L2036" s="549">
        <v>884217.76</v>
      </c>
      <c r="M2036" s="549">
        <v>66758.44</v>
      </c>
      <c r="N2036" s="549">
        <v>50754.1</v>
      </c>
      <c r="O2036" s="549">
        <v>3968</v>
      </c>
      <c r="P2036" s="549">
        <v>85.56</v>
      </c>
      <c r="Q2036" s="549">
        <v>103938.75</v>
      </c>
    </row>
    <row r="2037" spans="1:17" x14ac:dyDescent="0.25">
      <c r="A2037" s="549" t="s">
        <v>502</v>
      </c>
      <c r="B2037" s="549" t="s">
        <v>1049</v>
      </c>
      <c r="C2037" s="549" t="s">
        <v>524</v>
      </c>
      <c r="D2037" s="549" t="s">
        <v>1055</v>
      </c>
      <c r="E2037" s="549" t="s">
        <v>973</v>
      </c>
      <c r="F2037" s="549" t="s">
        <v>1212</v>
      </c>
      <c r="G2037" s="549">
        <v>112</v>
      </c>
      <c r="H2037" s="549" t="s">
        <v>524</v>
      </c>
      <c r="I2037" s="549" t="s">
        <v>976</v>
      </c>
      <c r="J2037" s="549" t="s">
        <v>976</v>
      </c>
      <c r="K2037" s="549" t="s">
        <v>976</v>
      </c>
      <c r="L2037" s="549">
        <v>884217.76</v>
      </c>
      <c r="M2037" s="549">
        <v>66758.44</v>
      </c>
      <c r="N2037" s="549">
        <v>50754.1</v>
      </c>
      <c r="O2037" s="549">
        <v>3968</v>
      </c>
      <c r="P2037" s="549">
        <v>85.56</v>
      </c>
      <c r="Q2037" s="549">
        <v>103938.75</v>
      </c>
    </row>
    <row r="2038" spans="1:17" x14ac:dyDescent="0.25">
      <c r="A2038" s="549" t="s">
        <v>502</v>
      </c>
      <c r="B2038" s="549" t="s">
        <v>1049</v>
      </c>
      <c r="C2038" s="549" t="s">
        <v>524</v>
      </c>
      <c r="D2038" s="549" t="s">
        <v>1055</v>
      </c>
      <c r="E2038" s="549" t="s">
        <v>973</v>
      </c>
      <c r="F2038" s="549" t="s">
        <v>1212</v>
      </c>
      <c r="G2038" s="549">
        <v>117</v>
      </c>
      <c r="H2038" s="549" t="s">
        <v>524</v>
      </c>
      <c r="I2038" s="549" t="s">
        <v>976</v>
      </c>
      <c r="J2038" s="549" t="s">
        <v>976</v>
      </c>
      <c r="K2038" s="549" t="s">
        <v>976</v>
      </c>
      <c r="L2038" s="549">
        <v>83557.47</v>
      </c>
      <c r="M2038" s="549">
        <v>6308.59</v>
      </c>
      <c r="N2038" s="549">
        <v>4796.2</v>
      </c>
      <c r="O2038" s="549">
        <v>992</v>
      </c>
      <c r="P2038" s="549">
        <v>85.56</v>
      </c>
      <c r="Q2038" s="549">
        <v>10350.01</v>
      </c>
    </row>
    <row r="2039" spans="1:17" x14ac:dyDescent="0.25">
      <c r="A2039" s="549" t="s">
        <v>502</v>
      </c>
      <c r="B2039" s="549" t="s">
        <v>1049</v>
      </c>
      <c r="C2039" s="549" t="s">
        <v>524</v>
      </c>
      <c r="D2039" s="549" t="s">
        <v>1055</v>
      </c>
      <c r="E2039" s="549" t="s">
        <v>973</v>
      </c>
      <c r="F2039" s="549" t="s">
        <v>1212</v>
      </c>
      <c r="G2039" s="549">
        <v>122</v>
      </c>
      <c r="H2039" s="549" t="s">
        <v>524</v>
      </c>
      <c r="I2039" s="549" t="s">
        <v>976</v>
      </c>
      <c r="J2039" s="549" t="s">
        <v>976</v>
      </c>
      <c r="K2039" s="549" t="s">
        <v>976</v>
      </c>
      <c r="L2039" s="549">
        <v>157965.97</v>
      </c>
      <c r="M2039" s="549">
        <v>11926.43</v>
      </c>
      <c r="N2039" s="549">
        <v>9067.25</v>
      </c>
      <c r="O2039" s="549">
        <v>892.8</v>
      </c>
      <c r="P2039" s="549">
        <v>99.51</v>
      </c>
      <c r="Q2039" s="549">
        <v>21779.24</v>
      </c>
    </row>
    <row r="2040" spans="1:17" x14ac:dyDescent="0.25">
      <c r="A2040" s="549" t="s">
        <v>502</v>
      </c>
      <c r="B2040" s="549" t="s">
        <v>1049</v>
      </c>
      <c r="C2040" s="549" t="s">
        <v>524</v>
      </c>
      <c r="D2040" s="549" t="s">
        <v>1055</v>
      </c>
      <c r="E2040" s="549" t="s">
        <v>973</v>
      </c>
      <c r="F2040" s="549" t="s">
        <v>1212</v>
      </c>
      <c r="G2040" s="549">
        <v>127</v>
      </c>
      <c r="H2040" s="549" t="s">
        <v>524</v>
      </c>
      <c r="I2040" s="549" t="s">
        <v>976</v>
      </c>
      <c r="J2040" s="549" t="s">
        <v>976</v>
      </c>
      <c r="K2040" s="549" t="s">
        <v>976</v>
      </c>
      <c r="L2040" s="549">
        <v>20889.37</v>
      </c>
      <c r="M2040" s="549">
        <v>1577.15</v>
      </c>
      <c r="N2040" s="549">
        <v>1199.05</v>
      </c>
      <c r="O2040" s="549">
        <v>992</v>
      </c>
      <c r="P2040" s="549">
        <v>85.56</v>
      </c>
      <c r="Q2040" s="549">
        <v>3224.07</v>
      </c>
    </row>
    <row r="2041" spans="1:17" x14ac:dyDescent="0.25">
      <c r="A2041" s="549" t="s">
        <v>502</v>
      </c>
      <c r="B2041" s="549" t="s">
        <v>1049</v>
      </c>
      <c r="C2041" s="549" t="s">
        <v>524</v>
      </c>
      <c r="D2041" s="549" t="s">
        <v>1055</v>
      </c>
      <c r="E2041" s="549" t="s">
        <v>973</v>
      </c>
      <c r="F2041" s="549" t="s">
        <v>1212</v>
      </c>
      <c r="G2041" s="549">
        <v>132</v>
      </c>
      <c r="H2041" s="549" t="s">
        <v>524</v>
      </c>
      <c r="I2041" s="549" t="s">
        <v>976</v>
      </c>
      <c r="J2041" s="549" t="s">
        <v>976</v>
      </c>
      <c r="K2041" s="549" t="s">
        <v>976</v>
      </c>
      <c r="L2041" s="549">
        <v>157965.97</v>
      </c>
      <c r="M2041" s="549">
        <v>11926.43</v>
      </c>
      <c r="N2041" s="549">
        <v>9067.25</v>
      </c>
      <c r="O2041" s="549">
        <v>892.8</v>
      </c>
      <c r="P2041" s="549">
        <v>99.51</v>
      </c>
      <c r="Q2041" s="549">
        <v>21779.24</v>
      </c>
    </row>
    <row r="2042" spans="1:17" x14ac:dyDescent="0.25">
      <c r="A2042" s="549" t="s">
        <v>502</v>
      </c>
      <c r="B2042" s="549" t="s">
        <v>1049</v>
      </c>
      <c r="C2042" s="549" t="s">
        <v>524</v>
      </c>
      <c r="D2042" s="549" t="s">
        <v>1055</v>
      </c>
      <c r="E2042" s="549" t="s">
        <v>973</v>
      </c>
      <c r="F2042" s="549" t="s">
        <v>1212</v>
      </c>
      <c r="G2042" s="549">
        <v>142</v>
      </c>
      <c r="H2042" s="549" t="s">
        <v>524</v>
      </c>
      <c r="I2042" s="549" t="s">
        <v>976</v>
      </c>
      <c r="J2042" s="549" t="s">
        <v>976</v>
      </c>
      <c r="K2042" s="549" t="s">
        <v>976</v>
      </c>
      <c r="L2042" s="549">
        <v>157965.97</v>
      </c>
      <c r="M2042" s="549">
        <v>11926.43</v>
      </c>
      <c r="N2042" s="549">
        <v>9067.25</v>
      </c>
      <c r="O2042" s="549">
        <v>892.8</v>
      </c>
      <c r="P2042" s="549">
        <v>99.51</v>
      </c>
      <c r="Q2042" s="549">
        <v>21779.24</v>
      </c>
    </row>
    <row r="2043" spans="1:17" x14ac:dyDescent="0.25">
      <c r="A2043" s="549" t="s">
        <v>502</v>
      </c>
      <c r="B2043" s="549" t="s">
        <v>1049</v>
      </c>
      <c r="C2043" s="549" t="s">
        <v>524</v>
      </c>
      <c r="D2043" s="549" t="s">
        <v>1055</v>
      </c>
      <c r="E2043" s="549" t="s">
        <v>973</v>
      </c>
      <c r="F2043" s="549" t="s">
        <v>1212</v>
      </c>
      <c r="G2043" s="549">
        <v>152</v>
      </c>
      <c r="H2043" s="549" t="s">
        <v>524</v>
      </c>
      <c r="I2043" s="549" t="s">
        <v>976</v>
      </c>
      <c r="J2043" s="549" t="s">
        <v>976</v>
      </c>
      <c r="K2043" s="549" t="s">
        <v>976</v>
      </c>
      <c r="L2043" s="549">
        <v>157965.97</v>
      </c>
      <c r="M2043" s="549">
        <v>11926.43</v>
      </c>
      <c r="N2043" s="549">
        <v>9067.25</v>
      </c>
      <c r="O2043" s="549">
        <v>892.8</v>
      </c>
      <c r="P2043" s="549">
        <v>99.51</v>
      </c>
      <c r="Q2043" s="549">
        <v>21779.24</v>
      </c>
    </row>
    <row r="2044" spans="1:17" x14ac:dyDescent="0.25">
      <c r="A2044" s="549" t="s">
        <v>502</v>
      </c>
      <c r="B2044" s="549" t="s">
        <v>1049</v>
      </c>
      <c r="C2044" s="549" t="s">
        <v>524</v>
      </c>
      <c r="D2044" s="549" t="s">
        <v>1055</v>
      </c>
      <c r="E2044" s="549" t="s">
        <v>973</v>
      </c>
      <c r="F2044" s="549" t="s">
        <v>1212</v>
      </c>
      <c r="G2044" s="549">
        <v>162</v>
      </c>
      <c r="H2044" s="549" t="s">
        <v>524</v>
      </c>
      <c r="I2044" s="549" t="s">
        <v>976</v>
      </c>
      <c r="J2044" s="549" t="s">
        <v>976</v>
      </c>
      <c r="K2044" s="549" t="s">
        <v>976</v>
      </c>
      <c r="L2044" s="549">
        <v>157965.97</v>
      </c>
      <c r="M2044" s="549">
        <v>11926.43</v>
      </c>
      <c r="N2044" s="549">
        <v>9067.25</v>
      </c>
      <c r="O2044" s="549">
        <v>892.8</v>
      </c>
      <c r="P2044" s="549">
        <v>99.51</v>
      </c>
      <c r="Q2044" s="549">
        <v>21779.24</v>
      </c>
    </row>
    <row r="2045" spans="1:17" x14ac:dyDescent="0.25">
      <c r="A2045" s="549" t="s">
        <v>502</v>
      </c>
      <c r="B2045" s="549" t="s">
        <v>1049</v>
      </c>
      <c r="C2045" s="549" t="s">
        <v>524</v>
      </c>
      <c r="D2045" s="549" t="s">
        <v>1055</v>
      </c>
      <c r="E2045" s="549" t="s">
        <v>973</v>
      </c>
      <c r="F2045" s="549" t="s">
        <v>1212</v>
      </c>
      <c r="G2045" s="549">
        <v>177</v>
      </c>
      <c r="H2045" s="549" t="s">
        <v>524</v>
      </c>
      <c r="I2045" s="549" t="s">
        <v>976</v>
      </c>
      <c r="J2045" s="549" t="s">
        <v>976</v>
      </c>
      <c r="K2045" s="549" t="s">
        <v>976</v>
      </c>
      <c r="L2045" s="549">
        <v>20889.37</v>
      </c>
      <c r="M2045" s="549">
        <v>1577.15</v>
      </c>
      <c r="N2045" s="549">
        <v>1199.05</v>
      </c>
      <c r="O2045" s="549">
        <v>992</v>
      </c>
      <c r="P2045" s="549">
        <v>85.56</v>
      </c>
      <c r="Q2045" s="549">
        <v>3224.07</v>
      </c>
    </row>
    <row r="2046" spans="1:17" x14ac:dyDescent="0.25">
      <c r="A2046" s="549" t="s">
        <v>502</v>
      </c>
      <c r="B2046" s="549" t="s">
        <v>1049</v>
      </c>
      <c r="C2046" s="549" t="s">
        <v>524</v>
      </c>
      <c r="D2046" s="549" t="s">
        <v>1055</v>
      </c>
      <c r="E2046" s="549" t="s">
        <v>973</v>
      </c>
      <c r="F2046" s="549" t="s">
        <v>1212</v>
      </c>
      <c r="G2046" s="549">
        <v>197</v>
      </c>
      <c r="H2046" s="549" t="s">
        <v>524</v>
      </c>
      <c r="I2046" s="549" t="s">
        <v>976</v>
      </c>
      <c r="J2046" s="549" t="s">
        <v>976</v>
      </c>
      <c r="K2046" s="549" t="s">
        <v>976</v>
      </c>
      <c r="L2046" s="549">
        <v>144971.54</v>
      </c>
      <c r="M2046" s="549">
        <v>10945.35</v>
      </c>
      <c r="N2046" s="549">
        <v>8321.3700000000008</v>
      </c>
      <c r="O2046" s="549">
        <v>992</v>
      </c>
      <c r="P2046" s="549">
        <v>85.56</v>
      </c>
      <c r="Q2046" s="549">
        <v>17333.36</v>
      </c>
    </row>
    <row r="2047" spans="1:17" x14ac:dyDescent="0.25">
      <c r="A2047" s="549" t="s">
        <v>502</v>
      </c>
      <c r="B2047" s="549" t="s">
        <v>1049</v>
      </c>
      <c r="C2047" s="549" t="s">
        <v>524</v>
      </c>
      <c r="D2047" s="549" t="s">
        <v>1055</v>
      </c>
      <c r="E2047" s="549" t="s">
        <v>973</v>
      </c>
      <c r="F2047" s="549" t="s">
        <v>1212</v>
      </c>
      <c r="G2047" s="549" t="s">
        <v>1370</v>
      </c>
      <c r="H2047" s="549" t="s">
        <v>524</v>
      </c>
      <c r="I2047" s="549" t="s">
        <v>976</v>
      </c>
      <c r="J2047" s="549" t="s">
        <v>976</v>
      </c>
      <c r="K2047" s="549" t="s">
        <v>976</v>
      </c>
      <c r="L2047" s="549">
        <v>0.02</v>
      </c>
      <c r="M2047" s="549">
        <v>0</v>
      </c>
      <c r="N2047" s="549">
        <v>0</v>
      </c>
      <c r="O2047" s="549">
        <v>1984</v>
      </c>
      <c r="P2047" s="549">
        <v>85.56</v>
      </c>
      <c r="Q2047" s="549">
        <v>1697.51</v>
      </c>
    </row>
    <row r="2048" spans="1:17" x14ac:dyDescent="0.25">
      <c r="A2048" s="549" t="s">
        <v>502</v>
      </c>
      <c r="B2048" s="549" t="s">
        <v>1049</v>
      </c>
      <c r="C2048" s="549" t="s">
        <v>524</v>
      </c>
      <c r="D2048" s="549" t="s">
        <v>1055</v>
      </c>
      <c r="E2048" s="549" t="s">
        <v>973</v>
      </c>
      <c r="F2048" s="549" t="s">
        <v>1212</v>
      </c>
      <c r="G2048" s="549" t="s">
        <v>1371</v>
      </c>
      <c r="H2048" s="549" t="s">
        <v>524</v>
      </c>
      <c r="I2048" s="549" t="s">
        <v>976</v>
      </c>
      <c r="J2048" s="549" t="s">
        <v>976</v>
      </c>
      <c r="K2048" s="549" t="s">
        <v>976</v>
      </c>
      <c r="L2048" s="549">
        <v>0.02</v>
      </c>
      <c r="M2048" s="549">
        <v>0</v>
      </c>
      <c r="N2048" s="549">
        <v>0</v>
      </c>
      <c r="O2048" s="549">
        <v>0</v>
      </c>
      <c r="P2048" s="549">
        <v>85.56</v>
      </c>
      <c r="Q2048" s="549">
        <v>0</v>
      </c>
    </row>
    <row r="2049" spans="1:17" x14ac:dyDescent="0.25">
      <c r="A2049" s="549" t="s">
        <v>502</v>
      </c>
      <c r="B2049" s="549" t="s">
        <v>1049</v>
      </c>
      <c r="C2049" s="549" t="s">
        <v>524</v>
      </c>
      <c r="D2049" s="549" t="s">
        <v>1055</v>
      </c>
      <c r="E2049" s="549" t="s">
        <v>973</v>
      </c>
      <c r="F2049" s="549" t="s">
        <v>1212</v>
      </c>
      <c r="G2049" s="549" t="s">
        <v>1223</v>
      </c>
      <c r="H2049" s="549" t="s">
        <v>524</v>
      </c>
      <c r="I2049" s="549" t="s">
        <v>976</v>
      </c>
      <c r="J2049" s="549" t="s">
        <v>976</v>
      </c>
      <c r="K2049" s="549" t="s">
        <v>976</v>
      </c>
      <c r="L2049" s="549">
        <v>0.02</v>
      </c>
      <c r="M2049" s="549">
        <v>0</v>
      </c>
      <c r="N2049" s="549">
        <v>0</v>
      </c>
      <c r="O2049" s="549">
        <v>0</v>
      </c>
      <c r="P2049" s="549">
        <v>85.56</v>
      </c>
      <c r="Q2049" s="549">
        <v>0</v>
      </c>
    </row>
    <row r="2050" spans="1:17" x14ac:dyDescent="0.25">
      <c r="A2050" s="549" t="s">
        <v>502</v>
      </c>
      <c r="B2050" s="549" t="s">
        <v>1049</v>
      </c>
      <c r="C2050" s="549" t="s">
        <v>524</v>
      </c>
      <c r="D2050" s="549" t="s">
        <v>1055</v>
      </c>
      <c r="E2050" s="549" t="s">
        <v>973</v>
      </c>
      <c r="F2050" s="549" t="s">
        <v>1212</v>
      </c>
      <c r="G2050" s="549">
        <v>42</v>
      </c>
      <c r="H2050" s="549" t="s">
        <v>527</v>
      </c>
      <c r="I2050" s="549" t="s">
        <v>976</v>
      </c>
      <c r="J2050" s="549" t="s">
        <v>976</v>
      </c>
      <c r="K2050" s="549" t="s">
        <v>976</v>
      </c>
      <c r="L2050" s="549">
        <v>1042837.55</v>
      </c>
      <c r="M2050" s="549">
        <v>78734.240000000005</v>
      </c>
      <c r="N2050" s="549">
        <v>59858.879999999997</v>
      </c>
      <c r="O2050" s="549">
        <v>4960</v>
      </c>
      <c r="P2050" s="549">
        <v>85.56</v>
      </c>
      <c r="Q2050" s="549">
        <v>122824.05</v>
      </c>
    </row>
    <row r="2051" spans="1:17" x14ac:dyDescent="0.25">
      <c r="A2051" s="549" t="s">
        <v>502</v>
      </c>
      <c r="B2051" s="549" t="s">
        <v>1049</v>
      </c>
      <c r="C2051" s="549" t="s">
        <v>524</v>
      </c>
      <c r="D2051" s="549" t="s">
        <v>1055</v>
      </c>
      <c r="E2051" s="549" t="s">
        <v>973</v>
      </c>
      <c r="F2051" s="549" t="s">
        <v>1212</v>
      </c>
      <c r="G2051" s="549">
        <v>52</v>
      </c>
      <c r="H2051" s="549" t="s">
        <v>527</v>
      </c>
      <c r="I2051" s="549" t="s">
        <v>976</v>
      </c>
      <c r="J2051" s="549" t="s">
        <v>976</v>
      </c>
      <c r="K2051" s="549" t="s">
        <v>976</v>
      </c>
      <c r="L2051" s="549">
        <v>1042837.55</v>
      </c>
      <c r="M2051" s="549">
        <v>78734.240000000005</v>
      </c>
      <c r="N2051" s="549">
        <v>59858.879999999997</v>
      </c>
      <c r="O2051" s="549">
        <v>4960</v>
      </c>
      <c r="P2051" s="549">
        <v>85.56</v>
      </c>
      <c r="Q2051" s="549">
        <v>122824.05</v>
      </c>
    </row>
    <row r="2052" spans="1:17" x14ac:dyDescent="0.25">
      <c r="A2052" s="549" t="s">
        <v>502</v>
      </c>
      <c r="B2052" s="549" t="s">
        <v>1049</v>
      </c>
      <c r="C2052" s="549" t="s">
        <v>524</v>
      </c>
      <c r="D2052" s="549" t="s">
        <v>1055</v>
      </c>
      <c r="E2052" s="549" t="s">
        <v>973</v>
      </c>
      <c r="F2052" s="549" t="s">
        <v>1212</v>
      </c>
      <c r="G2052" s="549" t="s">
        <v>1249</v>
      </c>
      <c r="H2052" s="549" t="s">
        <v>527</v>
      </c>
      <c r="I2052" s="549" t="s">
        <v>976</v>
      </c>
      <c r="J2052" s="549" t="s">
        <v>976</v>
      </c>
      <c r="K2052" s="549" t="s">
        <v>976</v>
      </c>
      <c r="L2052" s="549">
        <v>0.02</v>
      </c>
      <c r="M2052" s="549">
        <v>0</v>
      </c>
      <c r="N2052" s="549">
        <v>0</v>
      </c>
      <c r="O2052" s="549">
        <v>0</v>
      </c>
      <c r="P2052" s="549">
        <v>85.56</v>
      </c>
      <c r="Q2052" s="549">
        <v>0</v>
      </c>
    </row>
    <row r="2053" spans="1:17" x14ac:dyDescent="0.25">
      <c r="A2053" s="549" t="s">
        <v>502</v>
      </c>
      <c r="B2053" s="549" t="s">
        <v>1049</v>
      </c>
      <c r="C2053" s="549" t="s">
        <v>524</v>
      </c>
      <c r="D2053" s="549" t="s">
        <v>1055</v>
      </c>
      <c r="E2053" s="549" t="s">
        <v>973</v>
      </c>
      <c r="F2053" s="549" t="s">
        <v>1212</v>
      </c>
      <c r="G2053" s="549" t="s">
        <v>1250</v>
      </c>
      <c r="H2053" s="549" t="s">
        <v>527</v>
      </c>
      <c r="I2053" s="549" t="s">
        <v>976</v>
      </c>
      <c r="J2053" s="549" t="s">
        <v>976</v>
      </c>
      <c r="K2053" s="549" t="s">
        <v>976</v>
      </c>
      <c r="L2053" s="549">
        <v>0.02</v>
      </c>
      <c r="M2053" s="549">
        <v>0</v>
      </c>
      <c r="N2053" s="549">
        <v>0</v>
      </c>
      <c r="O2053" s="549">
        <v>0</v>
      </c>
      <c r="P2053" s="549">
        <v>85.56</v>
      </c>
      <c r="Q2053" s="549">
        <v>0</v>
      </c>
    </row>
    <row r="2054" spans="1:17" x14ac:dyDescent="0.25">
      <c r="A2054" s="549" t="s">
        <v>502</v>
      </c>
      <c r="B2054" s="549" t="s">
        <v>1049</v>
      </c>
      <c r="C2054" s="549" t="s">
        <v>524</v>
      </c>
      <c r="D2054" s="549" t="s">
        <v>1055</v>
      </c>
      <c r="E2054" s="549" t="s">
        <v>977</v>
      </c>
      <c r="F2054" s="549" t="s">
        <v>1212</v>
      </c>
      <c r="G2054" s="549">
        <v>42</v>
      </c>
      <c r="H2054" s="549" t="s">
        <v>524</v>
      </c>
      <c r="I2054" s="549" t="s">
        <v>976</v>
      </c>
      <c r="J2054" s="549" t="s">
        <v>976</v>
      </c>
      <c r="K2054" s="549" t="s">
        <v>976</v>
      </c>
      <c r="L2054" s="549">
        <v>157965.97</v>
      </c>
      <c r="M2054" s="549">
        <v>11926.43</v>
      </c>
      <c r="N2054" s="549">
        <v>3491.05</v>
      </c>
      <c r="O2054" s="549">
        <v>892.8</v>
      </c>
      <c r="P2054" s="549">
        <v>0.49</v>
      </c>
      <c r="Q2054" s="549">
        <v>79.92</v>
      </c>
    </row>
    <row r="2055" spans="1:17" x14ac:dyDescent="0.25">
      <c r="A2055" s="549" t="s">
        <v>502</v>
      </c>
      <c r="B2055" s="549" t="s">
        <v>1049</v>
      </c>
      <c r="C2055" s="549" t="s">
        <v>524</v>
      </c>
      <c r="D2055" s="549" t="s">
        <v>1055</v>
      </c>
      <c r="E2055" s="549" t="s">
        <v>977</v>
      </c>
      <c r="F2055" s="549" t="s">
        <v>1212</v>
      </c>
      <c r="G2055" s="549">
        <v>52</v>
      </c>
      <c r="H2055" s="549" t="s">
        <v>524</v>
      </c>
      <c r="I2055" s="549" t="s">
        <v>976</v>
      </c>
      <c r="J2055" s="549" t="s">
        <v>976</v>
      </c>
      <c r="K2055" s="549" t="s">
        <v>976</v>
      </c>
      <c r="L2055" s="549">
        <v>157965.97</v>
      </c>
      <c r="M2055" s="549">
        <v>11926.43</v>
      </c>
      <c r="N2055" s="549">
        <v>3491.05</v>
      </c>
      <c r="O2055" s="549">
        <v>892.8</v>
      </c>
      <c r="P2055" s="549">
        <v>0.49</v>
      </c>
      <c r="Q2055" s="549">
        <v>79.92</v>
      </c>
    </row>
    <row r="2056" spans="1:17" x14ac:dyDescent="0.25">
      <c r="A2056" s="549" t="s">
        <v>502</v>
      </c>
      <c r="B2056" s="549" t="s">
        <v>1049</v>
      </c>
      <c r="C2056" s="549" t="s">
        <v>524</v>
      </c>
      <c r="D2056" s="549" t="s">
        <v>1055</v>
      </c>
      <c r="E2056" s="549" t="s">
        <v>977</v>
      </c>
      <c r="F2056" s="549" t="s">
        <v>1212</v>
      </c>
      <c r="G2056" s="549">
        <v>62</v>
      </c>
      <c r="H2056" s="549" t="s">
        <v>524</v>
      </c>
      <c r="I2056" s="549" t="s">
        <v>976</v>
      </c>
      <c r="J2056" s="549" t="s">
        <v>976</v>
      </c>
      <c r="K2056" s="549" t="s">
        <v>976</v>
      </c>
      <c r="L2056" s="549">
        <v>157965.97</v>
      </c>
      <c r="M2056" s="549">
        <v>11926.43</v>
      </c>
      <c r="N2056" s="549">
        <v>3491.05</v>
      </c>
      <c r="O2056" s="549">
        <v>892.8</v>
      </c>
      <c r="P2056" s="549">
        <v>0.49</v>
      </c>
      <c r="Q2056" s="549">
        <v>79.92</v>
      </c>
    </row>
    <row r="2057" spans="1:17" x14ac:dyDescent="0.25">
      <c r="A2057" s="549" t="s">
        <v>502</v>
      </c>
      <c r="B2057" s="549" t="s">
        <v>1049</v>
      </c>
      <c r="C2057" s="549" t="s">
        <v>524</v>
      </c>
      <c r="D2057" s="549" t="s">
        <v>1055</v>
      </c>
      <c r="E2057" s="549" t="s">
        <v>977</v>
      </c>
      <c r="F2057" s="549" t="s">
        <v>1212</v>
      </c>
      <c r="G2057" s="549">
        <v>72</v>
      </c>
      <c r="H2057" s="549" t="s">
        <v>524</v>
      </c>
      <c r="I2057" s="549" t="s">
        <v>976</v>
      </c>
      <c r="J2057" s="549" t="s">
        <v>976</v>
      </c>
      <c r="K2057" s="549" t="s">
        <v>976</v>
      </c>
      <c r="L2057" s="549">
        <v>157965.97</v>
      </c>
      <c r="M2057" s="549">
        <v>11926.43</v>
      </c>
      <c r="N2057" s="549">
        <v>3491.05</v>
      </c>
      <c r="O2057" s="549">
        <v>892.8</v>
      </c>
      <c r="P2057" s="549">
        <v>0.49</v>
      </c>
      <c r="Q2057" s="549">
        <v>79.92</v>
      </c>
    </row>
    <row r="2058" spans="1:17" x14ac:dyDescent="0.25">
      <c r="A2058" s="549" t="s">
        <v>502</v>
      </c>
      <c r="B2058" s="549" t="s">
        <v>1049</v>
      </c>
      <c r="C2058" s="549" t="s">
        <v>524</v>
      </c>
      <c r="D2058" s="549" t="s">
        <v>1055</v>
      </c>
      <c r="E2058" s="549" t="s">
        <v>977</v>
      </c>
      <c r="F2058" s="549" t="s">
        <v>1212</v>
      </c>
      <c r="G2058" s="549">
        <v>82</v>
      </c>
      <c r="H2058" s="549" t="s">
        <v>524</v>
      </c>
      <c r="I2058" s="549" t="s">
        <v>976</v>
      </c>
      <c r="J2058" s="549" t="s">
        <v>976</v>
      </c>
      <c r="K2058" s="549" t="s">
        <v>976</v>
      </c>
      <c r="L2058" s="549">
        <v>157965.97</v>
      </c>
      <c r="M2058" s="549">
        <v>11926.43</v>
      </c>
      <c r="N2058" s="549">
        <v>3491.05</v>
      </c>
      <c r="O2058" s="549">
        <v>892.8</v>
      </c>
      <c r="P2058" s="549">
        <v>0.49</v>
      </c>
      <c r="Q2058" s="549">
        <v>79.92</v>
      </c>
    </row>
    <row r="2059" spans="1:17" x14ac:dyDescent="0.25">
      <c r="A2059" s="549" t="s">
        <v>502</v>
      </c>
      <c r="B2059" s="549" t="s">
        <v>1049</v>
      </c>
      <c r="C2059" s="549" t="s">
        <v>524</v>
      </c>
      <c r="D2059" s="549" t="s">
        <v>1055</v>
      </c>
      <c r="E2059" s="549" t="s">
        <v>977</v>
      </c>
      <c r="F2059" s="549" t="s">
        <v>1212</v>
      </c>
      <c r="G2059" s="549">
        <v>87</v>
      </c>
      <c r="H2059" s="549" t="s">
        <v>524</v>
      </c>
      <c r="I2059" s="549" t="s">
        <v>976</v>
      </c>
      <c r="J2059" s="549" t="s">
        <v>976</v>
      </c>
      <c r="K2059" s="549" t="s">
        <v>976</v>
      </c>
      <c r="L2059" s="549">
        <v>20889.37</v>
      </c>
      <c r="M2059" s="549">
        <v>1577.15</v>
      </c>
      <c r="N2059" s="549">
        <v>461.66</v>
      </c>
      <c r="O2059" s="549">
        <v>992</v>
      </c>
      <c r="P2059" s="549">
        <v>0.42</v>
      </c>
      <c r="Q2059" s="549">
        <v>12.73</v>
      </c>
    </row>
    <row r="2060" spans="1:17" x14ac:dyDescent="0.25">
      <c r="A2060" s="549" t="s">
        <v>502</v>
      </c>
      <c r="B2060" s="549" t="s">
        <v>1049</v>
      </c>
      <c r="C2060" s="549" t="s">
        <v>524</v>
      </c>
      <c r="D2060" s="549" t="s">
        <v>1055</v>
      </c>
      <c r="E2060" s="549" t="s">
        <v>977</v>
      </c>
      <c r="F2060" s="549" t="s">
        <v>1212</v>
      </c>
      <c r="G2060" s="549">
        <v>97</v>
      </c>
      <c r="H2060" s="549" t="s">
        <v>524</v>
      </c>
      <c r="I2060" s="549" t="s">
        <v>976</v>
      </c>
      <c r="J2060" s="549" t="s">
        <v>976</v>
      </c>
      <c r="K2060" s="549" t="s">
        <v>976</v>
      </c>
      <c r="L2060" s="549">
        <v>20889.37</v>
      </c>
      <c r="M2060" s="549">
        <v>1577.15</v>
      </c>
      <c r="N2060" s="549">
        <v>461.66</v>
      </c>
      <c r="O2060" s="549">
        <v>992</v>
      </c>
      <c r="P2060" s="549">
        <v>0.42</v>
      </c>
      <c r="Q2060" s="549">
        <v>12.73</v>
      </c>
    </row>
    <row r="2061" spans="1:17" x14ac:dyDescent="0.25">
      <c r="A2061" s="549" t="s">
        <v>502</v>
      </c>
      <c r="B2061" s="549" t="s">
        <v>1049</v>
      </c>
      <c r="C2061" s="549" t="s">
        <v>524</v>
      </c>
      <c r="D2061" s="549" t="s">
        <v>1055</v>
      </c>
      <c r="E2061" s="549" t="s">
        <v>977</v>
      </c>
      <c r="F2061" s="549" t="s">
        <v>1212</v>
      </c>
      <c r="G2061" s="549">
        <v>102</v>
      </c>
      <c r="H2061" s="549" t="s">
        <v>524</v>
      </c>
      <c r="I2061" s="549" t="s">
        <v>976</v>
      </c>
      <c r="J2061" s="549" t="s">
        <v>976</v>
      </c>
      <c r="K2061" s="549" t="s">
        <v>976</v>
      </c>
      <c r="L2061" s="549">
        <v>884217.76</v>
      </c>
      <c r="M2061" s="549">
        <v>66758.44</v>
      </c>
      <c r="N2061" s="549">
        <v>19541.21</v>
      </c>
      <c r="O2061" s="549">
        <v>3968</v>
      </c>
      <c r="P2061" s="549">
        <v>0.42</v>
      </c>
      <c r="Q2061" s="549">
        <v>379.12</v>
      </c>
    </row>
    <row r="2062" spans="1:17" x14ac:dyDescent="0.25">
      <c r="A2062" s="549" t="s">
        <v>502</v>
      </c>
      <c r="B2062" s="549" t="s">
        <v>1049</v>
      </c>
      <c r="C2062" s="549" t="s">
        <v>524</v>
      </c>
      <c r="D2062" s="549" t="s">
        <v>1055</v>
      </c>
      <c r="E2062" s="549" t="s">
        <v>977</v>
      </c>
      <c r="F2062" s="549" t="s">
        <v>1212</v>
      </c>
      <c r="G2062" s="549">
        <v>112</v>
      </c>
      <c r="H2062" s="549" t="s">
        <v>524</v>
      </c>
      <c r="I2062" s="549" t="s">
        <v>976</v>
      </c>
      <c r="J2062" s="549" t="s">
        <v>976</v>
      </c>
      <c r="K2062" s="549" t="s">
        <v>976</v>
      </c>
      <c r="L2062" s="549">
        <v>884217.76</v>
      </c>
      <c r="M2062" s="549">
        <v>66758.44</v>
      </c>
      <c r="N2062" s="549">
        <v>19541.21</v>
      </c>
      <c r="O2062" s="549">
        <v>3968</v>
      </c>
      <c r="P2062" s="549">
        <v>0.42</v>
      </c>
      <c r="Q2062" s="549">
        <v>379.12</v>
      </c>
    </row>
    <row r="2063" spans="1:17" x14ac:dyDescent="0.25">
      <c r="A2063" s="549" t="s">
        <v>502</v>
      </c>
      <c r="B2063" s="549" t="s">
        <v>1049</v>
      </c>
      <c r="C2063" s="549" t="s">
        <v>524</v>
      </c>
      <c r="D2063" s="549" t="s">
        <v>1055</v>
      </c>
      <c r="E2063" s="549" t="s">
        <v>977</v>
      </c>
      <c r="F2063" s="549" t="s">
        <v>1212</v>
      </c>
      <c r="G2063" s="549">
        <v>117</v>
      </c>
      <c r="H2063" s="549" t="s">
        <v>524</v>
      </c>
      <c r="I2063" s="549" t="s">
        <v>976</v>
      </c>
      <c r="J2063" s="549" t="s">
        <v>976</v>
      </c>
      <c r="K2063" s="549" t="s">
        <v>976</v>
      </c>
      <c r="L2063" s="549">
        <v>83557.47</v>
      </c>
      <c r="M2063" s="549">
        <v>6308.59</v>
      </c>
      <c r="N2063" s="549">
        <v>1846.62</v>
      </c>
      <c r="O2063" s="549">
        <v>992</v>
      </c>
      <c r="P2063" s="549">
        <v>0.42</v>
      </c>
      <c r="Q2063" s="549">
        <v>38.42</v>
      </c>
    </row>
    <row r="2064" spans="1:17" x14ac:dyDescent="0.25">
      <c r="A2064" s="549" t="s">
        <v>502</v>
      </c>
      <c r="B2064" s="549" t="s">
        <v>1049</v>
      </c>
      <c r="C2064" s="549" t="s">
        <v>524</v>
      </c>
      <c r="D2064" s="549" t="s">
        <v>1055</v>
      </c>
      <c r="E2064" s="549" t="s">
        <v>977</v>
      </c>
      <c r="F2064" s="549" t="s">
        <v>1212</v>
      </c>
      <c r="G2064" s="549">
        <v>122</v>
      </c>
      <c r="H2064" s="549" t="s">
        <v>524</v>
      </c>
      <c r="I2064" s="549" t="s">
        <v>976</v>
      </c>
      <c r="J2064" s="549" t="s">
        <v>976</v>
      </c>
      <c r="K2064" s="549" t="s">
        <v>976</v>
      </c>
      <c r="L2064" s="549">
        <v>157965.97</v>
      </c>
      <c r="M2064" s="549">
        <v>11926.43</v>
      </c>
      <c r="N2064" s="549">
        <v>3491.05</v>
      </c>
      <c r="O2064" s="549">
        <v>892.8</v>
      </c>
      <c r="P2064" s="549">
        <v>0.49</v>
      </c>
      <c r="Q2064" s="549">
        <v>79.92</v>
      </c>
    </row>
    <row r="2065" spans="1:17" x14ac:dyDescent="0.25">
      <c r="A2065" s="549" t="s">
        <v>502</v>
      </c>
      <c r="B2065" s="549" t="s">
        <v>1049</v>
      </c>
      <c r="C2065" s="549" t="s">
        <v>524</v>
      </c>
      <c r="D2065" s="549" t="s">
        <v>1055</v>
      </c>
      <c r="E2065" s="549" t="s">
        <v>977</v>
      </c>
      <c r="F2065" s="549" t="s">
        <v>1212</v>
      </c>
      <c r="G2065" s="549">
        <v>127</v>
      </c>
      <c r="H2065" s="549" t="s">
        <v>524</v>
      </c>
      <c r="I2065" s="549" t="s">
        <v>976</v>
      </c>
      <c r="J2065" s="549" t="s">
        <v>976</v>
      </c>
      <c r="K2065" s="549" t="s">
        <v>976</v>
      </c>
      <c r="L2065" s="549">
        <v>20889.37</v>
      </c>
      <c r="M2065" s="549">
        <v>1577.15</v>
      </c>
      <c r="N2065" s="549">
        <v>461.66</v>
      </c>
      <c r="O2065" s="549">
        <v>992</v>
      </c>
      <c r="P2065" s="549">
        <v>0.42</v>
      </c>
      <c r="Q2065" s="549">
        <v>12.73</v>
      </c>
    </row>
    <row r="2066" spans="1:17" x14ac:dyDescent="0.25">
      <c r="A2066" s="549" t="s">
        <v>502</v>
      </c>
      <c r="B2066" s="549" t="s">
        <v>1049</v>
      </c>
      <c r="C2066" s="549" t="s">
        <v>524</v>
      </c>
      <c r="D2066" s="549" t="s">
        <v>1055</v>
      </c>
      <c r="E2066" s="549" t="s">
        <v>977</v>
      </c>
      <c r="F2066" s="549" t="s">
        <v>1212</v>
      </c>
      <c r="G2066" s="549">
        <v>132</v>
      </c>
      <c r="H2066" s="549" t="s">
        <v>524</v>
      </c>
      <c r="I2066" s="549" t="s">
        <v>976</v>
      </c>
      <c r="J2066" s="549" t="s">
        <v>976</v>
      </c>
      <c r="K2066" s="549" t="s">
        <v>976</v>
      </c>
      <c r="L2066" s="549">
        <v>157965.97</v>
      </c>
      <c r="M2066" s="549">
        <v>11926.43</v>
      </c>
      <c r="N2066" s="549">
        <v>3491.05</v>
      </c>
      <c r="O2066" s="549">
        <v>892.8</v>
      </c>
      <c r="P2066" s="549">
        <v>0.49</v>
      </c>
      <c r="Q2066" s="549">
        <v>79.92</v>
      </c>
    </row>
    <row r="2067" spans="1:17" x14ac:dyDescent="0.25">
      <c r="A2067" s="549" t="s">
        <v>502</v>
      </c>
      <c r="B2067" s="549" t="s">
        <v>1049</v>
      </c>
      <c r="C2067" s="549" t="s">
        <v>524</v>
      </c>
      <c r="D2067" s="549" t="s">
        <v>1055</v>
      </c>
      <c r="E2067" s="549" t="s">
        <v>977</v>
      </c>
      <c r="F2067" s="549" t="s">
        <v>1212</v>
      </c>
      <c r="G2067" s="549">
        <v>142</v>
      </c>
      <c r="H2067" s="549" t="s">
        <v>524</v>
      </c>
      <c r="I2067" s="549" t="s">
        <v>976</v>
      </c>
      <c r="J2067" s="549" t="s">
        <v>976</v>
      </c>
      <c r="K2067" s="549" t="s">
        <v>976</v>
      </c>
      <c r="L2067" s="549">
        <v>157965.97</v>
      </c>
      <c r="M2067" s="549">
        <v>11926.43</v>
      </c>
      <c r="N2067" s="549">
        <v>3491.05</v>
      </c>
      <c r="O2067" s="549">
        <v>892.8</v>
      </c>
      <c r="P2067" s="549">
        <v>0.49</v>
      </c>
      <c r="Q2067" s="549">
        <v>79.92</v>
      </c>
    </row>
    <row r="2068" spans="1:17" x14ac:dyDescent="0.25">
      <c r="A2068" s="549" t="s">
        <v>502</v>
      </c>
      <c r="B2068" s="549" t="s">
        <v>1049</v>
      </c>
      <c r="C2068" s="549" t="s">
        <v>524</v>
      </c>
      <c r="D2068" s="549" t="s">
        <v>1055</v>
      </c>
      <c r="E2068" s="549" t="s">
        <v>977</v>
      </c>
      <c r="F2068" s="549" t="s">
        <v>1212</v>
      </c>
      <c r="G2068" s="549">
        <v>152</v>
      </c>
      <c r="H2068" s="549" t="s">
        <v>524</v>
      </c>
      <c r="I2068" s="549" t="s">
        <v>976</v>
      </c>
      <c r="J2068" s="549" t="s">
        <v>976</v>
      </c>
      <c r="K2068" s="549" t="s">
        <v>976</v>
      </c>
      <c r="L2068" s="549">
        <v>157965.97</v>
      </c>
      <c r="M2068" s="549">
        <v>11926.43</v>
      </c>
      <c r="N2068" s="549">
        <v>3491.05</v>
      </c>
      <c r="O2068" s="549">
        <v>892.8</v>
      </c>
      <c r="P2068" s="549">
        <v>0.49</v>
      </c>
      <c r="Q2068" s="549">
        <v>79.92</v>
      </c>
    </row>
    <row r="2069" spans="1:17" x14ac:dyDescent="0.25">
      <c r="A2069" s="549" t="s">
        <v>502</v>
      </c>
      <c r="B2069" s="549" t="s">
        <v>1049</v>
      </c>
      <c r="C2069" s="549" t="s">
        <v>524</v>
      </c>
      <c r="D2069" s="549" t="s">
        <v>1055</v>
      </c>
      <c r="E2069" s="549" t="s">
        <v>977</v>
      </c>
      <c r="F2069" s="549" t="s">
        <v>1212</v>
      </c>
      <c r="G2069" s="549">
        <v>162</v>
      </c>
      <c r="H2069" s="549" t="s">
        <v>524</v>
      </c>
      <c r="I2069" s="549" t="s">
        <v>976</v>
      </c>
      <c r="J2069" s="549" t="s">
        <v>976</v>
      </c>
      <c r="K2069" s="549" t="s">
        <v>976</v>
      </c>
      <c r="L2069" s="549">
        <v>157965.97</v>
      </c>
      <c r="M2069" s="549">
        <v>11926.43</v>
      </c>
      <c r="N2069" s="549">
        <v>3491.05</v>
      </c>
      <c r="O2069" s="549">
        <v>892.8</v>
      </c>
      <c r="P2069" s="549">
        <v>0.49</v>
      </c>
      <c r="Q2069" s="549">
        <v>79.92</v>
      </c>
    </row>
    <row r="2070" spans="1:17" x14ac:dyDescent="0.25">
      <c r="A2070" s="549" t="s">
        <v>502</v>
      </c>
      <c r="B2070" s="549" t="s">
        <v>1049</v>
      </c>
      <c r="C2070" s="549" t="s">
        <v>524</v>
      </c>
      <c r="D2070" s="549" t="s">
        <v>1055</v>
      </c>
      <c r="E2070" s="549" t="s">
        <v>977</v>
      </c>
      <c r="F2070" s="549" t="s">
        <v>1212</v>
      </c>
      <c r="G2070" s="549">
        <v>177</v>
      </c>
      <c r="H2070" s="549" t="s">
        <v>524</v>
      </c>
      <c r="I2070" s="549" t="s">
        <v>976</v>
      </c>
      <c r="J2070" s="549" t="s">
        <v>976</v>
      </c>
      <c r="K2070" s="549" t="s">
        <v>976</v>
      </c>
      <c r="L2070" s="549">
        <v>20889.37</v>
      </c>
      <c r="M2070" s="549">
        <v>1577.15</v>
      </c>
      <c r="N2070" s="549">
        <v>461.66</v>
      </c>
      <c r="O2070" s="549">
        <v>992</v>
      </c>
      <c r="P2070" s="549">
        <v>0.42</v>
      </c>
      <c r="Q2070" s="549">
        <v>12.73</v>
      </c>
    </row>
    <row r="2071" spans="1:17" x14ac:dyDescent="0.25">
      <c r="A2071" s="549" t="s">
        <v>502</v>
      </c>
      <c r="B2071" s="549" t="s">
        <v>1049</v>
      </c>
      <c r="C2071" s="549" t="s">
        <v>524</v>
      </c>
      <c r="D2071" s="549" t="s">
        <v>1055</v>
      </c>
      <c r="E2071" s="549" t="s">
        <v>977</v>
      </c>
      <c r="F2071" s="549" t="s">
        <v>1212</v>
      </c>
      <c r="G2071" s="549">
        <v>197</v>
      </c>
      <c r="H2071" s="549" t="s">
        <v>524</v>
      </c>
      <c r="I2071" s="549" t="s">
        <v>976</v>
      </c>
      <c r="J2071" s="549" t="s">
        <v>976</v>
      </c>
      <c r="K2071" s="549" t="s">
        <v>976</v>
      </c>
      <c r="L2071" s="549">
        <v>144971.54</v>
      </c>
      <c r="M2071" s="549">
        <v>10945.35</v>
      </c>
      <c r="N2071" s="549">
        <v>3203.87</v>
      </c>
      <c r="O2071" s="549">
        <v>992</v>
      </c>
      <c r="P2071" s="549">
        <v>0.42</v>
      </c>
      <c r="Q2071" s="549">
        <v>63.59</v>
      </c>
    </row>
    <row r="2072" spans="1:17" x14ac:dyDescent="0.25">
      <c r="A2072" s="549" t="s">
        <v>502</v>
      </c>
      <c r="B2072" s="549" t="s">
        <v>1049</v>
      </c>
      <c r="C2072" s="549" t="s">
        <v>524</v>
      </c>
      <c r="D2072" s="549" t="s">
        <v>1055</v>
      </c>
      <c r="E2072" s="549" t="s">
        <v>977</v>
      </c>
      <c r="F2072" s="549" t="s">
        <v>1212</v>
      </c>
      <c r="G2072" s="549" t="s">
        <v>1370</v>
      </c>
      <c r="H2072" s="549" t="s">
        <v>524</v>
      </c>
      <c r="I2072" s="549" t="s">
        <v>976</v>
      </c>
      <c r="J2072" s="549" t="s">
        <v>976</v>
      </c>
      <c r="K2072" s="549" t="s">
        <v>976</v>
      </c>
      <c r="L2072" s="549">
        <v>0.02</v>
      </c>
      <c r="M2072" s="549">
        <v>0</v>
      </c>
      <c r="N2072" s="549">
        <v>0</v>
      </c>
      <c r="O2072" s="549">
        <v>1984</v>
      </c>
      <c r="P2072" s="549">
        <v>0.42</v>
      </c>
      <c r="Q2072" s="549">
        <v>8.33</v>
      </c>
    </row>
    <row r="2073" spans="1:17" x14ac:dyDescent="0.25">
      <c r="A2073" s="549" t="s">
        <v>502</v>
      </c>
      <c r="B2073" s="549" t="s">
        <v>1049</v>
      </c>
      <c r="C2073" s="549" t="s">
        <v>524</v>
      </c>
      <c r="D2073" s="549" t="s">
        <v>1055</v>
      </c>
      <c r="E2073" s="549" t="s">
        <v>977</v>
      </c>
      <c r="F2073" s="549" t="s">
        <v>1212</v>
      </c>
      <c r="G2073" s="549" t="s">
        <v>1371</v>
      </c>
      <c r="H2073" s="549" t="s">
        <v>524</v>
      </c>
      <c r="I2073" s="549" t="s">
        <v>976</v>
      </c>
      <c r="J2073" s="549" t="s">
        <v>976</v>
      </c>
      <c r="K2073" s="549" t="s">
        <v>976</v>
      </c>
      <c r="L2073" s="549">
        <v>0.02</v>
      </c>
      <c r="M2073" s="549">
        <v>0</v>
      </c>
      <c r="N2073" s="549">
        <v>0</v>
      </c>
      <c r="O2073" s="549">
        <v>0</v>
      </c>
      <c r="P2073" s="549">
        <v>0.42</v>
      </c>
      <c r="Q2073" s="549">
        <v>0</v>
      </c>
    </row>
    <row r="2074" spans="1:17" x14ac:dyDescent="0.25">
      <c r="A2074" s="549" t="s">
        <v>502</v>
      </c>
      <c r="B2074" s="549" t="s">
        <v>1049</v>
      </c>
      <c r="C2074" s="549" t="s">
        <v>524</v>
      </c>
      <c r="D2074" s="549" t="s">
        <v>1055</v>
      </c>
      <c r="E2074" s="549" t="s">
        <v>977</v>
      </c>
      <c r="F2074" s="549" t="s">
        <v>1212</v>
      </c>
      <c r="G2074" s="549" t="s">
        <v>1223</v>
      </c>
      <c r="H2074" s="549" t="s">
        <v>524</v>
      </c>
      <c r="I2074" s="549" t="s">
        <v>976</v>
      </c>
      <c r="J2074" s="549" t="s">
        <v>976</v>
      </c>
      <c r="K2074" s="549" t="s">
        <v>976</v>
      </c>
      <c r="L2074" s="549">
        <v>0.02</v>
      </c>
      <c r="M2074" s="549">
        <v>0</v>
      </c>
      <c r="N2074" s="549">
        <v>0</v>
      </c>
      <c r="O2074" s="549">
        <v>0</v>
      </c>
      <c r="P2074" s="549">
        <v>0.42</v>
      </c>
      <c r="Q2074" s="549">
        <v>0</v>
      </c>
    </row>
    <row r="2075" spans="1:17" x14ac:dyDescent="0.25">
      <c r="A2075" s="549" t="s">
        <v>502</v>
      </c>
      <c r="B2075" s="549" t="s">
        <v>1049</v>
      </c>
      <c r="C2075" s="549" t="s">
        <v>524</v>
      </c>
      <c r="D2075" s="549" t="s">
        <v>1055</v>
      </c>
      <c r="E2075" s="549" t="s">
        <v>977</v>
      </c>
      <c r="F2075" s="549" t="s">
        <v>1212</v>
      </c>
      <c r="G2075" s="549">
        <v>42</v>
      </c>
      <c r="H2075" s="549" t="s">
        <v>527</v>
      </c>
      <c r="I2075" s="549" t="s">
        <v>976</v>
      </c>
      <c r="J2075" s="549" t="s">
        <v>976</v>
      </c>
      <c r="K2075" s="549" t="s">
        <v>976</v>
      </c>
      <c r="L2075" s="549">
        <v>1042837.55</v>
      </c>
      <c r="M2075" s="549">
        <v>78734.240000000005</v>
      </c>
      <c r="N2075" s="549">
        <v>23046.71</v>
      </c>
      <c r="O2075" s="549">
        <v>4960</v>
      </c>
      <c r="P2075" s="549">
        <v>0.42</v>
      </c>
      <c r="Q2075" s="549">
        <v>448.31</v>
      </c>
    </row>
    <row r="2076" spans="1:17" x14ac:dyDescent="0.25">
      <c r="A2076" s="549" t="s">
        <v>502</v>
      </c>
      <c r="B2076" s="549" t="s">
        <v>1049</v>
      </c>
      <c r="C2076" s="549" t="s">
        <v>524</v>
      </c>
      <c r="D2076" s="549" t="s">
        <v>1055</v>
      </c>
      <c r="E2076" s="549" t="s">
        <v>977</v>
      </c>
      <c r="F2076" s="549" t="s">
        <v>1212</v>
      </c>
      <c r="G2076" s="549">
        <v>52</v>
      </c>
      <c r="H2076" s="549" t="s">
        <v>527</v>
      </c>
      <c r="I2076" s="549" t="s">
        <v>976</v>
      </c>
      <c r="J2076" s="549" t="s">
        <v>976</v>
      </c>
      <c r="K2076" s="549" t="s">
        <v>976</v>
      </c>
      <c r="L2076" s="549">
        <v>1042837.55</v>
      </c>
      <c r="M2076" s="549">
        <v>78734.240000000005</v>
      </c>
      <c r="N2076" s="549">
        <v>23046.71</v>
      </c>
      <c r="O2076" s="549">
        <v>4960</v>
      </c>
      <c r="P2076" s="549">
        <v>0.42</v>
      </c>
      <c r="Q2076" s="549">
        <v>448.31</v>
      </c>
    </row>
    <row r="2077" spans="1:17" x14ac:dyDescent="0.25">
      <c r="A2077" s="549" t="s">
        <v>502</v>
      </c>
      <c r="B2077" s="549" t="s">
        <v>1049</v>
      </c>
      <c r="C2077" s="549" t="s">
        <v>524</v>
      </c>
      <c r="D2077" s="549" t="s">
        <v>1055</v>
      </c>
      <c r="E2077" s="549" t="s">
        <v>977</v>
      </c>
      <c r="F2077" s="549" t="s">
        <v>1212</v>
      </c>
      <c r="G2077" s="549" t="s">
        <v>1249</v>
      </c>
      <c r="H2077" s="549" t="s">
        <v>527</v>
      </c>
      <c r="I2077" s="549" t="s">
        <v>976</v>
      </c>
      <c r="J2077" s="549" t="s">
        <v>976</v>
      </c>
      <c r="K2077" s="549" t="s">
        <v>976</v>
      </c>
      <c r="L2077" s="549">
        <v>0.02</v>
      </c>
      <c r="M2077" s="549">
        <v>0</v>
      </c>
      <c r="N2077" s="549">
        <v>0</v>
      </c>
      <c r="O2077" s="549">
        <v>0</v>
      </c>
      <c r="P2077" s="549">
        <v>0.42</v>
      </c>
      <c r="Q2077" s="549">
        <v>0</v>
      </c>
    </row>
    <row r="2078" spans="1:17" x14ac:dyDescent="0.25">
      <c r="A2078" s="549" t="s">
        <v>502</v>
      </c>
      <c r="B2078" s="549" t="s">
        <v>1049</v>
      </c>
      <c r="C2078" s="549" t="s">
        <v>524</v>
      </c>
      <c r="D2078" s="549" t="s">
        <v>1055</v>
      </c>
      <c r="E2078" s="549" t="s">
        <v>977</v>
      </c>
      <c r="F2078" s="549" t="s">
        <v>1212</v>
      </c>
      <c r="G2078" s="549" t="s">
        <v>1250</v>
      </c>
      <c r="H2078" s="549" t="s">
        <v>527</v>
      </c>
      <c r="I2078" s="549" t="s">
        <v>976</v>
      </c>
      <c r="J2078" s="549" t="s">
        <v>976</v>
      </c>
      <c r="K2078" s="549" t="s">
        <v>976</v>
      </c>
      <c r="L2078" s="549">
        <v>0.02</v>
      </c>
      <c r="M2078" s="549">
        <v>0</v>
      </c>
      <c r="N2078" s="549">
        <v>0</v>
      </c>
      <c r="O2078" s="549">
        <v>0</v>
      </c>
      <c r="P2078" s="549">
        <v>0.42</v>
      </c>
      <c r="Q2078" s="549">
        <v>0</v>
      </c>
    </row>
    <row r="2079" spans="1:17" x14ac:dyDescent="0.25">
      <c r="A2079" s="549" t="s">
        <v>502</v>
      </c>
      <c r="B2079" s="549" t="s">
        <v>1049</v>
      </c>
      <c r="C2079" s="549" t="s">
        <v>525</v>
      </c>
      <c r="D2079" s="549" t="s">
        <v>1198</v>
      </c>
      <c r="E2079" s="549" t="s">
        <v>973</v>
      </c>
      <c r="F2079" s="549" t="s">
        <v>1212</v>
      </c>
      <c r="G2079" s="549">
        <v>42</v>
      </c>
      <c r="H2079" s="549" t="s">
        <v>525</v>
      </c>
      <c r="I2079" s="549" t="s">
        <v>976</v>
      </c>
      <c r="J2079" s="549" t="s">
        <v>976</v>
      </c>
      <c r="K2079" s="549" t="s">
        <v>976</v>
      </c>
      <c r="L2079" s="549">
        <v>159529.99</v>
      </c>
      <c r="M2079" s="549">
        <v>12044.51</v>
      </c>
      <c r="N2079" s="549">
        <v>9157.02</v>
      </c>
      <c r="O2079" s="549">
        <v>892.8</v>
      </c>
      <c r="P2079" s="549">
        <v>98.38</v>
      </c>
      <c r="Q2079" s="549">
        <v>21736.400000000001</v>
      </c>
    </row>
    <row r="2080" spans="1:17" x14ac:dyDescent="0.25">
      <c r="A2080" s="549" t="s">
        <v>502</v>
      </c>
      <c r="B2080" s="549" t="s">
        <v>1049</v>
      </c>
      <c r="C2080" s="549" t="s">
        <v>525</v>
      </c>
      <c r="D2080" s="549" t="s">
        <v>1198</v>
      </c>
      <c r="E2080" s="549" t="s">
        <v>973</v>
      </c>
      <c r="F2080" s="549" t="s">
        <v>1212</v>
      </c>
      <c r="G2080" s="549">
        <v>52</v>
      </c>
      <c r="H2080" s="549" t="s">
        <v>525</v>
      </c>
      <c r="I2080" s="549" t="s">
        <v>976</v>
      </c>
      <c r="J2080" s="549" t="s">
        <v>976</v>
      </c>
      <c r="K2080" s="549" t="s">
        <v>976</v>
      </c>
      <c r="L2080" s="549">
        <v>159529.99</v>
      </c>
      <c r="M2080" s="549">
        <v>12044.51</v>
      </c>
      <c r="N2080" s="549">
        <v>9157.02</v>
      </c>
      <c r="O2080" s="549">
        <v>892.8</v>
      </c>
      <c r="P2080" s="549">
        <v>98.38</v>
      </c>
      <c r="Q2080" s="549">
        <v>21736.400000000001</v>
      </c>
    </row>
    <row r="2081" spans="1:17" x14ac:dyDescent="0.25">
      <c r="A2081" s="549" t="s">
        <v>502</v>
      </c>
      <c r="B2081" s="549" t="s">
        <v>1049</v>
      </c>
      <c r="C2081" s="549" t="s">
        <v>525</v>
      </c>
      <c r="D2081" s="549" t="s">
        <v>1198</v>
      </c>
      <c r="E2081" s="549" t="s">
        <v>973</v>
      </c>
      <c r="F2081" s="549" t="s">
        <v>1212</v>
      </c>
      <c r="G2081" s="549">
        <v>62</v>
      </c>
      <c r="H2081" s="549" t="s">
        <v>525</v>
      </c>
      <c r="I2081" s="549" t="s">
        <v>976</v>
      </c>
      <c r="J2081" s="549" t="s">
        <v>976</v>
      </c>
      <c r="K2081" s="549" t="s">
        <v>976</v>
      </c>
      <c r="L2081" s="549">
        <v>159529.99</v>
      </c>
      <c r="M2081" s="549">
        <v>12044.51</v>
      </c>
      <c r="N2081" s="549">
        <v>9157.02</v>
      </c>
      <c r="O2081" s="549">
        <v>892.8</v>
      </c>
      <c r="P2081" s="549">
        <v>98.38</v>
      </c>
      <c r="Q2081" s="549">
        <v>21736.400000000001</v>
      </c>
    </row>
    <row r="2082" spans="1:17" x14ac:dyDescent="0.25">
      <c r="A2082" s="549" t="s">
        <v>502</v>
      </c>
      <c r="B2082" s="549" t="s">
        <v>1049</v>
      </c>
      <c r="C2082" s="549" t="s">
        <v>525</v>
      </c>
      <c r="D2082" s="549" t="s">
        <v>1198</v>
      </c>
      <c r="E2082" s="549" t="s">
        <v>973</v>
      </c>
      <c r="F2082" s="549" t="s">
        <v>1212</v>
      </c>
      <c r="G2082" s="549">
        <v>72</v>
      </c>
      <c r="H2082" s="549" t="s">
        <v>525</v>
      </c>
      <c r="I2082" s="549" t="s">
        <v>976</v>
      </c>
      <c r="J2082" s="549" t="s">
        <v>976</v>
      </c>
      <c r="K2082" s="549" t="s">
        <v>976</v>
      </c>
      <c r="L2082" s="549">
        <v>159529.99</v>
      </c>
      <c r="M2082" s="549">
        <v>12044.51</v>
      </c>
      <c r="N2082" s="549">
        <v>9157.02</v>
      </c>
      <c r="O2082" s="549">
        <v>892.8</v>
      </c>
      <c r="P2082" s="549">
        <v>98.38</v>
      </c>
      <c r="Q2082" s="549">
        <v>21736.400000000001</v>
      </c>
    </row>
    <row r="2083" spans="1:17" x14ac:dyDescent="0.25">
      <c r="A2083" s="549" t="s">
        <v>502</v>
      </c>
      <c r="B2083" s="549" t="s">
        <v>1049</v>
      </c>
      <c r="C2083" s="549" t="s">
        <v>525</v>
      </c>
      <c r="D2083" s="549" t="s">
        <v>1198</v>
      </c>
      <c r="E2083" s="549" t="s">
        <v>977</v>
      </c>
      <c r="F2083" s="549" t="s">
        <v>1212</v>
      </c>
      <c r="G2083" s="549">
        <v>42</v>
      </c>
      <c r="H2083" s="549" t="s">
        <v>525</v>
      </c>
      <c r="I2083" s="549" t="s">
        <v>976</v>
      </c>
      <c r="J2083" s="549" t="s">
        <v>976</v>
      </c>
      <c r="K2083" s="549" t="s">
        <v>976</v>
      </c>
      <c r="L2083" s="549">
        <v>159529.99</v>
      </c>
      <c r="M2083" s="549">
        <v>12044.51</v>
      </c>
      <c r="N2083" s="549">
        <v>3525.61</v>
      </c>
      <c r="O2083" s="549">
        <v>892.8</v>
      </c>
      <c r="P2083" s="549">
        <v>1.62</v>
      </c>
      <c r="Q2083" s="549">
        <v>266.7</v>
      </c>
    </row>
    <row r="2084" spans="1:17" x14ac:dyDescent="0.25">
      <c r="A2084" s="549" t="s">
        <v>502</v>
      </c>
      <c r="B2084" s="549" t="s">
        <v>1049</v>
      </c>
      <c r="C2084" s="549" t="s">
        <v>525</v>
      </c>
      <c r="D2084" s="549" t="s">
        <v>1198</v>
      </c>
      <c r="E2084" s="549" t="s">
        <v>977</v>
      </c>
      <c r="F2084" s="549" t="s">
        <v>1212</v>
      </c>
      <c r="G2084" s="549">
        <v>52</v>
      </c>
      <c r="H2084" s="549" t="s">
        <v>525</v>
      </c>
      <c r="I2084" s="549" t="s">
        <v>976</v>
      </c>
      <c r="J2084" s="549" t="s">
        <v>976</v>
      </c>
      <c r="K2084" s="549" t="s">
        <v>976</v>
      </c>
      <c r="L2084" s="549">
        <v>159529.99</v>
      </c>
      <c r="M2084" s="549">
        <v>12044.51</v>
      </c>
      <c r="N2084" s="549">
        <v>3525.61</v>
      </c>
      <c r="O2084" s="549">
        <v>892.8</v>
      </c>
      <c r="P2084" s="549">
        <v>1.62</v>
      </c>
      <c r="Q2084" s="549">
        <v>266.7</v>
      </c>
    </row>
    <row r="2085" spans="1:17" x14ac:dyDescent="0.25">
      <c r="A2085" s="549" t="s">
        <v>502</v>
      </c>
      <c r="B2085" s="549" t="s">
        <v>1049</v>
      </c>
      <c r="C2085" s="549" t="s">
        <v>525</v>
      </c>
      <c r="D2085" s="549" t="s">
        <v>1198</v>
      </c>
      <c r="E2085" s="549" t="s">
        <v>977</v>
      </c>
      <c r="F2085" s="549" t="s">
        <v>1212</v>
      </c>
      <c r="G2085" s="549">
        <v>62</v>
      </c>
      <c r="H2085" s="549" t="s">
        <v>525</v>
      </c>
      <c r="I2085" s="549" t="s">
        <v>976</v>
      </c>
      <c r="J2085" s="549" t="s">
        <v>976</v>
      </c>
      <c r="K2085" s="549" t="s">
        <v>976</v>
      </c>
      <c r="L2085" s="549">
        <v>159529.99</v>
      </c>
      <c r="M2085" s="549">
        <v>12044.51</v>
      </c>
      <c r="N2085" s="549">
        <v>3525.61</v>
      </c>
      <c r="O2085" s="549">
        <v>892.8</v>
      </c>
      <c r="P2085" s="549">
        <v>1.62</v>
      </c>
      <c r="Q2085" s="549">
        <v>266.7</v>
      </c>
    </row>
    <row r="2086" spans="1:17" x14ac:dyDescent="0.25">
      <c r="A2086" s="549" t="s">
        <v>502</v>
      </c>
      <c r="B2086" s="549" t="s">
        <v>1049</v>
      </c>
      <c r="C2086" s="549" t="s">
        <v>525</v>
      </c>
      <c r="D2086" s="549" t="s">
        <v>1198</v>
      </c>
      <c r="E2086" s="549" t="s">
        <v>977</v>
      </c>
      <c r="F2086" s="549" t="s">
        <v>1212</v>
      </c>
      <c r="G2086" s="549">
        <v>72</v>
      </c>
      <c r="H2086" s="549" t="s">
        <v>525</v>
      </c>
      <c r="I2086" s="549" t="s">
        <v>976</v>
      </c>
      <c r="J2086" s="549" t="s">
        <v>976</v>
      </c>
      <c r="K2086" s="549" t="s">
        <v>976</v>
      </c>
      <c r="L2086" s="549">
        <v>159529.99</v>
      </c>
      <c r="M2086" s="549">
        <v>12044.51</v>
      </c>
      <c r="N2086" s="549">
        <v>3525.61</v>
      </c>
      <c r="O2086" s="549">
        <v>892.8</v>
      </c>
      <c r="P2086" s="549">
        <v>1.62</v>
      </c>
      <c r="Q2086" s="549">
        <v>266.7</v>
      </c>
    </row>
    <row r="2087" spans="1:17" x14ac:dyDescent="0.25">
      <c r="A2087" s="549" t="s">
        <v>502</v>
      </c>
      <c r="B2087" s="549" t="s">
        <v>1049</v>
      </c>
      <c r="C2087" s="549" t="s">
        <v>526</v>
      </c>
      <c r="D2087" s="549" t="s">
        <v>1058</v>
      </c>
      <c r="E2087" s="549" t="s">
        <v>973</v>
      </c>
      <c r="F2087" s="549" t="s">
        <v>1212</v>
      </c>
      <c r="G2087" s="549">
        <v>87</v>
      </c>
      <c r="H2087" s="549" t="s">
        <v>524</v>
      </c>
      <c r="I2087" s="549" t="s">
        <v>976</v>
      </c>
      <c r="J2087" s="549" t="s">
        <v>976</v>
      </c>
      <c r="K2087" s="549" t="s">
        <v>976</v>
      </c>
      <c r="L2087" s="549">
        <v>20889.37</v>
      </c>
      <c r="M2087" s="549">
        <v>1577.15</v>
      </c>
      <c r="N2087" s="549">
        <v>1199.05</v>
      </c>
      <c r="O2087" s="549">
        <v>992</v>
      </c>
      <c r="P2087" s="549">
        <v>13.98</v>
      </c>
      <c r="Q2087" s="549">
        <v>526.79</v>
      </c>
    </row>
    <row r="2088" spans="1:17" x14ac:dyDescent="0.25">
      <c r="A2088" s="549" t="s">
        <v>502</v>
      </c>
      <c r="B2088" s="549" t="s">
        <v>1049</v>
      </c>
      <c r="C2088" s="549" t="s">
        <v>526</v>
      </c>
      <c r="D2088" s="549" t="s">
        <v>1058</v>
      </c>
      <c r="E2088" s="549" t="s">
        <v>973</v>
      </c>
      <c r="F2088" s="549" t="s">
        <v>1212</v>
      </c>
      <c r="G2088" s="549">
        <v>92</v>
      </c>
      <c r="H2088" s="549" t="s">
        <v>524</v>
      </c>
      <c r="I2088" s="549" t="s">
        <v>976</v>
      </c>
      <c r="J2088" s="549" t="s">
        <v>976</v>
      </c>
      <c r="K2088" s="549" t="s">
        <v>976</v>
      </c>
      <c r="L2088" s="549">
        <v>884217.76</v>
      </c>
      <c r="M2088" s="549">
        <v>66758.44</v>
      </c>
      <c r="N2088" s="549">
        <v>50754.1</v>
      </c>
      <c r="O2088" s="549">
        <v>3968</v>
      </c>
      <c r="P2088" s="549">
        <v>99.69</v>
      </c>
      <c r="Q2088" s="549">
        <v>121103.95</v>
      </c>
    </row>
    <row r="2089" spans="1:17" x14ac:dyDescent="0.25">
      <c r="A2089" s="549" t="s">
        <v>502</v>
      </c>
      <c r="B2089" s="549" t="s">
        <v>1049</v>
      </c>
      <c r="C2089" s="549" t="s">
        <v>526</v>
      </c>
      <c r="D2089" s="549" t="s">
        <v>1058</v>
      </c>
      <c r="E2089" s="549" t="s">
        <v>973</v>
      </c>
      <c r="F2089" s="549" t="s">
        <v>1212</v>
      </c>
      <c r="G2089" s="549">
        <v>97</v>
      </c>
      <c r="H2089" s="549" t="s">
        <v>524</v>
      </c>
      <c r="I2089" s="549" t="s">
        <v>976</v>
      </c>
      <c r="J2089" s="549" t="s">
        <v>976</v>
      </c>
      <c r="K2089" s="549" t="s">
        <v>976</v>
      </c>
      <c r="L2089" s="549">
        <v>20889.37</v>
      </c>
      <c r="M2089" s="549">
        <v>1577.15</v>
      </c>
      <c r="N2089" s="549">
        <v>1199.05</v>
      </c>
      <c r="O2089" s="549">
        <v>992</v>
      </c>
      <c r="P2089" s="549">
        <v>13.98</v>
      </c>
      <c r="Q2089" s="549">
        <v>526.79</v>
      </c>
    </row>
    <row r="2090" spans="1:17" x14ac:dyDescent="0.25">
      <c r="A2090" s="549" t="s">
        <v>502</v>
      </c>
      <c r="B2090" s="549" t="s">
        <v>1049</v>
      </c>
      <c r="C2090" s="549" t="s">
        <v>526</v>
      </c>
      <c r="D2090" s="549" t="s">
        <v>1058</v>
      </c>
      <c r="E2090" s="549" t="s">
        <v>973</v>
      </c>
      <c r="F2090" s="549" t="s">
        <v>1212</v>
      </c>
      <c r="G2090" s="549">
        <v>102</v>
      </c>
      <c r="H2090" s="549" t="s">
        <v>524</v>
      </c>
      <c r="I2090" s="549" t="s">
        <v>976</v>
      </c>
      <c r="J2090" s="549" t="s">
        <v>976</v>
      </c>
      <c r="K2090" s="549" t="s">
        <v>976</v>
      </c>
      <c r="L2090" s="549">
        <v>884217.76</v>
      </c>
      <c r="M2090" s="549">
        <v>66758.44</v>
      </c>
      <c r="N2090" s="549">
        <v>50754.1</v>
      </c>
      <c r="O2090" s="549">
        <v>3968</v>
      </c>
      <c r="P2090" s="549">
        <v>13.98</v>
      </c>
      <c r="Q2090" s="549">
        <v>16982.98</v>
      </c>
    </row>
    <row r="2091" spans="1:17" x14ac:dyDescent="0.25">
      <c r="A2091" s="549" t="s">
        <v>502</v>
      </c>
      <c r="B2091" s="549" t="s">
        <v>1049</v>
      </c>
      <c r="C2091" s="549" t="s">
        <v>526</v>
      </c>
      <c r="D2091" s="549" t="s">
        <v>1058</v>
      </c>
      <c r="E2091" s="549" t="s">
        <v>973</v>
      </c>
      <c r="F2091" s="549" t="s">
        <v>1212</v>
      </c>
      <c r="G2091" s="549">
        <v>112</v>
      </c>
      <c r="H2091" s="549" t="s">
        <v>524</v>
      </c>
      <c r="I2091" s="549" t="s">
        <v>976</v>
      </c>
      <c r="J2091" s="549" t="s">
        <v>976</v>
      </c>
      <c r="K2091" s="549" t="s">
        <v>976</v>
      </c>
      <c r="L2091" s="549">
        <v>884217.76</v>
      </c>
      <c r="M2091" s="549">
        <v>66758.44</v>
      </c>
      <c r="N2091" s="549">
        <v>50754.1</v>
      </c>
      <c r="O2091" s="549">
        <v>3968</v>
      </c>
      <c r="P2091" s="549">
        <v>13.98</v>
      </c>
      <c r="Q2091" s="549">
        <v>16982.98</v>
      </c>
    </row>
    <row r="2092" spans="1:17" x14ac:dyDescent="0.25">
      <c r="A2092" s="549" t="s">
        <v>502</v>
      </c>
      <c r="B2092" s="549" t="s">
        <v>1049</v>
      </c>
      <c r="C2092" s="549" t="s">
        <v>526</v>
      </c>
      <c r="D2092" s="549" t="s">
        <v>1058</v>
      </c>
      <c r="E2092" s="549" t="s">
        <v>973</v>
      </c>
      <c r="F2092" s="549" t="s">
        <v>1212</v>
      </c>
      <c r="G2092" s="549">
        <v>117</v>
      </c>
      <c r="H2092" s="549" t="s">
        <v>524</v>
      </c>
      <c r="I2092" s="549" t="s">
        <v>976</v>
      </c>
      <c r="J2092" s="549" t="s">
        <v>976</v>
      </c>
      <c r="K2092" s="549" t="s">
        <v>976</v>
      </c>
      <c r="L2092" s="549">
        <v>83557.47</v>
      </c>
      <c r="M2092" s="549">
        <v>6308.59</v>
      </c>
      <c r="N2092" s="549">
        <v>4796.2</v>
      </c>
      <c r="O2092" s="549">
        <v>992</v>
      </c>
      <c r="P2092" s="549">
        <v>13.98</v>
      </c>
      <c r="Q2092" s="549">
        <v>1691.13</v>
      </c>
    </row>
    <row r="2093" spans="1:17" x14ac:dyDescent="0.25">
      <c r="A2093" s="549" t="s">
        <v>502</v>
      </c>
      <c r="B2093" s="549" t="s">
        <v>1049</v>
      </c>
      <c r="C2093" s="549" t="s">
        <v>526</v>
      </c>
      <c r="D2093" s="549" t="s">
        <v>1058</v>
      </c>
      <c r="E2093" s="549" t="s">
        <v>973</v>
      </c>
      <c r="F2093" s="549" t="s">
        <v>1212</v>
      </c>
      <c r="G2093" s="549">
        <v>127</v>
      </c>
      <c r="H2093" s="549" t="s">
        <v>524</v>
      </c>
      <c r="I2093" s="549" t="s">
        <v>976</v>
      </c>
      <c r="J2093" s="549" t="s">
        <v>976</v>
      </c>
      <c r="K2093" s="549" t="s">
        <v>976</v>
      </c>
      <c r="L2093" s="549">
        <v>20889.37</v>
      </c>
      <c r="M2093" s="549">
        <v>1577.15</v>
      </c>
      <c r="N2093" s="549">
        <v>1199.05</v>
      </c>
      <c r="O2093" s="549">
        <v>992</v>
      </c>
      <c r="P2093" s="549">
        <v>13.98</v>
      </c>
      <c r="Q2093" s="549">
        <v>526.79</v>
      </c>
    </row>
    <row r="2094" spans="1:17" x14ac:dyDescent="0.25">
      <c r="A2094" s="549" t="s">
        <v>502</v>
      </c>
      <c r="B2094" s="549" t="s">
        <v>1049</v>
      </c>
      <c r="C2094" s="549" t="s">
        <v>526</v>
      </c>
      <c r="D2094" s="549" t="s">
        <v>1058</v>
      </c>
      <c r="E2094" s="549" t="s">
        <v>973</v>
      </c>
      <c r="F2094" s="549" t="s">
        <v>1212</v>
      </c>
      <c r="G2094" s="549">
        <v>177</v>
      </c>
      <c r="H2094" s="549" t="s">
        <v>524</v>
      </c>
      <c r="I2094" s="549" t="s">
        <v>976</v>
      </c>
      <c r="J2094" s="549" t="s">
        <v>976</v>
      </c>
      <c r="K2094" s="549" t="s">
        <v>976</v>
      </c>
      <c r="L2094" s="549">
        <v>20889.37</v>
      </c>
      <c r="M2094" s="549">
        <v>1577.15</v>
      </c>
      <c r="N2094" s="549">
        <v>1199.05</v>
      </c>
      <c r="O2094" s="549">
        <v>992</v>
      </c>
      <c r="P2094" s="549">
        <v>13.98</v>
      </c>
      <c r="Q2094" s="549">
        <v>526.79</v>
      </c>
    </row>
    <row r="2095" spans="1:17" x14ac:dyDescent="0.25">
      <c r="A2095" s="549" t="s">
        <v>502</v>
      </c>
      <c r="B2095" s="549" t="s">
        <v>1049</v>
      </c>
      <c r="C2095" s="549" t="s">
        <v>526</v>
      </c>
      <c r="D2095" s="549" t="s">
        <v>1058</v>
      </c>
      <c r="E2095" s="549" t="s">
        <v>973</v>
      </c>
      <c r="F2095" s="549" t="s">
        <v>1212</v>
      </c>
      <c r="G2095" s="549">
        <v>197</v>
      </c>
      <c r="H2095" s="549" t="s">
        <v>524</v>
      </c>
      <c r="I2095" s="549" t="s">
        <v>976</v>
      </c>
      <c r="J2095" s="549" t="s">
        <v>976</v>
      </c>
      <c r="K2095" s="549" t="s">
        <v>976</v>
      </c>
      <c r="L2095" s="549">
        <v>144971.54</v>
      </c>
      <c r="M2095" s="549">
        <v>10945.35</v>
      </c>
      <c r="N2095" s="549">
        <v>8321.3700000000008</v>
      </c>
      <c r="O2095" s="549">
        <v>992</v>
      </c>
      <c r="P2095" s="549">
        <v>13.98</v>
      </c>
      <c r="Q2095" s="549">
        <v>2832.17</v>
      </c>
    </row>
    <row r="2096" spans="1:17" x14ac:dyDescent="0.25">
      <c r="A2096" s="549" t="s">
        <v>502</v>
      </c>
      <c r="B2096" s="549" t="s">
        <v>1049</v>
      </c>
      <c r="C2096" s="549" t="s">
        <v>526</v>
      </c>
      <c r="D2096" s="549" t="s">
        <v>1058</v>
      </c>
      <c r="E2096" s="549" t="s">
        <v>973</v>
      </c>
      <c r="F2096" s="549" t="s">
        <v>1212</v>
      </c>
      <c r="G2096" s="549" t="s">
        <v>1370</v>
      </c>
      <c r="H2096" s="549" t="s">
        <v>524</v>
      </c>
      <c r="I2096" s="549" t="s">
        <v>976</v>
      </c>
      <c r="J2096" s="549" t="s">
        <v>976</v>
      </c>
      <c r="K2096" s="549" t="s">
        <v>976</v>
      </c>
      <c r="L2096" s="549">
        <v>0.02</v>
      </c>
      <c r="M2096" s="549">
        <v>0</v>
      </c>
      <c r="N2096" s="549">
        <v>0</v>
      </c>
      <c r="O2096" s="549">
        <v>1984</v>
      </c>
      <c r="P2096" s="549">
        <v>13.98</v>
      </c>
      <c r="Q2096" s="549">
        <v>277.36</v>
      </c>
    </row>
    <row r="2097" spans="1:17" x14ac:dyDescent="0.25">
      <c r="A2097" s="549" t="s">
        <v>502</v>
      </c>
      <c r="B2097" s="549" t="s">
        <v>1049</v>
      </c>
      <c r="C2097" s="549" t="s">
        <v>526</v>
      </c>
      <c r="D2097" s="549" t="s">
        <v>1058</v>
      </c>
      <c r="E2097" s="549" t="s">
        <v>973</v>
      </c>
      <c r="F2097" s="549" t="s">
        <v>1212</v>
      </c>
      <c r="G2097" s="549" t="s">
        <v>1371</v>
      </c>
      <c r="H2097" s="549" t="s">
        <v>524</v>
      </c>
      <c r="I2097" s="549" t="s">
        <v>976</v>
      </c>
      <c r="J2097" s="549" t="s">
        <v>976</v>
      </c>
      <c r="K2097" s="549" t="s">
        <v>976</v>
      </c>
      <c r="L2097" s="549">
        <v>0.02</v>
      </c>
      <c r="M2097" s="549">
        <v>0</v>
      </c>
      <c r="N2097" s="549">
        <v>0</v>
      </c>
      <c r="O2097" s="549">
        <v>0</v>
      </c>
      <c r="P2097" s="549">
        <v>13.98</v>
      </c>
      <c r="Q2097" s="549">
        <v>0</v>
      </c>
    </row>
    <row r="2098" spans="1:17" x14ac:dyDescent="0.25">
      <c r="A2098" s="549" t="s">
        <v>502</v>
      </c>
      <c r="B2098" s="549" t="s">
        <v>1049</v>
      </c>
      <c r="C2098" s="549" t="s">
        <v>526</v>
      </c>
      <c r="D2098" s="549" t="s">
        <v>1058</v>
      </c>
      <c r="E2098" s="549" t="s">
        <v>973</v>
      </c>
      <c r="F2098" s="549" t="s">
        <v>1212</v>
      </c>
      <c r="G2098" s="549" t="s">
        <v>1223</v>
      </c>
      <c r="H2098" s="549" t="s">
        <v>524</v>
      </c>
      <c r="I2098" s="549" t="s">
        <v>976</v>
      </c>
      <c r="J2098" s="549" t="s">
        <v>976</v>
      </c>
      <c r="K2098" s="549" t="s">
        <v>976</v>
      </c>
      <c r="L2098" s="549">
        <v>0.02</v>
      </c>
      <c r="M2098" s="549">
        <v>0</v>
      </c>
      <c r="N2098" s="549">
        <v>0</v>
      </c>
      <c r="O2098" s="549">
        <v>0</v>
      </c>
      <c r="P2098" s="549">
        <v>13.98</v>
      </c>
      <c r="Q2098" s="549">
        <v>0</v>
      </c>
    </row>
    <row r="2099" spans="1:17" x14ac:dyDescent="0.25">
      <c r="A2099" s="549" t="s">
        <v>502</v>
      </c>
      <c r="B2099" s="549" t="s">
        <v>1049</v>
      </c>
      <c r="C2099" s="549" t="s">
        <v>526</v>
      </c>
      <c r="D2099" s="549" t="s">
        <v>1058</v>
      </c>
      <c r="E2099" s="549" t="s">
        <v>973</v>
      </c>
      <c r="F2099" s="549" t="s">
        <v>1212</v>
      </c>
      <c r="G2099" s="549" t="s">
        <v>1372</v>
      </c>
      <c r="H2099" s="549" t="s">
        <v>524</v>
      </c>
      <c r="I2099" s="549" t="s">
        <v>976</v>
      </c>
      <c r="J2099" s="549" t="s">
        <v>976</v>
      </c>
      <c r="K2099" s="549" t="s">
        <v>976</v>
      </c>
      <c r="L2099" s="549">
        <v>0.02</v>
      </c>
      <c r="M2099" s="549">
        <v>0</v>
      </c>
      <c r="N2099" s="549">
        <v>0</v>
      </c>
      <c r="O2099" s="549">
        <v>0</v>
      </c>
      <c r="P2099" s="549">
        <v>99.69</v>
      </c>
      <c r="Q2099" s="549">
        <v>0</v>
      </c>
    </row>
    <row r="2100" spans="1:17" x14ac:dyDescent="0.25">
      <c r="A2100" s="549" t="s">
        <v>502</v>
      </c>
      <c r="B2100" s="549" t="s">
        <v>1049</v>
      </c>
      <c r="C2100" s="549" t="s">
        <v>526</v>
      </c>
      <c r="D2100" s="549" t="s">
        <v>1058</v>
      </c>
      <c r="E2100" s="549" t="s">
        <v>973</v>
      </c>
      <c r="F2100" s="549" t="s">
        <v>1212</v>
      </c>
      <c r="G2100" s="549">
        <v>42</v>
      </c>
      <c r="H2100" s="549" t="s">
        <v>527</v>
      </c>
      <c r="I2100" s="549" t="s">
        <v>976</v>
      </c>
      <c r="J2100" s="549" t="s">
        <v>976</v>
      </c>
      <c r="K2100" s="549" t="s">
        <v>976</v>
      </c>
      <c r="L2100" s="549">
        <v>1042837.55</v>
      </c>
      <c r="M2100" s="549">
        <v>78734.240000000005</v>
      </c>
      <c r="N2100" s="549">
        <v>59858.879999999997</v>
      </c>
      <c r="O2100" s="549">
        <v>4960</v>
      </c>
      <c r="P2100" s="549">
        <v>13.98</v>
      </c>
      <c r="Q2100" s="549">
        <v>20068.73</v>
      </c>
    </row>
    <row r="2101" spans="1:17" x14ac:dyDescent="0.25">
      <c r="A2101" s="549" t="s">
        <v>502</v>
      </c>
      <c r="B2101" s="549" t="s">
        <v>1049</v>
      </c>
      <c r="C2101" s="549" t="s">
        <v>526</v>
      </c>
      <c r="D2101" s="549" t="s">
        <v>1058</v>
      </c>
      <c r="E2101" s="549" t="s">
        <v>973</v>
      </c>
      <c r="F2101" s="549" t="s">
        <v>1212</v>
      </c>
      <c r="G2101" s="549">
        <v>52</v>
      </c>
      <c r="H2101" s="549" t="s">
        <v>527</v>
      </c>
      <c r="I2101" s="549" t="s">
        <v>976</v>
      </c>
      <c r="J2101" s="549" t="s">
        <v>976</v>
      </c>
      <c r="K2101" s="549" t="s">
        <v>976</v>
      </c>
      <c r="L2101" s="549">
        <v>1042837.55</v>
      </c>
      <c r="M2101" s="549">
        <v>78734.240000000005</v>
      </c>
      <c r="N2101" s="549">
        <v>59858.879999999997</v>
      </c>
      <c r="O2101" s="549">
        <v>4960</v>
      </c>
      <c r="P2101" s="549">
        <v>13.98</v>
      </c>
      <c r="Q2101" s="549">
        <v>20068.73</v>
      </c>
    </row>
    <row r="2102" spans="1:17" x14ac:dyDescent="0.25">
      <c r="A2102" s="549" t="s">
        <v>502</v>
      </c>
      <c r="B2102" s="549" t="s">
        <v>1049</v>
      </c>
      <c r="C2102" s="549" t="s">
        <v>526</v>
      </c>
      <c r="D2102" s="549" t="s">
        <v>1058</v>
      </c>
      <c r="E2102" s="549" t="s">
        <v>973</v>
      </c>
      <c r="F2102" s="549" t="s">
        <v>1212</v>
      </c>
      <c r="G2102" s="549" t="s">
        <v>1249</v>
      </c>
      <c r="H2102" s="549" t="s">
        <v>527</v>
      </c>
      <c r="I2102" s="549" t="s">
        <v>976</v>
      </c>
      <c r="J2102" s="549" t="s">
        <v>976</v>
      </c>
      <c r="K2102" s="549" t="s">
        <v>976</v>
      </c>
      <c r="L2102" s="549">
        <v>0.02</v>
      </c>
      <c r="M2102" s="549">
        <v>0</v>
      </c>
      <c r="N2102" s="549">
        <v>0</v>
      </c>
      <c r="O2102" s="549">
        <v>0</v>
      </c>
      <c r="P2102" s="549">
        <v>13.98</v>
      </c>
      <c r="Q2102" s="549">
        <v>0</v>
      </c>
    </row>
    <row r="2103" spans="1:17" x14ac:dyDescent="0.25">
      <c r="A2103" s="549" t="s">
        <v>502</v>
      </c>
      <c r="B2103" s="549" t="s">
        <v>1049</v>
      </c>
      <c r="C2103" s="549" t="s">
        <v>526</v>
      </c>
      <c r="D2103" s="549" t="s">
        <v>1058</v>
      </c>
      <c r="E2103" s="549" t="s">
        <v>973</v>
      </c>
      <c r="F2103" s="549" t="s">
        <v>1212</v>
      </c>
      <c r="G2103" s="549" t="s">
        <v>1250</v>
      </c>
      <c r="H2103" s="549" t="s">
        <v>527</v>
      </c>
      <c r="I2103" s="549" t="s">
        <v>976</v>
      </c>
      <c r="J2103" s="549" t="s">
        <v>976</v>
      </c>
      <c r="K2103" s="549" t="s">
        <v>976</v>
      </c>
      <c r="L2103" s="549">
        <v>0.02</v>
      </c>
      <c r="M2103" s="549">
        <v>0</v>
      </c>
      <c r="N2103" s="549">
        <v>0</v>
      </c>
      <c r="O2103" s="549">
        <v>0</v>
      </c>
      <c r="P2103" s="549">
        <v>13.98</v>
      </c>
      <c r="Q2103" s="549">
        <v>0</v>
      </c>
    </row>
    <row r="2104" spans="1:17" x14ac:dyDescent="0.25">
      <c r="A2104" s="549" t="s">
        <v>502</v>
      </c>
      <c r="B2104" s="549" t="s">
        <v>1049</v>
      </c>
      <c r="C2104" s="549" t="s">
        <v>526</v>
      </c>
      <c r="D2104" s="549" t="s">
        <v>1058</v>
      </c>
      <c r="E2104" s="549" t="s">
        <v>973</v>
      </c>
      <c r="F2104" s="549" t="s">
        <v>1212</v>
      </c>
      <c r="G2104" s="549">
        <v>42</v>
      </c>
      <c r="H2104" s="549" t="s">
        <v>526</v>
      </c>
      <c r="I2104" s="549" t="s">
        <v>976</v>
      </c>
      <c r="J2104" s="549" t="s">
        <v>976</v>
      </c>
      <c r="K2104" s="549" t="s">
        <v>976</v>
      </c>
      <c r="L2104" s="549">
        <v>0.01</v>
      </c>
      <c r="M2104" s="549">
        <v>0</v>
      </c>
      <c r="N2104" s="549">
        <v>0</v>
      </c>
      <c r="O2104" s="549">
        <v>892.8</v>
      </c>
      <c r="P2104" s="549">
        <v>99.69</v>
      </c>
      <c r="Q2104" s="549">
        <v>890.03</v>
      </c>
    </row>
    <row r="2105" spans="1:17" x14ac:dyDescent="0.25">
      <c r="A2105" s="549" t="s">
        <v>502</v>
      </c>
      <c r="B2105" s="549" t="s">
        <v>1049</v>
      </c>
      <c r="C2105" s="549" t="s">
        <v>526</v>
      </c>
      <c r="D2105" s="549" t="s">
        <v>1058</v>
      </c>
      <c r="E2105" s="549" t="s">
        <v>977</v>
      </c>
      <c r="F2105" s="549" t="s">
        <v>1212</v>
      </c>
      <c r="G2105" s="549">
        <v>87</v>
      </c>
      <c r="H2105" s="549" t="s">
        <v>524</v>
      </c>
      <c r="I2105" s="549" t="s">
        <v>976</v>
      </c>
      <c r="J2105" s="549" t="s">
        <v>976</v>
      </c>
      <c r="K2105" s="549" t="s">
        <v>976</v>
      </c>
      <c r="L2105" s="549">
        <v>20889.37</v>
      </c>
      <c r="M2105" s="549">
        <v>1577.15</v>
      </c>
      <c r="N2105" s="549">
        <v>461.66</v>
      </c>
      <c r="O2105" s="549">
        <v>992</v>
      </c>
      <c r="P2105" s="549">
        <v>0.04</v>
      </c>
      <c r="Q2105" s="549">
        <v>1.21</v>
      </c>
    </row>
    <row r="2106" spans="1:17" x14ac:dyDescent="0.25">
      <c r="A2106" s="549" t="s">
        <v>502</v>
      </c>
      <c r="B2106" s="549" t="s">
        <v>1049</v>
      </c>
      <c r="C2106" s="549" t="s">
        <v>526</v>
      </c>
      <c r="D2106" s="549" t="s">
        <v>1058</v>
      </c>
      <c r="E2106" s="549" t="s">
        <v>977</v>
      </c>
      <c r="F2106" s="549" t="s">
        <v>1212</v>
      </c>
      <c r="G2106" s="549">
        <v>92</v>
      </c>
      <c r="H2106" s="549" t="s">
        <v>524</v>
      </c>
      <c r="I2106" s="549" t="s">
        <v>976</v>
      </c>
      <c r="J2106" s="549" t="s">
        <v>976</v>
      </c>
      <c r="K2106" s="549" t="s">
        <v>976</v>
      </c>
      <c r="L2106" s="549">
        <v>884217.76</v>
      </c>
      <c r="M2106" s="549">
        <v>66758.44</v>
      </c>
      <c r="N2106" s="549">
        <v>19541.21</v>
      </c>
      <c r="O2106" s="549">
        <v>3968</v>
      </c>
      <c r="P2106" s="549">
        <v>0.31</v>
      </c>
      <c r="Q2106" s="549">
        <v>279.83</v>
      </c>
    </row>
    <row r="2107" spans="1:17" x14ac:dyDescent="0.25">
      <c r="A2107" s="549" t="s">
        <v>502</v>
      </c>
      <c r="B2107" s="549" t="s">
        <v>1049</v>
      </c>
      <c r="C2107" s="549" t="s">
        <v>526</v>
      </c>
      <c r="D2107" s="549" t="s">
        <v>1058</v>
      </c>
      <c r="E2107" s="549" t="s">
        <v>977</v>
      </c>
      <c r="F2107" s="549" t="s">
        <v>1212</v>
      </c>
      <c r="G2107" s="549">
        <v>97</v>
      </c>
      <c r="H2107" s="549" t="s">
        <v>524</v>
      </c>
      <c r="I2107" s="549" t="s">
        <v>976</v>
      </c>
      <c r="J2107" s="549" t="s">
        <v>976</v>
      </c>
      <c r="K2107" s="549" t="s">
        <v>976</v>
      </c>
      <c r="L2107" s="549">
        <v>20889.37</v>
      </c>
      <c r="M2107" s="549">
        <v>1577.15</v>
      </c>
      <c r="N2107" s="549">
        <v>461.66</v>
      </c>
      <c r="O2107" s="549">
        <v>992</v>
      </c>
      <c r="P2107" s="549">
        <v>0.04</v>
      </c>
      <c r="Q2107" s="549">
        <v>1.21</v>
      </c>
    </row>
    <row r="2108" spans="1:17" x14ac:dyDescent="0.25">
      <c r="A2108" s="549" t="s">
        <v>502</v>
      </c>
      <c r="B2108" s="549" t="s">
        <v>1049</v>
      </c>
      <c r="C2108" s="549" t="s">
        <v>526</v>
      </c>
      <c r="D2108" s="549" t="s">
        <v>1058</v>
      </c>
      <c r="E2108" s="549" t="s">
        <v>977</v>
      </c>
      <c r="F2108" s="549" t="s">
        <v>1212</v>
      </c>
      <c r="G2108" s="549">
        <v>102</v>
      </c>
      <c r="H2108" s="549" t="s">
        <v>524</v>
      </c>
      <c r="I2108" s="549" t="s">
        <v>976</v>
      </c>
      <c r="J2108" s="549" t="s">
        <v>976</v>
      </c>
      <c r="K2108" s="549" t="s">
        <v>976</v>
      </c>
      <c r="L2108" s="549">
        <v>884217.76</v>
      </c>
      <c r="M2108" s="549">
        <v>66758.44</v>
      </c>
      <c r="N2108" s="549">
        <v>19541.21</v>
      </c>
      <c r="O2108" s="549">
        <v>3968</v>
      </c>
      <c r="P2108" s="549">
        <v>0.04</v>
      </c>
      <c r="Q2108" s="549">
        <v>36.11</v>
      </c>
    </row>
    <row r="2109" spans="1:17" x14ac:dyDescent="0.25">
      <c r="A2109" s="549" t="s">
        <v>502</v>
      </c>
      <c r="B2109" s="549" t="s">
        <v>1049</v>
      </c>
      <c r="C2109" s="549" t="s">
        <v>526</v>
      </c>
      <c r="D2109" s="549" t="s">
        <v>1058</v>
      </c>
      <c r="E2109" s="549" t="s">
        <v>977</v>
      </c>
      <c r="F2109" s="549" t="s">
        <v>1212</v>
      </c>
      <c r="G2109" s="549">
        <v>112</v>
      </c>
      <c r="H2109" s="549" t="s">
        <v>524</v>
      </c>
      <c r="I2109" s="549" t="s">
        <v>976</v>
      </c>
      <c r="J2109" s="549" t="s">
        <v>976</v>
      </c>
      <c r="K2109" s="549" t="s">
        <v>976</v>
      </c>
      <c r="L2109" s="549">
        <v>884217.76</v>
      </c>
      <c r="M2109" s="549">
        <v>66758.44</v>
      </c>
      <c r="N2109" s="549">
        <v>19541.21</v>
      </c>
      <c r="O2109" s="549">
        <v>3968</v>
      </c>
      <c r="P2109" s="549">
        <v>0.04</v>
      </c>
      <c r="Q2109" s="549">
        <v>36.11</v>
      </c>
    </row>
    <row r="2110" spans="1:17" x14ac:dyDescent="0.25">
      <c r="A2110" s="549" t="s">
        <v>502</v>
      </c>
      <c r="B2110" s="549" t="s">
        <v>1049</v>
      </c>
      <c r="C2110" s="549" t="s">
        <v>526</v>
      </c>
      <c r="D2110" s="549" t="s">
        <v>1058</v>
      </c>
      <c r="E2110" s="549" t="s">
        <v>977</v>
      </c>
      <c r="F2110" s="549" t="s">
        <v>1212</v>
      </c>
      <c r="G2110" s="549">
        <v>117</v>
      </c>
      <c r="H2110" s="549" t="s">
        <v>524</v>
      </c>
      <c r="I2110" s="549" t="s">
        <v>976</v>
      </c>
      <c r="J2110" s="549" t="s">
        <v>976</v>
      </c>
      <c r="K2110" s="549" t="s">
        <v>976</v>
      </c>
      <c r="L2110" s="549">
        <v>83557.47</v>
      </c>
      <c r="M2110" s="549">
        <v>6308.59</v>
      </c>
      <c r="N2110" s="549">
        <v>1846.62</v>
      </c>
      <c r="O2110" s="549">
        <v>992</v>
      </c>
      <c r="P2110" s="549">
        <v>0.04</v>
      </c>
      <c r="Q2110" s="549">
        <v>3.66</v>
      </c>
    </row>
    <row r="2111" spans="1:17" x14ac:dyDescent="0.25">
      <c r="A2111" s="549" t="s">
        <v>502</v>
      </c>
      <c r="B2111" s="549" t="s">
        <v>1049</v>
      </c>
      <c r="C2111" s="549" t="s">
        <v>526</v>
      </c>
      <c r="D2111" s="549" t="s">
        <v>1058</v>
      </c>
      <c r="E2111" s="549" t="s">
        <v>977</v>
      </c>
      <c r="F2111" s="549" t="s">
        <v>1212</v>
      </c>
      <c r="G2111" s="549">
        <v>127</v>
      </c>
      <c r="H2111" s="549" t="s">
        <v>524</v>
      </c>
      <c r="I2111" s="549" t="s">
        <v>976</v>
      </c>
      <c r="J2111" s="549" t="s">
        <v>976</v>
      </c>
      <c r="K2111" s="549" t="s">
        <v>976</v>
      </c>
      <c r="L2111" s="549">
        <v>20889.37</v>
      </c>
      <c r="M2111" s="549">
        <v>1577.15</v>
      </c>
      <c r="N2111" s="549">
        <v>461.66</v>
      </c>
      <c r="O2111" s="549">
        <v>992</v>
      </c>
      <c r="P2111" s="549">
        <v>0.04</v>
      </c>
      <c r="Q2111" s="549">
        <v>1.21</v>
      </c>
    </row>
    <row r="2112" spans="1:17" x14ac:dyDescent="0.25">
      <c r="A2112" s="549" t="s">
        <v>502</v>
      </c>
      <c r="B2112" s="549" t="s">
        <v>1049</v>
      </c>
      <c r="C2112" s="549" t="s">
        <v>526</v>
      </c>
      <c r="D2112" s="549" t="s">
        <v>1058</v>
      </c>
      <c r="E2112" s="549" t="s">
        <v>977</v>
      </c>
      <c r="F2112" s="549" t="s">
        <v>1212</v>
      </c>
      <c r="G2112" s="549">
        <v>177</v>
      </c>
      <c r="H2112" s="549" t="s">
        <v>524</v>
      </c>
      <c r="I2112" s="549" t="s">
        <v>976</v>
      </c>
      <c r="J2112" s="549" t="s">
        <v>976</v>
      </c>
      <c r="K2112" s="549" t="s">
        <v>976</v>
      </c>
      <c r="L2112" s="549">
        <v>20889.37</v>
      </c>
      <c r="M2112" s="549">
        <v>1577.15</v>
      </c>
      <c r="N2112" s="549">
        <v>461.66</v>
      </c>
      <c r="O2112" s="549">
        <v>992</v>
      </c>
      <c r="P2112" s="549">
        <v>0.04</v>
      </c>
      <c r="Q2112" s="549">
        <v>1.21</v>
      </c>
    </row>
    <row r="2113" spans="1:17" x14ac:dyDescent="0.25">
      <c r="A2113" s="549" t="s">
        <v>502</v>
      </c>
      <c r="B2113" s="549" t="s">
        <v>1049</v>
      </c>
      <c r="C2113" s="549" t="s">
        <v>526</v>
      </c>
      <c r="D2113" s="549" t="s">
        <v>1058</v>
      </c>
      <c r="E2113" s="549" t="s">
        <v>977</v>
      </c>
      <c r="F2113" s="549" t="s">
        <v>1212</v>
      </c>
      <c r="G2113" s="549">
        <v>197</v>
      </c>
      <c r="H2113" s="549" t="s">
        <v>524</v>
      </c>
      <c r="I2113" s="549" t="s">
        <v>976</v>
      </c>
      <c r="J2113" s="549" t="s">
        <v>976</v>
      </c>
      <c r="K2113" s="549" t="s">
        <v>976</v>
      </c>
      <c r="L2113" s="549">
        <v>144971.54</v>
      </c>
      <c r="M2113" s="549">
        <v>10945.35</v>
      </c>
      <c r="N2113" s="549">
        <v>3203.87</v>
      </c>
      <c r="O2113" s="549">
        <v>992</v>
      </c>
      <c r="P2113" s="549">
        <v>0.04</v>
      </c>
      <c r="Q2113" s="549">
        <v>6.06</v>
      </c>
    </row>
    <row r="2114" spans="1:17" x14ac:dyDescent="0.25">
      <c r="A2114" s="549" t="s">
        <v>502</v>
      </c>
      <c r="B2114" s="549" t="s">
        <v>1049</v>
      </c>
      <c r="C2114" s="549" t="s">
        <v>526</v>
      </c>
      <c r="D2114" s="549" t="s">
        <v>1058</v>
      </c>
      <c r="E2114" s="549" t="s">
        <v>977</v>
      </c>
      <c r="F2114" s="549" t="s">
        <v>1212</v>
      </c>
      <c r="G2114" s="549" t="s">
        <v>1370</v>
      </c>
      <c r="H2114" s="549" t="s">
        <v>524</v>
      </c>
      <c r="I2114" s="549" t="s">
        <v>976</v>
      </c>
      <c r="J2114" s="549" t="s">
        <v>976</v>
      </c>
      <c r="K2114" s="549" t="s">
        <v>976</v>
      </c>
      <c r="L2114" s="549">
        <v>0.02</v>
      </c>
      <c r="M2114" s="549">
        <v>0</v>
      </c>
      <c r="N2114" s="549">
        <v>0</v>
      </c>
      <c r="O2114" s="549">
        <v>1984</v>
      </c>
      <c r="P2114" s="549">
        <v>0.04</v>
      </c>
      <c r="Q2114" s="549">
        <v>0.79</v>
      </c>
    </row>
    <row r="2115" spans="1:17" x14ac:dyDescent="0.25">
      <c r="A2115" s="549" t="s">
        <v>502</v>
      </c>
      <c r="B2115" s="549" t="s">
        <v>1049</v>
      </c>
      <c r="C2115" s="549" t="s">
        <v>526</v>
      </c>
      <c r="D2115" s="549" t="s">
        <v>1058</v>
      </c>
      <c r="E2115" s="549" t="s">
        <v>977</v>
      </c>
      <c r="F2115" s="549" t="s">
        <v>1212</v>
      </c>
      <c r="G2115" s="549" t="s">
        <v>1371</v>
      </c>
      <c r="H2115" s="549" t="s">
        <v>524</v>
      </c>
      <c r="I2115" s="549" t="s">
        <v>976</v>
      </c>
      <c r="J2115" s="549" t="s">
        <v>976</v>
      </c>
      <c r="K2115" s="549" t="s">
        <v>976</v>
      </c>
      <c r="L2115" s="549">
        <v>0.02</v>
      </c>
      <c r="M2115" s="549">
        <v>0</v>
      </c>
      <c r="N2115" s="549">
        <v>0</v>
      </c>
      <c r="O2115" s="549">
        <v>0</v>
      </c>
      <c r="P2115" s="549">
        <v>0.04</v>
      </c>
      <c r="Q2115" s="549">
        <v>0</v>
      </c>
    </row>
    <row r="2116" spans="1:17" x14ac:dyDescent="0.25">
      <c r="A2116" s="549" t="s">
        <v>502</v>
      </c>
      <c r="B2116" s="549" t="s">
        <v>1049</v>
      </c>
      <c r="C2116" s="549" t="s">
        <v>526</v>
      </c>
      <c r="D2116" s="549" t="s">
        <v>1058</v>
      </c>
      <c r="E2116" s="549" t="s">
        <v>977</v>
      </c>
      <c r="F2116" s="549" t="s">
        <v>1212</v>
      </c>
      <c r="G2116" s="549" t="s">
        <v>1223</v>
      </c>
      <c r="H2116" s="549" t="s">
        <v>524</v>
      </c>
      <c r="I2116" s="549" t="s">
        <v>976</v>
      </c>
      <c r="J2116" s="549" t="s">
        <v>976</v>
      </c>
      <c r="K2116" s="549" t="s">
        <v>976</v>
      </c>
      <c r="L2116" s="549">
        <v>0.02</v>
      </c>
      <c r="M2116" s="549">
        <v>0</v>
      </c>
      <c r="N2116" s="549">
        <v>0</v>
      </c>
      <c r="O2116" s="549">
        <v>0</v>
      </c>
      <c r="P2116" s="549">
        <v>0.04</v>
      </c>
      <c r="Q2116" s="549">
        <v>0</v>
      </c>
    </row>
    <row r="2117" spans="1:17" x14ac:dyDescent="0.25">
      <c r="A2117" s="549" t="s">
        <v>502</v>
      </c>
      <c r="B2117" s="549" t="s">
        <v>1049</v>
      </c>
      <c r="C2117" s="549" t="s">
        <v>526</v>
      </c>
      <c r="D2117" s="549" t="s">
        <v>1058</v>
      </c>
      <c r="E2117" s="549" t="s">
        <v>977</v>
      </c>
      <c r="F2117" s="549" t="s">
        <v>1212</v>
      </c>
      <c r="G2117" s="549" t="s">
        <v>1372</v>
      </c>
      <c r="H2117" s="549" t="s">
        <v>524</v>
      </c>
      <c r="I2117" s="549" t="s">
        <v>976</v>
      </c>
      <c r="J2117" s="549" t="s">
        <v>976</v>
      </c>
      <c r="K2117" s="549" t="s">
        <v>976</v>
      </c>
      <c r="L2117" s="549">
        <v>0.02</v>
      </c>
      <c r="M2117" s="549">
        <v>0</v>
      </c>
      <c r="N2117" s="549">
        <v>0</v>
      </c>
      <c r="O2117" s="549">
        <v>0</v>
      </c>
      <c r="P2117" s="549">
        <v>0.31</v>
      </c>
      <c r="Q2117" s="549">
        <v>0</v>
      </c>
    </row>
    <row r="2118" spans="1:17" x14ac:dyDescent="0.25">
      <c r="A2118" s="549" t="s">
        <v>502</v>
      </c>
      <c r="B2118" s="549" t="s">
        <v>1049</v>
      </c>
      <c r="C2118" s="549" t="s">
        <v>526</v>
      </c>
      <c r="D2118" s="549" t="s">
        <v>1058</v>
      </c>
      <c r="E2118" s="549" t="s">
        <v>977</v>
      </c>
      <c r="F2118" s="549" t="s">
        <v>1212</v>
      </c>
      <c r="G2118" s="549">
        <v>42</v>
      </c>
      <c r="H2118" s="549" t="s">
        <v>527</v>
      </c>
      <c r="I2118" s="549" t="s">
        <v>976</v>
      </c>
      <c r="J2118" s="549" t="s">
        <v>976</v>
      </c>
      <c r="K2118" s="549" t="s">
        <v>976</v>
      </c>
      <c r="L2118" s="549">
        <v>1042837.55</v>
      </c>
      <c r="M2118" s="549">
        <v>78734.240000000005</v>
      </c>
      <c r="N2118" s="549">
        <v>23046.71</v>
      </c>
      <c r="O2118" s="549">
        <v>4960</v>
      </c>
      <c r="P2118" s="549">
        <v>0.04</v>
      </c>
      <c r="Q2118" s="549">
        <v>42.7</v>
      </c>
    </row>
    <row r="2119" spans="1:17" x14ac:dyDescent="0.25">
      <c r="A2119" s="549" t="s">
        <v>502</v>
      </c>
      <c r="B2119" s="549" t="s">
        <v>1049</v>
      </c>
      <c r="C2119" s="549" t="s">
        <v>526</v>
      </c>
      <c r="D2119" s="549" t="s">
        <v>1058</v>
      </c>
      <c r="E2119" s="549" t="s">
        <v>977</v>
      </c>
      <c r="F2119" s="549" t="s">
        <v>1212</v>
      </c>
      <c r="G2119" s="549">
        <v>52</v>
      </c>
      <c r="H2119" s="549" t="s">
        <v>527</v>
      </c>
      <c r="I2119" s="549" t="s">
        <v>976</v>
      </c>
      <c r="J2119" s="549" t="s">
        <v>976</v>
      </c>
      <c r="K2119" s="549" t="s">
        <v>976</v>
      </c>
      <c r="L2119" s="549">
        <v>1042837.55</v>
      </c>
      <c r="M2119" s="549">
        <v>78734.240000000005</v>
      </c>
      <c r="N2119" s="549">
        <v>23046.71</v>
      </c>
      <c r="O2119" s="549">
        <v>4960</v>
      </c>
      <c r="P2119" s="549">
        <v>0.04</v>
      </c>
      <c r="Q2119" s="549">
        <v>42.7</v>
      </c>
    </row>
    <row r="2120" spans="1:17" x14ac:dyDescent="0.25">
      <c r="A2120" s="549" t="s">
        <v>502</v>
      </c>
      <c r="B2120" s="549" t="s">
        <v>1049</v>
      </c>
      <c r="C2120" s="549" t="s">
        <v>526</v>
      </c>
      <c r="D2120" s="549" t="s">
        <v>1058</v>
      </c>
      <c r="E2120" s="549" t="s">
        <v>977</v>
      </c>
      <c r="F2120" s="549" t="s">
        <v>1212</v>
      </c>
      <c r="G2120" s="549" t="s">
        <v>1249</v>
      </c>
      <c r="H2120" s="549" t="s">
        <v>527</v>
      </c>
      <c r="I2120" s="549" t="s">
        <v>976</v>
      </c>
      <c r="J2120" s="549" t="s">
        <v>976</v>
      </c>
      <c r="K2120" s="549" t="s">
        <v>976</v>
      </c>
      <c r="L2120" s="549">
        <v>0.02</v>
      </c>
      <c r="M2120" s="549">
        <v>0</v>
      </c>
      <c r="N2120" s="549">
        <v>0</v>
      </c>
      <c r="O2120" s="549">
        <v>0</v>
      </c>
      <c r="P2120" s="549">
        <v>0.04</v>
      </c>
      <c r="Q2120" s="549">
        <v>0</v>
      </c>
    </row>
    <row r="2121" spans="1:17" x14ac:dyDescent="0.25">
      <c r="A2121" s="549" t="s">
        <v>502</v>
      </c>
      <c r="B2121" s="549" t="s">
        <v>1049</v>
      </c>
      <c r="C2121" s="549" t="s">
        <v>526</v>
      </c>
      <c r="D2121" s="549" t="s">
        <v>1058</v>
      </c>
      <c r="E2121" s="549" t="s">
        <v>977</v>
      </c>
      <c r="F2121" s="549" t="s">
        <v>1212</v>
      </c>
      <c r="G2121" s="549" t="s">
        <v>1250</v>
      </c>
      <c r="H2121" s="549" t="s">
        <v>527</v>
      </c>
      <c r="I2121" s="549" t="s">
        <v>976</v>
      </c>
      <c r="J2121" s="549" t="s">
        <v>976</v>
      </c>
      <c r="K2121" s="549" t="s">
        <v>976</v>
      </c>
      <c r="L2121" s="549">
        <v>0.02</v>
      </c>
      <c r="M2121" s="549">
        <v>0</v>
      </c>
      <c r="N2121" s="549">
        <v>0</v>
      </c>
      <c r="O2121" s="549">
        <v>0</v>
      </c>
      <c r="P2121" s="549">
        <v>0.04</v>
      </c>
      <c r="Q2121" s="549">
        <v>0</v>
      </c>
    </row>
    <row r="2122" spans="1:17" x14ac:dyDescent="0.25">
      <c r="A2122" s="549" t="s">
        <v>502</v>
      </c>
      <c r="B2122" s="549" t="s">
        <v>1049</v>
      </c>
      <c r="C2122" s="549" t="s">
        <v>526</v>
      </c>
      <c r="D2122" s="549" t="s">
        <v>1058</v>
      </c>
      <c r="E2122" s="549" t="s">
        <v>977</v>
      </c>
      <c r="F2122" s="549" t="s">
        <v>1212</v>
      </c>
      <c r="G2122" s="549">
        <v>42</v>
      </c>
      <c r="H2122" s="549" t="s">
        <v>526</v>
      </c>
      <c r="I2122" s="549" t="s">
        <v>976</v>
      </c>
      <c r="J2122" s="549" t="s">
        <v>976</v>
      </c>
      <c r="K2122" s="549" t="s">
        <v>976</v>
      </c>
      <c r="L2122" s="549">
        <v>0.01</v>
      </c>
      <c r="M2122" s="549">
        <v>0</v>
      </c>
      <c r="N2122" s="549">
        <v>0</v>
      </c>
      <c r="O2122" s="549">
        <v>892.8</v>
      </c>
      <c r="P2122" s="549">
        <v>0.31</v>
      </c>
      <c r="Q2122" s="549">
        <v>2.77</v>
      </c>
    </row>
    <row r="2123" spans="1:17" x14ac:dyDescent="0.25">
      <c r="A2123" s="549" t="s">
        <v>502</v>
      </c>
      <c r="B2123" s="549" t="s">
        <v>1049</v>
      </c>
      <c r="C2123" s="549" t="s">
        <v>527</v>
      </c>
      <c r="D2123" s="549" t="s">
        <v>1197</v>
      </c>
      <c r="E2123" s="549" t="s">
        <v>973</v>
      </c>
      <c r="F2123" s="549" t="s">
        <v>1212</v>
      </c>
      <c r="G2123" s="549">
        <v>142</v>
      </c>
      <c r="H2123" s="549" t="s">
        <v>527</v>
      </c>
      <c r="I2123" s="549" t="s">
        <v>976</v>
      </c>
      <c r="J2123" s="549" t="s">
        <v>976</v>
      </c>
      <c r="K2123" s="549" t="s">
        <v>976</v>
      </c>
      <c r="L2123" s="549">
        <v>316585.76</v>
      </c>
      <c r="M2123" s="549">
        <v>23902.22</v>
      </c>
      <c r="N2123" s="549">
        <v>18172.02</v>
      </c>
      <c r="O2123" s="549">
        <v>1785.6</v>
      </c>
      <c r="P2123" s="549">
        <v>100</v>
      </c>
      <c r="Q2123" s="549">
        <v>43859.839999999997</v>
      </c>
    </row>
    <row r="2124" spans="1:17" x14ac:dyDescent="0.25">
      <c r="A2124" s="549" t="s">
        <v>502</v>
      </c>
      <c r="B2124" s="549" t="s">
        <v>1049</v>
      </c>
      <c r="C2124" s="549" t="s">
        <v>527</v>
      </c>
      <c r="D2124" s="549" t="s">
        <v>1197</v>
      </c>
      <c r="E2124" s="549" t="s">
        <v>973</v>
      </c>
      <c r="F2124" s="549" t="s">
        <v>1212</v>
      </c>
      <c r="G2124" s="549">
        <v>152</v>
      </c>
      <c r="H2124" s="549" t="s">
        <v>527</v>
      </c>
      <c r="I2124" s="549" t="s">
        <v>976</v>
      </c>
      <c r="J2124" s="549" t="s">
        <v>976</v>
      </c>
      <c r="K2124" s="549" t="s">
        <v>976</v>
      </c>
      <c r="L2124" s="549">
        <v>316585.76</v>
      </c>
      <c r="M2124" s="549">
        <v>23902.22</v>
      </c>
      <c r="N2124" s="549">
        <v>18172.02</v>
      </c>
      <c r="O2124" s="549">
        <v>1785.6</v>
      </c>
      <c r="P2124" s="549">
        <v>100</v>
      </c>
      <c r="Q2124" s="549">
        <v>43859.839999999997</v>
      </c>
    </row>
    <row r="2125" spans="1:17" x14ac:dyDescent="0.25">
      <c r="A2125" s="549" t="s">
        <v>502</v>
      </c>
      <c r="B2125" s="549" t="s">
        <v>1049</v>
      </c>
      <c r="C2125" s="549" t="s">
        <v>527</v>
      </c>
      <c r="D2125" s="549" t="s">
        <v>1197</v>
      </c>
      <c r="E2125" s="549" t="s">
        <v>973</v>
      </c>
      <c r="F2125" s="549" t="s">
        <v>1212</v>
      </c>
      <c r="G2125" s="549">
        <v>162</v>
      </c>
      <c r="H2125" s="549" t="s">
        <v>527</v>
      </c>
      <c r="I2125" s="549" t="s">
        <v>976</v>
      </c>
      <c r="J2125" s="549" t="s">
        <v>976</v>
      </c>
      <c r="K2125" s="549" t="s">
        <v>976</v>
      </c>
      <c r="L2125" s="549">
        <v>316585.76</v>
      </c>
      <c r="M2125" s="549">
        <v>23902.22</v>
      </c>
      <c r="N2125" s="549">
        <v>18172.02</v>
      </c>
      <c r="O2125" s="549">
        <v>1785.6</v>
      </c>
      <c r="P2125" s="549">
        <v>100</v>
      </c>
      <c r="Q2125" s="549">
        <v>43859.839999999997</v>
      </c>
    </row>
    <row r="2126" spans="1:17" x14ac:dyDescent="0.25">
      <c r="A2126" s="549" t="s">
        <v>502</v>
      </c>
      <c r="B2126" s="549" t="s">
        <v>1049</v>
      </c>
      <c r="C2126" s="549" t="s">
        <v>527</v>
      </c>
      <c r="D2126" s="549" t="s">
        <v>1197</v>
      </c>
      <c r="E2126" s="549" t="s">
        <v>973</v>
      </c>
      <c r="F2126" s="549" t="s">
        <v>1212</v>
      </c>
      <c r="G2126" s="549">
        <v>172</v>
      </c>
      <c r="H2126" s="549" t="s">
        <v>527</v>
      </c>
      <c r="I2126" s="549" t="s">
        <v>976</v>
      </c>
      <c r="J2126" s="549" t="s">
        <v>976</v>
      </c>
      <c r="K2126" s="549" t="s">
        <v>976</v>
      </c>
      <c r="L2126" s="549">
        <v>316585.76</v>
      </c>
      <c r="M2126" s="549">
        <v>23902.22</v>
      </c>
      <c r="N2126" s="549">
        <v>18172.02</v>
      </c>
      <c r="O2126" s="549">
        <v>1785.6</v>
      </c>
      <c r="P2126" s="549">
        <v>100</v>
      </c>
      <c r="Q2126" s="549">
        <v>43859.839999999997</v>
      </c>
    </row>
    <row r="2127" spans="1:17" x14ac:dyDescent="0.25">
      <c r="A2127" s="549" t="s">
        <v>502</v>
      </c>
      <c r="B2127" s="549" t="s">
        <v>1049</v>
      </c>
      <c r="C2127" s="549" t="s">
        <v>527</v>
      </c>
      <c r="D2127" s="549" t="s">
        <v>1197</v>
      </c>
      <c r="E2127" s="549" t="s">
        <v>977</v>
      </c>
      <c r="F2127" s="549" t="s">
        <v>1212</v>
      </c>
      <c r="G2127" s="549">
        <v>142</v>
      </c>
      <c r="H2127" s="549" t="s">
        <v>527</v>
      </c>
      <c r="I2127" s="549" t="s">
        <v>976</v>
      </c>
      <c r="J2127" s="549" t="s">
        <v>976</v>
      </c>
      <c r="K2127" s="549" t="s">
        <v>976</v>
      </c>
      <c r="L2127" s="549">
        <v>316585.76</v>
      </c>
      <c r="M2127" s="549">
        <v>23902.22</v>
      </c>
      <c r="N2127" s="549">
        <v>6996.55</v>
      </c>
      <c r="O2127" s="549">
        <v>1785.6</v>
      </c>
      <c r="P2127" s="549">
        <v>0</v>
      </c>
      <c r="Q2127" s="549">
        <v>0</v>
      </c>
    </row>
    <row r="2128" spans="1:17" x14ac:dyDescent="0.25">
      <c r="A2128" s="549" t="s">
        <v>502</v>
      </c>
      <c r="B2128" s="549" t="s">
        <v>1049</v>
      </c>
      <c r="C2128" s="549" t="s">
        <v>527</v>
      </c>
      <c r="D2128" s="549" t="s">
        <v>1197</v>
      </c>
      <c r="E2128" s="549" t="s">
        <v>977</v>
      </c>
      <c r="F2128" s="549" t="s">
        <v>1212</v>
      </c>
      <c r="G2128" s="549">
        <v>152</v>
      </c>
      <c r="H2128" s="549" t="s">
        <v>527</v>
      </c>
      <c r="I2128" s="549" t="s">
        <v>976</v>
      </c>
      <c r="J2128" s="549" t="s">
        <v>976</v>
      </c>
      <c r="K2128" s="549" t="s">
        <v>976</v>
      </c>
      <c r="L2128" s="549">
        <v>316585.76</v>
      </c>
      <c r="M2128" s="549">
        <v>23902.22</v>
      </c>
      <c r="N2128" s="549">
        <v>6996.55</v>
      </c>
      <c r="O2128" s="549">
        <v>1785.6</v>
      </c>
      <c r="P2128" s="549">
        <v>0</v>
      </c>
      <c r="Q2128" s="549">
        <v>0</v>
      </c>
    </row>
    <row r="2129" spans="1:17" x14ac:dyDescent="0.25">
      <c r="A2129" s="549" t="s">
        <v>502</v>
      </c>
      <c r="B2129" s="549" t="s">
        <v>1049</v>
      </c>
      <c r="C2129" s="549" t="s">
        <v>527</v>
      </c>
      <c r="D2129" s="549" t="s">
        <v>1197</v>
      </c>
      <c r="E2129" s="549" t="s">
        <v>977</v>
      </c>
      <c r="F2129" s="549" t="s">
        <v>1212</v>
      </c>
      <c r="G2129" s="549">
        <v>162</v>
      </c>
      <c r="H2129" s="549" t="s">
        <v>527</v>
      </c>
      <c r="I2129" s="549" t="s">
        <v>976</v>
      </c>
      <c r="J2129" s="549" t="s">
        <v>976</v>
      </c>
      <c r="K2129" s="549" t="s">
        <v>976</v>
      </c>
      <c r="L2129" s="549">
        <v>316585.76</v>
      </c>
      <c r="M2129" s="549">
        <v>23902.22</v>
      </c>
      <c r="N2129" s="549">
        <v>6996.55</v>
      </c>
      <c r="O2129" s="549">
        <v>1785.6</v>
      </c>
      <c r="P2129" s="549">
        <v>0</v>
      </c>
      <c r="Q2129" s="549">
        <v>0</v>
      </c>
    </row>
    <row r="2130" spans="1:17" x14ac:dyDescent="0.25">
      <c r="A2130" s="549" t="s">
        <v>502</v>
      </c>
      <c r="B2130" s="549" t="s">
        <v>1049</v>
      </c>
      <c r="C2130" s="549" t="s">
        <v>527</v>
      </c>
      <c r="D2130" s="549" t="s">
        <v>1197</v>
      </c>
      <c r="E2130" s="549" t="s">
        <v>977</v>
      </c>
      <c r="F2130" s="549" t="s">
        <v>1212</v>
      </c>
      <c r="G2130" s="549">
        <v>172</v>
      </c>
      <c r="H2130" s="549" t="s">
        <v>527</v>
      </c>
      <c r="I2130" s="549" t="s">
        <v>976</v>
      </c>
      <c r="J2130" s="549" t="s">
        <v>976</v>
      </c>
      <c r="K2130" s="549" t="s">
        <v>976</v>
      </c>
      <c r="L2130" s="549">
        <v>316585.76</v>
      </c>
      <c r="M2130" s="549">
        <v>23902.22</v>
      </c>
      <c r="N2130" s="549">
        <v>6996.55</v>
      </c>
      <c r="O2130" s="549">
        <v>1785.6</v>
      </c>
      <c r="P2130" s="549">
        <v>0</v>
      </c>
      <c r="Q2130" s="549">
        <v>0</v>
      </c>
    </row>
    <row r="2131" spans="1:17" x14ac:dyDescent="0.25">
      <c r="A2131" s="549" t="s">
        <v>1091</v>
      </c>
      <c r="B2131" s="549" t="s">
        <v>1092</v>
      </c>
      <c r="C2131" s="549" t="s">
        <v>853</v>
      </c>
      <c r="D2131" s="549" t="s">
        <v>854</v>
      </c>
      <c r="E2131" s="549" t="s">
        <v>977</v>
      </c>
      <c r="F2131" s="549" t="s">
        <v>1212</v>
      </c>
      <c r="G2131" s="549" t="s">
        <v>1256</v>
      </c>
      <c r="H2131" s="549" t="s">
        <v>668</v>
      </c>
      <c r="I2131" s="549" t="s">
        <v>976</v>
      </c>
      <c r="J2131" s="549" t="s">
        <v>976</v>
      </c>
      <c r="K2131" s="549" t="s">
        <v>976</v>
      </c>
      <c r="L2131" s="549">
        <v>30278.12</v>
      </c>
      <c r="M2131" s="549">
        <v>2286</v>
      </c>
      <c r="N2131" s="549">
        <v>669.15</v>
      </c>
      <c r="O2131" s="549">
        <v>0</v>
      </c>
      <c r="P2131" s="549">
        <v>0</v>
      </c>
      <c r="Q2131" s="549">
        <v>0</v>
      </c>
    </row>
    <row r="2132" spans="1:17" x14ac:dyDescent="0.25">
      <c r="A2132" s="549" t="s">
        <v>1091</v>
      </c>
      <c r="B2132" s="549" t="s">
        <v>1092</v>
      </c>
      <c r="C2132" s="549" t="s">
        <v>853</v>
      </c>
      <c r="D2132" s="549" t="s">
        <v>854</v>
      </c>
      <c r="E2132" s="549" t="s">
        <v>977</v>
      </c>
      <c r="F2132" s="549" t="s">
        <v>1212</v>
      </c>
      <c r="G2132" s="549" t="s">
        <v>1373</v>
      </c>
      <c r="H2132" s="549" t="s">
        <v>668</v>
      </c>
      <c r="I2132" s="549" t="s">
        <v>976</v>
      </c>
      <c r="J2132" s="549" t="s">
        <v>976</v>
      </c>
      <c r="K2132" s="549" t="s">
        <v>976</v>
      </c>
      <c r="L2132" s="549">
        <v>30278.12</v>
      </c>
      <c r="M2132" s="549">
        <v>2286</v>
      </c>
      <c r="N2132" s="549">
        <v>669.15</v>
      </c>
      <c r="O2132" s="549">
        <v>0</v>
      </c>
      <c r="P2132" s="549">
        <v>100</v>
      </c>
      <c r="Q2132" s="549">
        <v>2955.15</v>
      </c>
    </row>
    <row r="2133" spans="1:17" x14ac:dyDescent="0.25">
      <c r="A2133" s="549" t="s">
        <v>1091</v>
      </c>
      <c r="B2133" s="549" t="s">
        <v>1092</v>
      </c>
      <c r="C2133" s="549" t="s">
        <v>853</v>
      </c>
      <c r="D2133" s="549" t="s">
        <v>854</v>
      </c>
      <c r="E2133" s="549" t="s">
        <v>977</v>
      </c>
      <c r="F2133" s="549" t="s">
        <v>1212</v>
      </c>
      <c r="G2133" s="549" t="s">
        <v>1255</v>
      </c>
      <c r="H2133" s="549" t="s">
        <v>668</v>
      </c>
      <c r="I2133" s="549" t="s">
        <v>976</v>
      </c>
      <c r="J2133" s="549" t="s">
        <v>976</v>
      </c>
      <c r="K2133" s="549" t="s">
        <v>976</v>
      </c>
      <c r="L2133" s="549">
        <v>30278.12</v>
      </c>
      <c r="M2133" s="549">
        <v>2286</v>
      </c>
      <c r="N2133" s="549">
        <v>669.15</v>
      </c>
      <c r="O2133" s="549">
        <v>0</v>
      </c>
      <c r="P2133" s="549">
        <v>0</v>
      </c>
      <c r="Q2133" s="549">
        <v>0</v>
      </c>
    </row>
    <row r="2134" spans="1:17" x14ac:dyDescent="0.25">
      <c r="A2134" s="549" t="s">
        <v>1091</v>
      </c>
      <c r="B2134" s="549" t="s">
        <v>1092</v>
      </c>
      <c r="C2134" s="549" t="s">
        <v>853</v>
      </c>
      <c r="D2134" s="549" t="s">
        <v>854</v>
      </c>
      <c r="E2134" s="549" t="s">
        <v>977</v>
      </c>
      <c r="F2134" s="549" t="s">
        <v>1212</v>
      </c>
      <c r="G2134" s="549" t="s">
        <v>1254</v>
      </c>
      <c r="H2134" s="549" t="s">
        <v>668</v>
      </c>
      <c r="I2134" s="549" t="s">
        <v>976</v>
      </c>
      <c r="J2134" s="549" t="s">
        <v>976</v>
      </c>
      <c r="K2134" s="549" t="s">
        <v>976</v>
      </c>
      <c r="L2134" s="549">
        <v>33330.54</v>
      </c>
      <c r="M2134" s="549">
        <v>2516.46</v>
      </c>
      <c r="N2134" s="549">
        <v>736.6</v>
      </c>
      <c r="O2134" s="549">
        <v>1984</v>
      </c>
      <c r="P2134" s="549">
        <v>10.44</v>
      </c>
      <c r="Q2134" s="549">
        <v>546.75</v>
      </c>
    </row>
    <row r="2135" spans="1:17" x14ac:dyDescent="0.25">
      <c r="A2135" s="549" t="s">
        <v>1091</v>
      </c>
      <c r="B2135" s="549" t="s">
        <v>1092</v>
      </c>
      <c r="C2135" s="549" t="s">
        <v>853</v>
      </c>
      <c r="D2135" s="549" t="s">
        <v>854</v>
      </c>
      <c r="E2135" s="549" t="s">
        <v>977</v>
      </c>
      <c r="F2135" s="549" t="s">
        <v>1212</v>
      </c>
      <c r="G2135" s="549">
        <v>262</v>
      </c>
      <c r="H2135" s="549" t="s">
        <v>668</v>
      </c>
      <c r="I2135" s="549" t="s">
        <v>976</v>
      </c>
      <c r="J2135" s="549" t="s">
        <v>976</v>
      </c>
      <c r="K2135" s="549" t="s">
        <v>976</v>
      </c>
      <c r="L2135" s="549">
        <v>340679.91</v>
      </c>
      <c r="M2135" s="549">
        <v>25721.33</v>
      </c>
      <c r="N2135" s="549">
        <v>7529.03</v>
      </c>
      <c r="O2135" s="549">
        <v>1984</v>
      </c>
      <c r="P2135" s="549">
        <v>10.44</v>
      </c>
      <c r="Q2135" s="549">
        <v>3678.47</v>
      </c>
    </row>
    <row r="2136" spans="1:17" x14ac:dyDescent="0.25">
      <c r="A2136" s="549" t="s">
        <v>1060</v>
      </c>
      <c r="B2136" s="549" t="s">
        <v>1061</v>
      </c>
      <c r="C2136" s="549" t="s">
        <v>506</v>
      </c>
      <c r="D2136" s="549" t="s">
        <v>1062</v>
      </c>
      <c r="E2136" s="549" t="s">
        <v>973</v>
      </c>
      <c r="F2136" s="549" t="s">
        <v>1212</v>
      </c>
      <c r="G2136" s="549">
        <v>142</v>
      </c>
      <c r="H2136" s="549" t="s">
        <v>507</v>
      </c>
      <c r="I2136" s="549" t="s">
        <v>976</v>
      </c>
      <c r="J2136" s="549" t="s">
        <v>976</v>
      </c>
      <c r="K2136" s="549" t="s">
        <v>976</v>
      </c>
      <c r="L2136" s="549">
        <v>844794.19</v>
      </c>
      <c r="M2136" s="549">
        <v>63781.96</v>
      </c>
      <c r="N2136" s="549">
        <v>48491.19</v>
      </c>
      <c r="O2136" s="549">
        <v>3968</v>
      </c>
      <c r="P2136" s="549">
        <v>51.35</v>
      </c>
      <c r="Q2136" s="549">
        <v>59689.83</v>
      </c>
    </row>
    <row r="2137" spans="1:17" x14ac:dyDescent="0.25">
      <c r="A2137" s="549" t="s">
        <v>1060</v>
      </c>
      <c r="B2137" s="549" t="s">
        <v>1061</v>
      </c>
      <c r="C2137" s="549" t="s">
        <v>506</v>
      </c>
      <c r="D2137" s="549" t="s">
        <v>1062</v>
      </c>
      <c r="E2137" s="549" t="s">
        <v>973</v>
      </c>
      <c r="F2137" s="549" t="s">
        <v>1212</v>
      </c>
      <c r="G2137" s="549">
        <v>192</v>
      </c>
      <c r="H2137" s="549" t="s">
        <v>507</v>
      </c>
      <c r="I2137" s="549" t="s">
        <v>976</v>
      </c>
      <c r="J2137" s="549" t="s">
        <v>976</v>
      </c>
      <c r="K2137" s="549" t="s">
        <v>976</v>
      </c>
      <c r="L2137" s="549">
        <v>844794.19</v>
      </c>
      <c r="M2137" s="549">
        <v>63781.96</v>
      </c>
      <c r="N2137" s="549">
        <v>48491.19</v>
      </c>
      <c r="O2137" s="549">
        <v>3968</v>
      </c>
      <c r="P2137" s="549">
        <v>51.35</v>
      </c>
      <c r="Q2137" s="549">
        <v>59689.83</v>
      </c>
    </row>
    <row r="2138" spans="1:17" x14ac:dyDescent="0.25">
      <c r="A2138" s="549" t="s">
        <v>1091</v>
      </c>
      <c r="B2138" s="549" t="s">
        <v>1092</v>
      </c>
      <c r="C2138" s="549" t="s">
        <v>853</v>
      </c>
      <c r="D2138" s="549" t="s">
        <v>854</v>
      </c>
      <c r="E2138" s="549" t="s">
        <v>977</v>
      </c>
      <c r="F2138" s="549" t="s">
        <v>1212</v>
      </c>
      <c r="G2138" s="549">
        <v>242</v>
      </c>
      <c r="H2138" s="549" t="s">
        <v>668</v>
      </c>
      <c r="I2138" s="549" t="s">
        <v>976</v>
      </c>
      <c r="J2138" s="549" t="s">
        <v>976</v>
      </c>
      <c r="K2138" s="549" t="s">
        <v>976</v>
      </c>
      <c r="L2138" s="549">
        <v>340679.91</v>
      </c>
      <c r="M2138" s="549">
        <v>25721.33</v>
      </c>
      <c r="N2138" s="549">
        <v>7529.03</v>
      </c>
      <c r="O2138" s="549">
        <v>1984</v>
      </c>
      <c r="P2138" s="549">
        <v>10.44</v>
      </c>
      <c r="Q2138" s="549">
        <v>3678.47</v>
      </c>
    </row>
    <row r="2139" spans="1:17" x14ac:dyDescent="0.25">
      <c r="A2139" s="549" t="s">
        <v>1091</v>
      </c>
      <c r="B2139" s="549" t="s">
        <v>1092</v>
      </c>
      <c r="C2139" s="549" t="s">
        <v>853</v>
      </c>
      <c r="D2139" s="549" t="s">
        <v>854</v>
      </c>
      <c r="E2139" s="549" t="s">
        <v>977</v>
      </c>
      <c r="F2139" s="549" t="s">
        <v>1212</v>
      </c>
      <c r="G2139" s="549">
        <v>192</v>
      </c>
      <c r="H2139" s="549" t="s">
        <v>668</v>
      </c>
      <c r="I2139" s="549" t="s">
        <v>976</v>
      </c>
      <c r="J2139" s="549" t="s">
        <v>976</v>
      </c>
      <c r="K2139" s="549" t="s">
        <v>976</v>
      </c>
      <c r="L2139" s="549">
        <v>128993.5</v>
      </c>
      <c r="M2139" s="549">
        <v>9739.01</v>
      </c>
      <c r="N2139" s="549">
        <v>2850.76</v>
      </c>
      <c r="O2139" s="549">
        <v>1984</v>
      </c>
      <c r="P2139" s="549">
        <v>10.44</v>
      </c>
      <c r="Q2139" s="549">
        <v>1521.5</v>
      </c>
    </row>
    <row r="2140" spans="1:17" x14ac:dyDescent="0.25">
      <c r="A2140" s="549" t="s">
        <v>1091</v>
      </c>
      <c r="B2140" s="549" t="s">
        <v>1092</v>
      </c>
      <c r="C2140" s="549" t="s">
        <v>853</v>
      </c>
      <c r="D2140" s="549" t="s">
        <v>854</v>
      </c>
      <c r="E2140" s="549" t="s">
        <v>977</v>
      </c>
      <c r="F2140" s="549" t="s">
        <v>1212</v>
      </c>
      <c r="G2140" s="549">
        <v>127</v>
      </c>
      <c r="H2140" s="549" t="s">
        <v>668</v>
      </c>
      <c r="I2140" s="549" t="s">
        <v>976</v>
      </c>
      <c r="J2140" s="549" t="s">
        <v>976</v>
      </c>
      <c r="K2140" s="549" t="s">
        <v>976</v>
      </c>
      <c r="L2140" s="549">
        <v>19462.91</v>
      </c>
      <c r="M2140" s="549">
        <v>1469.45</v>
      </c>
      <c r="N2140" s="549">
        <v>430.13</v>
      </c>
      <c r="O2140" s="549">
        <v>992</v>
      </c>
      <c r="P2140" s="549">
        <v>10.44</v>
      </c>
      <c r="Q2140" s="549">
        <v>301.88</v>
      </c>
    </row>
    <row r="2141" spans="1:17" x14ac:dyDescent="0.25">
      <c r="A2141" s="549" t="s">
        <v>1091</v>
      </c>
      <c r="B2141" s="549" t="s">
        <v>1092</v>
      </c>
      <c r="C2141" s="549" t="s">
        <v>853</v>
      </c>
      <c r="D2141" s="549" t="s">
        <v>854</v>
      </c>
      <c r="E2141" s="549" t="s">
        <v>977</v>
      </c>
      <c r="F2141" s="549" t="s">
        <v>1212</v>
      </c>
      <c r="G2141" s="549">
        <v>72</v>
      </c>
      <c r="H2141" s="549" t="s">
        <v>668</v>
      </c>
      <c r="I2141" s="549" t="s">
        <v>976</v>
      </c>
      <c r="J2141" s="549" t="s">
        <v>976</v>
      </c>
      <c r="K2141" s="549" t="s">
        <v>976</v>
      </c>
      <c r="L2141" s="549">
        <v>128993.5</v>
      </c>
      <c r="M2141" s="549">
        <v>9739.01</v>
      </c>
      <c r="N2141" s="549">
        <v>2850.76</v>
      </c>
      <c r="O2141" s="549">
        <v>1984</v>
      </c>
      <c r="P2141" s="549">
        <v>10.44</v>
      </c>
      <c r="Q2141" s="549">
        <v>1521.5</v>
      </c>
    </row>
    <row r="2142" spans="1:17" x14ac:dyDescent="0.25">
      <c r="A2142" s="549" t="s">
        <v>1091</v>
      </c>
      <c r="B2142" s="549" t="s">
        <v>1092</v>
      </c>
      <c r="C2142" s="549" t="s">
        <v>853</v>
      </c>
      <c r="D2142" s="549" t="s">
        <v>854</v>
      </c>
      <c r="E2142" s="549" t="s">
        <v>977</v>
      </c>
      <c r="F2142" s="549" t="s">
        <v>1212</v>
      </c>
      <c r="G2142" s="549">
        <v>52</v>
      </c>
      <c r="H2142" s="549" t="s">
        <v>668</v>
      </c>
      <c r="I2142" s="549" t="s">
        <v>976</v>
      </c>
      <c r="J2142" s="549" t="s">
        <v>976</v>
      </c>
      <c r="K2142" s="549" t="s">
        <v>976</v>
      </c>
      <c r="L2142" s="549">
        <v>141556.91</v>
      </c>
      <c r="M2142" s="549">
        <v>10687.55</v>
      </c>
      <c r="N2142" s="549">
        <v>3128.41</v>
      </c>
      <c r="O2142" s="549">
        <v>3968</v>
      </c>
      <c r="P2142" s="549">
        <v>100</v>
      </c>
      <c r="Q2142" s="549">
        <v>17783.96</v>
      </c>
    </row>
    <row r="2143" spans="1:17" x14ac:dyDescent="0.25">
      <c r="A2143" s="549" t="s">
        <v>1091</v>
      </c>
      <c r="B2143" s="549" t="s">
        <v>1092</v>
      </c>
      <c r="C2143" s="549" t="s">
        <v>536</v>
      </c>
      <c r="D2143" s="549" t="s">
        <v>459</v>
      </c>
      <c r="E2143" s="549" t="s">
        <v>977</v>
      </c>
      <c r="F2143" s="549" t="s">
        <v>1212</v>
      </c>
      <c r="G2143" s="549" t="s">
        <v>1273</v>
      </c>
      <c r="H2143" s="549" t="s">
        <v>536</v>
      </c>
      <c r="I2143" s="549" t="s">
        <v>976</v>
      </c>
      <c r="J2143" s="549" t="s">
        <v>976</v>
      </c>
      <c r="K2143" s="549" t="s">
        <v>976</v>
      </c>
      <c r="L2143" s="549">
        <v>31102.38</v>
      </c>
      <c r="M2143" s="549">
        <v>2348.23</v>
      </c>
      <c r="N2143" s="549">
        <v>687.36</v>
      </c>
      <c r="O2143" s="549">
        <v>0</v>
      </c>
      <c r="P2143" s="549">
        <v>100</v>
      </c>
      <c r="Q2143" s="549">
        <v>3035.59</v>
      </c>
    </row>
    <row r="2144" spans="1:17" x14ac:dyDescent="0.25">
      <c r="A2144" s="549" t="s">
        <v>1091</v>
      </c>
      <c r="B2144" s="549" t="s">
        <v>1092</v>
      </c>
      <c r="C2144" s="549" t="s">
        <v>855</v>
      </c>
      <c r="D2144" s="549" t="s">
        <v>856</v>
      </c>
      <c r="E2144" s="549" t="s">
        <v>977</v>
      </c>
      <c r="F2144" s="549" t="s">
        <v>1212</v>
      </c>
      <c r="G2144" s="549" t="s">
        <v>1374</v>
      </c>
      <c r="H2144" s="549" t="s">
        <v>855</v>
      </c>
      <c r="I2144" s="549" t="s">
        <v>976</v>
      </c>
      <c r="J2144" s="549" t="s">
        <v>976</v>
      </c>
      <c r="K2144" s="549" t="s">
        <v>976</v>
      </c>
      <c r="L2144" s="549">
        <v>31102.38</v>
      </c>
      <c r="M2144" s="549">
        <v>2348.23</v>
      </c>
      <c r="N2144" s="549">
        <v>687.36</v>
      </c>
      <c r="O2144" s="549">
        <v>0</v>
      </c>
      <c r="P2144" s="549">
        <v>100</v>
      </c>
      <c r="Q2144" s="549">
        <v>3035.59</v>
      </c>
    </row>
    <row r="2145" spans="1:17" x14ac:dyDescent="0.25">
      <c r="A2145" s="549" t="s">
        <v>1060</v>
      </c>
      <c r="B2145" s="549" t="s">
        <v>1061</v>
      </c>
      <c r="C2145" s="549" t="s">
        <v>506</v>
      </c>
      <c r="D2145" s="549" t="s">
        <v>1062</v>
      </c>
      <c r="E2145" s="549" t="s">
        <v>977</v>
      </c>
      <c r="F2145" s="549" t="s">
        <v>1212</v>
      </c>
      <c r="G2145" s="549">
        <v>142</v>
      </c>
      <c r="H2145" s="549" t="s">
        <v>507</v>
      </c>
      <c r="I2145" s="549" t="s">
        <v>976</v>
      </c>
      <c r="J2145" s="549" t="s">
        <v>976</v>
      </c>
      <c r="K2145" s="549" t="s">
        <v>976</v>
      </c>
      <c r="L2145" s="549">
        <v>844794.19</v>
      </c>
      <c r="M2145" s="549">
        <v>63781.96</v>
      </c>
      <c r="N2145" s="549">
        <v>18669.95</v>
      </c>
      <c r="O2145" s="549">
        <v>3968</v>
      </c>
      <c r="P2145" s="549">
        <v>1.7</v>
      </c>
      <c r="Q2145" s="549">
        <v>1469.14</v>
      </c>
    </row>
    <row r="2146" spans="1:17" x14ac:dyDescent="0.25">
      <c r="A2146" s="549" t="s">
        <v>1060</v>
      </c>
      <c r="B2146" s="549" t="s">
        <v>1061</v>
      </c>
      <c r="C2146" s="549" t="s">
        <v>506</v>
      </c>
      <c r="D2146" s="549" t="s">
        <v>1062</v>
      </c>
      <c r="E2146" s="549" t="s">
        <v>977</v>
      </c>
      <c r="F2146" s="549" t="s">
        <v>1212</v>
      </c>
      <c r="G2146" s="549">
        <v>192</v>
      </c>
      <c r="H2146" s="549" t="s">
        <v>507</v>
      </c>
      <c r="I2146" s="549" t="s">
        <v>976</v>
      </c>
      <c r="J2146" s="549" t="s">
        <v>976</v>
      </c>
      <c r="K2146" s="549" t="s">
        <v>976</v>
      </c>
      <c r="L2146" s="549">
        <v>844794.19</v>
      </c>
      <c r="M2146" s="549">
        <v>63781.96</v>
      </c>
      <c r="N2146" s="549">
        <v>18669.95</v>
      </c>
      <c r="O2146" s="549">
        <v>3968</v>
      </c>
      <c r="P2146" s="549">
        <v>1.7</v>
      </c>
      <c r="Q2146" s="549">
        <v>1469.14</v>
      </c>
    </row>
    <row r="2147" spans="1:17" x14ac:dyDescent="0.25">
      <c r="A2147" s="549" t="s">
        <v>1064</v>
      </c>
      <c r="B2147" s="549" t="s">
        <v>581</v>
      </c>
      <c r="C2147" s="549" t="s">
        <v>716</v>
      </c>
      <c r="D2147" s="549" t="s">
        <v>717</v>
      </c>
      <c r="E2147" s="549" t="s">
        <v>977</v>
      </c>
      <c r="F2147" s="549" t="s">
        <v>1212</v>
      </c>
      <c r="G2147" s="549">
        <v>112</v>
      </c>
      <c r="H2147" s="549" t="s">
        <v>716</v>
      </c>
      <c r="I2147" s="549" t="s">
        <v>976</v>
      </c>
      <c r="J2147" s="549" t="s">
        <v>976</v>
      </c>
      <c r="K2147" s="549" t="s">
        <v>976</v>
      </c>
      <c r="L2147" s="549">
        <v>1205434.72</v>
      </c>
      <c r="M2147" s="549">
        <v>91010.32</v>
      </c>
      <c r="N2147" s="549">
        <v>26640.11</v>
      </c>
      <c r="O2147" s="549">
        <v>6944</v>
      </c>
      <c r="P2147" s="549">
        <v>100</v>
      </c>
      <c r="Q2147" s="549">
        <v>124594.43</v>
      </c>
    </row>
    <row r="2148" spans="1:17" x14ac:dyDescent="0.25">
      <c r="A2148" s="549" t="s">
        <v>1064</v>
      </c>
      <c r="B2148" s="549" t="s">
        <v>581</v>
      </c>
      <c r="C2148" s="549" t="s">
        <v>716</v>
      </c>
      <c r="D2148" s="549" t="s">
        <v>717</v>
      </c>
      <c r="E2148" s="549" t="s">
        <v>977</v>
      </c>
      <c r="F2148" s="549" t="s">
        <v>1212</v>
      </c>
      <c r="G2148" s="549">
        <v>122</v>
      </c>
      <c r="H2148" s="549" t="s">
        <v>716</v>
      </c>
      <c r="I2148" s="549" t="s">
        <v>976</v>
      </c>
      <c r="J2148" s="549" t="s">
        <v>976</v>
      </c>
      <c r="K2148" s="549" t="s">
        <v>976</v>
      </c>
      <c r="L2148" s="549">
        <v>1205434.72</v>
      </c>
      <c r="M2148" s="549">
        <v>91010.32</v>
      </c>
      <c r="N2148" s="549">
        <v>26640.11</v>
      </c>
      <c r="O2148" s="549">
        <v>6944</v>
      </c>
      <c r="P2148" s="549">
        <v>100</v>
      </c>
      <c r="Q2148" s="549">
        <v>124594.43</v>
      </c>
    </row>
    <row r="2149" spans="1:17" x14ac:dyDescent="0.25">
      <c r="A2149" s="549" t="s">
        <v>1064</v>
      </c>
      <c r="B2149" s="549" t="s">
        <v>581</v>
      </c>
      <c r="C2149" s="549" t="s">
        <v>716</v>
      </c>
      <c r="D2149" s="549" t="s">
        <v>717</v>
      </c>
      <c r="E2149" s="549" t="s">
        <v>977</v>
      </c>
      <c r="F2149" s="549" t="s">
        <v>1212</v>
      </c>
      <c r="G2149" s="549">
        <v>138</v>
      </c>
      <c r="H2149" s="549" t="s">
        <v>716</v>
      </c>
      <c r="I2149" s="549" t="s">
        <v>976</v>
      </c>
      <c r="J2149" s="549" t="s">
        <v>976</v>
      </c>
      <c r="K2149" s="549" t="s">
        <v>976</v>
      </c>
      <c r="L2149" s="549">
        <v>1205434.72</v>
      </c>
      <c r="M2149" s="549">
        <v>91010.32</v>
      </c>
      <c r="N2149" s="549">
        <v>26640.11</v>
      </c>
      <c r="O2149" s="549">
        <v>6944</v>
      </c>
      <c r="P2149" s="549">
        <v>100</v>
      </c>
      <c r="Q2149" s="549">
        <v>124594.43</v>
      </c>
    </row>
    <row r="2150" spans="1:17" x14ac:dyDescent="0.25">
      <c r="A2150" s="549" t="s">
        <v>1064</v>
      </c>
      <c r="B2150" s="549" t="s">
        <v>581</v>
      </c>
      <c r="C2150" s="549" t="s">
        <v>716</v>
      </c>
      <c r="D2150" s="549" t="s">
        <v>717</v>
      </c>
      <c r="E2150" s="549" t="s">
        <v>977</v>
      </c>
      <c r="F2150" s="549" t="s">
        <v>1212</v>
      </c>
      <c r="G2150" s="549">
        <v>148</v>
      </c>
      <c r="H2150" s="549" t="s">
        <v>716</v>
      </c>
      <c r="I2150" s="549" t="s">
        <v>976</v>
      </c>
      <c r="J2150" s="549" t="s">
        <v>976</v>
      </c>
      <c r="K2150" s="549" t="s">
        <v>976</v>
      </c>
      <c r="L2150" s="549">
        <v>1205434.72</v>
      </c>
      <c r="M2150" s="549">
        <v>91010.32</v>
      </c>
      <c r="N2150" s="549">
        <v>26640.11</v>
      </c>
      <c r="O2150" s="549">
        <v>6944</v>
      </c>
      <c r="P2150" s="549">
        <v>100</v>
      </c>
      <c r="Q2150" s="549">
        <v>124594.43</v>
      </c>
    </row>
    <row r="2151" spans="1:17" x14ac:dyDescent="0.25">
      <c r="A2151" s="549" t="s">
        <v>1064</v>
      </c>
      <c r="B2151" s="549" t="s">
        <v>581</v>
      </c>
      <c r="C2151" s="549" t="s">
        <v>716</v>
      </c>
      <c r="D2151" s="549" t="s">
        <v>717</v>
      </c>
      <c r="E2151" s="549" t="s">
        <v>977</v>
      </c>
      <c r="F2151" s="549" t="s">
        <v>1212</v>
      </c>
      <c r="G2151" s="549">
        <v>158</v>
      </c>
      <c r="H2151" s="549" t="s">
        <v>716</v>
      </c>
      <c r="I2151" s="549" t="s">
        <v>976</v>
      </c>
      <c r="J2151" s="549" t="s">
        <v>976</v>
      </c>
      <c r="K2151" s="549" t="s">
        <v>976</v>
      </c>
      <c r="L2151" s="549">
        <v>1205434.72</v>
      </c>
      <c r="M2151" s="549">
        <v>91010.32</v>
      </c>
      <c r="N2151" s="549">
        <v>26640.11</v>
      </c>
      <c r="O2151" s="549">
        <v>6944</v>
      </c>
      <c r="P2151" s="549">
        <v>100</v>
      </c>
      <c r="Q2151" s="549">
        <v>124594.43</v>
      </c>
    </row>
    <row r="2152" spans="1:17" x14ac:dyDescent="0.25">
      <c r="A2152" s="549" t="s">
        <v>1064</v>
      </c>
      <c r="B2152" s="549" t="s">
        <v>581</v>
      </c>
      <c r="C2152" s="549" t="s">
        <v>716</v>
      </c>
      <c r="D2152" s="549" t="s">
        <v>717</v>
      </c>
      <c r="E2152" s="549" t="s">
        <v>977</v>
      </c>
      <c r="F2152" s="549" t="s">
        <v>1212</v>
      </c>
      <c r="G2152" s="549">
        <v>168</v>
      </c>
      <c r="H2152" s="549" t="s">
        <v>716</v>
      </c>
      <c r="I2152" s="549" t="s">
        <v>976</v>
      </c>
      <c r="J2152" s="549" t="s">
        <v>976</v>
      </c>
      <c r="K2152" s="549" t="s">
        <v>976</v>
      </c>
      <c r="L2152" s="549">
        <v>1205434.72</v>
      </c>
      <c r="M2152" s="549">
        <v>91010.32</v>
      </c>
      <c r="N2152" s="549">
        <v>26640.11</v>
      </c>
      <c r="O2152" s="549">
        <v>6944</v>
      </c>
      <c r="P2152" s="549">
        <v>100</v>
      </c>
      <c r="Q2152" s="549">
        <v>124594.43</v>
      </c>
    </row>
    <row r="2153" spans="1:17" x14ac:dyDescent="0.25">
      <c r="A2153" s="549" t="s">
        <v>1064</v>
      </c>
      <c r="B2153" s="549" t="s">
        <v>581</v>
      </c>
      <c r="C2153" s="549" t="s">
        <v>716</v>
      </c>
      <c r="D2153" s="549" t="s">
        <v>717</v>
      </c>
      <c r="E2153" s="549" t="s">
        <v>977</v>
      </c>
      <c r="F2153" s="549" t="s">
        <v>1212</v>
      </c>
      <c r="G2153" s="549">
        <v>172</v>
      </c>
      <c r="H2153" s="549" t="s">
        <v>716</v>
      </c>
      <c r="I2153" s="549" t="s">
        <v>976</v>
      </c>
      <c r="J2153" s="549" t="s">
        <v>976</v>
      </c>
      <c r="K2153" s="549" t="s">
        <v>976</v>
      </c>
      <c r="L2153" s="549">
        <v>1205434.72</v>
      </c>
      <c r="M2153" s="549">
        <v>91010.32</v>
      </c>
      <c r="N2153" s="549">
        <v>26640.11</v>
      </c>
      <c r="O2153" s="549">
        <v>6944</v>
      </c>
      <c r="P2153" s="549">
        <v>100</v>
      </c>
      <c r="Q2153" s="549">
        <v>124594.43</v>
      </c>
    </row>
    <row r="2154" spans="1:17" x14ac:dyDescent="0.25">
      <c r="A2154" s="549" t="s">
        <v>1064</v>
      </c>
      <c r="B2154" s="549" t="s">
        <v>581</v>
      </c>
      <c r="C2154" s="549" t="s">
        <v>716</v>
      </c>
      <c r="D2154" s="549" t="s">
        <v>717</v>
      </c>
      <c r="E2154" s="549" t="s">
        <v>977</v>
      </c>
      <c r="F2154" s="549" t="s">
        <v>1212</v>
      </c>
      <c r="G2154" s="549">
        <v>182</v>
      </c>
      <c r="H2154" s="549" t="s">
        <v>716</v>
      </c>
      <c r="I2154" s="549" t="s">
        <v>976</v>
      </c>
      <c r="J2154" s="549" t="s">
        <v>976</v>
      </c>
      <c r="K2154" s="549" t="s">
        <v>976</v>
      </c>
      <c r="L2154" s="549">
        <v>1205434.72</v>
      </c>
      <c r="M2154" s="549">
        <v>91010.32</v>
      </c>
      <c r="N2154" s="549">
        <v>26640.11</v>
      </c>
      <c r="O2154" s="549">
        <v>6944</v>
      </c>
      <c r="P2154" s="549">
        <v>100</v>
      </c>
      <c r="Q2154" s="549">
        <v>124594.43</v>
      </c>
    </row>
    <row r="2155" spans="1:17" x14ac:dyDescent="0.25">
      <c r="A2155" s="549" t="s">
        <v>1064</v>
      </c>
      <c r="B2155" s="549" t="s">
        <v>581</v>
      </c>
      <c r="C2155" s="549" t="s">
        <v>716</v>
      </c>
      <c r="D2155" s="549" t="s">
        <v>717</v>
      </c>
      <c r="E2155" s="549" t="s">
        <v>977</v>
      </c>
      <c r="F2155" s="549" t="s">
        <v>1212</v>
      </c>
      <c r="G2155" s="549">
        <v>3422</v>
      </c>
      <c r="H2155" s="549" t="s">
        <v>716</v>
      </c>
      <c r="I2155" s="549" t="s">
        <v>976</v>
      </c>
      <c r="J2155" s="549" t="s">
        <v>976</v>
      </c>
      <c r="K2155" s="549" t="s">
        <v>976</v>
      </c>
      <c r="L2155" s="549">
        <v>63217.49</v>
      </c>
      <c r="M2155" s="549">
        <v>4772.92</v>
      </c>
      <c r="N2155" s="549">
        <v>1397.11</v>
      </c>
      <c r="O2155" s="549">
        <v>992</v>
      </c>
      <c r="P2155" s="549">
        <v>100</v>
      </c>
      <c r="Q2155" s="549">
        <v>7162.03</v>
      </c>
    </row>
    <row r="2156" spans="1:17" x14ac:dyDescent="0.25">
      <c r="A2156" s="549" t="s">
        <v>1064</v>
      </c>
      <c r="B2156" s="549" t="s">
        <v>581</v>
      </c>
      <c r="C2156" s="549" t="s">
        <v>716</v>
      </c>
      <c r="D2156" s="549" t="s">
        <v>717</v>
      </c>
      <c r="E2156" s="549" t="s">
        <v>977</v>
      </c>
      <c r="F2156" s="549" t="s">
        <v>1212</v>
      </c>
      <c r="G2156" s="549">
        <v>3462</v>
      </c>
      <c r="H2156" s="549" t="s">
        <v>716</v>
      </c>
      <c r="I2156" s="549" t="s">
        <v>976</v>
      </c>
      <c r="J2156" s="549" t="s">
        <v>976</v>
      </c>
      <c r="K2156" s="549" t="s">
        <v>976</v>
      </c>
      <c r="L2156" s="549">
        <v>63217.49</v>
      </c>
      <c r="M2156" s="549">
        <v>4772.92</v>
      </c>
      <c r="N2156" s="549">
        <v>1397.11</v>
      </c>
      <c r="O2156" s="549">
        <v>992</v>
      </c>
      <c r="P2156" s="549">
        <v>100</v>
      </c>
      <c r="Q2156" s="549">
        <v>7162.03</v>
      </c>
    </row>
    <row r="2157" spans="1:17" x14ac:dyDescent="0.25">
      <c r="A2157" s="549" t="s">
        <v>1064</v>
      </c>
      <c r="B2157" s="549" t="s">
        <v>581</v>
      </c>
      <c r="C2157" s="549" t="s">
        <v>716</v>
      </c>
      <c r="D2157" s="549" t="s">
        <v>717</v>
      </c>
      <c r="E2157" s="549" t="s">
        <v>977</v>
      </c>
      <c r="F2157" s="549" t="s">
        <v>1212</v>
      </c>
      <c r="G2157" s="549" t="s">
        <v>1375</v>
      </c>
      <c r="H2157" s="549" t="s">
        <v>716</v>
      </c>
      <c r="I2157" s="549" t="s">
        <v>976</v>
      </c>
      <c r="J2157" s="549" t="s">
        <v>976</v>
      </c>
      <c r="K2157" s="549" t="s">
        <v>976</v>
      </c>
      <c r="L2157" s="549">
        <v>30112.84</v>
      </c>
      <c r="M2157" s="549">
        <v>2273.52</v>
      </c>
      <c r="N2157" s="549">
        <v>665.49</v>
      </c>
      <c r="O2157" s="549">
        <v>0</v>
      </c>
      <c r="P2157" s="549">
        <v>100</v>
      </c>
      <c r="Q2157" s="549">
        <v>2939.01</v>
      </c>
    </row>
    <row r="2158" spans="1:17" x14ac:dyDescent="0.25">
      <c r="A2158" s="549" t="s">
        <v>1064</v>
      </c>
      <c r="B2158" s="549" t="s">
        <v>581</v>
      </c>
      <c r="C2158" s="549" t="s">
        <v>716</v>
      </c>
      <c r="D2158" s="549" t="s">
        <v>717</v>
      </c>
      <c r="E2158" s="549" t="s">
        <v>977</v>
      </c>
      <c r="F2158" s="549" t="s">
        <v>1212</v>
      </c>
      <c r="G2158" s="549" t="s">
        <v>1376</v>
      </c>
      <c r="H2158" s="549" t="s">
        <v>716</v>
      </c>
      <c r="I2158" s="549" t="s">
        <v>976</v>
      </c>
      <c r="J2158" s="549" t="s">
        <v>976</v>
      </c>
      <c r="K2158" s="549" t="s">
        <v>976</v>
      </c>
      <c r="L2158" s="549">
        <v>30112.84</v>
      </c>
      <c r="M2158" s="549">
        <v>2273.52</v>
      </c>
      <c r="N2158" s="549">
        <v>665.49</v>
      </c>
      <c r="O2158" s="549">
        <v>0</v>
      </c>
      <c r="P2158" s="549">
        <v>100</v>
      </c>
      <c r="Q2158" s="549">
        <v>2939.01</v>
      </c>
    </row>
    <row r="2159" spans="1:17" x14ac:dyDescent="0.25">
      <c r="A2159" s="549" t="s">
        <v>1064</v>
      </c>
      <c r="B2159" s="549" t="s">
        <v>581</v>
      </c>
      <c r="C2159" s="549" t="s">
        <v>716</v>
      </c>
      <c r="D2159" s="549" t="s">
        <v>717</v>
      </c>
      <c r="E2159" s="549" t="s">
        <v>977</v>
      </c>
      <c r="F2159" s="549" t="s">
        <v>1212</v>
      </c>
      <c r="G2159" s="549" t="s">
        <v>1350</v>
      </c>
      <c r="H2159" s="549" t="s">
        <v>716</v>
      </c>
      <c r="I2159" s="549" t="s">
        <v>976</v>
      </c>
      <c r="J2159" s="549" t="s">
        <v>976</v>
      </c>
      <c r="K2159" s="549" t="s">
        <v>976</v>
      </c>
      <c r="L2159" s="549">
        <v>1.05</v>
      </c>
      <c r="M2159" s="549">
        <v>0.08</v>
      </c>
      <c r="N2159" s="549">
        <v>0.02</v>
      </c>
      <c r="O2159" s="549">
        <v>0</v>
      </c>
      <c r="P2159" s="549">
        <v>100</v>
      </c>
      <c r="Q2159" s="549">
        <v>0.1</v>
      </c>
    </row>
    <row r="2160" spans="1:17" x14ac:dyDescent="0.25">
      <c r="A2160" s="549" t="s">
        <v>1064</v>
      </c>
      <c r="B2160" s="549" t="s">
        <v>581</v>
      </c>
      <c r="C2160" s="549" t="s">
        <v>716</v>
      </c>
      <c r="D2160" s="549" t="s">
        <v>717</v>
      </c>
      <c r="E2160" s="549" t="s">
        <v>977</v>
      </c>
      <c r="F2160" s="549" t="s">
        <v>1212</v>
      </c>
      <c r="G2160" s="549" t="s">
        <v>1377</v>
      </c>
      <c r="H2160" s="549" t="s">
        <v>716</v>
      </c>
      <c r="I2160" s="549" t="s">
        <v>976</v>
      </c>
      <c r="J2160" s="549" t="s">
        <v>976</v>
      </c>
      <c r="K2160" s="549" t="s">
        <v>976</v>
      </c>
      <c r="L2160" s="549">
        <v>1.05</v>
      </c>
      <c r="M2160" s="549">
        <v>0.08</v>
      </c>
      <c r="N2160" s="549">
        <v>0.02</v>
      </c>
      <c r="O2160" s="549">
        <v>0</v>
      </c>
      <c r="P2160" s="549">
        <v>100</v>
      </c>
      <c r="Q2160" s="549">
        <v>0.1</v>
      </c>
    </row>
    <row r="2161" spans="1:17" x14ac:dyDescent="0.25">
      <c r="A2161" s="549" t="s">
        <v>1064</v>
      </c>
      <c r="B2161" s="549" t="s">
        <v>581</v>
      </c>
      <c r="C2161" s="549" t="s">
        <v>716</v>
      </c>
      <c r="D2161" s="549" t="s">
        <v>717</v>
      </c>
      <c r="E2161" s="549" t="s">
        <v>977</v>
      </c>
      <c r="F2161" s="549" t="s">
        <v>1212</v>
      </c>
      <c r="G2161" s="549" t="s">
        <v>1250</v>
      </c>
      <c r="H2161" s="549" t="s">
        <v>716</v>
      </c>
      <c r="I2161" s="549" t="s">
        <v>976</v>
      </c>
      <c r="J2161" s="549" t="s">
        <v>976</v>
      </c>
      <c r="K2161" s="549" t="s">
        <v>976</v>
      </c>
      <c r="L2161" s="549">
        <v>0.02</v>
      </c>
      <c r="M2161" s="549">
        <v>0</v>
      </c>
      <c r="N2161" s="549">
        <v>0</v>
      </c>
      <c r="O2161" s="549">
        <v>0</v>
      </c>
      <c r="P2161" s="549">
        <v>100</v>
      </c>
      <c r="Q2161" s="549">
        <v>0</v>
      </c>
    </row>
    <row r="2162" spans="1:17" x14ac:dyDescent="0.25">
      <c r="A2162" s="549" t="s">
        <v>1064</v>
      </c>
      <c r="B2162" s="549" t="s">
        <v>581</v>
      </c>
      <c r="C2162" s="549" t="s">
        <v>716</v>
      </c>
      <c r="D2162" s="549" t="s">
        <v>717</v>
      </c>
      <c r="E2162" s="549" t="s">
        <v>977</v>
      </c>
      <c r="F2162" s="549" t="s">
        <v>1212</v>
      </c>
      <c r="G2162" s="549" t="s">
        <v>1268</v>
      </c>
      <c r="H2162" s="549" t="s">
        <v>716</v>
      </c>
      <c r="I2162" s="549" t="s">
        <v>976</v>
      </c>
      <c r="J2162" s="549" t="s">
        <v>976</v>
      </c>
      <c r="K2162" s="549" t="s">
        <v>976</v>
      </c>
      <c r="L2162" s="549">
        <v>1.05</v>
      </c>
      <c r="M2162" s="549">
        <v>0.08</v>
      </c>
      <c r="N2162" s="549">
        <v>0.02</v>
      </c>
      <c r="O2162" s="549">
        <v>0</v>
      </c>
      <c r="P2162" s="549">
        <v>100</v>
      </c>
      <c r="Q2162" s="549">
        <v>0.1</v>
      </c>
    </row>
    <row r="2163" spans="1:17" x14ac:dyDescent="0.25">
      <c r="A2163" s="549" t="s">
        <v>1064</v>
      </c>
      <c r="B2163" s="549" t="s">
        <v>581</v>
      </c>
      <c r="C2163" s="549" t="s">
        <v>716</v>
      </c>
      <c r="D2163" s="549" t="s">
        <v>717</v>
      </c>
      <c r="E2163" s="549" t="s">
        <v>977</v>
      </c>
      <c r="F2163" s="549" t="s">
        <v>1212</v>
      </c>
      <c r="G2163" s="549" t="s">
        <v>1315</v>
      </c>
      <c r="H2163" s="549" t="s">
        <v>716</v>
      </c>
      <c r="I2163" s="549" t="s">
        <v>976</v>
      </c>
      <c r="J2163" s="549" t="s">
        <v>976</v>
      </c>
      <c r="K2163" s="549" t="s">
        <v>976</v>
      </c>
      <c r="L2163" s="549">
        <v>1.05</v>
      </c>
      <c r="M2163" s="549">
        <v>0.08</v>
      </c>
      <c r="N2163" s="549">
        <v>0.02</v>
      </c>
      <c r="O2163" s="549">
        <v>0</v>
      </c>
      <c r="P2163" s="549">
        <v>100</v>
      </c>
      <c r="Q2163" s="549">
        <v>0.1</v>
      </c>
    </row>
    <row r="2164" spans="1:17" x14ac:dyDescent="0.25">
      <c r="A2164" s="549" t="s">
        <v>1064</v>
      </c>
      <c r="B2164" s="549" t="s">
        <v>581</v>
      </c>
      <c r="C2164" s="549" t="s">
        <v>716</v>
      </c>
      <c r="D2164" s="549" t="s">
        <v>717</v>
      </c>
      <c r="E2164" s="549" t="s">
        <v>977</v>
      </c>
      <c r="F2164" s="549" t="s">
        <v>1212</v>
      </c>
      <c r="G2164" s="549" t="s">
        <v>1215</v>
      </c>
      <c r="H2164" s="549" t="s">
        <v>716</v>
      </c>
      <c r="I2164" s="549" t="s">
        <v>976</v>
      </c>
      <c r="J2164" s="549" t="s">
        <v>976</v>
      </c>
      <c r="K2164" s="549" t="s">
        <v>976</v>
      </c>
      <c r="L2164" s="549">
        <v>0.02</v>
      </c>
      <c r="M2164" s="549">
        <v>0</v>
      </c>
      <c r="N2164" s="549">
        <v>0</v>
      </c>
      <c r="O2164" s="549">
        <v>0</v>
      </c>
      <c r="P2164" s="549">
        <v>100</v>
      </c>
      <c r="Q2164" s="549">
        <v>0</v>
      </c>
    </row>
    <row r="2165" spans="1:17" x14ac:dyDescent="0.25">
      <c r="A2165" s="549" t="s">
        <v>1064</v>
      </c>
      <c r="B2165" s="549" t="s">
        <v>581</v>
      </c>
      <c r="C2165" s="549" t="s">
        <v>718</v>
      </c>
      <c r="D2165" s="549" t="s">
        <v>719</v>
      </c>
      <c r="E2165" s="549" t="s">
        <v>977</v>
      </c>
      <c r="F2165" s="549" t="s">
        <v>1212</v>
      </c>
      <c r="G2165" s="549">
        <v>22</v>
      </c>
      <c r="H2165" s="549" t="s">
        <v>718</v>
      </c>
      <c r="I2165" s="549" t="s">
        <v>976</v>
      </c>
      <c r="J2165" s="549" t="s">
        <v>976</v>
      </c>
      <c r="K2165" s="549" t="s">
        <v>976</v>
      </c>
      <c r="L2165" s="549">
        <v>97217.72</v>
      </c>
      <c r="M2165" s="549">
        <v>7339.94</v>
      </c>
      <c r="N2165" s="549">
        <v>2148.5100000000002</v>
      </c>
      <c r="O2165" s="549">
        <v>992</v>
      </c>
      <c r="P2165" s="549">
        <v>100</v>
      </c>
      <c r="Q2165" s="549">
        <v>10480.450000000001</v>
      </c>
    </row>
    <row r="2166" spans="1:17" x14ac:dyDescent="0.25">
      <c r="A2166" s="549" t="s">
        <v>1064</v>
      </c>
      <c r="B2166" s="549" t="s">
        <v>581</v>
      </c>
      <c r="C2166" s="549" t="s">
        <v>718</v>
      </c>
      <c r="D2166" s="549" t="s">
        <v>719</v>
      </c>
      <c r="E2166" s="549" t="s">
        <v>977</v>
      </c>
      <c r="F2166" s="549" t="s">
        <v>1212</v>
      </c>
      <c r="G2166" s="549">
        <v>38</v>
      </c>
      <c r="H2166" s="549" t="s">
        <v>718</v>
      </c>
      <c r="I2166" s="549" t="s">
        <v>976</v>
      </c>
      <c r="J2166" s="549" t="s">
        <v>976</v>
      </c>
      <c r="K2166" s="549" t="s">
        <v>976</v>
      </c>
      <c r="L2166" s="549">
        <v>104344.12</v>
      </c>
      <c r="M2166" s="549">
        <v>7877.98</v>
      </c>
      <c r="N2166" s="549">
        <v>2306.0100000000002</v>
      </c>
      <c r="O2166" s="549">
        <v>992</v>
      </c>
      <c r="P2166" s="549">
        <v>100</v>
      </c>
      <c r="Q2166" s="549">
        <v>11175.99</v>
      </c>
    </row>
    <row r="2167" spans="1:17" x14ac:dyDescent="0.25">
      <c r="A2167" s="549" t="s">
        <v>1064</v>
      </c>
      <c r="B2167" s="549" t="s">
        <v>581</v>
      </c>
      <c r="C2167" s="549" t="s">
        <v>718</v>
      </c>
      <c r="D2167" s="549" t="s">
        <v>719</v>
      </c>
      <c r="E2167" s="549" t="s">
        <v>977</v>
      </c>
      <c r="F2167" s="549" t="s">
        <v>1212</v>
      </c>
      <c r="G2167" s="549">
        <v>42</v>
      </c>
      <c r="H2167" s="549" t="s">
        <v>718</v>
      </c>
      <c r="I2167" s="549" t="s">
        <v>976</v>
      </c>
      <c r="J2167" s="549" t="s">
        <v>976</v>
      </c>
      <c r="K2167" s="549" t="s">
        <v>976</v>
      </c>
      <c r="L2167" s="549">
        <v>97217.72</v>
      </c>
      <c r="M2167" s="549">
        <v>7339.94</v>
      </c>
      <c r="N2167" s="549">
        <v>2148.5100000000002</v>
      </c>
      <c r="O2167" s="549">
        <v>992</v>
      </c>
      <c r="P2167" s="549">
        <v>100</v>
      </c>
      <c r="Q2167" s="549">
        <v>10480.450000000001</v>
      </c>
    </row>
    <row r="2168" spans="1:17" x14ac:dyDescent="0.25">
      <c r="A2168" s="549" t="s">
        <v>1064</v>
      </c>
      <c r="B2168" s="549" t="s">
        <v>581</v>
      </c>
      <c r="C2168" s="549" t="s">
        <v>718</v>
      </c>
      <c r="D2168" s="549" t="s">
        <v>719</v>
      </c>
      <c r="E2168" s="549" t="s">
        <v>977</v>
      </c>
      <c r="F2168" s="549" t="s">
        <v>1212</v>
      </c>
      <c r="G2168" s="549" t="s">
        <v>1235</v>
      </c>
      <c r="H2168" s="549" t="s">
        <v>718</v>
      </c>
      <c r="I2168" s="549" t="s">
        <v>976</v>
      </c>
      <c r="J2168" s="549" t="s">
        <v>976</v>
      </c>
      <c r="K2168" s="549" t="s">
        <v>976</v>
      </c>
      <c r="L2168" s="549">
        <v>150619.6</v>
      </c>
      <c r="M2168" s="549">
        <v>11371.78</v>
      </c>
      <c r="N2168" s="549">
        <v>3328.69</v>
      </c>
      <c r="O2168" s="549">
        <v>0</v>
      </c>
      <c r="P2168" s="549">
        <v>100</v>
      </c>
      <c r="Q2168" s="549">
        <v>14700.47</v>
      </c>
    </row>
    <row r="2169" spans="1:17" x14ac:dyDescent="0.25">
      <c r="A2169" s="549" t="s">
        <v>1064</v>
      </c>
      <c r="B2169" s="549" t="s">
        <v>581</v>
      </c>
      <c r="C2169" s="549" t="s">
        <v>718</v>
      </c>
      <c r="D2169" s="549" t="s">
        <v>719</v>
      </c>
      <c r="E2169" s="549" t="s">
        <v>977</v>
      </c>
      <c r="F2169" s="549" t="s">
        <v>1212</v>
      </c>
      <c r="G2169" s="549" t="s">
        <v>1236</v>
      </c>
      <c r="H2169" s="549" t="s">
        <v>718</v>
      </c>
      <c r="I2169" s="549" t="s">
        <v>976</v>
      </c>
      <c r="J2169" s="549" t="s">
        <v>976</v>
      </c>
      <c r="K2169" s="549" t="s">
        <v>976</v>
      </c>
      <c r="L2169" s="549">
        <v>150619.6</v>
      </c>
      <c r="M2169" s="549">
        <v>11371.78</v>
      </c>
      <c r="N2169" s="549">
        <v>3328.69</v>
      </c>
      <c r="O2169" s="549">
        <v>0</v>
      </c>
      <c r="P2169" s="549">
        <v>100</v>
      </c>
      <c r="Q2169" s="549">
        <v>14700.47</v>
      </c>
    </row>
    <row r="2170" spans="1:17" x14ac:dyDescent="0.25">
      <c r="A2170" s="549" t="s">
        <v>1064</v>
      </c>
      <c r="B2170" s="549" t="s">
        <v>581</v>
      </c>
      <c r="C2170" s="549" t="s">
        <v>718</v>
      </c>
      <c r="D2170" s="549" t="s">
        <v>719</v>
      </c>
      <c r="E2170" s="549" t="s">
        <v>977</v>
      </c>
      <c r="F2170" s="549" t="s">
        <v>1212</v>
      </c>
      <c r="G2170" s="549" t="s">
        <v>1378</v>
      </c>
      <c r="H2170" s="549" t="s">
        <v>718</v>
      </c>
      <c r="I2170" s="549" t="s">
        <v>976</v>
      </c>
      <c r="J2170" s="549" t="s">
        <v>976</v>
      </c>
      <c r="K2170" s="549" t="s">
        <v>976</v>
      </c>
      <c r="L2170" s="549">
        <v>30794.43</v>
      </c>
      <c r="M2170" s="549">
        <v>2324.98</v>
      </c>
      <c r="N2170" s="549">
        <v>680.56</v>
      </c>
      <c r="O2170" s="549">
        <v>0</v>
      </c>
      <c r="P2170" s="549">
        <v>100</v>
      </c>
      <c r="Q2170" s="549">
        <v>3005.54</v>
      </c>
    </row>
    <row r="2171" spans="1:17" x14ac:dyDescent="0.25">
      <c r="A2171" s="549" t="s">
        <v>1064</v>
      </c>
      <c r="B2171" s="549" t="s">
        <v>581</v>
      </c>
      <c r="C2171" s="549" t="s">
        <v>718</v>
      </c>
      <c r="D2171" s="549" t="s">
        <v>719</v>
      </c>
      <c r="E2171" s="549" t="s">
        <v>977</v>
      </c>
      <c r="F2171" s="549" t="s">
        <v>1212</v>
      </c>
      <c r="G2171" s="549" t="s">
        <v>1379</v>
      </c>
      <c r="H2171" s="549" t="s">
        <v>718</v>
      </c>
      <c r="I2171" s="549" t="s">
        <v>976</v>
      </c>
      <c r="J2171" s="549" t="s">
        <v>976</v>
      </c>
      <c r="K2171" s="549" t="s">
        <v>976</v>
      </c>
      <c r="L2171" s="549">
        <v>30794.43</v>
      </c>
      <c r="M2171" s="549">
        <v>2324.98</v>
      </c>
      <c r="N2171" s="549">
        <v>680.56</v>
      </c>
      <c r="O2171" s="549">
        <v>0</v>
      </c>
      <c r="P2171" s="549">
        <v>100</v>
      </c>
      <c r="Q2171" s="549">
        <v>3005.54</v>
      </c>
    </row>
    <row r="2172" spans="1:17" x14ac:dyDescent="0.25">
      <c r="A2172" s="549" t="s">
        <v>1064</v>
      </c>
      <c r="B2172" s="549" t="s">
        <v>581</v>
      </c>
      <c r="C2172" s="549" t="s">
        <v>718</v>
      </c>
      <c r="D2172" s="549" t="s">
        <v>719</v>
      </c>
      <c r="E2172" s="549" t="s">
        <v>977</v>
      </c>
      <c r="F2172" s="549" t="s">
        <v>1212</v>
      </c>
      <c r="G2172" s="549">
        <v>232</v>
      </c>
      <c r="H2172" s="549" t="s">
        <v>712</v>
      </c>
      <c r="I2172" s="549" t="s">
        <v>976</v>
      </c>
      <c r="J2172" s="549" t="s">
        <v>976</v>
      </c>
      <c r="K2172" s="549" t="s">
        <v>976</v>
      </c>
      <c r="L2172" s="549">
        <v>499633.06</v>
      </c>
      <c r="M2172" s="549">
        <v>37722.300000000003</v>
      </c>
      <c r="N2172" s="549">
        <v>11041.89</v>
      </c>
      <c r="O2172" s="549">
        <v>3968</v>
      </c>
      <c r="P2172" s="549">
        <v>100</v>
      </c>
      <c r="Q2172" s="549">
        <v>52732.19</v>
      </c>
    </row>
    <row r="2173" spans="1:17" x14ac:dyDescent="0.25">
      <c r="A2173" s="549" t="s">
        <v>1064</v>
      </c>
      <c r="B2173" s="549" t="s">
        <v>581</v>
      </c>
      <c r="C2173" s="549" t="s">
        <v>718</v>
      </c>
      <c r="D2173" s="549" t="s">
        <v>719</v>
      </c>
      <c r="E2173" s="549" t="s">
        <v>977</v>
      </c>
      <c r="F2173" s="549" t="s">
        <v>1212</v>
      </c>
      <c r="G2173" s="549">
        <v>342</v>
      </c>
      <c r="H2173" s="549" t="s">
        <v>712</v>
      </c>
      <c r="I2173" s="549" t="s">
        <v>976</v>
      </c>
      <c r="J2173" s="549" t="s">
        <v>976</v>
      </c>
      <c r="K2173" s="549" t="s">
        <v>976</v>
      </c>
      <c r="L2173" s="549">
        <v>499633.06</v>
      </c>
      <c r="M2173" s="549">
        <v>37722.300000000003</v>
      </c>
      <c r="N2173" s="549">
        <v>11041.89</v>
      </c>
      <c r="O2173" s="549">
        <v>3968</v>
      </c>
      <c r="P2173" s="549">
        <v>100</v>
      </c>
      <c r="Q2173" s="549">
        <v>52732.19</v>
      </c>
    </row>
    <row r="2174" spans="1:17" x14ac:dyDescent="0.25">
      <c r="A2174" s="549" t="s">
        <v>1064</v>
      </c>
      <c r="B2174" s="549" t="s">
        <v>581</v>
      </c>
      <c r="C2174" s="549" t="s">
        <v>712</v>
      </c>
      <c r="D2174" s="549" t="s">
        <v>713</v>
      </c>
      <c r="E2174" s="549" t="s">
        <v>973</v>
      </c>
      <c r="F2174" s="549" t="s">
        <v>1212</v>
      </c>
      <c r="G2174" s="549">
        <v>242</v>
      </c>
      <c r="H2174" s="549" t="s">
        <v>712</v>
      </c>
      <c r="I2174" s="549" t="s">
        <v>976</v>
      </c>
      <c r="J2174" s="549" t="s">
        <v>976</v>
      </c>
      <c r="K2174" s="549" t="s">
        <v>976</v>
      </c>
      <c r="L2174" s="549">
        <v>340679.91</v>
      </c>
      <c r="M2174" s="549">
        <v>25721.33</v>
      </c>
      <c r="N2174" s="549">
        <v>19555.03</v>
      </c>
      <c r="O2174" s="549">
        <v>1984</v>
      </c>
      <c r="P2174" s="549">
        <v>0</v>
      </c>
      <c r="Q2174" s="549">
        <v>0</v>
      </c>
    </row>
    <row r="2175" spans="1:17" x14ac:dyDescent="0.25">
      <c r="A2175" s="549" t="s">
        <v>1064</v>
      </c>
      <c r="B2175" s="549" t="s">
        <v>581</v>
      </c>
      <c r="C2175" s="549" t="s">
        <v>712</v>
      </c>
      <c r="D2175" s="549" t="s">
        <v>713</v>
      </c>
      <c r="E2175" s="549" t="s">
        <v>973</v>
      </c>
      <c r="F2175" s="549" t="s">
        <v>1212</v>
      </c>
      <c r="G2175" s="549">
        <v>262</v>
      </c>
      <c r="H2175" s="549" t="s">
        <v>712</v>
      </c>
      <c r="I2175" s="549" t="s">
        <v>976</v>
      </c>
      <c r="J2175" s="549" t="s">
        <v>976</v>
      </c>
      <c r="K2175" s="549" t="s">
        <v>976</v>
      </c>
      <c r="L2175" s="549">
        <v>340679.91</v>
      </c>
      <c r="M2175" s="549">
        <v>25721.33</v>
      </c>
      <c r="N2175" s="549">
        <v>19555.03</v>
      </c>
      <c r="O2175" s="549">
        <v>1984</v>
      </c>
      <c r="P2175" s="549">
        <v>0</v>
      </c>
      <c r="Q2175" s="549">
        <v>0</v>
      </c>
    </row>
    <row r="2176" spans="1:17" x14ac:dyDescent="0.25">
      <c r="A2176" s="549" t="s">
        <v>1064</v>
      </c>
      <c r="B2176" s="549" t="s">
        <v>581</v>
      </c>
      <c r="C2176" s="549" t="s">
        <v>712</v>
      </c>
      <c r="D2176" s="549" t="s">
        <v>713</v>
      </c>
      <c r="E2176" s="549" t="s">
        <v>973</v>
      </c>
      <c r="F2176" s="549" t="s">
        <v>1212</v>
      </c>
      <c r="G2176" s="549">
        <v>282</v>
      </c>
      <c r="H2176" s="549" t="s">
        <v>712</v>
      </c>
      <c r="I2176" s="549" t="s">
        <v>976</v>
      </c>
      <c r="J2176" s="549" t="s">
        <v>976</v>
      </c>
      <c r="K2176" s="549" t="s">
        <v>976</v>
      </c>
      <c r="L2176" s="549">
        <v>340679.91</v>
      </c>
      <c r="M2176" s="549">
        <v>25721.33</v>
      </c>
      <c r="N2176" s="549">
        <v>19555.03</v>
      </c>
      <c r="O2176" s="549">
        <v>3968</v>
      </c>
      <c r="P2176" s="549">
        <v>0</v>
      </c>
      <c r="Q2176" s="549">
        <v>0</v>
      </c>
    </row>
    <row r="2177" spans="1:17" x14ac:dyDescent="0.25">
      <c r="A2177" s="549" t="s">
        <v>1064</v>
      </c>
      <c r="B2177" s="549" t="s">
        <v>581</v>
      </c>
      <c r="C2177" s="549" t="s">
        <v>712</v>
      </c>
      <c r="D2177" s="549" t="s">
        <v>713</v>
      </c>
      <c r="E2177" s="549" t="s">
        <v>973</v>
      </c>
      <c r="F2177" s="549" t="s">
        <v>1212</v>
      </c>
      <c r="G2177" s="549">
        <v>302</v>
      </c>
      <c r="H2177" s="549" t="s">
        <v>712</v>
      </c>
      <c r="I2177" s="549" t="s">
        <v>976</v>
      </c>
      <c r="J2177" s="549" t="s">
        <v>976</v>
      </c>
      <c r="K2177" s="549" t="s">
        <v>976</v>
      </c>
      <c r="L2177" s="549">
        <v>340679.91</v>
      </c>
      <c r="M2177" s="549">
        <v>25721.33</v>
      </c>
      <c r="N2177" s="549">
        <v>19555.03</v>
      </c>
      <c r="O2177" s="549">
        <v>1984</v>
      </c>
      <c r="P2177" s="549">
        <v>0</v>
      </c>
      <c r="Q2177" s="549">
        <v>0</v>
      </c>
    </row>
    <row r="2178" spans="1:17" x14ac:dyDescent="0.25">
      <c r="A2178" s="549" t="s">
        <v>1064</v>
      </c>
      <c r="B2178" s="549" t="s">
        <v>581</v>
      </c>
      <c r="C2178" s="549" t="s">
        <v>712</v>
      </c>
      <c r="D2178" s="549" t="s">
        <v>713</v>
      </c>
      <c r="E2178" s="549" t="s">
        <v>977</v>
      </c>
      <c r="F2178" s="549" t="s">
        <v>1212</v>
      </c>
      <c r="G2178" s="549">
        <v>242</v>
      </c>
      <c r="H2178" s="549" t="s">
        <v>712</v>
      </c>
      <c r="I2178" s="549" t="s">
        <v>976</v>
      </c>
      <c r="J2178" s="549" t="s">
        <v>976</v>
      </c>
      <c r="K2178" s="549" t="s">
        <v>976</v>
      </c>
      <c r="L2178" s="549">
        <v>340679.91</v>
      </c>
      <c r="M2178" s="549">
        <v>25721.33</v>
      </c>
      <c r="N2178" s="549">
        <v>7529.03</v>
      </c>
      <c r="O2178" s="549">
        <v>1984</v>
      </c>
      <c r="P2178" s="549">
        <v>100</v>
      </c>
      <c r="Q2178" s="549">
        <v>35234.36</v>
      </c>
    </row>
    <row r="2179" spans="1:17" x14ac:dyDescent="0.25">
      <c r="A2179" s="549" t="s">
        <v>1064</v>
      </c>
      <c r="B2179" s="549" t="s">
        <v>581</v>
      </c>
      <c r="C2179" s="549" t="s">
        <v>712</v>
      </c>
      <c r="D2179" s="549" t="s">
        <v>713</v>
      </c>
      <c r="E2179" s="549" t="s">
        <v>977</v>
      </c>
      <c r="F2179" s="549" t="s">
        <v>1212</v>
      </c>
      <c r="G2179" s="549">
        <v>262</v>
      </c>
      <c r="H2179" s="549" t="s">
        <v>712</v>
      </c>
      <c r="I2179" s="549" t="s">
        <v>976</v>
      </c>
      <c r="J2179" s="549" t="s">
        <v>976</v>
      </c>
      <c r="K2179" s="549" t="s">
        <v>976</v>
      </c>
      <c r="L2179" s="549">
        <v>340679.91</v>
      </c>
      <c r="M2179" s="549">
        <v>25721.33</v>
      </c>
      <c r="N2179" s="549">
        <v>7529.03</v>
      </c>
      <c r="O2179" s="549">
        <v>1984</v>
      </c>
      <c r="P2179" s="549">
        <v>100</v>
      </c>
      <c r="Q2179" s="549">
        <v>35234.36</v>
      </c>
    </row>
    <row r="2180" spans="1:17" x14ac:dyDescent="0.25">
      <c r="A2180" s="549" t="s">
        <v>1064</v>
      </c>
      <c r="B2180" s="549" t="s">
        <v>581</v>
      </c>
      <c r="C2180" s="549" t="s">
        <v>712</v>
      </c>
      <c r="D2180" s="549" t="s">
        <v>713</v>
      </c>
      <c r="E2180" s="549" t="s">
        <v>977</v>
      </c>
      <c r="F2180" s="549" t="s">
        <v>1212</v>
      </c>
      <c r="G2180" s="549">
        <v>282</v>
      </c>
      <c r="H2180" s="549" t="s">
        <v>712</v>
      </c>
      <c r="I2180" s="549" t="s">
        <v>976</v>
      </c>
      <c r="J2180" s="549" t="s">
        <v>976</v>
      </c>
      <c r="K2180" s="549" t="s">
        <v>976</v>
      </c>
      <c r="L2180" s="549">
        <v>340679.91</v>
      </c>
      <c r="M2180" s="549">
        <v>25721.33</v>
      </c>
      <c r="N2180" s="549">
        <v>7529.03</v>
      </c>
      <c r="O2180" s="549">
        <v>3968</v>
      </c>
      <c r="P2180" s="549">
        <v>100</v>
      </c>
      <c r="Q2180" s="549">
        <v>37218.36</v>
      </c>
    </row>
    <row r="2181" spans="1:17" x14ac:dyDescent="0.25">
      <c r="A2181" s="549" t="s">
        <v>1064</v>
      </c>
      <c r="B2181" s="549" t="s">
        <v>581</v>
      </c>
      <c r="C2181" s="549" t="s">
        <v>712</v>
      </c>
      <c r="D2181" s="549" t="s">
        <v>713</v>
      </c>
      <c r="E2181" s="549" t="s">
        <v>977</v>
      </c>
      <c r="F2181" s="549" t="s">
        <v>1212</v>
      </c>
      <c r="G2181" s="549">
        <v>302</v>
      </c>
      <c r="H2181" s="549" t="s">
        <v>712</v>
      </c>
      <c r="I2181" s="549" t="s">
        <v>976</v>
      </c>
      <c r="J2181" s="549" t="s">
        <v>976</v>
      </c>
      <c r="K2181" s="549" t="s">
        <v>976</v>
      </c>
      <c r="L2181" s="549">
        <v>340679.91</v>
      </c>
      <c r="M2181" s="549">
        <v>25721.33</v>
      </c>
      <c r="N2181" s="549">
        <v>7529.03</v>
      </c>
      <c r="O2181" s="549">
        <v>1984</v>
      </c>
      <c r="P2181" s="549">
        <v>100</v>
      </c>
      <c r="Q2181" s="549">
        <v>35234.36</v>
      </c>
    </row>
    <row r="2182" spans="1:17" x14ac:dyDescent="0.25">
      <c r="A2182" s="549" t="s">
        <v>1064</v>
      </c>
      <c r="B2182" s="549" t="s">
        <v>581</v>
      </c>
      <c r="C2182" s="549" t="s">
        <v>714</v>
      </c>
      <c r="D2182" s="549" t="s">
        <v>715</v>
      </c>
      <c r="E2182" s="549" t="s">
        <v>977</v>
      </c>
      <c r="F2182" s="549" t="s">
        <v>1212</v>
      </c>
      <c r="G2182" s="549">
        <v>522</v>
      </c>
      <c r="H2182" s="549" t="s">
        <v>714</v>
      </c>
      <c r="I2182" s="549" t="s">
        <v>976</v>
      </c>
      <c r="J2182" s="549" t="s">
        <v>976</v>
      </c>
      <c r="K2182" s="549" t="s">
        <v>976</v>
      </c>
      <c r="L2182" s="549">
        <v>340679.91</v>
      </c>
      <c r="M2182" s="549">
        <v>25721.33</v>
      </c>
      <c r="N2182" s="549">
        <v>7529.03</v>
      </c>
      <c r="O2182" s="549">
        <v>1984</v>
      </c>
      <c r="P2182" s="549">
        <v>100</v>
      </c>
      <c r="Q2182" s="549">
        <v>35234.36</v>
      </c>
    </row>
    <row r="2183" spans="1:17" x14ac:dyDescent="0.25">
      <c r="A2183" s="549" t="s">
        <v>1064</v>
      </c>
      <c r="B2183" s="549" t="s">
        <v>581</v>
      </c>
      <c r="C2183" s="549" t="s">
        <v>714</v>
      </c>
      <c r="D2183" s="549" t="s">
        <v>715</v>
      </c>
      <c r="E2183" s="549" t="s">
        <v>977</v>
      </c>
      <c r="F2183" s="549" t="s">
        <v>1212</v>
      </c>
      <c r="G2183" s="549">
        <v>542</v>
      </c>
      <c r="H2183" s="549" t="s">
        <v>714</v>
      </c>
      <c r="I2183" s="549" t="s">
        <v>976</v>
      </c>
      <c r="J2183" s="549" t="s">
        <v>976</v>
      </c>
      <c r="K2183" s="549" t="s">
        <v>976</v>
      </c>
      <c r="L2183" s="549">
        <v>340679.91</v>
      </c>
      <c r="M2183" s="549">
        <v>25721.33</v>
      </c>
      <c r="N2183" s="549">
        <v>7529.03</v>
      </c>
      <c r="O2183" s="549">
        <v>1984</v>
      </c>
      <c r="P2183" s="549">
        <v>100</v>
      </c>
      <c r="Q2183" s="549">
        <v>35234.36</v>
      </c>
    </row>
    <row r="2184" spans="1:17" x14ac:dyDescent="0.25">
      <c r="A2184" s="549" t="s">
        <v>1064</v>
      </c>
      <c r="B2184" s="549" t="s">
        <v>581</v>
      </c>
      <c r="C2184" s="549" t="s">
        <v>714</v>
      </c>
      <c r="D2184" s="549" t="s">
        <v>715</v>
      </c>
      <c r="E2184" s="549" t="s">
        <v>977</v>
      </c>
      <c r="F2184" s="549" t="s">
        <v>1212</v>
      </c>
      <c r="G2184" s="549">
        <v>1222</v>
      </c>
      <c r="H2184" s="549" t="s">
        <v>714</v>
      </c>
      <c r="I2184" s="549" t="s">
        <v>976</v>
      </c>
      <c r="J2184" s="549" t="s">
        <v>976</v>
      </c>
      <c r="K2184" s="549" t="s">
        <v>976</v>
      </c>
      <c r="L2184" s="549">
        <v>82374.48</v>
      </c>
      <c r="M2184" s="549">
        <v>6219.27</v>
      </c>
      <c r="N2184" s="549">
        <v>1820.48</v>
      </c>
      <c r="O2184" s="549">
        <v>992</v>
      </c>
      <c r="P2184" s="549">
        <v>100</v>
      </c>
      <c r="Q2184" s="549">
        <v>9031.75</v>
      </c>
    </row>
    <row r="2185" spans="1:17" x14ac:dyDescent="0.25">
      <c r="A2185" s="549" t="s">
        <v>1064</v>
      </c>
      <c r="B2185" s="549" t="s">
        <v>581</v>
      </c>
      <c r="C2185" s="549" t="s">
        <v>714</v>
      </c>
      <c r="D2185" s="549" t="s">
        <v>715</v>
      </c>
      <c r="E2185" s="549" t="s">
        <v>977</v>
      </c>
      <c r="F2185" s="549" t="s">
        <v>1212</v>
      </c>
      <c r="G2185" s="549">
        <v>1232</v>
      </c>
      <c r="H2185" s="549" t="s">
        <v>714</v>
      </c>
      <c r="I2185" s="549" t="s">
        <v>976</v>
      </c>
      <c r="J2185" s="549" t="s">
        <v>976</v>
      </c>
      <c r="K2185" s="549" t="s">
        <v>976</v>
      </c>
      <c r="L2185" s="549">
        <v>234357.8</v>
      </c>
      <c r="M2185" s="549">
        <v>17694.009999999998</v>
      </c>
      <c r="N2185" s="549">
        <v>5179.3100000000004</v>
      </c>
      <c r="O2185" s="549">
        <v>1984</v>
      </c>
      <c r="P2185" s="549">
        <v>100</v>
      </c>
      <c r="Q2185" s="549">
        <v>24857.32</v>
      </c>
    </row>
    <row r="2186" spans="1:17" x14ac:dyDescent="0.25">
      <c r="A2186" s="549" t="s">
        <v>1064</v>
      </c>
      <c r="B2186" s="549" t="s">
        <v>581</v>
      </c>
      <c r="C2186" s="549" t="s">
        <v>714</v>
      </c>
      <c r="D2186" s="549" t="s">
        <v>715</v>
      </c>
      <c r="E2186" s="549" t="s">
        <v>977</v>
      </c>
      <c r="F2186" s="549" t="s">
        <v>1212</v>
      </c>
      <c r="G2186" s="549">
        <v>1237</v>
      </c>
      <c r="H2186" s="549" t="s">
        <v>714</v>
      </c>
      <c r="I2186" s="549" t="s">
        <v>976</v>
      </c>
      <c r="J2186" s="549" t="s">
        <v>976</v>
      </c>
      <c r="K2186" s="549" t="s">
        <v>976</v>
      </c>
      <c r="L2186" s="549">
        <v>11786.86</v>
      </c>
      <c r="M2186" s="549">
        <v>889.91</v>
      </c>
      <c r="N2186" s="549">
        <v>260.49</v>
      </c>
      <c r="O2186" s="549">
        <v>992</v>
      </c>
      <c r="P2186" s="549">
        <v>100</v>
      </c>
      <c r="Q2186" s="549">
        <v>2142.4</v>
      </c>
    </row>
    <row r="2187" spans="1:17" x14ac:dyDescent="0.25">
      <c r="A2187" s="549" t="s">
        <v>1064</v>
      </c>
      <c r="B2187" s="549" t="s">
        <v>581</v>
      </c>
      <c r="C2187" s="549" t="s">
        <v>714</v>
      </c>
      <c r="D2187" s="549" t="s">
        <v>715</v>
      </c>
      <c r="E2187" s="549" t="s">
        <v>977</v>
      </c>
      <c r="F2187" s="549" t="s">
        <v>1212</v>
      </c>
      <c r="G2187" s="549">
        <v>1242</v>
      </c>
      <c r="H2187" s="549" t="s">
        <v>714</v>
      </c>
      <c r="I2187" s="549" t="s">
        <v>976</v>
      </c>
      <c r="J2187" s="549" t="s">
        <v>976</v>
      </c>
      <c r="K2187" s="549" t="s">
        <v>976</v>
      </c>
      <c r="L2187" s="549">
        <v>82374.48</v>
      </c>
      <c r="M2187" s="549">
        <v>6219.27</v>
      </c>
      <c r="N2187" s="549">
        <v>1820.48</v>
      </c>
      <c r="O2187" s="549">
        <v>992</v>
      </c>
      <c r="P2187" s="549">
        <v>100</v>
      </c>
      <c r="Q2187" s="549">
        <v>9031.75</v>
      </c>
    </row>
    <row r="2188" spans="1:17" x14ac:dyDescent="0.25">
      <c r="A2188" s="549" t="s">
        <v>1064</v>
      </c>
      <c r="B2188" s="549" t="s">
        <v>581</v>
      </c>
      <c r="C2188" s="549" t="s">
        <v>714</v>
      </c>
      <c r="D2188" s="549" t="s">
        <v>715</v>
      </c>
      <c r="E2188" s="549" t="s">
        <v>977</v>
      </c>
      <c r="F2188" s="549" t="s">
        <v>1212</v>
      </c>
      <c r="G2188" s="549">
        <v>1257</v>
      </c>
      <c r="H2188" s="549" t="s">
        <v>714</v>
      </c>
      <c r="I2188" s="549" t="s">
        <v>976</v>
      </c>
      <c r="J2188" s="549" t="s">
        <v>976</v>
      </c>
      <c r="K2188" s="549" t="s">
        <v>976</v>
      </c>
      <c r="L2188" s="549">
        <v>11786.86</v>
      </c>
      <c r="M2188" s="549">
        <v>889.91</v>
      </c>
      <c r="N2188" s="549">
        <v>260.49</v>
      </c>
      <c r="O2188" s="549">
        <v>992</v>
      </c>
      <c r="P2188" s="549">
        <v>100</v>
      </c>
      <c r="Q2188" s="549">
        <v>2142.4</v>
      </c>
    </row>
    <row r="2189" spans="1:17" x14ac:dyDescent="0.25">
      <c r="A2189" s="549" t="s">
        <v>1064</v>
      </c>
      <c r="B2189" s="549" t="s">
        <v>581</v>
      </c>
      <c r="C2189" s="549" t="s">
        <v>714</v>
      </c>
      <c r="D2189" s="549" t="s">
        <v>715</v>
      </c>
      <c r="E2189" s="549" t="s">
        <v>977</v>
      </c>
      <c r="F2189" s="549" t="s">
        <v>1212</v>
      </c>
      <c r="G2189" s="549">
        <v>1262</v>
      </c>
      <c r="H2189" s="549" t="s">
        <v>714</v>
      </c>
      <c r="I2189" s="549" t="s">
        <v>976</v>
      </c>
      <c r="J2189" s="549" t="s">
        <v>976</v>
      </c>
      <c r="K2189" s="549" t="s">
        <v>976</v>
      </c>
      <c r="L2189" s="549">
        <v>82374.48</v>
      </c>
      <c r="M2189" s="549">
        <v>6219.27</v>
      </c>
      <c r="N2189" s="549">
        <v>1820.48</v>
      </c>
      <c r="O2189" s="549">
        <v>992</v>
      </c>
      <c r="P2189" s="549">
        <v>100</v>
      </c>
      <c r="Q2189" s="549">
        <v>9031.75</v>
      </c>
    </row>
    <row r="2190" spans="1:17" x14ac:dyDescent="0.25">
      <c r="A2190" s="549" t="s">
        <v>1064</v>
      </c>
      <c r="B2190" s="549" t="s">
        <v>581</v>
      </c>
      <c r="C2190" s="549" t="s">
        <v>714</v>
      </c>
      <c r="D2190" s="549" t="s">
        <v>715</v>
      </c>
      <c r="E2190" s="549" t="s">
        <v>977</v>
      </c>
      <c r="F2190" s="549" t="s">
        <v>1212</v>
      </c>
      <c r="G2190" s="549">
        <v>1277</v>
      </c>
      <c r="H2190" s="549" t="s">
        <v>714</v>
      </c>
      <c r="I2190" s="549" t="s">
        <v>976</v>
      </c>
      <c r="J2190" s="549" t="s">
        <v>976</v>
      </c>
      <c r="K2190" s="549" t="s">
        <v>976</v>
      </c>
      <c r="L2190" s="549">
        <v>11786.86</v>
      </c>
      <c r="M2190" s="549">
        <v>889.91</v>
      </c>
      <c r="N2190" s="549">
        <v>260.49</v>
      </c>
      <c r="O2190" s="549">
        <v>992</v>
      </c>
      <c r="P2190" s="549">
        <v>100</v>
      </c>
      <c r="Q2190" s="549">
        <v>2142.4</v>
      </c>
    </row>
    <row r="2191" spans="1:17" x14ac:dyDescent="0.25">
      <c r="A2191" s="549" t="s">
        <v>1064</v>
      </c>
      <c r="B2191" s="549" t="s">
        <v>581</v>
      </c>
      <c r="C2191" s="549" t="s">
        <v>714</v>
      </c>
      <c r="D2191" s="549" t="s">
        <v>715</v>
      </c>
      <c r="E2191" s="549" t="s">
        <v>977</v>
      </c>
      <c r="F2191" s="549" t="s">
        <v>1212</v>
      </c>
      <c r="G2191" s="549">
        <v>1282</v>
      </c>
      <c r="H2191" s="549" t="s">
        <v>714</v>
      </c>
      <c r="I2191" s="549" t="s">
        <v>976</v>
      </c>
      <c r="J2191" s="549" t="s">
        <v>976</v>
      </c>
      <c r="K2191" s="549" t="s">
        <v>976</v>
      </c>
      <c r="L2191" s="549">
        <v>82374.48</v>
      </c>
      <c r="M2191" s="549">
        <v>6219.27</v>
      </c>
      <c r="N2191" s="549">
        <v>1820.48</v>
      </c>
      <c r="O2191" s="549">
        <v>992</v>
      </c>
      <c r="P2191" s="549">
        <v>100</v>
      </c>
      <c r="Q2191" s="549">
        <v>9031.75</v>
      </c>
    </row>
    <row r="2192" spans="1:17" x14ac:dyDescent="0.25">
      <c r="A2192" s="549" t="s">
        <v>1064</v>
      </c>
      <c r="B2192" s="549" t="s">
        <v>581</v>
      </c>
      <c r="C2192" s="549" t="s">
        <v>714</v>
      </c>
      <c r="D2192" s="549" t="s">
        <v>715</v>
      </c>
      <c r="E2192" s="549" t="s">
        <v>977</v>
      </c>
      <c r="F2192" s="549" t="s">
        <v>1212</v>
      </c>
      <c r="G2192" s="549">
        <v>1292</v>
      </c>
      <c r="H2192" s="549" t="s">
        <v>714</v>
      </c>
      <c r="I2192" s="549" t="s">
        <v>976</v>
      </c>
      <c r="J2192" s="549" t="s">
        <v>976</v>
      </c>
      <c r="K2192" s="549" t="s">
        <v>976</v>
      </c>
      <c r="L2192" s="549">
        <v>234357.8</v>
      </c>
      <c r="M2192" s="549">
        <v>17694.009999999998</v>
      </c>
      <c r="N2192" s="549">
        <v>5179.3100000000004</v>
      </c>
      <c r="O2192" s="549">
        <v>1984</v>
      </c>
      <c r="P2192" s="549">
        <v>100</v>
      </c>
      <c r="Q2192" s="549">
        <v>24857.32</v>
      </c>
    </row>
    <row r="2193" spans="1:17" x14ac:dyDescent="0.25">
      <c r="A2193" s="549" t="s">
        <v>1064</v>
      </c>
      <c r="B2193" s="549" t="s">
        <v>581</v>
      </c>
      <c r="C2193" s="549" t="s">
        <v>714</v>
      </c>
      <c r="D2193" s="549" t="s">
        <v>715</v>
      </c>
      <c r="E2193" s="549" t="s">
        <v>977</v>
      </c>
      <c r="F2193" s="549" t="s">
        <v>1212</v>
      </c>
      <c r="G2193" s="549" t="s">
        <v>1221</v>
      </c>
      <c r="H2193" s="549" t="s">
        <v>714</v>
      </c>
      <c r="I2193" s="549" t="s">
        <v>976</v>
      </c>
      <c r="J2193" s="549" t="s">
        <v>976</v>
      </c>
      <c r="K2193" s="549" t="s">
        <v>976</v>
      </c>
      <c r="L2193" s="549">
        <v>31683.14</v>
      </c>
      <c r="M2193" s="549">
        <v>2392.08</v>
      </c>
      <c r="N2193" s="549">
        <v>700.2</v>
      </c>
      <c r="O2193" s="549">
        <v>0</v>
      </c>
      <c r="P2193" s="549">
        <v>100</v>
      </c>
      <c r="Q2193" s="549">
        <v>3092.28</v>
      </c>
    </row>
    <row r="2194" spans="1:17" x14ac:dyDescent="0.25">
      <c r="A2194" s="549" t="s">
        <v>1064</v>
      </c>
      <c r="B2194" s="549" t="s">
        <v>581</v>
      </c>
      <c r="C2194" s="549" t="s">
        <v>714</v>
      </c>
      <c r="D2194" s="549" t="s">
        <v>715</v>
      </c>
      <c r="E2194" s="549" t="s">
        <v>977</v>
      </c>
      <c r="F2194" s="549" t="s">
        <v>1212</v>
      </c>
      <c r="G2194" s="549" t="s">
        <v>1380</v>
      </c>
      <c r="H2194" s="549" t="s">
        <v>714</v>
      </c>
      <c r="I2194" s="549" t="s">
        <v>976</v>
      </c>
      <c r="J2194" s="549" t="s">
        <v>976</v>
      </c>
      <c r="K2194" s="549" t="s">
        <v>976</v>
      </c>
      <c r="L2194" s="549">
        <v>31683.14</v>
      </c>
      <c r="M2194" s="549">
        <v>2392.08</v>
      </c>
      <c r="N2194" s="549">
        <v>700.2</v>
      </c>
      <c r="O2194" s="549">
        <v>0</v>
      </c>
      <c r="P2194" s="549">
        <v>100</v>
      </c>
      <c r="Q2194" s="549">
        <v>3092.28</v>
      </c>
    </row>
    <row r="2195" spans="1:17" x14ac:dyDescent="0.25">
      <c r="A2195" s="549" t="s">
        <v>1091</v>
      </c>
      <c r="B2195" s="549" t="s">
        <v>1092</v>
      </c>
      <c r="C2195" s="549" t="s">
        <v>855</v>
      </c>
      <c r="D2195" s="549" t="s">
        <v>856</v>
      </c>
      <c r="E2195" s="549" t="s">
        <v>977</v>
      </c>
      <c r="F2195" s="549" t="s">
        <v>1212</v>
      </c>
      <c r="G2195" s="549" t="s">
        <v>1228</v>
      </c>
      <c r="H2195" s="549" t="s">
        <v>855</v>
      </c>
      <c r="I2195" s="549" t="s">
        <v>976</v>
      </c>
      <c r="J2195" s="549" t="s">
        <v>976</v>
      </c>
      <c r="K2195" s="549" t="s">
        <v>976</v>
      </c>
      <c r="L2195" s="549">
        <v>31102.38</v>
      </c>
      <c r="M2195" s="549">
        <v>2348.23</v>
      </c>
      <c r="N2195" s="549">
        <v>687.36</v>
      </c>
      <c r="O2195" s="549">
        <v>0</v>
      </c>
      <c r="P2195" s="549">
        <v>100</v>
      </c>
      <c r="Q2195" s="549">
        <v>3035.59</v>
      </c>
    </row>
    <row r="2196" spans="1:17" x14ac:dyDescent="0.25">
      <c r="A2196" s="549" t="s">
        <v>1091</v>
      </c>
      <c r="B2196" s="549" t="s">
        <v>1092</v>
      </c>
      <c r="C2196" s="549" t="s">
        <v>855</v>
      </c>
      <c r="D2196" s="549" t="s">
        <v>856</v>
      </c>
      <c r="E2196" s="549" t="s">
        <v>977</v>
      </c>
      <c r="F2196" s="549" t="s">
        <v>1212</v>
      </c>
      <c r="G2196" s="549" t="s">
        <v>1334</v>
      </c>
      <c r="H2196" s="549" t="s">
        <v>855</v>
      </c>
      <c r="I2196" s="549" t="s">
        <v>976</v>
      </c>
      <c r="J2196" s="549" t="s">
        <v>976</v>
      </c>
      <c r="K2196" s="549" t="s">
        <v>976</v>
      </c>
      <c r="L2196" s="549">
        <v>31102.38</v>
      </c>
      <c r="M2196" s="549">
        <v>2348.23</v>
      </c>
      <c r="N2196" s="549">
        <v>687.36</v>
      </c>
      <c r="O2196" s="549">
        <v>0</v>
      </c>
      <c r="P2196" s="549">
        <v>100</v>
      </c>
      <c r="Q2196" s="549">
        <v>3035.59</v>
      </c>
    </row>
    <row r="2197" spans="1:17" x14ac:dyDescent="0.25">
      <c r="A2197" s="549" t="s">
        <v>1091</v>
      </c>
      <c r="B2197" s="549" t="s">
        <v>1092</v>
      </c>
      <c r="C2197" s="549" t="s">
        <v>855</v>
      </c>
      <c r="D2197" s="549" t="s">
        <v>856</v>
      </c>
      <c r="E2197" s="549" t="s">
        <v>977</v>
      </c>
      <c r="F2197" s="549" t="s">
        <v>1212</v>
      </c>
      <c r="G2197" s="549" t="s">
        <v>1333</v>
      </c>
      <c r="H2197" s="549" t="s">
        <v>855</v>
      </c>
      <c r="I2197" s="549" t="s">
        <v>976</v>
      </c>
      <c r="J2197" s="549" t="s">
        <v>976</v>
      </c>
      <c r="K2197" s="549" t="s">
        <v>976</v>
      </c>
      <c r="L2197" s="549">
        <v>31102.38</v>
      </c>
      <c r="M2197" s="549">
        <v>2348.23</v>
      </c>
      <c r="N2197" s="549">
        <v>687.36</v>
      </c>
      <c r="O2197" s="549">
        <v>0</v>
      </c>
      <c r="P2197" s="549">
        <v>100</v>
      </c>
      <c r="Q2197" s="549">
        <v>3035.59</v>
      </c>
    </row>
    <row r="2198" spans="1:17" x14ac:dyDescent="0.25">
      <c r="A2198" s="549" t="s">
        <v>1091</v>
      </c>
      <c r="B2198" s="549" t="s">
        <v>1092</v>
      </c>
      <c r="C2198" s="549" t="s">
        <v>855</v>
      </c>
      <c r="D2198" s="549" t="s">
        <v>856</v>
      </c>
      <c r="E2198" s="549" t="s">
        <v>977</v>
      </c>
      <c r="F2198" s="549" t="s">
        <v>1212</v>
      </c>
      <c r="G2198" s="549">
        <v>2902</v>
      </c>
      <c r="H2198" s="549" t="s">
        <v>855</v>
      </c>
      <c r="I2198" s="549" t="s">
        <v>976</v>
      </c>
      <c r="J2198" s="549" t="s">
        <v>976</v>
      </c>
      <c r="K2198" s="549" t="s">
        <v>976</v>
      </c>
      <c r="L2198" s="549">
        <v>44006.86</v>
      </c>
      <c r="M2198" s="549">
        <v>3322.52</v>
      </c>
      <c r="N2198" s="549">
        <v>972.55</v>
      </c>
      <c r="O2198" s="549">
        <v>992</v>
      </c>
      <c r="P2198" s="549">
        <v>100</v>
      </c>
      <c r="Q2198" s="549">
        <v>5287.07</v>
      </c>
    </row>
    <row r="2199" spans="1:17" x14ac:dyDescent="0.25">
      <c r="A2199" s="549" t="s">
        <v>1091</v>
      </c>
      <c r="B2199" s="549" t="s">
        <v>1092</v>
      </c>
      <c r="C2199" s="549" t="s">
        <v>855</v>
      </c>
      <c r="D2199" s="549" t="s">
        <v>856</v>
      </c>
      <c r="E2199" s="549" t="s">
        <v>977</v>
      </c>
      <c r="F2199" s="549" t="s">
        <v>1212</v>
      </c>
      <c r="G2199" s="549">
        <v>2882</v>
      </c>
      <c r="H2199" s="549" t="s">
        <v>855</v>
      </c>
      <c r="I2199" s="549" t="s">
        <v>976</v>
      </c>
      <c r="J2199" s="549" t="s">
        <v>976</v>
      </c>
      <c r="K2199" s="549" t="s">
        <v>976</v>
      </c>
      <c r="L2199" s="549">
        <v>44006.86</v>
      </c>
      <c r="M2199" s="549">
        <v>3322.52</v>
      </c>
      <c r="N2199" s="549">
        <v>972.55</v>
      </c>
      <c r="O2199" s="549">
        <v>992</v>
      </c>
      <c r="P2199" s="549">
        <v>100</v>
      </c>
      <c r="Q2199" s="549">
        <v>5287.07</v>
      </c>
    </row>
    <row r="2200" spans="1:17" x14ac:dyDescent="0.25">
      <c r="A2200" s="549" t="s">
        <v>1091</v>
      </c>
      <c r="B2200" s="549" t="s">
        <v>1092</v>
      </c>
      <c r="C2200" s="549" t="s">
        <v>855</v>
      </c>
      <c r="D2200" s="549" t="s">
        <v>856</v>
      </c>
      <c r="E2200" s="549" t="s">
        <v>977</v>
      </c>
      <c r="F2200" s="549" t="s">
        <v>1212</v>
      </c>
      <c r="G2200" s="549">
        <v>2872</v>
      </c>
      <c r="H2200" s="549" t="s">
        <v>855</v>
      </c>
      <c r="I2200" s="549" t="s">
        <v>976</v>
      </c>
      <c r="J2200" s="549" t="s">
        <v>976</v>
      </c>
      <c r="K2200" s="549" t="s">
        <v>976</v>
      </c>
      <c r="L2200" s="549">
        <v>46540.9</v>
      </c>
      <c r="M2200" s="549">
        <v>3513.84</v>
      </c>
      <c r="N2200" s="549">
        <v>1028.55</v>
      </c>
      <c r="O2200" s="549">
        <v>992</v>
      </c>
      <c r="P2200" s="549">
        <v>100</v>
      </c>
      <c r="Q2200" s="549">
        <v>5534.39</v>
      </c>
    </row>
    <row r="2201" spans="1:17" x14ac:dyDescent="0.25">
      <c r="A2201" s="549" t="s">
        <v>1091</v>
      </c>
      <c r="B2201" s="549" t="s">
        <v>1092</v>
      </c>
      <c r="C2201" s="549" t="s">
        <v>855</v>
      </c>
      <c r="D2201" s="549" t="s">
        <v>856</v>
      </c>
      <c r="E2201" s="549" t="s">
        <v>977</v>
      </c>
      <c r="F2201" s="549" t="s">
        <v>1212</v>
      </c>
      <c r="G2201" s="549">
        <v>2862</v>
      </c>
      <c r="H2201" s="549" t="s">
        <v>855</v>
      </c>
      <c r="I2201" s="549" t="s">
        <v>976</v>
      </c>
      <c r="J2201" s="549" t="s">
        <v>976</v>
      </c>
      <c r="K2201" s="549" t="s">
        <v>976</v>
      </c>
      <c r="L2201" s="549">
        <v>44006.86</v>
      </c>
      <c r="M2201" s="549">
        <v>3322.52</v>
      </c>
      <c r="N2201" s="549">
        <v>972.55</v>
      </c>
      <c r="O2201" s="549">
        <v>992</v>
      </c>
      <c r="P2201" s="549">
        <v>100</v>
      </c>
      <c r="Q2201" s="549">
        <v>5287.07</v>
      </c>
    </row>
    <row r="2202" spans="1:17" x14ac:dyDescent="0.25">
      <c r="A2202" s="549" t="s">
        <v>1091</v>
      </c>
      <c r="B2202" s="549" t="s">
        <v>1092</v>
      </c>
      <c r="C2202" s="549" t="s">
        <v>855</v>
      </c>
      <c r="D2202" s="549" t="s">
        <v>856</v>
      </c>
      <c r="E2202" s="549" t="s">
        <v>977</v>
      </c>
      <c r="F2202" s="549" t="s">
        <v>1212</v>
      </c>
      <c r="G2202" s="549">
        <v>2842</v>
      </c>
      <c r="H2202" s="549" t="s">
        <v>855</v>
      </c>
      <c r="I2202" s="549" t="s">
        <v>976</v>
      </c>
      <c r="J2202" s="549" t="s">
        <v>976</v>
      </c>
      <c r="K2202" s="549" t="s">
        <v>976</v>
      </c>
      <c r="L2202" s="549">
        <v>44006.86</v>
      </c>
      <c r="M2202" s="549">
        <v>3322.52</v>
      </c>
      <c r="N2202" s="549">
        <v>972.55</v>
      </c>
      <c r="O2202" s="549">
        <v>992</v>
      </c>
      <c r="P2202" s="549">
        <v>100</v>
      </c>
      <c r="Q2202" s="549">
        <v>5287.07</v>
      </c>
    </row>
    <row r="2203" spans="1:17" x14ac:dyDescent="0.25">
      <c r="A2203" s="549" t="s">
        <v>1091</v>
      </c>
      <c r="B2203" s="549" t="s">
        <v>1092</v>
      </c>
      <c r="C2203" s="549" t="s">
        <v>855</v>
      </c>
      <c r="D2203" s="549" t="s">
        <v>856</v>
      </c>
      <c r="E2203" s="549" t="s">
        <v>977</v>
      </c>
      <c r="F2203" s="549" t="s">
        <v>1212</v>
      </c>
      <c r="G2203" s="549">
        <v>2822</v>
      </c>
      <c r="H2203" s="549" t="s">
        <v>855</v>
      </c>
      <c r="I2203" s="549" t="s">
        <v>976</v>
      </c>
      <c r="J2203" s="549" t="s">
        <v>976</v>
      </c>
      <c r="K2203" s="549" t="s">
        <v>976</v>
      </c>
      <c r="L2203" s="549">
        <v>44006.86</v>
      </c>
      <c r="M2203" s="549">
        <v>3322.52</v>
      </c>
      <c r="N2203" s="549">
        <v>972.55</v>
      </c>
      <c r="O2203" s="549">
        <v>992</v>
      </c>
      <c r="P2203" s="549">
        <v>100</v>
      </c>
      <c r="Q2203" s="549">
        <v>5287.07</v>
      </c>
    </row>
    <row r="2204" spans="1:17" x14ac:dyDescent="0.25">
      <c r="A2204" s="549" t="s">
        <v>1091</v>
      </c>
      <c r="B2204" s="549" t="s">
        <v>1092</v>
      </c>
      <c r="C2204" s="549" t="s">
        <v>855</v>
      </c>
      <c r="D2204" s="549" t="s">
        <v>856</v>
      </c>
      <c r="E2204" s="549" t="s">
        <v>977</v>
      </c>
      <c r="F2204" s="549" t="s">
        <v>1212</v>
      </c>
      <c r="G2204" s="549">
        <v>2818</v>
      </c>
      <c r="H2204" s="549" t="s">
        <v>855</v>
      </c>
      <c r="I2204" s="549" t="s">
        <v>976</v>
      </c>
      <c r="J2204" s="549" t="s">
        <v>976</v>
      </c>
      <c r="K2204" s="549" t="s">
        <v>976</v>
      </c>
      <c r="L2204" s="549">
        <v>45020.480000000003</v>
      </c>
      <c r="M2204" s="549">
        <v>3399.05</v>
      </c>
      <c r="N2204" s="549">
        <v>994.95</v>
      </c>
      <c r="O2204" s="549">
        <v>992</v>
      </c>
      <c r="P2204" s="549">
        <v>100</v>
      </c>
      <c r="Q2204" s="549">
        <v>5386</v>
      </c>
    </row>
    <row r="2205" spans="1:17" x14ac:dyDescent="0.25">
      <c r="A2205" s="549" t="s">
        <v>1091</v>
      </c>
      <c r="B2205" s="549" t="s">
        <v>1092</v>
      </c>
      <c r="C2205" s="549" t="s">
        <v>855</v>
      </c>
      <c r="D2205" s="549" t="s">
        <v>856</v>
      </c>
      <c r="E2205" s="549" t="s">
        <v>977</v>
      </c>
      <c r="F2205" s="549" t="s">
        <v>1212</v>
      </c>
      <c r="G2205" s="549">
        <v>2802</v>
      </c>
      <c r="H2205" s="549" t="s">
        <v>855</v>
      </c>
      <c r="I2205" s="549" t="s">
        <v>976</v>
      </c>
      <c r="J2205" s="549" t="s">
        <v>976</v>
      </c>
      <c r="K2205" s="549" t="s">
        <v>976</v>
      </c>
      <c r="L2205" s="549">
        <v>44006.86</v>
      </c>
      <c r="M2205" s="549">
        <v>3322.52</v>
      </c>
      <c r="N2205" s="549">
        <v>972.55</v>
      </c>
      <c r="O2205" s="549">
        <v>992</v>
      </c>
      <c r="P2205" s="549">
        <v>100</v>
      </c>
      <c r="Q2205" s="549">
        <v>5287.07</v>
      </c>
    </row>
    <row r="2206" spans="1:17" x14ac:dyDescent="0.25">
      <c r="A2206" s="549" t="s">
        <v>1067</v>
      </c>
      <c r="B2206" s="549" t="s">
        <v>1068</v>
      </c>
      <c r="C2206" s="549" t="s">
        <v>506</v>
      </c>
      <c r="D2206" s="549" t="s">
        <v>1062</v>
      </c>
      <c r="E2206" s="549" t="s">
        <v>973</v>
      </c>
      <c r="F2206" s="549" t="s">
        <v>1212</v>
      </c>
      <c r="G2206" s="549">
        <v>142</v>
      </c>
      <c r="H2206" s="549" t="s">
        <v>507</v>
      </c>
      <c r="I2206" s="549" t="s">
        <v>976</v>
      </c>
      <c r="J2206" s="549" t="s">
        <v>976</v>
      </c>
      <c r="K2206" s="549" t="s">
        <v>976</v>
      </c>
      <c r="L2206" s="549">
        <v>844794.19</v>
      </c>
      <c r="M2206" s="549">
        <v>63781.96</v>
      </c>
      <c r="N2206" s="549">
        <v>48491.19</v>
      </c>
      <c r="O2206" s="549">
        <v>3968</v>
      </c>
      <c r="P2206" s="549">
        <v>28.62</v>
      </c>
      <c r="Q2206" s="549">
        <v>33268.22</v>
      </c>
    </row>
    <row r="2207" spans="1:17" x14ac:dyDescent="0.25">
      <c r="A2207" s="549" t="s">
        <v>1067</v>
      </c>
      <c r="B2207" s="549" t="s">
        <v>1068</v>
      </c>
      <c r="C2207" s="549" t="s">
        <v>506</v>
      </c>
      <c r="D2207" s="549" t="s">
        <v>1062</v>
      </c>
      <c r="E2207" s="549" t="s">
        <v>973</v>
      </c>
      <c r="F2207" s="549" t="s">
        <v>1212</v>
      </c>
      <c r="G2207" s="549">
        <v>192</v>
      </c>
      <c r="H2207" s="549" t="s">
        <v>507</v>
      </c>
      <c r="I2207" s="549" t="s">
        <v>976</v>
      </c>
      <c r="J2207" s="549" t="s">
        <v>976</v>
      </c>
      <c r="K2207" s="549" t="s">
        <v>976</v>
      </c>
      <c r="L2207" s="549">
        <v>844794.19</v>
      </c>
      <c r="M2207" s="549">
        <v>63781.96</v>
      </c>
      <c r="N2207" s="549">
        <v>48491.19</v>
      </c>
      <c r="O2207" s="549">
        <v>3968</v>
      </c>
      <c r="P2207" s="549">
        <v>28.62</v>
      </c>
      <c r="Q2207" s="549">
        <v>33268.22</v>
      </c>
    </row>
    <row r="2208" spans="1:17" x14ac:dyDescent="0.25">
      <c r="A2208" s="549" t="s">
        <v>1091</v>
      </c>
      <c r="B2208" s="549" t="s">
        <v>1092</v>
      </c>
      <c r="C2208" s="549" t="s">
        <v>855</v>
      </c>
      <c r="D2208" s="549" t="s">
        <v>856</v>
      </c>
      <c r="E2208" s="549" t="s">
        <v>977</v>
      </c>
      <c r="F2208" s="549" t="s">
        <v>1212</v>
      </c>
      <c r="G2208" s="549">
        <v>2782</v>
      </c>
      <c r="H2208" s="549" t="s">
        <v>855</v>
      </c>
      <c r="I2208" s="549" t="s">
        <v>976</v>
      </c>
      <c r="J2208" s="549" t="s">
        <v>976</v>
      </c>
      <c r="K2208" s="549" t="s">
        <v>976</v>
      </c>
      <c r="L2208" s="549">
        <v>44006.86</v>
      </c>
      <c r="M2208" s="549">
        <v>3322.52</v>
      </c>
      <c r="N2208" s="549">
        <v>972.55</v>
      </c>
      <c r="O2208" s="549">
        <v>992</v>
      </c>
      <c r="P2208" s="549">
        <v>100</v>
      </c>
      <c r="Q2208" s="549">
        <v>5287.07</v>
      </c>
    </row>
    <row r="2209" spans="1:17" x14ac:dyDescent="0.25">
      <c r="A2209" s="549" t="s">
        <v>1091</v>
      </c>
      <c r="B2209" s="549" t="s">
        <v>1092</v>
      </c>
      <c r="C2209" s="549" t="s">
        <v>855</v>
      </c>
      <c r="D2209" s="549" t="s">
        <v>856</v>
      </c>
      <c r="E2209" s="549" t="s">
        <v>977</v>
      </c>
      <c r="F2209" s="549" t="s">
        <v>1212</v>
      </c>
      <c r="G2209" s="549">
        <v>2762</v>
      </c>
      <c r="H2209" s="549" t="s">
        <v>855</v>
      </c>
      <c r="I2209" s="549" t="s">
        <v>976</v>
      </c>
      <c r="J2209" s="549" t="s">
        <v>976</v>
      </c>
      <c r="K2209" s="549" t="s">
        <v>976</v>
      </c>
      <c r="L2209" s="549">
        <v>44006.86</v>
      </c>
      <c r="M2209" s="549">
        <v>3322.52</v>
      </c>
      <c r="N2209" s="549">
        <v>972.55</v>
      </c>
      <c r="O2209" s="549">
        <v>992</v>
      </c>
      <c r="P2209" s="549">
        <v>100</v>
      </c>
      <c r="Q2209" s="549">
        <v>5287.07</v>
      </c>
    </row>
    <row r="2210" spans="1:17" x14ac:dyDescent="0.25">
      <c r="A2210" s="549" t="s">
        <v>1091</v>
      </c>
      <c r="B2210" s="549" t="s">
        <v>1092</v>
      </c>
      <c r="C2210" s="549" t="s">
        <v>855</v>
      </c>
      <c r="D2210" s="549" t="s">
        <v>856</v>
      </c>
      <c r="E2210" s="549" t="s">
        <v>977</v>
      </c>
      <c r="F2210" s="549" t="s">
        <v>1212</v>
      </c>
      <c r="G2210" s="549">
        <v>2752</v>
      </c>
      <c r="H2210" s="549" t="s">
        <v>855</v>
      </c>
      <c r="I2210" s="549" t="s">
        <v>976</v>
      </c>
      <c r="J2210" s="549" t="s">
        <v>976</v>
      </c>
      <c r="K2210" s="549" t="s">
        <v>976</v>
      </c>
      <c r="L2210" s="549">
        <v>46540.9</v>
      </c>
      <c r="M2210" s="549">
        <v>3513.84</v>
      </c>
      <c r="N2210" s="549">
        <v>1028.55</v>
      </c>
      <c r="O2210" s="549">
        <v>992</v>
      </c>
      <c r="P2210" s="549">
        <v>100</v>
      </c>
      <c r="Q2210" s="549">
        <v>5534.39</v>
      </c>
    </row>
    <row r="2211" spans="1:17" x14ac:dyDescent="0.25">
      <c r="A2211" s="549" t="s">
        <v>1091</v>
      </c>
      <c r="B2211" s="549" t="s">
        <v>1092</v>
      </c>
      <c r="C2211" s="549" t="s">
        <v>855</v>
      </c>
      <c r="D2211" s="549" t="s">
        <v>856</v>
      </c>
      <c r="E2211" s="549" t="s">
        <v>977</v>
      </c>
      <c r="F2211" s="549" t="s">
        <v>1212</v>
      </c>
      <c r="G2211" s="549">
        <v>2742</v>
      </c>
      <c r="H2211" s="549" t="s">
        <v>855</v>
      </c>
      <c r="I2211" s="549" t="s">
        <v>976</v>
      </c>
      <c r="J2211" s="549" t="s">
        <v>976</v>
      </c>
      <c r="K2211" s="549" t="s">
        <v>976</v>
      </c>
      <c r="L2211" s="549">
        <v>44006.86</v>
      </c>
      <c r="M2211" s="549">
        <v>3322.52</v>
      </c>
      <c r="N2211" s="549">
        <v>972.55</v>
      </c>
      <c r="O2211" s="549">
        <v>992</v>
      </c>
      <c r="P2211" s="549">
        <v>100</v>
      </c>
      <c r="Q2211" s="549">
        <v>5287.07</v>
      </c>
    </row>
    <row r="2212" spans="1:17" x14ac:dyDescent="0.25">
      <c r="A2212" s="549" t="s">
        <v>1091</v>
      </c>
      <c r="B2212" s="549" t="s">
        <v>1092</v>
      </c>
      <c r="C2212" s="549" t="s">
        <v>855</v>
      </c>
      <c r="D2212" s="549" t="s">
        <v>856</v>
      </c>
      <c r="E2212" s="549" t="s">
        <v>977</v>
      </c>
      <c r="F2212" s="549" t="s">
        <v>1212</v>
      </c>
      <c r="G2212" s="549">
        <v>2722</v>
      </c>
      <c r="H2212" s="549" t="s">
        <v>855</v>
      </c>
      <c r="I2212" s="549" t="s">
        <v>976</v>
      </c>
      <c r="J2212" s="549" t="s">
        <v>976</v>
      </c>
      <c r="K2212" s="549" t="s">
        <v>976</v>
      </c>
      <c r="L2212" s="549">
        <v>44006.86</v>
      </c>
      <c r="M2212" s="549">
        <v>3322.52</v>
      </c>
      <c r="N2212" s="549">
        <v>972.55</v>
      </c>
      <c r="O2212" s="549">
        <v>992</v>
      </c>
      <c r="P2212" s="549">
        <v>100</v>
      </c>
      <c r="Q2212" s="549">
        <v>5287.07</v>
      </c>
    </row>
    <row r="2213" spans="1:17" x14ac:dyDescent="0.25">
      <c r="A2213" s="549" t="s">
        <v>1091</v>
      </c>
      <c r="B2213" s="549" t="s">
        <v>1092</v>
      </c>
      <c r="C2213" s="549" t="s">
        <v>855</v>
      </c>
      <c r="D2213" s="549" t="s">
        <v>856</v>
      </c>
      <c r="E2213" s="549" t="s">
        <v>977</v>
      </c>
      <c r="F2213" s="549" t="s">
        <v>1212</v>
      </c>
      <c r="G2213" s="549">
        <v>2302</v>
      </c>
      <c r="H2213" s="549" t="s">
        <v>855</v>
      </c>
      <c r="I2213" s="549" t="s">
        <v>976</v>
      </c>
      <c r="J2213" s="549" t="s">
        <v>976</v>
      </c>
      <c r="K2213" s="549" t="s">
        <v>976</v>
      </c>
      <c r="L2213" s="549">
        <v>109092.24</v>
      </c>
      <c r="M2213" s="549">
        <v>8236.4599999999991</v>
      </c>
      <c r="N2213" s="549">
        <v>2410.94</v>
      </c>
      <c r="O2213" s="549">
        <v>992</v>
      </c>
      <c r="P2213" s="549">
        <v>100</v>
      </c>
      <c r="Q2213" s="549">
        <v>11639.4</v>
      </c>
    </row>
    <row r="2214" spans="1:17" x14ac:dyDescent="0.25">
      <c r="A2214" s="549" t="s">
        <v>1091</v>
      </c>
      <c r="B2214" s="549" t="s">
        <v>1092</v>
      </c>
      <c r="C2214" s="549" t="s">
        <v>855</v>
      </c>
      <c r="D2214" s="549" t="s">
        <v>856</v>
      </c>
      <c r="E2214" s="549" t="s">
        <v>977</v>
      </c>
      <c r="F2214" s="549" t="s">
        <v>1212</v>
      </c>
      <c r="G2214" s="549">
        <v>2292</v>
      </c>
      <c r="H2214" s="549" t="s">
        <v>855</v>
      </c>
      <c r="I2214" s="549" t="s">
        <v>976</v>
      </c>
      <c r="J2214" s="549" t="s">
        <v>976</v>
      </c>
      <c r="K2214" s="549" t="s">
        <v>976</v>
      </c>
      <c r="L2214" s="549">
        <v>109092.24</v>
      </c>
      <c r="M2214" s="549">
        <v>8236.4599999999991</v>
      </c>
      <c r="N2214" s="549">
        <v>2410.94</v>
      </c>
      <c r="O2214" s="549">
        <v>992</v>
      </c>
      <c r="P2214" s="549">
        <v>100</v>
      </c>
      <c r="Q2214" s="549">
        <v>11639.4</v>
      </c>
    </row>
    <row r="2215" spans="1:17" x14ac:dyDescent="0.25">
      <c r="A2215" s="549" t="s">
        <v>1067</v>
      </c>
      <c r="B2215" s="549" t="s">
        <v>1068</v>
      </c>
      <c r="C2215" s="549" t="s">
        <v>506</v>
      </c>
      <c r="D2215" s="549" t="s">
        <v>1062</v>
      </c>
      <c r="E2215" s="549" t="s">
        <v>977</v>
      </c>
      <c r="F2215" s="549" t="s">
        <v>1212</v>
      </c>
      <c r="G2215" s="549">
        <v>142</v>
      </c>
      <c r="H2215" s="549" t="s">
        <v>507</v>
      </c>
      <c r="I2215" s="549" t="s">
        <v>976</v>
      </c>
      <c r="J2215" s="549" t="s">
        <v>976</v>
      </c>
      <c r="K2215" s="549" t="s">
        <v>976</v>
      </c>
      <c r="L2215" s="549">
        <v>844794.19</v>
      </c>
      <c r="M2215" s="549">
        <v>63781.96</v>
      </c>
      <c r="N2215" s="549">
        <v>18669.95</v>
      </c>
      <c r="O2215" s="549">
        <v>3968</v>
      </c>
      <c r="P2215" s="549">
        <v>1.05</v>
      </c>
      <c r="Q2215" s="549">
        <v>907.41</v>
      </c>
    </row>
    <row r="2216" spans="1:17" x14ac:dyDescent="0.25">
      <c r="A2216" s="549" t="s">
        <v>1067</v>
      </c>
      <c r="B2216" s="549" t="s">
        <v>1068</v>
      </c>
      <c r="C2216" s="549" t="s">
        <v>506</v>
      </c>
      <c r="D2216" s="549" t="s">
        <v>1062</v>
      </c>
      <c r="E2216" s="549" t="s">
        <v>977</v>
      </c>
      <c r="F2216" s="549" t="s">
        <v>1212</v>
      </c>
      <c r="G2216" s="549">
        <v>192</v>
      </c>
      <c r="H2216" s="549" t="s">
        <v>507</v>
      </c>
      <c r="I2216" s="549" t="s">
        <v>976</v>
      </c>
      <c r="J2216" s="549" t="s">
        <v>976</v>
      </c>
      <c r="K2216" s="549" t="s">
        <v>976</v>
      </c>
      <c r="L2216" s="549">
        <v>844794.19</v>
      </c>
      <c r="M2216" s="549">
        <v>63781.96</v>
      </c>
      <c r="N2216" s="549">
        <v>18669.95</v>
      </c>
      <c r="O2216" s="549">
        <v>3968</v>
      </c>
      <c r="P2216" s="549">
        <v>1.05</v>
      </c>
      <c r="Q2216" s="549">
        <v>907.41</v>
      </c>
    </row>
    <row r="2217" spans="1:17" x14ac:dyDescent="0.25">
      <c r="A2217" s="549" t="s">
        <v>1091</v>
      </c>
      <c r="B2217" s="549" t="s">
        <v>1092</v>
      </c>
      <c r="C2217" s="549" t="s">
        <v>855</v>
      </c>
      <c r="D2217" s="549" t="s">
        <v>856</v>
      </c>
      <c r="E2217" s="549" t="s">
        <v>977</v>
      </c>
      <c r="F2217" s="549" t="s">
        <v>1212</v>
      </c>
      <c r="G2217" s="549">
        <v>2282</v>
      </c>
      <c r="H2217" s="549" t="s">
        <v>855</v>
      </c>
      <c r="I2217" s="549" t="s">
        <v>976</v>
      </c>
      <c r="J2217" s="549" t="s">
        <v>976</v>
      </c>
      <c r="K2217" s="549" t="s">
        <v>976</v>
      </c>
      <c r="L2217" s="549">
        <v>109092.24</v>
      </c>
      <c r="M2217" s="549">
        <v>8236.4599999999991</v>
      </c>
      <c r="N2217" s="549">
        <v>2410.94</v>
      </c>
      <c r="O2217" s="549">
        <v>992</v>
      </c>
      <c r="P2217" s="549">
        <v>100</v>
      </c>
      <c r="Q2217" s="549">
        <v>11639.4</v>
      </c>
    </row>
    <row r="2218" spans="1:17" x14ac:dyDescent="0.25">
      <c r="A2218" s="549" t="s">
        <v>1091</v>
      </c>
      <c r="B2218" s="549" t="s">
        <v>1092</v>
      </c>
      <c r="C2218" s="549" t="s">
        <v>855</v>
      </c>
      <c r="D2218" s="549" t="s">
        <v>856</v>
      </c>
      <c r="E2218" s="549" t="s">
        <v>977</v>
      </c>
      <c r="F2218" s="549" t="s">
        <v>1212</v>
      </c>
      <c r="G2218" s="549">
        <v>2272</v>
      </c>
      <c r="H2218" s="549" t="s">
        <v>855</v>
      </c>
      <c r="I2218" s="549" t="s">
        <v>976</v>
      </c>
      <c r="J2218" s="549" t="s">
        <v>976</v>
      </c>
      <c r="K2218" s="549" t="s">
        <v>976</v>
      </c>
      <c r="L2218" s="549">
        <v>109092.24</v>
      </c>
      <c r="M2218" s="549">
        <v>8236.4599999999991</v>
      </c>
      <c r="N2218" s="549">
        <v>2410.94</v>
      </c>
      <c r="O2218" s="549">
        <v>992</v>
      </c>
      <c r="P2218" s="549">
        <v>100</v>
      </c>
      <c r="Q2218" s="549">
        <v>11639.4</v>
      </c>
    </row>
    <row r="2219" spans="1:17" x14ac:dyDescent="0.25">
      <c r="A2219" s="549" t="s">
        <v>1091</v>
      </c>
      <c r="B2219" s="549" t="s">
        <v>1092</v>
      </c>
      <c r="C2219" s="549" t="s">
        <v>855</v>
      </c>
      <c r="D2219" s="549" t="s">
        <v>856</v>
      </c>
      <c r="E2219" s="549" t="s">
        <v>977</v>
      </c>
      <c r="F2219" s="549" t="s">
        <v>1212</v>
      </c>
      <c r="G2219" s="549">
        <v>2262</v>
      </c>
      <c r="H2219" s="549" t="s">
        <v>855</v>
      </c>
      <c r="I2219" s="549" t="s">
        <v>976</v>
      </c>
      <c r="J2219" s="549" t="s">
        <v>976</v>
      </c>
      <c r="K2219" s="549" t="s">
        <v>976</v>
      </c>
      <c r="L2219" s="549">
        <v>109092.24</v>
      </c>
      <c r="M2219" s="549">
        <v>8236.4599999999991</v>
      </c>
      <c r="N2219" s="549">
        <v>2410.94</v>
      </c>
      <c r="O2219" s="549">
        <v>992</v>
      </c>
      <c r="P2219" s="549">
        <v>100</v>
      </c>
      <c r="Q2219" s="549">
        <v>11639.4</v>
      </c>
    </row>
    <row r="2220" spans="1:17" x14ac:dyDescent="0.25">
      <c r="A2220" s="549" t="s">
        <v>1091</v>
      </c>
      <c r="B2220" s="549" t="s">
        <v>1092</v>
      </c>
      <c r="C2220" s="549" t="s">
        <v>855</v>
      </c>
      <c r="D2220" s="549" t="s">
        <v>856</v>
      </c>
      <c r="E2220" s="549" t="s">
        <v>977</v>
      </c>
      <c r="F2220" s="549" t="s">
        <v>1212</v>
      </c>
      <c r="G2220" s="549">
        <v>2252</v>
      </c>
      <c r="H2220" s="549" t="s">
        <v>855</v>
      </c>
      <c r="I2220" s="549" t="s">
        <v>976</v>
      </c>
      <c r="J2220" s="549" t="s">
        <v>976</v>
      </c>
      <c r="K2220" s="549" t="s">
        <v>976</v>
      </c>
      <c r="L2220" s="549">
        <v>109092.24</v>
      </c>
      <c r="M2220" s="549">
        <v>8236.4599999999991</v>
      </c>
      <c r="N2220" s="549">
        <v>2410.94</v>
      </c>
      <c r="O2220" s="549">
        <v>992</v>
      </c>
      <c r="P2220" s="549">
        <v>100</v>
      </c>
      <c r="Q2220" s="549">
        <v>11639.4</v>
      </c>
    </row>
    <row r="2221" spans="1:17" x14ac:dyDescent="0.25">
      <c r="A2221" s="549" t="s">
        <v>44</v>
      </c>
      <c r="B2221" s="549" t="s">
        <v>1199</v>
      </c>
      <c r="C2221" s="549" t="s">
        <v>1200</v>
      </c>
      <c r="D2221" s="549" t="s">
        <v>66</v>
      </c>
      <c r="E2221" s="549" t="s">
        <v>977</v>
      </c>
      <c r="F2221" s="549" t="s">
        <v>1212</v>
      </c>
      <c r="G2221" s="549">
        <v>412</v>
      </c>
      <c r="H2221" s="549" t="s">
        <v>1200</v>
      </c>
      <c r="I2221" s="549" t="s">
        <v>976</v>
      </c>
      <c r="J2221" s="549" t="s">
        <v>976</v>
      </c>
      <c r="K2221" s="549" t="s">
        <v>976</v>
      </c>
      <c r="L2221" s="549">
        <v>1808400.49</v>
      </c>
      <c r="M2221" s="549">
        <v>136534.24</v>
      </c>
      <c r="N2221" s="549">
        <v>39965.65</v>
      </c>
      <c r="O2221" s="549">
        <v>6249.6</v>
      </c>
      <c r="P2221" s="549">
        <v>100</v>
      </c>
      <c r="Q2221" s="549">
        <v>182749.49</v>
      </c>
    </row>
    <row r="2222" spans="1:17" x14ac:dyDescent="0.25">
      <c r="A2222" s="549" t="s">
        <v>44</v>
      </c>
      <c r="B2222" s="549" t="s">
        <v>1199</v>
      </c>
      <c r="C2222" s="549" t="s">
        <v>1200</v>
      </c>
      <c r="D2222" s="549" t="s">
        <v>66</v>
      </c>
      <c r="E2222" s="549" t="s">
        <v>977</v>
      </c>
      <c r="F2222" s="549" t="s">
        <v>1212</v>
      </c>
      <c r="G2222" s="549">
        <v>432</v>
      </c>
      <c r="H2222" s="549" t="s">
        <v>1200</v>
      </c>
      <c r="I2222" s="549" t="s">
        <v>976</v>
      </c>
      <c r="J2222" s="549" t="s">
        <v>976</v>
      </c>
      <c r="K2222" s="549" t="s">
        <v>976</v>
      </c>
      <c r="L2222" s="549">
        <v>1808400.49</v>
      </c>
      <c r="M2222" s="549">
        <v>136534.24</v>
      </c>
      <c r="N2222" s="549">
        <v>39965.65</v>
      </c>
      <c r="O2222" s="549">
        <v>6249.6</v>
      </c>
      <c r="P2222" s="549">
        <v>100</v>
      </c>
      <c r="Q2222" s="549">
        <v>182749.49</v>
      </c>
    </row>
    <row r="2223" spans="1:17" x14ac:dyDescent="0.25">
      <c r="A2223" s="549" t="s">
        <v>44</v>
      </c>
      <c r="B2223" s="549" t="s">
        <v>1199</v>
      </c>
      <c r="C2223" s="549" t="s">
        <v>1200</v>
      </c>
      <c r="D2223" s="549" t="s">
        <v>66</v>
      </c>
      <c r="E2223" s="549" t="s">
        <v>977</v>
      </c>
      <c r="F2223" s="549" t="s">
        <v>1212</v>
      </c>
      <c r="G2223" s="549">
        <v>452</v>
      </c>
      <c r="H2223" s="549" t="s">
        <v>1200</v>
      </c>
      <c r="I2223" s="549" t="s">
        <v>976</v>
      </c>
      <c r="J2223" s="549" t="s">
        <v>976</v>
      </c>
      <c r="K2223" s="549" t="s">
        <v>976</v>
      </c>
      <c r="L2223" s="549">
        <v>1808400.49</v>
      </c>
      <c r="M2223" s="549">
        <v>136534.24</v>
      </c>
      <c r="N2223" s="549">
        <v>39965.65</v>
      </c>
      <c r="O2223" s="549">
        <v>6249.6</v>
      </c>
      <c r="P2223" s="549">
        <v>100</v>
      </c>
      <c r="Q2223" s="549">
        <v>182749.49</v>
      </c>
    </row>
    <row r="2224" spans="1:17" x14ac:dyDescent="0.25">
      <c r="A2224" s="549" t="s">
        <v>44</v>
      </c>
      <c r="B2224" s="549" t="s">
        <v>1199</v>
      </c>
      <c r="C2224" s="549" t="s">
        <v>1200</v>
      </c>
      <c r="D2224" s="549" t="s">
        <v>66</v>
      </c>
      <c r="E2224" s="549" t="s">
        <v>977</v>
      </c>
      <c r="F2224" s="549" t="s">
        <v>1212</v>
      </c>
      <c r="G2224" s="549">
        <v>482</v>
      </c>
      <c r="H2224" s="549" t="s">
        <v>1200</v>
      </c>
      <c r="I2224" s="549" t="s">
        <v>976</v>
      </c>
      <c r="J2224" s="549" t="s">
        <v>976</v>
      </c>
      <c r="K2224" s="549" t="s">
        <v>976</v>
      </c>
      <c r="L2224" s="549">
        <v>1808400.49</v>
      </c>
      <c r="M2224" s="549">
        <v>136534.24</v>
      </c>
      <c r="N2224" s="549">
        <v>39965.65</v>
      </c>
      <c r="O2224" s="549">
        <v>6249.6</v>
      </c>
      <c r="P2224" s="549">
        <v>100</v>
      </c>
      <c r="Q2224" s="549">
        <v>182749.49</v>
      </c>
    </row>
    <row r="2225" spans="1:17" x14ac:dyDescent="0.25">
      <c r="A2225" s="549" t="s">
        <v>44</v>
      </c>
      <c r="B2225" s="549" t="s">
        <v>1199</v>
      </c>
      <c r="C2225" s="549" t="s">
        <v>1200</v>
      </c>
      <c r="D2225" s="549" t="s">
        <v>66</v>
      </c>
      <c r="E2225" s="549" t="s">
        <v>977</v>
      </c>
      <c r="F2225" s="549" t="s">
        <v>1212</v>
      </c>
      <c r="G2225" s="549">
        <v>502</v>
      </c>
      <c r="H2225" s="549" t="s">
        <v>1200</v>
      </c>
      <c r="I2225" s="549" t="s">
        <v>976</v>
      </c>
      <c r="J2225" s="549" t="s">
        <v>976</v>
      </c>
      <c r="K2225" s="549" t="s">
        <v>976</v>
      </c>
      <c r="L2225" s="549">
        <v>1808400.49</v>
      </c>
      <c r="M2225" s="549">
        <v>136534.24</v>
      </c>
      <c r="N2225" s="549">
        <v>39965.65</v>
      </c>
      <c r="O2225" s="549">
        <v>6249.6</v>
      </c>
      <c r="P2225" s="549">
        <v>100</v>
      </c>
      <c r="Q2225" s="549">
        <v>182749.49</v>
      </c>
    </row>
    <row r="2226" spans="1:17" x14ac:dyDescent="0.25">
      <c r="A2226" s="549" t="s">
        <v>44</v>
      </c>
      <c r="B2226" s="549" t="s">
        <v>1199</v>
      </c>
      <c r="C2226" s="549" t="s">
        <v>1200</v>
      </c>
      <c r="D2226" s="549" t="s">
        <v>66</v>
      </c>
      <c r="E2226" s="549" t="s">
        <v>977</v>
      </c>
      <c r="F2226" s="549" t="s">
        <v>1212</v>
      </c>
      <c r="G2226" s="549">
        <v>522</v>
      </c>
      <c r="H2226" s="549" t="s">
        <v>1200</v>
      </c>
      <c r="I2226" s="549" t="s">
        <v>976</v>
      </c>
      <c r="J2226" s="549" t="s">
        <v>976</v>
      </c>
      <c r="K2226" s="549" t="s">
        <v>976</v>
      </c>
      <c r="L2226" s="549">
        <v>1808400.49</v>
      </c>
      <c r="M2226" s="549">
        <v>136534.24</v>
      </c>
      <c r="N2226" s="549">
        <v>39965.65</v>
      </c>
      <c r="O2226" s="549">
        <v>6249.6</v>
      </c>
      <c r="P2226" s="549">
        <v>100</v>
      </c>
      <c r="Q2226" s="549">
        <v>182749.49</v>
      </c>
    </row>
    <row r="2227" spans="1:17" x14ac:dyDescent="0.25">
      <c r="A2227" s="549" t="s">
        <v>44</v>
      </c>
      <c r="B2227" s="549" t="s">
        <v>1199</v>
      </c>
      <c r="C2227" s="549" t="s">
        <v>1200</v>
      </c>
      <c r="D2227" s="549" t="s">
        <v>66</v>
      </c>
      <c r="E2227" s="549" t="s">
        <v>977</v>
      </c>
      <c r="F2227" s="549" t="s">
        <v>1212</v>
      </c>
      <c r="G2227" s="549" t="s">
        <v>1359</v>
      </c>
      <c r="H2227" s="549" t="s">
        <v>1200</v>
      </c>
      <c r="I2227" s="549" t="s">
        <v>976</v>
      </c>
      <c r="J2227" s="549" t="s">
        <v>976</v>
      </c>
      <c r="K2227" s="549" t="s">
        <v>976</v>
      </c>
      <c r="L2227" s="549">
        <v>76691.56</v>
      </c>
      <c r="M2227" s="549">
        <v>5790.21</v>
      </c>
      <c r="N2227" s="549">
        <v>1694.88</v>
      </c>
      <c r="O2227" s="549">
        <v>0</v>
      </c>
      <c r="P2227" s="549">
        <v>100</v>
      </c>
      <c r="Q2227" s="549">
        <v>7485.09</v>
      </c>
    </row>
    <row r="2228" spans="1:17" x14ac:dyDescent="0.25">
      <c r="A2228" s="549" t="s">
        <v>44</v>
      </c>
      <c r="B2228" s="549" t="s">
        <v>1199</v>
      </c>
      <c r="C2228" s="549" t="s">
        <v>1200</v>
      </c>
      <c r="D2228" s="549" t="s">
        <v>66</v>
      </c>
      <c r="E2228" s="549" t="s">
        <v>977</v>
      </c>
      <c r="F2228" s="549" t="s">
        <v>1212</v>
      </c>
      <c r="G2228" s="549" t="s">
        <v>1381</v>
      </c>
      <c r="H2228" s="549" t="s">
        <v>1200</v>
      </c>
      <c r="I2228" s="549" t="s">
        <v>976</v>
      </c>
      <c r="J2228" s="549" t="s">
        <v>976</v>
      </c>
      <c r="K2228" s="549" t="s">
        <v>976</v>
      </c>
      <c r="L2228" s="549">
        <v>76691.56</v>
      </c>
      <c r="M2228" s="549">
        <v>5790.21</v>
      </c>
      <c r="N2228" s="549">
        <v>1694.88</v>
      </c>
      <c r="O2228" s="549">
        <v>0</v>
      </c>
      <c r="P2228" s="549">
        <v>100</v>
      </c>
      <c r="Q2228" s="549">
        <v>7485.09</v>
      </c>
    </row>
    <row r="2229" spans="1:17" x14ac:dyDescent="0.25">
      <c r="A2229" s="549" t="s">
        <v>1069</v>
      </c>
      <c r="B2229" s="549" t="s">
        <v>1070</v>
      </c>
      <c r="C2229" s="549" t="s">
        <v>187</v>
      </c>
      <c r="D2229" s="549" t="s">
        <v>667</v>
      </c>
      <c r="E2229" s="549" t="s">
        <v>973</v>
      </c>
      <c r="F2229" s="549" t="s">
        <v>1212</v>
      </c>
      <c r="G2229" s="549">
        <v>602</v>
      </c>
      <c r="H2229" s="549" t="s">
        <v>187</v>
      </c>
      <c r="I2229" s="549" t="s">
        <v>976</v>
      </c>
      <c r="J2229" s="549" t="s">
        <v>976</v>
      </c>
      <c r="K2229" s="549" t="s">
        <v>976</v>
      </c>
      <c r="L2229" s="549">
        <v>621099.49</v>
      </c>
      <c r="M2229" s="549">
        <v>46893.01</v>
      </c>
      <c r="N2229" s="549">
        <v>35651.11</v>
      </c>
      <c r="O2229" s="549">
        <v>2976</v>
      </c>
      <c r="P2229" s="549">
        <v>5.39</v>
      </c>
      <c r="Q2229" s="549">
        <v>4609.53</v>
      </c>
    </row>
    <row r="2230" spans="1:17" x14ac:dyDescent="0.25">
      <c r="A2230" s="549" t="s">
        <v>1069</v>
      </c>
      <c r="B2230" s="549" t="s">
        <v>1070</v>
      </c>
      <c r="C2230" s="549" t="s">
        <v>187</v>
      </c>
      <c r="D2230" s="549" t="s">
        <v>667</v>
      </c>
      <c r="E2230" s="549" t="s">
        <v>973</v>
      </c>
      <c r="F2230" s="549" t="s">
        <v>1212</v>
      </c>
      <c r="G2230" s="549">
        <v>612</v>
      </c>
      <c r="H2230" s="549" t="s">
        <v>187</v>
      </c>
      <c r="I2230" s="549" t="s">
        <v>976</v>
      </c>
      <c r="J2230" s="549" t="s">
        <v>976</v>
      </c>
      <c r="K2230" s="549" t="s">
        <v>976</v>
      </c>
      <c r="L2230" s="549">
        <v>1032512.44</v>
      </c>
      <c r="M2230" s="549">
        <v>77954.69</v>
      </c>
      <c r="N2230" s="549">
        <v>59266.21</v>
      </c>
      <c r="O2230" s="549">
        <v>4960</v>
      </c>
      <c r="P2230" s="549">
        <v>4.41</v>
      </c>
      <c r="Q2230" s="549">
        <v>6270.18</v>
      </c>
    </row>
    <row r="2231" spans="1:17" x14ac:dyDescent="0.25">
      <c r="A2231" s="549" t="s">
        <v>1069</v>
      </c>
      <c r="B2231" s="549" t="s">
        <v>1070</v>
      </c>
      <c r="C2231" s="549" t="s">
        <v>187</v>
      </c>
      <c r="D2231" s="549" t="s">
        <v>667</v>
      </c>
      <c r="E2231" s="549" t="s">
        <v>973</v>
      </c>
      <c r="F2231" s="549" t="s">
        <v>1212</v>
      </c>
      <c r="G2231" s="549">
        <v>622</v>
      </c>
      <c r="H2231" s="549" t="s">
        <v>187</v>
      </c>
      <c r="I2231" s="549" t="s">
        <v>976</v>
      </c>
      <c r="J2231" s="549" t="s">
        <v>976</v>
      </c>
      <c r="K2231" s="549" t="s">
        <v>976</v>
      </c>
      <c r="L2231" s="549">
        <v>621099.49</v>
      </c>
      <c r="M2231" s="549">
        <v>46893.01</v>
      </c>
      <c r="N2231" s="549">
        <v>35651.11</v>
      </c>
      <c r="O2231" s="549">
        <v>2976</v>
      </c>
      <c r="P2231" s="549">
        <v>4.41</v>
      </c>
      <c r="Q2231" s="549">
        <v>3771.44</v>
      </c>
    </row>
    <row r="2232" spans="1:17" x14ac:dyDescent="0.25">
      <c r="A2232" s="549" t="s">
        <v>1069</v>
      </c>
      <c r="B2232" s="549" t="s">
        <v>1070</v>
      </c>
      <c r="C2232" s="549" t="s">
        <v>187</v>
      </c>
      <c r="D2232" s="549" t="s">
        <v>667</v>
      </c>
      <c r="E2232" s="549" t="s">
        <v>973</v>
      </c>
      <c r="F2232" s="549" t="s">
        <v>1212</v>
      </c>
      <c r="G2232" s="549">
        <v>632</v>
      </c>
      <c r="H2232" s="549" t="s">
        <v>187</v>
      </c>
      <c r="I2232" s="549" t="s">
        <v>976</v>
      </c>
      <c r="J2232" s="549" t="s">
        <v>976</v>
      </c>
      <c r="K2232" s="549" t="s">
        <v>976</v>
      </c>
      <c r="L2232" s="549">
        <v>1032512.44</v>
      </c>
      <c r="M2232" s="549">
        <v>77954.69</v>
      </c>
      <c r="N2232" s="549">
        <v>59266.21</v>
      </c>
      <c r="O2232" s="549">
        <v>4960</v>
      </c>
      <c r="P2232" s="549">
        <v>4.41</v>
      </c>
      <c r="Q2232" s="549">
        <v>6270.18</v>
      </c>
    </row>
    <row r="2233" spans="1:17" x14ac:dyDescent="0.25">
      <c r="A2233" s="549" t="s">
        <v>1069</v>
      </c>
      <c r="B2233" s="549" t="s">
        <v>1070</v>
      </c>
      <c r="C2233" s="549" t="s">
        <v>187</v>
      </c>
      <c r="D2233" s="549" t="s">
        <v>667</v>
      </c>
      <c r="E2233" s="549" t="s">
        <v>973</v>
      </c>
      <c r="F2233" s="549" t="s">
        <v>1212</v>
      </c>
      <c r="G2233" s="549">
        <v>642</v>
      </c>
      <c r="H2233" s="549" t="s">
        <v>187</v>
      </c>
      <c r="I2233" s="549" t="s">
        <v>976</v>
      </c>
      <c r="J2233" s="549" t="s">
        <v>976</v>
      </c>
      <c r="K2233" s="549" t="s">
        <v>976</v>
      </c>
      <c r="L2233" s="549">
        <v>621099.49</v>
      </c>
      <c r="M2233" s="549">
        <v>46893.01</v>
      </c>
      <c r="N2233" s="549">
        <v>35651.11</v>
      </c>
      <c r="O2233" s="549">
        <v>2976</v>
      </c>
      <c r="P2233" s="549">
        <v>4.41</v>
      </c>
      <c r="Q2233" s="549">
        <v>3771.44</v>
      </c>
    </row>
    <row r="2234" spans="1:17" x14ac:dyDescent="0.25">
      <c r="A2234" s="549" t="s">
        <v>1069</v>
      </c>
      <c r="B2234" s="549" t="s">
        <v>1070</v>
      </c>
      <c r="C2234" s="549" t="s">
        <v>187</v>
      </c>
      <c r="D2234" s="549" t="s">
        <v>667</v>
      </c>
      <c r="E2234" s="549" t="s">
        <v>973</v>
      </c>
      <c r="F2234" s="549" t="s">
        <v>1212</v>
      </c>
      <c r="G2234" s="549">
        <v>658</v>
      </c>
      <c r="H2234" s="549" t="s">
        <v>187</v>
      </c>
      <c r="I2234" s="549" t="s">
        <v>976</v>
      </c>
      <c r="J2234" s="549" t="s">
        <v>976</v>
      </c>
      <c r="K2234" s="549" t="s">
        <v>976</v>
      </c>
      <c r="L2234" s="549">
        <v>1027061.68</v>
      </c>
      <c r="M2234" s="549">
        <v>77543.16</v>
      </c>
      <c r="N2234" s="549">
        <v>58953.34</v>
      </c>
      <c r="O2234" s="549">
        <v>2976</v>
      </c>
      <c r="P2234" s="549">
        <v>4.41</v>
      </c>
      <c r="Q2234" s="549">
        <v>6150.74</v>
      </c>
    </row>
    <row r="2235" spans="1:17" x14ac:dyDescent="0.25">
      <c r="A2235" s="549" t="s">
        <v>1069</v>
      </c>
      <c r="B2235" s="549" t="s">
        <v>1070</v>
      </c>
      <c r="C2235" s="549" t="s">
        <v>187</v>
      </c>
      <c r="D2235" s="549" t="s">
        <v>667</v>
      </c>
      <c r="E2235" s="549" t="s">
        <v>973</v>
      </c>
      <c r="F2235" s="549" t="s">
        <v>1212</v>
      </c>
      <c r="G2235" s="549">
        <v>1442</v>
      </c>
      <c r="H2235" s="549" t="s">
        <v>187</v>
      </c>
      <c r="I2235" s="549" t="s">
        <v>976</v>
      </c>
      <c r="J2235" s="549" t="s">
        <v>976</v>
      </c>
      <c r="K2235" s="549" t="s">
        <v>976</v>
      </c>
      <c r="L2235" s="549">
        <v>48399.13</v>
      </c>
      <c r="M2235" s="549">
        <v>3654.13</v>
      </c>
      <c r="N2235" s="549">
        <v>2778.11</v>
      </c>
      <c r="O2235" s="549">
        <v>4960</v>
      </c>
      <c r="P2235" s="549">
        <v>5.39</v>
      </c>
      <c r="Q2235" s="549">
        <v>614.04</v>
      </c>
    </row>
    <row r="2236" spans="1:17" x14ac:dyDescent="0.25">
      <c r="A2236" s="549" t="s">
        <v>1069</v>
      </c>
      <c r="B2236" s="549" t="s">
        <v>1070</v>
      </c>
      <c r="C2236" s="549" t="s">
        <v>187</v>
      </c>
      <c r="D2236" s="549" t="s">
        <v>667</v>
      </c>
      <c r="E2236" s="549" t="s">
        <v>973</v>
      </c>
      <c r="F2236" s="549" t="s">
        <v>1212</v>
      </c>
      <c r="G2236" s="549">
        <v>1462</v>
      </c>
      <c r="H2236" s="549" t="s">
        <v>187</v>
      </c>
      <c r="I2236" s="549" t="s">
        <v>976</v>
      </c>
      <c r="J2236" s="549" t="s">
        <v>976</v>
      </c>
      <c r="K2236" s="549" t="s">
        <v>976</v>
      </c>
      <c r="L2236" s="549">
        <v>121596.97</v>
      </c>
      <c r="M2236" s="549">
        <v>9180.57</v>
      </c>
      <c r="N2236" s="549">
        <v>6979.67</v>
      </c>
      <c r="O2236" s="549">
        <v>4960</v>
      </c>
      <c r="P2236" s="549">
        <v>5.39</v>
      </c>
      <c r="Q2236" s="549">
        <v>1138.3800000000001</v>
      </c>
    </row>
    <row r="2237" spans="1:17" x14ac:dyDescent="0.25">
      <c r="A2237" s="549" t="s">
        <v>1069</v>
      </c>
      <c r="B2237" s="549" t="s">
        <v>1070</v>
      </c>
      <c r="C2237" s="549" t="s">
        <v>187</v>
      </c>
      <c r="D2237" s="549" t="s">
        <v>667</v>
      </c>
      <c r="E2237" s="549" t="s">
        <v>973</v>
      </c>
      <c r="F2237" s="549" t="s">
        <v>1212</v>
      </c>
      <c r="G2237" s="549">
        <v>1472</v>
      </c>
      <c r="H2237" s="549" t="s">
        <v>187</v>
      </c>
      <c r="I2237" s="549" t="s">
        <v>976</v>
      </c>
      <c r="J2237" s="549" t="s">
        <v>976</v>
      </c>
      <c r="K2237" s="549" t="s">
        <v>976</v>
      </c>
      <c r="L2237" s="549">
        <v>121596.97</v>
      </c>
      <c r="M2237" s="549">
        <v>9180.57</v>
      </c>
      <c r="N2237" s="549">
        <v>6979.67</v>
      </c>
      <c r="O2237" s="549">
        <v>4960</v>
      </c>
      <c r="P2237" s="549">
        <v>5.39</v>
      </c>
      <c r="Q2237" s="549">
        <v>1138.3800000000001</v>
      </c>
    </row>
    <row r="2238" spans="1:17" x14ac:dyDescent="0.25">
      <c r="A2238" s="549" t="s">
        <v>1069</v>
      </c>
      <c r="B2238" s="549" t="s">
        <v>1070</v>
      </c>
      <c r="C2238" s="549" t="s">
        <v>187</v>
      </c>
      <c r="D2238" s="549" t="s">
        <v>667</v>
      </c>
      <c r="E2238" s="549" t="s">
        <v>973</v>
      </c>
      <c r="F2238" s="549" t="s">
        <v>1212</v>
      </c>
      <c r="G2238" s="549">
        <v>1482</v>
      </c>
      <c r="H2238" s="549" t="s">
        <v>187</v>
      </c>
      <c r="I2238" s="549" t="s">
        <v>976</v>
      </c>
      <c r="J2238" s="549" t="s">
        <v>976</v>
      </c>
      <c r="K2238" s="549" t="s">
        <v>976</v>
      </c>
      <c r="L2238" s="549">
        <v>112256.79</v>
      </c>
      <c r="M2238" s="549">
        <v>8475.39</v>
      </c>
      <c r="N2238" s="549">
        <v>6443.54</v>
      </c>
      <c r="O2238" s="549">
        <v>2976</v>
      </c>
      <c r="P2238" s="549">
        <v>5.39</v>
      </c>
      <c r="Q2238" s="549">
        <v>964.54</v>
      </c>
    </row>
    <row r="2239" spans="1:17" x14ac:dyDescent="0.25">
      <c r="A2239" s="549" t="s">
        <v>1069</v>
      </c>
      <c r="B2239" s="549" t="s">
        <v>1070</v>
      </c>
      <c r="C2239" s="549" t="s">
        <v>187</v>
      </c>
      <c r="D2239" s="549" t="s">
        <v>667</v>
      </c>
      <c r="E2239" s="549" t="s">
        <v>973</v>
      </c>
      <c r="F2239" s="549" t="s">
        <v>1212</v>
      </c>
      <c r="G2239" s="549">
        <v>1492</v>
      </c>
      <c r="H2239" s="549" t="s">
        <v>187</v>
      </c>
      <c r="I2239" s="549" t="s">
        <v>976</v>
      </c>
      <c r="J2239" s="549" t="s">
        <v>976</v>
      </c>
      <c r="K2239" s="549" t="s">
        <v>976</v>
      </c>
      <c r="L2239" s="549">
        <v>121596.97</v>
      </c>
      <c r="M2239" s="549">
        <v>9180.57</v>
      </c>
      <c r="N2239" s="549">
        <v>6979.67</v>
      </c>
      <c r="O2239" s="549">
        <v>4960</v>
      </c>
      <c r="P2239" s="549">
        <v>5.39</v>
      </c>
      <c r="Q2239" s="549">
        <v>1138.3800000000001</v>
      </c>
    </row>
    <row r="2240" spans="1:17" x14ac:dyDescent="0.25">
      <c r="A2240" s="549" t="s">
        <v>1069</v>
      </c>
      <c r="B2240" s="549" t="s">
        <v>1070</v>
      </c>
      <c r="C2240" s="549" t="s">
        <v>187</v>
      </c>
      <c r="D2240" s="549" t="s">
        <v>667</v>
      </c>
      <c r="E2240" s="549" t="s">
        <v>973</v>
      </c>
      <c r="F2240" s="549" t="s">
        <v>1212</v>
      </c>
      <c r="G2240" s="549">
        <v>1502</v>
      </c>
      <c r="H2240" s="549" t="s">
        <v>187</v>
      </c>
      <c r="I2240" s="549" t="s">
        <v>976</v>
      </c>
      <c r="J2240" s="549" t="s">
        <v>976</v>
      </c>
      <c r="K2240" s="549" t="s">
        <v>976</v>
      </c>
      <c r="L2240" s="549">
        <v>121596.97</v>
      </c>
      <c r="M2240" s="549">
        <v>9180.57</v>
      </c>
      <c r="N2240" s="549">
        <v>6979.67</v>
      </c>
      <c r="O2240" s="549">
        <v>4960</v>
      </c>
      <c r="P2240" s="549">
        <v>5.39</v>
      </c>
      <c r="Q2240" s="549">
        <v>1138.3800000000001</v>
      </c>
    </row>
    <row r="2241" spans="1:17" x14ac:dyDescent="0.25">
      <c r="A2241" s="549" t="s">
        <v>1069</v>
      </c>
      <c r="B2241" s="549" t="s">
        <v>1070</v>
      </c>
      <c r="C2241" s="549" t="s">
        <v>187</v>
      </c>
      <c r="D2241" s="549" t="s">
        <v>667</v>
      </c>
      <c r="E2241" s="549" t="s">
        <v>973</v>
      </c>
      <c r="F2241" s="549" t="s">
        <v>1212</v>
      </c>
      <c r="G2241" s="549">
        <v>1512</v>
      </c>
      <c r="H2241" s="549" t="s">
        <v>187</v>
      </c>
      <c r="I2241" s="549" t="s">
        <v>976</v>
      </c>
      <c r="J2241" s="549" t="s">
        <v>976</v>
      </c>
      <c r="K2241" s="549" t="s">
        <v>976</v>
      </c>
      <c r="L2241" s="549">
        <v>121596.97</v>
      </c>
      <c r="M2241" s="549">
        <v>9180.57</v>
      </c>
      <c r="N2241" s="549">
        <v>6979.67</v>
      </c>
      <c r="O2241" s="549">
        <v>4960</v>
      </c>
      <c r="P2241" s="549">
        <v>5.39</v>
      </c>
      <c r="Q2241" s="549">
        <v>1138.3800000000001</v>
      </c>
    </row>
    <row r="2242" spans="1:17" x14ac:dyDescent="0.25">
      <c r="A2242" s="549" t="s">
        <v>1069</v>
      </c>
      <c r="B2242" s="549" t="s">
        <v>1070</v>
      </c>
      <c r="C2242" s="549" t="s">
        <v>187</v>
      </c>
      <c r="D2242" s="549" t="s">
        <v>667</v>
      </c>
      <c r="E2242" s="549" t="s">
        <v>973</v>
      </c>
      <c r="F2242" s="549" t="s">
        <v>1212</v>
      </c>
      <c r="G2242" s="549">
        <v>1547</v>
      </c>
      <c r="H2242" s="549" t="s">
        <v>187</v>
      </c>
      <c r="I2242" s="549" t="s">
        <v>976</v>
      </c>
      <c r="J2242" s="549" t="s">
        <v>976</v>
      </c>
      <c r="K2242" s="549" t="s">
        <v>976</v>
      </c>
      <c r="L2242" s="549">
        <v>24632.04</v>
      </c>
      <c r="M2242" s="549">
        <v>1859.72</v>
      </c>
      <c r="N2242" s="549">
        <v>1413.88</v>
      </c>
      <c r="O2242" s="549">
        <v>992</v>
      </c>
      <c r="P2242" s="549">
        <v>5.39</v>
      </c>
      <c r="Q2242" s="549">
        <v>229.92</v>
      </c>
    </row>
    <row r="2243" spans="1:17" x14ac:dyDescent="0.25">
      <c r="A2243" s="549" t="s">
        <v>1069</v>
      </c>
      <c r="B2243" s="549" t="s">
        <v>1070</v>
      </c>
      <c r="C2243" s="549" t="s">
        <v>187</v>
      </c>
      <c r="D2243" s="549" t="s">
        <v>667</v>
      </c>
      <c r="E2243" s="549" t="s">
        <v>973</v>
      </c>
      <c r="F2243" s="549" t="s">
        <v>1212</v>
      </c>
      <c r="G2243" s="549">
        <v>1557</v>
      </c>
      <c r="H2243" s="549" t="s">
        <v>187</v>
      </c>
      <c r="I2243" s="549" t="s">
        <v>976</v>
      </c>
      <c r="J2243" s="549" t="s">
        <v>976</v>
      </c>
      <c r="K2243" s="549" t="s">
        <v>976</v>
      </c>
      <c r="L2243" s="549">
        <v>24632.04</v>
      </c>
      <c r="M2243" s="549">
        <v>1859.72</v>
      </c>
      <c r="N2243" s="549">
        <v>1413.88</v>
      </c>
      <c r="O2243" s="549">
        <v>992</v>
      </c>
      <c r="P2243" s="549">
        <v>5.39</v>
      </c>
      <c r="Q2243" s="549">
        <v>229.92</v>
      </c>
    </row>
    <row r="2244" spans="1:17" x14ac:dyDescent="0.25">
      <c r="A2244" s="549" t="s">
        <v>1069</v>
      </c>
      <c r="B2244" s="549" t="s">
        <v>1070</v>
      </c>
      <c r="C2244" s="549" t="s">
        <v>187</v>
      </c>
      <c r="D2244" s="549" t="s">
        <v>667</v>
      </c>
      <c r="E2244" s="549" t="s">
        <v>973</v>
      </c>
      <c r="F2244" s="549" t="s">
        <v>1212</v>
      </c>
      <c r="G2244" s="549">
        <v>1562</v>
      </c>
      <c r="H2244" s="549" t="s">
        <v>187</v>
      </c>
      <c r="I2244" s="549" t="s">
        <v>976</v>
      </c>
      <c r="J2244" s="549" t="s">
        <v>976</v>
      </c>
      <c r="K2244" s="549" t="s">
        <v>976</v>
      </c>
      <c r="L2244" s="549">
        <v>112256.79</v>
      </c>
      <c r="M2244" s="549">
        <v>8475.39</v>
      </c>
      <c r="N2244" s="549">
        <v>6443.54</v>
      </c>
      <c r="O2244" s="549">
        <v>2976</v>
      </c>
      <c r="P2244" s="549">
        <v>4.41</v>
      </c>
      <c r="Q2244" s="549">
        <v>789.17</v>
      </c>
    </row>
    <row r="2245" spans="1:17" x14ac:dyDescent="0.25">
      <c r="A2245" s="549" t="s">
        <v>1069</v>
      </c>
      <c r="B2245" s="549" t="s">
        <v>1070</v>
      </c>
      <c r="C2245" s="549" t="s">
        <v>187</v>
      </c>
      <c r="D2245" s="549" t="s">
        <v>667</v>
      </c>
      <c r="E2245" s="549" t="s">
        <v>973</v>
      </c>
      <c r="F2245" s="549" t="s">
        <v>1212</v>
      </c>
      <c r="G2245" s="549">
        <v>1572</v>
      </c>
      <c r="H2245" s="549" t="s">
        <v>187</v>
      </c>
      <c r="I2245" s="549" t="s">
        <v>976</v>
      </c>
      <c r="J2245" s="549" t="s">
        <v>976</v>
      </c>
      <c r="K2245" s="549" t="s">
        <v>976</v>
      </c>
      <c r="L2245" s="549">
        <v>121596.97</v>
      </c>
      <c r="M2245" s="549">
        <v>9180.57</v>
      </c>
      <c r="N2245" s="549">
        <v>6979.67</v>
      </c>
      <c r="O2245" s="549">
        <v>4960</v>
      </c>
      <c r="P2245" s="549">
        <v>4.41</v>
      </c>
      <c r="Q2245" s="549">
        <v>931.4</v>
      </c>
    </row>
    <row r="2246" spans="1:17" x14ac:dyDescent="0.25">
      <c r="A2246" s="549" t="s">
        <v>1069</v>
      </c>
      <c r="B2246" s="549" t="s">
        <v>1070</v>
      </c>
      <c r="C2246" s="549" t="s">
        <v>187</v>
      </c>
      <c r="D2246" s="549" t="s">
        <v>667</v>
      </c>
      <c r="E2246" s="549" t="s">
        <v>973</v>
      </c>
      <c r="F2246" s="549" t="s">
        <v>1212</v>
      </c>
      <c r="G2246" s="549">
        <v>1587</v>
      </c>
      <c r="H2246" s="549" t="s">
        <v>187</v>
      </c>
      <c r="I2246" s="549" t="s">
        <v>976</v>
      </c>
      <c r="J2246" s="549" t="s">
        <v>976</v>
      </c>
      <c r="K2246" s="549" t="s">
        <v>976</v>
      </c>
      <c r="L2246" s="549">
        <v>0.02</v>
      </c>
      <c r="M2246" s="549">
        <v>0</v>
      </c>
      <c r="N2246" s="549">
        <v>0</v>
      </c>
      <c r="O2246" s="549">
        <v>992</v>
      </c>
      <c r="P2246" s="549">
        <v>4.41</v>
      </c>
      <c r="Q2246" s="549">
        <v>43.75</v>
      </c>
    </row>
    <row r="2247" spans="1:17" x14ac:dyDescent="0.25">
      <c r="A2247" s="549" t="s">
        <v>1069</v>
      </c>
      <c r="B2247" s="549" t="s">
        <v>1070</v>
      </c>
      <c r="C2247" s="549" t="s">
        <v>187</v>
      </c>
      <c r="D2247" s="549" t="s">
        <v>667</v>
      </c>
      <c r="E2247" s="549" t="s">
        <v>973</v>
      </c>
      <c r="F2247" s="549" t="s">
        <v>1212</v>
      </c>
      <c r="G2247" s="549">
        <v>1597</v>
      </c>
      <c r="H2247" s="549" t="s">
        <v>187</v>
      </c>
      <c r="I2247" s="549" t="s">
        <v>976</v>
      </c>
      <c r="J2247" s="549" t="s">
        <v>976</v>
      </c>
      <c r="K2247" s="549" t="s">
        <v>976</v>
      </c>
      <c r="L2247" s="549">
        <v>0.02</v>
      </c>
      <c r="M2247" s="549">
        <v>0</v>
      </c>
      <c r="N2247" s="549">
        <v>0</v>
      </c>
      <c r="O2247" s="549">
        <v>992</v>
      </c>
      <c r="P2247" s="549">
        <v>4.41</v>
      </c>
      <c r="Q2247" s="549">
        <v>43.75</v>
      </c>
    </row>
    <row r="2248" spans="1:17" x14ac:dyDescent="0.25">
      <c r="A2248" s="549" t="s">
        <v>1069</v>
      </c>
      <c r="B2248" s="549" t="s">
        <v>1070</v>
      </c>
      <c r="C2248" s="549" t="s">
        <v>187</v>
      </c>
      <c r="D2248" s="549" t="s">
        <v>667</v>
      </c>
      <c r="E2248" s="549" t="s">
        <v>973</v>
      </c>
      <c r="F2248" s="549" t="s">
        <v>1212</v>
      </c>
      <c r="G2248" s="549">
        <v>1602</v>
      </c>
      <c r="H2248" s="549" t="s">
        <v>187</v>
      </c>
      <c r="I2248" s="549" t="s">
        <v>976</v>
      </c>
      <c r="J2248" s="549" t="s">
        <v>976</v>
      </c>
      <c r="K2248" s="549" t="s">
        <v>976</v>
      </c>
      <c r="L2248" s="549">
        <v>121596.97</v>
      </c>
      <c r="M2248" s="549">
        <v>9180.57</v>
      </c>
      <c r="N2248" s="549">
        <v>6979.67</v>
      </c>
      <c r="O2248" s="549">
        <v>4960</v>
      </c>
      <c r="P2248" s="549">
        <v>5.39</v>
      </c>
      <c r="Q2248" s="549">
        <v>1138.3800000000001</v>
      </c>
    </row>
    <row r="2249" spans="1:17" x14ac:dyDescent="0.25">
      <c r="A2249" s="549" t="s">
        <v>1069</v>
      </c>
      <c r="B2249" s="549" t="s">
        <v>1070</v>
      </c>
      <c r="C2249" s="549" t="s">
        <v>187</v>
      </c>
      <c r="D2249" s="549" t="s">
        <v>667</v>
      </c>
      <c r="E2249" s="549" t="s">
        <v>973</v>
      </c>
      <c r="F2249" s="549" t="s">
        <v>1212</v>
      </c>
      <c r="G2249" s="549">
        <v>1612</v>
      </c>
      <c r="H2249" s="549" t="s">
        <v>187</v>
      </c>
      <c r="I2249" s="549" t="s">
        <v>976</v>
      </c>
      <c r="J2249" s="549" t="s">
        <v>976</v>
      </c>
      <c r="K2249" s="549" t="s">
        <v>976</v>
      </c>
      <c r="L2249" s="549">
        <v>121596.97</v>
      </c>
      <c r="M2249" s="549">
        <v>9180.57</v>
      </c>
      <c r="N2249" s="549">
        <v>6979.67</v>
      </c>
      <c r="O2249" s="549">
        <v>4960</v>
      </c>
      <c r="P2249" s="549">
        <v>5.39</v>
      </c>
      <c r="Q2249" s="549">
        <v>1138.3800000000001</v>
      </c>
    </row>
    <row r="2250" spans="1:17" x14ac:dyDescent="0.25">
      <c r="A2250" s="549" t="s">
        <v>1069</v>
      </c>
      <c r="B2250" s="549" t="s">
        <v>1070</v>
      </c>
      <c r="C2250" s="549" t="s">
        <v>187</v>
      </c>
      <c r="D2250" s="549" t="s">
        <v>667</v>
      </c>
      <c r="E2250" s="549" t="s">
        <v>973</v>
      </c>
      <c r="F2250" s="549" t="s">
        <v>1212</v>
      </c>
      <c r="G2250" s="549">
        <v>1622</v>
      </c>
      <c r="H2250" s="549" t="s">
        <v>187</v>
      </c>
      <c r="I2250" s="549" t="s">
        <v>976</v>
      </c>
      <c r="J2250" s="549" t="s">
        <v>976</v>
      </c>
      <c r="K2250" s="549" t="s">
        <v>976</v>
      </c>
      <c r="L2250" s="549">
        <v>121596.97</v>
      </c>
      <c r="M2250" s="549">
        <v>9180.57</v>
      </c>
      <c r="N2250" s="549">
        <v>6979.67</v>
      </c>
      <c r="O2250" s="549">
        <v>4960</v>
      </c>
      <c r="P2250" s="549">
        <v>5.39</v>
      </c>
      <c r="Q2250" s="549">
        <v>1138.3800000000001</v>
      </c>
    </row>
    <row r="2251" spans="1:17" x14ac:dyDescent="0.25">
      <c r="A2251" s="549" t="s">
        <v>1069</v>
      </c>
      <c r="B2251" s="549" t="s">
        <v>1070</v>
      </c>
      <c r="C2251" s="549" t="s">
        <v>187</v>
      </c>
      <c r="D2251" s="549" t="s">
        <v>667</v>
      </c>
      <c r="E2251" s="549" t="s">
        <v>973</v>
      </c>
      <c r="F2251" s="549" t="s">
        <v>1212</v>
      </c>
      <c r="G2251" s="549">
        <v>1642</v>
      </c>
      <c r="H2251" s="549" t="s">
        <v>187</v>
      </c>
      <c r="I2251" s="549" t="s">
        <v>976</v>
      </c>
      <c r="J2251" s="549" t="s">
        <v>976</v>
      </c>
      <c r="K2251" s="549" t="s">
        <v>976</v>
      </c>
      <c r="L2251" s="549">
        <v>121596.97</v>
      </c>
      <c r="M2251" s="549">
        <v>9180.57</v>
      </c>
      <c r="N2251" s="549">
        <v>6979.67</v>
      </c>
      <c r="O2251" s="549">
        <v>4960</v>
      </c>
      <c r="P2251" s="549">
        <v>5.39</v>
      </c>
      <c r="Q2251" s="549">
        <v>1138.3800000000001</v>
      </c>
    </row>
    <row r="2252" spans="1:17" x14ac:dyDescent="0.25">
      <c r="A2252" s="549" t="s">
        <v>1069</v>
      </c>
      <c r="B2252" s="549" t="s">
        <v>1070</v>
      </c>
      <c r="C2252" s="549" t="s">
        <v>187</v>
      </c>
      <c r="D2252" s="549" t="s">
        <v>667</v>
      </c>
      <c r="E2252" s="549" t="s">
        <v>973</v>
      </c>
      <c r="F2252" s="549" t="s">
        <v>1212</v>
      </c>
      <c r="G2252" s="549">
        <v>1662</v>
      </c>
      <c r="H2252" s="549" t="s">
        <v>187</v>
      </c>
      <c r="I2252" s="549" t="s">
        <v>976</v>
      </c>
      <c r="J2252" s="549" t="s">
        <v>976</v>
      </c>
      <c r="K2252" s="549" t="s">
        <v>976</v>
      </c>
      <c r="L2252" s="549">
        <v>112256.79</v>
      </c>
      <c r="M2252" s="549">
        <v>8475.39</v>
      </c>
      <c r="N2252" s="549">
        <v>6443.54</v>
      </c>
      <c r="O2252" s="549">
        <v>2976</v>
      </c>
      <c r="P2252" s="549">
        <v>4.41</v>
      </c>
      <c r="Q2252" s="549">
        <v>789.17</v>
      </c>
    </row>
    <row r="2253" spans="1:17" x14ac:dyDescent="0.25">
      <c r="A2253" s="549" t="s">
        <v>1069</v>
      </c>
      <c r="B2253" s="549" t="s">
        <v>1070</v>
      </c>
      <c r="C2253" s="549" t="s">
        <v>187</v>
      </c>
      <c r="D2253" s="549" t="s">
        <v>667</v>
      </c>
      <c r="E2253" s="549" t="s">
        <v>973</v>
      </c>
      <c r="F2253" s="549" t="s">
        <v>1212</v>
      </c>
      <c r="G2253" s="549">
        <v>1672</v>
      </c>
      <c r="H2253" s="549" t="s">
        <v>187</v>
      </c>
      <c r="I2253" s="549" t="s">
        <v>976</v>
      </c>
      <c r="J2253" s="549" t="s">
        <v>976</v>
      </c>
      <c r="K2253" s="549" t="s">
        <v>976</v>
      </c>
      <c r="L2253" s="549">
        <v>121596.97</v>
      </c>
      <c r="M2253" s="549">
        <v>9180.57</v>
      </c>
      <c r="N2253" s="549">
        <v>6979.67</v>
      </c>
      <c r="O2253" s="549">
        <v>4960</v>
      </c>
      <c r="P2253" s="549">
        <v>4.41</v>
      </c>
      <c r="Q2253" s="549">
        <v>931.4</v>
      </c>
    </row>
    <row r="2254" spans="1:17" x14ac:dyDescent="0.25">
      <c r="A2254" s="549" t="s">
        <v>1069</v>
      </c>
      <c r="B2254" s="549" t="s">
        <v>1070</v>
      </c>
      <c r="C2254" s="549" t="s">
        <v>187</v>
      </c>
      <c r="D2254" s="549" t="s">
        <v>667</v>
      </c>
      <c r="E2254" s="549" t="s">
        <v>973</v>
      </c>
      <c r="F2254" s="549" t="s">
        <v>1212</v>
      </c>
      <c r="G2254" s="549">
        <v>1682</v>
      </c>
      <c r="H2254" s="549" t="s">
        <v>187</v>
      </c>
      <c r="I2254" s="549" t="s">
        <v>976</v>
      </c>
      <c r="J2254" s="549" t="s">
        <v>976</v>
      </c>
      <c r="K2254" s="549" t="s">
        <v>976</v>
      </c>
      <c r="L2254" s="549">
        <v>121596.97</v>
      </c>
      <c r="M2254" s="549">
        <v>9180.57</v>
      </c>
      <c r="N2254" s="549">
        <v>6979.67</v>
      </c>
      <c r="O2254" s="549">
        <v>4960</v>
      </c>
      <c r="P2254" s="549">
        <v>5.39</v>
      </c>
      <c r="Q2254" s="549">
        <v>1138.3800000000001</v>
      </c>
    </row>
    <row r="2255" spans="1:17" x14ac:dyDescent="0.25">
      <c r="A2255" s="549" t="s">
        <v>1091</v>
      </c>
      <c r="B2255" s="549" t="s">
        <v>1092</v>
      </c>
      <c r="C2255" s="549" t="s">
        <v>855</v>
      </c>
      <c r="D2255" s="549" t="s">
        <v>856</v>
      </c>
      <c r="E2255" s="549" t="s">
        <v>977</v>
      </c>
      <c r="F2255" s="549" t="s">
        <v>1212</v>
      </c>
      <c r="G2255" s="549">
        <v>2242</v>
      </c>
      <c r="H2255" s="549" t="s">
        <v>855</v>
      </c>
      <c r="I2255" s="549" t="s">
        <v>976</v>
      </c>
      <c r="J2255" s="549" t="s">
        <v>976</v>
      </c>
      <c r="K2255" s="549" t="s">
        <v>976</v>
      </c>
      <c r="L2255" s="549">
        <v>98189.9</v>
      </c>
      <c r="M2255" s="549">
        <v>7413.34</v>
      </c>
      <c r="N2255" s="549">
        <v>2170</v>
      </c>
      <c r="O2255" s="549">
        <v>992</v>
      </c>
      <c r="P2255" s="549">
        <v>100</v>
      </c>
      <c r="Q2255" s="549">
        <v>10575.34</v>
      </c>
    </row>
    <row r="2256" spans="1:17" x14ac:dyDescent="0.25">
      <c r="A2256" s="549" t="s">
        <v>1091</v>
      </c>
      <c r="B2256" s="549" t="s">
        <v>1092</v>
      </c>
      <c r="C2256" s="549" t="s">
        <v>855</v>
      </c>
      <c r="D2256" s="549" t="s">
        <v>856</v>
      </c>
      <c r="E2256" s="549" t="s">
        <v>977</v>
      </c>
      <c r="F2256" s="549" t="s">
        <v>1212</v>
      </c>
      <c r="G2256" s="549">
        <v>2232</v>
      </c>
      <c r="H2256" s="549" t="s">
        <v>855</v>
      </c>
      <c r="I2256" s="549" t="s">
        <v>976</v>
      </c>
      <c r="J2256" s="549" t="s">
        <v>976</v>
      </c>
      <c r="K2256" s="549" t="s">
        <v>976</v>
      </c>
      <c r="L2256" s="549">
        <v>109092.24</v>
      </c>
      <c r="M2256" s="549">
        <v>8236.4599999999991</v>
      </c>
      <c r="N2256" s="549">
        <v>2410.94</v>
      </c>
      <c r="O2256" s="549">
        <v>992</v>
      </c>
      <c r="P2256" s="549">
        <v>100</v>
      </c>
      <c r="Q2256" s="549">
        <v>11639.4</v>
      </c>
    </row>
    <row r="2257" spans="1:17" x14ac:dyDescent="0.25">
      <c r="A2257" s="549" t="s">
        <v>1091</v>
      </c>
      <c r="B2257" s="549" t="s">
        <v>1092</v>
      </c>
      <c r="C2257" s="549" t="s">
        <v>855</v>
      </c>
      <c r="D2257" s="549" t="s">
        <v>856</v>
      </c>
      <c r="E2257" s="549" t="s">
        <v>977</v>
      </c>
      <c r="F2257" s="549" t="s">
        <v>1212</v>
      </c>
      <c r="G2257" s="549">
        <v>2198</v>
      </c>
      <c r="H2257" s="549" t="s">
        <v>855</v>
      </c>
      <c r="I2257" s="549" t="s">
        <v>976</v>
      </c>
      <c r="J2257" s="549" t="s">
        <v>976</v>
      </c>
      <c r="K2257" s="549" t="s">
        <v>976</v>
      </c>
      <c r="L2257" s="549">
        <v>136332.20000000001</v>
      </c>
      <c r="M2257" s="549">
        <v>10293.08</v>
      </c>
      <c r="N2257" s="549">
        <v>3012.94</v>
      </c>
      <c r="O2257" s="549">
        <v>992</v>
      </c>
      <c r="P2257" s="549">
        <v>100</v>
      </c>
      <c r="Q2257" s="549">
        <v>14298.02</v>
      </c>
    </row>
    <row r="2258" spans="1:17" x14ac:dyDescent="0.25">
      <c r="A2258" s="549" t="s">
        <v>1091</v>
      </c>
      <c r="B2258" s="549" t="s">
        <v>1092</v>
      </c>
      <c r="C2258" s="549" t="s">
        <v>855</v>
      </c>
      <c r="D2258" s="549" t="s">
        <v>856</v>
      </c>
      <c r="E2258" s="549" t="s">
        <v>977</v>
      </c>
      <c r="F2258" s="549" t="s">
        <v>1212</v>
      </c>
      <c r="G2258" s="549">
        <v>2182</v>
      </c>
      <c r="H2258" s="549" t="s">
        <v>855</v>
      </c>
      <c r="I2258" s="549" t="s">
        <v>976</v>
      </c>
      <c r="J2258" s="549" t="s">
        <v>976</v>
      </c>
      <c r="K2258" s="549" t="s">
        <v>976</v>
      </c>
      <c r="L2258" s="549">
        <v>109092.24</v>
      </c>
      <c r="M2258" s="549">
        <v>8236.4599999999991</v>
      </c>
      <c r="N2258" s="549">
        <v>2410.94</v>
      </c>
      <c r="O2258" s="549">
        <v>992</v>
      </c>
      <c r="P2258" s="549">
        <v>100</v>
      </c>
      <c r="Q2258" s="549">
        <v>11639.4</v>
      </c>
    </row>
    <row r="2259" spans="1:17" x14ac:dyDescent="0.25">
      <c r="A2259" s="549" t="s">
        <v>1091</v>
      </c>
      <c r="B2259" s="549" t="s">
        <v>1092</v>
      </c>
      <c r="C2259" s="549" t="s">
        <v>855</v>
      </c>
      <c r="D2259" s="549" t="s">
        <v>856</v>
      </c>
      <c r="E2259" s="549" t="s">
        <v>977</v>
      </c>
      <c r="F2259" s="549" t="s">
        <v>1212</v>
      </c>
      <c r="G2259" s="549">
        <v>2172</v>
      </c>
      <c r="H2259" s="549" t="s">
        <v>855</v>
      </c>
      <c r="I2259" s="549" t="s">
        <v>976</v>
      </c>
      <c r="J2259" s="549" t="s">
        <v>976</v>
      </c>
      <c r="K2259" s="549" t="s">
        <v>976</v>
      </c>
      <c r="L2259" s="549">
        <v>109092.24</v>
      </c>
      <c r="M2259" s="549">
        <v>8236.4599999999991</v>
      </c>
      <c r="N2259" s="549">
        <v>2410.94</v>
      </c>
      <c r="O2259" s="549">
        <v>992</v>
      </c>
      <c r="P2259" s="549">
        <v>100</v>
      </c>
      <c r="Q2259" s="549">
        <v>11639.4</v>
      </c>
    </row>
    <row r="2260" spans="1:17" x14ac:dyDescent="0.25">
      <c r="A2260" s="549" t="s">
        <v>1091</v>
      </c>
      <c r="B2260" s="549" t="s">
        <v>1092</v>
      </c>
      <c r="C2260" s="549" t="s">
        <v>855</v>
      </c>
      <c r="D2260" s="549" t="s">
        <v>856</v>
      </c>
      <c r="E2260" s="549" t="s">
        <v>977</v>
      </c>
      <c r="F2260" s="549" t="s">
        <v>1212</v>
      </c>
      <c r="G2260" s="549">
        <v>2162</v>
      </c>
      <c r="H2260" s="549" t="s">
        <v>855</v>
      </c>
      <c r="I2260" s="549" t="s">
        <v>976</v>
      </c>
      <c r="J2260" s="549" t="s">
        <v>976</v>
      </c>
      <c r="K2260" s="549" t="s">
        <v>976</v>
      </c>
      <c r="L2260" s="549">
        <v>98189.9</v>
      </c>
      <c r="M2260" s="549">
        <v>7413.34</v>
      </c>
      <c r="N2260" s="549">
        <v>2170</v>
      </c>
      <c r="O2260" s="549">
        <v>992</v>
      </c>
      <c r="P2260" s="549">
        <v>100</v>
      </c>
      <c r="Q2260" s="549">
        <v>10575.34</v>
      </c>
    </row>
    <row r="2261" spans="1:17" x14ac:dyDescent="0.25">
      <c r="A2261" s="549" t="s">
        <v>1069</v>
      </c>
      <c r="B2261" s="549" t="s">
        <v>1070</v>
      </c>
      <c r="C2261" s="549" t="s">
        <v>187</v>
      </c>
      <c r="D2261" s="549" t="s">
        <v>667</v>
      </c>
      <c r="E2261" s="549" t="s">
        <v>973</v>
      </c>
      <c r="F2261" s="549" t="s">
        <v>1212</v>
      </c>
      <c r="G2261" s="549" t="s">
        <v>1257</v>
      </c>
      <c r="H2261" s="549" t="s">
        <v>187</v>
      </c>
      <c r="I2261" s="549" t="s">
        <v>976</v>
      </c>
      <c r="J2261" s="549" t="s">
        <v>976</v>
      </c>
      <c r="K2261" s="549" t="s">
        <v>976</v>
      </c>
      <c r="L2261" s="549">
        <v>0</v>
      </c>
      <c r="M2261" s="549">
        <v>0</v>
      </c>
      <c r="N2261" s="549">
        <v>0</v>
      </c>
      <c r="O2261" s="549">
        <v>0</v>
      </c>
      <c r="P2261" s="549">
        <v>4.41</v>
      </c>
      <c r="Q2261" s="549">
        <v>0</v>
      </c>
    </row>
    <row r="2262" spans="1:17" x14ac:dyDescent="0.25">
      <c r="A2262" s="549" t="s">
        <v>1069</v>
      </c>
      <c r="B2262" s="549" t="s">
        <v>1070</v>
      </c>
      <c r="C2262" s="549" t="s">
        <v>187</v>
      </c>
      <c r="D2262" s="549" t="s">
        <v>667</v>
      </c>
      <c r="E2262" s="549" t="s">
        <v>973</v>
      </c>
      <c r="F2262" s="549" t="s">
        <v>1212</v>
      </c>
      <c r="G2262" s="549" t="s">
        <v>1258</v>
      </c>
      <c r="H2262" s="549" t="s">
        <v>187</v>
      </c>
      <c r="I2262" s="549" t="s">
        <v>976</v>
      </c>
      <c r="J2262" s="549" t="s">
        <v>976</v>
      </c>
      <c r="K2262" s="549" t="s">
        <v>976</v>
      </c>
      <c r="L2262" s="549">
        <v>12964.75</v>
      </c>
      <c r="M2262" s="549">
        <v>978.84</v>
      </c>
      <c r="N2262" s="549">
        <v>744.18</v>
      </c>
      <c r="O2262" s="549">
        <v>0</v>
      </c>
      <c r="P2262" s="549">
        <v>5.39</v>
      </c>
      <c r="Q2262" s="549">
        <v>92.87</v>
      </c>
    </row>
    <row r="2263" spans="1:17" x14ac:dyDescent="0.25">
      <c r="A2263" s="549" t="s">
        <v>1069</v>
      </c>
      <c r="B2263" s="549" t="s">
        <v>1070</v>
      </c>
      <c r="C2263" s="549" t="s">
        <v>187</v>
      </c>
      <c r="D2263" s="549" t="s">
        <v>667</v>
      </c>
      <c r="E2263" s="549" t="s">
        <v>973</v>
      </c>
      <c r="F2263" s="549" t="s">
        <v>1212</v>
      </c>
      <c r="G2263" s="549" t="s">
        <v>1259</v>
      </c>
      <c r="H2263" s="549" t="s">
        <v>187</v>
      </c>
      <c r="I2263" s="549" t="s">
        <v>976</v>
      </c>
      <c r="J2263" s="549" t="s">
        <v>976</v>
      </c>
      <c r="K2263" s="549" t="s">
        <v>976</v>
      </c>
      <c r="L2263" s="549">
        <v>12964.75</v>
      </c>
      <c r="M2263" s="549">
        <v>978.84</v>
      </c>
      <c r="N2263" s="549">
        <v>744.18</v>
      </c>
      <c r="O2263" s="549">
        <v>0</v>
      </c>
      <c r="P2263" s="549">
        <v>5.39</v>
      </c>
      <c r="Q2263" s="549">
        <v>92.87</v>
      </c>
    </row>
    <row r="2264" spans="1:17" x14ac:dyDescent="0.25">
      <c r="A2264" s="549" t="s">
        <v>1069</v>
      </c>
      <c r="B2264" s="549" t="s">
        <v>1070</v>
      </c>
      <c r="C2264" s="549" t="s">
        <v>187</v>
      </c>
      <c r="D2264" s="549" t="s">
        <v>667</v>
      </c>
      <c r="E2264" s="549" t="s">
        <v>973</v>
      </c>
      <c r="F2264" s="549" t="s">
        <v>1212</v>
      </c>
      <c r="G2264" s="549" t="s">
        <v>1260</v>
      </c>
      <c r="H2264" s="549" t="s">
        <v>187</v>
      </c>
      <c r="I2264" s="549" t="s">
        <v>976</v>
      </c>
      <c r="J2264" s="549" t="s">
        <v>976</v>
      </c>
      <c r="K2264" s="549" t="s">
        <v>976</v>
      </c>
      <c r="L2264" s="549">
        <v>12964.75</v>
      </c>
      <c r="M2264" s="549">
        <v>978.84</v>
      </c>
      <c r="N2264" s="549">
        <v>744.18</v>
      </c>
      <c r="O2264" s="549">
        <v>0</v>
      </c>
      <c r="P2264" s="549">
        <v>5.39</v>
      </c>
      <c r="Q2264" s="549">
        <v>92.87</v>
      </c>
    </row>
    <row r="2265" spans="1:17" x14ac:dyDescent="0.25">
      <c r="A2265" s="549" t="s">
        <v>1069</v>
      </c>
      <c r="B2265" s="549" t="s">
        <v>1070</v>
      </c>
      <c r="C2265" s="549" t="s">
        <v>187</v>
      </c>
      <c r="D2265" s="549" t="s">
        <v>667</v>
      </c>
      <c r="E2265" s="549" t="s">
        <v>973</v>
      </c>
      <c r="F2265" s="549" t="s">
        <v>1212</v>
      </c>
      <c r="G2265" s="549" t="s">
        <v>1261</v>
      </c>
      <c r="H2265" s="549" t="s">
        <v>187</v>
      </c>
      <c r="I2265" s="549" t="s">
        <v>976</v>
      </c>
      <c r="J2265" s="549" t="s">
        <v>976</v>
      </c>
      <c r="K2265" s="549" t="s">
        <v>976</v>
      </c>
      <c r="L2265" s="549">
        <v>12964.75</v>
      </c>
      <c r="M2265" s="549">
        <v>978.84</v>
      </c>
      <c r="N2265" s="549">
        <v>744.18</v>
      </c>
      <c r="O2265" s="549">
        <v>0</v>
      </c>
      <c r="P2265" s="549">
        <v>5.39</v>
      </c>
      <c r="Q2265" s="549">
        <v>92.87</v>
      </c>
    </row>
    <row r="2266" spans="1:17" x14ac:dyDescent="0.25">
      <c r="A2266" s="549" t="s">
        <v>1069</v>
      </c>
      <c r="B2266" s="549" t="s">
        <v>1070</v>
      </c>
      <c r="C2266" s="549" t="s">
        <v>187</v>
      </c>
      <c r="D2266" s="549" t="s">
        <v>667</v>
      </c>
      <c r="E2266" s="549" t="s">
        <v>973</v>
      </c>
      <c r="F2266" s="549" t="s">
        <v>1212</v>
      </c>
      <c r="G2266" s="549" t="s">
        <v>1264</v>
      </c>
      <c r="H2266" s="549" t="s">
        <v>187</v>
      </c>
      <c r="I2266" s="549" t="s">
        <v>976</v>
      </c>
      <c r="J2266" s="549" t="s">
        <v>976</v>
      </c>
      <c r="K2266" s="549" t="s">
        <v>976</v>
      </c>
      <c r="L2266" s="549">
        <v>12964.75</v>
      </c>
      <c r="M2266" s="549">
        <v>978.84</v>
      </c>
      <c r="N2266" s="549">
        <v>744.18</v>
      </c>
      <c r="O2266" s="549">
        <v>0</v>
      </c>
      <c r="P2266" s="549">
        <v>5.39</v>
      </c>
      <c r="Q2266" s="549">
        <v>92.87</v>
      </c>
    </row>
    <row r="2267" spans="1:17" x14ac:dyDescent="0.25">
      <c r="A2267" s="549" t="s">
        <v>1069</v>
      </c>
      <c r="B2267" s="549" t="s">
        <v>1070</v>
      </c>
      <c r="C2267" s="549" t="s">
        <v>187</v>
      </c>
      <c r="D2267" s="549" t="s">
        <v>667</v>
      </c>
      <c r="E2267" s="549" t="s">
        <v>973</v>
      </c>
      <c r="F2267" s="549" t="s">
        <v>1212</v>
      </c>
      <c r="G2267" s="549" t="s">
        <v>1265</v>
      </c>
      <c r="H2267" s="549" t="s">
        <v>187</v>
      </c>
      <c r="I2267" s="549" t="s">
        <v>976</v>
      </c>
      <c r="J2267" s="549" t="s">
        <v>976</v>
      </c>
      <c r="K2267" s="549" t="s">
        <v>976</v>
      </c>
      <c r="L2267" s="549">
        <v>12964.75</v>
      </c>
      <c r="M2267" s="549">
        <v>978.84</v>
      </c>
      <c r="N2267" s="549">
        <v>744.18</v>
      </c>
      <c r="O2267" s="549">
        <v>0</v>
      </c>
      <c r="P2267" s="549">
        <v>5.39</v>
      </c>
      <c r="Q2267" s="549">
        <v>92.87</v>
      </c>
    </row>
    <row r="2268" spans="1:17" x14ac:dyDescent="0.25">
      <c r="A2268" s="549" t="s">
        <v>1069</v>
      </c>
      <c r="B2268" s="549" t="s">
        <v>1070</v>
      </c>
      <c r="C2268" s="549" t="s">
        <v>187</v>
      </c>
      <c r="D2268" s="549" t="s">
        <v>667</v>
      </c>
      <c r="E2268" s="549" t="s">
        <v>973</v>
      </c>
      <c r="F2268" s="549" t="s">
        <v>1212</v>
      </c>
      <c r="G2268" s="549" t="s">
        <v>1382</v>
      </c>
      <c r="H2268" s="549" t="s">
        <v>187</v>
      </c>
      <c r="I2268" s="549" t="s">
        <v>976</v>
      </c>
      <c r="J2268" s="549" t="s">
        <v>976</v>
      </c>
      <c r="K2268" s="549" t="s">
        <v>976</v>
      </c>
      <c r="L2268" s="549">
        <v>12964.75</v>
      </c>
      <c r="M2268" s="549">
        <v>978.84</v>
      </c>
      <c r="N2268" s="549">
        <v>744.18</v>
      </c>
      <c r="O2268" s="549">
        <v>0</v>
      </c>
      <c r="P2268" s="549">
        <v>100</v>
      </c>
      <c r="Q2268" s="549">
        <v>1723.02</v>
      </c>
    </row>
    <row r="2269" spans="1:17" x14ac:dyDescent="0.25">
      <c r="A2269" s="549" t="s">
        <v>1069</v>
      </c>
      <c r="B2269" s="549" t="s">
        <v>1070</v>
      </c>
      <c r="C2269" s="549" t="s">
        <v>187</v>
      </c>
      <c r="D2269" s="549" t="s">
        <v>667</v>
      </c>
      <c r="E2269" s="549" t="s">
        <v>973</v>
      </c>
      <c r="F2269" s="549" t="s">
        <v>1212</v>
      </c>
      <c r="G2269" s="549" t="s">
        <v>1267</v>
      </c>
      <c r="H2269" s="549" t="s">
        <v>187</v>
      </c>
      <c r="I2269" s="549" t="s">
        <v>976</v>
      </c>
      <c r="J2269" s="549" t="s">
        <v>976</v>
      </c>
      <c r="K2269" s="549" t="s">
        <v>976</v>
      </c>
      <c r="L2269" s="549">
        <v>0.02</v>
      </c>
      <c r="M2269" s="549">
        <v>0</v>
      </c>
      <c r="N2269" s="549">
        <v>0</v>
      </c>
      <c r="O2269" s="549">
        <v>0</v>
      </c>
      <c r="P2269" s="549">
        <v>4.41</v>
      </c>
      <c r="Q2269" s="549">
        <v>0</v>
      </c>
    </row>
    <row r="2270" spans="1:17" x14ac:dyDescent="0.25">
      <c r="A2270" s="549" t="s">
        <v>1069</v>
      </c>
      <c r="B2270" s="549" t="s">
        <v>1070</v>
      </c>
      <c r="C2270" s="549" t="s">
        <v>187</v>
      </c>
      <c r="D2270" s="549" t="s">
        <v>667</v>
      </c>
      <c r="E2270" s="549" t="s">
        <v>973</v>
      </c>
      <c r="F2270" s="549" t="s">
        <v>1212</v>
      </c>
      <c r="G2270" s="549" t="s">
        <v>1268</v>
      </c>
      <c r="H2270" s="549" t="s">
        <v>187</v>
      </c>
      <c r="I2270" s="549" t="s">
        <v>976</v>
      </c>
      <c r="J2270" s="549" t="s">
        <v>976</v>
      </c>
      <c r="K2270" s="549" t="s">
        <v>976</v>
      </c>
      <c r="L2270" s="549">
        <v>0.02</v>
      </c>
      <c r="M2270" s="549">
        <v>0</v>
      </c>
      <c r="N2270" s="549">
        <v>0</v>
      </c>
      <c r="O2270" s="549">
        <v>0</v>
      </c>
      <c r="P2270" s="549">
        <v>4.41</v>
      </c>
      <c r="Q2270" s="549">
        <v>0</v>
      </c>
    </row>
    <row r="2271" spans="1:17" x14ac:dyDescent="0.25">
      <c r="A2271" s="549" t="s">
        <v>1069</v>
      </c>
      <c r="B2271" s="549" t="s">
        <v>1070</v>
      </c>
      <c r="C2271" s="549" t="s">
        <v>187</v>
      </c>
      <c r="D2271" s="549" t="s">
        <v>667</v>
      </c>
      <c r="E2271" s="549" t="s">
        <v>977</v>
      </c>
      <c r="F2271" s="549" t="s">
        <v>1212</v>
      </c>
      <c r="G2271" s="549">
        <v>602</v>
      </c>
      <c r="H2271" s="549" t="s">
        <v>187</v>
      </c>
      <c r="I2271" s="549" t="s">
        <v>976</v>
      </c>
      <c r="J2271" s="549" t="s">
        <v>976</v>
      </c>
      <c r="K2271" s="549" t="s">
        <v>976</v>
      </c>
      <c r="L2271" s="549">
        <v>621099.49</v>
      </c>
      <c r="M2271" s="549">
        <v>46893.01</v>
      </c>
      <c r="N2271" s="549">
        <v>13726.3</v>
      </c>
      <c r="O2271" s="549">
        <v>2976</v>
      </c>
      <c r="P2271" s="549">
        <v>94.61</v>
      </c>
      <c r="Q2271" s="549">
        <v>60167.519999999997</v>
      </c>
    </row>
    <row r="2272" spans="1:17" x14ac:dyDescent="0.25">
      <c r="A2272" s="549" t="s">
        <v>1069</v>
      </c>
      <c r="B2272" s="549" t="s">
        <v>1070</v>
      </c>
      <c r="C2272" s="549" t="s">
        <v>187</v>
      </c>
      <c r="D2272" s="549" t="s">
        <v>667</v>
      </c>
      <c r="E2272" s="549" t="s">
        <v>977</v>
      </c>
      <c r="F2272" s="549" t="s">
        <v>1212</v>
      </c>
      <c r="G2272" s="549">
        <v>612</v>
      </c>
      <c r="H2272" s="549" t="s">
        <v>187</v>
      </c>
      <c r="I2272" s="549" t="s">
        <v>976</v>
      </c>
      <c r="J2272" s="549" t="s">
        <v>976</v>
      </c>
      <c r="K2272" s="549" t="s">
        <v>976</v>
      </c>
      <c r="L2272" s="549">
        <v>1032512.44</v>
      </c>
      <c r="M2272" s="549">
        <v>77954.69</v>
      </c>
      <c r="N2272" s="549">
        <v>22818.52</v>
      </c>
      <c r="O2272" s="549">
        <v>4960</v>
      </c>
      <c r="P2272" s="549">
        <v>77.38</v>
      </c>
      <c r="Q2272" s="549">
        <v>81816.36</v>
      </c>
    </row>
    <row r="2273" spans="1:17" x14ac:dyDescent="0.25">
      <c r="A2273" s="549" t="s">
        <v>1069</v>
      </c>
      <c r="B2273" s="549" t="s">
        <v>1070</v>
      </c>
      <c r="C2273" s="549" t="s">
        <v>187</v>
      </c>
      <c r="D2273" s="549" t="s">
        <v>667</v>
      </c>
      <c r="E2273" s="549" t="s">
        <v>977</v>
      </c>
      <c r="F2273" s="549" t="s">
        <v>1212</v>
      </c>
      <c r="G2273" s="549">
        <v>622</v>
      </c>
      <c r="H2273" s="549" t="s">
        <v>187</v>
      </c>
      <c r="I2273" s="549" t="s">
        <v>976</v>
      </c>
      <c r="J2273" s="549" t="s">
        <v>976</v>
      </c>
      <c r="K2273" s="549" t="s">
        <v>976</v>
      </c>
      <c r="L2273" s="549">
        <v>621099.49</v>
      </c>
      <c r="M2273" s="549">
        <v>46893.01</v>
      </c>
      <c r="N2273" s="549">
        <v>13726.3</v>
      </c>
      <c r="O2273" s="549">
        <v>2976</v>
      </c>
      <c r="P2273" s="549">
        <v>77.38</v>
      </c>
      <c r="Q2273" s="549">
        <v>49210.05</v>
      </c>
    </row>
    <row r="2274" spans="1:17" x14ac:dyDescent="0.25">
      <c r="A2274" s="549" t="s">
        <v>1069</v>
      </c>
      <c r="B2274" s="549" t="s">
        <v>1070</v>
      </c>
      <c r="C2274" s="549" t="s">
        <v>187</v>
      </c>
      <c r="D2274" s="549" t="s">
        <v>667</v>
      </c>
      <c r="E2274" s="549" t="s">
        <v>977</v>
      </c>
      <c r="F2274" s="549" t="s">
        <v>1212</v>
      </c>
      <c r="G2274" s="549">
        <v>632</v>
      </c>
      <c r="H2274" s="549" t="s">
        <v>187</v>
      </c>
      <c r="I2274" s="549" t="s">
        <v>976</v>
      </c>
      <c r="J2274" s="549" t="s">
        <v>976</v>
      </c>
      <c r="K2274" s="549" t="s">
        <v>976</v>
      </c>
      <c r="L2274" s="549">
        <v>1032512.44</v>
      </c>
      <c r="M2274" s="549">
        <v>77954.69</v>
      </c>
      <c r="N2274" s="549">
        <v>22818.52</v>
      </c>
      <c r="O2274" s="549">
        <v>4960</v>
      </c>
      <c r="P2274" s="549">
        <v>77.38</v>
      </c>
      <c r="Q2274" s="549">
        <v>81816.36</v>
      </c>
    </row>
    <row r="2275" spans="1:17" x14ac:dyDescent="0.25">
      <c r="A2275" s="549" t="s">
        <v>1069</v>
      </c>
      <c r="B2275" s="549" t="s">
        <v>1070</v>
      </c>
      <c r="C2275" s="549" t="s">
        <v>187</v>
      </c>
      <c r="D2275" s="549" t="s">
        <v>667</v>
      </c>
      <c r="E2275" s="549" t="s">
        <v>977</v>
      </c>
      <c r="F2275" s="549" t="s">
        <v>1212</v>
      </c>
      <c r="G2275" s="549">
        <v>642</v>
      </c>
      <c r="H2275" s="549" t="s">
        <v>187</v>
      </c>
      <c r="I2275" s="549" t="s">
        <v>976</v>
      </c>
      <c r="J2275" s="549" t="s">
        <v>976</v>
      </c>
      <c r="K2275" s="549" t="s">
        <v>976</v>
      </c>
      <c r="L2275" s="549">
        <v>621099.49</v>
      </c>
      <c r="M2275" s="549">
        <v>46893.01</v>
      </c>
      <c r="N2275" s="549">
        <v>13726.3</v>
      </c>
      <c r="O2275" s="549">
        <v>2976</v>
      </c>
      <c r="P2275" s="549">
        <v>77.38</v>
      </c>
      <c r="Q2275" s="549">
        <v>49210.05</v>
      </c>
    </row>
    <row r="2276" spans="1:17" x14ac:dyDescent="0.25">
      <c r="A2276" s="549" t="s">
        <v>1069</v>
      </c>
      <c r="B2276" s="549" t="s">
        <v>1070</v>
      </c>
      <c r="C2276" s="549" t="s">
        <v>187</v>
      </c>
      <c r="D2276" s="549" t="s">
        <v>667</v>
      </c>
      <c r="E2276" s="549" t="s">
        <v>977</v>
      </c>
      <c r="F2276" s="549" t="s">
        <v>1212</v>
      </c>
      <c r="G2276" s="549">
        <v>658</v>
      </c>
      <c r="H2276" s="549" t="s">
        <v>187</v>
      </c>
      <c r="I2276" s="549" t="s">
        <v>976</v>
      </c>
      <c r="J2276" s="549" t="s">
        <v>976</v>
      </c>
      <c r="K2276" s="549" t="s">
        <v>976</v>
      </c>
      <c r="L2276" s="549">
        <v>1027061.68</v>
      </c>
      <c r="M2276" s="549">
        <v>77543.16</v>
      </c>
      <c r="N2276" s="549">
        <v>22698.06</v>
      </c>
      <c r="O2276" s="549">
        <v>2976</v>
      </c>
      <c r="P2276" s="549">
        <v>77.38</v>
      </c>
      <c r="Q2276" s="549">
        <v>79869.48</v>
      </c>
    </row>
    <row r="2277" spans="1:17" x14ac:dyDescent="0.25">
      <c r="A2277" s="549" t="s">
        <v>1069</v>
      </c>
      <c r="B2277" s="549" t="s">
        <v>1070</v>
      </c>
      <c r="C2277" s="549" t="s">
        <v>187</v>
      </c>
      <c r="D2277" s="549" t="s">
        <v>667</v>
      </c>
      <c r="E2277" s="549" t="s">
        <v>977</v>
      </c>
      <c r="F2277" s="549" t="s">
        <v>1212</v>
      </c>
      <c r="G2277" s="549">
        <v>1442</v>
      </c>
      <c r="H2277" s="549" t="s">
        <v>187</v>
      </c>
      <c r="I2277" s="549" t="s">
        <v>976</v>
      </c>
      <c r="J2277" s="549" t="s">
        <v>976</v>
      </c>
      <c r="K2277" s="549" t="s">
        <v>976</v>
      </c>
      <c r="L2277" s="549">
        <v>48399.13</v>
      </c>
      <c r="M2277" s="549">
        <v>3654.13</v>
      </c>
      <c r="N2277" s="549">
        <v>1069.6199999999999</v>
      </c>
      <c r="O2277" s="549">
        <v>4960</v>
      </c>
      <c r="P2277" s="549">
        <v>94.61</v>
      </c>
      <c r="Q2277" s="549">
        <v>9161.7999999999993</v>
      </c>
    </row>
    <row r="2278" spans="1:17" x14ac:dyDescent="0.25">
      <c r="A2278" s="549" t="s">
        <v>1069</v>
      </c>
      <c r="B2278" s="549" t="s">
        <v>1070</v>
      </c>
      <c r="C2278" s="549" t="s">
        <v>187</v>
      </c>
      <c r="D2278" s="549" t="s">
        <v>667</v>
      </c>
      <c r="E2278" s="549" t="s">
        <v>977</v>
      </c>
      <c r="F2278" s="549" t="s">
        <v>1212</v>
      </c>
      <c r="G2278" s="549">
        <v>1462</v>
      </c>
      <c r="H2278" s="549" t="s">
        <v>187</v>
      </c>
      <c r="I2278" s="549" t="s">
        <v>976</v>
      </c>
      <c r="J2278" s="549" t="s">
        <v>976</v>
      </c>
      <c r="K2278" s="549" t="s">
        <v>976</v>
      </c>
      <c r="L2278" s="549">
        <v>121596.97</v>
      </c>
      <c r="M2278" s="549">
        <v>9180.57</v>
      </c>
      <c r="N2278" s="549">
        <v>2687.29</v>
      </c>
      <c r="O2278" s="549">
        <v>4960</v>
      </c>
      <c r="P2278" s="549">
        <v>94.61</v>
      </c>
      <c r="Q2278" s="549">
        <v>15920.84</v>
      </c>
    </row>
    <row r="2279" spans="1:17" x14ac:dyDescent="0.25">
      <c r="A2279" s="549" t="s">
        <v>1069</v>
      </c>
      <c r="B2279" s="549" t="s">
        <v>1070</v>
      </c>
      <c r="C2279" s="549" t="s">
        <v>187</v>
      </c>
      <c r="D2279" s="549" t="s">
        <v>667</v>
      </c>
      <c r="E2279" s="549" t="s">
        <v>977</v>
      </c>
      <c r="F2279" s="549" t="s">
        <v>1212</v>
      </c>
      <c r="G2279" s="549">
        <v>1472</v>
      </c>
      <c r="H2279" s="549" t="s">
        <v>187</v>
      </c>
      <c r="I2279" s="549" t="s">
        <v>976</v>
      </c>
      <c r="J2279" s="549" t="s">
        <v>976</v>
      </c>
      <c r="K2279" s="549" t="s">
        <v>976</v>
      </c>
      <c r="L2279" s="549">
        <v>121596.97</v>
      </c>
      <c r="M2279" s="549">
        <v>9180.57</v>
      </c>
      <c r="N2279" s="549">
        <v>2687.29</v>
      </c>
      <c r="O2279" s="549">
        <v>4960</v>
      </c>
      <c r="P2279" s="549">
        <v>94.61</v>
      </c>
      <c r="Q2279" s="549">
        <v>15920.84</v>
      </c>
    </row>
    <row r="2280" spans="1:17" x14ac:dyDescent="0.25">
      <c r="A2280" s="549" t="s">
        <v>1069</v>
      </c>
      <c r="B2280" s="549" t="s">
        <v>1070</v>
      </c>
      <c r="C2280" s="549" t="s">
        <v>187</v>
      </c>
      <c r="D2280" s="549" t="s">
        <v>667</v>
      </c>
      <c r="E2280" s="549" t="s">
        <v>977</v>
      </c>
      <c r="F2280" s="549" t="s">
        <v>1212</v>
      </c>
      <c r="G2280" s="549">
        <v>1482</v>
      </c>
      <c r="H2280" s="549" t="s">
        <v>187</v>
      </c>
      <c r="I2280" s="549" t="s">
        <v>976</v>
      </c>
      <c r="J2280" s="549" t="s">
        <v>976</v>
      </c>
      <c r="K2280" s="549" t="s">
        <v>976</v>
      </c>
      <c r="L2280" s="549">
        <v>112256.79</v>
      </c>
      <c r="M2280" s="549">
        <v>8475.39</v>
      </c>
      <c r="N2280" s="549">
        <v>2480.88</v>
      </c>
      <c r="O2280" s="549">
        <v>2976</v>
      </c>
      <c r="P2280" s="549">
        <v>94.61</v>
      </c>
      <c r="Q2280" s="549">
        <v>13181.32</v>
      </c>
    </row>
    <row r="2281" spans="1:17" x14ac:dyDescent="0.25">
      <c r="A2281" s="549" t="s">
        <v>1069</v>
      </c>
      <c r="B2281" s="549" t="s">
        <v>1070</v>
      </c>
      <c r="C2281" s="549" t="s">
        <v>187</v>
      </c>
      <c r="D2281" s="549" t="s">
        <v>667</v>
      </c>
      <c r="E2281" s="549" t="s">
        <v>977</v>
      </c>
      <c r="F2281" s="549" t="s">
        <v>1212</v>
      </c>
      <c r="G2281" s="549">
        <v>1492</v>
      </c>
      <c r="H2281" s="549" t="s">
        <v>187</v>
      </c>
      <c r="I2281" s="549" t="s">
        <v>976</v>
      </c>
      <c r="J2281" s="549" t="s">
        <v>976</v>
      </c>
      <c r="K2281" s="549" t="s">
        <v>976</v>
      </c>
      <c r="L2281" s="549">
        <v>121596.97</v>
      </c>
      <c r="M2281" s="549">
        <v>9180.57</v>
      </c>
      <c r="N2281" s="549">
        <v>2687.29</v>
      </c>
      <c r="O2281" s="549">
        <v>4960</v>
      </c>
      <c r="P2281" s="549">
        <v>94.61</v>
      </c>
      <c r="Q2281" s="549">
        <v>15920.84</v>
      </c>
    </row>
    <row r="2282" spans="1:17" x14ac:dyDescent="0.25">
      <c r="A2282" s="549" t="s">
        <v>1069</v>
      </c>
      <c r="B2282" s="549" t="s">
        <v>1070</v>
      </c>
      <c r="C2282" s="549" t="s">
        <v>187</v>
      </c>
      <c r="D2282" s="549" t="s">
        <v>667</v>
      </c>
      <c r="E2282" s="549" t="s">
        <v>977</v>
      </c>
      <c r="F2282" s="549" t="s">
        <v>1212</v>
      </c>
      <c r="G2282" s="549">
        <v>1502</v>
      </c>
      <c r="H2282" s="549" t="s">
        <v>187</v>
      </c>
      <c r="I2282" s="549" t="s">
        <v>976</v>
      </c>
      <c r="J2282" s="549" t="s">
        <v>976</v>
      </c>
      <c r="K2282" s="549" t="s">
        <v>976</v>
      </c>
      <c r="L2282" s="549">
        <v>121596.97</v>
      </c>
      <c r="M2282" s="549">
        <v>9180.57</v>
      </c>
      <c r="N2282" s="549">
        <v>2687.29</v>
      </c>
      <c r="O2282" s="549">
        <v>4960</v>
      </c>
      <c r="P2282" s="549">
        <v>94.61</v>
      </c>
      <c r="Q2282" s="549">
        <v>15920.84</v>
      </c>
    </row>
    <row r="2283" spans="1:17" x14ac:dyDescent="0.25">
      <c r="A2283" s="549" t="s">
        <v>1069</v>
      </c>
      <c r="B2283" s="549" t="s">
        <v>1070</v>
      </c>
      <c r="C2283" s="549" t="s">
        <v>187</v>
      </c>
      <c r="D2283" s="549" t="s">
        <v>667</v>
      </c>
      <c r="E2283" s="549" t="s">
        <v>977</v>
      </c>
      <c r="F2283" s="549" t="s">
        <v>1212</v>
      </c>
      <c r="G2283" s="549">
        <v>1512</v>
      </c>
      <c r="H2283" s="549" t="s">
        <v>187</v>
      </c>
      <c r="I2283" s="549" t="s">
        <v>976</v>
      </c>
      <c r="J2283" s="549" t="s">
        <v>976</v>
      </c>
      <c r="K2283" s="549" t="s">
        <v>976</v>
      </c>
      <c r="L2283" s="549">
        <v>121596.97</v>
      </c>
      <c r="M2283" s="549">
        <v>9180.57</v>
      </c>
      <c r="N2283" s="549">
        <v>2687.29</v>
      </c>
      <c r="O2283" s="549">
        <v>4960</v>
      </c>
      <c r="P2283" s="549">
        <v>94.61</v>
      </c>
      <c r="Q2283" s="549">
        <v>15920.84</v>
      </c>
    </row>
    <row r="2284" spans="1:17" x14ac:dyDescent="0.25">
      <c r="A2284" s="549" t="s">
        <v>1069</v>
      </c>
      <c r="B2284" s="549" t="s">
        <v>1070</v>
      </c>
      <c r="C2284" s="549" t="s">
        <v>187</v>
      </c>
      <c r="D2284" s="549" t="s">
        <v>667</v>
      </c>
      <c r="E2284" s="549" t="s">
        <v>977</v>
      </c>
      <c r="F2284" s="549" t="s">
        <v>1212</v>
      </c>
      <c r="G2284" s="549">
        <v>1547</v>
      </c>
      <c r="H2284" s="549" t="s">
        <v>187</v>
      </c>
      <c r="I2284" s="549" t="s">
        <v>976</v>
      </c>
      <c r="J2284" s="549" t="s">
        <v>976</v>
      </c>
      <c r="K2284" s="549" t="s">
        <v>976</v>
      </c>
      <c r="L2284" s="549">
        <v>24632.04</v>
      </c>
      <c r="M2284" s="549">
        <v>1859.72</v>
      </c>
      <c r="N2284" s="549">
        <v>544.37</v>
      </c>
      <c r="O2284" s="549">
        <v>992</v>
      </c>
      <c r="P2284" s="549">
        <v>94.61</v>
      </c>
      <c r="Q2284" s="549">
        <v>3213.04</v>
      </c>
    </row>
    <row r="2285" spans="1:17" x14ac:dyDescent="0.25">
      <c r="A2285" s="549" t="s">
        <v>1069</v>
      </c>
      <c r="B2285" s="549" t="s">
        <v>1070</v>
      </c>
      <c r="C2285" s="549" t="s">
        <v>187</v>
      </c>
      <c r="D2285" s="549" t="s">
        <v>667</v>
      </c>
      <c r="E2285" s="549" t="s">
        <v>977</v>
      </c>
      <c r="F2285" s="549" t="s">
        <v>1212</v>
      </c>
      <c r="G2285" s="549">
        <v>1557</v>
      </c>
      <c r="H2285" s="549" t="s">
        <v>187</v>
      </c>
      <c r="I2285" s="549" t="s">
        <v>976</v>
      </c>
      <c r="J2285" s="549" t="s">
        <v>976</v>
      </c>
      <c r="K2285" s="549" t="s">
        <v>976</v>
      </c>
      <c r="L2285" s="549">
        <v>24632.04</v>
      </c>
      <c r="M2285" s="549">
        <v>1859.72</v>
      </c>
      <c r="N2285" s="549">
        <v>544.37</v>
      </c>
      <c r="O2285" s="549">
        <v>992</v>
      </c>
      <c r="P2285" s="549">
        <v>94.61</v>
      </c>
      <c r="Q2285" s="549">
        <v>3213.04</v>
      </c>
    </row>
    <row r="2286" spans="1:17" x14ac:dyDescent="0.25">
      <c r="A2286" s="549" t="s">
        <v>1069</v>
      </c>
      <c r="B2286" s="549" t="s">
        <v>1070</v>
      </c>
      <c r="C2286" s="549" t="s">
        <v>187</v>
      </c>
      <c r="D2286" s="549" t="s">
        <v>667</v>
      </c>
      <c r="E2286" s="549" t="s">
        <v>977</v>
      </c>
      <c r="F2286" s="549" t="s">
        <v>1212</v>
      </c>
      <c r="G2286" s="549">
        <v>1562</v>
      </c>
      <c r="H2286" s="549" t="s">
        <v>187</v>
      </c>
      <c r="I2286" s="549" t="s">
        <v>976</v>
      </c>
      <c r="J2286" s="549" t="s">
        <v>976</v>
      </c>
      <c r="K2286" s="549" t="s">
        <v>976</v>
      </c>
      <c r="L2286" s="549">
        <v>112256.79</v>
      </c>
      <c r="M2286" s="549">
        <v>8475.39</v>
      </c>
      <c r="N2286" s="549">
        <v>2480.88</v>
      </c>
      <c r="O2286" s="549">
        <v>2976</v>
      </c>
      <c r="P2286" s="549">
        <v>77.38</v>
      </c>
      <c r="Q2286" s="549">
        <v>10780.79</v>
      </c>
    </row>
    <row r="2287" spans="1:17" x14ac:dyDescent="0.25">
      <c r="A2287" s="549" t="s">
        <v>1069</v>
      </c>
      <c r="B2287" s="549" t="s">
        <v>1070</v>
      </c>
      <c r="C2287" s="549" t="s">
        <v>187</v>
      </c>
      <c r="D2287" s="549" t="s">
        <v>667</v>
      </c>
      <c r="E2287" s="549" t="s">
        <v>977</v>
      </c>
      <c r="F2287" s="549" t="s">
        <v>1212</v>
      </c>
      <c r="G2287" s="549">
        <v>1572</v>
      </c>
      <c r="H2287" s="549" t="s">
        <v>187</v>
      </c>
      <c r="I2287" s="549" t="s">
        <v>976</v>
      </c>
      <c r="J2287" s="549" t="s">
        <v>976</v>
      </c>
      <c r="K2287" s="549" t="s">
        <v>976</v>
      </c>
      <c r="L2287" s="549">
        <v>121596.97</v>
      </c>
      <c r="M2287" s="549">
        <v>9180.57</v>
      </c>
      <c r="N2287" s="549">
        <v>2687.29</v>
      </c>
      <c r="O2287" s="549">
        <v>4960</v>
      </c>
      <c r="P2287" s="549">
        <v>77.38</v>
      </c>
      <c r="Q2287" s="549">
        <v>13021.4</v>
      </c>
    </row>
    <row r="2288" spans="1:17" x14ac:dyDescent="0.25">
      <c r="A2288" s="549" t="s">
        <v>1069</v>
      </c>
      <c r="B2288" s="549" t="s">
        <v>1070</v>
      </c>
      <c r="C2288" s="549" t="s">
        <v>187</v>
      </c>
      <c r="D2288" s="549" t="s">
        <v>667</v>
      </c>
      <c r="E2288" s="549" t="s">
        <v>977</v>
      </c>
      <c r="F2288" s="549" t="s">
        <v>1212</v>
      </c>
      <c r="G2288" s="549">
        <v>1587</v>
      </c>
      <c r="H2288" s="549" t="s">
        <v>187</v>
      </c>
      <c r="I2288" s="549" t="s">
        <v>976</v>
      </c>
      <c r="J2288" s="549" t="s">
        <v>976</v>
      </c>
      <c r="K2288" s="549" t="s">
        <v>976</v>
      </c>
      <c r="L2288" s="549">
        <v>0.02</v>
      </c>
      <c r="M2288" s="549">
        <v>0</v>
      </c>
      <c r="N2288" s="549">
        <v>0</v>
      </c>
      <c r="O2288" s="549">
        <v>992</v>
      </c>
      <c r="P2288" s="549">
        <v>77.38</v>
      </c>
      <c r="Q2288" s="549">
        <v>767.61</v>
      </c>
    </row>
    <row r="2289" spans="1:17" x14ac:dyDescent="0.25">
      <c r="A2289" s="549" t="s">
        <v>1069</v>
      </c>
      <c r="B2289" s="549" t="s">
        <v>1070</v>
      </c>
      <c r="C2289" s="549" t="s">
        <v>187</v>
      </c>
      <c r="D2289" s="549" t="s">
        <v>667</v>
      </c>
      <c r="E2289" s="549" t="s">
        <v>977</v>
      </c>
      <c r="F2289" s="549" t="s">
        <v>1212</v>
      </c>
      <c r="G2289" s="549">
        <v>1597</v>
      </c>
      <c r="H2289" s="549" t="s">
        <v>187</v>
      </c>
      <c r="I2289" s="549" t="s">
        <v>976</v>
      </c>
      <c r="J2289" s="549" t="s">
        <v>976</v>
      </c>
      <c r="K2289" s="549" t="s">
        <v>976</v>
      </c>
      <c r="L2289" s="549">
        <v>0.02</v>
      </c>
      <c r="M2289" s="549">
        <v>0</v>
      </c>
      <c r="N2289" s="549">
        <v>0</v>
      </c>
      <c r="O2289" s="549">
        <v>992</v>
      </c>
      <c r="P2289" s="549">
        <v>77.38</v>
      </c>
      <c r="Q2289" s="549">
        <v>767.61</v>
      </c>
    </row>
    <row r="2290" spans="1:17" x14ac:dyDescent="0.25">
      <c r="A2290" s="549" t="s">
        <v>1069</v>
      </c>
      <c r="B2290" s="549" t="s">
        <v>1070</v>
      </c>
      <c r="C2290" s="549" t="s">
        <v>187</v>
      </c>
      <c r="D2290" s="549" t="s">
        <v>667</v>
      </c>
      <c r="E2290" s="549" t="s">
        <v>977</v>
      </c>
      <c r="F2290" s="549" t="s">
        <v>1212</v>
      </c>
      <c r="G2290" s="549">
        <v>1602</v>
      </c>
      <c r="H2290" s="549" t="s">
        <v>187</v>
      </c>
      <c r="I2290" s="549" t="s">
        <v>976</v>
      </c>
      <c r="J2290" s="549" t="s">
        <v>976</v>
      </c>
      <c r="K2290" s="549" t="s">
        <v>976</v>
      </c>
      <c r="L2290" s="549">
        <v>121596.97</v>
      </c>
      <c r="M2290" s="549">
        <v>9180.57</v>
      </c>
      <c r="N2290" s="549">
        <v>2687.29</v>
      </c>
      <c r="O2290" s="549">
        <v>4960</v>
      </c>
      <c r="P2290" s="549">
        <v>94.61</v>
      </c>
      <c r="Q2290" s="549">
        <v>15920.84</v>
      </c>
    </row>
    <row r="2291" spans="1:17" x14ac:dyDescent="0.25">
      <c r="A2291" s="549" t="s">
        <v>1069</v>
      </c>
      <c r="B2291" s="549" t="s">
        <v>1070</v>
      </c>
      <c r="C2291" s="549" t="s">
        <v>187</v>
      </c>
      <c r="D2291" s="549" t="s">
        <v>667</v>
      </c>
      <c r="E2291" s="549" t="s">
        <v>977</v>
      </c>
      <c r="F2291" s="549" t="s">
        <v>1212</v>
      </c>
      <c r="G2291" s="549">
        <v>1612</v>
      </c>
      <c r="H2291" s="549" t="s">
        <v>187</v>
      </c>
      <c r="I2291" s="549" t="s">
        <v>976</v>
      </c>
      <c r="J2291" s="549" t="s">
        <v>976</v>
      </c>
      <c r="K2291" s="549" t="s">
        <v>976</v>
      </c>
      <c r="L2291" s="549">
        <v>121596.97</v>
      </c>
      <c r="M2291" s="549">
        <v>9180.57</v>
      </c>
      <c r="N2291" s="549">
        <v>2687.29</v>
      </c>
      <c r="O2291" s="549">
        <v>4960</v>
      </c>
      <c r="P2291" s="549">
        <v>94.61</v>
      </c>
      <c r="Q2291" s="549">
        <v>15920.84</v>
      </c>
    </row>
    <row r="2292" spans="1:17" x14ac:dyDescent="0.25">
      <c r="A2292" s="549" t="s">
        <v>1069</v>
      </c>
      <c r="B2292" s="549" t="s">
        <v>1070</v>
      </c>
      <c r="C2292" s="549" t="s">
        <v>187</v>
      </c>
      <c r="D2292" s="549" t="s">
        <v>667</v>
      </c>
      <c r="E2292" s="549" t="s">
        <v>977</v>
      </c>
      <c r="F2292" s="549" t="s">
        <v>1212</v>
      </c>
      <c r="G2292" s="549">
        <v>1622</v>
      </c>
      <c r="H2292" s="549" t="s">
        <v>187</v>
      </c>
      <c r="I2292" s="549" t="s">
        <v>976</v>
      </c>
      <c r="J2292" s="549" t="s">
        <v>976</v>
      </c>
      <c r="K2292" s="549" t="s">
        <v>976</v>
      </c>
      <c r="L2292" s="549">
        <v>121596.97</v>
      </c>
      <c r="M2292" s="549">
        <v>9180.57</v>
      </c>
      <c r="N2292" s="549">
        <v>2687.29</v>
      </c>
      <c r="O2292" s="549">
        <v>4960</v>
      </c>
      <c r="P2292" s="549">
        <v>94.61</v>
      </c>
      <c r="Q2292" s="549">
        <v>15920.84</v>
      </c>
    </row>
    <row r="2293" spans="1:17" x14ac:dyDescent="0.25">
      <c r="A2293" s="549" t="s">
        <v>1069</v>
      </c>
      <c r="B2293" s="549" t="s">
        <v>1070</v>
      </c>
      <c r="C2293" s="549" t="s">
        <v>187</v>
      </c>
      <c r="D2293" s="549" t="s">
        <v>667</v>
      </c>
      <c r="E2293" s="549" t="s">
        <v>977</v>
      </c>
      <c r="F2293" s="549" t="s">
        <v>1212</v>
      </c>
      <c r="G2293" s="549">
        <v>1642</v>
      </c>
      <c r="H2293" s="549" t="s">
        <v>187</v>
      </c>
      <c r="I2293" s="549" t="s">
        <v>976</v>
      </c>
      <c r="J2293" s="549" t="s">
        <v>976</v>
      </c>
      <c r="K2293" s="549" t="s">
        <v>976</v>
      </c>
      <c r="L2293" s="549">
        <v>121596.97</v>
      </c>
      <c r="M2293" s="549">
        <v>9180.57</v>
      </c>
      <c r="N2293" s="549">
        <v>2687.29</v>
      </c>
      <c r="O2293" s="549">
        <v>4960</v>
      </c>
      <c r="P2293" s="549">
        <v>94.61</v>
      </c>
      <c r="Q2293" s="549">
        <v>15920.84</v>
      </c>
    </row>
    <row r="2294" spans="1:17" x14ac:dyDescent="0.25">
      <c r="A2294" s="549" t="s">
        <v>1069</v>
      </c>
      <c r="B2294" s="549" t="s">
        <v>1070</v>
      </c>
      <c r="C2294" s="549" t="s">
        <v>187</v>
      </c>
      <c r="D2294" s="549" t="s">
        <v>667</v>
      </c>
      <c r="E2294" s="549" t="s">
        <v>977</v>
      </c>
      <c r="F2294" s="549" t="s">
        <v>1212</v>
      </c>
      <c r="G2294" s="549">
        <v>1662</v>
      </c>
      <c r="H2294" s="549" t="s">
        <v>187</v>
      </c>
      <c r="I2294" s="549" t="s">
        <v>976</v>
      </c>
      <c r="J2294" s="549" t="s">
        <v>976</v>
      </c>
      <c r="K2294" s="549" t="s">
        <v>976</v>
      </c>
      <c r="L2294" s="549">
        <v>112256.79</v>
      </c>
      <c r="M2294" s="549">
        <v>8475.39</v>
      </c>
      <c r="N2294" s="549">
        <v>2480.88</v>
      </c>
      <c r="O2294" s="549">
        <v>2976</v>
      </c>
      <c r="P2294" s="549">
        <v>77.38</v>
      </c>
      <c r="Q2294" s="549">
        <v>10780.79</v>
      </c>
    </row>
    <row r="2295" spans="1:17" x14ac:dyDescent="0.25">
      <c r="A2295" s="549" t="s">
        <v>1069</v>
      </c>
      <c r="B2295" s="549" t="s">
        <v>1070</v>
      </c>
      <c r="C2295" s="549" t="s">
        <v>187</v>
      </c>
      <c r="D2295" s="549" t="s">
        <v>667</v>
      </c>
      <c r="E2295" s="549" t="s">
        <v>977</v>
      </c>
      <c r="F2295" s="549" t="s">
        <v>1212</v>
      </c>
      <c r="G2295" s="549">
        <v>1672</v>
      </c>
      <c r="H2295" s="549" t="s">
        <v>187</v>
      </c>
      <c r="I2295" s="549" t="s">
        <v>976</v>
      </c>
      <c r="J2295" s="549" t="s">
        <v>976</v>
      </c>
      <c r="K2295" s="549" t="s">
        <v>976</v>
      </c>
      <c r="L2295" s="549">
        <v>121596.97</v>
      </c>
      <c r="M2295" s="549">
        <v>9180.57</v>
      </c>
      <c r="N2295" s="549">
        <v>2687.29</v>
      </c>
      <c r="O2295" s="549">
        <v>4960</v>
      </c>
      <c r="P2295" s="549">
        <v>77.38</v>
      </c>
      <c r="Q2295" s="549">
        <v>13021.4</v>
      </c>
    </row>
    <row r="2296" spans="1:17" x14ac:dyDescent="0.25">
      <c r="A2296" s="549" t="s">
        <v>1069</v>
      </c>
      <c r="B2296" s="549" t="s">
        <v>1070</v>
      </c>
      <c r="C2296" s="549" t="s">
        <v>187</v>
      </c>
      <c r="D2296" s="549" t="s">
        <v>667</v>
      </c>
      <c r="E2296" s="549" t="s">
        <v>977</v>
      </c>
      <c r="F2296" s="549" t="s">
        <v>1212</v>
      </c>
      <c r="G2296" s="549">
        <v>1682</v>
      </c>
      <c r="H2296" s="549" t="s">
        <v>187</v>
      </c>
      <c r="I2296" s="549" t="s">
        <v>976</v>
      </c>
      <c r="J2296" s="549" t="s">
        <v>976</v>
      </c>
      <c r="K2296" s="549" t="s">
        <v>976</v>
      </c>
      <c r="L2296" s="549">
        <v>121596.97</v>
      </c>
      <c r="M2296" s="549">
        <v>9180.57</v>
      </c>
      <c r="N2296" s="549">
        <v>2687.29</v>
      </c>
      <c r="O2296" s="549">
        <v>4960</v>
      </c>
      <c r="P2296" s="549">
        <v>94.61</v>
      </c>
      <c r="Q2296" s="549">
        <v>15920.84</v>
      </c>
    </row>
    <row r="2297" spans="1:17" x14ac:dyDescent="0.25">
      <c r="A2297" s="549" t="s">
        <v>1091</v>
      </c>
      <c r="B2297" s="549" t="s">
        <v>1092</v>
      </c>
      <c r="C2297" s="549" t="s">
        <v>855</v>
      </c>
      <c r="D2297" s="549" t="s">
        <v>856</v>
      </c>
      <c r="E2297" s="549" t="s">
        <v>977</v>
      </c>
      <c r="F2297" s="549" t="s">
        <v>1212</v>
      </c>
      <c r="G2297" s="549">
        <v>2152</v>
      </c>
      <c r="H2297" s="549" t="s">
        <v>855</v>
      </c>
      <c r="I2297" s="549" t="s">
        <v>976</v>
      </c>
      <c r="J2297" s="549" t="s">
        <v>976</v>
      </c>
      <c r="K2297" s="549" t="s">
        <v>976</v>
      </c>
      <c r="L2297" s="549">
        <v>109092.24</v>
      </c>
      <c r="M2297" s="549">
        <v>8236.4599999999991</v>
      </c>
      <c r="N2297" s="549">
        <v>2410.94</v>
      </c>
      <c r="O2297" s="549">
        <v>992</v>
      </c>
      <c r="P2297" s="549">
        <v>100</v>
      </c>
      <c r="Q2297" s="549">
        <v>11639.4</v>
      </c>
    </row>
    <row r="2298" spans="1:17" x14ac:dyDescent="0.25">
      <c r="A2298" s="549" t="s">
        <v>1091</v>
      </c>
      <c r="B2298" s="549" t="s">
        <v>1092</v>
      </c>
      <c r="C2298" s="549" t="s">
        <v>855</v>
      </c>
      <c r="D2298" s="549" t="s">
        <v>856</v>
      </c>
      <c r="E2298" s="549" t="s">
        <v>977</v>
      </c>
      <c r="F2298" s="549" t="s">
        <v>1212</v>
      </c>
      <c r="G2298" s="549">
        <v>2142</v>
      </c>
      <c r="H2298" s="549" t="s">
        <v>855</v>
      </c>
      <c r="I2298" s="549" t="s">
        <v>976</v>
      </c>
      <c r="J2298" s="549" t="s">
        <v>976</v>
      </c>
      <c r="K2298" s="549" t="s">
        <v>976</v>
      </c>
      <c r="L2298" s="549">
        <v>109092.24</v>
      </c>
      <c r="M2298" s="549">
        <v>8236.4599999999991</v>
      </c>
      <c r="N2298" s="549">
        <v>2410.94</v>
      </c>
      <c r="O2298" s="549">
        <v>992</v>
      </c>
      <c r="P2298" s="549">
        <v>100</v>
      </c>
      <c r="Q2298" s="549">
        <v>11639.4</v>
      </c>
    </row>
    <row r="2299" spans="1:17" x14ac:dyDescent="0.25">
      <c r="A2299" s="549" t="s">
        <v>1091</v>
      </c>
      <c r="B2299" s="549" t="s">
        <v>1092</v>
      </c>
      <c r="C2299" s="549" t="s">
        <v>855</v>
      </c>
      <c r="D2299" s="549" t="s">
        <v>856</v>
      </c>
      <c r="E2299" s="549" t="s">
        <v>977</v>
      </c>
      <c r="F2299" s="549" t="s">
        <v>1212</v>
      </c>
      <c r="G2299" s="549">
        <v>2132</v>
      </c>
      <c r="H2299" s="549" t="s">
        <v>855</v>
      </c>
      <c r="I2299" s="549" t="s">
        <v>976</v>
      </c>
      <c r="J2299" s="549" t="s">
        <v>976</v>
      </c>
      <c r="K2299" s="549" t="s">
        <v>976</v>
      </c>
      <c r="L2299" s="549">
        <v>109092.24</v>
      </c>
      <c r="M2299" s="549">
        <v>8236.4599999999991</v>
      </c>
      <c r="N2299" s="549">
        <v>2410.94</v>
      </c>
      <c r="O2299" s="549">
        <v>992</v>
      </c>
      <c r="P2299" s="549">
        <v>100</v>
      </c>
      <c r="Q2299" s="549">
        <v>11639.4</v>
      </c>
    </row>
    <row r="2300" spans="1:17" x14ac:dyDescent="0.25">
      <c r="A2300" s="549" t="s">
        <v>1091</v>
      </c>
      <c r="B2300" s="549" t="s">
        <v>1092</v>
      </c>
      <c r="C2300" s="549" t="s">
        <v>855</v>
      </c>
      <c r="D2300" s="549" t="s">
        <v>856</v>
      </c>
      <c r="E2300" s="549" t="s">
        <v>977</v>
      </c>
      <c r="F2300" s="549" t="s">
        <v>1212</v>
      </c>
      <c r="G2300" s="549">
        <v>2122</v>
      </c>
      <c r="H2300" s="549" t="s">
        <v>855</v>
      </c>
      <c r="I2300" s="549" t="s">
        <v>976</v>
      </c>
      <c r="J2300" s="549" t="s">
        <v>976</v>
      </c>
      <c r="K2300" s="549" t="s">
        <v>976</v>
      </c>
      <c r="L2300" s="549">
        <v>109092.24</v>
      </c>
      <c r="M2300" s="549">
        <v>8236.4599999999991</v>
      </c>
      <c r="N2300" s="549">
        <v>2410.94</v>
      </c>
      <c r="O2300" s="549">
        <v>992</v>
      </c>
      <c r="P2300" s="549">
        <v>100</v>
      </c>
      <c r="Q2300" s="549">
        <v>11639.4</v>
      </c>
    </row>
    <row r="2301" spans="1:17" x14ac:dyDescent="0.25">
      <c r="A2301" s="549" t="s">
        <v>1091</v>
      </c>
      <c r="B2301" s="549" t="s">
        <v>1092</v>
      </c>
      <c r="C2301" s="549" t="s">
        <v>855</v>
      </c>
      <c r="D2301" s="549" t="s">
        <v>856</v>
      </c>
      <c r="E2301" s="549" t="s">
        <v>977</v>
      </c>
      <c r="F2301" s="549" t="s">
        <v>1212</v>
      </c>
      <c r="G2301" s="549">
        <v>442</v>
      </c>
      <c r="H2301" s="549" t="s">
        <v>855</v>
      </c>
      <c r="I2301" s="549" t="s">
        <v>976</v>
      </c>
      <c r="J2301" s="549" t="s">
        <v>976</v>
      </c>
      <c r="K2301" s="549" t="s">
        <v>976</v>
      </c>
      <c r="L2301" s="549">
        <v>435724.79</v>
      </c>
      <c r="M2301" s="549">
        <v>32897.22</v>
      </c>
      <c r="N2301" s="549">
        <v>9629.52</v>
      </c>
      <c r="O2301" s="549">
        <v>1984</v>
      </c>
      <c r="P2301" s="549">
        <v>100</v>
      </c>
      <c r="Q2301" s="549">
        <v>44510.74</v>
      </c>
    </row>
    <row r="2302" spans="1:17" x14ac:dyDescent="0.25">
      <c r="A2302" s="549" t="s">
        <v>1069</v>
      </c>
      <c r="B2302" s="549" t="s">
        <v>1070</v>
      </c>
      <c r="C2302" s="549" t="s">
        <v>187</v>
      </c>
      <c r="D2302" s="549" t="s">
        <v>667</v>
      </c>
      <c r="E2302" s="549" t="s">
        <v>977</v>
      </c>
      <c r="F2302" s="549" t="s">
        <v>1212</v>
      </c>
      <c r="G2302" s="549" t="s">
        <v>1257</v>
      </c>
      <c r="H2302" s="549" t="s">
        <v>187</v>
      </c>
      <c r="I2302" s="549" t="s">
        <v>976</v>
      </c>
      <c r="J2302" s="549" t="s">
        <v>976</v>
      </c>
      <c r="K2302" s="549" t="s">
        <v>976</v>
      </c>
      <c r="L2302" s="549">
        <v>0</v>
      </c>
      <c r="M2302" s="549">
        <v>0</v>
      </c>
      <c r="N2302" s="549">
        <v>0</v>
      </c>
      <c r="O2302" s="549">
        <v>0</v>
      </c>
      <c r="P2302" s="549">
        <v>77.38</v>
      </c>
      <c r="Q2302" s="549">
        <v>0</v>
      </c>
    </row>
    <row r="2303" spans="1:17" x14ac:dyDescent="0.25">
      <c r="A2303" s="549" t="s">
        <v>1069</v>
      </c>
      <c r="B2303" s="549" t="s">
        <v>1070</v>
      </c>
      <c r="C2303" s="549" t="s">
        <v>187</v>
      </c>
      <c r="D2303" s="549" t="s">
        <v>667</v>
      </c>
      <c r="E2303" s="549" t="s">
        <v>977</v>
      </c>
      <c r="F2303" s="549" t="s">
        <v>1212</v>
      </c>
      <c r="G2303" s="549" t="s">
        <v>1258</v>
      </c>
      <c r="H2303" s="549" t="s">
        <v>187</v>
      </c>
      <c r="I2303" s="549" t="s">
        <v>976</v>
      </c>
      <c r="J2303" s="549" t="s">
        <v>976</v>
      </c>
      <c r="K2303" s="549" t="s">
        <v>976</v>
      </c>
      <c r="L2303" s="549">
        <v>12964.75</v>
      </c>
      <c r="M2303" s="549">
        <v>978.84</v>
      </c>
      <c r="N2303" s="549">
        <v>286.52</v>
      </c>
      <c r="O2303" s="549">
        <v>0</v>
      </c>
      <c r="P2303" s="549">
        <v>94.61</v>
      </c>
      <c r="Q2303" s="549">
        <v>1197.1600000000001</v>
      </c>
    </row>
    <row r="2304" spans="1:17" x14ac:dyDescent="0.25">
      <c r="A2304" s="549" t="s">
        <v>1069</v>
      </c>
      <c r="B2304" s="549" t="s">
        <v>1070</v>
      </c>
      <c r="C2304" s="549" t="s">
        <v>187</v>
      </c>
      <c r="D2304" s="549" t="s">
        <v>667</v>
      </c>
      <c r="E2304" s="549" t="s">
        <v>977</v>
      </c>
      <c r="F2304" s="549" t="s">
        <v>1212</v>
      </c>
      <c r="G2304" s="549" t="s">
        <v>1259</v>
      </c>
      <c r="H2304" s="549" t="s">
        <v>187</v>
      </c>
      <c r="I2304" s="549" t="s">
        <v>976</v>
      </c>
      <c r="J2304" s="549" t="s">
        <v>976</v>
      </c>
      <c r="K2304" s="549" t="s">
        <v>976</v>
      </c>
      <c r="L2304" s="549">
        <v>12964.75</v>
      </c>
      <c r="M2304" s="549">
        <v>978.84</v>
      </c>
      <c r="N2304" s="549">
        <v>286.52</v>
      </c>
      <c r="O2304" s="549">
        <v>0</v>
      </c>
      <c r="P2304" s="549">
        <v>94.61</v>
      </c>
      <c r="Q2304" s="549">
        <v>1197.1600000000001</v>
      </c>
    </row>
    <row r="2305" spans="1:17" x14ac:dyDescent="0.25">
      <c r="A2305" s="549" t="s">
        <v>1069</v>
      </c>
      <c r="B2305" s="549" t="s">
        <v>1070</v>
      </c>
      <c r="C2305" s="549" t="s">
        <v>187</v>
      </c>
      <c r="D2305" s="549" t="s">
        <v>667</v>
      </c>
      <c r="E2305" s="549" t="s">
        <v>977</v>
      </c>
      <c r="F2305" s="549" t="s">
        <v>1212</v>
      </c>
      <c r="G2305" s="549" t="s">
        <v>1260</v>
      </c>
      <c r="H2305" s="549" t="s">
        <v>187</v>
      </c>
      <c r="I2305" s="549" t="s">
        <v>976</v>
      </c>
      <c r="J2305" s="549" t="s">
        <v>976</v>
      </c>
      <c r="K2305" s="549" t="s">
        <v>976</v>
      </c>
      <c r="L2305" s="549">
        <v>12964.75</v>
      </c>
      <c r="M2305" s="549">
        <v>978.84</v>
      </c>
      <c r="N2305" s="549">
        <v>286.52</v>
      </c>
      <c r="O2305" s="549">
        <v>0</v>
      </c>
      <c r="P2305" s="549">
        <v>94.61</v>
      </c>
      <c r="Q2305" s="549">
        <v>1197.1600000000001</v>
      </c>
    </row>
    <row r="2306" spans="1:17" x14ac:dyDescent="0.25">
      <c r="A2306" s="549" t="s">
        <v>1069</v>
      </c>
      <c r="B2306" s="549" t="s">
        <v>1070</v>
      </c>
      <c r="C2306" s="549" t="s">
        <v>187</v>
      </c>
      <c r="D2306" s="549" t="s">
        <v>667</v>
      </c>
      <c r="E2306" s="549" t="s">
        <v>977</v>
      </c>
      <c r="F2306" s="549" t="s">
        <v>1212</v>
      </c>
      <c r="G2306" s="549" t="s">
        <v>1261</v>
      </c>
      <c r="H2306" s="549" t="s">
        <v>187</v>
      </c>
      <c r="I2306" s="549" t="s">
        <v>976</v>
      </c>
      <c r="J2306" s="549" t="s">
        <v>976</v>
      </c>
      <c r="K2306" s="549" t="s">
        <v>976</v>
      </c>
      <c r="L2306" s="549">
        <v>12964.75</v>
      </c>
      <c r="M2306" s="549">
        <v>978.84</v>
      </c>
      <c r="N2306" s="549">
        <v>286.52</v>
      </c>
      <c r="O2306" s="549">
        <v>0</v>
      </c>
      <c r="P2306" s="549">
        <v>94.61</v>
      </c>
      <c r="Q2306" s="549">
        <v>1197.1600000000001</v>
      </c>
    </row>
    <row r="2307" spans="1:17" x14ac:dyDescent="0.25">
      <c r="A2307" s="549" t="s">
        <v>1069</v>
      </c>
      <c r="B2307" s="549" t="s">
        <v>1070</v>
      </c>
      <c r="C2307" s="549" t="s">
        <v>187</v>
      </c>
      <c r="D2307" s="549" t="s">
        <v>667</v>
      </c>
      <c r="E2307" s="549" t="s">
        <v>977</v>
      </c>
      <c r="F2307" s="549" t="s">
        <v>1212</v>
      </c>
      <c r="G2307" s="549" t="s">
        <v>1264</v>
      </c>
      <c r="H2307" s="549" t="s">
        <v>187</v>
      </c>
      <c r="I2307" s="549" t="s">
        <v>976</v>
      </c>
      <c r="J2307" s="549" t="s">
        <v>976</v>
      </c>
      <c r="K2307" s="549" t="s">
        <v>976</v>
      </c>
      <c r="L2307" s="549">
        <v>12964.75</v>
      </c>
      <c r="M2307" s="549">
        <v>978.84</v>
      </c>
      <c r="N2307" s="549">
        <v>286.52</v>
      </c>
      <c r="O2307" s="549">
        <v>0</v>
      </c>
      <c r="P2307" s="549">
        <v>94.61</v>
      </c>
      <c r="Q2307" s="549">
        <v>1197.1600000000001</v>
      </c>
    </row>
    <row r="2308" spans="1:17" x14ac:dyDescent="0.25">
      <c r="A2308" s="549" t="s">
        <v>1069</v>
      </c>
      <c r="B2308" s="549" t="s">
        <v>1070</v>
      </c>
      <c r="C2308" s="549" t="s">
        <v>187</v>
      </c>
      <c r="D2308" s="549" t="s">
        <v>667</v>
      </c>
      <c r="E2308" s="549" t="s">
        <v>977</v>
      </c>
      <c r="F2308" s="549" t="s">
        <v>1212</v>
      </c>
      <c r="G2308" s="549" t="s">
        <v>1265</v>
      </c>
      <c r="H2308" s="549" t="s">
        <v>187</v>
      </c>
      <c r="I2308" s="549" t="s">
        <v>976</v>
      </c>
      <c r="J2308" s="549" t="s">
        <v>976</v>
      </c>
      <c r="K2308" s="549" t="s">
        <v>976</v>
      </c>
      <c r="L2308" s="549">
        <v>12964.75</v>
      </c>
      <c r="M2308" s="549">
        <v>978.84</v>
      </c>
      <c r="N2308" s="549">
        <v>286.52</v>
      </c>
      <c r="O2308" s="549">
        <v>0</v>
      </c>
      <c r="P2308" s="549">
        <v>94.61</v>
      </c>
      <c r="Q2308" s="549">
        <v>1197.1600000000001</v>
      </c>
    </row>
    <row r="2309" spans="1:17" x14ac:dyDescent="0.25">
      <c r="A2309" s="549" t="s">
        <v>1069</v>
      </c>
      <c r="B2309" s="549" t="s">
        <v>1070</v>
      </c>
      <c r="C2309" s="549" t="s">
        <v>187</v>
      </c>
      <c r="D2309" s="549" t="s">
        <v>667</v>
      </c>
      <c r="E2309" s="549" t="s">
        <v>977</v>
      </c>
      <c r="F2309" s="549" t="s">
        <v>1212</v>
      </c>
      <c r="G2309" s="549" t="s">
        <v>1267</v>
      </c>
      <c r="H2309" s="549" t="s">
        <v>187</v>
      </c>
      <c r="I2309" s="549" t="s">
        <v>976</v>
      </c>
      <c r="J2309" s="549" t="s">
        <v>976</v>
      </c>
      <c r="K2309" s="549" t="s">
        <v>976</v>
      </c>
      <c r="L2309" s="549">
        <v>0.02</v>
      </c>
      <c r="M2309" s="549">
        <v>0</v>
      </c>
      <c r="N2309" s="549">
        <v>0</v>
      </c>
      <c r="O2309" s="549">
        <v>0</v>
      </c>
      <c r="P2309" s="549">
        <v>77.38</v>
      </c>
      <c r="Q2309" s="549">
        <v>0</v>
      </c>
    </row>
    <row r="2310" spans="1:17" x14ac:dyDescent="0.25">
      <c r="A2310" s="549" t="s">
        <v>1069</v>
      </c>
      <c r="B2310" s="549" t="s">
        <v>1070</v>
      </c>
      <c r="C2310" s="549" t="s">
        <v>187</v>
      </c>
      <c r="D2310" s="549" t="s">
        <v>667</v>
      </c>
      <c r="E2310" s="549" t="s">
        <v>977</v>
      </c>
      <c r="F2310" s="549" t="s">
        <v>1212</v>
      </c>
      <c r="G2310" s="549" t="s">
        <v>1268</v>
      </c>
      <c r="H2310" s="549" t="s">
        <v>187</v>
      </c>
      <c r="I2310" s="549" t="s">
        <v>976</v>
      </c>
      <c r="J2310" s="549" t="s">
        <v>976</v>
      </c>
      <c r="K2310" s="549" t="s">
        <v>976</v>
      </c>
      <c r="L2310" s="549">
        <v>0.02</v>
      </c>
      <c r="M2310" s="549">
        <v>0</v>
      </c>
      <c r="N2310" s="549">
        <v>0</v>
      </c>
      <c r="O2310" s="549">
        <v>0</v>
      </c>
      <c r="P2310" s="549">
        <v>77.38</v>
      </c>
      <c r="Q2310" s="549">
        <v>0</v>
      </c>
    </row>
    <row r="2311" spans="1:17" x14ac:dyDescent="0.25">
      <c r="A2311" s="549" t="s">
        <v>1091</v>
      </c>
      <c r="B2311" s="549" t="s">
        <v>1092</v>
      </c>
      <c r="C2311" s="549" t="s">
        <v>855</v>
      </c>
      <c r="D2311" s="549" t="s">
        <v>856</v>
      </c>
      <c r="E2311" s="549" t="s">
        <v>977</v>
      </c>
      <c r="F2311" s="549" t="s">
        <v>1212</v>
      </c>
      <c r="G2311" s="549">
        <v>402</v>
      </c>
      <c r="H2311" s="549" t="s">
        <v>855</v>
      </c>
      <c r="I2311" s="549" t="s">
        <v>976</v>
      </c>
      <c r="J2311" s="549" t="s">
        <v>976</v>
      </c>
      <c r="K2311" s="549" t="s">
        <v>976</v>
      </c>
      <c r="L2311" s="549">
        <v>435724.79</v>
      </c>
      <c r="M2311" s="549">
        <v>32897.22</v>
      </c>
      <c r="N2311" s="549">
        <v>9629.52</v>
      </c>
      <c r="O2311" s="549">
        <v>1984</v>
      </c>
      <c r="P2311" s="549">
        <v>100</v>
      </c>
      <c r="Q2311" s="549">
        <v>44510.74</v>
      </c>
    </row>
    <row r="2312" spans="1:17" x14ac:dyDescent="0.25">
      <c r="A2312" s="549" t="s">
        <v>1091</v>
      </c>
      <c r="B2312" s="549" t="s">
        <v>1092</v>
      </c>
      <c r="C2312" s="549" t="s">
        <v>855</v>
      </c>
      <c r="D2312" s="549" t="s">
        <v>856</v>
      </c>
      <c r="E2312" s="549" t="s">
        <v>977</v>
      </c>
      <c r="F2312" s="549" t="s">
        <v>1212</v>
      </c>
      <c r="G2312" s="549">
        <v>212</v>
      </c>
      <c r="H2312" s="549" t="s">
        <v>855</v>
      </c>
      <c r="I2312" s="549" t="s">
        <v>976</v>
      </c>
      <c r="J2312" s="549" t="s">
        <v>976</v>
      </c>
      <c r="K2312" s="549" t="s">
        <v>976</v>
      </c>
      <c r="L2312" s="549">
        <v>347612.99</v>
      </c>
      <c r="M2312" s="549">
        <v>26244.78</v>
      </c>
      <c r="N2312" s="549">
        <v>7682.25</v>
      </c>
      <c r="O2312" s="549">
        <v>1984</v>
      </c>
      <c r="P2312" s="549">
        <v>100</v>
      </c>
      <c r="Q2312" s="549">
        <v>35911.03</v>
      </c>
    </row>
    <row r="2313" spans="1:17" x14ac:dyDescent="0.25">
      <c r="A2313" s="549" t="s">
        <v>1071</v>
      </c>
      <c r="B2313" s="549" t="s">
        <v>1072</v>
      </c>
      <c r="C2313" s="549" t="s">
        <v>731</v>
      </c>
      <c r="D2313" s="549" t="s">
        <v>732</v>
      </c>
      <c r="E2313" s="549" t="s">
        <v>977</v>
      </c>
      <c r="F2313" s="549" t="s">
        <v>1212</v>
      </c>
      <c r="G2313" s="549">
        <v>3</v>
      </c>
      <c r="H2313" s="549" t="s">
        <v>731</v>
      </c>
      <c r="I2313" s="549" t="s">
        <v>976</v>
      </c>
      <c r="J2313" s="549" t="s">
        <v>976</v>
      </c>
      <c r="K2313" s="549" t="s">
        <v>976</v>
      </c>
      <c r="L2313" s="549">
        <v>79756.38</v>
      </c>
      <c r="M2313" s="549">
        <v>6021.61</v>
      </c>
      <c r="N2313" s="549">
        <v>1762.62</v>
      </c>
      <c r="O2313" s="549">
        <v>892.8</v>
      </c>
      <c r="P2313" s="549">
        <v>100</v>
      </c>
      <c r="Q2313" s="549">
        <v>8677.0300000000007</v>
      </c>
    </row>
    <row r="2314" spans="1:17" x14ac:dyDescent="0.25">
      <c r="A2314" s="549" t="s">
        <v>1071</v>
      </c>
      <c r="B2314" s="549" t="s">
        <v>1072</v>
      </c>
      <c r="C2314" s="549" t="s">
        <v>731</v>
      </c>
      <c r="D2314" s="549" t="s">
        <v>732</v>
      </c>
      <c r="E2314" s="549" t="s">
        <v>977</v>
      </c>
      <c r="F2314" s="549" t="s">
        <v>1212</v>
      </c>
      <c r="G2314" s="549">
        <v>4</v>
      </c>
      <c r="H2314" s="549" t="s">
        <v>731</v>
      </c>
      <c r="I2314" s="549" t="s">
        <v>976</v>
      </c>
      <c r="J2314" s="549" t="s">
        <v>976</v>
      </c>
      <c r="K2314" s="549" t="s">
        <v>976</v>
      </c>
      <c r="L2314" s="549">
        <v>79756.38</v>
      </c>
      <c r="M2314" s="549">
        <v>6021.61</v>
      </c>
      <c r="N2314" s="549">
        <v>1762.62</v>
      </c>
      <c r="O2314" s="549">
        <v>892.8</v>
      </c>
      <c r="P2314" s="549">
        <v>100</v>
      </c>
      <c r="Q2314" s="549">
        <v>8677.0300000000007</v>
      </c>
    </row>
    <row r="2315" spans="1:17" x14ac:dyDescent="0.25">
      <c r="A2315" s="549" t="s">
        <v>1071</v>
      </c>
      <c r="B2315" s="549" t="s">
        <v>1072</v>
      </c>
      <c r="C2315" s="549" t="s">
        <v>731</v>
      </c>
      <c r="D2315" s="549" t="s">
        <v>732</v>
      </c>
      <c r="E2315" s="549" t="s">
        <v>977</v>
      </c>
      <c r="F2315" s="549" t="s">
        <v>1212</v>
      </c>
      <c r="G2315" s="549">
        <v>5</v>
      </c>
      <c r="H2315" s="549" t="s">
        <v>731</v>
      </c>
      <c r="I2315" s="549" t="s">
        <v>976</v>
      </c>
      <c r="J2315" s="549" t="s">
        <v>976</v>
      </c>
      <c r="K2315" s="549" t="s">
        <v>976</v>
      </c>
      <c r="L2315" s="549">
        <v>79756.38</v>
      </c>
      <c r="M2315" s="549">
        <v>6021.61</v>
      </c>
      <c r="N2315" s="549">
        <v>1762.62</v>
      </c>
      <c r="O2315" s="549">
        <v>892.8</v>
      </c>
      <c r="P2315" s="549">
        <v>100</v>
      </c>
      <c r="Q2315" s="549">
        <v>8677.0300000000007</v>
      </c>
    </row>
    <row r="2316" spans="1:17" x14ac:dyDescent="0.25">
      <c r="A2316" s="549" t="s">
        <v>1071</v>
      </c>
      <c r="B2316" s="549" t="s">
        <v>1072</v>
      </c>
      <c r="C2316" s="549" t="s">
        <v>731</v>
      </c>
      <c r="D2316" s="549" t="s">
        <v>732</v>
      </c>
      <c r="E2316" s="549" t="s">
        <v>977</v>
      </c>
      <c r="F2316" s="549" t="s">
        <v>1212</v>
      </c>
      <c r="G2316" s="549">
        <v>6</v>
      </c>
      <c r="H2316" s="549" t="s">
        <v>731</v>
      </c>
      <c r="I2316" s="549" t="s">
        <v>976</v>
      </c>
      <c r="J2316" s="549" t="s">
        <v>976</v>
      </c>
      <c r="K2316" s="549" t="s">
        <v>976</v>
      </c>
      <c r="L2316" s="549">
        <v>79756.38</v>
      </c>
      <c r="M2316" s="549">
        <v>6021.61</v>
      </c>
      <c r="N2316" s="549">
        <v>1762.62</v>
      </c>
      <c r="O2316" s="549">
        <v>892.8</v>
      </c>
      <c r="P2316" s="549">
        <v>100</v>
      </c>
      <c r="Q2316" s="549">
        <v>8677.0300000000007</v>
      </c>
    </row>
    <row r="2317" spans="1:17" x14ac:dyDescent="0.25">
      <c r="A2317" s="549" t="s">
        <v>1071</v>
      </c>
      <c r="B2317" s="549" t="s">
        <v>1072</v>
      </c>
      <c r="C2317" s="549" t="s">
        <v>731</v>
      </c>
      <c r="D2317" s="549" t="s">
        <v>732</v>
      </c>
      <c r="E2317" s="549" t="s">
        <v>977</v>
      </c>
      <c r="F2317" s="549" t="s">
        <v>1212</v>
      </c>
      <c r="G2317" s="549">
        <v>7</v>
      </c>
      <c r="H2317" s="549" t="s">
        <v>731</v>
      </c>
      <c r="I2317" s="549" t="s">
        <v>976</v>
      </c>
      <c r="J2317" s="549" t="s">
        <v>976</v>
      </c>
      <c r="K2317" s="549" t="s">
        <v>976</v>
      </c>
      <c r="L2317" s="549">
        <v>79756.38</v>
      </c>
      <c r="M2317" s="549">
        <v>6021.61</v>
      </c>
      <c r="N2317" s="549">
        <v>1762.62</v>
      </c>
      <c r="O2317" s="549">
        <v>892.8</v>
      </c>
      <c r="P2317" s="549">
        <v>100</v>
      </c>
      <c r="Q2317" s="549">
        <v>8677.0300000000007</v>
      </c>
    </row>
    <row r="2318" spans="1:17" x14ac:dyDescent="0.25">
      <c r="A2318" s="549" t="s">
        <v>1071</v>
      </c>
      <c r="B2318" s="549" t="s">
        <v>1072</v>
      </c>
      <c r="C2318" s="549" t="s">
        <v>731</v>
      </c>
      <c r="D2318" s="549" t="s">
        <v>732</v>
      </c>
      <c r="E2318" s="549" t="s">
        <v>977</v>
      </c>
      <c r="F2318" s="549" t="s">
        <v>1212</v>
      </c>
      <c r="G2318" s="549">
        <v>8</v>
      </c>
      <c r="H2318" s="549" t="s">
        <v>731</v>
      </c>
      <c r="I2318" s="549" t="s">
        <v>976</v>
      </c>
      <c r="J2318" s="549" t="s">
        <v>976</v>
      </c>
      <c r="K2318" s="549" t="s">
        <v>976</v>
      </c>
      <c r="L2318" s="549">
        <v>79756.38</v>
      </c>
      <c r="M2318" s="549">
        <v>6021.61</v>
      </c>
      <c r="N2318" s="549">
        <v>1762.62</v>
      </c>
      <c r="O2318" s="549">
        <v>892.8</v>
      </c>
      <c r="P2318" s="549">
        <v>100</v>
      </c>
      <c r="Q2318" s="549">
        <v>8677.0300000000007</v>
      </c>
    </row>
    <row r="2319" spans="1:17" x14ac:dyDescent="0.25">
      <c r="A2319" s="549" t="s">
        <v>1071</v>
      </c>
      <c r="B2319" s="549" t="s">
        <v>1072</v>
      </c>
      <c r="C2319" s="549" t="s">
        <v>731</v>
      </c>
      <c r="D2319" s="549" t="s">
        <v>732</v>
      </c>
      <c r="E2319" s="549" t="s">
        <v>977</v>
      </c>
      <c r="F2319" s="549" t="s">
        <v>1212</v>
      </c>
      <c r="G2319" s="549">
        <v>9</v>
      </c>
      <c r="H2319" s="549" t="s">
        <v>731</v>
      </c>
      <c r="I2319" s="549" t="s">
        <v>976</v>
      </c>
      <c r="J2319" s="549" t="s">
        <v>976</v>
      </c>
      <c r="K2319" s="549" t="s">
        <v>976</v>
      </c>
      <c r="L2319" s="549">
        <v>79756.38</v>
      </c>
      <c r="M2319" s="549">
        <v>6021.61</v>
      </c>
      <c r="N2319" s="549">
        <v>1762.62</v>
      </c>
      <c r="O2319" s="549">
        <v>892.8</v>
      </c>
      <c r="P2319" s="549">
        <v>100</v>
      </c>
      <c r="Q2319" s="549">
        <v>8677.0300000000007</v>
      </c>
    </row>
    <row r="2320" spans="1:17" x14ac:dyDescent="0.25">
      <c r="A2320" s="549" t="s">
        <v>1071</v>
      </c>
      <c r="B2320" s="549" t="s">
        <v>1072</v>
      </c>
      <c r="C2320" s="549" t="s">
        <v>731</v>
      </c>
      <c r="D2320" s="549" t="s">
        <v>732</v>
      </c>
      <c r="E2320" s="549" t="s">
        <v>977</v>
      </c>
      <c r="F2320" s="549" t="s">
        <v>1212</v>
      </c>
      <c r="G2320" s="549">
        <v>10</v>
      </c>
      <c r="H2320" s="549" t="s">
        <v>731</v>
      </c>
      <c r="I2320" s="549" t="s">
        <v>976</v>
      </c>
      <c r="J2320" s="549" t="s">
        <v>976</v>
      </c>
      <c r="K2320" s="549" t="s">
        <v>976</v>
      </c>
      <c r="L2320" s="549">
        <v>79756.38</v>
      </c>
      <c r="M2320" s="549">
        <v>6021.61</v>
      </c>
      <c r="N2320" s="549">
        <v>1762.62</v>
      </c>
      <c r="O2320" s="549">
        <v>892.8</v>
      </c>
      <c r="P2320" s="549">
        <v>100</v>
      </c>
      <c r="Q2320" s="549">
        <v>8677.0300000000007</v>
      </c>
    </row>
    <row r="2321" spans="1:17" x14ac:dyDescent="0.25">
      <c r="A2321" s="549" t="s">
        <v>1071</v>
      </c>
      <c r="B2321" s="549" t="s">
        <v>1072</v>
      </c>
      <c r="C2321" s="549" t="s">
        <v>731</v>
      </c>
      <c r="D2321" s="549" t="s">
        <v>732</v>
      </c>
      <c r="E2321" s="549" t="s">
        <v>977</v>
      </c>
      <c r="F2321" s="549" t="s">
        <v>1212</v>
      </c>
      <c r="G2321" s="549">
        <v>11</v>
      </c>
      <c r="H2321" s="549" t="s">
        <v>731</v>
      </c>
      <c r="I2321" s="549" t="s">
        <v>976</v>
      </c>
      <c r="J2321" s="549" t="s">
        <v>976</v>
      </c>
      <c r="K2321" s="549" t="s">
        <v>976</v>
      </c>
      <c r="L2321" s="549">
        <v>79756.38</v>
      </c>
      <c r="M2321" s="549">
        <v>6021.61</v>
      </c>
      <c r="N2321" s="549">
        <v>1762.62</v>
      </c>
      <c r="O2321" s="549">
        <v>892.8</v>
      </c>
      <c r="P2321" s="549">
        <v>100</v>
      </c>
      <c r="Q2321" s="549">
        <v>8677.0300000000007</v>
      </c>
    </row>
    <row r="2322" spans="1:17" x14ac:dyDescent="0.25">
      <c r="A2322" s="549" t="s">
        <v>1071</v>
      </c>
      <c r="B2322" s="549" t="s">
        <v>1072</v>
      </c>
      <c r="C2322" s="549" t="s">
        <v>731</v>
      </c>
      <c r="D2322" s="549" t="s">
        <v>732</v>
      </c>
      <c r="E2322" s="549" t="s">
        <v>977</v>
      </c>
      <c r="F2322" s="549" t="s">
        <v>1212</v>
      </c>
      <c r="G2322" s="549">
        <v>28</v>
      </c>
      <c r="H2322" s="549" t="s">
        <v>731</v>
      </c>
      <c r="I2322" s="549" t="s">
        <v>976</v>
      </c>
      <c r="J2322" s="549" t="s">
        <v>976</v>
      </c>
      <c r="K2322" s="549" t="s">
        <v>976</v>
      </c>
      <c r="L2322" s="549">
        <v>82207.8</v>
      </c>
      <c r="M2322" s="549">
        <v>6206.69</v>
      </c>
      <c r="N2322" s="549">
        <v>1816.79</v>
      </c>
      <c r="O2322" s="549">
        <v>992</v>
      </c>
      <c r="P2322" s="549">
        <v>100</v>
      </c>
      <c r="Q2322" s="549">
        <v>9015.48</v>
      </c>
    </row>
    <row r="2323" spans="1:17" x14ac:dyDescent="0.25">
      <c r="A2323" s="549" t="s">
        <v>1071</v>
      </c>
      <c r="B2323" s="549" t="s">
        <v>1072</v>
      </c>
      <c r="C2323" s="549" t="s">
        <v>731</v>
      </c>
      <c r="D2323" s="549" t="s">
        <v>732</v>
      </c>
      <c r="E2323" s="549" t="s">
        <v>977</v>
      </c>
      <c r="F2323" s="549" t="s">
        <v>1212</v>
      </c>
      <c r="G2323" s="549">
        <v>29</v>
      </c>
      <c r="H2323" s="549" t="s">
        <v>731</v>
      </c>
      <c r="I2323" s="549" t="s">
        <v>976</v>
      </c>
      <c r="J2323" s="549" t="s">
        <v>976</v>
      </c>
      <c r="K2323" s="549" t="s">
        <v>976</v>
      </c>
      <c r="L2323" s="549">
        <v>82207.8</v>
      </c>
      <c r="M2323" s="549">
        <v>6206.69</v>
      </c>
      <c r="N2323" s="549">
        <v>1816.79</v>
      </c>
      <c r="O2323" s="549">
        <v>992</v>
      </c>
      <c r="P2323" s="549">
        <v>100</v>
      </c>
      <c r="Q2323" s="549">
        <v>9015.48</v>
      </c>
    </row>
    <row r="2324" spans="1:17" x14ac:dyDescent="0.25">
      <c r="A2324" s="549" t="s">
        <v>1071</v>
      </c>
      <c r="B2324" s="549" t="s">
        <v>1072</v>
      </c>
      <c r="C2324" s="549" t="s">
        <v>731</v>
      </c>
      <c r="D2324" s="549" t="s">
        <v>732</v>
      </c>
      <c r="E2324" s="549" t="s">
        <v>977</v>
      </c>
      <c r="F2324" s="549" t="s">
        <v>1212</v>
      </c>
      <c r="G2324" s="549">
        <v>30</v>
      </c>
      <c r="H2324" s="549" t="s">
        <v>731</v>
      </c>
      <c r="I2324" s="549" t="s">
        <v>976</v>
      </c>
      <c r="J2324" s="549" t="s">
        <v>976</v>
      </c>
      <c r="K2324" s="549" t="s">
        <v>976</v>
      </c>
      <c r="L2324" s="549">
        <v>82207.8</v>
      </c>
      <c r="M2324" s="549">
        <v>6206.69</v>
      </c>
      <c r="N2324" s="549">
        <v>1816.79</v>
      </c>
      <c r="O2324" s="549">
        <v>992</v>
      </c>
      <c r="P2324" s="549">
        <v>100</v>
      </c>
      <c r="Q2324" s="549">
        <v>9015.48</v>
      </c>
    </row>
    <row r="2325" spans="1:17" x14ac:dyDescent="0.25">
      <c r="A2325" s="549" t="s">
        <v>1071</v>
      </c>
      <c r="B2325" s="549" t="s">
        <v>1072</v>
      </c>
      <c r="C2325" s="549" t="s">
        <v>731</v>
      </c>
      <c r="D2325" s="549" t="s">
        <v>732</v>
      </c>
      <c r="E2325" s="549" t="s">
        <v>977</v>
      </c>
      <c r="F2325" s="549" t="s">
        <v>1212</v>
      </c>
      <c r="G2325" s="549">
        <v>42</v>
      </c>
      <c r="H2325" s="549" t="s">
        <v>731</v>
      </c>
      <c r="I2325" s="549" t="s">
        <v>976</v>
      </c>
      <c r="J2325" s="549" t="s">
        <v>976</v>
      </c>
      <c r="K2325" s="549" t="s">
        <v>976</v>
      </c>
      <c r="L2325" s="549">
        <v>480667.43</v>
      </c>
      <c r="M2325" s="549">
        <v>36290.39</v>
      </c>
      <c r="N2325" s="549">
        <v>10622.75</v>
      </c>
      <c r="O2325" s="549">
        <v>3571.2</v>
      </c>
      <c r="P2325" s="549">
        <v>100</v>
      </c>
      <c r="Q2325" s="549">
        <v>50484.34</v>
      </c>
    </row>
    <row r="2326" spans="1:17" x14ac:dyDescent="0.25">
      <c r="A2326" s="549" t="s">
        <v>1071</v>
      </c>
      <c r="B2326" s="549" t="s">
        <v>1072</v>
      </c>
      <c r="C2326" s="549" t="s">
        <v>731</v>
      </c>
      <c r="D2326" s="549" t="s">
        <v>732</v>
      </c>
      <c r="E2326" s="549" t="s">
        <v>977</v>
      </c>
      <c r="F2326" s="549" t="s">
        <v>1212</v>
      </c>
      <c r="G2326" s="549">
        <v>52</v>
      </c>
      <c r="H2326" s="549" t="s">
        <v>731</v>
      </c>
      <c r="I2326" s="549" t="s">
        <v>976</v>
      </c>
      <c r="J2326" s="549" t="s">
        <v>976</v>
      </c>
      <c r="K2326" s="549" t="s">
        <v>976</v>
      </c>
      <c r="L2326" s="549">
        <v>328303.65999999997</v>
      </c>
      <c r="M2326" s="549">
        <v>24786.93</v>
      </c>
      <c r="N2326" s="549">
        <v>7255.51</v>
      </c>
      <c r="O2326" s="549">
        <v>3968</v>
      </c>
      <c r="P2326" s="549">
        <v>100</v>
      </c>
      <c r="Q2326" s="549">
        <v>36010.44</v>
      </c>
    </row>
    <row r="2327" spans="1:17" x14ac:dyDescent="0.25">
      <c r="A2327" s="549" t="s">
        <v>1071</v>
      </c>
      <c r="B2327" s="549" t="s">
        <v>1072</v>
      </c>
      <c r="C2327" s="549" t="s">
        <v>731</v>
      </c>
      <c r="D2327" s="549" t="s">
        <v>732</v>
      </c>
      <c r="E2327" s="549" t="s">
        <v>977</v>
      </c>
      <c r="F2327" s="549" t="s">
        <v>1212</v>
      </c>
      <c r="G2327" s="549">
        <v>62</v>
      </c>
      <c r="H2327" s="549" t="s">
        <v>731</v>
      </c>
      <c r="I2327" s="549" t="s">
        <v>976</v>
      </c>
      <c r="J2327" s="549" t="s">
        <v>976</v>
      </c>
      <c r="K2327" s="549" t="s">
        <v>976</v>
      </c>
      <c r="L2327" s="549">
        <v>480667.43</v>
      </c>
      <c r="M2327" s="549">
        <v>36290.39</v>
      </c>
      <c r="N2327" s="549">
        <v>10622.75</v>
      </c>
      <c r="O2327" s="549">
        <v>3571.2</v>
      </c>
      <c r="P2327" s="549">
        <v>100</v>
      </c>
      <c r="Q2327" s="549">
        <v>50484.34</v>
      </c>
    </row>
    <row r="2328" spans="1:17" x14ac:dyDescent="0.25">
      <c r="A2328" s="549" t="s">
        <v>1071</v>
      </c>
      <c r="B2328" s="549" t="s">
        <v>1072</v>
      </c>
      <c r="C2328" s="549" t="s">
        <v>731</v>
      </c>
      <c r="D2328" s="549" t="s">
        <v>732</v>
      </c>
      <c r="E2328" s="549" t="s">
        <v>977</v>
      </c>
      <c r="F2328" s="549" t="s">
        <v>1212</v>
      </c>
      <c r="G2328" s="549">
        <v>72</v>
      </c>
      <c r="H2328" s="549" t="s">
        <v>731</v>
      </c>
      <c r="I2328" s="549" t="s">
        <v>976</v>
      </c>
      <c r="J2328" s="549" t="s">
        <v>976</v>
      </c>
      <c r="K2328" s="549" t="s">
        <v>976</v>
      </c>
      <c r="L2328" s="549">
        <v>223974.74</v>
      </c>
      <c r="M2328" s="549">
        <v>16910.09</v>
      </c>
      <c r="N2328" s="549">
        <v>4949.84</v>
      </c>
      <c r="O2328" s="549">
        <v>1984</v>
      </c>
      <c r="P2328" s="549">
        <v>100</v>
      </c>
      <c r="Q2328" s="549">
        <v>23843.93</v>
      </c>
    </row>
    <row r="2329" spans="1:17" x14ac:dyDescent="0.25">
      <c r="A2329" s="549" t="s">
        <v>1071</v>
      </c>
      <c r="B2329" s="549" t="s">
        <v>1072</v>
      </c>
      <c r="C2329" s="549" t="s">
        <v>731</v>
      </c>
      <c r="D2329" s="549" t="s">
        <v>732</v>
      </c>
      <c r="E2329" s="549" t="s">
        <v>977</v>
      </c>
      <c r="F2329" s="549" t="s">
        <v>1212</v>
      </c>
      <c r="G2329" s="549">
        <v>82</v>
      </c>
      <c r="H2329" s="549" t="s">
        <v>731</v>
      </c>
      <c r="I2329" s="549" t="s">
        <v>976</v>
      </c>
      <c r="J2329" s="549" t="s">
        <v>976</v>
      </c>
      <c r="K2329" s="549" t="s">
        <v>976</v>
      </c>
      <c r="L2329" s="549">
        <v>223974.74</v>
      </c>
      <c r="M2329" s="549">
        <v>16910.09</v>
      </c>
      <c r="N2329" s="549">
        <v>4949.84</v>
      </c>
      <c r="O2329" s="549">
        <v>1984</v>
      </c>
      <c r="P2329" s="549">
        <v>100</v>
      </c>
      <c r="Q2329" s="549">
        <v>23843.93</v>
      </c>
    </row>
    <row r="2330" spans="1:17" x14ac:dyDescent="0.25">
      <c r="A2330" s="549" t="s">
        <v>1071</v>
      </c>
      <c r="B2330" s="549" t="s">
        <v>1072</v>
      </c>
      <c r="C2330" s="549" t="s">
        <v>731</v>
      </c>
      <c r="D2330" s="549" t="s">
        <v>732</v>
      </c>
      <c r="E2330" s="549" t="s">
        <v>977</v>
      </c>
      <c r="F2330" s="549" t="s">
        <v>1212</v>
      </c>
      <c r="G2330" s="549">
        <v>92</v>
      </c>
      <c r="H2330" s="549" t="s">
        <v>731</v>
      </c>
      <c r="I2330" s="549" t="s">
        <v>976</v>
      </c>
      <c r="J2330" s="549" t="s">
        <v>976</v>
      </c>
      <c r="K2330" s="549" t="s">
        <v>976</v>
      </c>
      <c r="L2330" s="549">
        <v>223974.74</v>
      </c>
      <c r="M2330" s="549">
        <v>16910.09</v>
      </c>
      <c r="N2330" s="549">
        <v>4949.84</v>
      </c>
      <c r="O2330" s="549">
        <v>1984</v>
      </c>
      <c r="P2330" s="549">
        <v>100</v>
      </c>
      <c r="Q2330" s="549">
        <v>23843.93</v>
      </c>
    </row>
    <row r="2331" spans="1:17" x14ac:dyDescent="0.25">
      <c r="A2331" s="549" t="s">
        <v>1071</v>
      </c>
      <c r="B2331" s="549" t="s">
        <v>1072</v>
      </c>
      <c r="C2331" s="549" t="s">
        <v>731</v>
      </c>
      <c r="D2331" s="549" t="s">
        <v>732</v>
      </c>
      <c r="E2331" s="549" t="s">
        <v>977</v>
      </c>
      <c r="F2331" s="549" t="s">
        <v>1212</v>
      </c>
      <c r="G2331" s="549">
        <v>102</v>
      </c>
      <c r="H2331" s="549" t="s">
        <v>731</v>
      </c>
      <c r="I2331" s="549" t="s">
        <v>976</v>
      </c>
      <c r="J2331" s="549" t="s">
        <v>976</v>
      </c>
      <c r="K2331" s="549" t="s">
        <v>976</v>
      </c>
      <c r="L2331" s="549">
        <v>328303.65999999997</v>
      </c>
      <c r="M2331" s="549">
        <v>24786.93</v>
      </c>
      <c r="N2331" s="549">
        <v>7255.51</v>
      </c>
      <c r="O2331" s="549">
        <v>1984</v>
      </c>
      <c r="P2331" s="549">
        <v>100</v>
      </c>
      <c r="Q2331" s="549">
        <v>34026.44</v>
      </c>
    </row>
    <row r="2332" spans="1:17" x14ac:dyDescent="0.25">
      <c r="A2332" s="549" t="s">
        <v>1071</v>
      </c>
      <c r="B2332" s="549" t="s">
        <v>1072</v>
      </c>
      <c r="C2332" s="549" t="s">
        <v>731</v>
      </c>
      <c r="D2332" s="549" t="s">
        <v>732</v>
      </c>
      <c r="E2332" s="549" t="s">
        <v>977</v>
      </c>
      <c r="F2332" s="549" t="s">
        <v>1212</v>
      </c>
      <c r="G2332" s="549">
        <v>112</v>
      </c>
      <c r="H2332" s="549" t="s">
        <v>731</v>
      </c>
      <c r="I2332" s="549" t="s">
        <v>976</v>
      </c>
      <c r="J2332" s="549" t="s">
        <v>976</v>
      </c>
      <c r="K2332" s="549" t="s">
        <v>976</v>
      </c>
      <c r="L2332" s="549">
        <v>223974.74</v>
      </c>
      <c r="M2332" s="549">
        <v>16910.09</v>
      </c>
      <c r="N2332" s="549">
        <v>4949.84</v>
      </c>
      <c r="O2332" s="549">
        <v>1984</v>
      </c>
      <c r="P2332" s="549">
        <v>100</v>
      </c>
      <c r="Q2332" s="549">
        <v>23843.93</v>
      </c>
    </row>
    <row r="2333" spans="1:17" x14ac:dyDescent="0.25">
      <c r="A2333" s="549" t="s">
        <v>1071</v>
      </c>
      <c r="B2333" s="549" t="s">
        <v>1072</v>
      </c>
      <c r="C2333" s="549" t="s">
        <v>731</v>
      </c>
      <c r="D2333" s="549" t="s">
        <v>732</v>
      </c>
      <c r="E2333" s="549" t="s">
        <v>977</v>
      </c>
      <c r="F2333" s="549" t="s">
        <v>1212</v>
      </c>
      <c r="G2333" s="549">
        <v>122</v>
      </c>
      <c r="H2333" s="549" t="s">
        <v>731</v>
      </c>
      <c r="I2333" s="549" t="s">
        <v>976</v>
      </c>
      <c r="J2333" s="549" t="s">
        <v>976</v>
      </c>
      <c r="K2333" s="549" t="s">
        <v>976</v>
      </c>
      <c r="L2333" s="549">
        <v>480667.43</v>
      </c>
      <c r="M2333" s="549">
        <v>36290.39</v>
      </c>
      <c r="N2333" s="549">
        <v>10622.75</v>
      </c>
      <c r="O2333" s="549">
        <v>3670.4</v>
      </c>
      <c r="P2333" s="549">
        <v>100</v>
      </c>
      <c r="Q2333" s="549">
        <v>50583.54</v>
      </c>
    </row>
    <row r="2334" spans="1:17" x14ac:dyDescent="0.25">
      <c r="A2334" s="549" t="s">
        <v>1071</v>
      </c>
      <c r="B2334" s="549" t="s">
        <v>1072</v>
      </c>
      <c r="C2334" s="549" t="s">
        <v>731</v>
      </c>
      <c r="D2334" s="549" t="s">
        <v>732</v>
      </c>
      <c r="E2334" s="549" t="s">
        <v>977</v>
      </c>
      <c r="F2334" s="549" t="s">
        <v>1212</v>
      </c>
      <c r="G2334" s="549">
        <v>132</v>
      </c>
      <c r="H2334" s="549" t="s">
        <v>731</v>
      </c>
      <c r="I2334" s="549" t="s">
        <v>976</v>
      </c>
      <c r="J2334" s="549" t="s">
        <v>976</v>
      </c>
      <c r="K2334" s="549" t="s">
        <v>976</v>
      </c>
      <c r="L2334" s="549">
        <v>480667.43</v>
      </c>
      <c r="M2334" s="549">
        <v>36290.39</v>
      </c>
      <c r="N2334" s="549">
        <v>10622.75</v>
      </c>
      <c r="O2334" s="549">
        <v>3968</v>
      </c>
      <c r="P2334" s="549">
        <v>100</v>
      </c>
      <c r="Q2334" s="549">
        <v>50881.14</v>
      </c>
    </row>
    <row r="2335" spans="1:17" x14ac:dyDescent="0.25">
      <c r="A2335" s="549" t="s">
        <v>1071</v>
      </c>
      <c r="B2335" s="549" t="s">
        <v>1072</v>
      </c>
      <c r="C2335" s="549" t="s">
        <v>731</v>
      </c>
      <c r="D2335" s="549" t="s">
        <v>732</v>
      </c>
      <c r="E2335" s="549" t="s">
        <v>977</v>
      </c>
      <c r="F2335" s="549" t="s">
        <v>1212</v>
      </c>
      <c r="G2335" s="549">
        <v>142</v>
      </c>
      <c r="H2335" s="549" t="s">
        <v>731</v>
      </c>
      <c r="I2335" s="549" t="s">
        <v>976</v>
      </c>
      <c r="J2335" s="549" t="s">
        <v>976</v>
      </c>
      <c r="K2335" s="549" t="s">
        <v>976</v>
      </c>
      <c r="L2335" s="549">
        <v>480667.43</v>
      </c>
      <c r="M2335" s="549">
        <v>36290.39</v>
      </c>
      <c r="N2335" s="549">
        <v>10622.75</v>
      </c>
      <c r="O2335" s="549">
        <v>3670.4</v>
      </c>
      <c r="P2335" s="549">
        <v>100</v>
      </c>
      <c r="Q2335" s="549">
        <v>50583.54</v>
      </c>
    </row>
    <row r="2336" spans="1:17" x14ac:dyDescent="0.25">
      <c r="A2336" s="549" t="s">
        <v>1071</v>
      </c>
      <c r="B2336" s="549" t="s">
        <v>1072</v>
      </c>
      <c r="C2336" s="549" t="s">
        <v>731</v>
      </c>
      <c r="D2336" s="549" t="s">
        <v>732</v>
      </c>
      <c r="E2336" s="549" t="s">
        <v>977</v>
      </c>
      <c r="F2336" s="549" t="s">
        <v>1212</v>
      </c>
      <c r="G2336" s="549">
        <v>172</v>
      </c>
      <c r="H2336" s="549" t="s">
        <v>731</v>
      </c>
      <c r="I2336" s="549" t="s">
        <v>976</v>
      </c>
      <c r="J2336" s="549" t="s">
        <v>976</v>
      </c>
      <c r="K2336" s="549" t="s">
        <v>976</v>
      </c>
      <c r="L2336" s="549">
        <v>480667.43</v>
      </c>
      <c r="M2336" s="549">
        <v>36290.39</v>
      </c>
      <c r="N2336" s="549">
        <v>10622.75</v>
      </c>
      <c r="O2336" s="549">
        <v>3571.2</v>
      </c>
      <c r="P2336" s="549">
        <v>100</v>
      </c>
      <c r="Q2336" s="549">
        <v>50484.34</v>
      </c>
    </row>
    <row r="2337" spans="1:17" x14ac:dyDescent="0.25">
      <c r="A2337" s="549" t="s">
        <v>1071</v>
      </c>
      <c r="B2337" s="549" t="s">
        <v>1072</v>
      </c>
      <c r="C2337" s="549" t="s">
        <v>731</v>
      </c>
      <c r="D2337" s="549" t="s">
        <v>732</v>
      </c>
      <c r="E2337" s="549" t="s">
        <v>977</v>
      </c>
      <c r="F2337" s="549" t="s">
        <v>1212</v>
      </c>
      <c r="G2337" s="549">
        <v>252</v>
      </c>
      <c r="H2337" s="549" t="s">
        <v>731</v>
      </c>
      <c r="I2337" s="549" t="s">
        <v>976</v>
      </c>
      <c r="J2337" s="549" t="s">
        <v>976</v>
      </c>
      <c r="K2337" s="549" t="s">
        <v>976</v>
      </c>
      <c r="L2337" s="549">
        <v>480667.43</v>
      </c>
      <c r="M2337" s="549">
        <v>36290.39</v>
      </c>
      <c r="N2337" s="549">
        <v>10622.75</v>
      </c>
      <c r="O2337" s="549">
        <v>3968</v>
      </c>
      <c r="P2337" s="549">
        <v>100</v>
      </c>
      <c r="Q2337" s="549">
        <v>50881.14</v>
      </c>
    </row>
    <row r="2338" spans="1:17" x14ac:dyDescent="0.25">
      <c r="A2338" s="549" t="s">
        <v>1071</v>
      </c>
      <c r="B2338" s="549" t="s">
        <v>1072</v>
      </c>
      <c r="C2338" s="549" t="s">
        <v>731</v>
      </c>
      <c r="D2338" s="549" t="s">
        <v>732</v>
      </c>
      <c r="E2338" s="549" t="s">
        <v>977</v>
      </c>
      <c r="F2338" s="549" t="s">
        <v>1212</v>
      </c>
      <c r="G2338" s="549">
        <v>592</v>
      </c>
      <c r="H2338" s="549" t="s">
        <v>731</v>
      </c>
      <c r="I2338" s="549" t="s">
        <v>976</v>
      </c>
      <c r="J2338" s="549" t="s">
        <v>976</v>
      </c>
      <c r="K2338" s="549" t="s">
        <v>976</v>
      </c>
      <c r="L2338" s="549">
        <v>328303.65999999997</v>
      </c>
      <c r="M2338" s="549">
        <v>24786.93</v>
      </c>
      <c r="N2338" s="549">
        <v>7255.51</v>
      </c>
      <c r="O2338" s="549">
        <v>3968</v>
      </c>
      <c r="P2338" s="549">
        <v>100</v>
      </c>
      <c r="Q2338" s="549">
        <v>36010.44</v>
      </c>
    </row>
    <row r="2339" spans="1:17" x14ac:dyDescent="0.25">
      <c r="A2339" s="549" t="s">
        <v>1071</v>
      </c>
      <c r="B2339" s="549" t="s">
        <v>1072</v>
      </c>
      <c r="C2339" s="549" t="s">
        <v>731</v>
      </c>
      <c r="D2339" s="549" t="s">
        <v>732</v>
      </c>
      <c r="E2339" s="549" t="s">
        <v>977</v>
      </c>
      <c r="F2339" s="549" t="s">
        <v>1212</v>
      </c>
      <c r="G2339" s="549">
        <v>2642</v>
      </c>
      <c r="H2339" s="549" t="s">
        <v>731</v>
      </c>
      <c r="I2339" s="549" t="s">
        <v>976</v>
      </c>
      <c r="J2339" s="549" t="s">
        <v>976</v>
      </c>
      <c r="K2339" s="549" t="s">
        <v>976</v>
      </c>
      <c r="L2339" s="549">
        <v>73527.31</v>
      </c>
      <c r="M2339" s="549">
        <v>5551.31</v>
      </c>
      <c r="N2339" s="549">
        <v>1624.95</v>
      </c>
      <c r="O2339" s="549">
        <v>892.8</v>
      </c>
      <c r="P2339" s="549">
        <v>100</v>
      </c>
      <c r="Q2339" s="549">
        <v>8069.06</v>
      </c>
    </row>
    <row r="2340" spans="1:17" x14ac:dyDescent="0.25">
      <c r="A2340" s="549" t="s">
        <v>1071</v>
      </c>
      <c r="B2340" s="549" t="s">
        <v>1072</v>
      </c>
      <c r="C2340" s="549" t="s">
        <v>731</v>
      </c>
      <c r="D2340" s="549" t="s">
        <v>732</v>
      </c>
      <c r="E2340" s="549" t="s">
        <v>977</v>
      </c>
      <c r="F2340" s="549" t="s">
        <v>1212</v>
      </c>
      <c r="G2340" s="549">
        <v>2662</v>
      </c>
      <c r="H2340" s="549" t="s">
        <v>731</v>
      </c>
      <c r="I2340" s="549" t="s">
        <v>976</v>
      </c>
      <c r="J2340" s="549" t="s">
        <v>976</v>
      </c>
      <c r="K2340" s="549" t="s">
        <v>976</v>
      </c>
      <c r="L2340" s="549">
        <v>73527.31</v>
      </c>
      <c r="M2340" s="549">
        <v>5551.31</v>
      </c>
      <c r="N2340" s="549">
        <v>1624.95</v>
      </c>
      <c r="O2340" s="549">
        <v>892.8</v>
      </c>
      <c r="P2340" s="549">
        <v>100</v>
      </c>
      <c r="Q2340" s="549">
        <v>8069.06</v>
      </c>
    </row>
    <row r="2341" spans="1:17" x14ac:dyDescent="0.25">
      <c r="A2341" s="549" t="s">
        <v>1071</v>
      </c>
      <c r="B2341" s="549" t="s">
        <v>1072</v>
      </c>
      <c r="C2341" s="549" t="s">
        <v>731</v>
      </c>
      <c r="D2341" s="549" t="s">
        <v>732</v>
      </c>
      <c r="E2341" s="549" t="s">
        <v>977</v>
      </c>
      <c r="F2341" s="549" t="s">
        <v>1212</v>
      </c>
      <c r="G2341" s="549">
        <v>2672</v>
      </c>
      <c r="H2341" s="549" t="s">
        <v>731</v>
      </c>
      <c r="I2341" s="549" t="s">
        <v>976</v>
      </c>
      <c r="J2341" s="549" t="s">
        <v>976</v>
      </c>
      <c r="K2341" s="549" t="s">
        <v>976</v>
      </c>
      <c r="L2341" s="549">
        <v>77761.23</v>
      </c>
      <c r="M2341" s="549">
        <v>5870.97</v>
      </c>
      <c r="N2341" s="549">
        <v>1718.52</v>
      </c>
      <c r="O2341" s="549">
        <v>992</v>
      </c>
      <c r="P2341" s="549">
        <v>100</v>
      </c>
      <c r="Q2341" s="549">
        <v>8581.49</v>
      </c>
    </row>
    <row r="2342" spans="1:17" x14ac:dyDescent="0.25">
      <c r="A2342" s="549" t="s">
        <v>1071</v>
      </c>
      <c r="B2342" s="549" t="s">
        <v>1072</v>
      </c>
      <c r="C2342" s="549" t="s">
        <v>731</v>
      </c>
      <c r="D2342" s="549" t="s">
        <v>732</v>
      </c>
      <c r="E2342" s="549" t="s">
        <v>977</v>
      </c>
      <c r="F2342" s="549" t="s">
        <v>1212</v>
      </c>
      <c r="G2342" s="549">
        <v>2682</v>
      </c>
      <c r="H2342" s="549" t="s">
        <v>731</v>
      </c>
      <c r="I2342" s="549" t="s">
        <v>976</v>
      </c>
      <c r="J2342" s="549" t="s">
        <v>976</v>
      </c>
      <c r="K2342" s="549" t="s">
        <v>976</v>
      </c>
      <c r="L2342" s="549">
        <v>73527.31</v>
      </c>
      <c r="M2342" s="549">
        <v>5551.31</v>
      </c>
      <c r="N2342" s="549">
        <v>1624.95</v>
      </c>
      <c r="O2342" s="549">
        <v>892.8</v>
      </c>
      <c r="P2342" s="549">
        <v>100</v>
      </c>
      <c r="Q2342" s="549">
        <v>8069.06</v>
      </c>
    </row>
    <row r="2343" spans="1:17" x14ac:dyDescent="0.25">
      <c r="A2343" s="549" t="s">
        <v>1071</v>
      </c>
      <c r="B2343" s="549" t="s">
        <v>1072</v>
      </c>
      <c r="C2343" s="549" t="s">
        <v>731</v>
      </c>
      <c r="D2343" s="549" t="s">
        <v>732</v>
      </c>
      <c r="E2343" s="549" t="s">
        <v>977</v>
      </c>
      <c r="F2343" s="549" t="s">
        <v>1212</v>
      </c>
      <c r="G2343" s="549">
        <v>2698</v>
      </c>
      <c r="H2343" s="549" t="s">
        <v>731</v>
      </c>
      <c r="I2343" s="549" t="s">
        <v>976</v>
      </c>
      <c r="J2343" s="549" t="s">
        <v>976</v>
      </c>
      <c r="K2343" s="549" t="s">
        <v>976</v>
      </c>
      <c r="L2343" s="549">
        <v>75220.88</v>
      </c>
      <c r="M2343" s="549">
        <v>5679.18</v>
      </c>
      <c r="N2343" s="549">
        <v>1662.38</v>
      </c>
      <c r="O2343" s="549">
        <v>992</v>
      </c>
      <c r="P2343" s="549">
        <v>100</v>
      </c>
      <c r="Q2343" s="549">
        <v>8333.56</v>
      </c>
    </row>
    <row r="2344" spans="1:17" x14ac:dyDescent="0.25">
      <c r="A2344" s="549" t="s">
        <v>1071</v>
      </c>
      <c r="B2344" s="549" t="s">
        <v>1072</v>
      </c>
      <c r="C2344" s="549" t="s">
        <v>731</v>
      </c>
      <c r="D2344" s="549" t="s">
        <v>732</v>
      </c>
      <c r="E2344" s="549" t="s">
        <v>977</v>
      </c>
      <c r="F2344" s="549" t="s">
        <v>1212</v>
      </c>
      <c r="G2344" s="549">
        <v>2702</v>
      </c>
      <c r="H2344" s="549" t="s">
        <v>731</v>
      </c>
      <c r="I2344" s="549" t="s">
        <v>976</v>
      </c>
      <c r="J2344" s="549" t="s">
        <v>976</v>
      </c>
      <c r="K2344" s="549" t="s">
        <v>976</v>
      </c>
      <c r="L2344" s="549">
        <v>73527.31</v>
      </c>
      <c r="M2344" s="549">
        <v>5551.31</v>
      </c>
      <c r="N2344" s="549">
        <v>1624.95</v>
      </c>
      <c r="O2344" s="549">
        <v>892.8</v>
      </c>
      <c r="P2344" s="549">
        <v>100</v>
      </c>
      <c r="Q2344" s="549">
        <v>8069.06</v>
      </c>
    </row>
    <row r="2345" spans="1:17" x14ac:dyDescent="0.25">
      <c r="A2345" s="549" t="s">
        <v>1071</v>
      </c>
      <c r="B2345" s="549" t="s">
        <v>1072</v>
      </c>
      <c r="C2345" s="549" t="s">
        <v>731</v>
      </c>
      <c r="D2345" s="549" t="s">
        <v>732</v>
      </c>
      <c r="E2345" s="549" t="s">
        <v>977</v>
      </c>
      <c r="F2345" s="549" t="s">
        <v>1212</v>
      </c>
      <c r="G2345" s="549">
        <v>2722</v>
      </c>
      <c r="H2345" s="549" t="s">
        <v>731</v>
      </c>
      <c r="I2345" s="549" t="s">
        <v>976</v>
      </c>
      <c r="J2345" s="549" t="s">
        <v>976</v>
      </c>
      <c r="K2345" s="549" t="s">
        <v>976</v>
      </c>
      <c r="L2345" s="549">
        <v>73527.31</v>
      </c>
      <c r="M2345" s="549">
        <v>5551.31</v>
      </c>
      <c r="N2345" s="549">
        <v>1624.95</v>
      </c>
      <c r="O2345" s="549">
        <v>892.8</v>
      </c>
      <c r="P2345" s="549">
        <v>100</v>
      </c>
      <c r="Q2345" s="549">
        <v>8069.06</v>
      </c>
    </row>
    <row r="2346" spans="1:17" x14ac:dyDescent="0.25">
      <c r="A2346" s="549" t="s">
        <v>1071</v>
      </c>
      <c r="B2346" s="549" t="s">
        <v>1072</v>
      </c>
      <c r="C2346" s="549" t="s">
        <v>731</v>
      </c>
      <c r="D2346" s="549" t="s">
        <v>732</v>
      </c>
      <c r="E2346" s="549" t="s">
        <v>977</v>
      </c>
      <c r="F2346" s="549" t="s">
        <v>1212</v>
      </c>
      <c r="G2346" s="549">
        <v>2742</v>
      </c>
      <c r="H2346" s="549" t="s">
        <v>731</v>
      </c>
      <c r="I2346" s="549" t="s">
        <v>976</v>
      </c>
      <c r="J2346" s="549" t="s">
        <v>976</v>
      </c>
      <c r="K2346" s="549" t="s">
        <v>976</v>
      </c>
      <c r="L2346" s="549">
        <v>73527.31</v>
      </c>
      <c r="M2346" s="549">
        <v>5551.31</v>
      </c>
      <c r="N2346" s="549">
        <v>1624.95</v>
      </c>
      <c r="O2346" s="549">
        <v>892.8</v>
      </c>
      <c r="P2346" s="549">
        <v>100</v>
      </c>
      <c r="Q2346" s="549">
        <v>8069.06</v>
      </c>
    </row>
    <row r="2347" spans="1:17" x14ac:dyDescent="0.25">
      <c r="A2347" s="549" t="s">
        <v>1071</v>
      </c>
      <c r="B2347" s="549" t="s">
        <v>1072</v>
      </c>
      <c r="C2347" s="549" t="s">
        <v>731</v>
      </c>
      <c r="D2347" s="549" t="s">
        <v>732</v>
      </c>
      <c r="E2347" s="549" t="s">
        <v>977</v>
      </c>
      <c r="F2347" s="549" t="s">
        <v>1212</v>
      </c>
      <c r="G2347" s="549">
        <v>2762</v>
      </c>
      <c r="H2347" s="549" t="s">
        <v>731</v>
      </c>
      <c r="I2347" s="549" t="s">
        <v>976</v>
      </c>
      <c r="J2347" s="549" t="s">
        <v>976</v>
      </c>
      <c r="K2347" s="549" t="s">
        <v>976</v>
      </c>
      <c r="L2347" s="549">
        <v>73527.31</v>
      </c>
      <c r="M2347" s="549">
        <v>5551.31</v>
      </c>
      <c r="N2347" s="549">
        <v>1624.95</v>
      </c>
      <c r="O2347" s="549">
        <v>892.8</v>
      </c>
      <c r="P2347" s="549">
        <v>100</v>
      </c>
      <c r="Q2347" s="549">
        <v>8069.06</v>
      </c>
    </row>
    <row r="2348" spans="1:17" x14ac:dyDescent="0.25">
      <c r="A2348" s="549" t="s">
        <v>1071</v>
      </c>
      <c r="B2348" s="549" t="s">
        <v>1072</v>
      </c>
      <c r="C2348" s="549" t="s">
        <v>731</v>
      </c>
      <c r="D2348" s="549" t="s">
        <v>732</v>
      </c>
      <c r="E2348" s="549" t="s">
        <v>977</v>
      </c>
      <c r="F2348" s="549" t="s">
        <v>1212</v>
      </c>
      <c r="G2348" s="549">
        <v>2782</v>
      </c>
      <c r="H2348" s="549" t="s">
        <v>731</v>
      </c>
      <c r="I2348" s="549" t="s">
        <v>976</v>
      </c>
      <c r="J2348" s="549" t="s">
        <v>976</v>
      </c>
      <c r="K2348" s="549" t="s">
        <v>976</v>
      </c>
      <c r="L2348" s="549">
        <v>73527.31</v>
      </c>
      <c r="M2348" s="549">
        <v>5551.31</v>
      </c>
      <c r="N2348" s="549">
        <v>1624.95</v>
      </c>
      <c r="O2348" s="549">
        <v>892.8</v>
      </c>
      <c r="P2348" s="549">
        <v>100</v>
      </c>
      <c r="Q2348" s="549">
        <v>8069.06</v>
      </c>
    </row>
    <row r="2349" spans="1:17" x14ac:dyDescent="0.25">
      <c r="A2349" s="549" t="s">
        <v>1071</v>
      </c>
      <c r="B2349" s="549" t="s">
        <v>1072</v>
      </c>
      <c r="C2349" s="549" t="s">
        <v>731</v>
      </c>
      <c r="D2349" s="549" t="s">
        <v>732</v>
      </c>
      <c r="E2349" s="549" t="s">
        <v>977</v>
      </c>
      <c r="F2349" s="549" t="s">
        <v>1212</v>
      </c>
      <c r="G2349" s="549">
        <v>2798</v>
      </c>
      <c r="H2349" s="549" t="s">
        <v>731</v>
      </c>
      <c r="I2349" s="549" t="s">
        <v>976</v>
      </c>
      <c r="J2349" s="549" t="s">
        <v>976</v>
      </c>
      <c r="K2349" s="549" t="s">
        <v>976</v>
      </c>
      <c r="L2349" s="549">
        <v>75220.88</v>
      </c>
      <c r="M2349" s="549">
        <v>5679.18</v>
      </c>
      <c r="N2349" s="549">
        <v>1662.38</v>
      </c>
      <c r="O2349" s="549">
        <v>992</v>
      </c>
      <c r="P2349" s="549">
        <v>100</v>
      </c>
      <c r="Q2349" s="549">
        <v>8333.56</v>
      </c>
    </row>
    <row r="2350" spans="1:17" x14ac:dyDescent="0.25">
      <c r="A2350" s="549" t="s">
        <v>1071</v>
      </c>
      <c r="B2350" s="549" t="s">
        <v>1072</v>
      </c>
      <c r="C2350" s="549" t="s">
        <v>731</v>
      </c>
      <c r="D2350" s="549" t="s">
        <v>732</v>
      </c>
      <c r="E2350" s="549" t="s">
        <v>977</v>
      </c>
      <c r="F2350" s="549" t="s">
        <v>1212</v>
      </c>
      <c r="G2350" s="549">
        <v>2802</v>
      </c>
      <c r="H2350" s="549" t="s">
        <v>731</v>
      </c>
      <c r="I2350" s="549" t="s">
        <v>976</v>
      </c>
      <c r="J2350" s="549" t="s">
        <v>976</v>
      </c>
      <c r="K2350" s="549" t="s">
        <v>976</v>
      </c>
      <c r="L2350" s="549">
        <v>73527.31</v>
      </c>
      <c r="M2350" s="549">
        <v>5551.31</v>
      </c>
      <c r="N2350" s="549">
        <v>1624.95</v>
      </c>
      <c r="O2350" s="549">
        <v>892.8</v>
      </c>
      <c r="P2350" s="549">
        <v>100</v>
      </c>
      <c r="Q2350" s="549">
        <v>8069.06</v>
      </c>
    </row>
    <row r="2351" spans="1:17" x14ac:dyDescent="0.25">
      <c r="A2351" s="549" t="s">
        <v>1071</v>
      </c>
      <c r="B2351" s="549" t="s">
        <v>1072</v>
      </c>
      <c r="C2351" s="549" t="s">
        <v>731</v>
      </c>
      <c r="D2351" s="549" t="s">
        <v>732</v>
      </c>
      <c r="E2351" s="549" t="s">
        <v>977</v>
      </c>
      <c r="F2351" s="549" t="s">
        <v>1212</v>
      </c>
      <c r="G2351" s="549">
        <v>2812</v>
      </c>
      <c r="H2351" s="549" t="s">
        <v>731</v>
      </c>
      <c r="I2351" s="549" t="s">
        <v>976</v>
      </c>
      <c r="J2351" s="549" t="s">
        <v>976</v>
      </c>
      <c r="K2351" s="549" t="s">
        <v>976</v>
      </c>
      <c r="L2351" s="549">
        <v>77761.23</v>
      </c>
      <c r="M2351" s="549">
        <v>5870.97</v>
      </c>
      <c r="N2351" s="549">
        <v>1718.52</v>
      </c>
      <c r="O2351" s="549">
        <v>992</v>
      </c>
      <c r="P2351" s="549">
        <v>100</v>
      </c>
      <c r="Q2351" s="549">
        <v>8581.49</v>
      </c>
    </row>
    <row r="2352" spans="1:17" x14ac:dyDescent="0.25">
      <c r="A2352" s="549" t="s">
        <v>1071</v>
      </c>
      <c r="B2352" s="549" t="s">
        <v>1072</v>
      </c>
      <c r="C2352" s="549" t="s">
        <v>731</v>
      </c>
      <c r="D2352" s="549" t="s">
        <v>732</v>
      </c>
      <c r="E2352" s="549" t="s">
        <v>977</v>
      </c>
      <c r="F2352" s="549" t="s">
        <v>1212</v>
      </c>
      <c r="G2352" s="549">
        <v>2822</v>
      </c>
      <c r="H2352" s="549" t="s">
        <v>731</v>
      </c>
      <c r="I2352" s="549" t="s">
        <v>976</v>
      </c>
      <c r="J2352" s="549" t="s">
        <v>976</v>
      </c>
      <c r="K2352" s="549" t="s">
        <v>976</v>
      </c>
      <c r="L2352" s="549">
        <v>73527.31</v>
      </c>
      <c r="M2352" s="549">
        <v>5551.31</v>
      </c>
      <c r="N2352" s="549">
        <v>1624.95</v>
      </c>
      <c r="O2352" s="549">
        <v>892.8</v>
      </c>
      <c r="P2352" s="549">
        <v>100</v>
      </c>
      <c r="Q2352" s="549">
        <v>8069.06</v>
      </c>
    </row>
    <row r="2353" spans="1:17" x14ac:dyDescent="0.25">
      <c r="A2353" s="549" t="s">
        <v>1071</v>
      </c>
      <c r="B2353" s="549" t="s">
        <v>1072</v>
      </c>
      <c r="C2353" s="549" t="s">
        <v>731</v>
      </c>
      <c r="D2353" s="549" t="s">
        <v>732</v>
      </c>
      <c r="E2353" s="549" t="s">
        <v>977</v>
      </c>
      <c r="F2353" s="549" t="s">
        <v>1212</v>
      </c>
      <c r="G2353" s="549">
        <v>2842</v>
      </c>
      <c r="H2353" s="549" t="s">
        <v>731</v>
      </c>
      <c r="I2353" s="549" t="s">
        <v>976</v>
      </c>
      <c r="J2353" s="549" t="s">
        <v>976</v>
      </c>
      <c r="K2353" s="549" t="s">
        <v>976</v>
      </c>
      <c r="L2353" s="549">
        <v>73527.31</v>
      </c>
      <c r="M2353" s="549">
        <v>5551.31</v>
      </c>
      <c r="N2353" s="549">
        <v>1624.95</v>
      </c>
      <c r="O2353" s="549">
        <v>892.8</v>
      </c>
      <c r="P2353" s="549">
        <v>100</v>
      </c>
      <c r="Q2353" s="549">
        <v>8069.06</v>
      </c>
    </row>
    <row r="2354" spans="1:17" x14ac:dyDescent="0.25">
      <c r="A2354" s="549" t="s">
        <v>1071</v>
      </c>
      <c r="B2354" s="549" t="s">
        <v>1072</v>
      </c>
      <c r="C2354" s="549" t="s">
        <v>731</v>
      </c>
      <c r="D2354" s="549" t="s">
        <v>732</v>
      </c>
      <c r="E2354" s="549" t="s">
        <v>977</v>
      </c>
      <c r="F2354" s="549" t="s">
        <v>1212</v>
      </c>
      <c r="G2354" s="549" t="s">
        <v>1383</v>
      </c>
      <c r="H2354" s="549" t="s">
        <v>731</v>
      </c>
      <c r="I2354" s="549" t="s">
        <v>976</v>
      </c>
      <c r="J2354" s="549" t="s">
        <v>976</v>
      </c>
      <c r="K2354" s="549" t="s">
        <v>976</v>
      </c>
      <c r="L2354" s="549">
        <v>78441.05</v>
      </c>
      <c r="M2354" s="549">
        <v>5922.3</v>
      </c>
      <c r="N2354" s="549">
        <v>1733.55</v>
      </c>
      <c r="O2354" s="549">
        <v>1984</v>
      </c>
      <c r="P2354" s="549">
        <v>100</v>
      </c>
      <c r="Q2354" s="549">
        <v>9639.85</v>
      </c>
    </row>
    <row r="2355" spans="1:17" x14ac:dyDescent="0.25">
      <c r="A2355" s="549" t="s">
        <v>1071</v>
      </c>
      <c r="B2355" s="549" t="s">
        <v>1072</v>
      </c>
      <c r="C2355" s="549" t="s">
        <v>731</v>
      </c>
      <c r="D2355" s="549" t="s">
        <v>732</v>
      </c>
      <c r="E2355" s="549" t="s">
        <v>977</v>
      </c>
      <c r="F2355" s="549" t="s">
        <v>1212</v>
      </c>
      <c r="G2355" s="549" t="s">
        <v>1384</v>
      </c>
      <c r="H2355" s="549" t="s">
        <v>731</v>
      </c>
      <c r="I2355" s="549" t="s">
        <v>976</v>
      </c>
      <c r="J2355" s="549" t="s">
        <v>976</v>
      </c>
      <c r="K2355" s="549" t="s">
        <v>976</v>
      </c>
      <c r="L2355" s="549">
        <v>78441.05</v>
      </c>
      <c r="M2355" s="549">
        <v>5922.3</v>
      </c>
      <c r="N2355" s="549">
        <v>1733.55</v>
      </c>
      <c r="O2355" s="549">
        <v>1984</v>
      </c>
      <c r="P2355" s="549">
        <v>100</v>
      </c>
      <c r="Q2355" s="549">
        <v>9639.85</v>
      </c>
    </row>
    <row r="2356" spans="1:17" x14ac:dyDescent="0.25">
      <c r="A2356" s="549" t="s">
        <v>1071</v>
      </c>
      <c r="B2356" s="549" t="s">
        <v>1072</v>
      </c>
      <c r="C2356" s="549" t="s">
        <v>731</v>
      </c>
      <c r="D2356" s="549" t="s">
        <v>732</v>
      </c>
      <c r="E2356" s="549" t="s">
        <v>977</v>
      </c>
      <c r="F2356" s="549" t="s">
        <v>1212</v>
      </c>
      <c r="G2356" s="549" t="s">
        <v>1336</v>
      </c>
      <c r="H2356" s="549" t="s">
        <v>731</v>
      </c>
      <c r="I2356" s="549" t="s">
        <v>976</v>
      </c>
      <c r="J2356" s="549" t="s">
        <v>976</v>
      </c>
      <c r="K2356" s="549" t="s">
        <v>976</v>
      </c>
      <c r="L2356" s="549">
        <v>78441.05</v>
      </c>
      <c r="M2356" s="549">
        <v>5922.3</v>
      </c>
      <c r="N2356" s="549">
        <v>1733.55</v>
      </c>
      <c r="O2356" s="549">
        <v>1984</v>
      </c>
      <c r="P2356" s="549">
        <v>100</v>
      </c>
      <c r="Q2356" s="549">
        <v>9639.85</v>
      </c>
    </row>
    <row r="2357" spans="1:17" x14ac:dyDescent="0.25">
      <c r="A2357" s="549" t="s">
        <v>1071</v>
      </c>
      <c r="B2357" s="549" t="s">
        <v>1072</v>
      </c>
      <c r="C2357" s="549" t="s">
        <v>731</v>
      </c>
      <c r="D2357" s="549" t="s">
        <v>732</v>
      </c>
      <c r="E2357" s="549" t="s">
        <v>977</v>
      </c>
      <c r="F2357" s="549" t="s">
        <v>1212</v>
      </c>
      <c r="G2357" s="549" t="s">
        <v>1385</v>
      </c>
      <c r="H2357" s="549" t="s">
        <v>731</v>
      </c>
      <c r="I2357" s="549" t="s">
        <v>976</v>
      </c>
      <c r="J2357" s="549" t="s">
        <v>976</v>
      </c>
      <c r="K2357" s="549" t="s">
        <v>976</v>
      </c>
      <c r="L2357" s="549">
        <v>78441.05</v>
      </c>
      <c r="M2357" s="549">
        <v>5922.3</v>
      </c>
      <c r="N2357" s="549">
        <v>1733.55</v>
      </c>
      <c r="O2357" s="549">
        <v>1984</v>
      </c>
      <c r="P2357" s="549">
        <v>100</v>
      </c>
      <c r="Q2357" s="549">
        <v>9639.85</v>
      </c>
    </row>
    <row r="2358" spans="1:17" x14ac:dyDescent="0.25">
      <c r="A2358" s="549" t="s">
        <v>1071</v>
      </c>
      <c r="B2358" s="549" t="s">
        <v>1072</v>
      </c>
      <c r="C2358" s="549" t="s">
        <v>731</v>
      </c>
      <c r="D2358" s="549" t="s">
        <v>732</v>
      </c>
      <c r="E2358" s="549" t="s">
        <v>977</v>
      </c>
      <c r="F2358" s="549" t="s">
        <v>1212</v>
      </c>
      <c r="G2358" s="549" t="s">
        <v>1234</v>
      </c>
      <c r="H2358" s="549" t="s">
        <v>731</v>
      </c>
      <c r="I2358" s="549" t="s">
        <v>976</v>
      </c>
      <c r="J2358" s="549" t="s">
        <v>976</v>
      </c>
      <c r="K2358" s="549" t="s">
        <v>976</v>
      </c>
      <c r="L2358" s="549">
        <v>78441.05</v>
      </c>
      <c r="M2358" s="549">
        <v>5922.3</v>
      </c>
      <c r="N2358" s="549">
        <v>1733.55</v>
      </c>
      <c r="O2358" s="549">
        <v>1984</v>
      </c>
      <c r="P2358" s="549">
        <v>100</v>
      </c>
      <c r="Q2358" s="549">
        <v>9639.85</v>
      </c>
    </row>
    <row r="2359" spans="1:17" x14ac:dyDescent="0.25">
      <c r="A2359" s="549" t="s">
        <v>1071</v>
      </c>
      <c r="B2359" s="549" t="s">
        <v>1072</v>
      </c>
      <c r="C2359" s="549" t="s">
        <v>731</v>
      </c>
      <c r="D2359" s="549" t="s">
        <v>732</v>
      </c>
      <c r="E2359" s="549" t="s">
        <v>977</v>
      </c>
      <c r="F2359" s="549" t="s">
        <v>1212</v>
      </c>
      <c r="G2359" s="549" t="s">
        <v>1304</v>
      </c>
      <c r="H2359" s="549" t="s">
        <v>731</v>
      </c>
      <c r="I2359" s="549" t="s">
        <v>976</v>
      </c>
      <c r="J2359" s="549" t="s">
        <v>976</v>
      </c>
      <c r="K2359" s="549" t="s">
        <v>976</v>
      </c>
      <c r="L2359" s="549">
        <v>44913.42</v>
      </c>
      <c r="M2359" s="549">
        <v>3390.96</v>
      </c>
      <c r="N2359" s="549">
        <v>992.59</v>
      </c>
      <c r="O2359" s="549">
        <v>0</v>
      </c>
      <c r="P2359" s="549">
        <v>100</v>
      </c>
      <c r="Q2359" s="549">
        <v>4383.55</v>
      </c>
    </row>
    <row r="2360" spans="1:17" x14ac:dyDescent="0.25">
      <c r="A2360" s="549" t="s">
        <v>1071</v>
      </c>
      <c r="B2360" s="549" t="s">
        <v>1072</v>
      </c>
      <c r="C2360" s="549" t="s">
        <v>731</v>
      </c>
      <c r="D2360" s="549" t="s">
        <v>732</v>
      </c>
      <c r="E2360" s="549" t="s">
        <v>977</v>
      </c>
      <c r="F2360" s="549" t="s">
        <v>1212</v>
      </c>
      <c r="G2360" s="549" t="s">
        <v>1386</v>
      </c>
      <c r="H2360" s="549" t="s">
        <v>731</v>
      </c>
      <c r="I2360" s="549" t="s">
        <v>976</v>
      </c>
      <c r="J2360" s="549" t="s">
        <v>976</v>
      </c>
      <c r="K2360" s="549" t="s">
        <v>976</v>
      </c>
      <c r="L2360" s="549">
        <v>44913.42</v>
      </c>
      <c r="M2360" s="549">
        <v>3390.96</v>
      </c>
      <c r="N2360" s="549">
        <v>992.59</v>
      </c>
      <c r="O2360" s="549">
        <v>0</v>
      </c>
      <c r="P2360" s="549">
        <v>100</v>
      </c>
      <c r="Q2360" s="549">
        <v>4383.55</v>
      </c>
    </row>
    <row r="2361" spans="1:17" x14ac:dyDescent="0.25">
      <c r="A2361" s="549" t="s">
        <v>1071</v>
      </c>
      <c r="B2361" s="549" t="s">
        <v>1072</v>
      </c>
      <c r="C2361" s="549" t="s">
        <v>731</v>
      </c>
      <c r="D2361" s="549" t="s">
        <v>732</v>
      </c>
      <c r="E2361" s="549" t="s">
        <v>977</v>
      </c>
      <c r="F2361" s="549" t="s">
        <v>1212</v>
      </c>
      <c r="G2361" s="549" t="s">
        <v>1387</v>
      </c>
      <c r="H2361" s="549" t="s">
        <v>731</v>
      </c>
      <c r="I2361" s="549" t="s">
        <v>976</v>
      </c>
      <c r="J2361" s="549" t="s">
        <v>976</v>
      </c>
      <c r="K2361" s="549" t="s">
        <v>976</v>
      </c>
      <c r="L2361" s="549">
        <v>44913.42</v>
      </c>
      <c r="M2361" s="549">
        <v>3390.96</v>
      </c>
      <c r="N2361" s="549">
        <v>992.59</v>
      </c>
      <c r="O2361" s="549">
        <v>0</v>
      </c>
      <c r="P2361" s="549">
        <v>100</v>
      </c>
      <c r="Q2361" s="549">
        <v>4383.55</v>
      </c>
    </row>
    <row r="2362" spans="1:17" x14ac:dyDescent="0.25">
      <c r="A2362" s="549" t="s">
        <v>1071</v>
      </c>
      <c r="B2362" s="549" t="s">
        <v>1072</v>
      </c>
      <c r="C2362" s="549" t="s">
        <v>731</v>
      </c>
      <c r="D2362" s="549" t="s">
        <v>732</v>
      </c>
      <c r="E2362" s="549" t="s">
        <v>977</v>
      </c>
      <c r="F2362" s="549" t="s">
        <v>1212</v>
      </c>
      <c r="G2362" s="549" t="s">
        <v>1271</v>
      </c>
      <c r="H2362" s="549" t="s">
        <v>731</v>
      </c>
      <c r="I2362" s="549" t="s">
        <v>976</v>
      </c>
      <c r="J2362" s="549" t="s">
        <v>976</v>
      </c>
      <c r="K2362" s="549" t="s">
        <v>976</v>
      </c>
      <c r="L2362" s="549">
        <v>31102.38</v>
      </c>
      <c r="M2362" s="549">
        <v>2348.23</v>
      </c>
      <c r="N2362" s="549">
        <v>687.36</v>
      </c>
      <c r="O2362" s="549">
        <v>0</v>
      </c>
      <c r="P2362" s="549">
        <v>100</v>
      </c>
      <c r="Q2362" s="549">
        <v>3035.59</v>
      </c>
    </row>
    <row r="2363" spans="1:17" x14ac:dyDescent="0.25">
      <c r="A2363" s="549" t="s">
        <v>1071</v>
      </c>
      <c r="B2363" s="549" t="s">
        <v>1072</v>
      </c>
      <c r="C2363" s="549" t="s">
        <v>731</v>
      </c>
      <c r="D2363" s="549" t="s">
        <v>732</v>
      </c>
      <c r="E2363" s="549" t="s">
        <v>977</v>
      </c>
      <c r="F2363" s="549" t="s">
        <v>1212</v>
      </c>
      <c r="G2363" s="549" t="s">
        <v>1388</v>
      </c>
      <c r="H2363" s="549" t="s">
        <v>731</v>
      </c>
      <c r="I2363" s="549" t="s">
        <v>976</v>
      </c>
      <c r="J2363" s="549" t="s">
        <v>976</v>
      </c>
      <c r="K2363" s="549" t="s">
        <v>976</v>
      </c>
      <c r="L2363" s="549">
        <v>30428.83</v>
      </c>
      <c r="M2363" s="549">
        <v>2297.38</v>
      </c>
      <c r="N2363" s="549">
        <v>672.48</v>
      </c>
      <c r="O2363" s="549">
        <v>0</v>
      </c>
      <c r="P2363" s="549">
        <v>100</v>
      </c>
      <c r="Q2363" s="549">
        <v>2969.86</v>
      </c>
    </row>
    <row r="2364" spans="1:17" x14ac:dyDescent="0.25">
      <c r="A2364" s="549" t="s">
        <v>1071</v>
      </c>
      <c r="B2364" s="549" t="s">
        <v>1072</v>
      </c>
      <c r="C2364" s="549" t="s">
        <v>731</v>
      </c>
      <c r="D2364" s="549" t="s">
        <v>732</v>
      </c>
      <c r="E2364" s="549" t="s">
        <v>977</v>
      </c>
      <c r="F2364" s="549" t="s">
        <v>1212</v>
      </c>
      <c r="G2364" s="549" t="s">
        <v>1217</v>
      </c>
      <c r="H2364" s="549" t="s">
        <v>731</v>
      </c>
      <c r="I2364" s="549" t="s">
        <v>976</v>
      </c>
      <c r="J2364" s="549" t="s">
        <v>976</v>
      </c>
      <c r="K2364" s="549" t="s">
        <v>976</v>
      </c>
      <c r="L2364" s="549">
        <v>31102.38</v>
      </c>
      <c r="M2364" s="549">
        <v>2348.23</v>
      </c>
      <c r="N2364" s="549">
        <v>687.36</v>
      </c>
      <c r="O2364" s="549">
        <v>0</v>
      </c>
      <c r="P2364" s="549">
        <v>100</v>
      </c>
      <c r="Q2364" s="549">
        <v>3035.59</v>
      </c>
    </row>
    <row r="2365" spans="1:17" x14ac:dyDescent="0.25">
      <c r="A2365" s="549" t="s">
        <v>1071</v>
      </c>
      <c r="B2365" s="549" t="s">
        <v>1072</v>
      </c>
      <c r="C2365" s="549" t="s">
        <v>731</v>
      </c>
      <c r="D2365" s="549" t="s">
        <v>732</v>
      </c>
      <c r="E2365" s="549" t="s">
        <v>977</v>
      </c>
      <c r="F2365" s="549" t="s">
        <v>1212</v>
      </c>
      <c r="G2365" s="549" t="s">
        <v>1389</v>
      </c>
      <c r="H2365" s="549" t="s">
        <v>731</v>
      </c>
      <c r="I2365" s="549" t="s">
        <v>976</v>
      </c>
      <c r="J2365" s="549" t="s">
        <v>976</v>
      </c>
      <c r="K2365" s="549" t="s">
        <v>976</v>
      </c>
      <c r="L2365" s="549">
        <v>30428.83</v>
      </c>
      <c r="M2365" s="549">
        <v>2297.38</v>
      </c>
      <c r="N2365" s="549">
        <v>672.48</v>
      </c>
      <c r="O2365" s="549">
        <v>0</v>
      </c>
      <c r="P2365" s="549">
        <v>100</v>
      </c>
      <c r="Q2365" s="549">
        <v>2969.86</v>
      </c>
    </row>
    <row r="2366" spans="1:17" x14ac:dyDescent="0.25">
      <c r="A2366" s="549" t="s">
        <v>1071</v>
      </c>
      <c r="B2366" s="549" t="s">
        <v>1072</v>
      </c>
      <c r="C2366" s="549" t="s">
        <v>731</v>
      </c>
      <c r="D2366" s="549" t="s">
        <v>732</v>
      </c>
      <c r="E2366" s="549" t="s">
        <v>977</v>
      </c>
      <c r="F2366" s="549" t="s">
        <v>1212</v>
      </c>
      <c r="G2366" s="549" t="s">
        <v>1390</v>
      </c>
      <c r="H2366" s="549" t="s">
        <v>731</v>
      </c>
      <c r="I2366" s="549" t="s">
        <v>976</v>
      </c>
      <c r="J2366" s="549" t="s">
        <v>976</v>
      </c>
      <c r="K2366" s="549" t="s">
        <v>976</v>
      </c>
      <c r="L2366" s="549">
        <v>30428.83</v>
      </c>
      <c r="M2366" s="549">
        <v>2297.38</v>
      </c>
      <c r="N2366" s="549">
        <v>672.48</v>
      </c>
      <c r="O2366" s="549">
        <v>0</v>
      </c>
      <c r="P2366" s="549">
        <v>100</v>
      </c>
      <c r="Q2366" s="549">
        <v>2969.86</v>
      </c>
    </row>
    <row r="2367" spans="1:17" x14ac:dyDescent="0.25">
      <c r="A2367" s="549" t="s">
        <v>1071</v>
      </c>
      <c r="B2367" s="549" t="s">
        <v>1072</v>
      </c>
      <c r="C2367" s="549" t="s">
        <v>731</v>
      </c>
      <c r="D2367" s="549" t="s">
        <v>732</v>
      </c>
      <c r="E2367" s="549" t="s">
        <v>977</v>
      </c>
      <c r="F2367" s="549" t="s">
        <v>1212</v>
      </c>
      <c r="G2367" s="549" t="s">
        <v>1379</v>
      </c>
      <c r="H2367" s="549" t="s">
        <v>731</v>
      </c>
      <c r="I2367" s="549" t="s">
        <v>976</v>
      </c>
      <c r="J2367" s="549" t="s">
        <v>976</v>
      </c>
      <c r="K2367" s="549" t="s">
        <v>976</v>
      </c>
      <c r="L2367" s="549">
        <v>44913.42</v>
      </c>
      <c r="M2367" s="549">
        <v>3390.96</v>
      </c>
      <c r="N2367" s="549">
        <v>992.59</v>
      </c>
      <c r="O2367" s="549">
        <v>0</v>
      </c>
      <c r="P2367" s="549">
        <v>100</v>
      </c>
      <c r="Q2367" s="549">
        <v>4383.55</v>
      </c>
    </row>
    <row r="2368" spans="1:17" x14ac:dyDescent="0.25">
      <c r="A2368" s="549" t="s">
        <v>1071</v>
      </c>
      <c r="B2368" s="549" t="s">
        <v>1072</v>
      </c>
      <c r="C2368" s="549" t="s">
        <v>731</v>
      </c>
      <c r="D2368" s="549" t="s">
        <v>732</v>
      </c>
      <c r="E2368" s="549" t="s">
        <v>977</v>
      </c>
      <c r="F2368" s="549" t="s">
        <v>1212</v>
      </c>
      <c r="G2368" s="549" t="s">
        <v>1391</v>
      </c>
      <c r="H2368" s="549" t="s">
        <v>731</v>
      </c>
      <c r="I2368" s="549" t="s">
        <v>976</v>
      </c>
      <c r="J2368" s="549" t="s">
        <v>976</v>
      </c>
      <c r="K2368" s="549" t="s">
        <v>976</v>
      </c>
      <c r="L2368" s="549">
        <v>44913.42</v>
      </c>
      <c r="M2368" s="549">
        <v>3390.96</v>
      </c>
      <c r="N2368" s="549">
        <v>992.59</v>
      </c>
      <c r="O2368" s="549">
        <v>0</v>
      </c>
      <c r="P2368" s="549">
        <v>100</v>
      </c>
      <c r="Q2368" s="549">
        <v>4383.55</v>
      </c>
    </row>
    <row r="2369" spans="1:17" x14ac:dyDescent="0.25">
      <c r="A2369" s="549" t="s">
        <v>1071</v>
      </c>
      <c r="B2369" s="549" t="s">
        <v>1072</v>
      </c>
      <c r="C2369" s="549" t="s">
        <v>731</v>
      </c>
      <c r="D2369" s="549" t="s">
        <v>732</v>
      </c>
      <c r="E2369" s="549" t="s">
        <v>977</v>
      </c>
      <c r="F2369" s="549" t="s">
        <v>1212</v>
      </c>
      <c r="G2369" s="549" t="s">
        <v>1392</v>
      </c>
      <c r="H2369" s="549" t="s">
        <v>731</v>
      </c>
      <c r="I2369" s="549" t="s">
        <v>976</v>
      </c>
      <c r="J2369" s="549" t="s">
        <v>976</v>
      </c>
      <c r="K2369" s="549" t="s">
        <v>976</v>
      </c>
      <c r="L2369" s="549">
        <v>16493.240000000002</v>
      </c>
      <c r="M2369" s="549">
        <v>1245.24</v>
      </c>
      <c r="N2369" s="549">
        <v>364.5</v>
      </c>
      <c r="O2369" s="549">
        <v>0</v>
      </c>
      <c r="P2369" s="549">
        <v>100</v>
      </c>
      <c r="Q2369" s="549">
        <v>1609.74</v>
      </c>
    </row>
    <row r="2370" spans="1:17" x14ac:dyDescent="0.25">
      <c r="A2370" s="549" t="s">
        <v>1071</v>
      </c>
      <c r="B2370" s="549" t="s">
        <v>1072</v>
      </c>
      <c r="C2370" s="549" t="s">
        <v>731</v>
      </c>
      <c r="D2370" s="549" t="s">
        <v>732</v>
      </c>
      <c r="E2370" s="549" t="s">
        <v>977</v>
      </c>
      <c r="F2370" s="549" t="s">
        <v>1212</v>
      </c>
      <c r="G2370" s="549" t="s">
        <v>1393</v>
      </c>
      <c r="H2370" s="549" t="s">
        <v>731</v>
      </c>
      <c r="I2370" s="549" t="s">
        <v>976</v>
      </c>
      <c r="J2370" s="549" t="s">
        <v>976</v>
      </c>
      <c r="K2370" s="549" t="s">
        <v>976</v>
      </c>
      <c r="L2370" s="549">
        <v>16493.240000000002</v>
      </c>
      <c r="M2370" s="549">
        <v>1245.24</v>
      </c>
      <c r="N2370" s="549">
        <v>364.5</v>
      </c>
      <c r="O2370" s="549">
        <v>0</v>
      </c>
      <c r="P2370" s="549">
        <v>100</v>
      </c>
      <c r="Q2370" s="549">
        <v>1609.74</v>
      </c>
    </row>
    <row r="2371" spans="1:17" x14ac:dyDescent="0.25">
      <c r="A2371" s="549" t="s">
        <v>1071</v>
      </c>
      <c r="B2371" s="549" t="s">
        <v>1072</v>
      </c>
      <c r="C2371" s="549" t="s">
        <v>731</v>
      </c>
      <c r="D2371" s="549" t="s">
        <v>732</v>
      </c>
      <c r="E2371" s="549" t="s">
        <v>977</v>
      </c>
      <c r="F2371" s="549" t="s">
        <v>1212</v>
      </c>
      <c r="G2371" s="549" t="s">
        <v>1394</v>
      </c>
      <c r="H2371" s="549" t="s">
        <v>731</v>
      </c>
      <c r="I2371" s="549" t="s">
        <v>976</v>
      </c>
      <c r="J2371" s="549" t="s">
        <v>976</v>
      </c>
      <c r="K2371" s="549" t="s">
        <v>976</v>
      </c>
      <c r="L2371" s="549">
        <v>16493.240000000002</v>
      </c>
      <c r="M2371" s="549">
        <v>1245.24</v>
      </c>
      <c r="N2371" s="549">
        <v>364.5</v>
      </c>
      <c r="O2371" s="549">
        <v>0</v>
      </c>
      <c r="P2371" s="549">
        <v>100</v>
      </c>
      <c r="Q2371" s="549">
        <v>1609.74</v>
      </c>
    </row>
    <row r="2372" spans="1:17" x14ac:dyDescent="0.25">
      <c r="A2372" s="549" t="s">
        <v>1071</v>
      </c>
      <c r="B2372" s="549" t="s">
        <v>1072</v>
      </c>
      <c r="C2372" s="549" t="s">
        <v>731</v>
      </c>
      <c r="D2372" s="549" t="s">
        <v>732</v>
      </c>
      <c r="E2372" s="549" t="s">
        <v>977</v>
      </c>
      <c r="F2372" s="549" t="s">
        <v>1212</v>
      </c>
      <c r="G2372" s="549" t="s">
        <v>1395</v>
      </c>
      <c r="H2372" s="549" t="s">
        <v>731</v>
      </c>
      <c r="I2372" s="549" t="s">
        <v>976</v>
      </c>
      <c r="J2372" s="549" t="s">
        <v>976</v>
      </c>
      <c r="K2372" s="549" t="s">
        <v>976</v>
      </c>
      <c r="L2372" s="549">
        <v>16493.240000000002</v>
      </c>
      <c r="M2372" s="549">
        <v>1245.24</v>
      </c>
      <c r="N2372" s="549">
        <v>364.5</v>
      </c>
      <c r="O2372" s="549">
        <v>0</v>
      </c>
      <c r="P2372" s="549">
        <v>100</v>
      </c>
      <c r="Q2372" s="549">
        <v>1609.74</v>
      </c>
    </row>
    <row r="2373" spans="1:17" x14ac:dyDescent="0.25">
      <c r="A2373" s="549" t="s">
        <v>1071</v>
      </c>
      <c r="B2373" s="549" t="s">
        <v>1072</v>
      </c>
      <c r="C2373" s="549" t="s">
        <v>731</v>
      </c>
      <c r="D2373" s="549" t="s">
        <v>732</v>
      </c>
      <c r="E2373" s="549" t="s">
        <v>977</v>
      </c>
      <c r="F2373" s="549" t="s">
        <v>1212</v>
      </c>
      <c r="G2373" s="549" t="s">
        <v>1396</v>
      </c>
      <c r="H2373" s="549" t="s">
        <v>731</v>
      </c>
      <c r="I2373" s="549" t="s">
        <v>976</v>
      </c>
      <c r="J2373" s="549" t="s">
        <v>976</v>
      </c>
      <c r="K2373" s="549" t="s">
        <v>976</v>
      </c>
      <c r="L2373" s="549">
        <v>16493.240000000002</v>
      </c>
      <c r="M2373" s="549">
        <v>1245.24</v>
      </c>
      <c r="N2373" s="549">
        <v>364.5</v>
      </c>
      <c r="O2373" s="549">
        <v>0</v>
      </c>
      <c r="P2373" s="549">
        <v>100</v>
      </c>
      <c r="Q2373" s="549">
        <v>1609.74</v>
      </c>
    </row>
    <row r="2374" spans="1:17" x14ac:dyDescent="0.25">
      <c r="A2374" s="549" t="s">
        <v>1071</v>
      </c>
      <c r="B2374" s="549" t="s">
        <v>1072</v>
      </c>
      <c r="C2374" s="549" t="s">
        <v>731</v>
      </c>
      <c r="D2374" s="549" t="s">
        <v>732</v>
      </c>
      <c r="E2374" s="549" t="s">
        <v>977</v>
      </c>
      <c r="F2374" s="549" t="s">
        <v>1212</v>
      </c>
      <c r="G2374" s="549">
        <v>152</v>
      </c>
      <c r="H2374" s="549" t="s">
        <v>733</v>
      </c>
      <c r="I2374" s="549" t="s">
        <v>976</v>
      </c>
      <c r="J2374" s="549" t="s">
        <v>976</v>
      </c>
      <c r="K2374" s="549" t="s">
        <v>976</v>
      </c>
      <c r="L2374" s="549">
        <v>667721.49</v>
      </c>
      <c r="M2374" s="549">
        <v>50412.97</v>
      </c>
      <c r="N2374" s="549">
        <v>14756.64</v>
      </c>
      <c r="O2374" s="549">
        <v>4960</v>
      </c>
      <c r="P2374" s="549">
        <v>83.97</v>
      </c>
      <c r="Q2374" s="549">
        <v>58887.83</v>
      </c>
    </row>
    <row r="2375" spans="1:17" x14ac:dyDescent="0.25">
      <c r="A2375" s="549" t="s">
        <v>1071</v>
      </c>
      <c r="B2375" s="549" t="s">
        <v>1072</v>
      </c>
      <c r="C2375" s="549" t="s">
        <v>731</v>
      </c>
      <c r="D2375" s="549" t="s">
        <v>732</v>
      </c>
      <c r="E2375" s="549" t="s">
        <v>977</v>
      </c>
      <c r="F2375" s="549" t="s">
        <v>1212</v>
      </c>
      <c r="G2375" s="549">
        <v>172</v>
      </c>
      <c r="H2375" s="549" t="s">
        <v>733</v>
      </c>
      <c r="I2375" s="549" t="s">
        <v>976</v>
      </c>
      <c r="J2375" s="549" t="s">
        <v>976</v>
      </c>
      <c r="K2375" s="549" t="s">
        <v>976</v>
      </c>
      <c r="L2375" s="549">
        <v>667721.49</v>
      </c>
      <c r="M2375" s="549">
        <v>50412.97</v>
      </c>
      <c r="N2375" s="549">
        <v>14756.64</v>
      </c>
      <c r="O2375" s="549">
        <v>4960</v>
      </c>
      <c r="P2375" s="549">
        <v>83.97</v>
      </c>
      <c r="Q2375" s="549">
        <v>58887.83</v>
      </c>
    </row>
    <row r="2376" spans="1:17" x14ac:dyDescent="0.25">
      <c r="A2376" s="549" t="s">
        <v>1071</v>
      </c>
      <c r="B2376" s="549" t="s">
        <v>1072</v>
      </c>
      <c r="C2376" s="549" t="s">
        <v>731</v>
      </c>
      <c r="D2376" s="549" t="s">
        <v>732</v>
      </c>
      <c r="E2376" s="549" t="s">
        <v>977</v>
      </c>
      <c r="F2376" s="549" t="s">
        <v>1212</v>
      </c>
      <c r="G2376" s="549">
        <v>192</v>
      </c>
      <c r="H2376" s="549" t="s">
        <v>733</v>
      </c>
      <c r="I2376" s="549" t="s">
        <v>976</v>
      </c>
      <c r="J2376" s="549" t="s">
        <v>976</v>
      </c>
      <c r="K2376" s="549" t="s">
        <v>976</v>
      </c>
      <c r="L2376" s="549">
        <v>667721.49</v>
      </c>
      <c r="M2376" s="549">
        <v>50412.97</v>
      </c>
      <c r="N2376" s="549">
        <v>14756.64</v>
      </c>
      <c r="O2376" s="549">
        <v>4960</v>
      </c>
      <c r="P2376" s="549">
        <v>83.97</v>
      </c>
      <c r="Q2376" s="549">
        <v>58887.83</v>
      </c>
    </row>
    <row r="2377" spans="1:17" x14ac:dyDescent="0.25">
      <c r="A2377" s="549" t="s">
        <v>1071</v>
      </c>
      <c r="B2377" s="549" t="s">
        <v>1072</v>
      </c>
      <c r="C2377" s="549" t="s">
        <v>731</v>
      </c>
      <c r="D2377" s="549" t="s">
        <v>732</v>
      </c>
      <c r="E2377" s="549" t="s">
        <v>977</v>
      </c>
      <c r="F2377" s="549" t="s">
        <v>1212</v>
      </c>
      <c r="G2377" s="549">
        <v>202</v>
      </c>
      <c r="H2377" s="549" t="s">
        <v>733</v>
      </c>
      <c r="I2377" s="549" t="s">
        <v>976</v>
      </c>
      <c r="J2377" s="549" t="s">
        <v>976</v>
      </c>
      <c r="K2377" s="549" t="s">
        <v>976</v>
      </c>
      <c r="L2377" s="549">
        <v>667721.49</v>
      </c>
      <c r="M2377" s="549">
        <v>50412.97</v>
      </c>
      <c r="N2377" s="549">
        <v>14756.64</v>
      </c>
      <c r="O2377" s="549">
        <v>4960</v>
      </c>
      <c r="P2377" s="549">
        <v>83.97</v>
      </c>
      <c r="Q2377" s="549">
        <v>58887.83</v>
      </c>
    </row>
    <row r="2378" spans="1:17" x14ac:dyDescent="0.25">
      <c r="A2378" s="549" t="s">
        <v>1071</v>
      </c>
      <c r="B2378" s="549" t="s">
        <v>1072</v>
      </c>
      <c r="C2378" s="549" t="s">
        <v>723</v>
      </c>
      <c r="D2378" s="549" t="s">
        <v>724</v>
      </c>
      <c r="E2378" s="549" t="s">
        <v>977</v>
      </c>
      <c r="F2378" s="549" t="s">
        <v>1212</v>
      </c>
      <c r="G2378" s="549">
        <v>112</v>
      </c>
      <c r="H2378" s="549" t="s">
        <v>723</v>
      </c>
      <c r="I2378" s="549" t="s">
        <v>976</v>
      </c>
      <c r="J2378" s="549" t="s">
        <v>976</v>
      </c>
      <c r="K2378" s="549" t="s">
        <v>976</v>
      </c>
      <c r="L2378" s="549">
        <v>242260.43</v>
      </c>
      <c r="M2378" s="549">
        <v>18290.66</v>
      </c>
      <c r="N2378" s="549">
        <v>5353.96</v>
      </c>
      <c r="O2378" s="549">
        <v>1984</v>
      </c>
      <c r="P2378" s="549">
        <v>100</v>
      </c>
      <c r="Q2378" s="549">
        <v>25628.62</v>
      </c>
    </row>
    <row r="2379" spans="1:17" x14ac:dyDescent="0.25">
      <c r="A2379" s="549" t="s">
        <v>1071</v>
      </c>
      <c r="B2379" s="549" t="s">
        <v>1072</v>
      </c>
      <c r="C2379" s="549" t="s">
        <v>723</v>
      </c>
      <c r="D2379" s="549" t="s">
        <v>724</v>
      </c>
      <c r="E2379" s="549" t="s">
        <v>977</v>
      </c>
      <c r="F2379" s="549" t="s">
        <v>1212</v>
      </c>
      <c r="G2379" s="549">
        <v>622</v>
      </c>
      <c r="H2379" s="549" t="s">
        <v>723</v>
      </c>
      <c r="I2379" s="549" t="s">
        <v>976</v>
      </c>
      <c r="J2379" s="549" t="s">
        <v>976</v>
      </c>
      <c r="K2379" s="549" t="s">
        <v>976</v>
      </c>
      <c r="L2379" s="549">
        <v>49105.88</v>
      </c>
      <c r="M2379" s="549">
        <v>3707.49</v>
      </c>
      <c r="N2379" s="549">
        <v>1085.24</v>
      </c>
      <c r="O2379" s="549">
        <v>1984</v>
      </c>
      <c r="P2379" s="549">
        <v>100</v>
      </c>
      <c r="Q2379" s="549">
        <v>6776.73</v>
      </c>
    </row>
    <row r="2380" spans="1:17" x14ac:dyDescent="0.25">
      <c r="A2380" s="549" t="s">
        <v>1071</v>
      </c>
      <c r="B2380" s="549" t="s">
        <v>1072</v>
      </c>
      <c r="C2380" s="549" t="s">
        <v>723</v>
      </c>
      <c r="D2380" s="549" t="s">
        <v>724</v>
      </c>
      <c r="E2380" s="549" t="s">
        <v>977</v>
      </c>
      <c r="F2380" s="549" t="s">
        <v>1212</v>
      </c>
      <c r="G2380" s="549" t="s">
        <v>1397</v>
      </c>
      <c r="H2380" s="549" t="s">
        <v>723</v>
      </c>
      <c r="I2380" s="549" t="s">
        <v>976</v>
      </c>
      <c r="J2380" s="549" t="s">
        <v>976</v>
      </c>
      <c r="K2380" s="549" t="s">
        <v>976</v>
      </c>
      <c r="L2380" s="549">
        <v>31410.32</v>
      </c>
      <c r="M2380" s="549">
        <v>2371.48</v>
      </c>
      <c r="N2380" s="549">
        <v>694.17</v>
      </c>
      <c r="O2380" s="549">
        <v>0</v>
      </c>
      <c r="P2380" s="549">
        <v>100</v>
      </c>
      <c r="Q2380" s="549">
        <v>3065.65</v>
      </c>
    </row>
    <row r="2381" spans="1:17" x14ac:dyDescent="0.25">
      <c r="A2381" s="549" t="s">
        <v>1071</v>
      </c>
      <c r="B2381" s="549" t="s">
        <v>1072</v>
      </c>
      <c r="C2381" s="549" t="s">
        <v>729</v>
      </c>
      <c r="D2381" s="549" t="s">
        <v>730</v>
      </c>
      <c r="E2381" s="549" t="s">
        <v>977</v>
      </c>
      <c r="F2381" s="549" t="s">
        <v>1212</v>
      </c>
      <c r="G2381" s="549">
        <v>62</v>
      </c>
      <c r="H2381" s="549" t="s">
        <v>729</v>
      </c>
      <c r="I2381" s="549" t="s">
        <v>976</v>
      </c>
      <c r="J2381" s="549" t="s">
        <v>976</v>
      </c>
      <c r="K2381" s="549" t="s">
        <v>976</v>
      </c>
      <c r="L2381" s="549">
        <v>218613.38</v>
      </c>
      <c r="M2381" s="549">
        <v>16505.310000000001</v>
      </c>
      <c r="N2381" s="549">
        <v>4831.3599999999997</v>
      </c>
      <c r="O2381" s="549">
        <v>1984</v>
      </c>
      <c r="P2381" s="549">
        <v>100</v>
      </c>
      <c r="Q2381" s="549">
        <v>23320.67</v>
      </c>
    </row>
    <row r="2382" spans="1:17" x14ac:dyDescent="0.25">
      <c r="A2382" s="549" t="s">
        <v>1071</v>
      </c>
      <c r="B2382" s="549" t="s">
        <v>1072</v>
      </c>
      <c r="C2382" s="549" t="s">
        <v>729</v>
      </c>
      <c r="D2382" s="549" t="s">
        <v>730</v>
      </c>
      <c r="E2382" s="549" t="s">
        <v>977</v>
      </c>
      <c r="F2382" s="549" t="s">
        <v>1212</v>
      </c>
      <c r="G2382" s="549">
        <v>72</v>
      </c>
      <c r="H2382" s="549" t="s">
        <v>729</v>
      </c>
      <c r="I2382" s="549" t="s">
        <v>976</v>
      </c>
      <c r="J2382" s="549" t="s">
        <v>976</v>
      </c>
      <c r="K2382" s="549" t="s">
        <v>976</v>
      </c>
      <c r="L2382" s="549">
        <v>480667.43</v>
      </c>
      <c r="M2382" s="549">
        <v>36290.39</v>
      </c>
      <c r="N2382" s="549">
        <v>10622.75</v>
      </c>
      <c r="O2382" s="549">
        <v>3769.6</v>
      </c>
      <c r="P2382" s="549">
        <v>100</v>
      </c>
      <c r="Q2382" s="549">
        <v>50682.74</v>
      </c>
    </row>
    <row r="2383" spans="1:17" x14ac:dyDescent="0.25">
      <c r="A2383" s="549" t="s">
        <v>1071</v>
      </c>
      <c r="B2383" s="549" t="s">
        <v>1072</v>
      </c>
      <c r="C2383" s="549" t="s">
        <v>729</v>
      </c>
      <c r="D2383" s="549" t="s">
        <v>730</v>
      </c>
      <c r="E2383" s="549" t="s">
        <v>977</v>
      </c>
      <c r="F2383" s="549" t="s">
        <v>1212</v>
      </c>
      <c r="G2383" s="549">
        <v>88</v>
      </c>
      <c r="H2383" s="549" t="s">
        <v>729</v>
      </c>
      <c r="I2383" s="549" t="s">
        <v>976</v>
      </c>
      <c r="J2383" s="549" t="s">
        <v>976</v>
      </c>
      <c r="K2383" s="549" t="s">
        <v>976</v>
      </c>
      <c r="L2383" s="549">
        <v>292029.3</v>
      </c>
      <c r="M2383" s="549">
        <v>22048.21</v>
      </c>
      <c r="N2383" s="549">
        <v>6453.85</v>
      </c>
      <c r="O2383" s="549">
        <v>2976</v>
      </c>
      <c r="P2383" s="549">
        <v>100</v>
      </c>
      <c r="Q2383" s="549">
        <v>31478.06</v>
      </c>
    </row>
    <row r="2384" spans="1:17" x14ac:dyDescent="0.25">
      <c r="A2384" s="549" t="s">
        <v>1071</v>
      </c>
      <c r="B2384" s="549" t="s">
        <v>1072</v>
      </c>
      <c r="C2384" s="549" t="s">
        <v>729</v>
      </c>
      <c r="D2384" s="549" t="s">
        <v>730</v>
      </c>
      <c r="E2384" s="549" t="s">
        <v>977</v>
      </c>
      <c r="F2384" s="549" t="s">
        <v>1212</v>
      </c>
      <c r="G2384" s="549">
        <v>92</v>
      </c>
      <c r="H2384" s="549" t="s">
        <v>729</v>
      </c>
      <c r="I2384" s="549" t="s">
        <v>1310</v>
      </c>
      <c r="J2384" s="549" t="s">
        <v>1310</v>
      </c>
      <c r="K2384" s="549" t="s">
        <v>1310</v>
      </c>
      <c r="L2384" s="549">
        <v>0.04</v>
      </c>
      <c r="M2384" s="549">
        <v>0</v>
      </c>
      <c r="N2384" s="549">
        <v>0</v>
      </c>
      <c r="O2384" s="549">
        <v>0</v>
      </c>
      <c r="P2384" s="549">
        <v>100</v>
      </c>
      <c r="Q2384" s="549">
        <v>0</v>
      </c>
    </row>
    <row r="2385" spans="1:17" x14ac:dyDescent="0.25">
      <c r="A2385" s="549" t="s">
        <v>1071</v>
      </c>
      <c r="B2385" s="549" t="s">
        <v>1072</v>
      </c>
      <c r="C2385" s="549" t="s">
        <v>729</v>
      </c>
      <c r="D2385" s="549" t="s">
        <v>730</v>
      </c>
      <c r="E2385" s="549" t="s">
        <v>977</v>
      </c>
      <c r="F2385" s="549" t="s">
        <v>1212</v>
      </c>
      <c r="G2385" s="549">
        <v>102</v>
      </c>
      <c r="H2385" s="549" t="s">
        <v>729</v>
      </c>
      <c r="I2385" s="549" t="s">
        <v>976</v>
      </c>
      <c r="J2385" s="549" t="s">
        <v>976</v>
      </c>
      <c r="K2385" s="549" t="s">
        <v>976</v>
      </c>
      <c r="L2385" s="549">
        <v>218613.38</v>
      </c>
      <c r="M2385" s="549">
        <v>16505.310000000001</v>
      </c>
      <c r="N2385" s="549">
        <v>4831.3599999999997</v>
      </c>
      <c r="O2385" s="549">
        <v>1984</v>
      </c>
      <c r="P2385" s="549">
        <v>100</v>
      </c>
      <c r="Q2385" s="549">
        <v>23320.67</v>
      </c>
    </row>
    <row r="2386" spans="1:17" x14ac:dyDescent="0.25">
      <c r="A2386" s="549" t="s">
        <v>1071</v>
      </c>
      <c r="B2386" s="549" t="s">
        <v>1072</v>
      </c>
      <c r="C2386" s="549" t="s">
        <v>729</v>
      </c>
      <c r="D2386" s="549" t="s">
        <v>730</v>
      </c>
      <c r="E2386" s="549" t="s">
        <v>977</v>
      </c>
      <c r="F2386" s="549" t="s">
        <v>1212</v>
      </c>
      <c r="G2386" s="549">
        <v>112</v>
      </c>
      <c r="H2386" s="549" t="s">
        <v>729</v>
      </c>
      <c r="I2386" s="549" t="s">
        <v>976</v>
      </c>
      <c r="J2386" s="549" t="s">
        <v>976</v>
      </c>
      <c r="K2386" s="549" t="s">
        <v>976</v>
      </c>
      <c r="L2386" s="549">
        <v>480667.43</v>
      </c>
      <c r="M2386" s="549">
        <v>36290.39</v>
      </c>
      <c r="N2386" s="549">
        <v>10622.75</v>
      </c>
      <c r="O2386" s="549">
        <v>3670.4</v>
      </c>
      <c r="P2386" s="549">
        <v>100</v>
      </c>
      <c r="Q2386" s="549">
        <v>50583.54</v>
      </c>
    </row>
    <row r="2387" spans="1:17" x14ac:dyDescent="0.25">
      <c r="A2387" s="549" t="s">
        <v>1071</v>
      </c>
      <c r="B2387" s="549" t="s">
        <v>1072</v>
      </c>
      <c r="C2387" s="549" t="s">
        <v>729</v>
      </c>
      <c r="D2387" s="549" t="s">
        <v>730</v>
      </c>
      <c r="E2387" s="549" t="s">
        <v>977</v>
      </c>
      <c r="F2387" s="549" t="s">
        <v>1212</v>
      </c>
      <c r="G2387" s="549">
        <v>122</v>
      </c>
      <c r="H2387" s="549" t="s">
        <v>729</v>
      </c>
      <c r="I2387" s="549" t="s">
        <v>976</v>
      </c>
      <c r="J2387" s="549" t="s">
        <v>976</v>
      </c>
      <c r="K2387" s="549" t="s">
        <v>976</v>
      </c>
      <c r="L2387" s="549">
        <v>480667.43</v>
      </c>
      <c r="M2387" s="549">
        <v>36290.39</v>
      </c>
      <c r="N2387" s="549">
        <v>10622.75</v>
      </c>
      <c r="O2387" s="549">
        <v>3769.6</v>
      </c>
      <c r="P2387" s="549">
        <v>100</v>
      </c>
      <c r="Q2387" s="549">
        <v>50682.74</v>
      </c>
    </row>
    <row r="2388" spans="1:17" x14ac:dyDescent="0.25">
      <c r="A2388" s="549" t="s">
        <v>1071</v>
      </c>
      <c r="B2388" s="549" t="s">
        <v>1072</v>
      </c>
      <c r="C2388" s="549" t="s">
        <v>729</v>
      </c>
      <c r="D2388" s="549" t="s">
        <v>730</v>
      </c>
      <c r="E2388" s="549" t="s">
        <v>977</v>
      </c>
      <c r="F2388" s="549" t="s">
        <v>1212</v>
      </c>
      <c r="G2388" s="549">
        <v>142</v>
      </c>
      <c r="H2388" s="549" t="s">
        <v>729</v>
      </c>
      <c r="I2388" s="549" t="s">
        <v>1310</v>
      </c>
      <c r="J2388" s="549" t="s">
        <v>1310</v>
      </c>
      <c r="K2388" s="549" t="s">
        <v>1310</v>
      </c>
      <c r="L2388" s="549">
        <v>0.04</v>
      </c>
      <c r="M2388" s="549">
        <v>0</v>
      </c>
      <c r="N2388" s="549">
        <v>0</v>
      </c>
      <c r="O2388" s="549">
        <v>0</v>
      </c>
      <c r="P2388" s="549">
        <v>100</v>
      </c>
      <c r="Q2388" s="549">
        <v>0</v>
      </c>
    </row>
    <row r="2389" spans="1:17" x14ac:dyDescent="0.25">
      <c r="A2389" s="549" t="s">
        <v>1071</v>
      </c>
      <c r="B2389" s="549" t="s">
        <v>1072</v>
      </c>
      <c r="C2389" s="549" t="s">
        <v>729</v>
      </c>
      <c r="D2389" s="549" t="s">
        <v>730</v>
      </c>
      <c r="E2389" s="549" t="s">
        <v>977</v>
      </c>
      <c r="F2389" s="549" t="s">
        <v>1212</v>
      </c>
      <c r="G2389" s="549">
        <v>148</v>
      </c>
      <c r="H2389" s="549" t="s">
        <v>729</v>
      </c>
      <c r="I2389" s="549" t="s">
        <v>976</v>
      </c>
      <c r="J2389" s="549" t="s">
        <v>976</v>
      </c>
      <c r="K2389" s="549" t="s">
        <v>976</v>
      </c>
      <c r="L2389" s="549">
        <v>292029.3</v>
      </c>
      <c r="M2389" s="549">
        <v>22048.21</v>
      </c>
      <c r="N2389" s="549">
        <v>6453.85</v>
      </c>
      <c r="O2389" s="549">
        <v>2976</v>
      </c>
      <c r="P2389" s="549">
        <v>100</v>
      </c>
      <c r="Q2389" s="549">
        <v>31478.06</v>
      </c>
    </row>
    <row r="2390" spans="1:17" x14ac:dyDescent="0.25">
      <c r="A2390" s="549" t="s">
        <v>1071</v>
      </c>
      <c r="B2390" s="549" t="s">
        <v>1072</v>
      </c>
      <c r="C2390" s="549" t="s">
        <v>729</v>
      </c>
      <c r="D2390" s="549" t="s">
        <v>730</v>
      </c>
      <c r="E2390" s="549" t="s">
        <v>977</v>
      </c>
      <c r="F2390" s="549" t="s">
        <v>1212</v>
      </c>
      <c r="G2390" s="549">
        <v>162</v>
      </c>
      <c r="H2390" s="549" t="s">
        <v>729</v>
      </c>
      <c r="I2390" s="549" t="s">
        <v>976</v>
      </c>
      <c r="J2390" s="549" t="s">
        <v>976</v>
      </c>
      <c r="K2390" s="549" t="s">
        <v>976</v>
      </c>
      <c r="L2390" s="549">
        <v>327920.08</v>
      </c>
      <c r="M2390" s="549">
        <v>24757.97</v>
      </c>
      <c r="N2390" s="549">
        <v>7247.03</v>
      </c>
      <c r="O2390" s="549">
        <v>1984</v>
      </c>
      <c r="P2390" s="549">
        <v>100</v>
      </c>
      <c r="Q2390" s="549">
        <v>33989</v>
      </c>
    </row>
    <row r="2391" spans="1:17" x14ac:dyDescent="0.25">
      <c r="A2391" s="549" t="s">
        <v>1091</v>
      </c>
      <c r="B2391" s="549" t="s">
        <v>1092</v>
      </c>
      <c r="C2391" s="549" t="s">
        <v>855</v>
      </c>
      <c r="D2391" s="549" t="s">
        <v>856</v>
      </c>
      <c r="E2391" s="549" t="s">
        <v>977</v>
      </c>
      <c r="F2391" s="549" t="s">
        <v>1212</v>
      </c>
      <c r="G2391" s="549">
        <v>192</v>
      </c>
      <c r="H2391" s="549" t="s">
        <v>855</v>
      </c>
      <c r="I2391" s="549" t="s">
        <v>976</v>
      </c>
      <c r="J2391" s="549" t="s">
        <v>976</v>
      </c>
      <c r="K2391" s="549" t="s">
        <v>976</v>
      </c>
      <c r="L2391" s="549">
        <v>347612.99</v>
      </c>
      <c r="M2391" s="549">
        <v>26244.78</v>
      </c>
      <c r="N2391" s="549">
        <v>7682.25</v>
      </c>
      <c r="O2391" s="549">
        <v>1984</v>
      </c>
      <c r="P2391" s="549">
        <v>100</v>
      </c>
      <c r="Q2391" s="549">
        <v>35911.03</v>
      </c>
    </row>
    <row r="2392" spans="1:17" x14ac:dyDescent="0.25">
      <c r="A2392" s="549" t="s">
        <v>1071</v>
      </c>
      <c r="B2392" s="549" t="s">
        <v>1072</v>
      </c>
      <c r="C2392" s="549" t="s">
        <v>729</v>
      </c>
      <c r="D2392" s="549" t="s">
        <v>730</v>
      </c>
      <c r="E2392" s="549" t="s">
        <v>977</v>
      </c>
      <c r="F2392" s="549" t="s">
        <v>1212</v>
      </c>
      <c r="G2392" s="549">
        <v>182</v>
      </c>
      <c r="H2392" s="549" t="s">
        <v>729</v>
      </c>
      <c r="I2392" s="549" t="s">
        <v>976</v>
      </c>
      <c r="J2392" s="549" t="s">
        <v>976</v>
      </c>
      <c r="K2392" s="549" t="s">
        <v>976</v>
      </c>
      <c r="L2392" s="549">
        <v>480667.43</v>
      </c>
      <c r="M2392" s="549">
        <v>36290.39</v>
      </c>
      <c r="N2392" s="549">
        <v>10622.75</v>
      </c>
      <c r="O2392" s="549">
        <v>3670.4</v>
      </c>
      <c r="P2392" s="549">
        <v>100</v>
      </c>
      <c r="Q2392" s="549">
        <v>50583.54</v>
      </c>
    </row>
    <row r="2393" spans="1:17" x14ac:dyDescent="0.25">
      <c r="A2393" s="549" t="s">
        <v>1071</v>
      </c>
      <c r="B2393" s="549" t="s">
        <v>1072</v>
      </c>
      <c r="C2393" s="549" t="s">
        <v>729</v>
      </c>
      <c r="D2393" s="549" t="s">
        <v>730</v>
      </c>
      <c r="E2393" s="549" t="s">
        <v>977</v>
      </c>
      <c r="F2393" s="549" t="s">
        <v>1212</v>
      </c>
      <c r="G2393" s="549">
        <v>207</v>
      </c>
      <c r="H2393" s="549" t="s">
        <v>729</v>
      </c>
      <c r="I2393" s="549" t="s">
        <v>976</v>
      </c>
      <c r="J2393" s="549" t="s">
        <v>976</v>
      </c>
      <c r="K2393" s="549" t="s">
        <v>976</v>
      </c>
      <c r="L2393" s="549">
        <v>62972.15</v>
      </c>
      <c r="M2393" s="549">
        <v>4754.3999999999996</v>
      </c>
      <c r="N2393" s="549">
        <v>1391.68</v>
      </c>
      <c r="O2393" s="549">
        <v>992</v>
      </c>
      <c r="P2393" s="549">
        <v>100</v>
      </c>
      <c r="Q2393" s="549">
        <v>7138.08</v>
      </c>
    </row>
    <row r="2394" spans="1:17" x14ac:dyDescent="0.25">
      <c r="A2394" s="549" t="s">
        <v>1071</v>
      </c>
      <c r="B2394" s="549" t="s">
        <v>1072</v>
      </c>
      <c r="C2394" s="549" t="s">
        <v>729</v>
      </c>
      <c r="D2394" s="549" t="s">
        <v>730</v>
      </c>
      <c r="E2394" s="549" t="s">
        <v>977</v>
      </c>
      <c r="F2394" s="549" t="s">
        <v>1212</v>
      </c>
      <c r="G2394" s="549">
        <v>407</v>
      </c>
      <c r="H2394" s="549" t="s">
        <v>729</v>
      </c>
      <c r="I2394" s="549" t="s">
        <v>976</v>
      </c>
      <c r="J2394" s="549" t="s">
        <v>976</v>
      </c>
      <c r="K2394" s="549" t="s">
        <v>976</v>
      </c>
      <c r="L2394" s="549">
        <v>19720.150000000001</v>
      </c>
      <c r="M2394" s="549">
        <v>1488.87</v>
      </c>
      <c r="N2394" s="549">
        <v>435.82</v>
      </c>
      <c r="O2394" s="549">
        <v>992</v>
      </c>
      <c r="P2394" s="549">
        <v>100</v>
      </c>
      <c r="Q2394" s="549">
        <v>2916.69</v>
      </c>
    </row>
    <row r="2395" spans="1:17" x14ac:dyDescent="0.25">
      <c r="A2395" s="549" t="s">
        <v>1071</v>
      </c>
      <c r="B2395" s="549" t="s">
        <v>1072</v>
      </c>
      <c r="C2395" s="549" t="s">
        <v>729</v>
      </c>
      <c r="D2395" s="549" t="s">
        <v>730</v>
      </c>
      <c r="E2395" s="549" t="s">
        <v>977</v>
      </c>
      <c r="F2395" s="549" t="s">
        <v>1212</v>
      </c>
      <c r="G2395" s="549">
        <v>467</v>
      </c>
      <c r="H2395" s="549" t="s">
        <v>729</v>
      </c>
      <c r="I2395" s="549" t="s">
        <v>976</v>
      </c>
      <c r="J2395" s="549" t="s">
        <v>976</v>
      </c>
      <c r="K2395" s="549" t="s">
        <v>976</v>
      </c>
      <c r="L2395" s="549">
        <v>53467.95</v>
      </c>
      <c r="M2395" s="549">
        <v>4036.83</v>
      </c>
      <c r="N2395" s="549">
        <v>1181.6400000000001</v>
      </c>
      <c r="O2395" s="549">
        <v>992</v>
      </c>
      <c r="P2395" s="549">
        <v>100</v>
      </c>
      <c r="Q2395" s="549">
        <v>6210.47</v>
      </c>
    </row>
    <row r="2396" spans="1:17" x14ac:dyDescent="0.25">
      <c r="A2396" s="549" t="s">
        <v>1071</v>
      </c>
      <c r="B2396" s="549" t="s">
        <v>1072</v>
      </c>
      <c r="C2396" s="549" t="s">
        <v>729</v>
      </c>
      <c r="D2396" s="549" t="s">
        <v>730</v>
      </c>
      <c r="E2396" s="549" t="s">
        <v>977</v>
      </c>
      <c r="F2396" s="549" t="s">
        <v>1212</v>
      </c>
      <c r="G2396" s="549">
        <v>492</v>
      </c>
      <c r="H2396" s="549" t="s">
        <v>729</v>
      </c>
      <c r="I2396" s="549" t="s">
        <v>976</v>
      </c>
      <c r="J2396" s="549" t="s">
        <v>976</v>
      </c>
      <c r="K2396" s="549" t="s">
        <v>976</v>
      </c>
      <c r="L2396" s="549">
        <v>327920.08</v>
      </c>
      <c r="M2396" s="549">
        <v>24757.97</v>
      </c>
      <c r="N2396" s="549">
        <v>7247.03</v>
      </c>
      <c r="O2396" s="549">
        <v>1984</v>
      </c>
      <c r="P2396" s="549">
        <v>100</v>
      </c>
      <c r="Q2396" s="549">
        <v>33989</v>
      </c>
    </row>
    <row r="2397" spans="1:17" x14ac:dyDescent="0.25">
      <c r="A2397" s="549" t="s">
        <v>1071</v>
      </c>
      <c r="B2397" s="549" t="s">
        <v>1072</v>
      </c>
      <c r="C2397" s="549" t="s">
        <v>729</v>
      </c>
      <c r="D2397" s="549" t="s">
        <v>730</v>
      </c>
      <c r="E2397" s="549" t="s">
        <v>977</v>
      </c>
      <c r="F2397" s="549" t="s">
        <v>1212</v>
      </c>
      <c r="G2397" s="549">
        <v>532</v>
      </c>
      <c r="H2397" s="549" t="s">
        <v>729</v>
      </c>
      <c r="I2397" s="549" t="s">
        <v>976</v>
      </c>
      <c r="J2397" s="549" t="s">
        <v>976</v>
      </c>
      <c r="K2397" s="549" t="s">
        <v>976</v>
      </c>
      <c r="L2397" s="549">
        <v>327920.08</v>
      </c>
      <c r="M2397" s="549">
        <v>24757.97</v>
      </c>
      <c r="N2397" s="549">
        <v>7247.03</v>
      </c>
      <c r="O2397" s="549">
        <v>1984</v>
      </c>
      <c r="P2397" s="549">
        <v>100</v>
      </c>
      <c r="Q2397" s="549">
        <v>33989</v>
      </c>
    </row>
    <row r="2398" spans="1:17" x14ac:dyDescent="0.25">
      <c r="A2398" s="549" t="s">
        <v>1071</v>
      </c>
      <c r="B2398" s="549" t="s">
        <v>1072</v>
      </c>
      <c r="C2398" s="549" t="s">
        <v>729</v>
      </c>
      <c r="D2398" s="549" t="s">
        <v>730</v>
      </c>
      <c r="E2398" s="549" t="s">
        <v>977</v>
      </c>
      <c r="F2398" s="549" t="s">
        <v>1212</v>
      </c>
      <c r="G2398" s="549">
        <v>547</v>
      </c>
      <c r="H2398" s="549" t="s">
        <v>729</v>
      </c>
      <c r="I2398" s="549" t="s">
        <v>976</v>
      </c>
      <c r="J2398" s="549" t="s">
        <v>976</v>
      </c>
      <c r="K2398" s="549" t="s">
        <v>976</v>
      </c>
      <c r="L2398" s="549">
        <v>53467.95</v>
      </c>
      <c r="M2398" s="549">
        <v>4036.83</v>
      </c>
      <c r="N2398" s="549">
        <v>1181.6400000000001</v>
      </c>
      <c r="O2398" s="549">
        <v>992</v>
      </c>
      <c r="P2398" s="549">
        <v>100</v>
      </c>
      <c r="Q2398" s="549">
        <v>6210.47</v>
      </c>
    </row>
    <row r="2399" spans="1:17" x14ac:dyDescent="0.25">
      <c r="A2399" s="549" t="s">
        <v>1071</v>
      </c>
      <c r="B2399" s="549" t="s">
        <v>1072</v>
      </c>
      <c r="C2399" s="549" t="s">
        <v>729</v>
      </c>
      <c r="D2399" s="549" t="s">
        <v>730</v>
      </c>
      <c r="E2399" s="549" t="s">
        <v>977</v>
      </c>
      <c r="F2399" s="549" t="s">
        <v>1212</v>
      </c>
      <c r="G2399" s="549">
        <v>802</v>
      </c>
      <c r="H2399" s="549" t="s">
        <v>729</v>
      </c>
      <c r="I2399" s="549" t="s">
        <v>976</v>
      </c>
      <c r="J2399" s="549" t="s">
        <v>976</v>
      </c>
      <c r="K2399" s="549" t="s">
        <v>976</v>
      </c>
      <c r="L2399" s="549">
        <v>468690.7</v>
      </c>
      <c r="M2399" s="549">
        <v>35386.15</v>
      </c>
      <c r="N2399" s="549">
        <v>10358.06</v>
      </c>
      <c r="O2399" s="549">
        <v>1984</v>
      </c>
      <c r="P2399" s="549">
        <v>100</v>
      </c>
      <c r="Q2399" s="549">
        <v>47728.21</v>
      </c>
    </row>
    <row r="2400" spans="1:17" x14ac:dyDescent="0.25">
      <c r="A2400" s="549" t="s">
        <v>1071</v>
      </c>
      <c r="B2400" s="549" t="s">
        <v>1072</v>
      </c>
      <c r="C2400" s="549" t="s">
        <v>729</v>
      </c>
      <c r="D2400" s="549" t="s">
        <v>730</v>
      </c>
      <c r="E2400" s="549" t="s">
        <v>977</v>
      </c>
      <c r="F2400" s="549" t="s">
        <v>1212</v>
      </c>
      <c r="G2400" s="549">
        <v>812</v>
      </c>
      <c r="H2400" s="549" t="s">
        <v>729</v>
      </c>
      <c r="I2400" s="549" t="s">
        <v>976</v>
      </c>
      <c r="J2400" s="549" t="s">
        <v>976</v>
      </c>
      <c r="K2400" s="549" t="s">
        <v>976</v>
      </c>
      <c r="L2400" s="549">
        <v>884217.76</v>
      </c>
      <c r="M2400" s="549">
        <v>66758.44</v>
      </c>
      <c r="N2400" s="549">
        <v>19541.21</v>
      </c>
      <c r="O2400" s="549">
        <v>3968</v>
      </c>
      <c r="P2400" s="549">
        <v>100</v>
      </c>
      <c r="Q2400" s="549">
        <v>90267.65</v>
      </c>
    </row>
    <row r="2401" spans="1:17" x14ac:dyDescent="0.25">
      <c r="A2401" s="549" t="s">
        <v>1071</v>
      </c>
      <c r="B2401" s="549" t="s">
        <v>1072</v>
      </c>
      <c r="C2401" s="549" t="s">
        <v>729</v>
      </c>
      <c r="D2401" s="549" t="s">
        <v>730</v>
      </c>
      <c r="E2401" s="549" t="s">
        <v>977</v>
      </c>
      <c r="F2401" s="549" t="s">
        <v>1212</v>
      </c>
      <c r="G2401" s="549">
        <v>842</v>
      </c>
      <c r="H2401" s="549" t="s">
        <v>729</v>
      </c>
      <c r="I2401" s="549" t="s">
        <v>976</v>
      </c>
      <c r="J2401" s="549" t="s">
        <v>976</v>
      </c>
      <c r="K2401" s="549" t="s">
        <v>976</v>
      </c>
      <c r="L2401" s="549">
        <v>468690.7</v>
      </c>
      <c r="M2401" s="549">
        <v>35386.15</v>
      </c>
      <c r="N2401" s="549">
        <v>10358.06</v>
      </c>
      <c r="O2401" s="549">
        <v>1984</v>
      </c>
      <c r="P2401" s="549">
        <v>100</v>
      </c>
      <c r="Q2401" s="549">
        <v>47728.21</v>
      </c>
    </row>
    <row r="2402" spans="1:17" x14ac:dyDescent="0.25">
      <c r="A2402" s="549" t="s">
        <v>1071</v>
      </c>
      <c r="B2402" s="549" t="s">
        <v>1072</v>
      </c>
      <c r="C2402" s="549" t="s">
        <v>729</v>
      </c>
      <c r="D2402" s="549" t="s">
        <v>730</v>
      </c>
      <c r="E2402" s="549" t="s">
        <v>977</v>
      </c>
      <c r="F2402" s="549" t="s">
        <v>1212</v>
      </c>
      <c r="G2402" s="549">
        <v>867</v>
      </c>
      <c r="H2402" s="549" t="s">
        <v>729</v>
      </c>
      <c r="I2402" s="549" t="s">
        <v>976</v>
      </c>
      <c r="J2402" s="549" t="s">
        <v>976</v>
      </c>
      <c r="K2402" s="549" t="s">
        <v>976</v>
      </c>
      <c r="L2402" s="549">
        <v>32535.05</v>
      </c>
      <c r="M2402" s="549">
        <v>2456.4</v>
      </c>
      <c r="N2402" s="549">
        <v>719.02</v>
      </c>
      <c r="O2402" s="549">
        <v>992</v>
      </c>
      <c r="P2402" s="549">
        <v>100</v>
      </c>
      <c r="Q2402" s="549">
        <v>4167.42</v>
      </c>
    </row>
    <row r="2403" spans="1:17" x14ac:dyDescent="0.25">
      <c r="A2403" s="549" t="s">
        <v>1071</v>
      </c>
      <c r="B2403" s="549" t="s">
        <v>1072</v>
      </c>
      <c r="C2403" s="549" t="s">
        <v>729</v>
      </c>
      <c r="D2403" s="549" t="s">
        <v>730</v>
      </c>
      <c r="E2403" s="549" t="s">
        <v>977</v>
      </c>
      <c r="F2403" s="549" t="s">
        <v>1212</v>
      </c>
      <c r="G2403" s="549">
        <v>878</v>
      </c>
      <c r="H2403" s="549" t="s">
        <v>729</v>
      </c>
      <c r="I2403" s="549" t="s">
        <v>976</v>
      </c>
      <c r="J2403" s="549" t="s">
        <v>976</v>
      </c>
      <c r="K2403" s="549" t="s">
        <v>976</v>
      </c>
      <c r="L2403" s="549">
        <v>264690.62</v>
      </c>
      <c r="M2403" s="549">
        <v>19984.14</v>
      </c>
      <c r="N2403" s="549">
        <v>5849.66</v>
      </c>
      <c r="O2403" s="549">
        <v>2976</v>
      </c>
      <c r="P2403" s="549">
        <v>100</v>
      </c>
      <c r="Q2403" s="549">
        <v>28809.8</v>
      </c>
    </row>
    <row r="2404" spans="1:17" x14ac:dyDescent="0.25">
      <c r="A2404" s="549" t="s">
        <v>1071</v>
      </c>
      <c r="B2404" s="549" t="s">
        <v>1072</v>
      </c>
      <c r="C2404" s="549" t="s">
        <v>729</v>
      </c>
      <c r="D2404" s="549" t="s">
        <v>730</v>
      </c>
      <c r="E2404" s="549" t="s">
        <v>977</v>
      </c>
      <c r="F2404" s="549" t="s">
        <v>1212</v>
      </c>
      <c r="G2404" s="549">
        <v>892</v>
      </c>
      <c r="H2404" s="549" t="s">
        <v>729</v>
      </c>
      <c r="I2404" s="549" t="s">
        <v>976</v>
      </c>
      <c r="J2404" s="549" t="s">
        <v>976</v>
      </c>
      <c r="K2404" s="549" t="s">
        <v>976</v>
      </c>
      <c r="L2404" s="549">
        <v>884217.76</v>
      </c>
      <c r="M2404" s="549">
        <v>66758.44</v>
      </c>
      <c r="N2404" s="549">
        <v>19541.21</v>
      </c>
      <c r="O2404" s="549">
        <v>3968</v>
      </c>
      <c r="P2404" s="549">
        <v>100</v>
      </c>
      <c r="Q2404" s="549">
        <v>90267.65</v>
      </c>
    </row>
    <row r="2405" spans="1:17" x14ac:dyDescent="0.25">
      <c r="A2405" s="549" t="s">
        <v>1071</v>
      </c>
      <c r="B2405" s="549" t="s">
        <v>1072</v>
      </c>
      <c r="C2405" s="549" t="s">
        <v>729</v>
      </c>
      <c r="D2405" s="549" t="s">
        <v>730</v>
      </c>
      <c r="E2405" s="549" t="s">
        <v>977</v>
      </c>
      <c r="F2405" s="549" t="s">
        <v>1212</v>
      </c>
      <c r="G2405" s="549">
        <v>917</v>
      </c>
      <c r="H2405" s="549" t="s">
        <v>729</v>
      </c>
      <c r="I2405" s="549" t="s">
        <v>976</v>
      </c>
      <c r="J2405" s="549" t="s">
        <v>976</v>
      </c>
      <c r="K2405" s="549" t="s">
        <v>976</v>
      </c>
      <c r="L2405" s="549">
        <v>32535.05</v>
      </c>
      <c r="M2405" s="549">
        <v>2456.4</v>
      </c>
      <c r="N2405" s="549">
        <v>719.02</v>
      </c>
      <c r="O2405" s="549">
        <v>992</v>
      </c>
      <c r="P2405" s="549">
        <v>100</v>
      </c>
      <c r="Q2405" s="549">
        <v>4167.42</v>
      </c>
    </row>
    <row r="2406" spans="1:17" x14ac:dyDescent="0.25">
      <c r="A2406" s="549" t="s">
        <v>1091</v>
      </c>
      <c r="B2406" s="549" t="s">
        <v>1092</v>
      </c>
      <c r="C2406" s="549" t="s">
        <v>855</v>
      </c>
      <c r="D2406" s="549" t="s">
        <v>856</v>
      </c>
      <c r="E2406" s="549" t="s">
        <v>973</v>
      </c>
      <c r="F2406" s="549" t="s">
        <v>1212</v>
      </c>
      <c r="G2406" s="549" t="s">
        <v>1374</v>
      </c>
      <c r="H2406" s="549" t="s">
        <v>855</v>
      </c>
      <c r="I2406" s="549" t="s">
        <v>976</v>
      </c>
      <c r="J2406" s="549" t="s">
        <v>976</v>
      </c>
      <c r="K2406" s="549" t="s">
        <v>976</v>
      </c>
      <c r="L2406" s="549">
        <v>31102.38</v>
      </c>
      <c r="M2406" s="549">
        <v>2348.23</v>
      </c>
      <c r="N2406" s="549">
        <v>1785.28</v>
      </c>
      <c r="O2406" s="549">
        <v>0</v>
      </c>
      <c r="P2406" s="549">
        <v>0</v>
      </c>
      <c r="Q2406" s="549">
        <v>0</v>
      </c>
    </row>
    <row r="2407" spans="1:17" x14ac:dyDescent="0.25">
      <c r="A2407" s="549" t="s">
        <v>1071</v>
      </c>
      <c r="B2407" s="549" t="s">
        <v>1072</v>
      </c>
      <c r="C2407" s="549" t="s">
        <v>729</v>
      </c>
      <c r="D2407" s="549" t="s">
        <v>730</v>
      </c>
      <c r="E2407" s="549" t="s">
        <v>977</v>
      </c>
      <c r="F2407" s="549" t="s">
        <v>1212</v>
      </c>
      <c r="G2407" s="549">
        <v>2582</v>
      </c>
      <c r="H2407" s="549" t="s">
        <v>729</v>
      </c>
      <c r="I2407" s="549" t="s">
        <v>976</v>
      </c>
      <c r="J2407" s="549" t="s">
        <v>976</v>
      </c>
      <c r="K2407" s="549" t="s">
        <v>976</v>
      </c>
      <c r="L2407" s="549">
        <v>73527.31</v>
      </c>
      <c r="M2407" s="549">
        <v>5551.31</v>
      </c>
      <c r="N2407" s="549">
        <v>1624.95</v>
      </c>
      <c r="O2407" s="549">
        <v>892.8</v>
      </c>
      <c r="P2407" s="549">
        <v>100</v>
      </c>
      <c r="Q2407" s="549">
        <v>8069.06</v>
      </c>
    </row>
    <row r="2408" spans="1:17" x14ac:dyDescent="0.25">
      <c r="A2408" s="549" t="s">
        <v>1071</v>
      </c>
      <c r="B2408" s="549" t="s">
        <v>1072</v>
      </c>
      <c r="C2408" s="549" t="s">
        <v>729</v>
      </c>
      <c r="D2408" s="549" t="s">
        <v>730</v>
      </c>
      <c r="E2408" s="549" t="s">
        <v>977</v>
      </c>
      <c r="F2408" s="549" t="s">
        <v>1212</v>
      </c>
      <c r="G2408" s="549">
        <v>2592</v>
      </c>
      <c r="H2408" s="549" t="s">
        <v>729</v>
      </c>
      <c r="I2408" s="549" t="s">
        <v>976</v>
      </c>
      <c r="J2408" s="549" t="s">
        <v>976</v>
      </c>
      <c r="K2408" s="549" t="s">
        <v>976</v>
      </c>
      <c r="L2408" s="549">
        <v>73527.31</v>
      </c>
      <c r="M2408" s="549">
        <v>5551.31</v>
      </c>
      <c r="N2408" s="549">
        <v>1624.95</v>
      </c>
      <c r="O2408" s="549">
        <v>892.8</v>
      </c>
      <c r="P2408" s="549">
        <v>100</v>
      </c>
      <c r="Q2408" s="549">
        <v>8069.06</v>
      </c>
    </row>
    <row r="2409" spans="1:17" x14ac:dyDescent="0.25">
      <c r="A2409" s="549" t="s">
        <v>1071</v>
      </c>
      <c r="B2409" s="549" t="s">
        <v>1072</v>
      </c>
      <c r="C2409" s="549" t="s">
        <v>729</v>
      </c>
      <c r="D2409" s="549" t="s">
        <v>730</v>
      </c>
      <c r="E2409" s="549" t="s">
        <v>977</v>
      </c>
      <c r="F2409" s="549" t="s">
        <v>1212</v>
      </c>
      <c r="G2409" s="549">
        <v>2602</v>
      </c>
      <c r="H2409" s="549" t="s">
        <v>729</v>
      </c>
      <c r="I2409" s="549" t="s">
        <v>976</v>
      </c>
      <c r="J2409" s="549" t="s">
        <v>976</v>
      </c>
      <c r="K2409" s="549" t="s">
        <v>976</v>
      </c>
      <c r="L2409" s="549">
        <v>73527.31</v>
      </c>
      <c r="M2409" s="549">
        <v>5551.31</v>
      </c>
      <c r="N2409" s="549">
        <v>1624.95</v>
      </c>
      <c r="O2409" s="549">
        <v>892.8</v>
      </c>
      <c r="P2409" s="549">
        <v>100</v>
      </c>
      <c r="Q2409" s="549">
        <v>8069.06</v>
      </c>
    </row>
    <row r="2410" spans="1:17" x14ac:dyDescent="0.25">
      <c r="A2410" s="549" t="s">
        <v>1071</v>
      </c>
      <c r="B2410" s="549" t="s">
        <v>1072</v>
      </c>
      <c r="C2410" s="549" t="s">
        <v>729</v>
      </c>
      <c r="D2410" s="549" t="s">
        <v>730</v>
      </c>
      <c r="E2410" s="549" t="s">
        <v>977</v>
      </c>
      <c r="F2410" s="549" t="s">
        <v>1212</v>
      </c>
      <c r="G2410" s="549">
        <v>2612</v>
      </c>
      <c r="H2410" s="549" t="s">
        <v>729</v>
      </c>
      <c r="I2410" s="549" t="s">
        <v>976</v>
      </c>
      <c r="J2410" s="549" t="s">
        <v>976</v>
      </c>
      <c r="K2410" s="549" t="s">
        <v>976</v>
      </c>
      <c r="L2410" s="549">
        <v>73527.31</v>
      </c>
      <c r="M2410" s="549">
        <v>5551.31</v>
      </c>
      <c r="N2410" s="549">
        <v>1624.95</v>
      </c>
      <c r="O2410" s="549">
        <v>892.8</v>
      </c>
      <c r="P2410" s="549">
        <v>100</v>
      </c>
      <c r="Q2410" s="549">
        <v>8069.06</v>
      </c>
    </row>
    <row r="2411" spans="1:17" x14ac:dyDescent="0.25">
      <c r="A2411" s="549" t="s">
        <v>1071</v>
      </c>
      <c r="B2411" s="549" t="s">
        <v>1072</v>
      </c>
      <c r="C2411" s="549" t="s">
        <v>729</v>
      </c>
      <c r="D2411" s="549" t="s">
        <v>730</v>
      </c>
      <c r="E2411" s="549" t="s">
        <v>977</v>
      </c>
      <c r="F2411" s="549" t="s">
        <v>1212</v>
      </c>
      <c r="G2411" s="549">
        <v>2622</v>
      </c>
      <c r="H2411" s="549" t="s">
        <v>729</v>
      </c>
      <c r="I2411" s="549" t="s">
        <v>976</v>
      </c>
      <c r="J2411" s="549" t="s">
        <v>976</v>
      </c>
      <c r="K2411" s="549" t="s">
        <v>976</v>
      </c>
      <c r="L2411" s="549">
        <v>73527.31</v>
      </c>
      <c r="M2411" s="549">
        <v>5551.31</v>
      </c>
      <c r="N2411" s="549">
        <v>1624.95</v>
      </c>
      <c r="O2411" s="549">
        <v>892.8</v>
      </c>
      <c r="P2411" s="549">
        <v>100</v>
      </c>
      <c r="Q2411" s="549">
        <v>8069.06</v>
      </c>
    </row>
    <row r="2412" spans="1:17" x14ac:dyDescent="0.25">
      <c r="A2412" s="549" t="s">
        <v>1071</v>
      </c>
      <c r="B2412" s="549" t="s">
        <v>1072</v>
      </c>
      <c r="C2412" s="549" t="s">
        <v>729</v>
      </c>
      <c r="D2412" s="549" t="s">
        <v>730</v>
      </c>
      <c r="E2412" s="549" t="s">
        <v>977</v>
      </c>
      <c r="F2412" s="549" t="s">
        <v>1212</v>
      </c>
      <c r="G2412" s="549">
        <v>2632</v>
      </c>
      <c r="H2412" s="549" t="s">
        <v>729</v>
      </c>
      <c r="I2412" s="549" t="s">
        <v>976</v>
      </c>
      <c r="J2412" s="549" t="s">
        <v>976</v>
      </c>
      <c r="K2412" s="549" t="s">
        <v>976</v>
      </c>
      <c r="L2412" s="549">
        <v>77761.23</v>
      </c>
      <c r="M2412" s="549">
        <v>5870.97</v>
      </c>
      <c r="N2412" s="549">
        <v>1718.52</v>
      </c>
      <c r="O2412" s="549">
        <v>992</v>
      </c>
      <c r="P2412" s="549">
        <v>100</v>
      </c>
      <c r="Q2412" s="549">
        <v>8581.49</v>
      </c>
    </row>
    <row r="2413" spans="1:17" x14ac:dyDescent="0.25">
      <c r="A2413" s="549" t="s">
        <v>1071</v>
      </c>
      <c r="B2413" s="549" t="s">
        <v>1072</v>
      </c>
      <c r="C2413" s="549" t="s">
        <v>729</v>
      </c>
      <c r="D2413" s="549" t="s">
        <v>730</v>
      </c>
      <c r="E2413" s="549" t="s">
        <v>977</v>
      </c>
      <c r="F2413" s="549" t="s">
        <v>1212</v>
      </c>
      <c r="G2413" s="549">
        <v>2642</v>
      </c>
      <c r="H2413" s="549" t="s">
        <v>729</v>
      </c>
      <c r="I2413" s="549" t="s">
        <v>976</v>
      </c>
      <c r="J2413" s="549" t="s">
        <v>976</v>
      </c>
      <c r="K2413" s="549" t="s">
        <v>976</v>
      </c>
      <c r="L2413" s="549">
        <v>73527.31</v>
      </c>
      <c r="M2413" s="549">
        <v>5551.31</v>
      </c>
      <c r="N2413" s="549">
        <v>1624.95</v>
      </c>
      <c r="O2413" s="549">
        <v>892.8</v>
      </c>
      <c r="P2413" s="549">
        <v>100</v>
      </c>
      <c r="Q2413" s="549">
        <v>8069.06</v>
      </c>
    </row>
    <row r="2414" spans="1:17" x14ac:dyDescent="0.25">
      <c r="A2414" s="549" t="s">
        <v>1071</v>
      </c>
      <c r="B2414" s="549" t="s">
        <v>1072</v>
      </c>
      <c r="C2414" s="549" t="s">
        <v>729</v>
      </c>
      <c r="D2414" s="549" t="s">
        <v>730</v>
      </c>
      <c r="E2414" s="549" t="s">
        <v>977</v>
      </c>
      <c r="F2414" s="549" t="s">
        <v>1212</v>
      </c>
      <c r="G2414" s="549">
        <v>2652</v>
      </c>
      <c r="H2414" s="549" t="s">
        <v>729</v>
      </c>
      <c r="I2414" s="549" t="s">
        <v>976</v>
      </c>
      <c r="J2414" s="549" t="s">
        <v>976</v>
      </c>
      <c r="K2414" s="549" t="s">
        <v>976</v>
      </c>
      <c r="L2414" s="549">
        <v>73527.31</v>
      </c>
      <c r="M2414" s="549">
        <v>5551.31</v>
      </c>
      <c r="N2414" s="549">
        <v>1624.95</v>
      </c>
      <c r="O2414" s="549">
        <v>892.8</v>
      </c>
      <c r="P2414" s="549">
        <v>100</v>
      </c>
      <c r="Q2414" s="549">
        <v>8069.06</v>
      </c>
    </row>
    <row r="2415" spans="1:17" x14ac:dyDescent="0.25">
      <c r="A2415" s="549" t="s">
        <v>1071</v>
      </c>
      <c r="B2415" s="549" t="s">
        <v>1072</v>
      </c>
      <c r="C2415" s="549" t="s">
        <v>729</v>
      </c>
      <c r="D2415" s="549" t="s">
        <v>730</v>
      </c>
      <c r="E2415" s="549" t="s">
        <v>977</v>
      </c>
      <c r="F2415" s="549" t="s">
        <v>1212</v>
      </c>
      <c r="G2415" s="549">
        <v>2662</v>
      </c>
      <c r="H2415" s="549" t="s">
        <v>729</v>
      </c>
      <c r="I2415" s="549" t="s">
        <v>976</v>
      </c>
      <c r="J2415" s="549" t="s">
        <v>976</v>
      </c>
      <c r="K2415" s="549" t="s">
        <v>976</v>
      </c>
      <c r="L2415" s="549">
        <v>77761.23</v>
      </c>
      <c r="M2415" s="549">
        <v>5870.97</v>
      </c>
      <c r="N2415" s="549">
        <v>1718.52</v>
      </c>
      <c r="O2415" s="549">
        <v>992</v>
      </c>
      <c r="P2415" s="549">
        <v>100</v>
      </c>
      <c r="Q2415" s="549">
        <v>8581.49</v>
      </c>
    </row>
    <row r="2416" spans="1:17" x14ac:dyDescent="0.25">
      <c r="A2416" s="549" t="s">
        <v>1071</v>
      </c>
      <c r="B2416" s="549" t="s">
        <v>1072</v>
      </c>
      <c r="C2416" s="549" t="s">
        <v>729</v>
      </c>
      <c r="D2416" s="549" t="s">
        <v>730</v>
      </c>
      <c r="E2416" s="549" t="s">
        <v>977</v>
      </c>
      <c r="F2416" s="549" t="s">
        <v>1212</v>
      </c>
      <c r="G2416" s="549">
        <v>2672</v>
      </c>
      <c r="H2416" s="549" t="s">
        <v>729</v>
      </c>
      <c r="I2416" s="549" t="s">
        <v>976</v>
      </c>
      <c r="J2416" s="549" t="s">
        <v>976</v>
      </c>
      <c r="K2416" s="549" t="s">
        <v>976</v>
      </c>
      <c r="L2416" s="549">
        <v>73527.31</v>
      </c>
      <c r="M2416" s="549">
        <v>5551.31</v>
      </c>
      <c r="N2416" s="549">
        <v>1624.95</v>
      </c>
      <c r="O2416" s="549">
        <v>892.8</v>
      </c>
      <c r="P2416" s="549">
        <v>100</v>
      </c>
      <c r="Q2416" s="549">
        <v>8069.06</v>
      </c>
    </row>
    <row r="2417" spans="1:17" x14ac:dyDescent="0.25">
      <c r="A2417" s="549" t="s">
        <v>1071</v>
      </c>
      <c r="B2417" s="549" t="s">
        <v>1072</v>
      </c>
      <c r="C2417" s="549" t="s">
        <v>729</v>
      </c>
      <c r="D2417" s="549" t="s">
        <v>730</v>
      </c>
      <c r="E2417" s="549" t="s">
        <v>977</v>
      </c>
      <c r="F2417" s="549" t="s">
        <v>1212</v>
      </c>
      <c r="G2417" s="549">
        <v>2682</v>
      </c>
      <c r="H2417" s="549" t="s">
        <v>729</v>
      </c>
      <c r="I2417" s="549" t="s">
        <v>976</v>
      </c>
      <c r="J2417" s="549" t="s">
        <v>976</v>
      </c>
      <c r="K2417" s="549" t="s">
        <v>976</v>
      </c>
      <c r="L2417" s="549">
        <v>73527.31</v>
      </c>
      <c r="M2417" s="549">
        <v>5551.31</v>
      </c>
      <c r="N2417" s="549">
        <v>1624.95</v>
      </c>
      <c r="O2417" s="549">
        <v>892.8</v>
      </c>
      <c r="P2417" s="549">
        <v>100</v>
      </c>
      <c r="Q2417" s="549">
        <v>8069.06</v>
      </c>
    </row>
    <row r="2418" spans="1:17" x14ac:dyDescent="0.25">
      <c r="A2418" s="549" t="s">
        <v>1071</v>
      </c>
      <c r="B2418" s="549" t="s">
        <v>1072</v>
      </c>
      <c r="C2418" s="549" t="s">
        <v>729</v>
      </c>
      <c r="D2418" s="549" t="s">
        <v>730</v>
      </c>
      <c r="E2418" s="549" t="s">
        <v>977</v>
      </c>
      <c r="F2418" s="549" t="s">
        <v>1212</v>
      </c>
      <c r="G2418" s="549">
        <v>2698</v>
      </c>
      <c r="H2418" s="549" t="s">
        <v>729</v>
      </c>
      <c r="I2418" s="549" t="s">
        <v>976</v>
      </c>
      <c r="J2418" s="549" t="s">
        <v>976</v>
      </c>
      <c r="K2418" s="549" t="s">
        <v>976</v>
      </c>
      <c r="L2418" s="549">
        <v>114067.1</v>
      </c>
      <c r="M2418" s="549">
        <v>8612.07</v>
      </c>
      <c r="N2418" s="549">
        <v>2520.88</v>
      </c>
      <c r="O2418" s="549">
        <v>992</v>
      </c>
      <c r="P2418" s="549">
        <v>100</v>
      </c>
      <c r="Q2418" s="549">
        <v>12124.95</v>
      </c>
    </row>
    <row r="2419" spans="1:17" x14ac:dyDescent="0.25">
      <c r="A2419" s="549" t="s">
        <v>1071</v>
      </c>
      <c r="B2419" s="549" t="s">
        <v>1072</v>
      </c>
      <c r="C2419" s="549" t="s">
        <v>729</v>
      </c>
      <c r="D2419" s="549" t="s">
        <v>730</v>
      </c>
      <c r="E2419" s="549" t="s">
        <v>977</v>
      </c>
      <c r="F2419" s="549" t="s">
        <v>1212</v>
      </c>
      <c r="G2419" s="549">
        <v>2712</v>
      </c>
      <c r="H2419" s="549" t="s">
        <v>729</v>
      </c>
      <c r="I2419" s="549" t="s">
        <v>976</v>
      </c>
      <c r="J2419" s="549" t="s">
        <v>976</v>
      </c>
      <c r="K2419" s="549" t="s">
        <v>976</v>
      </c>
      <c r="L2419" s="549">
        <v>73527.31</v>
      </c>
      <c r="M2419" s="549">
        <v>5551.31</v>
      </c>
      <c r="N2419" s="549">
        <v>1624.95</v>
      </c>
      <c r="O2419" s="549">
        <v>892.8</v>
      </c>
      <c r="P2419" s="549">
        <v>100</v>
      </c>
      <c r="Q2419" s="549">
        <v>8069.06</v>
      </c>
    </row>
    <row r="2420" spans="1:17" x14ac:dyDescent="0.25">
      <c r="A2420" s="549" t="s">
        <v>1071</v>
      </c>
      <c r="B2420" s="549" t="s">
        <v>1072</v>
      </c>
      <c r="C2420" s="549" t="s">
        <v>729</v>
      </c>
      <c r="D2420" s="549" t="s">
        <v>730</v>
      </c>
      <c r="E2420" s="549" t="s">
        <v>977</v>
      </c>
      <c r="F2420" s="549" t="s">
        <v>1212</v>
      </c>
      <c r="G2420" s="549">
        <v>2722</v>
      </c>
      <c r="H2420" s="549" t="s">
        <v>729</v>
      </c>
      <c r="I2420" s="549" t="s">
        <v>976</v>
      </c>
      <c r="J2420" s="549" t="s">
        <v>976</v>
      </c>
      <c r="K2420" s="549" t="s">
        <v>976</v>
      </c>
      <c r="L2420" s="549">
        <v>73527.31</v>
      </c>
      <c r="M2420" s="549">
        <v>5551.31</v>
      </c>
      <c r="N2420" s="549">
        <v>1624.95</v>
      </c>
      <c r="O2420" s="549">
        <v>892.8</v>
      </c>
      <c r="P2420" s="549">
        <v>100</v>
      </c>
      <c r="Q2420" s="549">
        <v>8069.06</v>
      </c>
    </row>
    <row r="2421" spans="1:17" x14ac:dyDescent="0.25">
      <c r="A2421" s="549" t="s">
        <v>1071</v>
      </c>
      <c r="B2421" s="549" t="s">
        <v>1072</v>
      </c>
      <c r="C2421" s="549" t="s">
        <v>729</v>
      </c>
      <c r="D2421" s="549" t="s">
        <v>730</v>
      </c>
      <c r="E2421" s="549" t="s">
        <v>977</v>
      </c>
      <c r="F2421" s="549" t="s">
        <v>1212</v>
      </c>
      <c r="G2421" s="549">
        <v>2732</v>
      </c>
      <c r="H2421" s="549" t="s">
        <v>729</v>
      </c>
      <c r="I2421" s="549" t="s">
        <v>976</v>
      </c>
      <c r="J2421" s="549" t="s">
        <v>976</v>
      </c>
      <c r="K2421" s="549" t="s">
        <v>976</v>
      </c>
      <c r="L2421" s="549">
        <v>77761.23</v>
      </c>
      <c r="M2421" s="549">
        <v>5870.97</v>
      </c>
      <c r="N2421" s="549">
        <v>1718.52</v>
      </c>
      <c r="O2421" s="549">
        <v>992</v>
      </c>
      <c r="P2421" s="549">
        <v>100</v>
      </c>
      <c r="Q2421" s="549">
        <v>8581.49</v>
      </c>
    </row>
    <row r="2422" spans="1:17" x14ac:dyDescent="0.25">
      <c r="A2422" s="549" t="s">
        <v>1071</v>
      </c>
      <c r="B2422" s="549" t="s">
        <v>1072</v>
      </c>
      <c r="C2422" s="549" t="s">
        <v>729</v>
      </c>
      <c r="D2422" s="549" t="s">
        <v>730</v>
      </c>
      <c r="E2422" s="549" t="s">
        <v>977</v>
      </c>
      <c r="F2422" s="549" t="s">
        <v>1212</v>
      </c>
      <c r="G2422" s="549">
        <v>2742</v>
      </c>
      <c r="H2422" s="549" t="s">
        <v>729</v>
      </c>
      <c r="I2422" s="549" t="s">
        <v>976</v>
      </c>
      <c r="J2422" s="549" t="s">
        <v>976</v>
      </c>
      <c r="K2422" s="549" t="s">
        <v>976</v>
      </c>
      <c r="L2422" s="549">
        <v>73527.31</v>
      </c>
      <c r="M2422" s="549">
        <v>5551.31</v>
      </c>
      <c r="N2422" s="549">
        <v>1624.95</v>
      </c>
      <c r="O2422" s="549">
        <v>892.8</v>
      </c>
      <c r="P2422" s="549">
        <v>100</v>
      </c>
      <c r="Q2422" s="549">
        <v>8069.06</v>
      </c>
    </row>
    <row r="2423" spans="1:17" x14ac:dyDescent="0.25">
      <c r="A2423" s="549" t="s">
        <v>1071</v>
      </c>
      <c r="B2423" s="549" t="s">
        <v>1072</v>
      </c>
      <c r="C2423" s="549" t="s">
        <v>729</v>
      </c>
      <c r="D2423" s="549" t="s">
        <v>730</v>
      </c>
      <c r="E2423" s="549" t="s">
        <v>977</v>
      </c>
      <c r="F2423" s="549" t="s">
        <v>1212</v>
      </c>
      <c r="G2423" s="549">
        <v>2752</v>
      </c>
      <c r="H2423" s="549" t="s">
        <v>729</v>
      </c>
      <c r="I2423" s="549" t="s">
        <v>976</v>
      </c>
      <c r="J2423" s="549" t="s">
        <v>976</v>
      </c>
      <c r="K2423" s="549" t="s">
        <v>976</v>
      </c>
      <c r="L2423" s="549">
        <v>73527.31</v>
      </c>
      <c r="M2423" s="549">
        <v>5551.31</v>
      </c>
      <c r="N2423" s="549">
        <v>1624.95</v>
      </c>
      <c r="O2423" s="549">
        <v>892.8</v>
      </c>
      <c r="P2423" s="549">
        <v>100</v>
      </c>
      <c r="Q2423" s="549">
        <v>8069.06</v>
      </c>
    </row>
    <row r="2424" spans="1:17" x14ac:dyDescent="0.25">
      <c r="A2424" s="549" t="s">
        <v>1071</v>
      </c>
      <c r="B2424" s="549" t="s">
        <v>1072</v>
      </c>
      <c r="C2424" s="549" t="s">
        <v>729</v>
      </c>
      <c r="D2424" s="549" t="s">
        <v>730</v>
      </c>
      <c r="E2424" s="549" t="s">
        <v>977</v>
      </c>
      <c r="F2424" s="549" t="s">
        <v>1212</v>
      </c>
      <c r="G2424" s="549">
        <v>2762</v>
      </c>
      <c r="H2424" s="549" t="s">
        <v>729</v>
      </c>
      <c r="I2424" s="549" t="s">
        <v>976</v>
      </c>
      <c r="J2424" s="549" t="s">
        <v>976</v>
      </c>
      <c r="K2424" s="549" t="s">
        <v>976</v>
      </c>
      <c r="L2424" s="549">
        <v>73527.31</v>
      </c>
      <c r="M2424" s="549">
        <v>5551.31</v>
      </c>
      <c r="N2424" s="549">
        <v>1624.95</v>
      </c>
      <c r="O2424" s="549">
        <v>892.8</v>
      </c>
      <c r="P2424" s="549">
        <v>100</v>
      </c>
      <c r="Q2424" s="549">
        <v>8069.06</v>
      </c>
    </row>
    <row r="2425" spans="1:17" x14ac:dyDescent="0.25">
      <c r="A2425" s="549" t="s">
        <v>1071</v>
      </c>
      <c r="B2425" s="549" t="s">
        <v>1072</v>
      </c>
      <c r="C2425" s="549" t="s">
        <v>729</v>
      </c>
      <c r="D2425" s="549" t="s">
        <v>730</v>
      </c>
      <c r="E2425" s="549" t="s">
        <v>977</v>
      </c>
      <c r="F2425" s="549" t="s">
        <v>1212</v>
      </c>
      <c r="G2425" s="549">
        <v>2772</v>
      </c>
      <c r="H2425" s="549" t="s">
        <v>729</v>
      </c>
      <c r="I2425" s="549" t="s">
        <v>976</v>
      </c>
      <c r="J2425" s="549" t="s">
        <v>976</v>
      </c>
      <c r="K2425" s="549" t="s">
        <v>976</v>
      </c>
      <c r="L2425" s="549">
        <v>73527.31</v>
      </c>
      <c r="M2425" s="549">
        <v>5551.31</v>
      </c>
      <c r="N2425" s="549">
        <v>1624.95</v>
      </c>
      <c r="O2425" s="549">
        <v>892.8</v>
      </c>
      <c r="P2425" s="549">
        <v>100</v>
      </c>
      <c r="Q2425" s="549">
        <v>8069.06</v>
      </c>
    </row>
    <row r="2426" spans="1:17" x14ac:dyDescent="0.25">
      <c r="A2426" s="549" t="s">
        <v>1071</v>
      </c>
      <c r="B2426" s="549" t="s">
        <v>1072</v>
      </c>
      <c r="C2426" s="549" t="s">
        <v>729</v>
      </c>
      <c r="D2426" s="549" t="s">
        <v>730</v>
      </c>
      <c r="E2426" s="549" t="s">
        <v>977</v>
      </c>
      <c r="F2426" s="549" t="s">
        <v>1212</v>
      </c>
      <c r="G2426" s="549">
        <v>2782</v>
      </c>
      <c r="H2426" s="549" t="s">
        <v>729</v>
      </c>
      <c r="I2426" s="549" t="s">
        <v>976</v>
      </c>
      <c r="J2426" s="549" t="s">
        <v>976</v>
      </c>
      <c r="K2426" s="549" t="s">
        <v>976</v>
      </c>
      <c r="L2426" s="549">
        <v>73527.31</v>
      </c>
      <c r="M2426" s="549">
        <v>5551.31</v>
      </c>
      <c r="N2426" s="549">
        <v>1624.95</v>
      </c>
      <c r="O2426" s="549">
        <v>892.8</v>
      </c>
      <c r="P2426" s="549">
        <v>100</v>
      </c>
      <c r="Q2426" s="549">
        <v>8069.06</v>
      </c>
    </row>
    <row r="2427" spans="1:17" x14ac:dyDescent="0.25">
      <c r="A2427" s="549" t="s">
        <v>1071</v>
      </c>
      <c r="B2427" s="549" t="s">
        <v>1072</v>
      </c>
      <c r="C2427" s="549" t="s">
        <v>729</v>
      </c>
      <c r="D2427" s="549" t="s">
        <v>730</v>
      </c>
      <c r="E2427" s="549" t="s">
        <v>977</v>
      </c>
      <c r="F2427" s="549" t="s">
        <v>1212</v>
      </c>
      <c r="G2427" s="549">
        <v>2792</v>
      </c>
      <c r="H2427" s="549" t="s">
        <v>729</v>
      </c>
      <c r="I2427" s="549" t="s">
        <v>976</v>
      </c>
      <c r="J2427" s="549" t="s">
        <v>976</v>
      </c>
      <c r="K2427" s="549" t="s">
        <v>976</v>
      </c>
      <c r="L2427" s="549">
        <v>73527.31</v>
      </c>
      <c r="M2427" s="549">
        <v>5551.31</v>
      </c>
      <c r="N2427" s="549">
        <v>1624.95</v>
      </c>
      <c r="O2427" s="549">
        <v>892.8</v>
      </c>
      <c r="P2427" s="549">
        <v>100</v>
      </c>
      <c r="Q2427" s="549">
        <v>8069.06</v>
      </c>
    </row>
    <row r="2428" spans="1:17" x14ac:dyDescent="0.25">
      <c r="A2428" s="549" t="s">
        <v>1071</v>
      </c>
      <c r="B2428" s="549" t="s">
        <v>1072</v>
      </c>
      <c r="C2428" s="549" t="s">
        <v>729</v>
      </c>
      <c r="D2428" s="549" t="s">
        <v>730</v>
      </c>
      <c r="E2428" s="549" t="s">
        <v>977</v>
      </c>
      <c r="F2428" s="549" t="s">
        <v>1212</v>
      </c>
      <c r="G2428" s="549">
        <v>2802</v>
      </c>
      <c r="H2428" s="549" t="s">
        <v>729</v>
      </c>
      <c r="I2428" s="549" t="s">
        <v>976</v>
      </c>
      <c r="J2428" s="549" t="s">
        <v>976</v>
      </c>
      <c r="K2428" s="549" t="s">
        <v>976</v>
      </c>
      <c r="L2428" s="549">
        <v>73527.31</v>
      </c>
      <c r="M2428" s="549">
        <v>5551.31</v>
      </c>
      <c r="N2428" s="549">
        <v>1624.95</v>
      </c>
      <c r="O2428" s="549">
        <v>892.8</v>
      </c>
      <c r="P2428" s="549">
        <v>100</v>
      </c>
      <c r="Q2428" s="549">
        <v>8069.06</v>
      </c>
    </row>
    <row r="2429" spans="1:17" x14ac:dyDescent="0.25">
      <c r="A2429" s="549" t="s">
        <v>1091</v>
      </c>
      <c r="B2429" s="549" t="s">
        <v>1092</v>
      </c>
      <c r="C2429" s="549" t="s">
        <v>855</v>
      </c>
      <c r="D2429" s="549" t="s">
        <v>856</v>
      </c>
      <c r="E2429" s="549" t="s">
        <v>973</v>
      </c>
      <c r="F2429" s="549" t="s">
        <v>1212</v>
      </c>
      <c r="G2429" s="549" t="s">
        <v>1228</v>
      </c>
      <c r="H2429" s="549" t="s">
        <v>855</v>
      </c>
      <c r="I2429" s="549" t="s">
        <v>976</v>
      </c>
      <c r="J2429" s="549" t="s">
        <v>976</v>
      </c>
      <c r="K2429" s="549" t="s">
        <v>976</v>
      </c>
      <c r="L2429" s="549">
        <v>31102.38</v>
      </c>
      <c r="M2429" s="549">
        <v>2348.23</v>
      </c>
      <c r="N2429" s="549">
        <v>1785.28</v>
      </c>
      <c r="O2429" s="549">
        <v>0</v>
      </c>
      <c r="P2429" s="549">
        <v>0</v>
      </c>
      <c r="Q2429" s="549">
        <v>0</v>
      </c>
    </row>
    <row r="2430" spans="1:17" x14ac:dyDescent="0.25">
      <c r="A2430" s="549" t="s">
        <v>1071</v>
      </c>
      <c r="B2430" s="549" t="s">
        <v>1072</v>
      </c>
      <c r="C2430" s="549" t="s">
        <v>729</v>
      </c>
      <c r="D2430" s="549" t="s">
        <v>730</v>
      </c>
      <c r="E2430" s="549" t="s">
        <v>977</v>
      </c>
      <c r="F2430" s="549" t="s">
        <v>1212</v>
      </c>
      <c r="G2430" s="549" t="s">
        <v>1398</v>
      </c>
      <c r="H2430" s="549" t="s">
        <v>729</v>
      </c>
      <c r="I2430" s="549" t="s">
        <v>976</v>
      </c>
      <c r="J2430" s="549" t="s">
        <v>976</v>
      </c>
      <c r="K2430" s="549" t="s">
        <v>976</v>
      </c>
      <c r="L2430" s="549">
        <v>35964.5</v>
      </c>
      <c r="M2430" s="549">
        <v>2715.32</v>
      </c>
      <c r="N2430" s="549">
        <v>794.82</v>
      </c>
      <c r="O2430" s="549">
        <v>1984</v>
      </c>
      <c r="P2430" s="549">
        <v>100</v>
      </c>
      <c r="Q2430" s="549">
        <v>5494.14</v>
      </c>
    </row>
    <row r="2431" spans="1:17" x14ac:dyDescent="0.25">
      <c r="A2431" s="549" t="s">
        <v>1071</v>
      </c>
      <c r="B2431" s="549" t="s">
        <v>1072</v>
      </c>
      <c r="C2431" s="549" t="s">
        <v>729</v>
      </c>
      <c r="D2431" s="549" t="s">
        <v>730</v>
      </c>
      <c r="E2431" s="549" t="s">
        <v>977</v>
      </c>
      <c r="F2431" s="549" t="s">
        <v>1212</v>
      </c>
      <c r="G2431" s="549" t="s">
        <v>1399</v>
      </c>
      <c r="H2431" s="549" t="s">
        <v>729</v>
      </c>
      <c r="I2431" s="549" t="s">
        <v>976</v>
      </c>
      <c r="J2431" s="549" t="s">
        <v>976</v>
      </c>
      <c r="K2431" s="549" t="s">
        <v>976</v>
      </c>
      <c r="L2431" s="549">
        <v>56448.04</v>
      </c>
      <c r="M2431" s="549">
        <v>4261.83</v>
      </c>
      <c r="N2431" s="549">
        <v>1247.5</v>
      </c>
      <c r="O2431" s="549">
        <v>1984</v>
      </c>
      <c r="P2431" s="549">
        <v>100</v>
      </c>
      <c r="Q2431" s="549">
        <v>7493.33</v>
      </c>
    </row>
    <row r="2432" spans="1:17" x14ac:dyDescent="0.25">
      <c r="A2432" s="549" t="s">
        <v>1071</v>
      </c>
      <c r="B2432" s="549" t="s">
        <v>1072</v>
      </c>
      <c r="C2432" s="549" t="s">
        <v>729</v>
      </c>
      <c r="D2432" s="549" t="s">
        <v>730</v>
      </c>
      <c r="E2432" s="549" t="s">
        <v>977</v>
      </c>
      <c r="F2432" s="549" t="s">
        <v>1212</v>
      </c>
      <c r="G2432" s="549" t="s">
        <v>1400</v>
      </c>
      <c r="H2432" s="549" t="s">
        <v>729</v>
      </c>
      <c r="I2432" s="549" t="s">
        <v>976</v>
      </c>
      <c r="J2432" s="549" t="s">
        <v>976</v>
      </c>
      <c r="K2432" s="549" t="s">
        <v>976</v>
      </c>
      <c r="L2432" s="549">
        <v>56448.04</v>
      </c>
      <c r="M2432" s="549">
        <v>4261.83</v>
      </c>
      <c r="N2432" s="549">
        <v>1247.5</v>
      </c>
      <c r="O2432" s="549">
        <v>1984</v>
      </c>
      <c r="P2432" s="549">
        <v>100</v>
      </c>
      <c r="Q2432" s="549">
        <v>7493.33</v>
      </c>
    </row>
    <row r="2433" spans="1:17" x14ac:dyDescent="0.25">
      <c r="A2433" s="549" t="s">
        <v>1071</v>
      </c>
      <c r="B2433" s="549" t="s">
        <v>1072</v>
      </c>
      <c r="C2433" s="549" t="s">
        <v>729</v>
      </c>
      <c r="D2433" s="549" t="s">
        <v>730</v>
      </c>
      <c r="E2433" s="549" t="s">
        <v>977</v>
      </c>
      <c r="F2433" s="549" t="s">
        <v>1212</v>
      </c>
      <c r="G2433" s="549" t="s">
        <v>1358</v>
      </c>
      <c r="H2433" s="549" t="s">
        <v>729</v>
      </c>
      <c r="I2433" s="549" t="s">
        <v>976</v>
      </c>
      <c r="J2433" s="549" t="s">
        <v>976</v>
      </c>
      <c r="K2433" s="549" t="s">
        <v>976</v>
      </c>
      <c r="L2433" s="549">
        <v>31102.38</v>
      </c>
      <c r="M2433" s="549">
        <v>2348.23</v>
      </c>
      <c r="N2433" s="549">
        <v>687.36</v>
      </c>
      <c r="O2433" s="549">
        <v>0</v>
      </c>
      <c r="P2433" s="549">
        <v>100</v>
      </c>
      <c r="Q2433" s="549">
        <v>3035.59</v>
      </c>
    </row>
    <row r="2434" spans="1:17" x14ac:dyDescent="0.25">
      <c r="A2434" s="549" t="s">
        <v>1071</v>
      </c>
      <c r="B2434" s="549" t="s">
        <v>1072</v>
      </c>
      <c r="C2434" s="549" t="s">
        <v>729</v>
      </c>
      <c r="D2434" s="549" t="s">
        <v>730</v>
      </c>
      <c r="E2434" s="549" t="s">
        <v>977</v>
      </c>
      <c r="F2434" s="549" t="s">
        <v>1212</v>
      </c>
      <c r="G2434" s="549" t="s">
        <v>1270</v>
      </c>
      <c r="H2434" s="549" t="s">
        <v>729</v>
      </c>
      <c r="I2434" s="549" t="s">
        <v>976</v>
      </c>
      <c r="J2434" s="549" t="s">
        <v>976</v>
      </c>
      <c r="K2434" s="549" t="s">
        <v>976</v>
      </c>
      <c r="L2434" s="549">
        <v>31102.38</v>
      </c>
      <c r="M2434" s="549">
        <v>2348.23</v>
      </c>
      <c r="N2434" s="549">
        <v>687.36</v>
      </c>
      <c r="O2434" s="549">
        <v>0</v>
      </c>
      <c r="P2434" s="549">
        <v>100</v>
      </c>
      <c r="Q2434" s="549">
        <v>3035.59</v>
      </c>
    </row>
    <row r="2435" spans="1:17" x14ac:dyDescent="0.25">
      <c r="A2435" s="549" t="s">
        <v>1071</v>
      </c>
      <c r="B2435" s="549" t="s">
        <v>1072</v>
      </c>
      <c r="C2435" s="549" t="s">
        <v>729</v>
      </c>
      <c r="D2435" s="549" t="s">
        <v>730</v>
      </c>
      <c r="E2435" s="549" t="s">
        <v>977</v>
      </c>
      <c r="F2435" s="549" t="s">
        <v>1212</v>
      </c>
      <c r="G2435" s="549" t="s">
        <v>1401</v>
      </c>
      <c r="H2435" s="549" t="s">
        <v>729</v>
      </c>
      <c r="I2435" s="549" t="s">
        <v>976</v>
      </c>
      <c r="J2435" s="549" t="s">
        <v>976</v>
      </c>
      <c r="K2435" s="549" t="s">
        <v>976</v>
      </c>
      <c r="L2435" s="549">
        <v>31102.38</v>
      </c>
      <c r="M2435" s="549">
        <v>2348.23</v>
      </c>
      <c r="N2435" s="549">
        <v>687.36</v>
      </c>
      <c r="O2435" s="549">
        <v>0</v>
      </c>
      <c r="P2435" s="549">
        <v>100</v>
      </c>
      <c r="Q2435" s="549">
        <v>3035.59</v>
      </c>
    </row>
    <row r="2436" spans="1:17" x14ac:dyDescent="0.25">
      <c r="A2436" s="549" t="s">
        <v>1071</v>
      </c>
      <c r="B2436" s="549" t="s">
        <v>1072</v>
      </c>
      <c r="C2436" s="549" t="s">
        <v>729</v>
      </c>
      <c r="D2436" s="549" t="s">
        <v>730</v>
      </c>
      <c r="E2436" s="549" t="s">
        <v>977</v>
      </c>
      <c r="F2436" s="549" t="s">
        <v>1212</v>
      </c>
      <c r="G2436" s="549" t="s">
        <v>1402</v>
      </c>
      <c r="H2436" s="549" t="s">
        <v>729</v>
      </c>
      <c r="I2436" s="549" t="s">
        <v>976</v>
      </c>
      <c r="J2436" s="549" t="s">
        <v>976</v>
      </c>
      <c r="K2436" s="549" t="s">
        <v>976</v>
      </c>
      <c r="L2436" s="549">
        <v>44913.42</v>
      </c>
      <c r="M2436" s="549">
        <v>3390.96</v>
      </c>
      <c r="N2436" s="549">
        <v>992.59</v>
      </c>
      <c r="O2436" s="549">
        <v>0</v>
      </c>
      <c r="P2436" s="549">
        <v>100</v>
      </c>
      <c r="Q2436" s="549">
        <v>4383.55</v>
      </c>
    </row>
    <row r="2437" spans="1:17" x14ac:dyDescent="0.25">
      <c r="A2437" s="549" t="s">
        <v>1071</v>
      </c>
      <c r="B2437" s="549" t="s">
        <v>1072</v>
      </c>
      <c r="C2437" s="549" t="s">
        <v>729</v>
      </c>
      <c r="D2437" s="549" t="s">
        <v>730</v>
      </c>
      <c r="E2437" s="549" t="s">
        <v>977</v>
      </c>
      <c r="F2437" s="549" t="s">
        <v>1212</v>
      </c>
      <c r="G2437" s="549" t="s">
        <v>1403</v>
      </c>
      <c r="H2437" s="549" t="s">
        <v>729</v>
      </c>
      <c r="I2437" s="549" t="s">
        <v>976</v>
      </c>
      <c r="J2437" s="549" t="s">
        <v>976</v>
      </c>
      <c r="K2437" s="549" t="s">
        <v>976</v>
      </c>
      <c r="L2437" s="549">
        <v>44913.42</v>
      </c>
      <c r="M2437" s="549">
        <v>3390.96</v>
      </c>
      <c r="N2437" s="549">
        <v>992.59</v>
      </c>
      <c r="O2437" s="549">
        <v>0</v>
      </c>
      <c r="P2437" s="549">
        <v>100</v>
      </c>
      <c r="Q2437" s="549">
        <v>4383.55</v>
      </c>
    </row>
    <row r="2438" spans="1:17" x14ac:dyDescent="0.25">
      <c r="A2438" s="549" t="s">
        <v>1071</v>
      </c>
      <c r="B2438" s="549" t="s">
        <v>1072</v>
      </c>
      <c r="C2438" s="549" t="s">
        <v>729</v>
      </c>
      <c r="D2438" s="549" t="s">
        <v>730</v>
      </c>
      <c r="E2438" s="549" t="s">
        <v>977</v>
      </c>
      <c r="F2438" s="549" t="s">
        <v>1212</v>
      </c>
      <c r="G2438" s="549" t="s">
        <v>1249</v>
      </c>
      <c r="H2438" s="549" t="s">
        <v>729</v>
      </c>
      <c r="I2438" s="549" t="s">
        <v>976</v>
      </c>
      <c r="J2438" s="549" t="s">
        <v>976</v>
      </c>
      <c r="K2438" s="549" t="s">
        <v>976</v>
      </c>
      <c r="L2438" s="549">
        <v>41233.089999999997</v>
      </c>
      <c r="M2438" s="549">
        <v>3113.1</v>
      </c>
      <c r="N2438" s="549">
        <v>911.25</v>
      </c>
      <c r="O2438" s="549">
        <v>0</v>
      </c>
      <c r="P2438" s="549">
        <v>100</v>
      </c>
      <c r="Q2438" s="549">
        <v>4024.35</v>
      </c>
    </row>
    <row r="2439" spans="1:17" x14ac:dyDescent="0.25">
      <c r="A2439" s="549" t="s">
        <v>1071</v>
      </c>
      <c r="B2439" s="549" t="s">
        <v>1072</v>
      </c>
      <c r="C2439" s="549" t="s">
        <v>729</v>
      </c>
      <c r="D2439" s="549" t="s">
        <v>730</v>
      </c>
      <c r="E2439" s="549" t="s">
        <v>977</v>
      </c>
      <c r="F2439" s="549" t="s">
        <v>1212</v>
      </c>
      <c r="G2439" s="549" t="s">
        <v>1250</v>
      </c>
      <c r="H2439" s="549" t="s">
        <v>729</v>
      </c>
      <c r="I2439" s="549" t="s">
        <v>976</v>
      </c>
      <c r="J2439" s="549" t="s">
        <v>976</v>
      </c>
      <c r="K2439" s="549" t="s">
        <v>976</v>
      </c>
      <c r="L2439" s="549">
        <v>41233.089999999997</v>
      </c>
      <c r="M2439" s="549">
        <v>3113.1</v>
      </c>
      <c r="N2439" s="549">
        <v>911.25</v>
      </c>
      <c r="O2439" s="549">
        <v>0</v>
      </c>
      <c r="P2439" s="549">
        <v>100</v>
      </c>
      <c r="Q2439" s="549">
        <v>4024.35</v>
      </c>
    </row>
    <row r="2440" spans="1:17" x14ac:dyDescent="0.25">
      <c r="A2440" s="549" t="s">
        <v>1071</v>
      </c>
      <c r="B2440" s="549" t="s">
        <v>1072</v>
      </c>
      <c r="C2440" s="549" t="s">
        <v>729</v>
      </c>
      <c r="D2440" s="549" t="s">
        <v>730</v>
      </c>
      <c r="E2440" s="549" t="s">
        <v>977</v>
      </c>
      <c r="F2440" s="549" t="s">
        <v>1212</v>
      </c>
      <c r="G2440" s="549" t="s">
        <v>1404</v>
      </c>
      <c r="H2440" s="549" t="s">
        <v>729</v>
      </c>
      <c r="I2440" s="549" t="s">
        <v>976</v>
      </c>
      <c r="J2440" s="549" t="s">
        <v>976</v>
      </c>
      <c r="K2440" s="549" t="s">
        <v>976</v>
      </c>
      <c r="L2440" s="549">
        <v>0.01</v>
      </c>
      <c r="M2440" s="549">
        <v>0</v>
      </c>
      <c r="N2440" s="549">
        <v>0</v>
      </c>
      <c r="O2440" s="549">
        <v>0</v>
      </c>
      <c r="P2440" s="549">
        <v>100</v>
      </c>
      <c r="Q2440" s="549">
        <v>0</v>
      </c>
    </row>
    <row r="2441" spans="1:17" x14ac:dyDescent="0.25">
      <c r="A2441" s="549" t="s">
        <v>1071</v>
      </c>
      <c r="B2441" s="549" t="s">
        <v>1072</v>
      </c>
      <c r="C2441" s="549" t="s">
        <v>725</v>
      </c>
      <c r="D2441" s="549" t="s">
        <v>726</v>
      </c>
      <c r="E2441" s="549" t="s">
        <v>977</v>
      </c>
      <c r="F2441" s="549" t="s">
        <v>1212</v>
      </c>
      <c r="G2441" s="549">
        <v>152</v>
      </c>
      <c r="H2441" s="549" t="s">
        <v>725</v>
      </c>
      <c r="I2441" s="549" t="s">
        <v>976</v>
      </c>
      <c r="J2441" s="549" t="s">
        <v>976</v>
      </c>
      <c r="K2441" s="549" t="s">
        <v>976</v>
      </c>
      <c r="L2441" s="549">
        <v>72795.06</v>
      </c>
      <c r="M2441" s="549">
        <v>5496.03</v>
      </c>
      <c r="N2441" s="549">
        <v>1608.77</v>
      </c>
      <c r="O2441" s="549">
        <v>1984</v>
      </c>
      <c r="P2441" s="549">
        <v>100</v>
      </c>
      <c r="Q2441" s="549">
        <v>9088.7999999999993</v>
      </c>
    </row>
    <row r="2442" spans="1:17" x14ac:dyDescent="0.25">
      <c r="A2442" s="549" t="s">
        <v>1071</v>
      </c>
      <c r="B2442" s="549" t="s">
        <v>1072</v>
      </c>
      <c r="C2442" s="549" t="s">
        <v>725</v>
      </c>
      <c r="D2442" s="549" t="s">
        <v>726</v>
      </c>
      <c r="E2442" s="549" t="s">
        <v>977</v>
      </c>
      <c r="F2442" s="549" t="s">
        <v>1212</v>
      </c>
      <c r="G2442" s="549">
        <v>642</v>
      </c>
      <c r="H2442" s="549" t="s">
        <v>725</v>
      </c>
      <c r="I2442" s="549" t="s">
        <v>976</v>
      </c>
      <c r="J2442" s="549" t="s">
        <v>976</v>
      </c>
      <c r="K2442" s="549" t="s">
        <v>976</v>
      </c>
      <c r="L2442" s="549">
        <v>27946.95</v>
      </c>
      <c r="M2442" s="549">
        <v>2109.9899999999998</v>
      </c>
      <c r="N2442" s="549">
        <v>617.63</v>
      </c>
      <c r="O2442" s="549">
        <v>1984</v>
      </c>
      <c r="P2442" s="549">
        <v>100</v>
      </c>
      <c r="Q2442" s="549">
        <v>4711.62</v>
      </c>
    </row>
    <row r="2443" spans="1:17" x14ac:dyDescent="0.25">
      <c r="A2443" s="549" t="s">
        <v>1071</v>
      </c>
      <c r="B2443" s="549" t="s">
        <v>1072</v>
      </c>
      <c r="C2443" s="549" t="s">
        <v>725</v>
      </c>
      <c r="D2443" s="549" t="s">
        <v>726</v>
      </c>
      <c r="E2443" s="549" t="s">
        <v>977</v>
      </c>
      <c r="F2443" s="549" t="s">
        <v>1212</v>
      </c>
      <c r="G2443" s="549">
        <v>672</v>
      </c>
      <c r="H2443" s="549" t="s">
        <v>725</v>
      </c>
      <c r="I2443" s="549" t="s">
        <v>976</v>
      </c>
      <c r="J2443" s="549" t="s">
        <v>976</v>
      </c>
      <c r="K2443" s="549" t="s">
        <v>976</v>
      </c>
      <c r="L2443" s="549">
        <v>49105.88</v>
      </c>
      <c r="M2443" s="549">
        <v>3707.49</v>
      </c>
      <c r="N2443" s="549">
        <v>1085.24</v>
      </c>
      <c r="O2443" s="549">
        <v>1884.8</v>
      </c>
      <c r="P2443" s="549">
        <v>100</v>
      </c>
      <c r="Q2443" s="549">
        <v>6677.53</v>
      </c>
    </row>
    <row r="2444" spans="1:17" x14ac:dyDescent="0.25">
      <c r="A2444" s="549" t="s">
        <v>1071</v>
      </c>
      <c r="B2444" s="549" t="s">
        <v>1072</v>
      </c>
      <c r="C2444" s="549" t="s">
        <v>725</v>
      </c>
      <c r="D2444" s="549" t="s">
        <v>726</v>
      </c>
      <c r="E2444" s="549" t="s">
        <v>977</v>
      </c>
      <c r="F2444" s="549" t="s">
        <v>1212</v>
      </c>
      <c r="G2444" s="549">
        <v>692</v>
      </c>
      <c r="H2444" s="549" t="s">
        <v>725</v>
      </c>
      <c r="I2444" s="549" t="s">
        <v>976</v>
      </c>
      <c r="J2444" s="549" t="s">
        <v>976</v>
      </c>
      <c r="K2444" s="549" t="s">
        <v>976</v>
      </c>
      <c r="L2444" s="549">
        <v>49105.88</v>
      </c>
      <c r="M2444" s="549">
        <v>3707.49</v>
      </c>
      <c r="N2444" s="549">
        <v>1085.24</v>
      </c>
      <c r="O2444" s="549">
        <v>1884.8</v>
      </c>
      <c r="P2444" s="549">
        <v>100</v>
      </c>
      <c r="Q2444" s="549">
        <v>6677.53</v>
      </c>
    </row>
    <row r="2445" spans="1:17" x14ac:dyDescent="0.25">
      <c r="A2445" s="549" t="s">
        <v>1071</v>
      </c>
      <c r="B2445" s="549" t="s">
        <v>1072</v>
      </c>
      <c r="C2445" s="549" t="s">
        <v>725</v>
      </c>
      <c r="D2445" s="549" t="s">
        <v>726</v>
      </c>
      <c r="E2445" s="549" t="s">
        <v>977</v>
      </c>
      <c r="F2445" s="549" t="s">
        <v>1212</v>
      </c>
      <c r="G2445" s="549" t="s">
        <v>1405</v>
      </c>
      <c r="H2445" s="549" t="s">
        <v>725</v>
      </c>
      <c r="I2445" s="549" t="s">
        <v>976</v>
      </c>
      <c r="J2445" s="549" t="s">
        <v>976</v>
      </c>
      <c r="K2445" s="549" t="s">
        <v>976</v>
      </c>
      <c r="L2445" s="549">
        <v>31410.32</v>
      </c>
      <c r="M2445" s="549">
        <v>2371.48</v>
      </c>
      <c r="N2445" s="549">
        <v>694.17</v>
      </c>
      <c r="O2445" s="549">
        <v>0</v>
      </c>
      <c r="P2445" s="549">
        <v>100</v>
      </c>
      <c r="Q2445" s="549">
        <v>3065.65</v>
      </c>
    </row>
    <row r="2446" spans="1:17" x14ac:dyDescent="0.25">
      <c r="A2446" s="549" t="s">
        <v>1071</v>
      </c>
      <c r="B2446" s="549" t="s">
        <v>1072</v>
      </c>
      <c r="C2446" s="549" t="s">
        <v>512</v>
      </c>
      <c r="D2446" s="549" t="s">
        <v>722</v>
      </c>
      <c r="E2446" s="549" t="s">
        <v>977</v>
      </c>
      <c r="F2446" s="549" t="s">
        <v>1212</v>
      </c>
      <c r="G2446" s="549">
        <v>222</v>
      </c>
      <c r="H2446" s="549" t="s">
        <v>512</v>
      </c>
      <c r="I2446" s="549" t="s">
        <v>976</v>
      </c>
      <c r="J2446" s="549" t="s">
        <v>976</v>
      </c>
      <c r="K2446" s="549" t="s">
        <v>976</v>
      </c>
      <c r="L2446" s="549">
        <v>331166.81</v>
      </c>
      <c r="M2446" s="549">
        <v>25003.09</v>
      </c>
      <c r="N2446" s="549">
        <v>7318.79</v>
      </c>
      <c r="O2446" s="549">
        <v>1984</v>
      </c>
      <c r="P2446" s="549">
        <v>100</v>
      </c>
      <c r="Q2446" s="549">
        <v>34305.879999999997</v>
      </c>
    </row>
    <row r="2447" spans="1:17" x14ac:dyDescent="0.25">
      <c r="A2447" s="549" t="s">
        <v>1071</v>
      </c>
      <c r="B2447" s="549" t="s">
        <v>1072</v>
      </c>
      <c r="C2447" s="549" t="s">
        <v>512</v>
      </c>
      <c r="D2447" s="549" t="s">
        <v>722</v>
      </c>
      <c r="E2447" s="549" t="s">
        <v>977</v>
      </c>
      <c r="F2447" s="549" t="s">
        <v>1212</v>
      </c>
      <c r="G2447" s="549">
        <v>1022</v>
      </c>
      <c r="H2447" s="549" t="s">
        <v>512</v>
      </c>
      <c r="I2447" s="549" t="s">
        <v>976</v>
      </c>
      <c r="J2447" s="549" t="s">
        <v>976</v>
      </c>
      <c r="K2447" s="549" t="s">
        <v>976</v>
      </c>
      <c r="L2447" s="549">
        <v>49105.88</v>
      </c>
      <c r="M2447" s="549">
        <v>3707.49</v>
      </c>
      <c r="N2447" s="549">
        <v>1085.24</v>
      </c>
      <c r="O2447" s="549">
        <v>1984</v>
      </c>
      <c r="P2447" s="549">
        <v>100</v>
      </c>
      <c r="Q2447" s="549">
        <v>6776.73</v>
      </c>
    </row>
    <row r="2448" spans="1:17" x14ac:dyDescent="0.25">
      <c r="A2448" s="549" t="s">
        <v>1071</v>
      </c>
      <c r="B2448" s="549" t="s">
        <v>1072</v>
      </c>
      <c r="C2448" s="549" t="s">
        <v>512</v>
      </c>
      <c r="D2448" s="549" t="s">
        <v>722</v>
      </c>
      <c r="E2448" s="549" t="s">
        <v>977</v>
      </c>
      <c r="F2448" s="549" t="s">
        <v>1212</v>
      </c>
      <c r="G2448" s="549" t="s">
        <v>1330</v>
      </c>
      <c r="H2448" s="549" t="s">
        <v>512</v>
      </c>
      <c r="I2448" s="549" t="s">
        <v>976</v>
      </c>
      <c r="J2448" s="549" t="s">
        <v>976</v>
      </c>
      <c r="K2448" s="549" t="s">
        <v>976</v>
      </c>
      <c r="L2448" s="549">
        <v>31410.32</v>
      </c>
      <c r="M2448" s="549">
        <v>2371.48</v>
      </c>
      <c r="N2448" s="549">
        <v>694.17</v>
      </c>
      <c r="O2448" s="549">
        <v>0</v>
      </c>
      <c r="P2448" s="549">
        <v>100</v>
      </c>
      <c r="Q2448" s="549">
        <v>3065.65</v>
      </c>
    </row>
    <row r="2449" spans="1:17" x14ac:dyDescent="0.25">
      <c r="A2449" s="549" t="s">
        <v>1071</v>
      </c>
      <c r="B2449" s="549" t="s">
        <v>1072</v>
      </c>
      <c r="C2449" s="549" t="s">
        <v>727</v>
      </c>
      <c r="D2449" s="549" t="s">
        <v>728</v>
      </c>
      <c r="E2449" s="549" t="s">
        <v>977</v>
      </c>
      <c r="F2449" s="549" t="s">
        <v>1212</v>
      </c>
      <c r="G2449" s="549">
        <v>52</v>
      </c>
      <c r="H2449" s="549" t="s">
        <v>727</v>
      </c>
      <c r="I2449" s="549" t="s">
        <v>976</v>
      </c>
      <c r="J2449" s="549" t="s">
        <v>976</v>
      </c>
      <c r="K2449" s="549" t="s">
        <v>976</v>
      </c>
      <c r="L2449" s="549">
        <v>480667.43</v>
      </c>
      <c r="M2449" s="549">
        <v>36290.39</v>
      </c>
      <c r="N2449" s="549">
        <v>10622.75</v>
      </c>
      <c r="O2449" s="549">
        <v>3670.4</v>
      </c>
      <c r="P2449" s="549">
        <v>100</v>
      </c>
      <c r="Q2449" s="549">
        <v>50583.54</v>
      </c>
    </row>
    <row r="2450" spans="1:17" x14ac:dyDescent="0.25">
      <c r="A2450" s="549" t="s">
        <v>1071</v>
      </c>
      <c r="B2450" s="549" t="s">
        <v>1072</v>
      </c>
      <c r="C2450" s="549" t="s">
        <v>727</v>
      </c>
      <c r="D2450" s="549" t="s">
        <v>728</v>
      </c>
      <c r="E2450" s="549" t="s">
        <v>977</v>
      </c>
      <c r="F2450" s="549" t="s">
        <v>1212</v>
      </c>
      <c r="G2450" s="549">
        <v>82</v>
      </c>
      <c r="H2450" s="549" t="s">
        <v>727</v>
      </c>
      <c r="I2450" s="549" t="s">
        <v>976</v>
      </c>
      <c r="J2450" s="549" t="s">
        <v>976</v>
      </c>
      <c r="K2450" s="549" t="s">
        <v>976</v>
      </c>
      <c r="L2450" s="549">
        <v>327920.08</v>
      </c>
      <c r="M2450" s="549">
        <v>24757.97</v>
      </c>
      <c r="N2450" s="549">
        <v>7247.03</v>
      </c>
      <c r="O2450" s="549">
        <v>1984</v>
      </c>
      <c r="P2450" s="549">
        <v>100</v>
      </c>
      <c r="Q2450" s="549">
        <v>33989</v>
      </c>
    </row>
    <row r="2451" spans="1:17" x14ac:dyDescent="0.25">
      <c r="A2451" s="549" t="s">
        <v>1071</v>
      </c>
      <c r="B2451" s="549" t="s">
        <v>1072</v>
      </c>
      <c r="C2451" s="549" t="s">
        <v>727</v>
      </c>
      <c r="D2451" s="549" t="s">
        <v>728</v>
      </c>
      <c r="E2451" s="549" t="s">
        <v>977</v>
      </c>
      <c r="F2451" s="549" t="s">
        <v>1212</v>
      </c>
      <c r="G2451" s="549">
        <v>142</v>
      </c>
      <c r="H2451" s="549" t="s">
        <v>727</v>
      </c>
      <c r="I2451" s="549" t="s">
        <v>976</v>
      </c>
      <c r="J2451" s="549" t="s">
        <v>976</v>
      </c>
      <c r="K2451" s="549" t="s">
        <v>976</v>
      </c>
      <c r="L2451" s="549">
        <v>327920.08</v>
      </c>
      <c r="M2451" s="549">
        <v>24757.97</v>
      </c>
      <c r="N2451" s="549">
        <v>7247.03</v>
      </c>
      <c r="O2451" s="549">
        <v>1984</v>
      </c>
      <c r="P2451" s="549">
        <v>100</v>
      </c>
      <c r="Q2451" s="549">
        <v>33989</v>
      </c>
    </row>
    <row r="2452" spans="1:17" x14ac:dyDescent="0.25">
      <c r="A2452" s="549" t="s">
        <v>1091</v>
      </c>
      <c r="B2452" s="549" t="s">
        <v>1092</v>
      </c>
      <c r="C2452" s="549" t="s">
        <v>855</v>
      </c>
      <c r="D2452" s="549" t="s">
        <v>856</v>
      </c>
      <c r="E2452" s="549" t="s">
        <v>973</v>
      </c>
      <c r="F2452" s="549" t="s">
        <v>1212</v>
      </c>
      <c r="G2452" s="549" t="s">
        <v>1334</v>
      </c>
      <c r="H2452" s="549" t="s">
        <v>855</v>
      </c>
      <c r="I2452" s="549" t="s">
        <v>976</v>
      </c>
      <c r="J2452" s="549" t="s">
        <v>976</v>
      </c>
      <c r="K2452" s="549" t="s">
        <v>976</v>
      </c>
      <c r="L2452" s="549">
        <v>31102.38</v>
      </c>
      <c r="M2452" s="549">
        <v>2348.23</v>
      </c>
      <c r="N2452" s="549">
        <v>1785.28</v>
      </c>
      <c r="O2452" s="549">
        <v>0</v>
      </c>
      <c r="P2452" s="549">
        <v>0</v>
      </c>
      <c r="Q2452" s="549">
        <v>0</v>
      </c>
    </row>
    <row r="2453" spans="1:17" x14ac:dyDescent="0.25">
      <c r="A2453" s="549" t="s">
        <v>1071</v>
      </c>
      <c r="B2453" s="549" t="s">
        <v>1072</v>
      </c>
      <c r="C2453" s="549" t="s">
        <v>727</v>
      </c>
      <c r="D2453" s="549" t="s">
        <v>728</v>
      </c>
      <c r="E2453" s="549" t="s">
        <v>977</v>
      </c>
      <c r="F2453" s="549" t="s">
        <v>1212</v>
      </c>
      <c r="G2453" s="549">
        <v>1202</v>
      </c>
      <c r="H2453" s="549" t="s">
        <v>727</v>
      </c>
      <c r="I2453" s="549" t="s">
        <v>976</v>
      </c>
      <c r="J2453" s="549" t="s">
        <v>976</v>
      </c>
      <c r="K2453" s="549" t="s">
        <v>976</v>
      </c>
      <c r="L2453" s="549">
        <v>126114.98</v>
      </c>
      <c r="M2453" s="549">
        <v>9521.68</v>
      </c>
      <c r="N2453" s="549">
        <v>2787.14</v>
      </c>
      <c r="O2453" s="549">
        <v>3670.4</v>
      </c>
      <c r="P2453" s="549">
        <v>100</v>
      </c>
      <c r="Q2453" s="549">
        <v>15979.22</v>
      </c>
    </row>
    <row r="2454" spans="1:17" x14ac:dyDescent="0.25">
      <c r="A2454" s="549" t="s">
        <v>1071</v>
      </c>
      <c r="B2454" s="549" t="s">
        <v>1072</v>
      </c>
      <c r="C2454" s="549" t="s">
        <v>727</v>
      </c>
      <c r="D2454" s="549" t="s">
        <v>728</v>
      </c>
      <c r="E2454" s="549" t="s">
        <v>977</v>
      </c>
      <c r="F2454" s="549" t="s">
        <v>1212</v>
      </c>
      <c r="G2454" s="549">
        <v>1212</v>
      </c>
      <c r="H2454" s="549" t="s">
        <v>727</v>
      </c>
      <c r="I2454" s="549" t="s">
        <v>976</v>
      </c>
      <c r="J2454" s="549" t="s">
        <v>976</v>
      </c>
      <c r="K2454" s="549" t="s">
        <v>976</v>
      </c>
      <c r="L2454" s="549">
        <v>140509.38</v>
      </c>
      <c r="M2454" s="549">
        <v>10608.46</v>
      </c>
      <c r="N2454" s="549">
        <v>3105.26</v>
      </c>
      <c r="O2454" s="549">
        <v>1984</v>
      </c>
      <c r="P2454" s="549">
        <v>100</v>
      </c>
      <c r="Q2454" s="549">
        <v>15697.72</v>
      </c>
    </row>
    <row r="2455" spans="1:17" x14ac:dyDescent="0.25">
      <c r="A2455" s="549" t="s">
        <v>1071</v>
      </c>
      <c r="B2455" s="549" t="s">
        <v>1072</v>
      </c>
      <c r="C2455" s="549" t="s">
        <v>727</v>
      </c>
      <c r="D2455" s="549" t="s">
        <v>728</v>
      </c>
      <c r="E2455" s="549" t="s">
        <v>977</v>
      </c>
      <c r="F2455" s="549" t="s">
        <v>1212</v>
      </c>
      <c r="G2455" s="549">
        <v>1222</v>
      </c>
      <c r="H2455" s="549" t="s">
        <v>727</v>
      </c>
      <c r="I2455" s="549" t="s">
        <v>976</v>
      </c>
      <c r="J2455" s="549" t="s">
        <v>976</v>
      </c>
      <c r="K2455" s="549" t="s">
        <v>976</v>
      </c>
      <c r="L2455" s="549">
        <v>126114.98</v>
      </c>
      <c r="M2455" s="549">
        <v>9521.68</v>
      </c>
      <c r="N2455" s="549">
        <v>2787.14</v>
      </c>
      <c r="O2455" s="549">
        <v>3670.4</v>
      </c>
      <c r="P2455" s="549">
        <v>100</v>
      </c>
      <c r="Q2455" s="549">
        <v>15979.22</v>
      </c>
    </row>
    <row r="2456" spans="1:17" x14ac:dyDescent="0.25">
      <c r="A2456" s="549" t="s">
        <v>1071</v>
      </c>
      <c r="B2456" s="549" t="s">
        <v>1072</v>
      </c>
      <c r="C2456" s="549" t="s">
        <v>727</v>
      </c>
      <c r="D2456" s="549" t="s">
        <v>728</v>
      </c>
      <c r="E2456" s="549" t="s">
        <v>977</v>
      </c>
      <c r="F2456" s="549" t="s">
        <v>1212</v>
      </c>
      <c r="G2456" s="549">
        <v>1242</v>
      </c>
      <c r="H2456" s="549" t="s">
        <v>727</v>
      </c>
      <c r="I2456" s="549" t="s">
        <v>976</v>
      </c>
      <c r="J2456" s="549" t="s">
        <v>976</v>
      </c>
      <c r="K2456" s="549" t="s">
        <v>976</v>
      </c>
      <c r="L2456" s="549">
        <v>126114.98</v>
      </c>
      <c r="M2456" s="549">
        <v>9521.68</v>
      </c>
      <c r="N2456" s="549">
        <v>2787.14</v>
      </c>
      <c r="O2456" s="549">
        <v>3670.4</v>
      </c>
      <c r="P2456" s="549">
        <v>100</v>
      </c>
      <c r="Q2456" s="549">
        <v>15979.22</v>
      </c>
    </row>
    <row r="2457" spans="1:17" x14ac:dyDescent="0.25">
      <c r="A2457" s="549" t="s">
        <v>1071</v>
      </c>
      <c r="B2457" s="549" t="s">
        <v>1072</v>
      </c>
      <c r="C2457" s="549" t="s">
        <v>727</v>
      </c>
      <c r="D2457" s="549" t="s">
        <v>728</v>
      </c>
      <c r="E2457" s="549" t="s">
        <v>977</v>
      </c>
      <c r="F2457" s="549" t="s">
        <v>1212</v>
      </c>
      <c r="G2457" s="549">
        <v>1262</v>
      </c>
      <c r="H2457" s="549" t="s">
        <v>727</v>
      </c>
      <c r="I2457" s="549" t="s">
        <v>976</v>
      </c>
      <c r="J2457" s="549" t="s">
        <v>976</v>
      </c>
      <c r="K2457" s="549" t="s">
        <v>976</v>
      </c>
      <c r="L2457" s="549">
        <v>126114.98</v>
      </c>
      <c r="M2457" s="549">
        <v>9521.68</v>
      </c>
      <c r="N2457" s="549">
        <v>2787.14</v>
      </c>
      <c r="O2457" s="549">
        <v>3670.4</v>
      </c>
      <c r="P2457" s="549">
        <v>100</v>
      </c>
      <c r="Q2457" s="549">
        <v>15979.22</v>
      </c>
    </row>
    <row r="2458" spans="1:17" x14ac:dyDescent="0.25">
      <c r="A2458" s="549" t="s">
        <v>1071</v>
      </c>
      <c r="B2458" s="549" t="s">
        <v>1072</v>
      </c>
      <c r="C2458" s="549" t="s">
        <v>727</v>
      </c>
      <c r="D2458" s="549" t="s">
        <v>728</v>
      </c>
      <c r="E2458" s="549" t="s">
        <v>977</v>
      </c>
      <c r="F2458" s="549" t="s">
        <v>1212</v>
      </c>
      <c r="G2458" s="549">
        <v>1272</v>
      </c>
      <c r="H2458" s="549" t="s">
        <v>727</v>
      </c>
      <c r="I2458" s="549" t="s">
        <v>976</v>
      </c>
      <c r="J2458" s="549" t="s">
        <v>976</v>
      </c>
      <c r="K2458" s="549" t="s">
        <v>976</v>
      </c>
      <c r="L2458" s="549">
        <v>140509.38</v>
      </c>
      <c r="M2458" s="549">
        <v>10608.46</v>
      </c>
      <c r="N2458" s="549">
        <v>3105.26</v>
      </c>
      <c r="O2458" s="549">
        <v>1984</v>
      </c>
      <c r="P2458" s="549">
        <v>100</v>
      </c>
      <c r="Q2458" s="549">
        <v>15697.72</v>
      </c>
    </row>
    <row r="2459" spans="1:17" x14ac:dyDescent="0.25">
      <c r="A2459" s="549" t="s">
        <v>1071</v>
      </c>
      <c r="B2459" s="549" t="s">
        <v>1072</v>
      </c>
      <c r="C2459" s="549" t="s">
        <v>727</v>
      </c>
      <c r="D2459" s="549" t="s">
        <v>728</v>
      </c>
      <c r="E2459" s="549" t="s">
        <v>977</v>
      </c>
      <c r="F2459" s="549" t="s">
        <v>1212</v>
      </c>
      <c r="G2459" s="549" t="s">
        <v>1406</v>
      </c>
      <c r="H2459" s="549" t="s">
        <v>727</v>
      </c>
      <c r="I2459" s="549" t="s">
        <v>976</v>
      </c>
      <c r="J2459" s="549" t="s">
        <v>976</v>
      </c>
      <c r="K2459" s="549" t="s">
        <v>976</v>
      </c>
      <c r="L2459" s="549">
        <v>36306.11</v>
      </c>
      <c r="M2459" s="549">
        <v>2741.11</v>
      </c>
      <c r="N2459" s="549">
        <v>802.37</v>
      </c>
      <c r="O2459" s="549">
        <v>1984</v>
      </c>
      <c r="P2459" s="549">
        <v>100</v>
      </c>
      <c r="Q2459" s="549">
        <v>5527.48</v>
      </c>
    </row>
    <row r="2460" spans="1:17" x14ac:dyDescent="0.25">
      <c r="A2460" s="549" t="s">
        <v>1071</v>
      </c>
      <c r="B2460" s="549" t="s">
        <v>1072</v>
      </c>
      <c r="C2460" s="549" t="s">
        <v>727</v>
      </c>
      <c r="D2460" s="549" t="s">
        <v>728</v>
      </c>
      <c r="E2460" s="549" t="s">
        <v>977</v>
      </c>
      <c r="F2460" s="549" t="s">
        <v>1212</v>
      </c>
      <c r="G2460" s="549" t="s">
        <v>1407</v>
      </c>
      <c r="H2460" s="549" t="s">
        <v>727</v>
      </c>
      <c r="I2460" s="549" t="s">
        <v>976</v>
      </c>
      <c r="J2460" s="549" t="s">
        <v>976</v>
      </c>
      <c r="K2460" s="549" t="s">
        <v>976</v>
      </c>
      <c r="L2460" s="549">
        <v>36306.11</v>
      </c>
      <c r="M2460" s="549">
        <v>2741.11</v>
      </c>
      <c r="N2460" s="549">
        <v>802.37</v>
      </c>
      <c r="O2460" s="549">
        <v>1984</v>
      </c>
      <c r="P2460" s="549">
        <v>100</v>
      </c>
      <c r="Q2460" s="549">
        <v>5527.48</v>
      </c>
    </row>
    <row r="2461" spans="1:17" x14ac:dyDescent="0.25">
      <c r="A2461" s="549" t="s">
        <v>1071</v>
      </c>
      <c r="B2461" s="549" t="s">
        <v>1072</v>
      </c>
      <c r="C2461" s="549" t="s">
        <v>727</v>
      </c>
      <c r="D2461" s="549" t="s">
        <v>728</v>
      </c>
      <c r="E2461" s="549" t="s">
        <v>977</v>
      </c>
      <c r="F2461" s="549" t="s">
        <v>1212</v>
      </c>
      <c r="G2461" s="549" t="s">
        <v>1408</v>
      </c>
      <c r="H2461" s="549" t="s">
        <v>727</v>
      </c>
      <c r="I2461" s="549" t="s">
        <v>976</v>
      </c>
      <c r="J2461" s="549" t="s">
        <v>976</v>
      </c>
      <c r="K2461" s="549" t="s">
        <v>976</v>
      </c>
      <c r="L2461" s="549">
        <v>31102.38</v>
      </c>
      <c r="M2461" s="549">
        <v>2348.23</v>
      </c>
      <c r="N2461" s="549">
        <v>687.36</v>
      </c>
      <c r="O2461" s="549">
        <v>0</v>
      </c>
      <c r="P2461" s="549">
        <v>100</v>
      </c>
      <c r="Q2461" s="549">
        <v>3035.59</v>
      </c>
    </row>
    <row r="2462" spans="1:17" x14ac:dyDescent="0.25">
      <c r="A2462" s="549" t="s">
        <v>1071</v>
      </c>
      <c r="B2462" s="549" t="s">
        <v>1072</v>
      </c>
      <c r="C2462" s="549" t="s">
        <v>727</v>
      </c>
      <c r="D2462" s="549" t="s">
        <v>728</v>
      </c>
      <c r="E2462" s="549" t="s">
        <v>977</v>
      </c>
      <c r="F2462" s="549" t="s">
        <v>1212</v>
      </c>
      <c r="G2462" s="549" t="s">
        <v>1409</v>
      </c>
      <c r="H2462" s="549" t="s">
        <v>727</v>
      </c>
      <c r="I2462" s="549" t="s">
        <v>976</v>
      </c>
      <c r="J2462" s="549" t="s">
        <v>976</v>
      </c>
      <c r="K2462" s="549" t="s">
        <v>976</v>
      </c>
      <c r="L2462" s="549">
        <v>31102.38</v>
      </c>
      <c r="M2462" s="549">
        <v>2348.23</v>
      </c>
      <c r="N2462" s="549">
        <v>687.36</v>
      </c>
      <c r="O2462" s="549">
        <v>0</v>
      </c>
      <c r="P2462" s="549">
        <v>100</v>
      </c>
      <c r="Q2462" s="549">
        <v>3035.59</v>
      </c>
    </row>
    <row r="2463" spans="1:17" x14ac:dyDescent="0.25">
      <c r="A2463" s="549" t="s">
        <v>1091</v>
      </c>
      <c r="B2463" s="549" t="s">
        <v>1092</v>
      </c>
      <c r="C2463" s="549" t="s">
        <v>855</v>
      </c>
      <c r="D2463" s="549" t="s">
        <v>856</v>
      </c>
      <c r="E2463" s="549" t="s">
        <v>973</v>
      </c>
      <c r="F2463" s="549" t="s">
        <v>1212</v>
      </c>
      <c r="G2463" s="549" t="s">
        <v>1333</v>
      </c>
      <c r="H2463" s="549" t="s">
        <v>855</v>
      </c>
      <c r="I2463" s="549" t="s">
        <v>976</v>
      </c>
      <c r="J2463" s="549" t="s">
        <v>976</v>
      </c>
      <c r="K2463" s="549" t="s">
        <v>976</v>
      </c>
      <c r="L2463" s="549">
        <v>31102.38</v>
      </c>
      <c r="M2463" s="549">
        <v>2348.23</v>
      </c>
      <c r="N2463" s="549">
        <v>1785.28</v>
      </c>
      <c r="O2463" s="549">
        <v>0</v>
      </c>
      <c r="P2463" s="549">
        <v>0</v>
      </c>
      <c r="Q2463" s="549">
        <v>0</v>
      </c>
    </row>
    <row r="2464" spans="1:17" x14ac:dyDescent="0.25">
      <c r="A2464" s="549" t="s">
        <v>1071</v>
      </c>
      <c r="B2464" s="549" t="s">
        <v>1072</v>
      </c>
      <c r="C2464" s="549" t="s">
        <v>727</v>
      </c>
      <c r="D2464" s="549" t="s">
        <v>728</v>
      </c>
      <c r="E2464" s="549" t="s">
        <v>977</v>
      </c>
      <c r="F2464" s="549" t="s">
        <v>1212</v>
      </c>
      <c r="G2464" s="549" t="s">
        <v>1373</v>
      </c>
      <c r="H2464" s="549" t="s">
        <v>727</v>
      </c>
      <c r="I2464" s="549" t="s">
        <v>976</v>
      </c>
      <c r="J2464" s="549" t="s">
        <v>976</v>
      </c>
      <c r="K2464" s="549" t="s">
        <v>976</v>
      </c>
      <c r="L2464" s="549">
        <v>44913.42</v>
      </c>
      <c r="M2464" s="549">
        <v>3390.96</v>
      </c>
      <c r="N2464" s="549">
        <v>992.59</v>
      </c>
      <c r="O2464" s="549">
        <v>0</v>
      </c>
      <c r="P2464" s="549">
        <v>100</v>
      </c>
      <c r="Q2464" s="549">
        <v>4383.55</v>
      </c>
    </row>
    <row r="2465" spans="1:17" x14ac:dyDescent="0.25">
      <c r="A2465" s="549" t="s">
        <v>1071</v>
      </c>
      <c r="B2465" s="549" t="s">
        <v>1072</v>
      </c>
      <c r="C2465" s="549" t="s">
        <v>727</v>
      </c>
      <c r="D2465" s="549" t="s">
        <v>728</v>
      </c>
      <c r="E2465" s="549" t="s">
        <v>977</v>
      </c>
      <c r="F2465" s="549" t="s">
        <v>1212</v>
      </c>
      <c r="G2465" s="549" t="s">
        <v>1410</v>
      </c>
      <c r="H2465" s="549" t="s">
        <v>727</v>
      </c>
      <c r="I2465" s="549" t="s">
        <v>976</v>
      </c>
      <c r="J2465" s="549" t="s">
        <v>976</v>
      </c>
      <c r="K2465" s="549" t="s">
        <v>976</v>
      </c>
      <c r="L2465" s="549">
        <v>20616.55</v>
      </c>
      <c r="M2465" s="549">
        <v>1556.55</v>
      </c>
      <c r="N2465" s="549">
        <v>455.63</v>
      </c>
      <c r="O2465" s="549">
        <v>0</v>
      </c>
      <c r="P2465" s="549">
        <v>100</v>
      </c>
      <c r="Q2465" s="549">
        <v>2012.18</v>
      </c>
    </row>
    <row r="2466" spans="1:17" x14ac:dyDescent="0.25">
      <c r="A2466" s="549" t="s">
        <v>1071</v>
      </c>
      <c r="B2466" s="549" t="s">
        <v>1072</v>
      </c>
      <c r="C2466" s="549" t="s">
        <v>727</v>
      </c>
      <c r="D2466" s="549" t="s">
        <v>728</v>
      </c>
      <c r="E2466" s="549" t="s">
        <v>977</v>
      </c>
      <c r="F2466" s="549" t="s">
        <v>1212</v>
      </c>
      <c r="G2466" s="549" t="s">
        <v>1411</v>
      </c>
      <c r="H2466" s="549" t="s">
        <v>727</v>
      </c>
      <c r="I2466" s="549" t="s">
        <v>976</v>
      </c>
      <c r="J2466" s="549" t="s">
        <v>976</v>
      </c>
      <c r="K2466" s="549" t="s">
        <v>976</v>
      </c>
      <c r="L2466" s="549">
        <v>20616.55</v>
      </c>
      <c r="M2466" s="549">
        <v>1556.55</v>
      </c>
      <c r="N2466" s="549">
        <v>455.63</v>
      </c>
      <c r="O2466" s="549">
        <v>0</v>
      </c>
      <c r="P2466" s="549">
        <v>100</v>
      </c>
      <c r="Q2466" s="549">
        <v>2012.18</v>
      </c>
    </row>
    <row r="2467" spans="1:17" x14ac:dyDescent="0.25">
      <c r="A2467" s="549" t="s">
        <v>1071</v>
      </c>
      <c r="B2467" s="549" t="s">
        <v>1072</v>
      </c>
      <c r="C2467" s="549" t="s">
        <v>733</v>
      </c>
      <c r="D2467" s="549" t="s">
        <v>734</v>
      </c>
      <c r="E2467" s="549" t="s">
        <v>977</v>
      </c>
      <c r="F2467" s="549" t="s">
        <v>1212</v>
      </c>
      <c r="G2467" s="549">
        <v>122</v>
      </c>
      <c r="H2467" s="549" t="s">
        <v>733</v>
      </c>
      <c r="I2467" s="549" t="s">
        <v>976</v>
      </c>
      <c r="J2467" s="549" t="s">
        <v>976</v>
      </c>
      <c r="K2467" s="549" t="s">
        <v>976</v>
      </c>
      <c r="L2467" s="549">
        <v>667721.49</v>
      </c>
      <c r="M2467" s="549">
        <v>50412.97</v>
      </c>
      <c r="N2467" s="549">
        <v>14756.64</v>
      </c>
      <c r="O2467" s="549">
        <v>4761.6000000000004</v>
      </c>
      <c r="P2467" s="549">
        <v>100</v>
      </c>
      <c r="Q2467" s="549">
        <v>69931.210000000006</v>
      </c>
    </row>
    <row r="2468" spans="1:17" x14ac:dyDescent="0.25">
      <c r="A2468" s="549" t="s">
        <v>1071</v>
      </c>
      <c r="B2468" s="549" t="s">
        <v>1072</v>
      </c>
      <c r="C2468" s="549" t="s">
        <v>733</v>
      </c>
      <c r="D2468" s="549" t="s">
        <v>734</v>
      </c>
      <c r="E2468" s="549" t="s">
        <v>977</v>
      </c>
      <c r="F2468" s="549" t="s">
        <v>1212</v>
      </c>
      <c r="G2468" s="549">
        <v>142</v>
      </c>
      <c r="H2468" s="549" t="s">
        <v>733</v>
      </c>
      <c r="I2468" s="549" t="s">
        <v>976</v>
      </c>
      <c r="J2468" s="549" t="s">
        <v>976</v>
      </c>
      <c r="K2468" s="549" t="s">
        <v>976</v>
      </c>
      <c r="L2468" s="549">
        <v>667721.49</v>
      </c>
      <c r="M2468" s="549">
        <v>50412.97</v>
      </c>
      <c r="N2468" s="549">
        <v>14756.64</v>
      </c>
      <c r="O2468" s="549">
        <v>4761.6000000000004</v>
      </c>
      <c r="P2468" s="549">
        <v>100</v>
      </c>
      <c r="Q2468" s="549">
        <v>69931.210000000006</v>
      </c>
    </row>
    <row r="2469" spans="1:17" x14ac:dyDescent="0.25">
      <c r="A2469" s="549" t="s">
        <v>1071</v>
      </c>
      <c r="B2469" s="549" t="s">
        <v>1072</v>
      </c>
      <c r="C2469" s="549" t="s">
        <v>733</v>
      </c>
      <c r="D2469" s="549" t="s">
        <v>734</v>
      </c>
      <c r="E2469" s="549" t="s">
        <v>977</v>
      </c>
      <c r="F2469" s="549" t="s">
        <v>1212</v>
      </c>
      <c r="G2469" s="549">
        <v>222</v>
      </c>
      <c r="H2469" s="549" t="s">
        <v>733</v>
      </c>
      <c r="I2469" s="549" t="s">
        <v>976</v>
      </c>
      <c r="J2469" s="549" t="s">
        <v>976</v>
      </c>
      <c r="K2469" s="549" t="s">
        <v>976</v>
      </c>
      <c r="L2469" s="549">
        <v>667721.49</v>
      </c>
      <c r="M2469" s="549">
        <v>50412.97</v>
      </c>
      <c r="N2469" s="549">
        <v>14756.64</v>
      </c>
      <c r="O2469" s="549">
        <v>4662.3999999999996</v>
      </c>
      <c r="P2469" s="549">
        <v>100</v>
      </c>
      <c r="Q2469" s="549">
        <v>69832.009999999995</v>
      </c>
    </row>
    <row r="2470" spans="1:17" x14ac:dyDescent="0.25">
      <c r="A2470" s="549" t="s">
        <v>1071</v>
      </c>
      <c r="B2470" s="549" t="s">
        <v>1072</v>
      </c>
      <c r="C2470" s="549" t="s">
        <v>733</v>
      </c>
      <c r="D2470" s="549" t="s">
        <v>734</v>
      </c>
      <c r="E2470" s="549" t="s">
        <v>977</v>
      </c>
      <c r="F2470" s="549" t="s">
        <v>1212</v>
      </c>
      <c r="G2470" s="549">
        <v>242</v>
      </c>
      <c r="H2470" s="549" t="s">
        <v>733</v>
      </c>
      <c r="I2470" s="549" t="s">
        <v>976</v>
      </c>
      <c r="J2470" s="549" t="s">
        <v>976</v>
      </c>
      <c r="K2470" s="549" t="s">
        <v>976</v>
      </c>
      <c r="L2470" s="549">
        <v>667721.49</v>
      </c>
      <c r="M2470" s="549">
        <v>50412.97</v>
      </c>
      <c r="N2470" s="549">
        <v>14756.64</v>
      </c>
      <c r="O2470" s="549">
        <v>4662.3999999999996</v>
      </c>
      <c r="P2470" s="549">
        <v>100</v>
      </c>
      <c r="Q2470" s="549">
        <v>69832.009999999995</v>
      </c>
    </row>
    <row r="2471" spans="1:17" x14ac:dyDescent="0.25">
      <c r="A2471" s="549" t="s">
        <v>1091</v>
      </c>
      <c r="B2471" s="549" t="s">
        <v>1092</v>
      </c>
      <c r="C2471" s="549" t="s">
        <v>855</v>
      </c>
      <c r="D2471" s="549" t="s">
        <v>856</v>
      </c>
      <c r="E2471" s="549" t="s">
        <v>973</v>
      </c>
      <c r="F2471" s="549" t="s">
        <v>1212</v>
      </c>
      <c r="G2471" s="549">
        <v>2902</v>
      </c>
      <c r="H2471" s="549" t="s">
        <v>855</v>
      </c>
      <c r="I2471" s="549" t="s">
        <v>976</v>
      </c>
      <c r="J2471" s="549" t="s">
        <v>976</v>
      </c>
      <c r="K2471" s="549" t="s">
        <v>976</v>
      </c>
      <c r="L2471" s="549">
        <v>44006.86</v>
      </c>
      <c r="M2471" s="549">
        <v>3322.52</v>
      </c>
      <c r="N2471" s="549">
        <v>2525.9899999999998</v>
      </c>
      <c r="O2471" s="549">
        <v>992</v>
      </c>
      <c r="P2471" s="549">
        <v>0</v>
      </c>
      <c r="Q2471" s="549">
        <v>0</v>
      </c>
    </row>
    <row r="2472" spans="1:17" x14ac:dyDescent="0.25">
      <c r="A2472" s="549" t="s">
        <v>1071</v>
      </c>
      <c r="B2472" s="549" t="s">
        <v>1072</v>
      </c>
      <c r="C2472" s="549" t="s">
        <v>733</v>
      </c>
      <c r="D2472" s="549" t="s">
        <v>734</v>
      </c>
      <c r="E2472" s="549" t="s">
        <v>977</v>
      </c>
      <c r="F2472" s="549" t="s">
        <v>1212</v>
      </c>
      <c r="G2472" s="549">
        <v>412</v>
      </c>
      <c r="H2472" s="549" t="s">
        <v>733</v>
      </c>
      <c r="I2472" s="549" t="s">
        <v>976</v>
      </c>
      <c r="J2472" s="549" t="s">
        <v>976</v>
      </c>
      <c r="K2472" s="549" t="s">
        <v>976</v>
      </c>
      <c r="L2472" s="549">
        <v>627310.49</v>
      </c>
      <c r="M2472" s="549">
        <v>47361.94</v>
      </c>
      <c r="N2472" s="549">
        <v>13863.56</v>
      </c>
      <c r="O2472" s="549">
        <v>2976</v>
      </c>
      <c r="P2472" s="549">
        <v>100</v>
      </c>
      <c r="Q2472" s="549">
        <v>64201.5</v>
      </c>
    </row>
    <row r="2473" spans="1:17" x14ac:dyDescent="0.25">
      <c r="A2473" s="549" t="s">
        <v>1071</v>
      </c>
      <c r="B2473" s="549" t="s">
        <v>1072</v>
      </c>
      <c r="C2473" s="549" t="s">
        <v>733</v>
      </c>
      <c r="D2473" s="549" t="s">
        <v>734</v>
      </c>
      <c r="E2473" s="549" t="s">
        <v>977</v>
      </c>
      <c r="F2473" s="549" t="s">
        <v>1212</v>
      </c>
      <c r="G2473" s="549">
        <v>422</v>
      </c>
      <c r="H2473" s="549" t="s">
        <v>733</v>
      </c>
      <c r="I2473" s="549" t="s">
        <v>976</v>
      </c>
      <c r="J2473" s="549" t="s">
        <v>976</v>
      </c>
      <c r="K2473" s="549" t="s">
        <v>976</v>
      </c>
      <c r="L2473" s="549">
        <v>627310.49</v>
      </c>
      <c r="M2473" s="549">
        <v>47361.94</v>
      </c>
      <c r="N2473" s="549">
        <v>13863.56</v>
      </c>
      <c r="O2473" s="549">
        <v>2976</v>
      </c>
      <c r="P2473" s="549">
        <v>100</v>
      </c>
      <c r="Q2473" s="549">
        <v>64201.5</v>
      </c>
    </row>
    <row r="2474" spans="1:17" x14ac:dyDescent="0.25">
      <c r="A2474" s="549" t="s">
        <v>1071</v>
      </c>
      <c r="B2474" s="549" t="s">
        <v>1072</v>
      </c>
      <c r="C2474" s="549" t="s">
        <v>733</v>
      </c>
      <c r="D2474" s="549" t="s">
        <v>734</v>
      </c>
      <c r="E2474" s="549" t="s">
        <v>977</v>
      </c>
      <c r="F2474" s="549" t="s">
        <v>1212</v>
      </c>
      <c r="G2474" s="549">
        <v>882</v>
      </c>
      <c r="H2474" s="549" t="s">
        <v>733</v>
      </c>
      <c r="I2474" s="549" t="s">
        <v>976</v>
      </c>
      <c r="J2474" s="549" t="s">
        <v>976</v>
      </c>
      <c r="K2474" s="549" t="s">
        <v>976</v>
      </c>
      <c r="L2474" s="549">
        <v>141012.74</v>
      </c>
      <c r="M2474" s="549">
        <v>10646.46</v>
      </c>
      <c r="N2474" s="549">
        <v>3116.38</v>
      </c>
      <c r="O2474" s="549">
        <v>3670.4</v>
      </c>
      <c r="P2474" s="549">
        <v>100</v>
      </c>
      <c r="Q2474" s="549">
        <v>17433.240000000002</v>
      </c>
    </row>
    <row r="2475" spans="1:17" x14ac:dyDescent="0.25">
      <c r="A2475" s="549" t="s">
        <v>1071</v>
      </c>
      <c r="B2475" s="549" t="s">
        <v>1072</v>
      </c>
      <c r="C2475" s="549" t="s">
        <v>733</v>
      </c>
      <c r="D2475" s="549" t="s">
        <v>734</v>
      </c>
      <c r="E2475" s="549" t="s">
        <v>977</v>
      </c>
      <c r="F2475" s="549" t="s">
        <v>1212</v>
      </c>
      <c r="G2475" s="549">
        <v>932</v>
      </c>
      <c r="H2475" s="549" t="s">
        <v>733</v>
      </c>
      <c r="I2475" s="549" t="s">
        <v>976</v>
      </c>
      <c r="J2475" s="549" t="s">
        <v>976</v>
      </c>
      <c r="K2475" s="549" t="s">
        <v>976</v>
      </c>
      <c r="L2475" s="549">
        <v>141012.74</v>
      </c>
      <c r="M2475" s="549">
        <v>10646.46</v>
      </c>
      <c r="N2475" s="549">
        <v>3116.38</v>
      </c>
      <c r="O2475" s="549">
        <v>3670.4</v>
      </c>
      <c r="P2475" s="549">
        <v>100</v>
      </c>
      <c r="Q2475" s="549">
        <v>17433.240000000002</v>
      </c>
    </row>
    <row r="2476" spans="1:17" x14ac:dyDescent="0.25">
      <c r="A2476" s="549" t="s">
        <v>1071</v>
      </c>
      <c r="B2476" s="549" t="s">
        <v>1072</v>
      </c>
      <c r="C2476" s="549" t="s">
        <v>733</v>
      </c>
      <c r="D2476" s="549" t="s">
        <v>734</v>
      </c>
      <c r="E2476" s="549" t="s">
        <v>977</v>
      </c>
      <c r="F2476" s="549" t="s">
        <v>1212</v>
      </c>
      <c r="G2476" s="549">
        <v>962</v>
      </c>
      <c r="H2476" s="549" t="s">
        <v>733</v>
      </c>
      <c r="I2476" s="549" t="s">
        <v>976</v>
      </c>
      <c r="J2476" s="549" t="s">
        <v>976</v>
      </c>
      <c r="K2476" s="549" t="s">
        <v>976</v>
      </c>
      <c r="L2476" s="549">
        <v>141012.74</v>
      </c>
      <c r="M2476" s="549">
        <v>10646.46</v>
      </c>
      <c r="N2476" s="549">
        <v>3116.38</v>
      </c>
      <c r="O2476" s="549">
        <v>3670.4</v>
      </c>
      <c r="P2476" s="549">
        <v>100</v>
      </c>
      <c r="Q2476" s="549">
        <v>17433.240000000002</v>
      </c>
    </row>
    <row r="2477" spans="1:17" x14ac:dyDescent="0.25">
      <c r="A2477" s="549" t="s">
        <v>1071</v>
      </c>
      <c r="B2477" s="549" t="s">
        <v>1072</v>
      </c>
      <c r="C2477" s="549" t="s">
        <v>733</v>
      </c>
      <c r="D2477" s="549" t="s">
        <v>734</v>
      </c>
      <c r="E2477" s="549" t="s">
        <v>977</v>
      </c>
      <c r="F2477" s="549" t="s">
        <v>1212</v>
      </c>
      <c r="G2477" s="549">
        <v>972</v>
      </c>
      <c r="H2477" s="549" t="s">
        <v>733</v>
      </c>
      <c r="I2477" s="549" t="s">
        <v>976</v>
      </c>
      <c r="J2477" s="549" t="s">
        <v>976</v>
      </c>
      <c r="K2477" s="549" t="s">
        <v>976</v>
      </c>
      <c r="L2477" s="549">
        <v>141012.74</v>
      </c>
      <c r="M2477" s="549">
        <v>10646.46</v>
      </c>
      <c r="N2477" s="549">
        <v>3116.38</v>
      </c>
      <c r="O2477" s="549">
        <v>3670.4</v>
      </c>
      <c r="P2477" s="549">
        <v>100</v>
      </c>
      <c r="Q2477" s="549">
        <v>17433.240000000002</v>
      </c>
    </row>
    <row r="2478" spans="1:17" x14ac:dyDescent="0.25">
      <c r="A2478" s="549" t="s">
        <v>1071</v>
      </c>
      <c r="B2478" s="549" t="s">
        <v>1072</v>
      </c>
      <c r="C2478" s="549" t="s">
        <v>733</v>
      </c>
      <c r="D2478" s="549" t="s">
        <v>734</v>
      </c>
      <c r="E2478" s="549" t="s">
        <v>977</v>
      </c>
      <c r="F2478" s="549" t="s">
        <v>1212</v>
      </c>
      <c r="G2478" s="549">
        <v>982</v>
      </c>
      <c r="H2478" s="549" t="s">
        <v>733</v>
      </c>
      <c r="I2478" s="549" t="s">
        <v>976</v>
      </c>
      <c r="J2478" s="549" t="s">
        <v>976</v>
      </c>
      <c r="K2478" s="549" t="s">
        <v>976</v>
      </c>
      <c r="L2478" s="549">
        <v>128497.63</v>
      </c>
      <c r="M2478" s="549">
        <v>9701.57</v>
      </c>
      <c r="N2478" s="549">
        <v>2839.8</v>
      </c>
      <c r="O2478" s="549">
        <v>1984</v>
      </c>
      <c r="P2478" s="549">
        <v>100</v>
      </c>
      <c r="Q2478" s="549">
        <v>14525.37</v>
      </c>
    </row>
    <row r="2479" spans="1:17" x14ac:dyDescent="0.25">
      <c r="A2479" s="549" t="s">
        <v>1091</v>
      </c>
      <c r="B2479" s="549" t="s">
        <v>1092</v>
      </c>
      <c r="C2479" s="549" t="s">
        <v>855</v>
      </c>
      <c r="D2479" s="549" t="s">
        <v>856</v>
      </c>
      <c r="E2479" s="549" t="s">
        <v>973</v>
      </c>
      <c r="F2479" s="549" t="s">
        <v>1212</v>
      </c>
      <c r="G2479" s="549">
        <v>2882</v>
      </c>
      <c r="H2479" s="549" t="s">
        <v>855</v>
      </c>
      <c r="I2479" s="549" t="s">
        <v>976</v>
      </c>
      <c r="J2479" s="549" t="s">
        <v>976</v>
      </c>
      <c r="K2479" s="549" t="s">
        <v>976</v>
      </c>
      <c r="L2479" s="549">
        <v>44006.86</v>
      </c>
      <c r="M2479" s="549">
        <v>3322.52</v>
      </c>
      <c r="N2479" s="549">
        <v>2525.9899999999998</v>
      </c>
      <c r="O2479" s="549">
        <v>992</v>
      </c>
      <c r="P2479" s="549">
        <v>0</v>
      </c>
      <c r="Q2479" s="549">
        <v>0</v>
      </c>
    </row>
    <row r="2480" spans="1:17" x14ac:dyDescent="0.25">
      <c r="A2480" s="549" t="s">
        <v>1071</v>
      </c>
      <c r="B2480" s="549" t="s">
        <v>1072</v>
      </c>
      <c r="C2480" s="549" t="s">
        <v>733</v>
      </c>
      <c r="D2480" s="549" t="s">
        <v>734</v>
      </c>
      <c r="E2480" s="549" t="s">
        <v>977</v>
      </c>
      <c r="F2480" s="549" t="s">
        <v>1212</v>
      </c>
      <c r="G2480" s="549">
        <v>1032</v>
      </c>
      <c r="H2480" s="549" t="s">
        <v>733</v>
      </c>
      <c r="I2480" s="549" t="s">
        <v>976</v>
      </c>
      <c r="J2480" s="549" t="s">
        <v>976</v>
      </c>
      <c r="K2480" s="549" t="s">
        <v>976</v>
      </c>
      <c r="L2480" s="549">
        <v>141012.74</v>
      </c>
      <c r="M2480" s="549">
        <v>10646.46</v>
      </c>
      <c r="N2480" s="549">
        <v>3116.38</v>
      </c>
      <c r="O2480" s="549">
        <v>3670.4</v>
      </c>
      <c r="P2480" s="549">
        <v>100</v>
      </c>
      <c r="Q2480" s="549">
        <v>17433.240000000002</v>
      </c>
    </row>
    <row r="2481" spans="1:17" x14ac:dyDescent="0.25">
      <c r="A2481" s="549" t="s">
        <v>1071</v>
      </c>
      <c r="B2481" s="549" t="s">
        <v>1072</v>
      </c>
      <c r="C2481" s="549" t="s">
        <v>733</v>
      </c>
      <c r="D2481" s="549" t="s">
        <v>734</v>
      </c>
      <c r="E2481" s="549" t="s">
        <v>977</v>
      </c>
      <c r="F2481" s="549" t="s">
        <v>1212</v>
      </c>
      <c r="G2481" s="549">
        <v>2058</v>
      </c>
      <c r="H2481" s="549" t="s">
        <v>733</v>
      </c>
      <c r="I2481" s="549" t="s">
        <v>976</v>
      </c>
      <c r="J2481" s="549" t="s">
        <v>976</v>
      </c>
      <c r="K2481" s="549" t="s">
        <v>976</v>
      </c>
      <c r="L2481" s="549">
        <v>57211.55</v>
      </c>
      <c r="M2481" s="549">
        <v>4319.47</v>
      </c>
      <c r="N2481" s="549">
        <v>1264.3800000000001</v>
      </c>
      <c r="O2481" s="549">
        <v>992</v>
      </c>
      <c r="P2481" s="549">
        <v>100</v>
      </c>
      <c r="Q2481" s="549">
        <v>6575.85</v>
      </c>
    </row>
    <row r="2482" spans="1:17" x14ac:dyDescent="0.25">
      <c r="A2482" s="549" t="s">
        <v>1071</v>
      </c>
      <c r="B2482" s="549" t="s">
        <v>1072</v>
      </c>
      <c r="C2482" s="549" t="s">
        <v>733</v>
      </c>
      <c r="D2482" s="549" t="s">
        <v>734</v>
      </c>
      <c r="E2482" s="549" t="s">
        <v>977</v>
      </c>
      <c r="F2482" s="549" t="s">
        <v>1212</v>
      </c>
      <c r="G2482" s="549">
        <v>2062</v>
      </c>
      <c r="H2482" s="549" t="s">
        <v>733</v>
      </c>
      <c r="I2482" s="549" t="s">
        <v>976</v>
      </c>
      <c r="J2482" s="549" t="s">
        <v>976</v>
      </c>
      <c r="K2482" s="549" t="s">
        <v>976</v>
      </c>
      <c r="L2482" s="549">
        <v>49856.480000000003</v>
      </c>
      <c r="M2482" s="549">
        <v>3764.16</v>
      </c>
      <c r="N2482" s="549">
        <v>1101.83</v>
      </c>
      <c r="O2482" s="549">
        <v>892.8</v>
      </c>
      <c r="P2482" s="549">
        <v>100</v>
      </c>
      <c r="Q2482" s="549">
        <v>5758.79</v>
      </c>
    </row>
    <row r="2483" spans="1:17" x14ac:dyDescent="0.25">
      <c r="A2483" s="549" t="s">
        <v>1071</v>
      </c>
      <c r="B2483" s="549" t="s">
        <v>1072</v>
      </c>
      <c r="C2483" s="549" t="s">
        <v>733</v>
      </c>
      <c r="D2483" s="549" t="s">
        <v>734</v>
      </c>
      <c r="E2483" s="549" t="s">
        <v>977</v>
      </c>
      <c r="F2483" s="549" t="s">
        <v>1212</v>
      </c>
      <c r="G2483" s="549">
        <v>2072</v>
      </c>
      <c r="H2483" s="549" t="s">
        <v>733</v>
      </c>
      <c r="I2483" s="549" t="s">
        <v>976</v>
      </c>
      <c r="J2483" s="549" t="s">
        <v>976</v>
      </c>
      <c r="K2483" s="549" t="s">
        <v>976</v>
      </c>
      <c r="L2483" s="549">
        <v>49856.480000000003</v>
      </c>
      <c r="M2483" s="549">
        <v>3764.16</v>
      </c>
      <c r="N2483" s="549">
        <v>1101.83</v>
      </c>
      <c r="O2483" s="549">
        <v>892.8</v>
      </c>
      <c r="P2483" s="549">
        <v>100</v>
      </c>
      <c r="Q2483" s="549">
        <v>5758.79</v>
      </c>
    </row>
    <row r="2484" spans="1:17" x14ac:dyDescent="0.25">
      <c r="A2484" s="549" t="s">
        <v>1071</v>
      </c>
      <c r="B2484" s="549" t="s">
        <v>1072</v>
      </c>
      <c r="C2484" s="549" t="s">
        <v>733</v>
      </c>
      <c r="D2484" s="549" t="s">
        <v>734</v>
      </c>
      <c r="E2484" s="549" t="s">
        <v>977</v>
      </c>
      <c r="F2484" s="549" t="s">
        <v>1212</v>
      </c>
      <c r="G2484" s="549">
        <v>2082</v>
      </c>
      <c r="H2484" s="549" t="s">
        <v>733</v>
      </c>
      <c r="I2484" s="549" t="s">
        <v>976</v>
      </c>
      <c r="J2484" s="549" t="s">
        <v>976</v>
      </c>
      <c r="K2484" s="549" t="s">
        <v>976</v>
      </c>
      <c r="L2484" s="549">
        <v>49856.480000000003</v>
      </c>
      <c r="M2484" s="549">
        <v>3764.16</v>
      </c>
      <c r="N2484" s="549">
        <v>1101.83</v>
      </c>
      <c r="O2484" s="549">
        <v>892.8</v>
      </c>
      <c r="P2484" s="549">
        <v>100</v>
      </c>
      <c r="Q2484" s="549">
        <v>5758.79</v>
      </c>
    </row>
    <row r="2485" spans="1:17" x14ac:dyDescent="0.25">
      <c r="A2485" s="549" t="s">
        <v>1071</v>
      </c>
      <c r="B2485" s="549" t="s">
        <v>1072</v>
      </c>
      <c r="C2485" s="549" t="s">
        <v>733</v>
      </c>
      <c r="D2485" s="549" t="s">
        <v>734</v>
      </c>
      <c r="E2485" s="549" t="s">
        <v>977</v>
      </c>
      <c r="F2485" s="549" t="s">
        <v>1212</v>
      </c>
      <c r="G2485" s="549">
        <v>2092</v>
      </c>
      <c r="H2485" s="549" t="s">
        <v>733</v>
      </c>
      <c r="I2485" s="549" t="s">
        <v>976</v>
      </c>
      <c r="J2485" s="549" t="s">
        <v>976</v>
      </c>
      <c r="K2485" s="549" t="s">
        <v>976</v>
      </c>
      <c r="L2485" s="549">
        <v>49856.480000000003</v>
      </c>
      <c r="M2485" s="549">
        <v>3764.16</v>
      </c>
      <c r="N2485" s="549">
        <v>1101.83</v>
      </c>
      <c r="O2485" s="549">
        <v>892.8</v>
      </c>
      <c r="P2485" s="549">
        <v>100</v>
      </c>
      <c r="Q2485" s="549">
        <v>5758.79</v>
      </c>
    </row>
    <row r="2486" spans="1:17" x14ac:dyDescent="0.25">
      <c r="A2486" s="549" t="s">
        <v>1071</v>
      </c>
      <c r="B2486" s="549" t="s">
        <v>1072</v>
      </c>
      <c r="C2486" s="549" t="s">
        <v>733</v>
      </c>
      <c r="D2486" s="549" t="s">
        <v>734</v>
      </c>
      <c r="E2486" s="549" t="s">
        <v>977</v>
      </c>
      <c r="F2486" s="549" t="s">
        <v>1212</v>
      </c>
      <c r="G2486" s="549">
        <v>2102</v>
      </c>
      <c r="H2486" s="549" t="s">
        <v>733</v>
      </c>
      <c r="I2486" s="549" t="s">
        <v>976</v>
      </c>
      <c r="J2486" s="549" t="s">
        <v>976</v>
      </c>
      <c r="K2486" s="549" t="s">
        <v>976</v>
      </c>
      <c r="L2486" s="549">
        <v>49856.480000000003</v>
      </c>
      <c r="M2486" s="549">
        <v>3764.16</v>
      </c>
      <c r="N2486" s="549">
        <v>1101.83</v>
      </c>
      <c r="O2486" s="549">
        <v>892.8</v>
      </c>
      <c r="P2486" s="549">
        <v>100</v>
      </c>
      <c r="Q2486" s="549">
        <v>5758.79</v>
      </c>
    </row>
    <row r="2487" spans="1:17" x14ac:dyDescent="0.25">
      <c r="A2487" s="549" t="s">
        <v>1071</v>
      </c>
      <c r="B2487" s="549" t="s">
        <v>1072</v>
      </c>
      <c r="C2487" s="549" t="s">
        <v>733</v>
      </c>
      <c r="D2487" s="549" t="s">
        <v>734</v>
      </c>
      <c r="E2487" s="549" t="s">
        <v>977</v>
      </c>
      <c r="F2487" s="549" t="s">
        <v>1212</v>
      </c>
      <c r="G2487" s="549">
        <v>2112</v>
      </c>
      <c r="H2487" s="549" t="s">
        <v>733</v>
      </c>
      <c r="I2487" s="549" t="s">
        <v>976</v>
      </c>
      <c r="J2487" s="549" t="s">
        <v>976</v>
      </c>
      <c r="K2487" s="549" t="s">
        <v>976</v>
      </c>
      <c r="L2487" s="549">
        <v>53304.17</v>
      </c>
      <c r="M2487" s="549">
        <v>4024.46</v>
      </c>
      <c r="N2487" s="549">
        <v>1178.02</v>
      </c>
      <c r="O2487" s="549">
        <v>992</v>
      </c>
      <c r="P2487" s="549">
        <v>100</v>
      </c>
      <c r="Q2487" s="549">
        <v>6194.48</v>
      </c>
    </row>
    <row r="2488" spans="1:17" x14ac:dyDescent="0.25">
      <c r="A2488" s="549" t="s">
        <v>1071</v>
      </c>
      <c r="B2488" s="549" t="s">
        <v>1072</v>
      </c>
      <c r="C2488" s="549" t="s">
        <v>733</v>
      </c>
      <c r="D2488" s="549" t="s">
        <v>734</v>
      </c>
      <c r="E2488" s="549" t="s">
        <v>977</v>
      </c>
      <c r="F2488" s="549" t="s">
        <v>1212</v>
      </c>
      <c r="G2488" s="549" t="s">
        <v>1304</v>
      </c>
      <c r="H2488" s="549" t="s">
        <v>733</v>
      </c>
      <c r="I2488" s="549" t="s">
        <v>976</v>
      </c>
      <c r="J2488" s="549" t="s">
        <v>976</v>
      </c>
      <c r="K2488" s="549" t="s">
        <v>976</v>
      </c>
      <c r="L2488" s="549">
        <v>44913.42</v>
      </c>
      <c r="M2488" s="549">
        <v>3390.96</v>
      </c>
      <c r="N2488" s="549">
        <v>992.59</v>
      </c>
      <c r="O2488" s="549">
        <v>0</v>
      </c>
      <c r="P2488" s="549">
        <v>100</v>
      </c>
      <c r="Q2488" s="549">
        <v>4383.55</v>
      </c>
    </row>
    <row r="2489" spans="1:17" x14ac:dyDescent="0.25">
      <c r="A2489" s="549" t="s">
        <v>1071</v>
      </c>
      <c r="B2489" s="549" t="s">
        <v>1072</v>
      </c>
      <c r="C2489" s="549" t="s">
        <v>733</v>
      </c>
      <c r="D2489" s="549" t="s">
        <v>734</v>
      </c>
      <c r="E2489" s="549" t="s">
        <v>977</v>
      </c>
      <c r="F2489" s="549" t="s">
        <v>1212</v>
      </c>
      <c r="G2489" s="549" t="s">
        <v>1386</v>
      </c>
      <c r="H2489" s="549" t="s">
        <v>733</v>
      </c>
      <c r="I2489" s="549" t="s">
        <v>976</v>
      </c>
      <c r="J2489" s="549" t="s">
        <v>976</v>
      </c>
      <c r="K2489" s="549" t="s">
        <v>976</v>
      </c>
      <c r="L2489" s="549">
        <v>44913.42</v>
      </c>
      <c r="M2489" s="549">
        <v>3390.96</v>
      </c>
      <c r="N2489" s="549">
        <v>992.59</v>
      </c>
      <c r="O2489" s="549">
        <v>0</v>
      </c>
      <c r="P2489" s="549">
        <v>100</v>
      </c>
      <c r="Q2489" s="549">
        <v>4383.55</v>
      </c>
    </row>
    <row r="2490" spans="1:17" x14ac:dyDescent="0.25">
      <c r="A2490" s="549" t="s">
        <v>1071</v>
      </c>
      <c r="B2490" s="549" t="s">
        <v>1072</v>
      </c>
      <c r="C2490" s="549" t="s">
        <v>733</v>
      </c>
      <c r="D2490" s="549" t="s">
        <v>734</v>
      </c>
      <c r="E2490" s="549" t="s">
        <v>977</v>
      </c>
      <c r="F2490" s="549" t="s">
        <v>1212</v>
      </c>
      <c r="G2490" s="549" t="s">
        <v>1343</v>
      </c>
      <c r="H2490" s="549" t="s">
        <v>733</v>
      </c>
      <c r="I2490" s="549" t="s">
        <v>976</v>
      </c>
      <c r="J2490" s="549" t="s">
        <v>976</v>
      </c>
      <c r="K2490" s="549" t="s">
        <v>976</v>
      </c>
      <c r="L2490" s="549">
        <v>30069.81</v>
      </c>
      <c r="M2490" s="549">
        <v>2270.27</v>
      </c>
      <c r="N2490" s="549">
        <v>664.54</v>
      </c>
      <c r="O2490" s="549">
        <v>0</v>
      </c>
      <c r="P2490" s="549">
        <v>100</v>
      </c>
      <c r="Q2490" s="549">
        <v>2934.81</v>
      </c>
    </row>
    <row r="2491" spans="1:17" x14ac:dyDescent="0.25">
      <c r="A2491" s="549" t="s">
        <v>1071</v>
      </c>
      <c r="B2491" s="549" t="s">
        <v>1072</v>
      </c>
      <c r="C2491" s="549" t="s">
        <v>733</v>
      </c>
      <c r="D2491" s="549" t="s">
        <v>734</v>
      </c>
      <c r="E2491" s="549" t="s">
        <v>977</v>
      </c>
      <c r="F2491" s="549" t="s">
        <v>1212</v>
      </c>
      <c r="G2491" s="549" t="s">
        <v>1277</v>
      </c>
      <c r="H2491" s="549" t="s">
        <v>733</v>
      </c>
      <c r="I2491" s="549" t="s">
        <v>976</v>
      </c>
      <c r="J2491" s="549" t="s">
        <v>976</v>
      </c>
      <c r="K2491" s="549" t="s">
        <v>976</v>
      </c>
      <c r="L2491" s="549">
        <v>44913.42</v>
      </c>
      <c r="M2491" s="549">
        <v>3390.96</v>
      </c>
      <c r="N2491" s="549">
        <v>992.59</v>
      </c>
      <c r="O2491" s="549">
        <v>0</v>
      </c>
      <c r="P2491" s="549">
        <v>100</v>
      </c>
      <c r="Q2491" s="549">
        <v>4383.55</v>
      </c>
    </row>
    <row r="2492" spans="1:17" x14ac:dyDescent="0.25">
      <c r="A2492" s="549" t="s">
        <v>1071</v>
      </c>
      <c r="B2492" s="549" t="s">
        <v>1072</v>
      </c>
      <c r="C2492" s="549" t="s">
        <v>733</v>
      </c>
      <c r="D2492" s="549" t="s">
        <v>734</v>
      </c>
      <c r="E2492" s="549" t="s">
        <v>977</v>
      </c>
      <c r="F2492" s="549" t="s">
        <v>1212</v>
      </c>
      <c r="G2492" s="549" t="s">
        <v>1412</v>
      </c>
      <c r="H2492" s="549" t="s">
        <v>733</v>
      </c>
      <c r="I2492" s="549" t="s">
        <v>976</v>
      </c>
      <c r="J2492" s="549" t="s">
        <v>976</v>
      </c>
      <c r="K2492" s="549" t="s">
        <v>976</v>
      </c>
      <c r="L2492" s="549">
        <v>44913.42</v>
      </c>
      <c r="M2492" s="549">
        <v>3390.96</v>
      </c>
      <c r="N2492" s="549">
        <v>992.59</v>
      </c>
      <c r="O2492" s="549">
        <v>0</v>
      </c>
      <c r="P2492" s="549">
        <v>100</v>
      </c>
      <c r="Q2492" s="549">
        <v>4383.55</v>
      </c>
    </row>
    <row r="2493" spans="1:17" x14ac:dyDescent="0.25">
      <c r="A2493" s="549" t="s">
        <v>1071</v>
      </c>
      <c r="B2493" s="549" t="s">
        <v>1072</v>
      </c>
      <c r="C2493" s="549" t="s">
        <v>733</v>
      </c>
      <c r="D2493" s="549" t="s">
        <v>734</v>
      </c>
      <c r="E2493" s="549" t="s">
        <v>977</v>
      </c>
      <c r="F2493" s="549" t="s">
        <v>1212</v>
      </c>
      <c r="G2493" s="549" t="s">
        <v>1413</v>
      </c>
      <c r="H2493" s="549" t="s">
        <v>733</v>
      </c>
      <c r="I2493" s="549" t="s">
        <v>976</v>
      </c>
      <c r="J2493" s="549" t="s">
        <v>976</v>
      </c>
      <c r="K2493" s="549" t="s">
        <v>976</v>
      </c>
      <c r="L2493" s="549">
        <v>30557.08</v>
      </c>
      <c r="M2493" s="549">
        <v>2307.06</v>
      </c>
      <c r="N2493" s="549">
        <v>675.31</v>
      </c>
      <c r="O2493" s="549">
        <v>0</v>
      </c>
      <c r="P2493" s="549">
        <v>100</v>
      </c>
      <c r="Q2493" s="549">
        <v>2982.37</v>
      </c>
    </row>
    <row r="2494" spans="1:17" x14ac:dyDescent="0.25">
      <c r="A2494" s="549" t="s">
        <v>1071</v>
      </c>
      <c r="B2494" s="549" t="s">
        <v>1072</v>
      </c>
      <c r="C2494" s="549" t="s">
        <v>735</v>
      </c>
      <c r="D2494" s="549" t="s">
        <v>736</v>
      </c>
      <c r="E2494" s="549" t="s">
        <v>977</v>
      </c>
      <c r="F2494" s="549" t="s">
        <v>1212</v>
      </c>
      <c r="G2494" s="549">
        <v>52</v>
      </c>
      <c r="H2494" s="549" t="s">
        <v>731</v>
      </c>
      <c r="I2494" s="549" t="s">
        <v>976</v>
      </c>
      <c r="J2494" s="549" t="s">
        <v>976</v>
      </c>
      <c r="K2494" s="549" t="s">
        <v>976</v>
      </c>
      <c r="L2494" s="549">
        <v>328303.65999999997</v>
      </c>
      <c r="M2494" s="549">
        <v>24786.93</v>
      </c>
      <c r="N2494" s="549">
        <v>7255.51</v>
      </c>
      <c r="O2494" s="549">
        <v>3968</v>
      </c>
      <c r="P2494" s="549">
        <v>0</v>
      </c>
      <c r="Q2494" s="549">
        <v>0</v>
      </c>
    </row>
    <row r="2495" spans="1:17" x14ac:dyDescent="0.25">
      <c r="A2495" s="549" t="s">
        <v>1071</v>
      </c>
      <c r="B2495" s="549" t="s">
        <v>1072</v>
      </c>
      <c r="C2495" s="549" t="s">
        <v>735</v>
      </c>
      <c r="D2495" s="549" t="s">
        <v>736</v>
      </c>
      <c r="E2495" s="549" t="s">
        <v>977</v>
      </c>
      <c r="F2495" s="549" t="s">
        <v>1212</v>
      </c>
      <c r="G2495" s="549">
        <v>72</v>
      </c>
      <c r="H2495" s="549" t="s">
        <v>731</v>
      </c>
      <c r="I2495" s="549" t="s">
        <v>976</v>
      </c>
      <c r="J2495" s="549" t="s">
        <v>976</v>
      </c>
      <c r="K2495" s="549" t="s">
        <v>976</v>
      </c>
      <c r="L2495" s="549">
        <v>223974.74</v>
      </c>
      <c r="M2495" s="549">
        <v>16910.09</v>
      </c>
      <c r="N2495" s="549">
        <v>4949.84</v>
      </c>
      <c r="O2495" s="549">
        <v>1984</v>
      </c>
      <c r="P2495" s="549">
        <v>0</v>
      </c>
      <c r="Q2495" s="549">
        <v>0</v>
      </c>
    </row>
    <row r="2496" spans="1:17" x14ac:dyDescent="0.25">
      <c r="A2496" s="549" t="s">
        <v>1071</v>
      </c>
      <c r="B2496" s="549" t="s">
        <v>1072</v>
      </c>
      <c r="C2496" s="549" t="s">
        <v>735</v>
      </c>
      <c r="D2496" s="549" t="s">
        <v>736</v>
      </c>
      <c r="E2496" s="549" t="s">
        <v>977</v>
      </c>
      <c r="F2496" s="549" t="s">
        <v>1212</v>
      </c>
      <c r="G2496" s="549">
        <v>92</v>
      </c>
      <c r="H2496" s="549" t="s">
        <v>731</v>
      </c>
      <c r="I2496" s="549" t="s">
        <v>976</v>
      </c>
      <c r="J2496" s="549" t="s">
        <v>976</v>
      </c>
      <c r="K2496" s="549" t="s">
        <v>976</v>
      </c>
      <c r="L2496" s="549">
        <v>223974.74</v>
      </c>
      <c r="M2496" s="549">
        <v>16910.09</v>
      </c>
      <c r="N2496" s="549">
        <v>4949.84</v>
      </c>
      <c r="O2496" s="549">
        <v>1984</v>
      </c>
      <c r="P2496" s="549">
        <v>0</v>
      </c>
      <c r="Q2496" s="549">
        <v>0</v>
      </c>
    </row>
    <row r="2497" spans="1:17" x14ac:dyDescent="0.25">
      <c r="A2497" s="549" t="s">
        <v>1071</v>
      </c>
      <c r="B2497" s="549" t="s">
        <v>1072</v>
      </c>
      <c r="C2497" s="549" t="s">
        <v>735</v>
      </c>
      <c r="D2497" s="549" t="s">
        <v>736</v>
      </c>
      <c r="E2497" s="549" t="s">
        <v>977</v>
      </c>
      <c r="F2497" s="549" t="s">
        <v>1212</v>
      </c>
      <c r="G2497" s="549">
        <v>112</v>
      </c>
      <c r="H2497" s="549" t="s">
        <v>731</v>
      </c>
      <c r="I2497" s="549" t="s">
        <v>976</v>
      </c>
      <c r="J2497" s="549" t="s">
        <v>976</v>
      </c>
      <c r="K2497" s="549" t="s">
        <v>976</v>
      </c>
      <c r="L2497" s="549">
        <v>223974.74</v>
      </c>
      <c r="M2497" s="549">
        <v>16910.09</v>
      </c>
      <c r="N2497" s="549">
        <v>4949.84</v>
      </c>
      <c r="O2497" s="549">
        <v>1984</v>
      </c>
      <c r="P2497" s="549">
        <v>0</v>
      </c>
      <c r="Q2497" s="549">
        <v>0</v>
      </c>
    </row>
    <row r="2498" spans="1:17" x14ac:dyDescent="0.25">
      <c r="A2498" s="549" t="s">
        <v>1071</v>
      </c>
      <c r="B2498" s="549" t="s">
        <v>1072</v>
      </c>
      <c r="C2498" s="549" t="s">
        <v>735</v>
      </c>
      <c r="D2498" s="549" t="s">
        <v>736</v>
      </c>
      <c r="E2498" s="549" t="s">
        <v>977</v>
      </c>
      <c r="F2498" s="549" t="s">
        <v>1212</v>
      </c>
      <c r="G2498" s="549">
        <v>132</v>
      </c>
      <c r="H2498" s="549" t="s">
        <v>731</v>
      </c>
      <c r="I2498" s="549" t="s">
        <v>976</v>
      </c>
      <c r="J2498" s="549" t="s">
        <v>976</v>
      </c>
      <c r="K2498" s="549" t="s">
        <v>976</v>
      </c>
      <c r="L2498" s="549">
        <v>480667.43</v>
      </c>
      <c r="M2498" s="549">
        <v>36290.39</v>
      </c>
      <c r="N2498" s="549">
        <v>10622.75</v>
      </c>
      <c r="O2498" s="549">
        <v>3968</v>
      </c>
      <c r="P2498" s="549">
        <v>0</v>
      </c>
      <c r="Q2498" s="549">
        <v>0</v>
      </c>
    </row>
    <row r="2499" spans="1:17" x14ac:dyDescent="0.25">
      <c r="A2499" s="549" t="s">
        <v>1071</v>
      </c>
      <c r="B2499" s="549" t="s">
        <v>1072</v>
      </c>
      <c r="C2499" s="549" t="s">
        <v>735</v>
      </c>
      <c r="D2499" s="549" t="s">
        <v>736</v>
      </c>
      <c r="E2499" s="549" t="s">
        <v>977</v>
      </c>
      <c r="F2499" s="549" t="s">
        <v>1212</v>
      </c>
      <c r="G2499" s="549">
        <v>252</v>
      </c>
      <c r="H2499" s="549" t="s">
        <v>731</v>
      </c>
      <c r="I2499" s="549" t="s">
        <v>976</v>
      </c>
      <c r="J2499" s="549" t="s">
        <v>976</v>
      </c>
      <c r="K2499" s="549" t="s">
        <v>976</v>
      </c>
      <c r="L2499" s="549">
        <v>480667.43</v>
      </c>
      <c r="M2499" s="549">
        <v>36290.39</v>
      </c>
      <c r="N2499" s="549">
        <v>10622.75</v>
      </c>
      <c r="O2499" s="549">
        <v>3968</v>
      </c>
      <c r="P2499" s="549">
        <v>0</v>
      </c>
      <c r="Q2499" s="549">
        <v>0</v>
      </c>
    </row>
    <row r="2500" spans="1:17" x14ac:dyDescent="0.25">
      <c r="A2500" s="549" t="s">
        <v>1071</v>
      </c>
      <c r="B2500" s="549" t="s">
        <v>1072</v>
      </c>
      <c r="C2500" s="549" t="s">
        <v>735</v>
      </c>
      <c r="D2500" s="549" t="s">
        <v>736</v>
      </c>
      <c r="E2500" s="549" t="s">
        <v>977</v>
      </c>
      <c r="F2500" s="549" t="s">
        <v>1212</v>
      </c>
      <c r="G2500" s="549">
        <v>592</v>
      </c>
      <c r="H2500" s="549" t="s">
        <v>731</v>
      </c>
      <c r="I2500" s="549" t="s">
        <v>976</v>
      </c>
      <c r="J2500" s="549" t="s">
        <v>976</v>
      </c>
      <c r="K2500" s="549" t="s">
        <v>976</v>
      </c>
      <c r="L2500" s="549">
        <v>328303.65999999997</v>
      </c>
      <c r="M2500" s="549">
        <v>24786.93</v>
      </c>
      <c r="N2500" s="549">
        <v>7255.51</v>
      </c>
      <c r="O2500" s="549">
        <v>3968</v>
      </c>
      <c r="P2500" s="549">
        <v>0</v>
      </c>
      <c r="Q2500" s="549">
        <v>0</v>
      </c>
    </row>
    <row r="2501" spans="1:17" x14ac:dyDescent="0.25">
      <c r="A2501" s="549" t="s">
        <v>1071</v>
      </c>
      <c r="B2501" s="549" t="s">
        <v>1072</v>
      </c>
      <c r="C2501" s="549" t="s">
        <v>735</v>
      </c>
      <c r="D2501" s="549" t="s">
        <v>736</v>
      </c>
      <c r="E2501" s="549" t="s">
        <v>977</v>
      </c>
      <c r="F2501" s="549" t="s">
        <v>1212</v>
      </c>
      <c r="G2501" s="549" t="s">
        <v>1383</v>
      </c>
      <c r="H2501" s="549" t="s">
        <v>731</v>
      </c>
      <c r="I2501" s="549" t="s">
        <v>976</v>
      </c>
      <c r="J2501" s="549" t="s">
        <v>976</v>
      </c>
      <c r="K2501" s="549" t="s">
        <v>976</v>
      </c>
      <c r="L2501" s="549">
        <v>78441.05</v>
      </c>
      <c r="M2501" s="549">
        <v>5922.3</v>
      </c>
      <c r="N2501" s="549">
        <v>1733.55</v>
      </c>
      <c r="O2501" s="549">
        <v>1984</v>
      </c>
      <c r="P2501" s="549">
        <v>0</v>
      </c>
      <c r="Q2501" s="549">
        <v>0</v>
      </c>
    </row>
    <row r="2502" spans="1:17" x14ac:dyDescent="0.25">
      <c r="A2502" s="549" t="s">
        <v>1071</v>
      </c>
      <c r="B2502" s="549" t="s">
        <v>1072</v>
      </c>
      <c r="C2502" s="549" t="s">
        <v>735</v>
      </c>
      <c r="D2502" s="549" t="s">
        <v>736</v>
      </c>
      <c r="E2502" s="549" t="s">
        <v>977</v>
      </c>
      <c r="F2502" s="549" t="s">
        <v>1212</v>
      </c>
      <c r="G2502" s="549" t="s">
        <v>1384</v>
      </c>
      <c r="H2502" s="549" t="s">
        <v>731</v>
      </c>
      <c r="I2502" s="549" t="s">
        <v>976</v>
      </c>
      <c r="J2502" s="549" t="s">
        <v>976</v>
      </c>
      <c r="K2502" s="549" t="s">
        <v>976</v>
      </c>
      <c r="L2502" s="549">
        <v>78441.05</v>
      </c>
      <c r="M2502" s="549">
        <v>5922.3</v>
      </c>
      <c r="N2502" s="549">
        <v>1733.55</v>
      </c>
      <c r="O2502" s="549">
        <v>1984</v>
      </c>
      <c r="P2502" s="549">
        <v>0</v>
      </c>
      <c r="Q2502" s="549">
        <v>0</v>
      </c>
    </row>
    <row r="2503" spans="1:17" x14ac:dyDescent="0.25">
      <c r="A2503" s="549" t="s">
        <v>1071</v>
      </c>
      <c r="B2503" s="549" t="s">
        <v>1072</v>
      </c>
      <c r="C2503" s="549" t="s">
        <v>735</v>
      </c>
      <c r="D2503" s="549" t="s">
        <v>736</v>
      </c>
      <c r="E2503" s="549" t="s">
        <v>977</v>
      </c>
      <c r="F2503" s="549" t="s">
        <v>1212</v>
      </c>
      <c r="G2503" s="549" t="s">
        <v>1336</v>
      </c>
      <c r="H2503" s="549" t="s">
        <v>731</v>
      </c>
      <c r="I2503" s="549" t="s">
        <v>976</v>
      </c>
      <c r="J2503" s="549" t="s">
        <v>976</v>
      </c>
      <c r="K2503" s="549" t="s">
        <v>976</v>
      </c>
      <c r="L2503" s="549">
        <v>78441.05</v>
      </c>
      <c r="M2503" s="549">
        <v>5922.3</v>
      </c>
      <c r="N2503" s="549">
        <v>1733.55</v>
      </c>
      <c r="O2503" s="549">
        <v>1984</v>
      </c>
      <c r="P2503" s="549">
        <v>0</v>
      </c>
      <c r="Q2503" s="549">
        <v>0</v>
      </c>
    </row>
    <row r="2504" spans="1:17" x14ac:dyDescent="0.25">
      <c r="A2504" s="549" t="s">
        <v>1071</v>
      </c>
      <c r="B2504" s="549" t="s">
        <v>1072</v>
      </c>
      <c r="C2504" s="549" t="s">
        <v>735</v>
      </c>
      <c r="D2504" s="549" t="s">
        <v>736</v>
      </c>
      <c r="E2504" s="549" t="s">
        <v>977</v>
      </c>
      <c r="F2504" s="549" t="s">
        <v>1212</v>
      </c>
      <c r="G2504" s="549" t="s">
        <v>1385</v>
      </c>
      <c r="H2504" s="549" t="s">
        <v>731</v>
      </c>
      <c r="I2504" s="549" t="s">
        <v>976</v>
      </c>
      <c r="J2504" s="549" t="s">
        <v>976</v>
      </c>
      <c r="K2504" s="549" t="s">
        <v>976</v>
      </c>
      <c r="L2504" s="549">
        <v>78441.05</v>
      </c>
      <c r="M2504" s="549">
        <v>5922.3</v>
      </c>
      <c r="N2504" s="549">
        <v>1733.55</v>
      </c>
      <c r="O2504" s="549">
        <v>1984</v>
      </c>
      <c r="P2504" s="549">
        <v>0</v>
      </c>
      <c r="Q2504" s="549">
        <v>0</v>
      </c>
    </row>
    <row r="2505" spans="1:17" x14ac:dyDescent="0.25">
      <c r="A2505" s="549" t="s">
        <v>1071</v>
      </c>
      <c r="B2505" s="549" t="s">
        <v>1072</v>
      </c>
      <c r="C2505" s="549" t="s">
        <v>735</v>
      </c>
      <c r="D2505" s="549" t="s">
        <v>736</v>
      </c>
      <c r="E2505" s="549" t="s">
        <v>977</v>
      </c>
      <c r="F2505" s="549" t="s">
        <v>1212</v>
      </c>
      <c r="G2505" s="549" t="s">
        <v>1234</v>
      </c>
      <c r="H2505" s="549" t="s">
        <v>731</v>
      </c>
      <c r="I2505" s="549" t="s">
        <v>976</v>
      </c>
      <c r="J2505" s="549" t="s">
        <v>976</v>
      </c>
      <c r="K2505" s="549" t="s">
        <v>976</v>
      </c>
      <c r="L2505" s="549">
        <v>78441.05</v>
      </c>
      <c r="M2505" s="549">
        <v>5922.3</v>
      </c>
      <c r="N2505" s="549">
        <v>1733.55</v>
      </c>
      <c r="O2505" s="549">
        <v>1984</v>
      </c>
      <c r="P2505" s="549">
        <v>0</v>
      </c>
      <c r="Q2505" s="549">
        <v>0</v>
      </c>
    </row>
    <row r="2506" spans="1:17" x14ac:dyDescent="0.25">
      <c r="A2506" s="549" t="s">
        <v>1071</v>
      </c>
      <c r="B2506" s="549" t="s">
        <v>1072</v>
      </c>
      <c r="C2506" s="549" t="s">
        <v>735</v>
      </c>
      <c r="D2506" s="549" t="s">
        <v>736</v>
      </c>
      <c r="E2506" s="549" t="s">
        <v>977</v>
      </c>
      <c r="F2506" s="549" t="s">
        <v>1212</v>
      </c>
      <c r="G2506" s="549" t="s">
        <v>1392</v>
      </c>
      <c r="H2506" s="549" t="s">
        <v>731</v>
      </c>
      <c r="I2506" s="549" t="s">
        <v>976</v>
      </c>
      <c r="J2506" s="549" t="s">
        <v>976</v>
      </c>
      <c r="K2506" s="549" t="s">
        <v>976</v>
      </c>
      <c r="L2506" s="549">
        <v>16493.240000000002</v>
      </c>
      <c r="M2506" s="549">
        <v>1245.24</v>
      </c>
      <c r="N2506" s="549">
        <v>364.5</v>
      </c>
      <c r="O2506" s="549">
        <v>0</v>
      </c>
      <c r="P2506" s="549">
        <v>0</v>
      </c>
      <c r="Q2506" s="549">
        <v>0</v>
      </c>
    </row>
    <row r="2507" spans="1:17" x14ac:dyDescent="0.25">
      <c r="A2507" s="549" t="s">
        <v>1071</v>
      </c>
      <c r="B2507" s="549" t="s">
        <v>1072</v>
      </c>
      <c r="C2507" s="549" t="s">
        <v>735</v>
      </c>
      <c r="D2507" s="549" t="s">
        <v>736</v>
      </c>
      <c r="E2507" s="549" t="s">
        <v>977</v>
      </c>
      <c r="F2507" s="549" t="s">
        <v>1212</v>
      </c>
      <c r="G2507" s="549" t="s">
        <v>1394</v>
      </c>
      <c r="H2507" s="549" t="s">
        <v>731</v>
      </c>
      <c r="I2507" s="549" t="s">
        <v>976</v>
      </c>
      <c r="J2507" s="549" t="s">
        <v>976</v>
      </c>
      <c r="K2507" s="549" t="s">
        <v>976</v>
      </c>
      <c r="L2507" s="549">
        <v>16493.240000000002</v>
      </c>
      <c r="M2507" s="549">
        <v>1245.24</v>
      </c>
      <c r="N2507" s="549">
        <v>364.5</v>
      </c>
      <c r="O2507" s="549">
        <v>0</v>
      </c>
      <c r="P2507" s="549">
        <v>0</v>
      </c>
      <c r="Q2507" s="549">
        <v>0</v>
      </c>
    </row>
    <row r="2508" spans="1:17" x14ac:dyDescent="0.25">
      <c r="A2508" s="549" t="s">
        <v>1071</v>
      </c>
      <c r="B2508" s="549" t="s">
        <v>1072</v>
      </c>
      <c r="C2508" s="549" t="s">
        <v>735</v>
      </c>
      <c r="D2508" s="549" t="s">
        <v>736</v>
      </c>
      <c r="E2508" s="549" t="s">
        <v>977</v>
      </c>
      <c r="F2508" s="549" t="s">
        <v>1212</v>
      </c>
      <c r="G2508" s="549" t="s">
        <v>1395</v>
      </c>
      <c r="H2508" s="549" t="s">
        <v>731</v>
      </c>
      <c r="I2508" s="549" t="s">
        <v>976</v>
      </c>
      <c r="J2508" s="549" t="s">
        <v>976</v>
      </c>
      <c r="K2508" s="549" t="s">
        <v>976</v>
      </c>
      <c r="L2508" s="549">
        <v>16493.240000000002</v>
      </c>
      <c r="M2508" s="549">
        <v>1245.24</v>
      </c>
      <c r="N2508" s="549">
        <v>364.5</v>
      </c>
      <c r="O2508" s="549">
        <v>0</v>
      </c>
      <c r="P2508" s="549">
        <v>0</v>
      </c>
      <c r="Q2508" s="549">
        <v>0</v>
      </c>
    </row>
    <row r="2509" spans="1:17" x14ac:dyDescent="0.25">
      <c r="A2509" s="549" t="s">
        <v>1071</v>
      </c>
      <c r="B2509" s="549" t="s">
        <v>1072</v>
      </c>
      <c r="C2509" s="549" t="s">
        <v>735</v>
      </c>
      <c r="D2509" s="549" t="s">
        <v>736</v>
      </c>
      <c r="E2509" s="549" t="s">
        <v>977</v>
      </c>
      <c r="F2509" s="549" t="s">
        <v>1212</v>
      </c>
      <c r="G2509" s="549" t="s">
        <v>1396</v>
      </c>
      <c r="H2509" s="549" t="s">
        <v>731</v>
      </c>
      <c r="I2509" s="549" t="s">
        <v>976</v>
      </c>
      <c r="J2509" s="549" t="s">
        <v>976</v>
      </c>
      <c r="K2509" s="549" t="s">
        <v>976</v>
      </c>
      <c r="L2509" s="549">
        <v>16493.240000000002</v>
      </c>
      <c r="M2509" s="549">
        <v>1245.24</v>
      </c>
      <c r="N2509" s="549">
        <v>364.5</v>
      </c>
      <c r="O2509" s="549">
        <v>0</v>
      </c>
      <c r="P2509" s="549">
        <v>0</v>
      </c>
      <c r="Q2509" s="549">
        <v>0</v>
      </c>
    </row>
    <row r="2510" spans="1:17" x14ac:dyDescent="0.25">
      <c r="A2510" s="549" t="s">
        <v>1071</v>
      </c>
      <c r="B2510" s="549" t="s">
        <v>1072</v>
      </c>
      <c r="C2510" s="549" t="s">
        <v>735</v>
      </c>
      <c r="D2510" s="549" t="s">
        <v>736</v>
      </c>
      <c r="E2510" s="549" t="s">
        <v>977</v>
      </c>
      <c r="F2510" s="549" t="s">
        <v>1212</v>
      </c>
      <c r="G2510" s="549">
        <v>152</v>
      </c>
      <c r="H2510" s="549" t="s">
        <v>733</v>
      </c>
      <c r="I2510" s="549" t="s">
        <v>976</v>
      </c>
      <c r="J2510" s="549" t="s">
        <v>976</v>
      </c>
      <c r="K2510" s="549" t="s">
        <v>976</v>
      </c>
      <c r="L2510" s="549">
        <v>667721.49</v>
      </c>
      <c r="M2510" s="549">
        <v>50412.97</v>
      </c>
      <c r="N2510" s="549">
        <v>14756.64</v>
      </c>
      <c r="O2510" s="549">
        <v>4960</v>
      </c>
      <c r="P2510" s="549">
        <v>16.03</v>
      </c>
      <c r="Q2510" s="549">
        <v>11241.78</v>
      </c>
    </row>
    <row r="2511" spans="1:17" x14ac:dyDescent="0.25">
      <c r="A2511" s="549" t="s">
        <v>1071</v>
      </c>
      <c r="B2511" s="549" t="s">
        <v>1072</v>
      </c>
      <c r="C2511" s="549" t="s">
        <v>735</v>
      </c>
      <c r="D2511" s="549" t="s">
        <v>736</v>
      </c>
      <c r="E2511" s="549" t="s">
        <v>977</v>
      </c>
      <c r="F2511" s="549" t="s">
        <v>1212</v>
      </c>
      <c r="G2511" s="549">
        <v>172</v>
      </c>
      <c r="H2511" s="549" t="s">
        <v>733</v>
      </c>
      <c r="I2511" s="549" t="s">
        <v>976</v>
      </c>
      <c r="J2511" s="549" t="s">
        <v>976</v>
      </c>
      <c r="K2511" s="549" t="s">
        <v>976</v>
      </c>
      <c r="L2511" s="549">
        <v>667721.49</v>
      </c>
      <c r="M2511" s="549">
        <v>50412.97</v>
      </c>
      <c r="N2511" s="549">
        <v>14756.64</v>
      </c>
      <c r="O2511" s="549">
        <v>4960</v>
      </c>
      <c r="P2511" s="549">
        <v>16.03</v>
      </c>
      <c r="Q2511" s="549">
        <v>11241.78</v>
      </c>
    </row>
    <row r="2512" spans="1:17" x14ac:dyDescent="0.25">
      <c r="A2512" s="549" t="s">
        <v>1071</v>
      </c>
      <c r="B2512" s="549" t="s">
        <v>1072</v>
      </c>
      <c r="C2512" s="549" t="s">
        <v>735</v>
      </c>
      <c r="D2512" s="549" t="s">
        <v>736</v>
      </c>
      <c r="E2512" s="549" t="s">
        <v>977</v>
      </c>
      <c r="F2512" s="549" t="s">
        <v>1212</v>
      </c>
      <c r="G2512" s="549">
        <v>192</v>
      </c>
      <c r="H2512" s="549" t="s">
        <v>733</v>
      </c>
      <c r="I2512" s="549" t="s">
        <v>976</v>
      </c>
      <c r="J2512" s="549" t="s">
        <v>976</v>
      </c>
      <c r="K2512" s="549" t="s">
        <v>976</v>
      </c>
      <c r="L2512" s="549">
        <v>667721.49</v>
      </c>
      <c r="M2512" s="549">
        <v>50412.97</v>
      </c>
      <c r="N2512" s="549">
        <v>14756.64</v>
      </c>
      <c r="O2512" s="549">
        <v>4960</v>
      </c>
      <c r="P2512" s="549">
        <v>16.03</v>
      </c>
      <c r="Q2512" s="549">
        <v>11241.78</v>
      </c>
    </row>
    <row r="2513" spans="1:17" x14ac:dyDescent="0.25">
      <c r="A2513" s="549" t="s">
        <v>1071</v>
      </c>
      <c r="B2513" s="549" t="s">
        <v>1072</v>
      </c>
      <c r="C2513" s="549" t="s">
        <v>735</v>
      </c>
      <c r="D2513" s="549" t="s">
        <v>736</v>
      </c>
      <c r="E2513" s="549" t="s">
        <v>977</v>
      </c>
      <c r="F2513" s="549" t="s">
        <v>1212</v>
      </c>
      <c r="G2513" s="549">
        <v>202</v>
      </c>
      <c r="H2513" s="549" t="s">
        <v>733</v>
      </c>
      <c r="I2513" s="549" t="s">
        <v>976</v>
      </c>
      <c r="J2513" s="549" t="s">
        <v>976</v>
      </c>
      <c r="K2513" s="549" t="s">
        <v>976</v>
      </c>
      <c r="L2513" s="549">
        <v>667721.49</v>
      </c>
      <c r="M2513" s="549">
        <v>50412.97</v>
      </c>
      <c r="N2513" s="549">
        <v>14756.64</v>
      </c>
      <c r="O2513" s="549">
        <v>4960</v>
      </c>
      <c r="P2513" s="549">
        <v>16.03</v>
      </c>
      <c r="Q2513" s="549">
        <v>11241.78</v>
      </c>
    </row>
    <row r="2514" spans="1:17" x14ac:dyDescent="0.25">
      <c r="A2514" s="549" t="s">
        <v>1091</v>
      </c>
      <c r="B2514" s="549" t="s">
        <v>1092</v>
      </c>
      <c r="C2514" s="549" t="s">
        <v>855</v>
      </c>
      <c r="D2514" s="549" t="s">
        <v>856</v>
      </c>
      <c r="E2514" s="549" t="s">
        <v>973</v>
      </c>
      <c r="F2514" s="549" t="s">
        <v>1212</v>
      </c>
      <c r="G2514" s="549">
        <v>2872</v>
      </c>
      <c r="H2514" s="549" t="s">
        <v>855</v>
      </c>
      <c r="I2514" s="549" t="s">
        <v>976</v>
      </c>
      <c r="J2514" s="549" t="s">
        <v>976</v>
      </c>
      <c r="K2514" s="549" t="s">
        <v>976</v>
      </c>
      <c r="L2514" s="549">
        <v>46540.9</v>
      </c>
      <c r="M2514" s="549">
        <v>3513.84</v>
      </c>
      <c r="N2514" s="549">
        <v>2671.45</v>
      </c>
      <c r="O2514" s="549">
        <v>992</v>
      </c>
      <c r="P2514" s="549">
        <v>0</v>
      </c>
      <c r="Q2514" s="549">
        <v>0</v>
      </c>
    </row>
    <row r="2515" spans="1:17" x14ac:dyDescent="0.25">
      <c r="A2515" s="549" t="s">
        <v>1091</v>
      </c>
      <c r="B2515" s="549" t="s">
        <v>1092</v>
      </c>
      <c r="C2515" s="549" t="s">
        <v>855</v>
      </c>
      <c r="D2515" s="549" t="s">
        <v>856</v>
      </c>
      <c r="E2515" s="549" t="s">
        <v>973</v>
      </c>
      <c r="F2515" s="549" t="s">
        <v>1212</v>
      </c>
      <c r="G2515" s="549">
        <v>2862</v>
      </c>
      <c r="H2515" s="549" t="s">
        <v>855</v>
      </c>
      <c r="I2515" s="549" t="s">
        <v>976</v>
      </c>
      <c r="J2515" s="549" t="s">
        <v>976</v>
      </c>
      <c r="K2515" s="549" t="s">
        <v>976</v>
      </c>
      <c r="L2515" s="549">
        <v>44006.86</v>
      </c>
      <c r="M2515" s="549">
        <v>3322.52</v>
      </c>
      <c r="N2515" s="549">
        <v>2525.9899999999998</v>
      </c>
      <c r="O2515" s="549">
        <v>992</v>
      </c>
      <c r="P2515" s="549">
        <v>0</v>
      </c>
      <c r="Q2515" s="549">
        <v>0</v>
      </c>
    </row>
    <row r="2516" spans="1:17" x14ac:dyDescent="0.25">
      <c r="A2516" s="549" t="s">
        <v>1091</v>
      </c>
      <c r="B2516" s="549" t="s">
        <v>1092</v>
      </c>
      <c r="C2516" s="549" t="s">
        <v>855</v>
      </c>
      <c r="D2516" s="549" t="s">
        <v>856</v>
      </c>
      <c r="E2516" s="549" t="s">
        <v>973</v>
      </c>
      <c r="F2516" s="549" t="s">
        <v>1212</v>
      </c>
      <c r="G2516" s="549">
        <v>2842</v>
      </c>
      <c r="H2516" s="549" t="s">
        <v>855</v>
      </c>
      <c r="I2516" s="549" t="s">
        <v>976</v>
      </c>
      <c r="J2516" s="549" t="s">
        <v>976</v>
      </c>
      <c r="K2516" s="549" t="s">
        <v>976</v>
      </c>
      <c r="L2516" s="549">
        <v>44006.86</v>
      </c>
      <c r="M2516" s="549">
        <v>3322.52</v>
      </c>
      <c r="N2516" s="549">
        <v>2525.9899999999998</v>
      </c>
      <c r="O2516" s="549">
        <v>992</v>
      </c>
      <c r="P2516" s="549">
        <v>0</v>
      </c>
      <c r="Q2516" s="549">
        <v>0</v>
      </c>
    </row>
    <row r="2517" spans="1:17" x14ac:dyDescent="0.25">
      <c r="A2517" s="549" t="s">
        <v>1091</v>
      </c>
      <c r="B2517" s="549" t="s">
        <v>1092</v>
      </c>
      <c r="C2517" s="549" t="s">
        <v>855</v>
      </c>
      <c r="D2517" s="549" t="s">
        <v>856</v>
      </c>
      <c r="E2517" s="549" t="s">
        <v>973</v>
      </c>
      <c r="F2517" s="549" t="s">
        <v>1212</v>
      </c>
      <c r="G2517" s="549">
        <v>2822</v>
      </c>
      <c r="H2517" s="549" t="s">
        <v>855</v>
      </c>
      <c r="I2517" s="549" t="s">
        <v>976</v>
      </c>
      <c r="J2517" s="549" t="s">
        <v>976</v>
      </c>
      <c r="K2517" s="549" t="s">
        <v>976</v>
      </c>
      <c r="L2517" s="549">
        <v>44006.86</v>
      </c>
      <c r="M2517" s="549">
        <v>3322.52</v>
      </c>
      <c r="N2517" s="549">
        <v>2525.9899999999998</v>
      </c>
      <c r="O2517" s="549">
        <v>992</v>
      </c>
      <c r="P2517" s="549">
        <v>0</v>
      </c>
      <c r="Q2517" s="549">
        <v>0</v>
      </c>
    </row>
    <row r="2518" spans="1:17" x14ac:dyDescent="0.25">
      <c r="A2518" s="549" t="s">
        <v>1071</v>
      </c>
      <c r="B2518" s="549" t="s">
        <v>1072</v>
      </c>
      <c r="C2518" s="549" t="s">
        <v>720</v>
      </c>
      <c r="D2518" s="549" t="s">
        <v>721</v>
      </c>
      <c r="E2518" s="549" t="s">
        <v>973</v>
      </c>
      <c r="F2518" s="549" t="s">
        <v>1212</v>
      </c>
      <c r="G2518" s="549">
        <v>92</v>
      </c>
      <c r="H2518" s="549" t="s">
        <v>733</v>
      </c>
      <c r="I2518" s="549" t="s">
        <v>976</v>
      </c>
      <c r="J2518" s="549" t="s">
        <v>976</v>
      </c>
      <c r="K2518" s="549" t="s">
        <v>976</v>
      </c>
      <c r="L2518" s="549">
        <v>667721.49</v>
      </c>
      <c r="M2518" s="549">
        <v>50412.97</v>
      </c>
      <c r="N2518" s="549">
        <v>38327.21</v>
      </c>
      <c r="O2518" s="549">
        <v>4960</v>
      </c>
      <c r="P2518" s="549">
        <v>0</v>
      </c>
      <c r="Q2518" s="549">
        <v>0</v>
      </c>
    </row>
    <row r="2519" spans="1:17" x14ac:dyDescent="0.25">
      <c r="A2519" s="549" t="s">
        <v>1071</v>
      </c>
      <c r="B2519" s="549" t="s">
        <v>1072</v>
      </c>
      <c r="C2519" s="549" t="s">
        <v>720</v>
      </c>
      <c r="D2519" s="549" t="s">
        <v>721</v>
      </c>
      <c r="E2519" s="549" t="s">
        <v>973</v>
      </c>
      <c r="F2519" s="549" t="s">
        <v>1212</v>
      </c>
      <c r="G2519" s="549">
        <v>112</v>
      </c>
      <c r="H2519" s="549" t="s">
        <v>733</v>
      </c>
      <c r="I2519" s="549" t="s">
        <v>976</v>
      </c>
      <c r="J2519" s="549" t="s">
        <v>976</v>
      </c>
      <c r="K2519" s="549" t="s">
        <v>976</v>
      </c>
      <c r="L2519" s="549">
        <v>667721.49</v>
      </c>
      <c r="M2519" s="549">
        <v>50412.97</v>
      </c>
      <c r="N2519" s="549">
        <v>38327.21</v>
      </c>
      <c r="O2519" s="549">
        <v>4960</v>
      </c>
      <c r="P2519" s="549">
        <v>0</v>
      </c>
      <c r="Q2519" s="549">
        <v>0</v>
      </c>
    </row>
    <row r="2520" spans="1:17" x14ac:dyDescent="0.25">
      <c r="A2520" s="549" t="s">
        <v>1091</v>
      </c>
      <c r="B2520" s="549" t="s">
        <v>1092</v>
      </c>
      <c r="C2520" s="549" t="s">
        <v>855</v>
      </c>
      <c r="D2520" s="549" t="s">
        <v>856</v>
      </c>
      <c r="E2520" s="549" t="s">
        <v>973</v>
      </c>
      <c r="F2520" s="549" t="s">
        <v>1212</v>
      </c>
      <c r="G2520" s="549">
        <v>2818</v>
      </c>
      <c r="H2520" s="549" t="s">
        <v>855</v>
      </c>
      <c r="I2520" s="549" t="s">
        <v>976</v>
      </c>
      <c r="J2520" s="549" t="s">
        <v>976</v>
      </c>
      <c r="K2520" s="549" t="s">
        <v>976</v>
      </c>
      <c r="L2520" s="549">
        <v>45020.480000000003</v>
      </c>
      <c r="M2520" s="549">
        <v>3399.05</v>
      </c>
      <c r="N2520" s="549">
        <v>2584.1799999999998</v>
      </c>
      <c r="O2520" s="549">
        <v>992</v>
      </c>
      <c r="P2520" s="549">
        <v>0</v>
      </c>
      <c r="Q2520" s="549">
        <v>0</v>
      </c>
    </row>
    <row r="2521" spans="1:17" x14ac:dyDescent="0.25">
      <c r="A2521" s="549" t="s">
        <v>1091</v>
      </c>
      <c r="B2521" s="549" t="s">
        <v>1092</v>
      </c>
      <c r="C2521" s="549" t="s">
        <v>855</v>
      </c>
      <c r="D2521" s="549" t="s">
        <v>856</v>
      </c>
      <c r="E2521" s="549" t="s">
        <v>973</v>
      </c>
      <c r="F2521" s="549" t="s">
        <v>1212</v>
      </c>
      <c r="G2521" s="549">
        <v>2802</v>
      </c>
      <c r="H2521" s="549" t="s">
        <v>855</v>
      </c>
      <c r="I2521" s="549" t="s">
        <v>976</v>
      </c>
      <c r="J2521" s="549" t="s">
        <v>976</v>
      </c>
      <c r="K2521" s="549" t="s">
        <v>976</v>
      </c>
      <c r="L2521" s="549">
        <v>44006.86</v>
      </c>
      <c r="M2521" s="549">
        <v>3322.52</v>
      </c>
      <c r="N2521" s="549">
        <v>2525.9899999999998</v>
      </c>
      <c r="O2521" s="549">
        <v>992</v>
      </c>
      <c r="P2521" s="549">
        <v>0</v>
      </c>
      <c r="Q2521" s="549">
        <v>0</v>
      </c>
    </row>
    <row r="2522" spans="1:17" x14ac:dyDescent="0.25">
      <c r="A2522" s="549" t="s">
        <v>1091</v>
      </c>
      <c r="B2522" s="549" t="s">
        <v>1092</v>
      </c>
      <c r="C2522" s="549" t="s">
        <v>855</v>
      </c>
      <c r="D2522" s="549" t="s">
        <v>856</v>
      </c>
      <c r="E2522" s="549" t="s">
        <v>973</v>
      </c>
      <c r="F2522" s="549" t="s">
        <v>1212</v>
      </c>
      <c r="G2522" s="549">
        <v>2782</v>
      </c>
      <c r="H2522" s="549" t="s">
        <v>855</v>
      </c>
      <c r="I2522" s="549" t="s">
        <v>976</v>
      </c>
      <c r="J2522" s="549" t="s">
        <v>976</v>
      </c>
      <c r="K2522" s="549" t="s">
        <v>976</v>
      </c>
      <c r="L2522" s="549">
        <v>44006.86</v>
      </c>
      <c r="M2522" s="549">
        <v>3322.52</v>
      </c>
      <c r="N2522" s="549">
        <v>2525.9899999999998</v>
      </c>
      <c r="O2522" s="549">
        <v>992</v>
      </c>
      <c r="P2522" s="549">
        <v>0</v>
      </c>
      <c r="Q2522" s="549">
        <v>0</v>
      </c>
    </row>
    <row r="2523" spans="1:17" x14ac:dyDescent="0.25">
      <c r="A2523" s="549" t="s">
        <v>1091</v>
      </c>
      <c r="B2523" s="549" t="s">
        <v>1092</v>
      </c>
      <c r="C2523" s="549" t="s">
        <v>855</v>
      </c>
      <c r="D2523" s="549" t="s">
        <v>856</v>
      </c>
      <c r="E2523" s="549" t="s">
        <v>973</v>
      </c>
      <c r="F2523" s="549" t="s">
        <v>1212</v>
      </c>
      <c r="G2523" s="549">
        <v>2762</v>
      </c>
      <c r="H2523" s="549" t="s">
        <v>855</v>
      </c>
      <c r="I2523" s="549" t="s">
        <v>976</v>
      </c>
      <c r="J2523" s="549" t="s">
        <v>976</v>
      </c>
      <c r="K2523" s="549" t="s">
        <v>976</v>
      </c>
      <c r="L2523" s="549">
        <v>44006.86</v>
      </c>
      <c r="M2523" s="549">
        <v>3322.52</v>
      </c>
      <c r="N2523" s="549">
        <v>2525.9899999999998</v>
      </c>
      <c r="O2523" s="549">
        <v>992</v>
      </c>
      <c r="P2523" s="549">
        <v>0</v>
      </c>
      <c r="Q2523" s="549">
        <v>0</v>
      </c>
    </row>
    <row r="2524" spans="1:17" x14ac:dyDescent="0.25">
      <c r="A2524" s="549" t="s">
        <v>1091</v>
      </c>
      <c r="B2524" s="549" t="s">
        <v>1092</v>
      </c>
      <c r="C2524" s="549" t="s">
        <v>855</v>
      </c>
      <c r="D2524" s="549" t="s">
        <v>856</v>
      </c>
      <c r="E2524" s="549" t="s">
        <v>973</v>
      </c>
      <c r="F2524" s="549" t="s">
        <v>1212</v>
      </c>
      <c r="G2524" s="549">
        <v>2752</v>
      </c>
      <c r="H2524" s="549" t="s">
        <v>855</v>
      </c>
      <c r="I2524" s="549" t="s">
        <v>976</v>
      </c>
      <c r="J2524" s="549" t="s">
        <v>976</v>
      </c>
      <c r="K2524" s="549" t="s">
        <v>976</v>
      </c>
      <c r="L2524" s="549">
        <v>46540.9</v>
      </c>
      <c r="M2524" s="549">
        <v>3513.84</v>
      </c>
      <c r="N2524" s="549">
        <v>2671.45</v>
      </c>
      <c r="O2524" s="549">
        <v>992</v>
      </c>
      <c r="P2524" s="549">
        <v>0</v>
      </c>
      <c r="Q2524" s="549">
        <v>0</v>
      </c>
    </row>
    <row r="2525" spans="1:17" x14ac:dyDescent="0.25">
      <c r="A2525" s="549" t="s">
        <v>1091</v>
      </c>
      <c r="B2525" s="549" t="s">
        <v>1092</v>
      </c>
      <c r="C2525" s="549" t="s">
        <v>855</v>
      </c>
      <c r="D2525" s="549" t="s">
        <v>856</v>
      </c>
      <c r="E2525" s="549" t="s">
        <v>973</v>
      </c>
      <c r="F2525" s="549" t="s">
        <v>1212</v>
      </c>
      <c r="G2525" s="549">
        <v>2742</v>
      </c>
      <c r="H2525" s="549" t="s">
        <v>855</v>
      </c>
      <c r="I2525" s="549" t="s">
        <v>976</v>
      </c>
      <c r="J2525" s="549" t="s">
        <v>976</v>
      </c>
      <c r="K2525" s="549" t="s">
        <v>976</v>
      </c>
      <c r="L2525" s="549">
        <v>44006.86</v>
      </c>
      <c r="M2525" s="549">
        <v>3322.52</v>
      </c>
      <c r="N2525" s="549">
        <v>2525.9899999999998</v>
      </c>
      <c r="O2525" s="549">
        <v>992</v>
      </c>
      <c r="P2525" s="549">
        <v>0</v>
      </c>
      <c r="Q2525" s="549">
        <v>0</v>
      </c>
    </row>
    <row r="2526" spans="1:17" x14ac:dyDescent="0.25">
      <c r="A2526" s="549" t="s">
        <v>1071</v>
      </c>
      <c r="B2526" s="549" t="s">
        <v>1072</v>
      </c>
      <c r="C2526" s="549" t="s">
        <v>720</v>
      </c>
      <c r="D2526" s="549" t="s">
        <v>721</v>
      </c>
      <c r="E2526" s="549" t="s">
        <v>973</v>
      </c>
      <c r="F2526" s="549" t="s">
        <v>1212</v>
      </c>
      <c r="G2526" s="549">
        <v>1132</v>
      </c>
      <c r="H2526" s="549" t="s">
        <v>720</v>
      </c>
      <c r="I2526" s="549" t="s">
        <v>976</v>
      </c>
      <c r="J2526" s="549" t="s">
        <v>976</v>
      </c>
      <c r="K2526" s="549" t="s">
        <v>976</v>
      </c>
      <c r="L2526" s="549">
        <v>126259.37</v>
      </c>
      <c r="M2526" s="549">
        <v>9532.58</v>
      </c>
      <c r="N2526" s="549">
        <v>7247.29</v>
      </c>
      <c r="O2526" s="549">
        <v>1984</v>
      </c>
      <c r="P2526" s="549">
        <v>0</v>
      </c>
      <c r="Q2526" s="549">
        <v>0</v>
      </c>
    </row>
    <row r="2527" spans="1:17" x14ac:dyDescent="0.25">
      <c r="A2527" s="549" t="s">
        <v>1071</v>
      </c>
      <c r="B2527" s="549" t="s">
        <v>1072</v>
      </c>
      <c r="C2527" s="549" t="s">
        <v>720</v>
      </c>
      <c r="D2527" s="549" t="s">
        <v>721</v>
      </c>
      <c r="E2527" s="549" t="s">
        <v>973</v>
      </c>
      <c r="F2527" s="549" t="s">
        <v>1212</v>
      </c>
      <c r="G2527" s="549">
        <v>1227</v>
      </c>
      <c r="H2527" s="549" t="s">
        <v>720</v>
      </c>
      <c r="I2527" s="549" t="s">
        <v>976</v>
      </c>
      <c r="J2527" s="549" t="s">
        <v>976</v>
      </c>
      <c r="K2527" s="549" t="s">
        <v>976</v>
      </c>
      <c r="L2527" s="549">
        <v>19050.37</v>
      </c>
      <c r="M2527" s="549">
        <v>1438.3</v>
      </c>
      <c r="N2527" s="549">
        <v>1093.49</v>
      </c>
      <c r="O2527" s="549">
        <v>992</v>
      </c>
      <c r="P2527" s="549">
        <v>0</v>
      </c>
      <c r="Q2527" s="549">
        <v>0</v>
      </c>
    </row>
    <row r="2528" spans="1:17" x14ac:dyDescent="0.25">
      <c r="A2528" s="549" t="s">
        <v>1071</v>
      </c>
      <c r="B2528" s="549" t="s">
        <v>1072</v>
      </c>
      <c r="C2528" s="549" t="s">
        <v>720</v>
      </c>
      <c r="D2528" s="549" t="s">
        <v>721</v>
      </c>
      <c r="E2528" s="549" t="s">
        <v>973</v>
      </c>
      <c r="F2528" s="549" t="s">
        <v>1212</v>
      </c>
      <c r="G2528" s="549">
        <v>1232</v>
      </c>
      <c r="H2528" s="549" t="s">
        <v>720</v>
      </c>
      <c r="I2528" s="549" t="s">
        <v>976</v>
      </c>
      <c r="J2528" s="549" t="s">
        <v>976</v>
      </c>
      <c r="K2528" s="549" t="s">
        <v>976</v>
      </c>
      <c r="L2528" s="549">
        <v>126259.37</v>
      </c>
      <c r="M2528" s="549">
        <v>9532.58</v>
      </c>
      <c r="N2528" s="549">
        <v>7247.29</v>
      </c>
      <c r="O2528" s="549">
        <v>1984</v>
      </c>
      <c r="P2528" s="549">
        <v>0</v>
      </c>
      <c r="Q2528" s="549">
        <v>0</v>
      </c>
    </row>
    <row r="2529" spans="1:17" x14ac:dyDescent="0.25">
      <c r="A2529" s="549" t="s">
        <v>1071</v>
      </c>
      <c r="B2529" s="549" t="s">
        <v>1072</v>
      </c>
      <c r="C2529" s="549" t="s">
        <v>720</v>
      </c>
      <c r="D2529" s="549" t="s">
        <v>721</v>
      </c>
      <c r="E2529" s="549" t="s">
        <v>973</v>
      </c>
      <c r="F2529" s="549" t="s">
        <v>1212</v>
      </c>
      <c r="G2529" s="549" t="s">
        <v>1414</v>
      </c>
      <c r="H2529" s="549" t="s">
        <v>720</v>
      </c>
      <c r="I2529" s="549" t="s">
        <v>976</v>
      </c>
      <c r="J2529" s="549" t="s">
        <v>976</v>
      </c>
      <c r="K2529" s="549" t="s">
        <v>976</v>
      </c>
      <c r="L2529" s="549">
        <v>32624.07</v>
      </c>
      <c r="M2529" s="549">
        <v>2463.12</v>
      </c>
      <c r="N2529" s="549">
        <v>1872.62</v>
      </c>
      <c r="O2529" s="549">
        <v>1984</v>
      </c>
      <c r="P2529" s="549">
        <v>0</v>
      </c>
      <c r="Q2529" s="549">
        <v>0</v>
      </c>
    </row>
    <row r="2530" spans="1:17" x14ac:dyDescent="0.25">
      <c r="A2530" s="549" t="s">
        <v>1071</v>
      </c>
      <c r="B2530" s="549" t="s">
        <v>1072</v>
      </c>
      <c r="C2530" s="549" t="s">
        <v>720</v>
      </c>
      <c r="D2530" s="549" t="s">
        <v>721</v>
      </c>
      <c r="E2530" s="549" t="s">
        <v>973</v>
      </c>
      <c r="F2530" s="549" t="s">
        <v>1212</v>
      </c>
      <c r="G2530" s="549" t="s">
        <v>1415</v>
      </c>
      <c r="H2530" s="549" t="s">
        <v>720</v>
      </c>
      <c r="I2530" s="549" t="s">
        <v>976</v>
      </c>
      <c r="J2530" s="549" t="s">
        <v>976</v>
      </c>
      <c r="K2530" s="549" t="s">
        <v>976</v>
      </c>
      <c r="L2530" s="549">
        <v>32624.07</v>
      </c>
      <c r="M2530" s="549">
        <v>2463.12</v>
      </c>
      <c r="N2530" s="549">
        <v>1872.62</v>
      </c>
      <c r="O2530" s="549">
        <v>1984</v>
      </c>
      <c r="P2530" s="549">
        <v>0</v>
      </c>
      <c r="Q2530" s="549">
        <v>0</v>
      </c>
    </row>
    <row r="2531" spans="1:17" x14ac:dyDescent="0.25">
      <c r="A2531" s="549" t="s">
        <v>1071</v>
      </c>
      <c r="B2531" s="549" t="s">
        <v>1072</v>
      </c>
      <c r="C2531" s="549" t="s">
        <v>720</v>
      </c>
      <c r="D2531" s="549" t="s">
        <v>721</v>
      </c>
      <c r="E2531" s="549" t="s">
        <v>973</v>
      </c>
      <c r="F2531" s="549" t="s">
        <v>1212</v>
      </c>
      <c r="G2531" s="549" t="s">
        <v>1416</v>
      </c>
      <c r="H2531" s="549" t="s">
        <v>720</v>
      </c>
      <c r="I2531" s="549" t="s">
        <v>976</v>
      </c>
      <c r="J2531" s="549" t="s">
        <v>976</v>
      </c>
      <c r="K2531" s="549" t="s">
        <v>976</v>
      </c>
      <c r="L2531" s="549">
        <v>30527.24</v>
      </c>
      <c r="M2531" s="549">
        <v>2304.81</v>
      </c>
      <c r="N2531" s="549">
        <v>1752.26</v>
      </c>
      <c r="O2531" s="549">
        <v>0</v>
      </c>
      <c r="P2531" s="549">
        <v>0</v>
      </c>
      <c r="Q2531" s="549">
        <v>0</v>
      </c>
    </row>
    <row r="2532" spans="1:17" x14ac:dyDescent="0.25">
      <c r="A2532" s="549" t="s">
        <v>1071</v>
      </c>
      <c r="B2532" s="549" t="s">
        <v>1072</v>
      </c>
      <c r="C2532" s="549" t="s">
        <v>720</v>
      </c>
      <c r="D2532" s="549" t="s">
        <v>721</v>
      </c>
      <c r="E2532" s="549" t="s">
        <v>973</v>
      </c>
      <c r="F2532" s="549" t="s">
        <v>1212</v>
      </c>
      <c r="G2532" s="549" t="s">
        <v>1221</v>
      </c>
      <c r="H2532" s="549" t="s">
        <v>720</v>
      </c>
      <c r="I2532" s="549" t="s">
        <v>976</v>
      </c>
      <c r="J2532" s="549" t="s">
        <v>976</v>
      </c>
      <c r="K2532" s="549" t="s">
        <v>976</v>
      </c>
      <c r="L2532" s="549">
        <v>30527.24</v>
      </c>
      <c r="M2532" s="549">
        <v>2304.81</v>
      </c>
      <c r="N2532" s="549">
        <v>1752.26</v>
      </c>
      <c r="O2532" s="549">
        <v>0</v>
      </c>
      <c r="P2532" s="549">
        <v>0</v>
      </c>
      <c r="Q2532" s="549">
        <v>0</v>
      </c>
    </row>
    <row r="2533" spans="1:17" x14ac:dyDescent="0.25">
      <c r="A2533" s="549" t="s">
        <v>1091</v>
      </c>
      <c r="B2533" s="549" t="s">
        <v>1092</v>
      </c>
      <c r="C2533" s="549" t="s">
        <v>855</v>
      </c>
      <c r="D2533" s="549" t="s">
        <v>856</v>
      </c>
      <c r="E2533" s="549" t="s">
        <v>973</v>
      </c>
      <c r="F2533" s="549" t="s">
        <v>1212</v>
      </c>
      <c r="G2533" s="549">
        <v>2722</v>
      </c>
      <c r="H2533" s="549" t="s">
        <v>855</v>
      </c>
      <c r="I2533" s="549" t="s">
        <v>976</v>
      </c>
      <c r="J2533" s="549" t="s">
        <v>976</v>
      </c>
      <c r="K2533" s="549" t="s">
        <v>976</v>
      </c>
      <c r="L2533" s="549">
        <v>44006.86</v>
      </c>
      <c r="M2533" s="549">
        <v>3322.52</v>
      </c>
      <c r="N2533" s="549">
        <v>2525.9899999999998</v>
      </c>
      <c r="O2533" s="549">
        <v>992</v>
      </c>
      <c r="P2533" s="549">
        <v>0</v>
      </c>
      <c r="Q2533" s="549">
        <v>0</v>
      </c>
    </row>
    <row r="2534" spans="1:17" x14ac:dyDescent="0.25">
      <c r="A2534" s="549" t="s">
        <v>1071</v>
      </c>
      <c r="B2534" s="549" t="s">
        <v>1072</v>
      </c>
      <c r="C2534" s="549" t="s">
        <v>720</v>
      </c>
      <c r="D2534" s="549" t="s">
        <v>721</v>
      </c>
      <c r="E2534" s="549" t="s">
        <v>973</v>
      </c>
      <c r="F2534" s="549" t="s">
        <v>1212</v>
      </c>
      <c r="G2534" s="549" t="s">
        <v>1215</v>
      </c>
      <c r="H2534" s="549" t="s">
        <v>720</v>
      </c>
      <c r="I2534" s="549" t="s">
        <v>976</v>
      </c>
      <c r="J2534" s="549" t="s">
        <v>976</v>
      </c>
      <c r="K2534" s="549" t="s">
        <v>976</v>
      </c>
      <c r="L2534" s="549">
        <v>41233.089999999997</v>
      </c>
      <c r="M2534" s="549">
        <v>3113.1</v>
      </c>
      <c r="N2534" s="549">
        <v>2366.7800000000002</v>
      </c>
      <c r="O2534" s="549">
        <v>0</v>
      </c>
      <c r="P2534" s="549">
        <v>0</v>
      </c>
      <c r="Q2534" s="549">
        <v>0</v>
      </c>
    </row>
    <row r="2535" spans="1:17" x14ac:dyDescent="0.25">
      <c r="A2535" s="549" t="s">
        <v>1091</v>
      </c>
      <c r="B2535" s="549" t="s">
        <v>1092</v>
      </c>
      <c r="C2535" s="549" t="s">
        <v>855</v>
      </c>
      <c r="D2535" s="549" t="s">
        <v>856</v>
      </c>
      <c r="E2535" s="549" t="s">
        <v>973</v>
      </c>
      <c r="F2535" s="549" t="s">
        <v>1212</v>
      </c>
      <c r="G2535" s="549">
        <v>2302</v>
      </c>
      <c r="H2535" s="549" t="s">
        <v>855</v>
      </c>
      <c r="I2535" s="549" t="s">
        <v>976</v>
      </c>
      <c r="J2535" s="549" t="s">
        <v>976</v>
      </c>
      <c r="K2535" s="549" t="s">
        <v>976</v>
      </c>
      <c r="L2535" s="549">
        <v>109092.24</v>
      </c>
      <c r="M2535" s="549">
        <v>8236.4599999999991</v>
      </c>
      <c r="N2535" s="549">
        <v>6261.89</v>
      </c>
      <c r="O2535" s="549">
        <v>992</v>
      </c>
      <c r="P2535" s="549">
        <v>0</v>
      </c>
      <c r="Q2535" s="549">
        <v>0</v>
      </c>
    </row>
    <row r="2536" spans="1:17" x14ac:dyDescent="0.25">
      <c r="A2536" s="549" t="s">
        <v>1091</v>
      </c>
      <c r="B2536" s="549" t="s">
        <v>1092</v>
      </c>
      <c r="C2536" s="549" t="s">
        <v>855</v>
      </c>
      <c r="D2536" s="549" t="s">
        <v>856</v>
      </c>
      <c r="E2536" s="549" t="s">
        <v>973</v>
      </c>
      <c r="F2536" s="549" t="s">
        <v>1212</v>
      </c>
      <c r="G2536" s="549">
        <v>2292</v>
      </c>
      <c r="H2536" s="549" t="s">
        <v>855</v>
      </c>
      <c r="I2536" s="549" t="s">
        <v>976</v>
      </c>
      <c r="J2536" s="549" t="s">
        <v>976</v>
      </c>
      <c r="K2536" s="549" t="s">
        <v>976</v>
      </c>
      <c r="L2536" s="549">
        <v>109092.24</v>
      </c>
      <c r="M2536" s="549">
        <v>8236.4599999999991</v>
      </c>
      <c r="N2536" s="549">
        <v>6261.89</v>
      </c>
      <c r="O2536" s="549">
        <v>992</v>
      </c>
      <c r="P2536" s="549">
        <v>0</v>
      </c>
      <c r="Q2536" s="549">
        <v>0</v>
      </c>
    </row>
    <row r="2537" spans="1:17" x14ac:dyDescent="0.25">
      <c r="A2537" s="549" t="s">
        <v>1071</v>
      </c>
      <c r="B2537" s="549" t="s">
        <v>1072</v>
      </c>
      <c r="C2537" s="549" t="s">
        <v>720</v>
      </c>
      <c r="D2537" s="549" t="s">
        <v>721</v>
      </c>
      <c r="E2537" s="549" t="s">
        <v>973</v>
      </c>
      <c r="F2537" s="549" t="s">
        <v>1212</v>
      </c>
      <c r="G2537" s="549" t="s">
        <v>1288</v>
      </c>
      <c r="H2537" s="549" t="s">
        <v>720</v>
      </c>
      <c r="I2537" s="549" t="s">
        <v>976</v>
      </c>
      <c r="J2537" s="549" t="s">
        <v>976</v>
      </c>
      <c r="K2537" s="549" t="s">
        <v>976</v>
      </c>
      <c r="L2537" s="549">
        <v>41233.089999999997</v>
      </c>
      <c r="M2537" s="549">
        <v>3113.1</v>
      </c>
      <c r="N2537" s="549">
        <v>2366.7800000000002</v>
      </c>
      <c r="O2537" s="549">
        <v>0</v>
      </c>
      <c r="P2537" s="549">
        <v>0</v>
      </c>
      <c r="Q2537" s="549">
        <v>0</v>
      </c>
    </row>
    <row r="2538" spans="1:17" x14ac:dyDescent="0.25">
      <c r="A2538" s="549" t="s">
        <v>1071</v>
      </c>
      <c r="B2538" s="549" t="s">
        <v>1072</v>
      </c>
      <c r="C2538" s="549" t="s">
        <v>720</v>
      </c>
      <c r="D2538" s="549" t="s">
        <v>721</v>
      </c>
      <c r="E2538" s="549" t="s">
        <v>977</v>
      </c>
      <c r="F2538" s="549" t="s">
        <v>1212</v>
      </c>
      <c r="G2538" s="549">
        <v>92</v>
      </c>
      <c r="H2538" s="549" t="s">
        <v>733</v>
      </c>
      <c r="I2538" s="549" t="s">
        <v>976</v>
      </c>
      <c r="J2538" s="549" t="s">
        <v>976</v>
      </c>
      <c r="K2538" s="549" t="s">
        <v>976</v>
      </c>
      <c r="L2538" s="549">
        <v>667721.49</v>
      </c>
      <c r="M2538" s="549">
        <v>50412.97</v>
      </c>
      <c r="N2538" s="549">
        <v>14756.64</v>
      </c>
      <c r="O2538" s="549">
        <v>4960</v>
      </c>
      <c r="P2538" s="549">
        <v>100</v>
      </c>
      <c r="Q2538" s="549">
        <v>70129.61</v>
      </c>
    </row>
    <row r="2539" spans="1:17" x14ac:dyDescent="0.25">
      <c r="A2539" s="549" t="s">
        <v>1071</v>
      </c>
      <c r="B2539" s="549" t="s">
        <v>1072</v>
      </c>
      <c r="C2539" s="549" t="s">
        <v>720</v>
      </c>
      <c r="D2539" s="549" t="s">
        <v>721</v>
      </c>
      <c r="E2539" s="549" t="s">
        <v>977</v>
      </c>
      <c r="F2539" s="549" t="s">
        <v>1212</v>
      </c>
      <c r="G2539" s="549">
        <v>112</v>
      </c>
      <c r="H2539" s="549" t="s">
        <v>733</v>
      </c>
      <c r="I2539" s="549" t="s">
        <v>976</v>
      </c>
      <c r="J2539" s="549" t="s">
        <v>976</v>
      </c>
      <c r="K2539" s="549" t="s">
        <v>976</v>
      </c>
      <c r="L2539" s="549">
        <v>667721.49</v>
      </c>
      <c r="M2539" s="549">
        <v>50412.97</v>
      </c>
      <c r="N2539" s="549">
        <v>14756.64</v>
      </c>
      <c r="O2539" s="549">
        <v>4960</v>
      </c>
      <c r="P2539" s="549">
        <v>100</v>
      </c>
      <c r="Q2539" s="549">
        <v>70129.61</v>
      </c>
    </row>
    <row r="2540" spans="1:17" x14ac:dyDescent="0.25">
      <c r="A2540" s="549" t="s">
        <v>1091</v>
      </c>
      <c r="B2540" s="549" t="s">
        <v>1092</v>
      </c>
      <c r="C2540" s="549" t="s">
        <v>855</v>
      </c>
      <c r="D2540" s="549" t="s">
        <v>856</v>
      </c>
      <c r="E2540" s="549" t="s">
        <v>973</v>
      </c>
      <c r="F2540" s="549" t="s">
        <v>1212</v>
      </c>
      <c r="G2540" s="549">
        <v>2282</v>
      </c>
      <c r="H2540" s="549" t="s">
        <v>855</v>
      </c>
      <c r="I2540" s="549" t="s">
        <v>976</v>
      </c>
      <c r="J2540" s="549" t="s">
        <v>976</v>
      </c>
      <c r="K2540" s="549" t="s">
        <v>976</v>
      </c>
      <c r="L2540" s="549">
        <v>109092.24</v>
      </c>
      <c r="M2540" s="549">
        <v>8236.4599999999991</v>
      </c>
      <c r="N2540" s="549">
        <v>6261.89</v>
      </c>
      <c r="O2540" s="549">
        <v>992</v>
      </c>
      <c r="P2540" s="549">
        <v>0</v>
      </c>
      <c r="Q2540" s="549">
        <v>0</v>
      </c>
    </row>
    <row r="2541" spans="1:17" x14ac:dyDescent="0.25">
      <c r="A2541" s="549" t="s">
        <v>1091</v>
      </c>
      <c r="B2541" s="549" t="s">
        <v>1092</v>
      </c>
      <c r="C2541" s="549" t="s">
        <v>855</v>
      </c>
      <c r="D2541" s="549" t="s">
        <v>856</v>
      </c>
      <c r="E2541" s="549" t="s">
        <v>973</v>
      </c>
      <c r="F2541" s="549" t="s">
        <v>1212</v>
      </c>
      <c r="G2541" s="549">
        <v>2272</v>
      </c>
      <c r="H2541" s="549" t="s">
        <v>855</v>
      </c>
      <c r="I2541" s="549" t="s">
        <v>976</v>
      </c>
      <c r="J2541" s="549" t="s">
        <v>976</v>
      </c>
      <c r="K2541" s="549" t="s">
        <v>976</v>
      </c>
      <c r="L2541" s="549">
        <v>109092.24</v>
      </c>
      <c r="M2541" s="549">
        <v>8236.4599999999991</v>
      </c>
      <c r="N2541" s="549">
        <v>6261.89</v>
      </c>
      <c r="O2541" s="549">
        <v>992</v>
      </c>
      <c r="P2541" s="549">
        <v>0</v>
      </c>
      <c r="Q2541" s="549">
        <v>0</v>
      </c>
    </row>
    <row r="2542" spans="1:17" x14ac:dyDescent="0.25">
      <c r="A2542" s="549" t="s">
        <v>1091</v>
      </c>
      <c r="B2542" s="549" t="s">
        <v>1092</v>
      </c>
      <c r="C2542" s="549" t="s">
        <v>855</v>
      </c>
      <c r="D2542" s="549" t="s">
        <v>856</v>
      </c>
      <c r="E2542" s="549" t="s">
        <v>973</v>
      </c>
      <c r="F2542" s="549" t="s">
        <v>1212</v>
      </c>
      <c r="G2542" s="549">
        <v>2262</v>
      </c>
      <c r="H2542" s="549" t="s">
        <v>855</v>
      </c>
      <c r="I2542" s="549" t="s">
        <v>976</v>
      </c>
      <c r="J2542" s="549" t="s">
        <v>976</v>
      </c>
      <c r="K2542" s="549" t="s">
        <v>976</v>
      </c>
      <c r="L2542" s="549">
        <v>109092.24</v>
      </c>
      <c r="M2542" s="549">
        <v>8236.4599999999991</v>
      </c>
      <c r="N2542" s="549">
        <v>6261.89</v>
      </c>
      <c r="O2542" s="549">
        <v>992</v>
      </c>
      <c r="P2542" s="549">
        <v>0</v>
      </c>
      <c r="Q2542" s="549">
        <v>0</v>
      </c>
    </row>
    <row r="2543" spans="1:17" x14ac:dyDescent="0.25">
      <c r="A2543" s="549" t="s">
        <v>1091</v>
      </c>
      <c r="B2543" s="549" t="s">
        <v>1092</v>
      </c>
      <c r="C2543" s="549" t="s">
        <v>855</v>
      </c>
      <c r="D2543" s="549" t="s">
        <v>856</v>
      </c>
      <c r="E2543" s="549" t="s">
        <v>973</v>
      </c>
      <c r="F2543" s="549" t="s">
        <v>1212</v>
      </c>
      <c r="G2543" s="549">
        <v>2252</v>
      </c>
      <c r="H2543" s="549" t="s">
        <v>855</v>
      </c>
      <c r="I2543" s="549" t="s">
        <v>976</v>
      </c>
      <c r="J2543" s="549" t="s">
        <v>976</v>
      </c>
      <c r="K2543" s="549" t="s">
        <v>976</v>
      </c>
      <c r="L2543" s="549">
        <v>109092.24</v>
      </c>
      <c r="M2543" s="549">
        <v>8236.4599999999991</v>
      </c>
      <c r="N2543" s="549">
        <v>6261.89</v>
      </c>
      <c r="O2543" s="549">
        <v>992</v>
      </c>
      <c r="P2543" s="549">
        <v>0</v>
      </c>
      <c r="Q2543" s="549">
        <v>0</v>
      </c>
    </row>
    <row r="2544" spans="1:17" x14ac:dyDescent="0.25">
      <c r="A2544" s="549" t="s">
        <v>1091</v>
      </c>
      <c r="B2544" s="549" t="s">
        <v>1092</v>
      </c>
      <c r="C2544" s="549" t="s">
        <v>855</v>
      </c>
      <c r="D2544" s="549" t="s">
        <v>856</v>
      </c>
      <c r="E2544" s="549" t="s">
        <v>973</v>
      </c>
      <c r="F2544" s="549" t="s">
        <v>1212</v>
      </c>
      <c r="G2544" s="549">
        <v>2242</v>
      </c>
      <c r="H2544" s="549" t="s">
        <v>855</v>
      </c>
      <c r="I2544" s="549" t="s">
        <v>976</v>
      </c>
      <c r="J2544" s="549" t="s">
        <v>976</v>
      </c>
      <c r="K2544" s="549" t="s">
        <v>976</v>
      </c>
      <c r="L2544" s="549">
        <v>98189.9</v>
      </c>
      <c r="M2544" s="549">
        <v>7413.34</v>
      </c>
      <c r="N2544" s="549">
        <v>5636.1</v>
      </c>
      <c r="O2544" s="549">
        <v>992</v>
      </c>
      <c r="P2544" s="549">
        <v>0</v>
      </c>
      <c r="Q2544" s="549">
        <v>0</v>
      </c>
    </row>
    <row r="2545" spans="1:17" x14ac:dyDescent="0.25">
      <c r="A2545" s="549" t="s">
        <v>1091</v>
      </c>
      <c r="B2545" s="549" t="s">
        <v>1092</v>
      </c>
      <c r="C2545" s="549" t="s">
        <v>855</v>
      </c>
      <c r="D2545" s="549" t="s">
        <v>856</v>
      </c>
      <c r="E2545" s="549" t="s">
        <v>973</v>
      </c>
      <c r="F2545" s="549" t="s">
        <v>1212</v>
      </c>
      <c r="G2545" s="549">
        <v>2232</v>
      </c>
      <c r="H2545" s="549" t="s">
        <v>855</v>
      </c>
      <c r="I2545" s="549" t="s">
        <v>976</v>
      </c>
      <c r="J2545" s="549" t="s">
        <v>976</v>
      </c>
      <c r="K2545" s="549" t="s">
        <v>976</v>
      </c>
      <c r="L2545" s="549">
        <v>109092.24</v>
      </c>
      <c r="M2545" s="549">
        <v>8236.4599999999991</v>
      </c>
      <c r="N2545" s="549">
        <v>6261.89</v>
      </c>
      <c r="O2545" s="549">
        <v>992</v>
      </c>
      <c r="P2545" s="549">
        <v>0</v>
      </c>
      <c r="Q2545" s="549">
        <v>0</v>
      </c>
    </row>
    <row r="2546" spans="1:17" x14ac:dyDescent="0.25">
      <c r="A2546" s="549" t="s">
        <v>1071</v>
      </c>
      <c r="B2546" s="549" t="s">
        <v>1072</v>
      </c>
      <c r="C2546" s="549" t="s">
        <v>720</v>
      </c>
      <c r="D2546" s="549" t="s">
        <v>721</v>
      </c>
      <c r="E2546" s="549" t="s">
        <v>977</v>
      </c>
      <c r="F2546" s="549" t="s">
        <v>1212</v>
      </c>
      <c r="G2546" s="549">
        <v>1122</v>
      </c>
      <c r="H2546" s="549" t="s">
        <v>720</v>
      </c>
      <c r="I2546" s="549" t="s">
        <v>976</v>
      </c>
      <c r="J2546" s="549" t="s">
        <v>976</v>
      </c>
      <c r="K2546" s="549" t="s">
        <v>976</v>
      </c>
      <c r="L2546" s="549">
        <v>138556.49</v>
      </c>
      <c r="M2546" s="549">
        <v>10461.01</v>
      </c>
      <c r="N2546" s="549">
        <v>3062.1</v>
      </c>
      <c r="O2546" s="549">
        <v>3769.6</v>
      </c>
      <c r="P2546" s="549">
        <v>100</v>
      </c>
      <c r="Q2546" s="549">
        <v>17292.71</v>
      </c>
    </row>
    <row r="2547" spans="1:17" x14ac:dyDescent="0.25">
      <c r="A2547" s="549" t="s">
        <v>1071</v>
      </c>
      <c r="B2547" s="549" t="s">
        <v>1072</v>
      </c>
      <c r="C2547" s="549" t="s">
        <v>720</v>
      </c>
      <c r="D2547" s="549" t="s">
        <v>721</v>
      </c>
      <c r="E2547" s="549" t="s">
        <v>977</v>
      </c>
      <c r="F2547" s="549" t="s">
        <v>1212</v>
      </c>
      <c r="G2547" s="549">
        <v>1132</v>
      </c>
      <c r="H2547" s="549" t="s">
        <v>720</v>
      </c>
      <c r="I2547" s="549" t="s">
        <v>976</v>
      </c>
      <c r="J2547" s="549" t="s">
        <v>976</v>
      </c>
      <c r="K2547" s="549" t="s">
        <v>976</v>
      </c>
      <c r="L2547" s="549">
        <v>126259.37</v>
      </c>
      <c r="M2547" s="549">
        <v>9532.58</v>
      </c>
      <c r="N2547" s="549">
        <v>2790.33</v>
      </c>
      <c r="O2547" s="549">
        <v>1984</v>
      </c>
      <c r="P2547" s="549">
        <v>100</v>
      </c>
      <c r="Q2547" s="549">
        <v>14306.91</v>
      </c>
    </row>
    <row r="2548" spans="1:17" x14ac:dyDescent="0.25">
      <c r="A2548" s="549" t="s">
        <v>1071</v>
      </c>
      <c r="B2548" s="549" t="s">
        <v>1072</v>
      </c>
      <c r="C2548" s="549" t="s">
        <v>720</v>
      </c>
      <c r="D2548" s="549" t="s">
        <v>721</v>
      </c>
      <c r="E2548" s="549" t="s">
        <v>977</v>
      </c>
      <c r="F2548" s="549" t="s">
        <v>1212</v>
      </c>
      <c r="G2548" s="549">
        <v>1142</v>
      </c>
      <c r="H2548" s="549" t="s">
        <v>720</v>
      </c>
      <c r="I2548" s="549" t="s">
        <v>976</v>
      </c>
      <c r="J2548" s="549" t="s">
        <v>976</v>
      </c>
      <c r="K2548" s="549" t="s">
        <v>976</v>
      </c>
      <c r="L2548" s="549">
        <v>138556.49</v>
      </c>
      <c r="M2548" s="549">
        <v>10461.01</v>
      </c>
      <c r="N2548" s="549">
        <v>3062.1</v>
      </c>
      <c r="O2548" s="549">
        <v>3769.6</v>
      </c>
      <c r="P2548" s="549">
        <v>100</v>
      </c>
      <c r="Q2548" s="549">
        <v>17292.71</v>
      </c>
    </row>
    <row r="2549" spans="1:17" x14ac:dyDescent="0.25">
      <c r="A2549" s="549" t="s">
        <v>1071</v>
      </c>
      <c r="B2549" s="549" t="s">
        <v>1072</v>
      </c>
      <c r="C2549" s="549" t="s">
        <v>720</v>
      </c>
      <c r="D2549" s="549" t="s">
        <v>721</v>
      </c>
      <c r="E2549" s="549" t="s">
        <v>977</v>
      </c>
      <c r="F2549" s="549" t="s">
        <v>1212</v>
      </c>
      <c r="G2549" s="549">
        <v>1162</v>
      </c>
      <c r="H2549" s="549" t="s">
        <v>720</v>
      </c>
      <c r="I2549" s="549" t="s">
        <v>976</v>
      </c>
      <c r="J2549" s="549" t="s">
        <v>976</v>
      </c>
      <c r="K2549" s="549" t="s">
        <v>976</v>
      </c>
      <c r="L2549" s="549">
        <v>138556.49</v>
      </c>
      <c r="M2549" s="549">
        <v>10461.01</v>
      </c>
      <c r="N2549" s="549">
        <v>3062.1</v>
      </c>
      <c r="O2549" s="549">
        <v>3769.6</v>
      </c>
      <c r="P2549" s="549">
        <v>100</v>
      </c>
      <c r="Q2549" s="549">
        <v>17292.71</v>
      </c>
    </row>
    <row r="2550" spans="1:17" x14ac:dyDescent="0.25">
      <c r="A2550" s="549" t="s">
        <v>1071</v>
      </c>
      <c r="B2550" s="549" t="s">
        <v>1072</v>
      </c>
      <c r="C2550" s="549" t="s">
        <v>720</v>
      </c>
      <c r="D2550" s="549" t="s">
        <v>721</v>
      </c>
      <c r="E2550" s="549" t="s">
        <v>977</v>
      </c>
      <c r="F2550" s="549" t="s">
        <v>1212</v>
      </c>
      <c r="G2550" s="549">
        <v>1172</v>
      </c>
      <c r="H2550" s="549" t="s">
        <v>720</v>
      </c>
      <c r="I2550" s="549" t="s">
        <v>976</v>
      </c>
      <c r="J2550" s="549" t="s">
        <v>976</v>
      </c>
      <c r="K2550" s="549" t="s">
        <v>976</v>
      </c>
      <c r="L2550" s="549">
        <v>138556.49</v>
      </c>
      <c r="M2550" s="549">
        <v>10461.01</v>
      </c>
      <c r="N2550" s="549">
        <v>3062.1</v>
      </c>
      <c r="O2550" s="549">
        <v>3769.6</v>
      </c>
      <c r="P2550" s="549">
        <v>100</v>
      </c>
      <c r="Q2550" s="549">
        <v>17292.71</v>
      </c>
    </row>
    <row r="2551" spans="1:17" x14ac:dyDescent="0.25">
      <c r="A2551" s="549" t="s">
        <v>1071</v>
      </c>
      <c r="B2551" s="549" t="s">
        <v>1072</v>
      </c>
      <c r="C2551" s="549" t="s">
        <v>720</v>
      </c>
      <c r="D2551" s="549" t="s">
        <v>721</v>
      </c>
      <c r="E2551" s="549" t="s">
        <v>977</v>
      </c>
      <c r="F2551" s="549" t="s">
        <v>1212</v>
      </c>
      <c r="G2551" s="549">
        <v>1182</v>
      </c>
      <c r="H2551" s="549" t="s">
        <v>720</v>
      </c>
      <c r="I2551" s="549" t="s">
        <v>976</v>
      </c>
      <c r="J2551" s="549" t="s">
        <v>976</v>
      </c>
      <c r="K2551" s="549" t="s">
        <v>976</v>
      </c>
      <c r="L2551" s="549">
        <v>138556.49</v>
      </c>
      <c r="M2551" s="549">
        <v>10461.01</v>
      </c>
      <c r="N2551" s="549">
        <v>3062.1</v>
      </c>
      <c r="O2551" s="549">
        <v>3769.6</v>
      </c>
      <c r="P2551" s="549">
        <v>100</v>
      </c>
      <c r="Q2551" s="549">
        <v>17292.71</v>
      </c>
    </row>
    <row r="2552" spans="1:17" x14ac:dyDescent="0.25">
      <c r="A2552" s="549" t="s">
        <v>1071</v>
      </c>
      <c r="B2552" s="549" t="s">
        <v>1072</v>
      </c>
      <c r="C2552" s="549" t="s">
        <v>720</v>
      </c>
      <c r="D2552" s="549" t="s">
        <v>721</v>
      </c>
      <c r="E2552" s="549" t="s">
        <v>977</v>
      </c>
      <c r="F2552" s="549" t="s">
        <v>1212</v>
      </c>
      <c r="G2552" s="549">
        <v>1192</v>
      </c>
      <c r="H2552" s="549" t="s">
        <v>720</v>
      </c>
      <c r="I2552" s="549" t="s">
        <v>976</v>
      </c>
      <c r="J2552" s="549" t="s">
        <v>976</v>
      </c>
      <c r="K2552" s="549" t="s">
        <v>976</v>
      </c>
      <c r="L2552" s="549">
        <v>138556.49</v>
      </c>
      <c r="M2552" s="549">
        <v>10461.01</v>
      </c>
      <c r="N2552" s="549">
        <v>3062.1</v>
      </c>
      <c r="O2552" s="549">
        <v>3769.6</v>
      </c>
      <c r="P2552" s="549">
        <v>100</v>
      </c>
      <c r="Q2552" s="549">
        <v>17292.71</v>
      </c>
    </row>
    <row r="2553" spans="1:17" x14ac:dyDescent="0.25">
      <c r="A2553" s="549" t="s">
        <v>1071</v>
      </c>
      <c r="B2553" s="549" t="s">
        <v>1072</v>
      </c>
      <c r="C2553" s="549" t="s">
        <v>720</v>
      </c>
      <c r="D2553" s="549" t="s">
        <v>721</v>
      </c>
      <c r="E2553" s="549" t="s">
        <v>977</v>
      </c>
      <c r="F2553" s="549" t="s">
        <v>1212</v>
      </c>
      <c r="G2553" s="549">
        <v>1202</v>
      </c>
      <c r="H2553" s="549" t="s">
        <v>720</v>
      </c>
      <c r="I2553" s="549" t="s">
        <v>976</v>
      </c>
      <c r="J2553" s="549" t="s">
        <v>976</v>
      </c>
      <c r="K2553" s="549" t="s">
        <v>976</v>
      </c>
      <c r="L2553" s="549">
        <v>138556.49</v>
      </c>
      <c r="M2553" s="549">
        <v>10461.01</v>
      </c>
      <c r="N2553" s="549">
        <v>3062.1</v>
      </c>
      <c r="O2553" s="549">
        <v>3769.6</v>
      </c>
      <c r="P2553" s="549">
        <v>100</v>
      </c>
      <c r="Q2553" s="549">
        <v>17292.71</v>
      </c>
    </row>
    <row r="2554" spans="1:17" x14ac:dyDescent="0.25">
      <c r="A2554" s="549" t="s">
        <v>1071</v>
      </c>
      <c r="B2554" s="549" t="s">
        <v>1072</v>
      </c>
      <c r="C2554" s="549" t="s">
        <v>720</v>
      </c>
      <c r="D2554" s="549" t="s">
        <v>721</v>
      </c>
      <c r="E2554" s="549" t="s">
        <v>977</v>
      </c>
      <c r="F2554" s="549" t="s">
        <v>1212</v>
      </c>
      <c r="G2554" s="549">
        <v>1222</v>
      </c>
      <c r="H2554" s="549" t="s">
        <v>720</v>
      </c>
      <c r="I2554" s="549" t="s">
        <v>976</v>
      </c>
      <c r="J2554" s="549" t="s">
        <v>976</v>
      </c>
      <c r="K2554" s="549" t="s">
        <v>976</v>
      </c>
      <c r="L2554" s="549">
        <v>138556.49</v>
      </c>
      <c r="M2554" s="549">
        <v>10461.01</v>
      </c>
      <c r="N2554" s="549">
        <v>3062.1</v>
      </c>
      <c r="O2554" s="549">
        <v>3769.6</v>
      </c>
      <c r="P2554" s="549">
        <v>100</v>
      </c>
      <c r="Q2554" s="549">
        <v>17292.71</v>
      </c>
    </row>
    <row r="2555" spans="1:17" x14ac:dyDescent="0.25">
      <c r="A2555" s="549" t="s">
        <v>1071</v>
      </c>
      <c r="B2555" s="549" t="s">
        <v>1072</v>
      </c>
      <c r="C2555" s="549" t="s">
        <v>720</v>
      </c>
      <c r="D2555" s="549" t="s">
        <v>721</v>
      </c>
      <c r="E2555" s="549" t="s">
        <v>977</v>
      </c>
      <c r="F2555" s="549" t="s">
        <v>1212</v>
      </c>
      <c r="G2555" s="549">
        <v>1227</v>
      </c>
      <c r="H2555" s="549" t="s">
        <v>720</v>
      </c>
      <c r="I2555" s="549" t="s">
        <v>976</v>
      </c>
      <c r="J2555" s="549" t="s">
        <v>976</v>
      </c>
      <c r="K2555" s="549" t="s">
        <v>976</v>
      </c>
      <c r="L2555" s="549">
        <v>19050.37</v>
      </c>
      <c r="M2555" s="549">
        <v>1438.3</v>
      </c>
      <c r="N2555" s="549">
        <v>421.01</v>
      </c>
      <c r="O2555" s="549">
        <v>992</v>
      </c>
      <c r="P2555" s="549">
        <v>100</v>
      </c>
      <c r="Q2555" s="549">
        <v>2851.31</v>
      </c>
    </row>
    <row r="2556" spans="1:17" x14ac:dyDescent="0.25">
      <c r="A2556" s="549" t="s">
        <v>1071</v>
      </c>
      <c r="B2556" s="549" t="s">
        <v>1072</v>
      </c>
      <c r="C2556" s="549" t="s">
        <v>720</v>
      </c>
      <c r="D2556" s="549" t="s">
        <v>721</v>
      </c>
      <c r="E2556" s="549" t="s">
        <v>977</v>
      </c>
      <c r="F2556" s="549" t="s">
        <v>1212</v>
      </c>
      <c r="G2556" s="549">
        <v>1232</v>
      </c>
      <c r="H2556" s="549" t="s">
        <v>720</v>
      </c>
      <c r="I2556" s="549" t="s">
        <v>976</v>
      </c>
      <c r="J2556" s="549" t="s">
        <v>976</v>
      </c>
      <c r="K2556" s="549" t="s">
        <v>976</v>
      </c>
      <c r="L2556" s="549">
        <v>126259.37</v>
      </c>
      <c r="M2556" s="549">
        <v>9532.58</v>
      </c>
      <c r="N2556" s="549">
        <v>2790.33</v>
      </c>
      <c r="O2556" s="549">
        <v>1984</v>
      </c>
      <c r="P2556" s="549">
        <v>100</v>
      </c>
      <c r="Q2556" s="549">
        <v>14306.91</v>
      </c>
    </row>
    <row r="2557" spans="1:17" x14ac:dyDescent="0.25">
      <c r="A2557" s="549" t="s">
        <v>1071</v>
      </c>
      <c r="B2557" s="549" t="s">
        <v>1072</v>
      </c>
      <c r="C2557" s="549" t="s">
        <v>720</v>
      </c>
      <c r="D2557" s="549" t="s">
        <v>721</v>
      </c>
      <c r="E2557" s="549" t="s">
        <v>977</v>
      </c>
      <c r="F2557" s="549" t="s">
        <v>1212</v>
      </c>
      <c r="G2557" s="549" t="s">
        <v>1414</v>
      </c>
      <c r="H2557" s="549" t="s">
        <v>720</v>
      </c>
      <c r="I2557" s="549" t="s">
        <v>976</v>
      </c>
      <c r="J2557" s="549" t="s">
        <v>976</v>
      </c>
      <c r="K2557" s="549" t="s">
        <v>976</v>
      </c>
      <c r="L2557" s="549">
        <v>32624.07</v>
      </c>
      <c r="M2557" s="549">
        <v>2463.12</v>
      </c>
      <c r="N2557" s="549">
        <v>720.99</v>
      </c>
      <c r="O2557" s="549">
        <v>1984</v>
      </c>
      <c r="P2557" s="549">
        <v>100</v>
      </c>
      <c r="Q2557" s="549">
        <v>5168.1099999999997</v>
      </c>
    </row>
    <row r="2558" spans="1:17" x14ac:dyDescent="0.25">
      <c r="A2558" s="549" t="s">
        <v>1071</v>
      </c>
      <c r="B2558" s="549" t="s">
        <v>1072</v>
      </c>
      <c r="C2558" s="549" t="s">
        <v>720</v>
      </c>
      <c r="D2558" s="549" t="s">
        <v>721</v>
      </c>
      <c r="E2558" s="549" t="s">
        <v>977</v>
      </c>
      <c r="F2558" s="549" t="s">
        <v>1212</v>
      </c>
      <c r="G2558" s="549" t="s">
        <v>1415</v>
      </c>
      <c r="H2558" s="549" t="s">
        <v>720</v>
      </c>
      <c r="I2558" s="549" t="s">
        <v>976</v>
      </c>
      <c r="J2558" s="549" t="s">
        <v>976</v>
      </c>
      <c r="K2558" s="549" t="s">
        <v>976</v>
      </c>
      <c r="L2558" s="549">
        <v>32624.07</v>
      </c>
      <c r="M2558" s="549">
        <v>2463.12</v>
      </c>
      <c r="N2558" s="549">
        <v>720.99</v>
      </c>
      <c r="O2558" s="549">
        <v>1984</v>
      </c>
      <c r="P2558" s="549">
        <v>100</v>
      </c>
      <c r="Q2558" s="549">
        <v>5168.1099999999997</v>
      </c>
    </row>
    <row r="2559" spans="1:17" x14ac:dyDescent="0.25">
      <c r="A2559" s="549" t="s">
        <v>1071</v>
      </c>
      <c r="B2559" s="549" t="s">
        <v>1072</v>
      </c>
      <c r="C2559" s="549" t="s">
        <v>720</v>
      </c>
      <c r="D2559" s="549" t="s">
        <v>721</v>
      </c>
      <c r="E2559" s="549" t="s">
        <v>977</v>
      </c>
      <c r="F2559" s="549" t="s">
        <v>1212</v>
      </c>
      <c r="G2559" s="549" t="s">
        <v>1416</v>
      </c>
      <c r="H2559" s="549" t="s">
        <v>720</v>
      </c>
      <c r="I2559" s="549" t="s">
        <v>976</v>
      </c>
      <c r="J2559" s="549" t="s">
        <v>976</v>
      </c>
      <c r="K2559" s="549" t="s">
        <v>976</v>
      </c>
      <c r="L2559" s="549">
        <v>30527.24</v>
      </c>
      <c r="M2559" s="549">
        <v>2304.81</v>
      </c>
      <c r="N2559" s="549">
        <v>674.65</v>
      </c>
      <c r="O2559" s="549">
        <v>0</v>
      </c>
      <c r="P2559" s="549">
        <v>100</v>
      </c>
      <c r="Q2559" s="549">
        <v>2979.46</v>
      </c>
    </row>
    <row r="2560" spans="1:17" x14ac:dyDescent="0.25">
      <c r="A2560" s="549" t="s">
        <v>1071</v>
      </c>
      <c r="B2560" s="549" t="s">
        <v>1072</v>
      </c>
      <c r="C2560" s="549" t="s">
        <v>720</v>
      </c>
      <c r="D2560" s="549" t="s">
        <v>721</v>
      </c>
      <c r="E2560" s="549" t="s">
        <v>977</v>
      </c>
      <c r="F2560" s="549" t="s">
        <v>1212</v>
      </c>
      <c r="G2560" s="549" t="s">
        <v>1221</v>
      </c>
      <c r="H2560" s="549" t="s">
        <v>720</v>
      </c>
      <c r="I2560" s="549" t="s">
        <v>976</v>
      </c>
      <c r="J2560" s="549" t="s">
        <v>976</v>
      </c>
      <c r="K2560" s="549" t="s">
        <v>976</v>
      </c>
      <c r="L2560" s="549">
        <v>30527.24</v>
      </c>
      <c r="M2560" s="549">
        <v>2304.81</v>
      </c>
      <c r="N2560" s="549">
        <v>674.65</v>
      </c>
      <c r="O2560" s="549">
        <v>0</v>
      </c>
      <c r="P2560" s="549">
        <v>100</v>
      </c>
      <c r="Q2560" s="549">
        <v>2979.46</v>
      </c>
    </row>
    <row r="2561" spans="1:17" x14ac:dyDescent="0.25">
      <c r="A2561" s="549" t="s">
        <v>1091</v>
      </c>
      <c r="B2561" s="549" t="s">
        <v>1092</v>
      </c>
      <c r="C2561" s="549" t="s">
        <v>855</v>
      </c>
      <c r="D2561" s="549" t="s">
        <v>856</v>
      </c>
      <c r="E2561" s="549" t="s">
        <v>973</v>
      </c>
      <c r="F2561" s="549" t="s">
        <v>1212</v>
      </c>
      <c r="G2561" s="549">
        <v>2198</v>
      </c>
      <c r="H2561" s="549" t="s">
        <v>855</v>
      </c>
      <c r="I2561" s="549" t="s">
        <v>976</v>
      </c>
      <c r="J2561" s="549" t="s">
        <v>976</v>
      </c>
      <c r="K2561" s="549" t="s">
        <v>976</v>
      </c>
      <c r="L2561" s="549">
        <v>136332.20000000001</v>
      </c>
      <c r="M2561" s="549">
        <v>10293.08</v>
      </c>
      <c r="N2561" s="549">
        <v>7825.47</v>
      </c>
      <c r="O2561" s="549">
        <v>992</v>
      </c>
      <c r="P2561" s="549">
        <v>0</v>
      </c>
      <c r="Q2561" s="549">
        <v>0</v>
      </c>
    </row>
    <row r="2562" spans="1:17" x14ac:dyDescent="0.25">
      <c r="A2562" s="549" t="s">
        <v>1071</v>
      </c>
      <c r="B2562" s="549" t="s">
        <v>1072</v>
      </c>
      <c r="C2562" s="549" t="s">
        <v>720</v>
      </c>
      <c r="D2562" s="549" t="s">
        <v>721</v>
      </c>
      <c r="E2562" s="549" t="s">
        <v>977</v>
      </c>
      <c r="F2562" s="549" t="s">
        <v>1212</v>
      </c>
      <c r="G2562" s="549" t="s">
        <v>1215</v>
      </c>
      <c r="H2562" s="549" t="s">
        <v>720</v>
      </c>
      <c r="I2562" s="549" t="s">
        <v>976</v>
      </c>
      <c r="J2562" s="549" t="s">
        <v>976</v>
      </c>
      <c r="K2562" s="549" t="s">
        <v>976</v>
      </c>
      <c r="L2562" s="549">
        <v>41233.089999999997</v>
      </c>
      <c r="M2562" s="549">
        <v>3113.1</v>
      </c>
      <c r="N2562" s="549">
        <v>911.25</v>
      </c>
      <c r="O2562" s="549">
        <v>0</v>
      </c>
      <c r="P2562" s="549">
        <v>100</v>
      </c>
      <c r="Q2562" s="549">
        <v>4024.35</v>
      </c>
    </row>
    <row r="2563" spans="1:17" x14ac:dyDescent="0.25">
      <c r="A2563" s="549" t="s">
        <v>1091</v>
      </c>
      <c r="B2563" s="549" t="s">
        <v>1092</v>
      </c>
      <c r="C2563" s="549" t="s">
        <v>855</v>
      </c>
      <c r="D2563" s="549" t="s">
        <v>856</v>
      </c>
      <c r="E2563" s="549" t="s">
        <v>973</v>
      </c>
      <c r="F2563" s="549" t="s">
        <v>1212</v>
      </c>
      <c r="G2563" s="549">
        <v>2182</v>
      </c>
      <c r="H2563" s="549" t="s">
        <v>855</v>
      </c>
      <c r="I2563" s="549" t="s">
        <v>976</v>
      </c>
      <c r="J2563" s="549" t="s">
        <v>976</v>
      </c>
      <c r="K2563" s="549" t="s">
        <v>976</v>
      </c>
      <c r="L2563" s="549">
        <v>109092.24</v>
      </c>
      <c r="M2563" s="549">
        <v>8236.4599999999991</v>
      </c>
      <c r="N2563" s="549">
        <v>6261.89</v>
      </c>
      <c r="O2563" s="549">
        <v>992</v>
      </c>
      <c r="P2563" s="549">
        <v>0</v>
      </c>
      <c r="Q2563" s="549">
        <v>0</v>
      </c>
    </row>
    <row r="2564" spans="1:17" x14ac:dyDescent="0.25">
      <c r="A2564" s="549" t="s">
        <v>1091</v>
      </c>
      <c r="B2564" s="549" t="s">
        <v>1092</v>
      </c>
      <c r="C2564" s="549" t="s">
        <v>855</v>
      </c>
      <c r="D2564" s="549" t="s">
        <v>856</v>
      </c>
      <c r="E2564" s="549" t="s">
        <v>973</v>
      </c>
      <c r="F2564" s="549" t="s">
        <v>1212</v>
      </c>
      <c r="G2564" s="549">
        <v>2172</v>
      </c>
      <c r="H2564" s="549" t="s">
        <v>855</v>
      </c>
      <c r="I2564" s="549" t="s">
        <v>976</v>
      </c>
      <c r="J2564" s="549" t="s">
        <v>976</v>
      </c>
      <c r="K2564" s="549" t="s">
        <v>976</v>
      </c>
      <c r="L2564" s="549">
        <v>109092.24</v>
      </c>
      <c r="M2564" s="549">
        <v>8236.4599999999991</v>
      </c>
      <c r="N2564" s="549">
        <v>6261.89</v>
      </c>
      <c r="O2564" s="549">
        <v>992</v>
      </c>
      <c r="P2564" s="549">
        <v>0</v>
      </c>
      <c r="Q2564" s="549">
        <v>0</v>
      </c>
    </row>
    <row r="2565" spans="1:17" x14ac:dyDescent="0.25">
      <c r="A2565" s="549" t="s">
        <v>1071</v>
      </c>
      <c r="B2565" s="549" t="s">
        <v>1072</v>
      </c>
      <c r="C2565" s="549" t="s">
        <v>720</v>
      </c>
      <c r="D2565" s="549" t="s">
        <v>721</v>
      </c>
      <c r="E2565" s="549" t="s">
        <v>977</v>
      </c>
      <c r="F2565" s="549" t="s">
        <v>1212</v>
      </c>
      <c r="G2565" s="549" t="s">
        <v>1288</v>
      </c>
      <c r="H2565" s="549" t="s">
        <v>720</v>
      </c>
      <c r="I2565" s="549" t="s">
        <v>976</v>
      </c>
      <c r="J2565" s="549" t="s">
        <v>976</v>
      </c>
      <c r="K2565" s="549" t="s">
        <v>976</v>
      </c>
      <c r="L2565" s="549">
        <v>41233.089999999997</v>
      </c>
      <c r="M2565" s="549">
        <v>3113.1</v>
      </c>
      <c r="N2565" s="549">
        <v>911.25</v>
      </c>
      <c r="O2565" s="549">
        <v>0</v>
      </c>
      <c r="P2565" s="549">
        <v>100</v>
      </c>
      <c r="Q2565" s="549">
        <v>4024.35</v>
      </c>
    </row>
    <row r="2566" spans="1:17" x14ac:dyDescent="0.25">
      <c r="A2566" s="549" t="s">
        <v>1078</v>
      </c>
      <c r="B2566" s="549" t="s">
        <v>1079</v>
      </c>
      <c r="C2566" s="549" t="s">
        <v>739</v>
      </c>
      <c r="D2566" s="549" t="s">
        <v>740</v>
      </c>
      <c r="E2566" s="549" t="s">
        <v>977</v>
      </c>
      <c r="F2566" s="549" t="s">
        <v>1212</v>
      </c>
      <c r="G2566" s="549">
        <v>62</v>
      </c>
      <c r="H2566" s="549" t="s">
        <v>739</v>
      </c>
      <c r="I2566" s="549" t="s">
        <v>976</v>
      </c>
      <c r="J2566" s="549" t="s">
        <v>976</v>
      </c>
      <c r="K2566" s="549" t="s">
        <v>976</v>
      </c>
      <c r="L2566" s="549">
        <v>662150.36</v>
      </c>
      <c r="M2566" s="549">
        <v>49992.35</v>
      </c>
      <c r="N2566" s="549">
        <v>14633.52</v>
      </c>
      <c r="O2566" s="549">
        <v>3968</v>
      </c>
      <c r="P2566" s="549">
        <v>100</v>
      </c>
      <c r="Q2566" s="549">
        <v>68593.87</v>
      </c>
    </row>
    <row r="2567" spans="1:17" x14ac:dyDescent="0.25">
      <c r="A2567" s="549" t="s">
        <v>1078</v>
      </c>
      <c r="B2567" s="549" t="s">
        <v>1079</v>
      </c>
      <c r="C2567" s="549" t="s">
        <v>739</v>
      </c>
      <c r="D2567" s="549" t="s">
        <v>740</v>
      </c>
      <c r="E2567" s="549" t="s">
        <v>977</v>
      </c>
      <c r="F2567" s="549" t="s">
        <v>1212</v>
      </c>
      <c r="G2567" s="549">
        <v>72</v>
      </c>
      <c r="H2567" s="549" t="s">
        <v>739</v>
      </c>
      <c r="I2567" s="549" t="s">
        <v>976</v>
      </c>
      <c r="J2567" s="549" t="s">
        <v>976</v>
      </c>
      <c r="K2567" s="549" t="s">
        <v>976</v>
      </c>
      <c r="L2567" s="549">
        <v>451493.99</v>
      </c>
      <c r="M2567" s="549">
        <v>34087.800000000003</v>
      </c>
      <c r="N2567" s="549">
        <v>9978.02</v>
      </c>
      <c r="O2567" s="549">
        <v>1984</v>
      </c>
      <c r="P2567" s="549">
        <v>100</v>
      </c>
      <c r="Q2567" s="549">
        <v>46049.82</v>
      </c>
    </row>
    <row r="2568" spans="1:17" x14ac:dyDescent="0.25">
      <c r="A2568" s="549" t="s">
        <v>1078</v>
      </c>
      <c r="B2568" s="549" t="s">
        <v>1079</v>
      </c>
      <c r="C2568" s="549" t="s">
        <v>739</v>
      </c>
      <c r="D2568" s="549" t="s">
        <v>740</v>
      </c>
      <c r="E2568" s="549" t="s">
        <v>977</v>
      </c>
      <c r="F2568" s="549" t="s">
        <v>1212</v>
      </c>
      <c r="G2568" s="549">
        <v>82</v>
      </c>
      <c r="H2568" s="549" t="s">
        <v>739</v>
      </c>
      <c r="I2568" s="549" t="s">
        <v>976</v>
      </c>
      <c r="J2568" s="549" t="s">
        <v>976</v>
      </c>
      <c r="K2568" s="549" t="s">
        <v>976</v>
      </c>
      <c r="L2568" s="549">
        <v>662150.36</v>
      </c>
      <c r="M2568" s="549">
        <v>49992.35</v>
      </c>
      <c r="N2568" s="549">
        <v>14633.52</v>
      </c>
      <c r="O2568" s="549">
        <v>3968</v>
      </c>
      <c r="P2568" s="549">
        <v>100</v>
      </c>
      <c r="Q2568" s="549">
        <v>68593.87</v>
      </c>
    </row>
    <row r="2569" spans="1:17" x14ac:dyDescent="0.25">
      <c r="A2569" s="549" t="s">
        <v>1078</v>
      </c>
      <c r="B2569" s="549" t="s">
        <v>1079</v>
      </c>
      <c r="C2569" s="549" t="s">
        <v>739</v>
      </c>
      <c r="D2569" s="549" t="s">
        <v>740</v>
      </c>
      <c r="E2569" s="549" t="s">
        <v>977</v>
      </c>
      <c r="F2569" s="549" t="s">
        <v>1212</v>
      </c>
      <c r="G2569" s="549">
        <v>92</v>
      </c>
      <c r="H2569" s="549" t="s">
        <v>739</v>
      </c>
      <c r="I2569" s="549" t="s">
        <v>976</v>
      </c>
      <c r="J2569" s="549" t="s">
        <v>976</v>
      </c>
      <c r="K2569" s="549" t="s">
        <v>976</v>
      </c>
      <c r="L2569" s="549">
        <v>451493.99</v>
      </c>
      <c r="M2569" s="549">
        <v>34087.800000000003</v>
      </c>
      <c r="N2569" s="549">
        <v>9978.02</v>
      </c>
      <c r="O2569" s="549">
        <v>1984</v>
      </c>
      <c r="P2569" s="549">
        <v>100</v>
      </c>
      <c r="Q2569" s="549">
        <v>46049.82</v>
      </c>
    </row>
    <row r="2570" spans="1:17" x14ac:dyDescent="0.25">
      <c r="A2570" s="549" t="s">
        <v>1078</v>
      </c>
      <c r="B2570" s="549" t="s">
        <v>1079</v>
      </c>
      <c r="C2570" s="549" t="s">
        <v>739</v>
      </c>
      <c r="D2570" s="549" t="s">
        <v>740</v>
      </c>
      <c r="E2570" s="549" t="s">
        <v>977</v>
      </c>
      <c r="F2570" s="549" t="s">
        <v>1212</v>
      </c>
      <c r="G2570" s="549">
        <v>212</v>
      </c>
      <c r="H2570" s="549" t="s">
        <v>739</v>
      </c>
      <c r="I2570" s="549" t="s">
        <v>976</v>
      </c>
      <c r="J2570" s="549" t="s">
        <v>976</v>
      </c>
      <c r="K2570" s="549" t="s">
        <v>976</v>
      </c>
      <c r="L2570" s="549">
        <v>139542.85</v>
      </c>
      <c r="M2570" s="549">
        <v>10535.49</v>
      </c>
      <c r="N2570" s="549">
        <v>3083.9</v>
      </c>
      <c r="O2570" s="549">
        <v>3670.4</v>
      </c>
      <c r="P2570" s="549">
        <v>100</v>
      </c>
      <c r="Q2570" s="549">
        <v>17289.79</v>
      </c>
    </row>
    <row r="2571" spans="1:17" x14ac:dyDescent="0.25">
      <c r="A2571" s="549" t="s">
        <v>1078</v>
      </c>
      <c r="B2571" s="549" t="s">
        <v>1079</v>
      </c>
      <c r="C2571" s="549" t="s">
        <v>739</v>
      </c>
      <c r="D2571" s="549" t="s">
        <v>740</v>
      </c>
      <c r="E2571" s="549" t="s">
        <v>977</v>
      </c>
      <c r="F2571" s="549" t="s">
        <v>1212</v>
      </c>
      <c r="G2571" s="549">
        <v>222</v>
      </c>
      <c r="H2571" s="549" t="s">
        <v>739</v>
      </c>
      <c r="I2571" s="549" t="s">
        <v>976</v>
      </c>
      <c r="J2571" s="549" t="s">
        <v>976</v>
      </c>
      <c r="K2571" s="549" t="s">
        <v>976</v>
      </c>
      <c r="L2571" s="549">
        <v>127158.19</v>
      </c>
      <c r="M2571" s="549">
        <v>9600.44</v>
      </c>
      <c r="N2571" s="549">
        <v>2810.2</v>
      </c>
      <c r="O2571" s="549">
        <v>1984</v>
      </c>
      <c r="P2571" s="549">
        <v>100</v>
      </c>
      <c r="Q2571" s="549">
        <v>14394.64</v>
      </c>
    </row>
    <row r="2572" spans="1:17" x14ac:dyDescent="0.25">
      <c r="A2572" s="549" t="s">
        <v>1078</v>
      </c>
      <c r="B2572" s="549" t="s">
        <v>1079</v>
      </c>
      <c r="C2572" s="549" t="s">
        <v>739</v>
      </c>
      <c r="D2572" s="549" t="s">
        <v>740</v>
      </c>
      <c r="E2572" s="549" t="s">
        <v>977</v>
      </c>
      <c r="F2572" s="549" t="s">
        <v>1212</v>
      </c>
      <c r="G2572" s="549">
        <v>232</v>
      </c>
      <c r="H2572" s="549" t="s">
        <v>739</v>
      </c>
      <c r="I2572" s="549" t="s">
        <v>976</v>
      </c>
      <c r="J2572" s="549" t="s">
        <v>976</v>
      </c>
      <c r="K2572" s="549" t="s">
        <v>976</v>
      </c>
      <c r="L2572" s="549">
        <v>139542.85</v>
      </c>
      <c r="M2572" s="549">
        <v>10535.49</v>
      </c>
      <c r="N2572" s="549">
        <v>3083.9</v>
      </c>
      <c r="O2572" s="549">
        <v>3670.4</v>
      </c>
      <c r="P2572" s="549">
        <v>100</v>
      </c>
      <c r="Q2572" s="549">
        <v>17289.79</v>
      </c>
    </row>
    <row r="2573" spans="1:17" x14ac:dyDescent="0.25">
      <c r="A2573" s="549" t="s">
        <v>1078</v>
      </c>
      <c r="B2573" s="549" t="s">
        <v>1079</v>
      </c>
      <c r="C2573" s="549" t="s">
        <v>739</v>
      </c>
      <c r="D2573" s="549" t="s">
        <v>740</v>
      </c>
      <c r="E2573" s="549" t="s">
        <v>977</v>
      </c>
      <c r="F2573" s="549" t="s">
        <v>1212</v>
      </c>
      <c r="G2573" s="549">
        <v>242</v>
      </c>
      <c r="H2573" s="549" t="s">
        <v>739</v>
      </c>
      <c r="I2573" s="549" t="s">
        <v>976</v>
      </c>
      <c r="J2573" s="549" t="s">
        <v>976</v>
      </c>
      <c r="K2573" s="549" t="s">
        <v>976</v>
      </c>
      <c r="L2573" s="549">
        <v>139542.85</v>
      </c>
      <c r="M2573" s="549">
        <v>10535.49</v>
      </c>
      <c r="N2573" s="549">
        <v>3083.9</v>
      </c>
      <c r="O2573" s="549">
        <v>3670.4</v>
      </c>
      <c r="P2573" s="549">
        <v>100</v>
      </c>
      <c r="Q2573" s="549">
        <v>17289.79</v>
      </c>
    </row>
    <row r="2574" spans="1:17" x14ac:dyDescent="0.25">
      <c r="A2574" s="549" t="s">
        <v>1078</v>
      </c>
      <c r="B2574" s="549" t="s">
        <v>1079</v>
      </c>
      <c r="C2574" s="549" t="s">
        <v>739</v>
      </c>
      <c r="D2574" s="549" t="s">
        <v>740</v>
      </c>
      <c r="E2574" s="549" t="s">
        <v>977</v>
      </c>
      <c r="F2574" s="549" t="s">
        <v>1212</v>
      </c>
      <c r="G2574" s="549">
        <v>252</v>
      </c>
      <c r="H2574" s="549" t="s">
        <v>739</v>
      </c>
      <c r="I2574" s="549" t="s">
        <v>976</v>
      </c>
      <c r="J2574" s="549" t="s">
        <v>976</v>
      </c>
      <c r="K2574" s="549" t="s">
        <v>976</v>
      </c>
      <c r="L2574" s="549">
        <v>139542.85</v>
      </c>
      <c r="M2574" s="549">
        <v>10535.49</v>
      </c>
      <c r="N2574" s="549">
        <v>3083.9</v>
      </c>
      <c r="O2574" s="549">
        <v>3670.4</v>
      </c>
      <c r="P2574" s="549">
        <v>100</v>
      </c>
      <c r="Q2574" s="549">
        <v>17289.79</v>
      </c>
    </row>
    <row r="2575" spans="1:17" x14ac:dyDescent="0.25">
      <c r="A2575" s="549" t="s">
        <v>1078</v>
      </c>
      <c r="B2575" s="549" t="s">
        <v>1079</v>
      </c>
      <c r="C2575" s="549" t="s">
        <v>739</v>
      </c>
      <c r="D2575" s="549" t="s">
        <v>740</v>
      </c>
      <c r="E2575" s="549" t="s">
        <v>977</v>
      </c>
      <c r="F2575" s="549" t="s">
        <v>1212</v>
      </c>
      <c r="G2575" s="549">
        <v>262</v>
      </c>
      <c r="H2575" s="549" t="s">
        <v>739</v>
      </c>
      <c r="I2575" s="549" t="s">
        <v>976</v>
      </c>
      <c r="J2575" s="549" t="s">
        <v>976</v>
      </c>
      <c r="K2575" s="549" t="s">
        <v>976</v>
      </c>
      <c r="L2575" s="549">
        <v>139542.85</v>
      </c>
      <c r="M2575" s="549">
        <v>10535.49</v>
      </c>
      <c r="N2575" s="549">
        <v>3083.9</v>
      </c>
      <c r="O2575" s="549">
        <v>3670.4</v>
      </c>
      <c r="P2575" s="549">
        <v>100</v>
      </c>
      <c r="Q2575" s="549">
        <v>17289.79</v>
      </c>
    </row>
    <row r="2576" spans="1:17" x14ac:dyDescent="0.25">
      <c r="A2576" s="549" t="s">
        <v>1078</v>
      </c>
      <c r="B2576" s="549" t="s">
        <v>1079</v>
      </c>
      <c r="C2576" s="549" t="s">
        <v>739</v>
      </c>
      <c r="D2576" s="549" t="s">
        <v>740</v>
      </c>
      <c r="E2576" s="549" t="s">
        <v>977</v>
      </c>
      <c r="F2576" s="549" t="s">
        <v>1212</v>
      </c>
      <c r="G2576" s="549">
        <v>272</v>
      </c>
      <c r="H2576" s="549" t="s">
        <v>739</v>
      </c>
      <c r="I2576" s="549" t="s">
        <v>976</v>
      </c>
      <c r="J2576" s="549" t="s">
        <v>976</v>
      </c>
      <c r="K2576" s="549" t="s">
        <v>976</v>
      </c>
      <c r="L2576" s="549">
        <v>139542.85</v>
      </c>
      <c r="M2576" s="549">
        <v>10535.49</v>
      </c>
      <c r="N2576" s="549">
        <v>3083.9</v>
      </c>
      <c r="O2576" s="549">
        <v>3670.4</v>
      </c>
      <c r="P2576" s="549">
        <v>100</v>
      </c>
      <c r="Q2576" s="549">
        <v>17289.79</v>
      </c>
    </row>
    <row r="2577" spans="1:17" x14ac:dyDescent="0.25">
      <c r="A2577" s="549" t="s">
        <v>1078</v>
      </c>
      <c r="B2577" s="549" t="s">
        <v>1079</v>
      </c>
      <c r="C2577" s="549" t="s">
        <v>739</v>
      </c>
      <c r="D2577" s="549" t="s">
        <v>740</v>
      </c>
      <c r="E2577" s="549" t="s">
        <v>977</v>
      </c>
      <c r="F2577" s="549" t="s">
        <v>1212</v>
      </c>
      <c r="G2577" s="549">
        <v>282</v>
      </c>
      <c r="H2577" s="549" t="s">
        <v>739</v>
      </c>
      <c r="I2577" s="549" t="s">
        <v>976</v>
      </c>
      <c r="J2577" s="549" t="s">
        <v>976</v>
      </c>
      <c r="K2577" s="549" t="s">
        <v>976</v>
      </c>
      <c r="L2577" s="549">
        <v>154019.13</v>
      </c>
      <c r="M2577" s="549">
        <v>11628.44</v>
      </c>
      <c r="N2577" s="549">
        <v>3403.82</v>
      </c>
      <c r="O2577" s="549">
        <v>1984</v>
      </c>
      <c r="P2577" s="549">
        <v>100</v>
      </c>
      <c r="Q2577" s="549">
        <v>17016.259999999998</v>
      </c>
    </row>
    <row r="2578" spans="1:17" x14ac:dyDescent="0.25">
      <c r="A2578" s="549" t="s">
        <v>1078</v>
      </c>
      <c r="B2578" s="549" t="s">
        <v>1079</v>
      </c>
      <c r="C2578" s="549" t="s">
        <v>739</v>
      </c>
      <c r="D2578" s="549" t="s">
        <v>740</v>
      </c>
      <c r="E2578" s="549" t="s">
        <v>977</v>
      </c>
      <c r="F2578" s="549" t="s">
        <v>1212</v>
      </c>
      <c r="G2578" s="549">
        <v>292</v>
      </c>
      <c r="H2578" s="549" t="s">
        <v>739</v>
      </c>
      <c r="I2578" s="549" t="s">
        <v>976</v>
      </c>
      <c r="J2578" s="549" t="s">
        <v>976</v>
      </c>
      <c r="K2578" s="549" t="s">
        <v>976</v>
      </c>
      <c r="L2578" s="549">
        <v>139542.85</v>
      </c>
      <c r="M2578" s="549">
        <v>10535.49</v>
      </c>
      <c r="N2578" s="549">
        <v>3083.9</v>
      </c>
      <c r="O2578" s="549">
        <v>3670.4</v>
      </c>
      <c r="P2578" s="549">
        <v>100</v>
      </c>
      <c r="Q2578" s="549">
        <v>17289.79</v>
      </c>
    </row>
    <row r="2579" spans="1:17" x14ac:dyDescent="0.25">
      <c r="A2579" s="549" t="s">
        <v>1078</v>
      </c>
      <c r="B2579" s="549" t="s">
        <v>1079</v>
      </c>
      <c r="C2579" s="549" t="s">
        <v>739</v>
      </c>
      <c r="D2579" s="549" t="s">
        <v>740</v>
      </c>
      <c r="E2579" s="549" t="s">
        <v>977</v>
      </c>
      <c r="F2579" s="549" t="s">
        <v>1212</v>
      </c>
      <c r="G2579" s="549">
        <v>312</v>
      </c>
      <c r="H2579" s="549" t="s">
        <v>739</v>
      </c>
      <c r="I2579" s="549" t="s">
        <v>976</v>
      </c>
      <c r="J2579" s="549" t="s">
        <v>976</v>
      </c>
      <c r="K2579" s="549" t="s">
        <v>976</v>
      </c>
      <c r="L2579" s="549">
        <v>139542.85</v>
      </c>
      <c r="M2579" s="549">
        <v>10535.49</v>
      </c>
      <c r="N2579" s="549">
        <v>3083.9</v>
      </c>
      <c r="O2579" s="549">
        <v>3670.4</v>
      </c>
      <c r="P2579" s="549">
        <v>100</v>
      </c>
      <c r="Q2579" s="549">
        <v>17289.79</v>
      </c>
    </row>
    <row r="2580" spans="1:17" x14ac:dyDescent="0.25">
      <c r="A2580" s="549" t="s">
        <v>1078</v>
      </c>
      <c r="B2580" s="549" t="s">
        <v>1079</v>
      </c>
      <c r="C2580" s="549" t="s">
        <v>739</v>
      </c>
      <c r="D2580" s="549" t="s">
        <v>740</v>
      </c>
      <c r="E2580" s="549" t="s">
        <v>977</v>
      </c>
      <c r="F2580" s="549" t="s">
        <v>1212</v>
      </c>
      <c r="G2580" s="549" t="s">
        <v>1241</v>
      </c>
      <c r="H2580" s="549" t="s">
        <v>739</v>
      </c>
      <c r="I2580" s="549" t="s">
        <v>976</v>
      </c>
      <c r="J2580" s="549" t="s">
        <v>976</v>
      </c>
      <c r="K2580" s="549" t="s">
        <v>976</v>
      </c>
      <c r="L2580" s="549">
        <v>32856.31</v>
      </c>
      <c r="M2580" s="549">
        <v>2480.65</v>
      </c>
      <c r="N2580" s="549">
        <v>726.12</v>
      </c>
      <c r="O2580" s="549">
        <v>1984</v>
      </c>
      <c r="P2580" s="549">
        <v>100</v>
      </c>
      <c r="Q2580" s="549">
        <v>5190.7700000000004</v>
      </c>
    </row>
    <row r="2581" spans="1:17" x14ac:dyDescent="0.25">
      <c r="A2581" s="549" t="s">
        <v>1078</v>
      </c>
      <c r="B2581" s="549" t="s">
        <v>1079</v>
      </c>
      <c r="C2581" s="549" t="s">
        <v>739</v>
      </c>
      <c r="D2581" s="549" t="s">
        <v>740</v>
      </c>
      <c r="E2581" s="549" t="s">
        <v>977</v>
      </c>
      <c r="F2581" s="549" t="s">
        <v>1212</v>
      </c>
      <c r="G2581" s="549" t="s">
        <v>1417</v>
      </c>
      <c r="H2581" s="549" t="s">
        <v>739</v>
      </c>
      <c r="I2581" s="549" t="s">
        <v>976</v>
      </c>
      <c r="J2581" s="549" t="s">
        <v>976</v>
      </c>
      <c r="K2581" s="549" t="s">
        <v>976</v>
      </c>
      <c r="L2581" s="549">
        <v>190224.66</v>
      </c>
      <c r="M2581" s="549">
        <v>14361.96</v>
      </c>
      <c r="N2581" s="549">
        <v>4203.96</v>
      </c>
      <c r="O2581" s="549">
        <v>1984</v>
      </c>
      <c r="P2581" s="549">
        <v>100</v>
      </c>
      <c r="Q2581" s="549">
        <v>20549.919999999998</v>
      </c>
    </row>
    <row r="2582" spans="1:17" x14ac:dyDescent="0.25">
      <c r="A2582" s="549" t="s">
        <v>1078</v>
      </c>
      <c r="B2582" s="549" t="s">
        <v>1079</v>
      </c>
      <c r="C2582" s="549" t="s">
        <v>739</v>
      </c>
      <c r="D2582" s="549" t="s">
        <v>740</v>
      </c>
      <c r="E2582" s="549" t="s">
        <v>977</v>
      </c>
      <c r="F2582" s="549" t="s">
        <v>1212</v>
      </c>
      <c r="G2582" s="549" t="s">
        <v>1277</v>
      </c>
      <c r="H2582" s="549" t="s">
        <v>739</v>
      </c>
      <c r="I2582" s="549" t="s">
        <v>976</v>
      </c>
      <c r="J2582" s="549" t="s">
        <v>976</v>
      </c>
      <c r="K2582" s="549" t="s">
        <v>976</v>
      </c>
      <c r="L2582" s="549">
        <v>17190.68</v>
      </c>
      <c r="M2582" s="549">
        <v>1297.9000000000001</v>
      </c>
      <c r="N2582" s="549">
        <v>379.91</v>
      </c>
      <c r="O2582" s="549">
        <v>0</v>
      </c>
      <c r="P2582" s="549">
        <v>100</v>
      </c>
      <c r="Q2582" s="549">
        <v>1677.81</v>
      </c>
    </row>
    <row r="2583" spans="1:17" x14ac:dyDescent="0.25">
      <c r="A2583" s="549" t="s">
        <v>1078</v>
      </c>
      <c r="B2583" s="549" t="s">
        <v>1079</v>
      </c>
      <c r="C2583" s="549" t="s">
        <v>739</v>
      </c>
      <c r="D2583" s="549" t="s">
        <v>740</v>
      </c>
      <c r="E2583" s="549" t="s">
        <v>977</v>
      </c>
      <c r="F2583" s="549" t="s">
        <v>1212</v>
      </c>
      <c r="G2583" s="549" t="s">
        <v>1418</v>
      </c>
      <c r="H2583" s="549" t="s">
        <v>739</v>
      </c>
      <c r="I2583" s="549" t="s">
        <v>976</v>
      </c>
      <c r="J2583" s="549" t="s">
        <v>976</v>
      </c>
      <c r="K2583" s="549" t="s">
        <v>976</v>
      </c>
      <c r="L2583" s="549">
        <v>17190.68</v>
      </c>
      <c r="M2583" s="549">
        <v>1297.9000000000001</v>
      </c>
      <c r="N2583" s="549">
        <v>379.91</v>
      </c>
      <c r="O2583" s="549">
        <v>0</v>
      </c>
      <c r="P2583" s="549">
        <v>100</v>
      </c>
      <c r="Q2583" s="549">
        <v>1677.81</v>
      </c>
    </row>
    <row r="2584" spans="1:17" x14ac:dyDescent="0.25">
      <c r="A2584" s="549" t="s">
        <v>1078</v>
      </c>
      <c r="B2584" s="549" t="s">
        <v>1079</v>
      </c>
      <c r="C2584" s="549" t="s">
        <v>739</v>
      </c>
      <c r="D2584" s="549" t="s">
        <v>740</v>
      </c>
      <c r="E2584" s="549" t="s">
        <v>977</v>
      </c>
      <c r="F2584" s="549" t="s">
        <v>1212</v>
      </c>
      <c r="G2584" s="549" t="s">
        <v>1419</v>
      </c>
      <c r="H2584" s="549" t="s">
        <v>739</v>
      </c>
      <c r="I2584" s="549" t="s">
        <v>976</v>
      </c>
      <c r="J2584" s="549" t="s">
        <v>976</v>
      </c>
      <c r="K2584" s="549" t="s">
        <v>976</v>
      </c>
      <c r="L2584" s="549">
        <v>48322.23</v>
      </c>
      <c r="M2584" s="549">
        <v>3648.33</v>
      </c>
      <c r="N2584" s="549">
        <v>1067.92</v>
      </c>
      <c r="O2584" s="549">
        <v>0</v>
      </c>
      <c r="P2584" s="549">
        <v>100</v>
      </c>
      <c r="Q2584" s="549">
        <v>4716.25</v>
      </c>
    </row>
    <row r="2585" spans="1:17" x14ac:dyDescent="0.25">
      <c r="A2585" s="549" t="s">
        <v>1078</v>
      </c>
      <c r="B2585" s="549" t="s">
        <v>1079</v>
      </c>
      <c r="C2585" s="549" t="s">
        <v>741</v>
      </c>
      <c r="D2585" s="549" t="s">
        <v>455</v>
      </c>
      <c r="E2585" s="549" t="s">
        <v>973</v>
      </c>
      <c r="F2585" s="549" t="s">
        <v>1212</v>
      </c>
      <c r="G2585" s="549">
        <v>212</v>
      </c>
      <c r="H2585" s="549" t="s">
        <v>741</v>
      </c>
      <c r="I2585" s="549" t="s">
        <v>976</v>
      </c>
      <c r="J2585" s="549" t="s">
        <v>976</v>
      </c>
      <c r="K2585" s="549" t="s">
        <v>976</v>
      </c>
      <c r="L2585" s="549">
        <v>468690.7</v>
      </c>
      <c r="M2585" s="549">
        <v>35386.15</v>
      </c>
      <c r="N2585" s="549">
        <v>26902.85</v>
      </c>
      <c r="O2585" s="549">
        <v>1984</v>
      </c>
      <c r="P2585" s="549">
        <v>0</v>
      </c>
      <c r="Q2585" s="549">
        <v>0</v>
      </c>
    </row>
    <row r="2586" spans="1:17" x14ac:dyDescent="0.25">
      <c r="A2586" s="549" t="s">
        <v>1078</v>
      </c>
      <c r="B2586" s="549" t="s">
        <v>1079</v>
      </c>
      <c r="C2586" s="549" t="s">
        <v>741</v>
      </c>
      <c r="D2586" s="549" t="s">
        <v>455</v>
      </c>
      <c r="E2586" s="549" t="s">
        <v>973</v>
      </c>
      <c r="F2586" s="549" t="s">
        <v>1212</v>
      </c>
      <c r="G2586" s="549">
        <v>242</v>
      </c>
      <c r="H2586" s="549" t="s">
        <v>741</v>
      </c>
      <c r="I2586" s="549" t="s">
        <v>976</v>
      </c>
      <c r="J2586" s="549" t="s">
        <v>976</v>
      </c>
      <c r="K2586" s="549" t="s">
        <v>976</v>
      </c>
      <c r="L2586" s="549">
        <v>468690.7</v>
      </c>
      <c r="M2586" s="549">
        <v>35386.15</v>
      </c>
      <c r="N2586" s="549">
        <v>26902.85</v>
      </c>
      <c r="O2586" s="549">
        <v>1984</v>
      </c>
      <c r="P2586" s="549">
        <v>0</v>
      </c>
      <c r="Q2586" s="549">
        <v>0</v>
      </c>
    </row>
    <row r="2587" spans="1:17" x14ac:dyDescent="0.25">
      <c r="A2587" s="549" t="s">
        <v>1078</v>
      </c>
      <c r="B2587" s="549" t="s">
        <v>1079</v>
      </c>
      <c r="C2587" s="549" t="s">
        <v>741</v>
      </c>
      <c r="D2587" s="549" t="s">
        <v>455</v>
      </c>
      <c r="E2587" s="549" t="s">
        <v>973</v>
      </c>
      <c r="F2587" s="549" t="s">
        <v>1212</v>
      </c>
      <c r="G2587" s="549">
        <v>1052</v>
      </c>
      <c r="H2587" s="549" t="s">
        <v>741</v>
      </c>
      <c r="I2587" s="549" t="s">
        <v>976</v>
      </c>
      <c r="J2587" s="549" t="s">
        <v>976</v>
      </c>
      <c r="K2587" s="549" t="s">
        <v>976</v>
      </c>
      <c r="L2587" s="549">
        <v>172160.09</v>
      </c>
      <c r="M2587" s="549">
        <v>12998.09</v>
      </c>
      <c r="N2587" s="549">
        <v>9881.99</v>
      </c>
      <c r="O2587" s="549">
        <v>3670.4</v>
      </c>
      <c r="P2587" s="549">
        <v>0</v>
      </c>
      <c r="Q2587" s="549">
        <v>0</v>
      </c>
    </row>
    <row r="2588" spans="1:17" x14ac:dyDescent="0.25">
      <c r="A2588" s="549" t="s">
        <v>1078</v>
      </c>
      <c r="B2588" s="549" t="s">
        <v>1079</v>
      </c>
      <c r="C2588" s="549" t="s">
        <v>741</v>
      </c>
      <c r="D2588" s="549" t="s">
        <v>455</v>
      </c>
      <c r="E2588" s="549" t="s">
        <v>973</v>
      </c>
      <c r="F2588" s="549" t="s">
        <v>1212</v>
      </c>
      <c r="G2588" s="549">
        <v>1062</v>
      </c>
      <c r="H2588" s="549" t="s">
        <v>741</v>
      </c>
      <c r="I2588" s="549" t="s">
        <v>976</v>
      </c>
      <c r="J2588" s="549" t="s">
        <v>976</v>
      </c>
      <c r="K2588" s="549" t="s">
        <v>976</v>
      </c>
      <c r="L2588" s="549">
        <v>156880.6</v>
      </c>
      <c r="M2588" s="549">
        <v>11844.49</v>
      </c>
      <c r="N2588" s="549">
        <v>9004.9500000000007</v>
      </c>
      <c r="O2588" s="549">
        <v>1984</v>
      </c>
      <c r="P2588" s="549">
        <v>0</v>
      </c>
      <c r="Q2588" s="549">
        <v>0</v>
      </c>
    </row>
    <row r="2589" spans="1:17" x14ac:dyDescent="0.25">
      <c r="A2589" s="549" t="s">
        <v>1078</v>
      </c>
      <c r="B2589" s="549" t="s">
        <v>1079</v>
      </c>
      <c r="C2589" s="549" t="s">
        <v>741</v>
      </c>
      <c r="D2589" s="549" t="s">
        <v>455</v>
      </c>
      <c r="E2589" s="549" t="s">
        <v>973</v>
      </c>
      <c r="F2589" s="549" t="s">
        <v>1212</v>
      </c>
      <c r="G2589" s="549">
        <v>1092</v>
      </c>
      <c r="H2589" s="549" t="s">
        <v>741</v>
      </c>
      <c r="I2589" s="549" t="s">
        <v>976</v>
      </c>
      <c r="J2589" s="549" t="s">
        <v>976</v>
      </c>
      <c r="K2589" s="549" t="s">
        <v>976</v>
      </c>
      <c r="L2589" s="549">
        <v>172160.09</v>
      </c>
      <c r="M2589" s="549">
        <v>12998.09</v>
      </c>
      <c r="N2589" s="549">
        <v>9881.99</v>
      </c>
      <c r="O2589" s="549">
        <v>3670.4</v>
      </c>
      <c r="P2589" s="549">
        <v>0</v>
      </c>
      <c r="Q2589" s="549">
        <v>0</v>
      </c>
    </row>
    <row r="2590" spans="1:17" x14ac:dyDescent="0.25">
      <c r="A2590" s="549" t="s">
        <v>1078</v>
      </c>
      <c r="B2590" s="549" t="s">
        <v>1079</v>
      </c>
      <c r="C2590" s="549" t="s">
        <v>741</v>
      </c>
      <c r="D2590" s="549" t="s">
        <v>455</v>
      </c>
      <c r="E2590" s="549" t="s">
        <v>973</v>
      </c>
      <c r="F2590" s="549" t="s">
        <v>1212</v>
      </c>
      <c r="G2590" s="549">
        <v>1102</v>
      </c>
      <c r="H2590" s="549" t="s">
        <v>741</v>
      </c>
      <c r="I2590" s="549" t="s">
        <v>976</v>
      </c>
      <c r="J2590" s="549" t="s">
        <v>976</v>
      </c>
      <c r="K2590" s="549" t="s">
        <v>976</v>
      </c>
      <c r="L2590" s="549">
        <v>156880.6</v>
      </c>
      <c r="M2590" s="549">
        <v>11844.49</v>
      </c>
      <c r="N2590" s="549">
        <v>9004.9500000000007</v>
      </c>
      <c r="O2590" s="549">
        <v>1984</v>
      </c>
      <c r="P2590" s="549">
        <v>0</v>
      </c>
      <c r="Q2590" s="549">
        <v>0</v>
      </c>
    </row>
    <row r="2591" spans="1:17" x14ac:dyDescent="0.25">
      <c r="A2591" s="549" t="s">
        <v>1078</v>
      </c>
      <c r="B2591" s="549" t="s">
        <v>1079</v>
      </c>
      <c r="C2591" s="549" t="s">
        <v>741</v>
      </c>
      <c r="D2591" s="549" t="s">
        <v>455</v>
      </c>
      <c r="E2591" s="549" t="s">
        <v>973</v>
      </c>
      <c r="F2591" s="549" t="s">
        <v>1212</v>
      </c>
      <c r="G2591" s="549" t="s">
        <v>1233</v>
      </c>
      <c r="H2591" s="549" t="s">
        <v>741</v>
      </c>
      <c r="I2591" s="549" t="s">
        <v>976</v>
      </c>
      <c r="J2591" s="549" t="s">
        <v>976</v>
      </c>
      <c r="K2591" s="549" t="s">
        <v>976</v>
      </c>
      <c r="L2591" s="549">
        <v>40536.26</v>
      </c>
      <c r="M2591" s="549">
        <v>3060.49</v>
      </c>
      <c r="N2591" s="549">
        <v>2326.7800000000002</v>
      </c>
      <c r="O2591" s="549">
        <v>1984</v>
      </c>
      <c r="P2591" s="549">
        <v>0</v>
      </c>
      <c r="Q2591" s="549">
        <v>0</v>
      </c>
    </row>
    <row r="2592" spans="1:17" x14ac:dyDescent="0.25">
      <c r="A2592" s="549" t="s">
        <v>1078</v>
      </c>
      <c r="B2592" s="549" t="s">
        <v>1079</v>
      </c>
      <c r="C2592" s="549" t="s">
        <v>741</v>
      </c>
      <c r="D2592" s="549" t="s">
        <v>455</v>
      </c>
      <c r="E2592" s="549" t="s">
        <v>973</v>
      </c>
      <c r="F2592" s="549" t="s">
        <v>1212</v>
      </c>
      <c r="G2592" s="549" t="s">
        <v>1227</v>
      </c>
      <c r="H2592" s="549" t="s">
        <v>741</v>
      </c>
      <c r="I2592" s="549" t="s">
        <v>976</v>
      </c>
      <c r="J2592" s="549" t="s">
        <v>976</v>
      </c>
      <c r="K2592" s="549" t="s">
        <v>976</v>
      </c>
      <c r="L2592" s="549">
        <v>21208.9</v>
      </c>
      <c r="M2592" s="549">
        <v>1601.27</v>
      </c>
      <c r="N2592" s="549">
        <v>1217.3900000000001</v>
      </c>
      <c r="O2592" s="549">
        <v>0</v>
      </c>
      <c r="P2592" s="549">
        <v>0</v>
      </c>
      <c r="Q2592" s="549">
        <v>0</v>
      </c>
    </row>
    <row r="2593" spans="1:17" x14ac:dyDescent="0.25">
      <c r="A2593" s="549" t="s">
        <v>1078</v>
      </c>
      <c r="B2593" s="549" t="s">
        <v>1079</v>
      </c>
      <c r="C2593" s="549" t="s">
        <v>741</v>
      </c>
      <c r="D2593" s="549" t="s">
        <v>455</v>
      </c>
      <c r="E2593" s="549" t="s">
        <v>973</v>
      </c>
      <c r="F2593" s="549" t="s">
        <v>1212</v>
      </c>
      <c r="G2593" s="549" t="s">
        <v>1226</v>
      </c>
      <c r="H2593" s="549" t="s">
        <v>741</v>
      </c>
      <c r="I2593" s="549" t="s">
        <v>976</v>
      </c>
      <c r="J2593" s="549" t="s">
        <v>976</v>
      </c>
      <c r="K2593" s="549" t="s">
        <v>976</v>
      </c>
      <c r="L2593" s="549">
        <v>21208.9</v>
      </c>
      <c r="M2593" s="549">
        <v>1601.27</v>
      </c>
      <c r="N2593" s="549">
        <v>1217.3900000000001</v>
      </c>
      <c r="O2593" s="549">
        <v>0</v>
      </c>
      <c r="P2593" s="549">
        <v>0</v>
      </c>
      <c r="Q2593" s="549">
        <v>0</v>
      </c>
    </row>
    <row r="2594" spans="1:17" x14ac:dyDescent="0.25">
      <c r="A2594" s="549" t="s">
        <v>1078</v>
      </c>
      <c r="B2594" s="549" t="s">
        <v>1079</v>
      </c>
      <c r="C2594" s="549" t="s">
        <v>741</v>
      </c>
      <c r="D2594" s="549" t="s">
        <v>455</v>
      </c>
      <c r="E2594" s="549" t="s">
        <v>977</v>
      </c>
      <c r="F2594" s="549" t="s">
        <v>1212</v>
      </c>
      <c r="G2594" s="549">
        <v>212</v>
      </c>
      <c r="H2594" s="549" t="s">
        <v>741</v>
      </c>
      <c r="I2594" s="549" t="s">
        <v>976</v>
      </c>
      <c r="J2594" s="549" t="s">
        <v>976</v>
      </c>
      <c r="K2594" s="549" t="s">
        <v>976</v>
      </c>
      <c r="L2594" s="549">
        <v>468690.7</v>
      </c>
      <c r="M2594" s="549">
        <v>35386.15</v>
      </c>
      <c r="N2594" s="549">
        <v>10358.06</v>
      </c>
      <c r="O2594" s="549">
        <v>1984</v>
      </c>
      <c r="P2594" s="549">
        <v>100</v>
      </c>
      <c r="Q2594" s="549">
        <v>47728.21</v>
      </c>
    </row>
    <row r="2595" spans="1:17" x14ac:dyDescent="0.25">
      <c r="A2595" s="549" t="s">
        <v>1078</v>
      </c>
      <c r="B2595" s="549" t="s">
        <v>1079</v>
      </c>
      <c r="C2595" s="549" t="s">
        <v>741</v>
      </c>
      <c r="D2595" s="549" t="s">
        <v>455</v>
      </c>
      <c r="E2595" s="549" t="s">
        <v>977</v>
      </c>
      <c r="F2595" s="549" t="s">
        <v>1212</v>
      </c>
      <c r="G2595" s="549">
        <v>242</v>
      </c>
      <c r="H2595" s="549" t="s">
        <v>741</v>
      </c>
      <c r="I2595" s="549" t="s">
        <v>976</v>
      </c>
      <c r="J2595" s="549" t="s">
        <v>976</v>
      </c>
      <c r="K2595" s="549" t="s">
        <v>976</v>
      </c>
      <c r="L2595" s="549">
        <v>468690.7</v>
      </c>
      <c r="M2595" s="549">
        <v>35386.15</v>
      </c>
      <c r="N2595" s="549">
        <v>10358.06</v>
      </c>
      <c r="O2595" s="549">
        <v>1984</v>
      </c>
      <c r="P2595" s="549">
        <v>100</v>
      </c>
      <c r="Q2595" s="549">
        <v>47728.21</v>
      </c>
    </row>
    <row r="2596" spans="1:17" x14ac:dyDescent="0.25">
      <c r="A2596" s="549" t="s">
        <v>1078</v>
      </c>
      <c r="B2596" s="549" t="s">
        <v>1079</v>
      </c>
      <c r="C2596" s="549" t="s">
        <v>741</v>
      </c>
      <c r="D2596" s="549" t="s">
        <v>455</v>
      </c>
      <c r="E2596" s="549" t="s">
        <v>977</v>
      </c>
      <c r="F2596" s="549" t="s">
        <v>1212</v>
      </c>
      <c r="G2596" s="549">
        <v>1052</v>
      </c>
      <c r="H2596" s="549" t="s">
        <v>741</v>
      </c>
      <c r="I2596" s="549" t="s">
        <v>976</v>
      </c>
      <c r="J2596" s="549" t="s">
        <v>976</v>
      </c>
      <c r="K2596" s="549" t="s">
        <v>976</v>
      </c>
      <c r="L2596" s="549">
        <v>172160.09</v>
      </c>
      <c r="M2596" s="549">
        <v>12998.09</v>
      </c>
      <c r="N2596" s="549">
        <v>3804.74</v>
      </c>
      <c r="O2596" s="549">
        <v>3670.4</v>
      </c>
      <c r="P2596" s="549">
        <v>100</v>
      </c>
      <c r="Q2596" s="549">
        <v>20473.23</v>
      </c>
    </row>
    <row r="2597" spans="1:17" x14ac:dyDescent="0.25">
      <c r="A2597" s="549" t="s">
        <v>1078</v>
      </c>
      <c r="B2597" s="549" t="s">
        <v>1079</v>
      </c>
      <c r="C2597" s="549" t="s">
        <v>741</v>
      </c>
      <c r="D2597" s="549" t="s">
        <v>455</v>
      </c>
      <c r="E2597" s="549" t="s">
        <v>977</v>
      </c>
      <c r="F2597" s="549" t="s">
        <v>1212</v>
      </c>
      <c r="G2597" s="549">
        <v>1062</v>
      </c>
      <c r="H2597" s="549" t="s">
        <v>741</v>
      </c>
      <c r="I2597" s="549" t="s">
        <v>976</v>
      </c>
      <c r="J2597" s="549" t="s">
        <v>976</v>
      </c>
      <c r="K2597" s="549" t="s">
        <v>976</v>
      </c>
      <c r="L2597" s="549">
        <v>156880.6</v>
      </c>
      <c r="M2597" s="549">
        <v>11844.49</v>
      </c>
      <c r="N2597" s="549">
        <v>3467.06</v>
      </c>
      <c r="O2597" s="549">
        <v>1984</v>
      </c>
      <c r="P2597" s="549">
        <v>100</v>
      </c>
      <c r="Q2597" s="549">
        <v>17295.55</v>
      </c>
    </row>
    <row r="2598" spans="1:17" x14ac:dyDescent="0.25">
      <c r="A2598" s="549" t="s">
        <v>1078</v>
      </c>
      <c r="B2598" s="549" t="s">
        <v>1079</v>
      </c>
      <c r="C2598" s="549" t="s">
        <v>741</v>
      </c>
      <c r="D2598" s="549" t="s">
        <v>455</v>
      </c>
      <c r="E2598" s="549" t="s">
        <v>977</v>
      </c>
      <c r="F2598" s="549" t="s">
        <v>1212</v>
      </c>
      <c r="G2598" s="549">
        <v>1092</v>
      </c>
      <c r="H2598" s="549" t="s">
        <v>741</v>
      </c>
      <c r="I2598" s="549" t="s">
        <v>976</v>
      </c>
      <c r="J2598" s="549" t="s">
        <v>976</v>
      </c>
      <c r="K2598" s="549" t="s">
        <v>976</v>
      </c>
      <c r="L2598" s="549">
        <v>172160.09</v>
      </c>
      <c r="M2598" s="549">
        <v>12998.09</v>
      </c>
      <c r="N2598" s="549">
        <v>3804.74</v>
      </c>
      <c r="O2598" s="549">
        <v>3670.4</v>
      </c>
      <c r="P2598" s="549">
        <v>100</v>
      </c>
      <c r="Q2598" s="549">
        <v>20473.23</v>
      </c>
    </row>
    <row r="2599" spans="1:17" x14ac:dyDescent="0.25">
      <c r="A2599" s="549" t="s">
        <v>1078</v>
      </c>
      <c r="B2599" s="549" t="s">
        <v>1079</v>
      </c>
      <c r="C2599" s="549" t="s">
        <v>741</v>
      </c>
      <c r="D2599" s="549" t="s">
        <v>455</v>
      </c>
      <c r="E2599" s="549" t="s">
        <v>977</v>
      </c>
      <c r="F2599" s="549" t="s">
        <v>1212</v>
      </c>
      <c r="G2599" s="549">
        <v>1102</v>
      </c>
      <c r="H2599" s="549" t="s">
        <v>741</v>
      </c>
      <c r="I2599" s="549" t="s">
        <v>976</v>
      </c>
      <c r="J2599" s="549" t="s">
        <v>976</v>
      </c>
      <c r="K2599" s="549" t="s">
        <v>976</v>
      </c>
      <c r="L2599" s="549">
        <v>156880.6</v>
      </c>
      <c r="M2599" s="549">
        <v>11844.49</v>
      </c>
      <c r="N2599" s="549">
        <v>3467.06</v>
      </c>
      <c r="O2599" s="549">
        <v>1984</v>
      </c>
      <c r="P2599" s="549">
        <v>100</v>
      </c>
      <c r="Q2599" s="549">
        <v>17295.55</v>
      </c>
    </row>
    <row r="2600" spans="1:17" x14ac:dyDescent="0.25">
      <c r="A2600" s="549" t="s">
        <v>1078</v>
      </c>
      <c r="B2600" s="549" t="s">
        <v>1079</v>
      </c>
      <c r="C2600" s="549" t="s">
        <v>741</v>
      </c>
      <c r="D2600" s="549" t="s">
        <v>455</v>
      </c>
      <c r="E2600" s="549" t="s">
        <v>977</v>
      </c>
      <c r="F2600" s="549" t="s">
        <v>1212</v>
      </c>
      <c r="G2600" s="549" t="s">
        <v>1233</v>
      </c>
      <c r="H2600" s="549" t="s">
        <v>741</v>
      </c>
      <c r="I2600" s="549" t="s">
        <v>976</v>
      </c>
      <c r="J2600" s="549" t="s">
        <v>976</v>
      </c>
      <c r="K2600" s="549" t="s">
        <v>976</v>
      </c>
      <c r="L2600" s="549">
        <v>40536.26</v>
      </c>
      <c r="M2600" s="549">
        <v>3060.49</v>
      </c>
      <c r="N2600" s="549">
        <v>895.85</v>
      </c>
      <c r="O2600" s="549">
        <v>1984</v>
      </c>
      <c r="P2600" s="549">
        <v>100</v>
      </c>
      <c r="Q2600" s="549">
        <v>5940.34</v>
      </c>
    </row>
    <row r="2601" spans="1:17" x14ac:dyDescent="0.25">
      <c r="A2601" s="549" t="s">
        <v>1078</v>
      </c>
      <c r="B2601" s="549" t="s">
        <v>1079</v>
      </c>
      <c r="C2601" s="549" t="s">
        <v>741</v>
      </c>
      <c r="D2601" s="549" t="s">
        <v>455</v>
      </c>
      <c r="E2601" s="549" t="s">
        <v>977</v>
      </c>
      <c r="F2601" s="549" t="s">
        <v>1212</v>
      </c>
      <c r="G2601" s="549" t="s">
        <v>1227</v>
      </c>
      <c r="H2601" s="549" t="s">
        <v>741</v>
      </c>
      <c r="I2601" s="549" t="s">
        <v>976</v>
      </c>
      <c r="J2601" s="549" t="s">
        <v>976</v>
      </c>
      <c r="K2601" s="549" t="s">
        <v>976</v>
      </c>
      <c r="L2601" s="549">
        <v>21208.9</v>
      </c>
      <c r="M2601" s="549">
        <v>1601.27</v>
      </c>
      <c r="N2601" s="549">
        <v>468.72</v>
      </c>
      <c r="O2601" s="549">
        <v>0</v>
      </c>
      <c r="P2601" s="549">
        <v>100</v>
      </c>
      <c r="Q2601" s="549">
        <v>2069.9899999999998</v>
      </c>
    </row>
    <row r="2602" spans="1:17" x14ac:dyDescent="0.25">
      <c r="A2602" s="549" t="s">
        <v>1078</v>
      </c>
      <c r="B2602" s="549" t="s">
        <v>1079</v>
      </c>
      <c r="C2602" s="549" t="s">
        <v>741</v>
      </c>
      <c r="D2602" s="549" t="s">
        <v>455</v>
      </c>
      <c r="E2602" s="549" t="s">
        <v>977</v>
      </c>
      <c r="F2602" s="549" t="s">
        <v>1212</v>
      </c>
      <c r="G2602" s="549" t="s">
        <v>1226</v>
      </c>
      <c r="H2602" s="549" t="s">
        <v>741</v>
      </c>
      <c r="I2602" s="549" t="s">
        <v>976</v>
      </c>
      <c r="J2602" s="549" t="s">
        <v>976</v>
      </c>
      <c r="K2602" s="549" t="s">
        <v>976</v>
      </c>
      <c r="L2602" s="549">
        <v>21208.9</v>
      </c>
      <c r="M2602" s="549">
        <v>1601.27</v>
      </c>
      <c r="N2602" s="549">
        <v>468.72</v>
      </c>
      <c r="O2602" s="549">
        <v>0</v>
      </c>
      <c r="P2602" s="549">
        <v>100</v>
      </c>
      <c r="Q2602" s="549">
        <v>2069.9899999999998</v>
      </c>
    </row>
    <row r="2603" spans="1:17" x14ac:dyDescent="0.25">
      <c r="A2603" s="549" t="s">
        <v>1078</v>
      </c>
      <c r="B2603" s="549" t="s">
        <v>1079</v>
      </c>
      <c r="C2603" s="549" t="s">
        <v>737</v>
      </c>
      <c r="D2603" s="549" t="s">
        <v>738</v>
      </c>
      <c r="E2603" s="549" t="s">
        <v>977</v>
      </c>
      <c r="F2603" s="549" t="s">
        <v>1212</v>
      </c>
      <c r="G2603" s="549">
        <v>532</v>
      </c>
      <c r="H2603" s="549" t="s">
        <v>654</v>
      </c>
      <c r="I2603" s="549" t="s">
        <v>976</v>
      </c>
      <c r="J2603" s="549" t="s">
        <v>976</v>
      </c>
      <c r="K2603" s="549" t="s">
        <v>976</v>
      </c>
      <c r="L2603" s="549">
        <v>216566.06</v>
      </c>
      <c r="M2603" s="549">
        <v>16350.74</v>
      </c>
      <c r="N2603" s="549">
        <v>4786.1099999999997</v>
      </c>
      <c r="O2603" s="549">
        <v>3968</v>
      </c>
      <c r="P2603" s="549">
        <v>100</v>
      </c>
      <c r="Q2603" s="549">
        <v>25104.85</v>
      </c>
    </row>
    <row r="2604" spans="1:17" x14ac:dyDescent="0.25">
      <c r="A2604" s="549" t="s">
        <v>1078</v>
      </c>
      <c r="B2604" s="549" t="s">
        <v>1079</v>
      </c>
      <c r="C2604" s="549" t="s">
        <v>737</v>
      </c>
      <c r="D2604" s="549" t="s">
        <v>738</v>
      </c>
      <c r="E2604" s="549" t="s">
        <v>977</v>
      </c>
      <c r="F2604" s="549" t="s">
        <v>1212</v>
      </c>
      <c r="G2604" s="549">
        <v>572</v>
      </c>
      <c r="H2604" s="549" t="s">
        <v>654</v>
      </c>
      <c r="I2604" s="549" t="s">
        <v>976</v>
      </c>
      <c r="J2604" s="549" t="s">
        <v>976</v>
      </c>
      <c r="K2604" s="549" t="s">
        <v>976</v>
      </c>
      <c r="L2604" s="549">
        <v>216566.06</v>
      </c>
      <c r="M2604" s="549">
        <v>16350.74</v>
      </c>
      <c r="N2604" s="549">
        <v>4786.1099999999997</v>
      </c>
      <c r="O2604" s="549">
        <v>3968</v>
      </c>
      <c r="P2604" s="549">
        <v>100</v>
      </c>
      <c r="Q2604" s="549">
        <v>25104.85</v>
      </c>
    </row>
    <row r="2605" spans="1:17" x14ac:dyDescent="0.25">
      <c r="A2605" s="549" t="s">
        <v>1078</v>
      </c>
      <c r="B2605" s="549" t="s">
        <v>1079</v>
      </c>
      <c r="C2605" s="549" t="s">
        <v>737</v>
      </c>
      <c r="D2605" s="549" t="s">
        <v>738</v>
      </c>
      <c r="E2605" s="549" t="s">
        <v>977</v>
      </c>
      <c r="F2605" s="549" t="s">
        <v>1212</v>
      </c>
      <c r="G2605" s="549">
        <v>72</v>
      </c>
      <c r="H2605" s="549" t="s">
        <v>737</v>
      </c>
      <c r="I2605" s="549" t="s">
        <v>976</v>
      </c>
      <c r="J2605" s="549" t="s">
        <v>976</v>
      </c>
      <c r="K2605" s="549" t="s">
        <v>976</v>
      </c>
      <c r="L2605" s="549">
        <v>119606.34</v>
      </c>
      <c r="M2605" s="549">
        <v>9030.2800000000007</v>
      </c>
      <c r="N2605" s="549">
        <v>2643.3</v>
      </c>
      <c r="O2605" s="549">
        <v>1984</v>
      </c>
      <c r="P2605" s="549">
        <v>100</v>
      </c>
      <c r="Q2605" s="549">
        <v>13657.58</v>
      </c>
    </row>
    <row r="2606" spans="1:17" x14ac:dyDescent="0.25">
      <c r="A2606" s="549" t="s">
        <v>1078</v>
      </c>
      <c r="B2606" s="549" t="s">
        <v>1079</v>
      </c>
      <c r="C2606" s="549" t="s">
        <v>737</v>
      </c>
      <c r="D2606" s="549" t="s">
        <v>738</v>
      </c>
      <c r="E2606" s="549" t="s">
        <v>977</v>
      </c>
      <c r="F2606" s="549" t="s">
        <v>1212</v>
      </c>
      <c r="G2606" s="549">
        <v>212</v>
      </c>
      <c r="H2606" s="549" t="s">
        <v>737</v>
      </c>
      <c r="I2606" s="549" t="s">
        <v>976</v>
      </c>
      <c r="J2606" s="549" t="s">
        <v>976</v>
      </c>
      <c r="K2606" s="549" t="s">
        <v>976</v>
      </c>
      <c r="L2606" s="549">
        <v>220517.92</v>
      </c>
      <c r="M2606" s="549">
        <v>16649.099999999999</v>
      </c>
      <c r="N2606" s="549">
        <v>4873.45</v>
      </c>
      <c r="O2606" s="549">
        <v>3769.6</v>
      </c>
      <c r="P2606" s="549">
        <v>100</v>
      </c>
      <c r="Q2606" s="549">
        <v>25292.15</v>
      </c>
    </row>
    <row r="2607" spans="1:17" x14ac:dyDescent="0.25">
      <c r="A2607" s="549" t="s">
        <v>1078</v>
      </c>
      <c r="B2607" s="549" t="s">
        <v>1079</v>
      </c>
      <c r="C2607" s="549" t="s">
        <v>737</v>
      </c>
      <c r="D2607" s="549" t="s">
        <v>738</v>
      </c>
      <c r="E2607" s="549" t="s">
        <v>977</v>
      </c>
      <c r="F2607" s="549" t="s">
        <v>1212</v>
      </c>
      <c r="G2607" s="549">
        <v>222</v>
      </c>
      <c r="H2607" s="549" t="s">
        <v>737</v>
      </c>
      <c r="I2607" s="549" t="s">
        <v>976</v>
      </c>
      <c r="J2607" s="549" t="s">
        <v>976</v>
      </c>
      <c r="K2607" s="549" t="s">
        <v>976</v>
      </c>
      <c r="L2607" s="549">
        <v>264603.08</v>
      </c>
      <c r="M2607" s="549">
        <v>19977.53</v>
      </c>
      <c r="N2607" s="549">
        <v>5847.73</v>
      </c>
      <c r="O2607" s="549">
        <v>1984</v>
      </c>
      <c r="P2607" s="549">
        <v>100</v>
      </c>
      <c r="Q2607" s="549">
        <v>27809.26</v>
      </c>
    </row>
    <row r="2608" spans="1:17" x14ac:dyDescent="0.25">
      <c r="A2608" s="549" t="s">
        <v>1078</v>
      </c>
      <c r="B2608" s="549" t="s">
        <v>1079</v>
      </c>
      <c r="C2608" s="549" t="s">
        <v>737</v>
      </c>
      <c r="D2608" s="549" t="s">
        <v>738</v>
      </c>
      <c r="E2608" s="549" t="s">
        <v>977</v>
      </c>
      <c r="F2608" s="549" t="s">
        <v>1212</v>
      </c>
      <c r="G2608" s="549">
        <v>232</v>
      </c>
      <c r="H2608" s="549" t="s">
        <v>737</v>
      </c>
      <c r="I2608" s="549" t="s">
        <v>976</v>
      </c>
      <c r="J2608" s="549" t="s">
        <v>976</v>
      </c>
      <c r="K2608" s="549" t="s">
        <v>976</v>
      </c>
      <c r="L2608" s="549">
        <v>201043.93</v>
      </c>
      <c r="M2608" s="549">
        <v>15178.82</v>
      </c>
      <c r="N2608" s="549">
        <v>4443.07</v>
      </c>
      <c r="O2608" s="549">
        <v>3769.6</v>
      </c>
      <c r="P2608" s="549">
        <v>100</v>
      </c>
      <c r="Q2608" s="549">
        <v>23391.49</v>
      </c>
    </row>
    <row r="2609" spans="1:17" x14ac:dyDescent="0.25">
      <c r="A2609" s="549" t="s">
        <v>1078</v>
      </c>
      <c r="B2609" s="549" t="s">
        <v>1079</v>
      </c>
      <c r="C2609" s="549" t="s">
        <v>737</v>
      </c>
      <c r="D2609" s="549" t="s">
        <v>738</v>
      </c>
      <c r="E2609" s="549" t="s">
        <v>977</v>
      </c>
      <c r="F2609" s="549" t="s">
        <v>1212</v>
      </c>
      <c r="G2609" s="549">
        <v>242</v>
      </c>
      <c r="H2609" s="549" t="s">
        <v>737</v>
      </c>
      <c r="I2609" s="549" t="s">
        <v>976</v>
      </c>
      <c r="J2609" s="549" t="s">
        <v>976</v>
      </c>
      <c r="K2609" s="549" t="s">
        <v>976</v>
      </c>
      <c r="L2609" s="549">
        <v>201043.93</v>
      </c>
      <c r="M2609" s="549">
        <v>15178.82</v>
      </c>
      <c r="N2609" s="549">
        <v>4443.07</v>
      </c>
      <c r="O2609" s="549">
        <v>3769.6</v>
      </c>
      <c r="P2609" s="549">
        <v>100</v>
      </c>
      <c r="Q2609" s="549">
        <v>23391.49</v>
      </c>
    </row>
    <row r="2610" spans="1:17" x14ac:dyDescent="0.25">
      <c r="A2610" s="549" t="s">
        <v>1078</v>
      </c>
      <c r="B2610" s="549" t="s">
        <v>1079</v>
      </c>
      <c r="C2610" s="549" t="s">
        <v>737</v>
      </c>
      <c r="D2610" s="549" t="s">
        <v>738</v>
      </c>
      <c r="E2610" s="549" t="s">
        <v>977</v>
      </c>
      <c r="F2610" s="549" t="s">
        <v>1212</v>
      </c>
      <c r="G2610" s="549" t="s">
        <v>1364</v>
      </c>
      <c r="H2610" s="549" t="s">
        <v>737</v>
      </c>
      <c r="I2610" s="549" t="s">
        <v>976</v>
      </c>
      <c r="J2610" s="549" t="s">
        <v>976</v>
      </c>
      <c r="K2610" s="549" t="s">
        <v>976</v>
      </c>
      <c r="L2610" s="549">
        <v>37214.97</v>
      </c>
      <c r="M2610" s="549">
        <v>2809.73</v>
      </c>
      <c r="N2610" s="549">
        <v>822.45</v>
      </c>
      <c r="O2610" s="549">
        <v>1984</v>
      </c>
      <c r="P2610" s="549">
        <v>100</v>
      </c>
      <c r="Q2610" s="549">
        <v>5616.18</v>
      </c>
    </row>
    <row r="2611" spans="1:17" x14ac:dyDescent="0.25">
      <c r="A2611" s="549" t="s">
        <v>1078</v>
      </c>
      <c r="B2611" s="549" t="s">
        <v>1079</v>
      </c>
      <c r="C2611" s="549" t="s">
        <v>737</v>
      </c>
      <c r="D2611" s="549" t="s">
        <v>738</v>
      </c>
      <c r="E2611" s="549" t="s">
        <v>977</v>
      </c>
      <c r="F2611" s="549" t="s">
        <v>1212</v>
      </c>
      <c r="G2611" s="549" t="s">
        <v>1235</v>
      </c>
      <c r="H2611" s="549" t="s">
        <v>737</v>
      </c>
      <c r="I2611" s="549" t="s">
        <v>976</v>
      </c>
      <c r="J2611" s="549" t="s">
        <v>976</v>
      </c>
      <c r="K2611" s="549" t="s">
        <v>976</v>
      </c>
      <c r="L2611" s="549">
        <v>0.03</v>
      </c>
      <c r="M2611" s="549">
        <v>0</v>
      </c>
      <c r="N2611" s="549">
        <v>0</v>
      </c>
      <c r="O2611" s="549">
        <v>992</v>
      </c>
      <c r="P2611" s="549">
        <v>100</v>
      </c>
      <c r="Q2611" s="549">
        <v>992</v>
      </c>
    </row>
    <row r="2612" spans="1:17" x14ac:dyDescent="0.25">
      <c r="A2612" s="549" t="s">
        <v>1078</v>
      </c>
      <c r="B2612" s="549" t="s">
        <v>1079</v>
      </c>
      <c r="C2612" s="549" t="s">
        <v>737</v>
      </c>
      <c r="D2612" s="549" t="s">
        <v>738</v>
      </c>
      <c r="E2612" s="549" t="s">
        <v>977</v>
      </c>
      <c r="F2612" s="549" t="s">
        <v>1212</v>
      </c>
      <c r="G2612" s="549" t="s">
        <v>1236</v>
      </c>
      <c r="H2612" s="549" t="s">
        <v>737</v>
      </c>
      <c r="I2612" s="549" t="s">
        <v>976</v>
      </c>
      <c r="J2612" s="549" t="s">
        <v>976</v>
      </c>
      <c r="K2612" s="549" t="s">
        <v>976</v>
      </c>
      <c r="L2612" s="549">
        <v>0.03</v>
      </c>
      <c r="M2612" s="549">
        <v>0</v>
      </c>
      <c r="N2612" s="549">
        <v>0</v>
      </c>
      <c r="O2612" s="549">
        <v>992</v>
      </c>
      <c r="P2612" s="549">
        <v>100</v>
      </c>
      <c r="Q2612" s="549">
        <v>992</v>
      </c>
    </row>
    <row r="2613" spans="1:17" x14ac:dyDescent="0.25">
      <c r="A2613" s="549" t="s">
        <v>1078</v>
      </c>
      <c r="B2613" s="549" t="s">
        <v>1079</v>
      </c>
      <c r="C2613" s="549" t="s">
        <v>737</v>
      </c>
      <c r="D2613" s="549" t="s">
        <v>738</v>
      </c>
      <c r="E2613" s="549" t="s">
        <v>977</v>
      </c>
      <c r="F2613" s="549" t="s">
        <v>1212</v>
      </c>
      <c r="G2613" s="549" t="s">
        <v>1277</v>
      </c>
      <c r="H2613" s="549" t="s">
        <v>737</v>
      </c>
      <c r="I2613" s="549" t="s">
        <v>976</v>
      </c>
      <c r="J2613" s="549" t="s">
        <v>976</v>
      </c>
      <c r="K2613" s="549" t="s">
        <v>976</v>
      </c>
      <c r="L2613" s="549">
        <v>31683.14</v>
      </c>
      <c r="M2613" s="549">
        <v>2392.08</v>
      </c>
      <c r="N2613" s="549">
        <v>700.2</v>
      </c>
      <c r="O2613" s="549">
        <v>0</v>
      </c>
      <c r="P2613" s="549">
        <v>100</v>
      </c>
      <c r="Q2613" s="549">
        <v>3092.28</v>
      </c>
    </row>
    <row r="2614" spans="1:17" x14ac:dyDescent="0.25">
      <c r="A2614" s="549" t="s">
        <v>1147</v>
      </c>
      <c r="B2614" s="549" t="s">
        <v>1148</v>
      </c>
      <c r="C2614" s="549" t="s">
        <v>539</v>
      </c>
      <c r="D2614" s="549" t="s">
        <v>1149</v>
      </c>
      <c r="E2614" s="549" t="s">
        <v>973</v>
      </c>
      <c r="F2614" s="549" t="s">
        <v>1212</v>
      </c>
      <c r="G2614" s="549">
        <v>12</v>
      </c>
      <c r="H2614" s="549" t="s">
        <v>539</v>
      </c>
      <c r="I2614" s="549" t="s">
        <v>976</v>
      </c>
      <c r="J2614" s="549" t="s">
        <v>976</v>
      </c>
      <c r="K2614" s="549" t="s">
        <v>976</v>
      </c>
      <c r="L2614" s="549">
        <v>102155.16</v>
      </c>
      <c r="M2614" s="549">
        <v>7712.71</v>
      </c>
      <c r="N2614" s="549">
        <v>5863.71</v>
      </c>
      <c r="O2614" s="549">
        <v>992</v>
      </c>
      <c r="P2614" s="549">
        <v>0</v>
      </c>
      <c r="Q2614" s="549">
        <v>0</v>
      </c>
    </row>
    <row r="2615" spans="1:17" x14ac:dyDescent="0.25">
      <c r="A2615" s="549" t="s">
        <v>1147</v>
      </c>
      <c r="B2615" s="549" t="s">
        <v>1148</v>
      </c>
      <c r="C2615" s="549" t="s">
        <v>539</v>
      </c>
      <c r="D2615" s="549" t="s">
        <v>1149</v>
      </c>
      <c r="E2615" s="549" t="s">
        <v>973</v>
      </c>
      <c r="F2615" s="549" t="s">
        <v>1212</v>
      </c>
      <c r="G2615" s="549">
        <v>13</v>
      </c>
      <c r="H2615" s="549" t="s">
        <v>539</v>
      </c>
      <c r="I2615" s="549" t="s">
        <v>976</v>
      </c>
      <c r="J2615" s="549" t="s">
        <v>976</v>
      </c>
      <c r="K2615" s="549" t="s">
        <v>976</v>
      </c>
      <c r="L2615" s="549">
        <v>102155.16</v>
      </c>
      <c r="M2615" s="549">
        <v>7712.71</v>
      </c>
      <c r="N2615" s="549">
        <v>5863.71</v>
      </c>
      <c r="O2615" s="549">
        <v>992</v>
      </c>
      <c r="P2615" s="549">
        <v>0</v>
      </c>
      <c r="Q2615" s="549">
        <v>0</v>
      </c>
    </row>
    <row r="2616" spans="1:17" x14ac:dyDescent="0.25">
      <c r="A2616" s="549" t="s">
        <v>1147</v>
      </c>
      <c r="B2616" s="549" t="s">
        <v>1148</v>
      </c>
      <c r="C2616" s="549" t="s">
        <v>539</v>
      </c>
      <c r="D2616" s="549" t="s">
        <v>1149</v>
      </c>
      <c r="E2616" s="549" t="s">
        <v>973</v>
      </c>
      <c r="F2616" s="549" t="s">
        <v>1212</v>
      </c>
      <c r="G2616" s="549">
        <v>14</v>
      </c>
      <c r="H2616" s="549" t="s">
        <v>539</v>
      </c>
      <c r="I2616" s="549" t="s">
        <v>976</v>
      </c>
      <c r="J2616" s="549" t="s">
        <v>976</v>
      </c>
      <c r="K2616" s="549" t="s">
        <v>976</v>
      </c>
      <c r="L2616" s="549">
        <v>102155.16</v>
      </c>
      <c r="M2616" s="549">
        <v>7712.71</v>
      </c>
      <c r="N2616" s="549">
        <v>5863.71</v>
      </c>
      <c r="O2616" s="549">
        <v>992</v>
      </c>
      <c r="P2616" s="549">
        <v>0</v>
      </c>
      <c r="Q2616" s="549">
        <v>0</v>
      </c>
    </row>
    <row r="2617" spans="1:17" x14ac:dyDescent="0.25">
      <c r="A2617" s="549" t="s">
        <v>1147</v>
      </c>
      <c r="B2617" s="549" t="s">
        <v>1148</v>
      </c>
      <c r="C2617" s="549" t="s">
        <v>539</v>
      </c>
      <c r="D2617" s="549" t="s">
        <v>1149</v>
      </c>
      <c r="E2617" s="549" t="s">
        <v>973</v>
      </c>
      <c r="F2617" s="549" t="s">
        <v>1212</v>
      </c>
      <c r="G2617" s="549">
        <v>22</v>
      </c>
      <c r="H2617" s="549" t="s">
        <v>539</v>
      </c>
      <c r="I2617" s="549" t="s">
        <v>976</v>
      </c>
      <c r="J2617" s="549" t="s">
        <v>976</v>
      </c>
      <c r="K2617" s="549" t="s">
        <v>976</v>
      </c>
      <c r="L2617" s="549">
        <v>147721.35999999999</v>
      </c>
      <c r="M2617" s="549">
        <v>11152.96</v>
      </c>
      <c r="N2617" s="549">
        <v>8479.2099999999991</v>
      </c>
      <c r="O2617" s="549">
        <v>992</v>
      </c>
      <c r="P2617" s="549">
        <v>0</v>
      </c>
      <c r="Q2617" s="549">
        <v>0</v>
      </c>
    </row>
    <row r="2618" spans="1:17" x14ac:dyDescent="0.25">
      <c r="A2618" s="549" t="s">
        <v>1147</v>
      </c>
      <c r="B2618" s="549" t="s">
        <v>1148</v>
      </c>
      <c r="C2618" s="549" t="s">
        <v>539</v>
      </c>
      <c r="D2618" s="549" t="s">
        <v>1149</v>
      </c>
      <c r="E2618" s="549" t="s">
        <v>973</v>
      </c>
      <c r="F2618" s="549" t="s">
        <v>1212</v>
      </c>
      <c r="G2618" s="549">
        <v>23</v>
      </c>
      <c r="H2618" s="549" t="s">
        <v>539</v>
      </c>
      <c r="I2618" s="549" t="s">
        <v>976</v>
      </c>
      <c r="J2618" s="549" t="s">
        <v>976</v>
      </c>
      <c r="K2618" s="549" t="s">
        <v>976</v>
      </c>
      <c r="L2618" s="549">
        <v>147721.35999999999</v>
      </c>
      <c r="M2618" s="549">
        <v>11152.96</v>
      </c>
      <c r="N2618" s="549">
        <v>8479.2099999999991</v>
      </c>
      <c r="O2618" s="549">
        <v>992</v>
      </c>
      <c r="P2618" s="549">
        <v>0</v>
      </c>
      <c r="Q2618" s="549">
        <v>0</v>
      </c>
    </row>
    <row r="2619" spans="1:17" x14ac:dyDescent="0.25">
      <c r="A2619" s="549" t="s">
        <v>1147</v>
      </c>
      <c r="B2619" s="549" t="s">
        <v>1148</v>
      </c>
      <c r="C2619" s="549" t="s">
        <v>539</v>
      </c>
      <c r="D2619" s="549" t="s">
        <v>1149</v>
      </c>
      <c r="E2619" s="549" t="s">
        <v>973</v>
      </c>
      <c r="F2619" s="549" t="s">
        <v>1212</v>
      </c>
      <c r="G2619" s="549">
        <v>24</v>
      </c>
      <c r="H2619" s="549" t="s">
        <v>539</v>
      </c>
      <c r="I2619" s="549" t="s">
        <v>976</v>
      </c>
      <c r="J2619" s="549" t="s">
        <v>976</v>
      </c>
      <c r="K2619" s="549" t="s">
        <v>976</v>
      </c>
      <c r="L2619" s="549">
        <v>147721.35999999999</v>
      </c>
      <c r="M2619" s="549">
        <v>11152.96</v>
      </c>
      <c r="N2619" s="549">
        <v>8479.2099999999991</v>
      </c>
      <c r="O2619" s="549">
        <v>992</v>
      </c>
      <c r="P2619" s="549">
        <v>0</v>
      </c>
      <c r="Q2619" s="549">
        <v>0</v>
      </c>
    </row>
    <row r="2620" spans="1:17" x14ac:dyDescent="0.25">
      <c r="A2620" s="549" t="s">
        <v>1147</v>
      </c>
      <c r="B2620" s="549" t="s">
        <v>1148</v>
      </c>
      <c r="C2620" s="549" t="s">
        <v>539</v>
      </c>
      <c r="D2620" s="549" t="s">
        <v>1149</v>
      </c>
      <c r="E2620" s="549" t="s">
        <v>973</v>
      </c>
      <c r="F2620" s="549" t="s">
        <v>1212</v>
      </c>
      <c r="G2620" s="549">
        <v>25</v>
      </c>
      <c r="H2620" s="549" t="s">
        <v>539</v>
      </c>
      <c r="I2620" s="549" t="s">
        <v>976</v>
      </c>
      <c r="J2620" s="549" t="s">
        <v>976</v>
      </c>
      <c r="K2620" s="549" t="s">
        <v>976</v>
      </c>
      <c r="L2620" s="549">
        <v>147721.35999999999</v>
      </c>
      <c r="M2620" s="549">
        <v>11152.96</v>
      </c>
      <c r="N2620" s="549">
        <v>8479.2099999999991</v>
      </c>
      <c r="O2620" s="549">
        <v>992</v>
      </c>
      <c r="P2620" s="549">
        <v>0</v>
      </c>
      <c r="Q2620" s="549">
        <v>0</v>
      </c>
    </row>
    <row r="2621" spans="1:17" x14ac:dyDescent="0.25">
      <c r="A2621" s="549" t="s">
        <v>1147</v>
      </c>
      <c r="B2621" s="549" t="s">
        <v>1148</v>
      </c>
      <c r="C2621" s="549" t="s">
        <v>539</v>
      </c>
      <c r="D2621" s="549" t="s">
        <v>1149</v>
      </c>
      <c r="E2621" s="549" t="s">
        <v>973</v>
      </c>
      <c r="F2621" s="549" t="s">
        <v>1212</v>
      </c>
      <c r="G2621" s="549">
        <v>31</v>
      </c>
      <c r="H2621" s="549" t="s">
        <v>539</v>
      </c>
      <c r="I2621" s="549" t="s">
        <v>1291</v>
      </c>
      <c r="J2621" s="549" t="s">
        <v>1291</v>
      </c>
      <c r="K2621" s="549" t="s">
        <v>1291</v>
      </c>
      <c r="L2621" s="549">
        <v>0.02</v>
      </c>
      <c r="M2621" s="549">
        <v>0</v>
      </c>
      <c r="N2621" s="549">
        <v>0</v>
      </c>
      <c r="O2621" s="549">
        <v>0</v>
      </c>
      <c r="P2621" s="549">
        <v>0</v>
      </c>
      <c r="Q2621" s="549">
        <v>0</v>
      </c>
    </row>
    <row r="2622" spans="1:17" x14ac:dyDescent="0.25">
      <c r="A2622" s="549" t="s">
        <v>1147</v>
      </c>
      <c r="B2622" s="549" t="s">
        <v>1148</v>
      </c>
      <c r="C2622" s="549" t="s">
        <v>539</v>
      </c>
      <c r="D2622" s="549" t="s">
        <v>1149</v>
      </c>
      <c r="E2622" s="549" t="s">
        <v>973</v>
      </c>
      <c r="F2622" s="549" t="s">
        <v>1212</v>
      </c>
      <c r="G2622" s="549">
        <v>32</v>
      </c>
      <c r="H2622" s="549" t="s">
        <v>539</v>
      </c>
      <c r="I2622" s="549" t="s">
        <v>1291</v>
      </c>
      <c r="J2622" s="549" t="s">
        <v>1291</v>
      </c>
      <c r="K2622" s="549" t="s">
        <v>1291</v>
      </c>
      <c r="L2622" s="549">
        <v>0.02</v>
      </c>
      <c r="M2622" s="549">
        <v>0</v>
      </c>
      <c r="N2622" s="549">
        <v>0</v>
      </c>
      <c r="O2622" s="549">
        <v>0</v>
      </c>
      <c r="P2622" s="549">
        <v>0</v>
      </c>
      <c r="Q2622" s="549">
        <v>0</v>
      </c>
    </row>
    <row r="2623" spans="1:17" x14ac:dyDescent="0.25">
      <c r="A2623" s="549" t="s">
        <v>1147</v>
      </c>
      <c r="B2623" s="549" t="s">
        <v>1148</v>
      </c>
      <c r="C2623" s="549" t="s">
        <v>539</v>
      </c>
      <c r="D2623" s="549" t="s">
        <v>1149</v>
      </c>
      <c r="E2623" s="549" t="s">
        <v>973</v>
      </c>
      <c r="F2623" s="549" t="s">
        <v>1212</v>
      </c>
      <c r="G2623" s="549">
        <v>522</v>
      </c>
      <c r="H2623" s="549" t="s">
        <v>539</v>
      </c>
      <c r="I2623" s="549" t="s">
        <v>976</v>
      </c>
      <c r="J2623" s="549" t="s">
        <v>976</v>
      </c>
      <c r="K2623" s="549" t="s">
        <v>976</v>
      </c>
      <c r="L2623" s="549">
        <v>473331.21</v>
      </c>
      <c r="M2623" s="549">
        <v>35736.51</v>
      </c>
      <c r="N2623" s="549">
        <v>27169.21</v>
      </c>
      <c r="O2623" s="549">
        <v>1984</v>
      </c>
      <c r="P2623" s="549">
        <v>0</v>
      </c>
      <c r="Q2623" s="549">
        <v>0</v>
      </c>
    </row>
    <row r="2624" spans="1:17" x14ac:dyDescent="0.25">
      <c r="A2624" s="549" t="s">
        <v>1147</v>
      </c>
      <c r="B2624" s="549" t="s">
        <v>1148</v>
      </c>
      <c r="C2624" s="549" t="s">
        <v>539</v>
      </c>
      <c r="D2624" s="549" t="s">
        <v>1149</v>
      </c>
      <c r="E2624" s="549" t="s">
        <v>973</v>
      </c>
      <c r="F2624" s="549" t="s">
        <v>1212</v>
      </c>
      <c r="G2624" s="549">
        <v>542</v>
      </c>
      <c r="H2624" s="549" t="s">
        <v>539</v>
      </c>
      <c r="I2624" s="549" t="s">
        <v>976</v>
      </c>
      <c r="J2624" s="549" t="s">
        <v>976</v>
      </c>
      <c r="K2624" s="549" t="s">
        <v>976</v>
      </c>
      <c r="L2624" s="549">
        <v>473331.21</v>
      </c>
      <c r="M2624" s="549">
        <v>35736.51</v>
      </c>
      <c r="N2624" s="549">
        <v>27169.21</v>
      </c>
      <c r="O2624" s="549">
        <v>1984</v>
      </c>
      <c r="P2624" s="549">
        <v>0</v>
      </c>
      <c r="Q2624" s="549">
        <v>0</v>
      </c>
    </row>
    <row r="2625" spans="1:17" x14ac:dyDescent="0.25">
      <c r="A2625" s="549" t="s">
        <v>1147</v>
      </c>
      <c r="B2625" s="549" t="s">
        <v>1148</v>
      </c>
      <c r="C2625" s="549" t="s">
        <v>539</v>
      </c>
      <c r="D2625" s="549" t="s">
        <v>1149</v>
      </c>
      <c r="E2625" s="549" t="s">
        <v>973</v>
      </c>
      <c r="F2625" s="549" t="s">
        <v>1212</v>
      </c>
      <c r="G2625" s="549">
        <v>562</v>
      </c>
      <c r="H2625" s="549" t="s">
        <v>539</v>
      </c>
      <c r="I2625" s="549" t="s">
        <v>976</v>
      </c>
      <c r="J2625" s="549" t="s">
        <v>976</v>
      </c>
      <c r="K2625" s="549" t="s">
        <v>976</v>
      </c>
      <c r="L2625" s="549">
        <v>473331.21</v>
      </c>
      <c r="M2625" s="549">
        <v>35736.51</v>
      </c>
      <c r="N2625" s="549">
        <v>27169.21</v>
      </c>
      <c r="O2625" s="549">
        <v>1984</v>
      </c>
      <c r="P2625" s="549">
        <v>0</v>
      </c>
      <c r="Q2625" s="549">
        <v>0</v>
      </c>
    </row>
    <row r="2626" spans="1:17" x14ac:dyDescent="0.25">
      <c r="A2626" s="549" t="s">
        <v>1147</v>
      </c>
      <c r="B2626" s="549" t="s">
        <v>1148</v>
      </c>
      <c r="C2626" s="549" t="s">
        <v>539</v>
      </c>
      <c r="D2626" s="549" t="s">
        <v>1149</v>
      </c>
      <c r="E2626" s="549" t="s">
        <v>973</v>
      </c>
      <c r="F2626" s="549" t="s">
        <v>1212</v>
      </c>
      <c r="G2626" s="549">
        <v>2802</v>
      </c>
      <c r="H2626" s="549" t="s">
        <v>539</v>
      </c>
      <c r="I2626" s="549" t="s">
        <v>976</v>
      </c>
      <c r="J2626" s="549" t="s">
        <v>976</v>
      </c>
      <c r="K2626" s="549" t="s">
        <v>976</v>
      </c>
      <c r="L2626" s="549">
        <v>102155.16</v>
      </c>
      <c r="M2626" s="549">
        <v>7712.71</v>
      </c>
      <c r="N2626" s="549">
        <v>5863.71</v>
      </c>
      <c r="O2626" s="549">
        <v>992</v>
      </c>
      <c r="P2626" s="549">
        <v>0</v>
      </c>
      <c r="Q2626" s="549">
        <v>0</v>
      </c>
    </row>
    <row r="2627" spans="1:17" x14ac:dyDescent="0.25">
      <c r="A2627" s="549" t="s">
        <v>1147</v>
      </c>
      <c r="B2627" s="549" t="s">
        <v>1148</v>
      </c>
      <c r="C2627" s="549" t="s">
        <v>539</v>
      </c>
      <c r="D2627" s="549" t="s">
        <v>1149</v>
      </c>
      <c r="E2627" s="549" t="s">
        <v>973</v>
      </c>
      <c r="F2627" s="549" t="s">
        <v>1212</v>
      </c>
      <c r="G2627" s="549">
        <v>2822</v>
      </c>
      <c r="H2627" s="549" t="s">
        <v>539</v>
      </c>
      <c r="I2627" s="549" t="s">
        <v>976</v>
      </c>
      <c r="J2627" s="549" t="s">
        <v>976</v>
      </c>
      <c r="K2627" s="549" t="s">
        <v>976</v>
      </c>
      <c r="L2627" s="549">
        <v>102155.16</v>
      </c>
      <c r="M2627" s="549">
        <v>7712.71</v>
      </c>
      <c r="N2627" s="549">
        <v>5863.71</v>
      </c>
      <c r="O2627" s="549">
        <v>992</v>
      </c>
      <c r="P2627" s="549">
        <v>0</v>
      </c>
      <c r="Q2627" s="549">
        <v>0</v>
      </c>
    </row>
    <row r="2628" spans="1:17" x14ac:dyDescent="0.25">
      <c r="A2628" s="549" t="s">
        <v>1147</v>
      </c>
      <c r="B2628" s="549" t="s">
        <v>1148</v>
      </c>
      <c r="C2628" s="549" t="s">
        <v>539</v>
      </c>
      <c r="D2628" s="549" t="s">
        <v>1149</v>
      </c>
      <c r="E2628" s="549" t="s">
        <v>973</v>
      </c>
      <c r="F2628" s="549" t="s">
        <v>1212</v>
      </c>
      <c r="G2628" s="549">
        <v>2832</v>
      </c>
      <c r="H2628" s="549" t="s">
        <v>539</v>
      </c>
      <c r="I2628" s="549" t="s">
        <v>976</v>
      </c>
      <c r="J2628" s="549" t="s">
        <v>976</v>
      </c>
      <c r="K2628" s="549" t="s">
        <v>976</v>
      </c>
      <c r="L2628" s="549">
        <v>102155.16</v>
      </c>
      <c r="M2628" s="549">
        <v>7712.71</v>
      </c>
      <c r="N2628" s="549">
        <v>5863.71</v>
      </c>
      <c r="O2628" s="549">
        <v>992</v>
      </c>
      <c r="P2628" s="549">
        <v>0</v>
      </c>
      <c r="Q2628" s="549">
        <v>0</v>
      </c>
    </row>
    <row r="2629" spans="1:17" x14ac:dyDescent="0.25">
      <c r="A2629" s="549" t="s">
        <v>1147</v>
      </c>
      <c r="B2629" s="549" t="s">
        <v>1148</v>
      </c>
      <c r="C2629" s="549" t="s">
        <v>539</v>
      </c>
      <c r="D2629" s="549" t="s">
        <v>1149</v>
      </c>
      <c r="E2629" s="549" t="s">
        <v>973</v>
      </c>
      <c r="F2629" s="549" t="s">
        <v>1212</v>
      </c>
      <c r="G2629" s="549">
        <v>2842</v>
      </c>
      <c r="H2629" s="549" t="s">
        <v>539</v>
      </c>
      <c r="I2629" s="549" t="s">
        <v>976</v>
      </c>
      <c r="J2629" s="549" t="s">
        <v>976</v>
      </c>
      <c r="K2629" s="549" t="s">
        <v>976</v>
      </c>
      <c r="L2629" s="549">
        <v>102155.16</v>
      </c>
      <c r="M2629" s="549">
        <v>7712.71</v>
      </c>
      <c r="N2629" s="549">
        <v>5863.71</v>
      </c>
      <c r="O2629" s="549">
        <v>992</v>
      </c>
      <c r="P2629" s="549">
        <v>0</v>
      </c>
      <c r="Q2629" s="549">
        <v>0</v>
      </c>
    </row>
    <row r="2630" spans="1:17" x14ac:dyDescent="0.25">
      <c r="A2630" s="549" t="s">
        <v>1147</v>
      </c>
      <c r="B2630" s="549" t="s">
        <v>1148</v>
      </c>
      <c r="C2630" s="549" t="s">
        <v>539</v>
      </c>
      <c r="D2630" s="549" t="s">
        <v>1149</v>
      </c>
      <c r="E2630" s="549" t="s">
        <v>973</v>
      </c>
      <c r="F2630" s="549" t="s">
        <v>1212</v>
      </c>
      <c r="G2630" s="549">
        <v>2852</v>
      </c>
      <c r="H2630" s="549" t="s">
        <v>539</v>
      </c>
      <c r="I2630" s="549" t="s">
        <v>976</v>
      </c>
      <c r="J2630" s="549" t="s">
        <v>976</v>
      </c>
      <c r="K2630" s="549" t="s">
        <v>976</v>
      </c>
      <c r="L2630" s="549">
        <v>155603.16</v>
      </c>
      <c r="M2630" s="549">
        <v>11748.04</v>
      </c>
      <c r="N2630" s="549">
        <v>8931.6200000000008</v>
      </c>
      <c r="O2630" s="549">
        <v>992</v>
      </c>
      <c r="P2630" s="549">
        <v>0</v>
      </c>
      <c r="Q2630" s="549">
        <v>0</v>
      </c>
    </row>
    <row r="2631" spans="1:17" x14ac:dyDescent="0.25">
      <c r="A2631" s="549" t="s">
        <v>1147</v>
      </c>
      <c r="B2631" s="549" t="s">
        <v>1148</v>
      </c>
      <c r="C2631" s="549" t="s">
        <v>539</v>
      </c>
      <c r="D2631" s="549" t="s">
        <v>1149</v>
      </c>
      <c r="E2631" s="549" t="s">
        <v>973</v>
      </c>
      <c r="F2631" s="549" t="s">
        <v>1212</v>
      </c>
      <c r="G2631" s="549">
        <v>2862</v>
      </c>
      <c r="H2631" s="549" t="s">
        <v>539</v>
      </c>
      <c r="I2631" s="549" t="s">
        <v>976</v>
      </c>
      <c r="J2631" s="549" t="s">
        <v>976</v>
      </c>
      <c r="K2631" s="549" t="s">
        <v>976</v>
      </c>
      <c r="L2631" s="549">
        <v>129905.36</v>
      </c>
      <c r="M2631" s="549">
        <v>9807.85</v>
      </c>
      <c r="N2631" s="549">
        <v>7456.57</v>
      </c>
      <c r="O2631" s="549">
        <v>992</v>
      </c>
      <c r="P2631" s="549">
        <v>0</v>
      </c>
      <c r="Q2631" s="549">
        <v>0</v>
      </c>
    </row>
    <row r="2632" spans="1:17" x14ac:dyDescent="0.25">
      <c r="A2632" s="549" t="s">
        <v>1147</v>
      </c>
      <c r="B2632" s="549" t="s">
        <v>1148</v>
      </c>
      <c r="C2632" s="549" t="s">
        <v>539</v>
      </c>
      <c r="D2632" s="549" t="s">
        <v>1149</v>
      </c>
      <c r="E2632" s="549" t="s">
        <v>973</v>
      </c>
      <c r="F2632" s="549" t="s">
        <v>1212</v>
      </c>
      <c r="G2632" s="549">
        <v>2872</v>
      </c>
      <c r="H2632" s="549" t="s">
        <v>539</v>
      </c>
      <c r="I2632" s="549" t="s">
        <v>976</v>
      </c>
      <c r="J2632" s="549" t="s">
        <v>976</v>
      </c>
      <c r="K2632" s="549" t="s">
        <v>976</v>
      </c>
      <c r="L2632" s="549">
        <v>129905.36</v>
      </c>
      <c r="M2632" s="549">
        <v>9807.85</v>
      </c>
      <c r="N2632" s="549">
        <v>7456.57</v>
      </c>
      <c r="O2632" s="549">
        <v>992</v>
      </c>
      <c r="P2632" s="549">
        <v>0</v>
      </c>
      <c r="Q2632" s="549">
        <v>0</v>
      </c>
    </row>
    <row r="2633" spans="1:17" x14ac:dyDescent="0.25">
      <c r="A2633" s="549" t="s">
        <v>1147</v>
      </c>
      <c r="B2633" s="549" t="s">
        <v>1148</v>
      </c>
      <c r="C2633" s="549" t="s">
        <v>539</v>
      </c>
      <c r="D2633" s="549" t="s">
        <v>1149</v>
      </c>
      <c r="E2633" s="549" t="s">
        <v>973</v>
      </c>
      <c r="F2633" s="549" t="s">
        <v>1212</v>
      </c>
      <c r="G2633" s="549" t="s">
        <v>1420</v>
      </c>
      <c r="H2633" s="549" t="s">
        <v>539</v>
      </c>
      <c r="I2633" s="549" t="s">
        <v>976</v>
      </c>
      <c r="J2633" s="549" t="s">
        <v>976</v>
      </c>
      <c r="K2633" s="549" t="s">
        <v>976</v>
      </c>
      <c r="L2633" s="549">
        <v>31410.32</v>
      </c>
      <c r="M2633" s="549">
        <v>2371.48</v>
      </c>
      <c r="N2633" s="549">
        <v>1802.95</v>
      </c>
      <c r="O2633" s="549">
        <v>0</v>
      </c>
      <c r="P2633" s="549">
        <v>0</v>
      </c>
      <c r="Q2633" s="549">
        <v>0</v>
      </c>
    </row>
    <row r="2634" spans="1:17" x14ac:dyDescent="0.25">
      <c r="A2634" s="549" t="s">
        <v>1147</v>
      </c>
      <c r="B2634" s="549" t="s">
        <v>1148</v>
      </c>
      <c r="C2634" s="549" t="s">
        <v>539</v>
      </c>
      <c r="D2634" s="549" t="s">
        <v>1149</v>
      </c>
      <c r="E2634" s="549" t="s">
        <v>973</v>
      </c>
      <c r="F2634" s="549" t="s">
        <v>1212</v>
      </c>
      <c r="G2634" s="549" t="s">
        <v>1421</v>
      </c>
      <c r="H2634" s="549" t="s">
        <v>539</v>
      </c>
      <c r="I2634" s="549" t="s">
        <v>976</v>
      </c>
      <c r="J2634" s="549" t="s">
        <v>976</v>
      </c>
      <c r="K2634" s="549" t="s">
        <v>976</v>
      </c>
      <c r="L2634" s="549">
        <v>31410.32</v>
      </c>
      <c r="M2634" s="549">
        <v>2371.48</v>
      </c>
      <c r="N2634" s="549">
        <v>1802.95</v>
      </c>
      <c r="O2634" s="549">
        <v>0</v>
      </c>
      <c r="P2634" s="549">
        <v>0</v>
      </c>
      <c r="Q2634" s="549">
        <v>0</v>
      </c>
    </row>
    <row r="2635" spans="1:17" x14ac:dyDescent="0.25">
      <c r="A2635" s="549" t="s">
        <v>1147</v>
      </c>
      <c r="B2635" s="549" t="s">
        <v>1148</v>
      </c>
      <c r="C2635" s="549" t="s">
        <v>539</v>
      </c>
      <c r="D2635" s="549" t="s">
        <v>1149</v>
      </c>
      <c r="E2635" s="549" t="s">
        <v>973</v>
      </c>
      <c r="F2635" s="549" t="s">
        <v>1212</v>
      </c>
      <c r="G2635" s="549" t="s">
        <v>1273</v>
      </c>
      <c r="H2635" s="549" t="s">
        <v>539</v>
      </c>
      <c r="I2635" s="549" t="s">
        <v>976</v>
      </c>
      <c r="J2635" s="549" t="s">
        <v>976</v>
      </c>
      <c r="K2635" s="549" t="s">
        <v>976</v>
      </c>
      <c r="L2635" s="549">
        <v>31410.32</v>
      </c>
      <c r="M2635" s="549">
        <v>2371.48</v>
      </c>
      <c r="N2635" s="549">
        <v>1802.95</v>
      </c>
      <c r="O2635" s="549">
        <v>0</v>
      </c>
      <c r="P2635" s="549">
        <v>0</v>
      </c>
      <c r="Q2635" s="549">
        <v>0</v>
      </c>
    </row>
    <row r="2636" spans="1:17" x14ac:dyDescent="0.25">
      <c r="A2636" s="549" t="s">
        <v>1147</v>
      </c>
      <c r="B2636" s="549" t="s">
        <v>1148</v>
      </c>
      <c r="C2636" s="549" t="s">
        <v>539</v>
      </c>
      <c r="D2636" s="549" t="s">
        <v>1149</v>
      </c>
      <c r="E2636" s="549" t="s">
        <v>973</v>
      </c>
      <c r="F2636" s="549" t="s">
        <v>1212</v>
      </c>
      <c r="G2636" s="549" t="s">
        <v>1422</v>
      </c>
      <c r="H2636" s="549" t="s">
        <v>539</v>
      </c>
      <c r="I2636" s="549" t="s">
        <v>976</v>
      </c>
      <c r="J2636" s="549" t="s">
        <v>976</v>
      </c>
      <c r="K2636" s="549" t="s">
        <v>976</v>
      </c>
      <c r="L2636" s="549">
        <v>31410.32</v>
      </c>
      <c r="M2636" s="549">
        <v>2371.48</v>
      </c>
      <c r="N2636" s="549">
        <v>1802.95</v>
      </c>
      <c r="O2636" s="549">
        <v>0</v>
      </c>
      <c r="P2636" s="549">
        <v>0</v>
      </c>
      <c r="Q2636" s="549">
        <v>0</v>
      </c>
    </row>
    <row r="2637" spans="1:17" x14ac:dyDescent="0.25">
      <c r="A2637" s="549" t="s">
        <v>1147</v>
      </c>
      <c r="B2637" s="549" t="s">
        <v>1148</v>
      </c>
      <c r="C2637" s="549" t="s">
        <v>539</v>
      </c>
      <c r="D2637" s="549" t="s">
        <v>1149</v>
      </c>
      <c r="E2637" s="549" t="s">
        <v>973</v>
      </c>
      <c r="F2637" s="549" t="s">
        <v>1212</v>
      </c>
      <c r="G2637" s="549" t="s">
        <v>1423</v>
      </c>
      <c r="H2637" s="549" t="s">
        <v>539</v>
      </c>
      <c r="I2637" s="549" t="s">
        <v>976</v>
      </c>
      <c r="J2637" s="549" t="s">
        <v>976</v>
      </c>
      <c r="K2637" s="549" t="s">
        <v>976</v>
      </c>
      <c r="L2637" s="549">
        <v>31410.32</v>
      </c>
      <c r="M2637" s="549">
        <v>2371.48</v>
      </c>
      <c r="N2637" s="549">
        <v>1802.95</v>
      </c>
      <c r="O2637" s="549">
        <v>0</v>
      </c>
      <c r="P2637" s="549">
        <v>0</v>
      </c>
      <c r="Q2637" s="549">
        <v>0</v>
      </c>
    </row>
    <row r="2638" spans="1:17" x14ac:dyDescent="0.25">
      <c r="A2638" s="549" t="s">
        <v>1147</v>
      </c>
      <c r="B2638" s="549" t="s">
        <v>1148</v>
      </c>
      <c r="C2638" s="549" t="s">
        <v>539</v>
      </c>
      <c r="D2638" s="549" t="s">
        <v>1149</v>
      </c>
      <c r="E2638" s="549" t="s">
        <v>973</v>
      </c>
      <c r="F2638" s="549" t="s">
        <v>1212</v>
      </c>
      <c r="G2638" s="549" t="s">
        <v>1341</v>
      </c>
      <c r="H2638" s="549" t="s">
        <v>539</v>
      </c>
      <c r="I2638" s="549" t="s">
        <v>976</v>
      </c>
      <c r="J2638" s="549" t="s">
        <v>976</v>
      </c>
      <c r="K2638" s="549" t="s">
        <v>976</v>
      </c>
      <c r="L2638" s="549">
        <v>31410.32</v>
      </c>
      <c r="M2638" s="549">
        <v>2371.48</v>
      </c>
      <c r="N2638" s="549">
        <v>1802.95</v>
      </c>
      <c r="O2638" s="549">
        <v>0</v>
      </c>
      <c r="P2638" s="549">
        <v>0</v>
      </c>
      <c r="Q2638" s="549">
        <v>0</v>
      </c>
    </row>
    <row r="2639" spans="1:17" x14ac:dyDescent="0.25">
      <c r="A2639" s="549" t="s">
        <v>1147</v>
      </c>
      <c r="B2639" s="549" t="s">
        <v>1148</v>
      </c>
      <c r="C2639" s="549" t="s">
        <v>539</v>
      </c>
      <c r="D2639" s="549" t="s">
        <v>1149</v>
      </c>
      <c r="E2639" s="549" t="s">
        <v>977</v>
      </c>
      <c r="F2639" s="549" t="s">
        <v>1212</v>
      </c>
      <c r="G2639" s="549">
        <v>12</v>
      </c>
      <c r="H2639" s="549" t="s">
        <v>539</v>
      </c>
      <c r="I2639" s="549" t="s">
        <v>976</v>
      </c>
      <c r="J2639" s="549" t="s">
        <v>976</v>
      </c>
      <c r="K2639" s="549" t="s">
        <v>976</v>
      </c>
      <c r="L2639" s="549">
        <v>102155.16</v>
      </c>
      <c r="M2639" s="549">
        <v>7712.71</v>
      </c>
      <c r="N2639" s="549">
        <v>2257.63</v>
      </c>
      <c r="O2639" s="549">
        <v>992</v>
      </c>
      <c r="P2639" s="549">
        <v>100</v>
      </c>
      <c r="Q2639" s="549">
        <v>10962.34</v>
      </c>
    </row>
    <row r="2640" spans="1:17" x14ac:dyDescent="0.25">
      <c r="A2640" s="549" t="s">
        <v>1147</v>
      </c>
      <c r="B2640" s="549" t="s">
        <v>1148</v>
      </c>
      <c r="C2640" s="549" t="s">
        <v>539</v>
      </c>
      <c r="D2640" s="549" t="s">
        <v>1149</v>
      </c>
      <c r="E2640" s="549" t="s">
        <v>977</v>
      </c>
      <c r="F2640" s="549" t="s">
        <v>1212</v>
      </c>
      <c r="G2640" s="549">
        <v>13</v>
      </c>
      <c r="H2640" s="549" t="s">
        <v>539</v>
      </c>
      <c r="I2640" s="549" t="s">
        <v>976</v>
      </c>
      <c r="J2640" s="549" t="s">
        <v>976</v>
      </c>
      <c r="K2640" s="549" t="s">
        <v>976</v>
      </c>
      <c r="L2640" s="549">
        <v>102155.16</v>
      </c>
      <c r="M2640" s="549">
        <v>7712.71</v>
      </c>
      <c r="N2640" s="549">
        <v>2257.63</v>
      </c>
      <c r="O2640" s="549">
        <v>992</v>
      </c>
      <c r="P2640" s="549">
        <v>100</v>
      </c>
      <c r="Q2640" s="549">
        <v>10962.34</v>
      </c>
    </row>
    <row r="2641" spans="1:17" x14ac:dyDescent="0.25">
      <c r="A2641" s="549" t="s">
        <v>1147</v>
      </c>
      <c r="B2641" s="549" t="s">
        <v>1148</v>
      </c>
      <c r="C2641" s="549" t="s">
        <v>539</v>
      </c>
      <c r="D2641" s="549" t="s">
        <v>1149</v>
      </c>
      <c r="E2641" s="549" t="s">
        <v>977</v>
      </c>
      <c r="F2641" s="549" t="s">
        <v>1212</v>
      </c>
      <c r="G2641" s="549">
        <v>14</v>
      </c>
      <c r="H2641" s="549" t="s">
        <v>539</v>
      </c>
      <c r="I2641" s="549" t="s">
        <v>976</v>
      </c>
      <c r="J2641" s="549" t="s">
        <v>976</v>
      </c>
      <c r="K2641" s="549" t="s">
        <v>976</v>
      </c>
      <c r="L2641" s="549">
        <v>102155.16</v>
      </c>
      <c r="M2641" s="549">
        <v>7712.71</v>
      </c>
      <c r="N2641" s="549">
        <v>2257.63</v>
      </c>
      <c r="O2641" s="549">
        <v>992</v>
      </c>
      <c r="P2641" s="549">
        <v>100</v>
      </c>
      <c r="Q2641" s="549">
        <v>10962.34</v>
      </c>
    </row>
    <row r="2642" spans="1:17" x14ac:dyDescent="0.25">
      <c r="A2642" s="549" t="s">
        <v>1147</v>
      </c>
      <c r="B2642" s="549" t="s">
        <v>1148</v>
      </c>
      <c r="C2642" s="549" t="s">
        <v>539</v>
      </c>
      <c r="D2642" s="549" t="s">
        <v>1149</v>
      </c>
      <c r="E2642" s="549" t="s">
        <v>977</v>
      </c>
      <c r="F2642" s="549" t="s">
        <v>1212</v>
      </c>
      <c r="G2642" s="549">
        <v>22</v>
      </c>
      <c r="H2642" s="549" t="s">
        <v>539</v>
      </c>
      <c r="I2642" s="549" t="s">
        <v>976</v>
      </c>
      <c r="J2642" s="549" t="s">
        <v>976</v>
      </c>
      <c r="K2642" s="549" t="s">
        <v>976</v>
      </c>
      <c r="L2642" s="549">
        <v>147721.35999999999</v>
      </c>
      <c r="M2642" s="549">
        <v>11152.96</v>
      </c>
      <c r="N2642" s="549">
        <v>3264.64</v>
      </c>
      <c r="O2642" s="549">
        <v>992</v>
      </c>
      <c r="P2642" s="549">
        <v>100</v>
      </c>
      <c r="Q2642" s="549">
        <v>15409.6</v>
      </c>
    </row>
    <row r="2643" spans="1:17" x14ac:dyDescent="0.25">
      <c r="A2643" s="549" t="s">
        <v>1147</v>
      </c>
      <c r="B2643" s="549" t="s">
        <v>1148</v>
      </c>
      <c r="C2643" s="549" t="s">
        <v>539</v>
      </c>
      <c r="D2643" s="549" t="s">
        <v>1149</v>
      </c>
      <c r="E2643" s="549" t="s">
        <v>977</v>
      </c>
      <c r="F2643" s="549" t="s">
        <v>1212</v>
      </c>
      <c r="G2643" s="549">
        <v>23</v>
      </c>
      <c r="H2643" s="549" t="s">
        <v>539</v>
      </c>
      <c r="I2643" s="549" t="s">
        <v>976</v>
      </c>
      <c r="J2643" s="549" t="s">
        <v>976</v>
      </c>
      <c r="K2643" s="549" t="s">
        <v>976</v>
      </c>
      <c r="L2643" s="549">
        <v>147721.35999999999</v>
      </c>
      <c r="M2643" s="549">
        <v>11152.96</v>
      </c>
      <c r="N2643" s="549">
        <v>3264.64</v>
      </c>
      <c r="O2643" s="549">
        <v>992</v>
      </c>
      <c r="P2643" s="549">
        <v>100</v>
      </c>
      <c r="Q2643" s="549">
        <v>15409.6</v>
      </c>
    </row>
    <row r="2644" spans="1:17" x14ac:dyDescent="0.25">
      <c r="A2644" s="549" t="s">
        <v>1147</v>
      </c>
      <c r="B2644" s="549" t="s">
        <v>1148</v>
      </c>
      <c r="C2644" s="549" t="s">
        <v>539</v>
      </c>
      <c r="D2644" s="549" t="s">
        <v>1149</v>
      </c>
      <c r="E2644" s="549" t="s">
        <v>977</v>
      </c>
      <c r="F2644" s="549" t="s">
        <v>1212</v>
      </c>
      <c r="G2644" s="549">
        <v>24</v>
      </c>
      <c r="H2644" s="549" t="s">
        <v>539</v>
      </c>
      <c r="I2644" s="549" t="s">
        <v>976</v>
      </c>
      <c r="J2644" s="549" t="s">
        <v>976</v>
      </c>
      <c r="K2644" s="549" t="s">
        <v>976</v>
      </c>
      <c r="L2644" s="549">
        <v>147721.35999999999</v>
      </c>
      <c r="M2644" s="549">
        <v>11152.96</v>
      </c>
      <c r="N2644" s="549">
        <v>3264.64</v>
      </c>
      <c r="O2644" s="549">
        <v>992</v>
      </c>
      <c r="P2644" s="549">
        <v>100</v>
      </c>
      <c r="Q2644" s="549">
        <v>15409.6</v>
      </c>
    </row>
    <row r="2645" spans="1:17" x14ac:dyDescent="0.25">
      <c r="A2645" s="549" t="s">
        <v>1147</v>
      </c>
      <c r="B2645" s="549" t="s">
        <v>1148</v>
      </c>
      <c r="C2645" s="549" t="s">
        <v>539</v>
      </c>
      <c r="D2645" s="549" t="s">
        <v>1149</v>
      </c>
      <c r="E2645" s="549" t="s">
        <v>977</v>
      </c>
      <c r="F2645" s="549" t="s">
        <v>1212</v>
      </c>
      <c r="G2645" s="549">
        <v>25</v>
      </c>
      <c r="H2645" s="549" t="s">
        <v>539</v>
      </c>
      <c r="I2645" s="549" t="s">
        <v>976</v>
      </c>
      <c r="J2645" s="549" t="s">
        <v>976</v>
      </c>
      <c r="K2645" s="549" t="s">
        <v>976</v>
      </c>
      <c r="L2645" s="549">
        <v>147721.35999999999</v>
      </c>
      <c r="M2645" s="549">
        <v>11152.96</v>
      </c>
      <c r="N2645" s="549">
        <v>3264.64</v>
      </c>
      <c r="O2645" s="549">
        <v>992</v>
      </c>
      <c r="P2645" s="549">
        <v>100</v>
      </c>
      <c r="Q2645" s="549">
        <v>15409.6</v>
      </c>
    </row>
    <row r="2646" spans="1:17" x14ac:dyDescent="0.25">
      <c r="A2646" s="549" t="s">
        <v>1147</v>
      </c>
      <c r="B2646" s="549" t="s">
        <v>1148</v>
      </c>
      <c r="C2646" s="549" t="s">
        <v>539</v>
      </c>
      <c r="D2646" s="549" t="s">
        <v>1149</v>
      </c>
      <c r="E2646" s="549" t="s">
        <v>977</v>
      </c>
      <c r="F2646" s="549" t="s">
        <v>1212</v>
      </c>
      <c r="G2646" s="549">
        <v>31</v>
      </c>
      <c r="H2646" s="549" t="s">
        <v>539</v>
      </c>
      <c r="I2646" s="549" t="s">
        <v>1291</v>
      </c>
      <c r="J2646" s="549" t="s">
        <v>1291</v>
      </c>
      <c r="K2646" s="549" t="s">
        <v>1291</v>
      </c>
      <c r="L2646" s="549">
        <v>0.02</v>
      </c>
      <c r="M2646" s="549">
        <v>0</v>
      </c>
      <c r="N2646" s="549">
        <v>0</v>
      </c>
      <c r="O2646" s="549">
        <v>0</v>
      </c>
      <c r="P2646" s="549">
        <v>100</v>
      </c>
      <c r="Q2646" s="549">
        <v>0</v>
      </c>
    </row>
    <row r="2647" spans="1:17" x14ac:dyDescent="0.25">
      <c r="A2647" s="549" t="s">
        <v>1147</v>
      </c>
      <c r="B2647" s="549" t="s">
        <v>1148</v>
      </c>
      <c r="C2647" s="549" t="s">
        <v>539</v>
      </c>
      <c r="D2647" s="549" t="s">
        <v>1149</v>
      </c>
      <c r="E2647" s="549" t="s">
        <v>977</v>
      </c>
      <c r="F2647" s="549" t="s">
        <v>1212</v>
      </c>
      <c r="G2647" s="549">
        <v>32</v>
      </c>
      <c r="H2647" s="549" t="s">
        <v>539</v>
      </c>
      <c r="I2647" s="549" t="s">
        <v>1291</v>
      </c>
      <c r="J2647" s="549" t="s">
        <v>1291</v>
      </c>
      <c r="K2647" s="549" t="s">
        <v>1291</v>
      </c>
      <c r="L2647" s="549">
        <v>0.02</v>
      </c>
      <c r="M2647" s="549">
        <v>0</v>
      </c>
      <c r="N2647" s="549">
        <v>0</v>
      </c>
      <c r="O2647" s="549">
        <v>0</v>
      </c>
      <c r="P2647" s="549">
        <v>100</v>
      </c>
      <c r="Q2647" s="549">
        <v>0</v>
      </c>
    </row>
    <row r="2648" spans="1:17" x14ac:dyDescent="0.25">
      <c r="A2648" s="549" t="s">
        <v>1147</v>
      </c>
      <c r="B2648" s="549" t="s">
        <v>1148</v>
      </c>
      <c r="C2648" s="549" t="s">
        <v>539</v>
      </c>
      <c r="D2648" s="549" t="s">
        <v>1149</v>
      </c>
      <c r="E2648" s="549" t="s">
        <v>977</v>
      </c>
      <c r="F2648" s="549" t="s">
        <v>1212</v>
      </c>
      <c r="G2648" s="549">
        <v>522</v>
      </c>
      <c r="H2648" s="549" t="s">
        <v>539</v>
      </c>
      <c r="I2648" s="549" t="s">
        <v>976</v>
      </c>
      <c r="J2648" s="549" t="s">
        <v>976</v>
      </c>
      <c r="K2648" s="549" t="s">
        <v>976</v>
      </c>
      <c r="L2648" s="549">
        <v>473331.21</v>
      </c>
      <c r="M2648" s="549">
        <v>35736.51</v>
      </c>
      <c r="N2648" s="549">
        <v>10460.620000000001</v>
      </c>
      <c r="O2648" s="549">
        <v>1984</v>
      </c>
      <c r="P2648" s="549">
        <v>100</v>
      </c>
      <c r="Q2648" s="549">
        <v>48181.13</v>
      </c>
    </row>
    <row r="2649" spans="1:17" x14ac:dyDescent="0.25">
      <c r="A2649" s="549" t="s">
        <v>1147</v>
      </c>
      <c r="B2649" s="549" t="s">
        <v>1148</v>
      </c>
      <c r="C2649" s="549" t="s">
        <v>539</v>
      </c>
      <c r="D2649" s="549" t="s">
        <v>1149</v>
      </c>
      <c r="E2649" s="549" t="s">
        <v>977</v>
      </c>
      <c r="F2649" s="549" t="s">
        <v>1212</v>
      </c>
      <c r="G2649" s="549">
        <v>542</v>
      </c>
      <c r="H2649" s="549" t="s">
        <v>539</v>
      </c>
      <c r="I2649" s="549" t="s">
        <v>976</v>
      </c>
      <c r="J2649" s="549" t="s">
        <v>976</v>
      </c>
      <c r="K2649" s="549" t="s">
        <v>976</v>
      </c>
      <c r="L2649" s="549">
        <v>473331.21</v>
      </c>
      <c r="M2649" s="549">
        <v>35736.51</v>
      </c>
      <c r="N2649" s="549">
        <v>10460.620000000001</v>
      </c>
      <c r="O2649" s="549">
        <v>1984</v>
      </c>
      <c r="P2649" s="549">
        <v>100</v>
      </c>
      <c r="Q2649" s="549">
        <v>48181.13</v>
      </c>
    </row>
    <row r="2650" spans="1:17" x14ac:dyDescent="0.25">
      <c r="A2650" s="549" t="s">
        <v>1147</v>
      </c>
      <c r="B2650" s="549" t="s">
        <v>1148</v>
      </c>
      <c r="C2650" s="549" t="s">
        <v>539</v>
      </c>
      <c r="D2650" s="549" t="s">
        <v>1149</v>
      </c>
      <c r="E2650" s="549" t="s">
        <v>977</v>
      </c>
      <c r="F2650" s="549" t="s">
        <v>1212</v>
      </c>
      <c r="G2650" s="549">
        <v>562</v>
      </c>
      <c r="H2650" s="549" t="s">
        <v>539</v>
      </c>
      <c r="I2650" s="549" t="s">
        <v>976</v>
      </c>
      <c r="J2650" s="549" t="s">
        <v>976</v>
      </c>
      <c r="K2650" s="549" t="s">
        <v>976</v>
      </c>
      <c r="L2650" s="549">
        <v>473331.21</v>
      </c>
      <c r="M2650" s="549">
        <v>35736.51</v>
      </c>
      <c r="N2650" s="549">
        <v>10460.620000000001</v>
      </c>
      <c r="O2650" s="549">
        <v>1984</v>
      </c>
      <c r="P2650" s="549">
        <v>100</v>
      </c>
      <c r="Q2650" s="549">
        <v>48181.13</v>
      </c>
    </row>
    <row r="2651" spans="1:17" x14ac:dyDescent="0.25">
      <c r="A2651" s="549" t="s">
        <v>1147</v>
      </c>
      <c r="B2651" s="549" t="s">
        <v>1148</v>
      </c>
      <c r="C2651" s="549" t="s">
        <v>539</v>
      </c>
      <c r="D2651" s="549" t="s">
        <v>1149</v>
      </c>
      <c r="E2651" s="549" t="s">
        <v>977</v>
      </c>
      <c r="F2651" s="549" t="s">
        <v>1212</v>
      </c>
      <c r="G2651" s="549">
        <v>2802</v>
      </c>
      <c r="H2651" s="549" t="s">
        <v>539</v>
      </c>
      <c r="I2651" s="549" t="s">
        <v>976</v>
      </c>
      <c r="J2651" s="549" t="s">
        <v>976</v>
      </c>
      <c r="K2651" s="549" t="s">
        <v>976</v>
      </c>
      <c r="L2651" s="549">
        <v>102155.16</v>
      </c>
      <c r="M2651" s="549">
        <v>7712.71</v>
      </c>
      <c r="N2651" s="549">
        <v>2257.63</v>
      </c>
      <c r="O2651" s="549">
        <v>992</v>
      </c>
      <c r="P2651" s="549">
        <v>100</v>
      </c>
      <c r="Q2651" s="549">
        <v>10962.34</v>
      </c>
    </row>
    <row r="2652" spans="1:17" x14ac:dyDescent="0.25">
      <c r="A2652" s="549" t="s">
        <v>1147</v>
      </c>
      <c r="B2652" s="549" t="s">
        <v>1148</v>
      </c>
      <c r="C2652" s="549" t="s">
        <v>539</v>
      </c>
      <c r="D2652" s="549" t="s">
        <v>1149</v>
      </c>
      <c r="E2652" s="549" t="s">
        <v>977</v>
      </c>
      <c r="F2652" s="549" t="s">
        <v>1212</v>
      </c>
      <c r="G2652" s="549">
        <v>2822</v>
      </c>
      <c r="H2652" s="549" t="s">
        <v>539</v>
      </c>
      <c r="I2652" s="549" t="s">
        <v>976</v>
      </c>
      <c r="J2652" s="549" t="s">
        <v>976</v>
      </c>
      <c r="K2652" s="549" t="s">
        <v>976</v>
      </c>
      <c r="L2652" s="549">
        <v>102155.16</v>
      </c>
      <c r="M2652" s="549">
        <v>7712.71</v>
      </c>
      <c r="N2652" s="549">
        <v>2257.63</v>
      </c>
      <c r="O2652" s="549">
        <v>992</v>
      </c>
      <c r="P2652" s="549">
        <v>100</v>
      </c>
      <c r="Q2652" s="549">
        <v>10962.34</v>
      </c>
    </row>
    <row r="2653" spans="1:17" x14ac:dyDescent="0.25">
      <c r="A2653" s="549" t="s">
        <v>1147</v>
      </c>
      <c r="B2653" s="549" t="s">
        <v>1148</v>
      </c>
      <c r="C2653" s="549" t="s">
        <v>539</v>
      </c>
      <c r="D2653" s="549" t="s">
        <v>1149</v>
      </c>
      <c r="E2653" s="549" t="s">
        <v>977</v>
      </c>
      <c r="F2653" s="549" t="s">
        <v>1212</v>
      </c>
      <c r="G2653" s="549">
        <v>2832</v>
      </c>
      <c r="H2653" s="549" t="s">
        <v>539</v>
      </c>
      <c r="I2653" s="549" t="s">
        <v>976</v>
      </c>
      <c r="J2653" s="549" t="s">
        <v>976</v>
      </c>
      <c r="K2653" s="549" t="s">
        <v>976</v>
      </c>
      <c r="L2653" s="549">
        <v>102155.16</v>
      </c>
      <c r="M2653" s="549">
        <v>7712.71</v>
      </c>
      <c r="N2653" s="549">
        <v>2257.63</v>
      </c>
      <c r="O2653" s="549">
        <v>992</v>
      </c>
      <c r="P2653" s="549">
        <v>100</v>
      </c>
      <c r="Q2653" s="549">
        <v>10962.34</v>
      </c>
    </row>
    <row r="2654" spans="1:17" x14ac:dyDescent="0.25">
      <c r="A2654" s="549" t="s">
        <v>1147</v>
      </c>
      <c r="B2654" s="549" t="s">
        <v>1148</v>
      </c>
      <c r="C2654" s="549" t="s">
        <v>539</v>
      </c>
      <c r="D2654" s="549" t="s">
        <v>1149</v>
      </c>
      <c r="E2654" s="549" t="s">
        <v>977</v>
      </c>
      <c r="F2654" s="549" t="s">
        <v>1212</v>
      </c>
      <c r="G2654" s="549">
        <v>2842</v>
      </c>
      <c r="H2654" s="549" t="s">
        <v>539</v>
      </c>
      <c r="I2654" s="549" t="s">
        <v>976</v>
      </c>
      <c r="J2654" s="549" t="s">
        <v>976</v>
      </c>
      <c r="K2654" s="549" t="s">
        <v>976</v>
      </c>
      <c r="L2654" s="549">
        <v>102155.16</v>
      </c>
      <c r="M2654" s="549">
        <v>7712.71</v>
      </c>
      <c r="N2654" s="549">
        <v>2257.63</v>
      </c>
      <c r="O2654" s="549">
        <v>992</v>
      </c>
      <c r="P2654" s="549">
        <v>100</v>
      </c>
      <c r="Q2654" s="549">
        <v>10962.34</v>
      </c>
    </row>
    <row r="2655" spans="1:17" x14ac:dyDescent="0.25">
      <c r="A2655" s="549" t="s">
        <v>1147</v>
      </c>
      <c r="B2655" s="549" t="s">
        <v>1148</v>
      </c>
      <c r="C2655" s="549" t="s">
        <v>539</v>
      </c>
      <c r="D2655" s="549" t="s">
        <v>1149</v>
      </c>
      <c r="E2655" s="549" t="s">
        <v>977</v>
      </c>
      <c r="F2655" s="549" t="s">
        <v>1212</v>
      </c>
      <c r="G2655" s="549">
        <v>2852</v>
      </c>
      <c r="H2655" s="549" t="s">
        <v>539</v>
      </c>
      <c r="I2655" s="549" t="s">
        <v>976</v>
      </c>
      <c r="J2655" s="549" t="s">
        <v>976</v>
      </c>
      <c r="K2655" s="549" t="s">
        <v>976</v>
      </c>
      <c r="L2655" s="549">
        <v>155603.16</v>
      </c>
      <c r="M2655" s="549">
        <v>11748.04</v>
      </c>
      <c r="N2655" s="549">
        <v>3438.83</v>
      </c>
      <c r="O2655" s="549">
        <v>992</v>
      </c>
      <c r="P2655" s="549">
        <v>100</v>
      </c>
      <c r="Q2655" s="549">
        <v>16178.87</v>
      </c>
    </row>
    <row r="2656" spans="1:17" x14ac:dyDescent="0.25">
      <c r="A2656" s="549" t="s">
        <v>1147</v>
      </c>
      <c r="B2656" s="549" t="s">
        <v>1148</v>
      </c>
      <c r="C2656" s="549" t="s">
        <v>539</v>
      </c>
      <c r="D2656" s="549" t="s">
        <v>1149</v>
      </c>
      <c r="E2656" s="549" t="s">
        <v>977</v>
      </c>
      <c r="F2656" s="549" t="s">
        <v>1212</v>
      </c>
      <c r="G2656" s="549">
        <v>2862</v>
      </c>
      <c r="H2656" s="549" t="s">
        <v>539</v>
      </c>
      <c r="I2656" s="549" t="s">
        <v>976</v>
      </c>
      <c r="J2656" s="549" t="s">
        <v>976</v>
      </c>
      <c r="K2656" s="549" t="s">
        <v>976</v>
      </c>
      <c r="L2656" s="549">
        <v>129905.36</v>
      </c>
      <c r="M2656" s="549">
        <v>9807.85</v>
      </c>
      <c r="N2656" s="549">
        <v>2870.91</v>
      </c>
      <c r="O2656" s="549">
        <v>992</v>
      </c>
      <c r="P2656" s="549">
        <v>100</v>
      </c>
      <c r="Q2656" s="549">
        <v>13670.76</v>
      </c>
    </row>
    <row r="2657" spans="1:17" x14ac:dyDescent="0.25">
      <c r="A2657" s="549" t="s">
        <v>1147</v>
      </c>
      <c r="B2657" s="549" t="s">
        <v>1148</v>
      </c>
      <c r="C2657" s="549" t="s">
        <v>539</v>
      </c>
      <c r="D2657" s="549" t="s">
        <v>1149</v>
      </c>
      <c r="E2657" s="549" t="s">
        <v>977</v>
      </c>
      <c r="F2657" s="549" t="s">
        <v>1212</v>
      </c>
      <c r="G2657" s="549">
        <v>2872</v>
      </c>
      <c r="H2657" s="549" t="s">
        <v>539</v>
      </c>
      <c r="I2657" s="549" t="s">
        <v>976</v>
      </c>
      <c r="J2657" s="549" t="s">
        <v>976</v>
      </c>
      <c r="K2657" s="549" t="s">
        <v>976</v>
      </c>
      <c r="L2657" s="549">
        <v>129905.36</v>
      </c>
      <c r="M2657" s="549">
        <v>9807.85</v>
      </c>
      <c r="N2657" s="549">
        <v>2870.91</v>
      </c>
      <c r="O2657" s="549">
        <v>992</v>
      </c>
      <c r="P2657" s="549">
        <v>100</v>
      </c>
      <c r="Q2657" s="549">
        <v>13670.76</v>
      </c>
    </row>
    <row r="2658" spans="1:17" x14ac:dyDescent="0.25">
      <c r="A2658" s="549" t="s">
        <v>1147</v>
      </c>
      <c r="B2658" s="549" t="s">
        <v>1148</v>
      </c>
      <c r="C2658" s="549" t="s">
        <v>539</v>
      </c>
      <c r="D2658" s="549" t="s">
        <v>1149</v>
      </c>
      <c r="E2658" s="549" t="s">
        <v>977</v>
      </c>
      <c r="F2658" s="549" t="s">
        <v>1212</v>
      </c>
      <c r="G2658" s="549" t="s">
        <v>1420</v>
      </c>
      <c r="H2658" s="549" t="s">
        <v>539</v>
      </c>
      <c r="I2658" s="549" t="s">
        <v>976</v>
      </c>
      <c r="J2658" s="549" t="s">
        <v>976</v>
      </c>
      <c r="K2658" s="549" t="s">
        <v>976</v>
      </c>
      <c r="L2658" s="549">
        <v>31410.32</v>
      </c>
      <c r="M2658" s="549">
        <v>2371.48</v>
      </c>
      <c r="N2658" s="549">
        <v>694.17</v>
      </c>
      <c r="O2658" s="549">
        <v>0</v>
      </c>
      <c r="P2658" s="549">
        <v>100</v>
      </c>
      <c r="Q2658" s="549">
        <v>3065.65</v>
      </c>
    </row>
    <row r="2659" spans="1:17" x14ac:dyDescent="0.25">
      <c r="A2659" s="549" t="s">
        <v>1147</v>
      </c>
      <c r="B2659" s="549" t="s">
        <v>1148</v>
      </c>
      <c r="C2659" s="549" t="s">
        <v>539</v>
      </c>
      <c r="D2659" s="549" t="s">
        <v>1149</v>
      </c>
      <c r="E2659" s="549" t="s">
        <v>977</v>
      </c>
      <c r="F2659" s="549" t="s">
        <v>1212</v>
      </c>
      <c r="G2659" s="549" t="s">
        <v>1421</v>
      </c>
      <c r="H2659" s="549" t="s">
        <v>539</v>
      </c>
      <c r="I2659" s="549" t="s">
        <v>976</v>
      </c>
      <c r="J2659" s="549" t="s">
        <v>976</v>
      </c>
      <c r="K2659" s="549" t="s">
        <v>976</v>
      </c>
      <c r="L2659" s="549">
        <v>31410.32</v>
      </c>
      <c r="M2659" s="549">
        <v>2371.48</v>
      </c>
      <c r="N2659" s="549">
        <v>694.17</v>
      </c>
      <c r="O2659" s="549">
        <v>0</v>
      </c>
      <c r="P2659" s="549">
        <v>100</v>
      </c>
      <c r="Q2659" s="549">
        <v>3065.65</v>
      </c>
    </row>
    <row r="2660" spans="1:17" x14ac:dyDescent="0.25">
      <c r="A2660" s="549" t="s">
        <v>1147</v>
      </c>
      <c r="B2660" s="549" t="s">
        <v>1148</v>
      </c>
      <c r="C2660" s="549" t="s">
        <v>539</v>
      </c>
      <c r="D2660" s="549" t="s">
        <v>1149</v>
      </c>
      <c r="E2660" s="549" t="s">
        <v>977</v>
      </c>
      <c r="F2660" s="549" t="s">
        <v>1212</v>
      </c>
      <c r="G2660" s="549" t="s">
        <v>1273</v>
      </c>
      <c r="H2660" s="549" t="s">
        <v>539</v>
      </c>
      <c r="I2660" s="549" t="s">
        <v>976</v>
      </c>
      <c r="J2660" s="549" t="s">
        <v>976</v>
      </c>
      <c r="K2660" s="549" t="s">
        <v>976</v>
      </c>
      <c r="L2660" s="549">
        <v>31410.32</v>
      </c>
      <c r="M2660" s="549">
        <v>2371.48</v>
      </c>
      <c r="N2660" s="549">
        <v>694.17</v>
      </c>
      <c r="O2660" s="549">
        <v>0</v>
      </c>
      <c r="P2660" s="549">
        <v>100</v>
      </c>
      <c r="Q2660" s="549">
        <v>3065.65</v>
      </c>
    </row>
    <row r="2661" spans="1:17" x14ac:dyDescent="0.25">
      <c r="A2661" s="549" t="s">
        <v>1147</v>
      </c>
      <c r="B2661" s="549" t="s">
        <v>1148</v>
      </c>
      <c r="C2661" s="549" t="s">
        <v>539</v>
      </c>
      <c r="D2661" s="549" t="s">
        <v>1149</v>
      </c>
      <c r="E2661" s="549" t="s">
        <v>977</v>
      </c>
      <c r="F2661" s="549" t="s">
        <v>1212</v>
      </c>
      <c r="G2661" s="549" t="s">
        <v>1422</v>
      </c>
      <c r="H2661" s="549" t="s">
        <v>539</v>
      </c>
      <c r="I2661" s="549" t="s">
        <v>976</v>
      </c>
      <c r="J2661" s="549" t="s">
        <v>976</v>
      </c>
      <c r="K2661" s="549" t="s">
        <v>976</v>
      </c>
      <c r="L2661" s="549">
        <v>31410.32</v>
      </c>
      <c r="M2661" s="549">
        <v>2371.48</v>
      </c>
      <c r="N2661" s="549">
        <v>694.17</v>
      </c>
      <c r="O2661" s="549">
        <v>0</v>
      </c>
      <c r="P2661" s="549">
        <v>100</v>
      </c>
      <c r="Q2661" s="549">
        <v>3065.65</v>
      </c>
    </row>
    <row r="2662" spans="1:17" x14ac:dyDescent="0.25">
      <c r="A2662" s="549" t="s">
        <v>1147</v>
      </c>
      <c r="B2662" s="549" t="s">
        <v>1148</v>
      </c>
      <c r="C2662" s="549" t="s">
        <v>539</v>
      </c>
      <c r="D2662" s="549" t="s">
        <v>1149</v>
      </c>
      <c r="E2662" s="549" t="s">
        <v>977</v>
      </c>
      <c r="F2662" s="549" t="s">
        <v>1212</v>
      </c>
      <c r="G2662" s="549" t="s">
        <v>1423</v>
      </c>
      <c r="H2662" s="549" t="s">
        <v>539</v>
      </c>
      <c r="I2662" s="549" t="s">
        <v>976</v>
      </c>
      <c r="J2662" s="549" t="s">
        <v>976</v>
      </c>
      <c r="K2662" s="549" t="s">
        <v>976</v>
      </c>
      <c r="L2662" s="549">
        <v>31410.32</v>
      </c>
      <c r="M2662" s="549">
        <v>2371.48</v>
      </c>
      <c r="N2662" s="549">
        <v>694.17</v>
      </c>
      <c r="O2662" s="549">
        <v>0</v>
      </c>
      <c r="P2662" s="549">
        <v>100</v>
      </c>
      <c r="Q2662" s="549">
        <v>3065.65</v>
      </c>
    </row>
    <row r="2663" spans="1:17" x14ac:dyDescent="0.25">
      <c r="A2663" s="549" t="s">
        <v>1147</v>
      </c>
      <c r="B2663" s="549" t="s">
        <v>1148</v>
      </c>
      <c r="C2663" s="549" t="s">
        <v>539</v>
      </c>
      <c r="D2663" s="549" t="s">
        <v>1149</v>
      </c>
      <c r="E2663" s="549" t="s">
        <v>977</v>
      </c>
      <c r="F2663" s="549" t="s">
        <v>1212</v>
      </c>
      <c r="G2663" s="549" t="s">
        <v>1341</v>
      </c>
      <c r="H2663" s="549" t="s">
        <v>539</v>
      </c>
      <c r="I2663" s="549" t="s">
        <v>976</v>
      </c>
      <c r="J2663" s="549" t="s">
        <v>976</v>
      </c>
      <c r="K2663" s="549" t="s">
        <v>976</v>
      </c>
      <c r="L2663" s="549">
        <v>31410.32</v>
      </c>
      <c r="M2663" s="549">
        <v>2371.48</v>
      </c>
      <c r="N2663" s="549">
        <v>694.17</v>
      </c>
      <c r="O2663" s="549">
        <v>0</v>
      </c>
      <c r="P2663" s="549">
        <v>100</v>
      </c>
      <c r="Q2663" s="549">
        <v>3065.65</v>
      </c>
    </row>
    <row r="2664" spans="1:17" x14ac:dyDescent="0.25">
      <c r="A2664" s="549" t="s">
        <v>1091</v>
      </c>
      <c r="B2664" s="549" t="s">
        <v>1092</v>
      </c>
      <c r="C2664" s="549" t="s">
        <v>855</v>
      </c>
      <c r="D2664" s="549" t="s">
        <v>856</v>
      </c>
      <c r="E2664" s="549" t="s">
        <v>973</v>
      </c>
      <c r="F2664" s="549" t="s">
        <v>1212</v>
      </c>
      <c r="G2664" s="549">
        <v>2162</v>
      </c>
      <c r="H2664" s="549" t="s">
        <v>855</v>
      </c>
      <c r="I2664" s="549" t="s">
        <v>976</v>
      </c>
      <c r="J2664" s="549" t="s">
        <v>976</v>
      </c>
      <c r="K2664" s="549" t="s">
        <v>976</v>
      </c>
      <c r="L2664" s="549">
        <v>98189.9</v>
      </c>
      <c r="M2664" s="549">
        <v>7413.34</v>
      </c>
      <c r="N2664" s="549">
        <v>5636.1</v>
      </c>
      <c r="O2664" s="549">
        <v>992</v>
      </c>
      <c r="P2664" s="549">
        <v>0</v>
      </c>
      <c r="Q2664" s="549">
        <v>0</v>
      </c>
    </row>
    <row r="2665" spans="1:17" x14ac:dyDescent="0.25">
      <c r="A2665" s="549" t="s">
        <v>1091</v>
      </c>
      <c r="B2665" s="549" t="s">
        <v>1092</v>
      </c>
      <c r="C2665" s="549" t="s">
        <v>855</v>
      </c>
      <c r="D2665" s="549" t="s">
        <v>856</v>
      </c>
      <c r="E2665" s="549" t="s">
        <v>973</v>
      </c>
      <c r="F2665" s="549" t="s">
        <v>1212</v>
      </c>
      <c r="G2665" s="549">
        <v>2152</v>
      </c>
      <c r="H2665" s="549" t="s">
        <v>855</v>
      </c>
      <c r="I2665" s="549" t="s">
        <v>976</v>
      </c>
      <c r="J2665" s="549" t="s">
        <v>976</v>
      </c>
      <c r="K2665" s="549" t="s">
        <v>976</v>
      </c>
      <c r="L2665" s="549">
        <v>109092.24</v>
      </c>
      <c r="M2665" s="549">
        <v>8236.4599999999991</v>
      </c>
      <c r="N2665" s="549">
        <v>6261.89</v>
      </c>
      <c r="O2665" s="549">
        <v>992</v>
      </c>
      <c r="P2665" s="549">
        <v>0</v>
      </c>
      <c r="Q2665" s="549">
        <v>0</v>
      </c>
    </row>
    <row r="2666" spans="1:17" x14ac:dyDescent="0.25">
      <c r="A2666" s="549" t="s">
        <v>1091</v>
      </c>
      <c r="B2666" s="549" t="s">
        <v>1092</v>
      </c>
      <c r="C2666" s="549" t="s">
        <v>855</v>
      </c>
      <c r="D2666" s="549" t="s">
        <v>856</v>
      </c>
      <c r="E2666" s="549" t="s">
        <v>973</v>
      </c>
      <c r="F2666" s="549" t="s">
        <v>1212</v>
      </c>
      <c r="G2666" s="549">
        <v>2142</v>
      </c>
      <c r="H2666" s="549" t="s">
        <v>855</v>
      </c>
      <c r="I2666" s="549" t="s">
        <v>976</v>
      </c>
      <c r="J2666" s="549" t="s">
        <v>976</v>
      </c>
      <c r="K2666" s="549" t="s">
        <v>976</v>
      </c>
      <c r="L2666" s="549">
        <v>109092.24</v>
      </c>
      <c r="M2666" s="549">
        <v>8236.4599999999991</v>
      </c>
      <c r="N2666" s="549">
        <v>6261.89</v>
      </c>
      <c r="O2666" s="549">
        <v>992</v>
      </c>
      <c r="P2666" s="549">
        <v>0</v>
      </c>
      <c r="Q2666" s="549">
        <v>0</v>
      </c>
    </row>
    <row r="2667" spans="1:17" x14ac:dyDescent="0.25">
      <c r="A2667" s="549" t="s">
        <v>1091</v>
      </c>
      <c r="B2667" s="549" t="s">
        <v>1092</v>
      </c>
      <c r="C2667" s="549" t="s">
        <v>855</v>
      </c>
      <c r="D2667" s="549" t="s">
        <v>856</v>
      </c>
      <c r="E2667" s="549" t="s">
        <v>973</v>
      </c>
      <c r="F2667" s="549" t="s">
        <v>1212</v>
      </c>
      <c r="G2667" s="549">
        <v>2132</v>
      </c>
      <c r="H2667" s="549" t="s">
        <v>855</v>
      </c>
      <c r="I2667" s="549" t="s">
        <v>976</v>
      </c>
      <c r="J2667" s="549" t="s">
        <v>976</v>
      </c>
      <c r="K2667" s="549" t="s">
        <v>976</v>
      </c>
      <c r="L2667" s="549">
        <v>109092.24</v>
      </c>
      <c r="M2667" s="549">
        <v>8236.4599999999991</v>
      </c>
      <c r="N2667" s="549">
        <v>6261.89</v>
      </c>
      <c r="O2667" s="549">
        <v>992</v>
      </c>
      <c r="P2667" s="549">
        <v>0</v>
      </c>
      <c r="Q2667" s="549">
        <v>0</v>
      </c>
    </row>
    <row r="2668" spans="1:17" x14ac:dyDescent="0.25">
      <c r="A2668" s="549" t="s">
        <v>1083</v>
      </c>
      <c r="B2668" s="549" t="s">
        <v>584</v>
      </c>
      <c r="C2668" s="549" t="s">
        <v>768</v>
      </c>
      <c r="D2668" s="549" t="s">
        <v>769</v>
      </c>
      <c r="E2668" s="549" t="s">
        <v>977</v>
      </c>
      <c r="F2668" s="549" t="s">
        <v>1212</v>
      </c>
      <c r="G2668" s="549">
        <v>592</v>
      </c>
      <c r="H2668" s="549" t="s">
        <v>768</v>
      </c>
      <c r="I2668" s="549" t="s">
        <v>976</v>
      </c>
      <c r="J2668" s="549" t="s">
        <v>976</v>
      </c>
      <c r="K2668" s="549" t="s">
        <v>976</v>
      </c>
      <c r="L2668" s="549">
        <v>0</v>
      </c>
      <c r="M2668" s="549">
        <v>0</v>
      </c>
      <c r="N2668" s="549">
        <v>0</v>
      </c>
      <c r="O2668" s="549">
        <v>0</v>
      </c>
      <c r="P2668" s="549">
        <v>100</v>
      </c>
      <c r="Q2668" s="549">
        <v>0</v>
      </c>
    </row>
    <row r="2669" spans="1:17" x14ac:dyDescent="0.25">
      <c r="A2669" s="549" t="s">
        <v>1083</v>
      </c>
      <c r="B2669" s="549" t="s">
        <v>584</v>
      </c>
      <c r="C2669" s="549" t="s">
        <v>768</v>
      </c>
      <c r="D2669" s="549" t="s">
        <v>769</v>
      </c>
      <c r="E2669" s="549" t="s">
        <v>977</v>
      </c>
      <c r="F2669" s="549" t="s">
        <v>1212</v>
      </c>
      <c r="G2669" s="549">
        <v>1092</v>
      </c>
      <c r="H2669" s="549" t="s">
        <v>768</v>
      </c>
      <c r="I2669" s="549" t="s">
        <v>976</v>
      </c>
      <c r="J2669" s="549" t="s">
        <v>976</v>
      </c>
      <c r="K2669" s="549" t="s">
        <v>976</v>
      </c>
      <c r="L2669" s="549">
        <v>168521.63</v>
      </c>
      <c r="M2669" s="549">
        <v>12723.38</v>
      </c>
      <c r="N2669" s="549">
        <v>3724.33</v>
      </c>
      <c r="O2669" s="549">
        <v>3968</v>
      </c>
      <c r="P2669" s="549">
        <v>100</v>
      </c>
      <c r="Q2669" s="549">
        <v>20415.71</v>
      </c>
    </row>
    <row r="2670" spans="1:17" x14ac:dyDescent="0.25">
      <c r="A2670" s="549" t="s">
        <v>1083</v>
      </c>
      <c r="B2670" s="549" t="s">
        <v>584</v>
      </c>
      <c r="C2670" s="549" t="s">
        <v>768</v>
      </c>
      <c r="D2670" s="549" t="s">
        <v>769</v>
      </c>
      <c r="E2670" s="549" t="s">
        <v>977</v>
      </c>
      <c r="F2670" s="549" t="s">
        <v>1212</v>
      </c>
      <c r="G2670" s="549">
        <v>1102</v>
      </c>
      <c r="H2670" s="549" t="s">
        <v>768</v>
      </c>
      <c r="I2670" s="549" t="s">
        <v>976</v>
      </c>
      <c r="J2670" s="549" t="s">
        <v>976</v>
      </c>
      <c r="K2670" s="549" t="s">
        <v>976</v>
      </c>
      <c r="L2670" s="549">
        <v>153565.04999999999</v>
      </c>
      <c r="M2670" s="549">
        <v>11594.16</v>
      </c>
      <c r="N2670" s="549">
        <v>3393.79</v>
      </c>
      <c r="O2670" s="549">
        <v>1984</v>
      </c>
      <c r="P2670" s="549">
        <v>100</v>
      </c>
      <c r="Q2670" s="549">
        <v>16971.95</v>
      </c>
    </row>
    <row r="2671" spans="1:17" x14ac:dyDescent="0.25">
      <c r="A2671" s="549" t="s">
        <v>1083</v>
      </c>
      <c r="B2671" s="549" t="s">
        <v>584</v>
      </c>
      <c r="C2671" s="549" t="s">
        <v>768</v>
      </c>
      <c r="D2671" s="549" t="s">
        <v>769</v>
      </c>
      <c r="E2671" s="549" t="s">
        <v>977</v>
      </c>
      <c r="F2671" s="549" t="s">
        <v>1212</v>
      </c>
      <c r="G2671" s="549">
        <v>1112</v>
      </c>
      <c r="H2671" s="549" t="s">
        <v>768</v>
      </c>
      <c r="I2671" s="549" t="s">
        <v>976</v>
      </c>
      <c r="J2671" s="549" t="s">
        <v>976</v>
      </c>
      <c r="K2671" s="549" t="s">
        <v>976</v>
      </c>
      <c r="L2671" s="549">
        <v>168521.63</v>
      </c>
      <c r="M2671" s="549">
        <v>12723.38</v>
      </c>
      <c r="N2671" s="549">
        <v>3724.33</v>
      </c>
      <c r="O2671" s="549">
        <v>3968</v>
      </c>
      <c r="P2671" s="549">
        <v>100</v>
      </c>
      <c r="Q2671" s="549">
        <v>20415.71</v>
      </c>
    </row>
    <row r="2672" spans="1:17" x14ac:dyDescent="0.25">
      <c r="A2672" s="549" t="s">
        <v>1083</v>
      </c>
      <c r="B2672" s="549" t="s">
        <v>584</v>
      </c>
      <c r="C2672" s="549" t="s">
        <v>768</v>
      </c>
      <c r="D2672" s="549" t="s">
        <v>769</v>
      </c>
      <c r="E2672" s="549" t="s">
        <v>977</v>
      </c>
      <c r="F2672" s="549" t="s">
        <v>1212</v>
      </c>
      <c r="G2672" s="549" t="s">
        <v>1226</v>
      </c>
      <c r="H2672" s="549" t="s">
        <v>768</v>
      </c>
      <c r="I2672" s="549" t="s">
        <v>976</v>
      </c>
      <c r="J2672" s="549" t="s">
        <v>976</v>
      </c>
      <c r="K2672" s="549" t="s">
        <v>976</v>
      </c>
      <c r="L2672" s="549">
        <v>31176.93</v>
      </c>
      <c r="M2672" s="549">
        <v>2353.86</v>
      </c>
      <c r="N2672" s="549">
        <v>689.01</v>
      </c>
      <c r="O2672" s="549">
        <v>0</v>
      </c>
      <c r="P2672" s="549">
        <v>100</v>
      </c>
      <c r="Q2672" s="549">
        <v>3042.87</v>
      </c>
    </row>
    <row r="2673" spans="1:17" x14ac:dyDescent="0.25">
      <c r="A2673" s="549" t="s">
        <v>1083</v>
      </c>
      <c r="B2673" s="549" t="s">
        <v>584</v>
      </c>
      <c r="C2673" s="549" t="s">
        <v>770</v>
      </c>
      <c r="D2673" s="549" t="s">
        <v>771</v>
      </c>
      <c r="E2673" s="549" t="s">
        <v>973</v>
      </c>
      <c r="F2673" s="549" t="s">
        <v>1212</v>
      </c>
      <c r="G2673" s="549">
        <v>532</v>
      </c>
      <c r="H2673" s="549" t="s">
        <v>770</v>
      </c>
      <c r="I2673" s="549" t="s">
        <v>976</v>
      </c>
      <c r="J2673" s="549" t="s">
        <v>976</v>
      </c>
      <c r="K2673" s="549" t="s">
        <v>976</v>
      </c>
      <c r="L2673" s="549">
        <v>636081.93000000005</v>
      </c>
      <c r="M2673" s="549">
        <v>48024.19</v>
      </c>
      <c r="N2673" s="549">
        <v>36511.1</v>
      </c>
      <c r="O2673" s="549">
        <v>2976</v>
      </c>
      <c r="P2673" s="549">
        <v>3.56</v>
      </c>
      <c r="Q2673" s="549">
        <v>3115.4</v>
      </c>
    </row>
    <row r="2674" spans="1:17" x14ac:dyDescent="0.25">
      <c r="A2674" s="549" t="s">
        <v>1083</v>
      </c>
      <c r="B2674" s="549" t="s">
        <v>584</v>
      </c>
      <c r="C2674" s="549" t="s">
        <v>770</v>
      </c>
      <c r="D2674" s="549" t="s">
        <v>771</v>
      </c>
      <c r="E2674" s="549" t="s">
        <v>973</v>
      </c>
      <c r="F2674" s="549" t="s">
        <v>1212</v>
      </c>
      <c r="G2674" s="549">
        <v>552</v>
      </c>
      <c r="H2674" s="549" t="s">
        <v>770</v>
      </c>
      <c r="I2674" s="549" t="s">
        <v>976</v>
      </c>
      <c r="J2674" s="549" t="s">
        <v>976</v>
      </c>
      <c r="K2674" s="549" t="s">
        <v>976</v>
      </c>
      <c r="L2674" s="549">
        <v>636081.93000000005</v>
      </c>
      <c r="M2674" s="549">
        <v>48024.19</v>
      </c>
      <c r="N2674" s="549">
        <v>36511.1</v>
      </c>
      <c r="O2674" s="549">
        <v>2976</v>
      </c>
      <c r="P2674" s="549">
        <v>3.56</v>
      </c>
      <c r="Q2674" s="549">
        <v>3115.4</v>
      </c>
    </row>
    <row r="2675" spans="1:17" x14ac:dyDescent="0.25">
      <c r="A2675" s="549" t="s">
        <v>1083</v>
      </c>
      <c r="B2675" s="549" t="s">
        <v>584</v>
      </c>
      <c r="C2675" s="549" t="s">
        <v>770</v>
      </c>
      <c r="D2675" s="549" t="s">
        <v>771</v>
      </c>
      <c r="E2675" s="549" t="s">
        <v>973</v>
      </c>
      <c r="F2675" s="549" t="s">
        <v>1212</v>
      </c>
      <c r="G2675" s="549">
        <v>1022</v>
      </c>
      <c r="H2675" s="549" t="s">
        <v>770</v>
      </c>
      <c r="I2675" s="549" t="s">
        <v>976</v>
      </c>
      <c r="J2675" s="549" t="s">
        <v>976</v>
      </c>
      <c r="K2675" s="549" t="s">
        <v>976</v>
      </c>
      <c r="L2675" s="549">
        <v>84021.97</v>
      </c>
      <c r="M2675" s="549">
        <v>6343.66</v>
      </c>
      <c r="N2675" s="549">
        <v>4822.8599999999997</v>
      </c>
      <c r="O2675" s="549">
        <v>992</v>
      </c>
      <c r="P2675" s="549">
        <v>3.56</v>
      </c>
      <c r="Q2675" s="549">
        <v>432.84</v>
      </c>
    </row>
    <row r="2676" spans="1:17" x14ac:dyDescent="0.25">
      <c r="A2676" s="549" t="s">
        <v>1083</v>
      </c>
      <c r="B2676" s="549" t="s">
        <v>584</v>
      </c>
      <c r="C2676" s="549" t="s">
        <v>770</v>
      </c>
      <c r="D2676" s="549" t="s">
        <v>771</v>
      </c>
      <c r="E2676" s="549" t="s">
        <v>973</v>
      </c>
      <c r="F2676" s="549" t="s">
        <v>1212</v>
      </c>
      <c r="G2676" s="549">
        <v>1042</v>
      </c>
      <c r="H2676" s="549" t="s">
        <v>770</v>
      </c>
      <c r="I2676" s="549" t="s">
        <v>976</v>
      </c>
      <c r="J2676" s="549" t="s">
        <v>976</v>
      </c>
      <c r="K2676" s="549" t="s">
        <v>976</v>
      </c>
      <c r="L2676" s="549">
        <v>239044.95</v>
      </c>
      <c r="M2676" s="549">
        <v>18047.89</v>
      </c>
      <c r="N2676" s="549">
        <v>13721.18</v>
      </c>
      <c r="O2676" s="549">
        <v>1984</v>
      </c>
      <c r="P2676" s="549">
        <v>3.56</v>
      </c>
      <c r="Q2676" s="549">
        <v>1201.6099999999999</v>
      </c>
    </row>
    <row r="2677" spans="1:17" x14ac:dyDescent="0.25">
      <c r="A2677" s="549" t="s">
        <v>1083</v>
      </c>
      <c r="B2677" s="549" t="s">
        <v>584</v>
      </c>
      <c r="C2677" s="549" t="s">
        <v>770</v>
      </c>
      <c r="D2677" s="549" t="s">
        <v>771</v>
      </c>
      <c r="E2677" s="549" t="s">
        <v>973</v>
      </c>
      <c r="F2677" s="549" t="s">
        <v>1212</v>
      </c>
      <c r="G2677" s="549">
        <v>1062</v>
      </c>
      <c r="H2677" s="549" t="s">
        <v>770</v>
      </c>
      <c r="I2677" s="549" t="s">
        <v>976</v>
      </c>
      <c r="J2677" s="549" t="s">
        <v>976</v>
      </c>
      <c r="K2677" s="549" t="s">
        <v>976</v>
      </c>
      <c r="L2677" s="549">
        <v>84021.97</v>
      </c>
      <c r="M2677" s="549">
        <v>6343.66</v>
      </c>
      <c r="N2677" s="549">
        <v>4822.8599999999997</v>
      </c>
      <c r="O2677" s="549">
        <v>992</v>
      </c>
      <c r="P2677" s="549">
        <v>3.56</v>
      </c>
      <c r="Q2677" s="549">
        <v>432.84</v>
      </c>
    </row>
    <row r="2678" spans="1:17" x14ac:dyDescent="0.25">
      <c r="A2678" s="549" t="s">
        <v>1083</v>
      </c>
      <c r="B2678" s="549" t="s">
        <v>584</v>
      </c>
      <c r="C2678" s="549" t="s">
        <v>770</v>
      </c>
      <c r="D2678" s="549" t="s">
        <v>771</v>
      </c>
      <c r="E2678" s="549" t="s">
        <v>973</v>
      </c>
      <c r="F2678" s="549" t="s">
        <v>1212</v>
      </c>
      <c r="G2678" s="549">
        <v>1067</v>
      </c>
      <c r="H2678" s="549" t="s">
        <v>770</v>
      </c>
      <c r="I2678" s="549" t="s">
        <v>976</v>
      </c>
      <c r="J2678" s="549" t="s">
        <v>976</v>
      </c>
      <c r="K2678" s="549" t="s">
        <v>976</v>
      </c>
      <c r="L2678" s="549">
        <v>24045.200000000001</v>
      </c>
      <c r="M2678" s="549">
        <v>1815.41</v>
      </c>
      <c r="N2678" s="549">
        <v>1380.19</v>
      </c>
      <c r="O2678" s="549">
        <v>992</v>
      </c>
      <c r="P2678" s="549">
        <v>3.56</v>
      </c>
      <c r="Q2678" s="549">
        <v>149.08000000000001</v>
      </c>
    </row>
    <row r="2679" spans="1:17" x14ac:dyDescent="0.25">
      <c r="A2679" s="549" t="s">
        <v>1083</v>
      </c>
      <c r="B2679" s="549" t="s">
        <v>584</v>
      </c>
      <c r="C2679" s="549" t="s">
        <v>770</v>
      </c>
      <c r="D2679" s="549" t="s">
        <v>771</v>
      </c>
      <c r="E2679" s="549" t="s">
        <v>973</v>
      </c>
      <c r="F2679" s="549" t="s">
        <v>1212</v>
      </c>
      <c r="G2679" s="549">
        <v>1072</v>
      </c>
      <c r="H2679" s="549" t="s">
        <v>770</v>
      </c>
      <c r="I2679" s="549" t="s">
        <v>976</v>
      </c>
      <c r="J2679" s="549" t="s">
        <v>976</v>
      </c>
      <c r="K2679" s="549" t="s">
        <v>976</v>
      </c>
      <c r="L2679" s="549">
        <v>84021.97</v>
      </c>
      <c r="M2679" s="549">
        <v>6343.66</v>
      </c>
      <c r="N2679" s="549">
        <v>4822.8599999999997</v>
      </c>
      <c r="O2679" s="549">
        <v>992</v>
      </c>
      <c r="P2679" s="549">
        <v>3.56</v>
      </c>
      <c r="Q2679" s="549">
        <v>432.84</v>
      </c>
    </row>
    <row r="2680" spans="1:17" x14ac:dyDescent="0.25">
      <c r="A2680" s="549" t="s">
        <v>1083</v>
      </c>
      <c r="B2680" s="549" t="s">
        <v>584</v>
      </c>
      <c r="C2680" s="549" t="s">
        <v>770</v>
      </c>
      <c r="D2680" s="549" t="s">
        <v>771</v>
      </c>
      <c r="E2680" s="549" t="s">
        <v>973</v>
      </c>
      <c r="F2680" s="549" t="s">
        <v>1212</v>
      </c>
      <c r="G2680" s="549">
        <v>1082</v>
      </c>
      <c r="H2680" s="549" t="s">
        <v>770</v>
      </c>
      <c r="I2680" s="549" t="s">
        <v>976</v>
      </c>
      <c r="J2680" s="549" t="s">
        <v>976</v>
      </c>
      <c r="K2680" s="549" t="s">
        <v>976</v>
      </c>
      <c r="L2680" s="549">
        <v>84021.97</v>
      </c>
      <c r="M2680" s="549">
        <v>6343.66</v>
      </c>
      <c r="N2680" s="549">
        <v>4822.8599999999997</v>
      </c>
      <c r="O2680" s="549">
        <v>992</v>
      </c>
      <c r="P2680" s="549">
        <v>3.56</v>
      </c>
      <c r="Q2680" s="549">
        <v>432.84</v>
      </c>
    </row>
    <row r="2681" spans="1:17" x14ac:dyDescent="0.25">
      <c r="A2681" s="549" t="s">
        <v>1083</v>
      </c>
      <c r="B2681" s="549" t="s">
        <v>584</v>
      </c>
      <c r="C2681" s="549" t="s">
        <v>770</v>
      </c>
      <c r="D2681" s="549" t="s">
        <v>771</v>
      </c>
      <c r="E2681" s="549" t="s">
        <v>973</v>
      </c>
      <c r="F2681" s="549" t="s">
        <v>1212</v>
      </c>
      <c r="G2681" s="549">
        <v>1087</v>
      </c>
      <c r="H2681" s="549" t="s">
        <v>770</v>
      </c>
      <c r="I2681" s="549" t="s">
        <v>976</v>
      </c>
      <c r="J2681" s="549" t="s">
        <v>976</v>
      </c>
      <c r="K2681" s="549" t="s">
        <v>976</v>
      </c>
      <c r="L2681" s="549">
        <v>24045.200000000001</v>
      </c>
      <c r="M2681" s="549">
        <v>1815.41</v>
      </c>
      <c r="N2681" s="549">
        <v>1380.19</v>
      </c>
      <c r="O2681" s="549">
        <v>992</v>
      </c>
      <c r="P2681" s="549">
        <v>3.56</v>
      </c>
      <c r="Q2681" s="549">
        <v>149.08000000000001</v>
      </c>
    </row>
    <row r="2682" spans="1:17" x14ac:dyDescent="0.25">
      <c r="A2682" s="549" t="s">
        <v>1083</v>
      </c>
      <c r="B2682" s="549" t="s">
        <v>584</v>
      </c>
      <c r="C2682" s="549" t="s">
        <v>770</v>
      </c>
      <c r="D2682" s="549" t="s">
        <v>771</v>
      </c>
      <c r="E2682" s="549" t="s">
        <v>973</v>
      </c>
      <c r="F2682" s="549" t="s">
        <v>1212</v>
      </c>
      <c r="G2682" s="549">
        <v>1092</v>
      </c>
      <c r="H2682" s="549" t="s">
        <v>770</v>
      </c>
      <c r="I2682" s="549" t="s">
        <v>976</v>
      </c>
      <c r="J2682" s="549" t="s">
        <v>976</v>
      </c>
      <c r="K2682" s="549" t="s">
        <v>976</v>
      </c>
      <c r="L2682" s="549">
        <v>84021.97</v>
      </c>
      <c r="M2682" s="549">
        <v>6343.66</v>
      </c>
      <c r="N2682" s="549">
        <v>4822.8599999999997</v>
      </c>
      <c r="O2682" s="549">
        <v>992</v>
      </c>
      <c r="P2682" s="549">
        <v>3.56</v>
      </c>
      <c r="Q2682" s="549">
        <v>432.84</v>
      </c>
    </row>
    <row r="2683" spans="1:17" x14ac:dyDescent="0.25">
      <c r="A2683" s="549" t="s">
        <v>1083</v>
      </c>
      <c r="B2683" s="549" t="s">
        <v>584</v>
      </c>
      <c r="C2683" s="549" t="s">
        <v>770</v>
      </c>
      <c r="D2683" s="549" t="s">
        <v>771</v>
      </c>
      <c r="E2683" s="549" t="s">
        <v>973</v>
      </c>
      <c r="F2683" s="549" t="s">
        <v>1212</v>
      </c>
      <c r="G2683" s="549">
        <v>1102</v>
      </c>
      <c r="H2683" s="549" t="s">
        <v>770</v>
      </c>
      <c r="I2683" s="549" t="s">
        <v>976</v>
      </c>
      <c r="J2683" s="549" t="s">
        <v>976</v>
      </c>
      <c r="K2683" s="549" t="s">
        <v>976</v>
      </c>
      <c r="L2683" s="549">
        <v>239044.95</v>
      </c>
      <c r="M2683" s="549">
        <v>18047.89</v>
      </c>
      <c r="N2683" s="549">
        <v>13721.18</v>
      </c>
      <c r="O2683" s="549">
        <v>1984</v>
      </c>
      <c r="P2683" s="549">
        <v>3.56</v>
      </c>
      <c r="Q2683" s="549">
        <v>1201.6099999999999</v>
      </c>
    </row>
    <row r="2684" spans="1:17" x14ac:dyDescent="0.25">
      <c r="A2684" s="549" t="s">
        <v>1083</v>
      </c>
      <c r="B2684" s="549" t="s">
        <v>584</v>
      </c>
      <c r="C2684" s="549" t="s">
        <v>770</v>
      </c>
      <c r="D2684" s="549" t="s">
        <v>771</v>
      </c>
      <c r="E2684" s="549" t="s">
        <v>973</v>
      </c>
      <c r="F2684" s="549" t="s">
        <v>1212</v>
      </c>
      <c r="G2684" s="549">
        <v>1107</v>
      </c>
      <c r="H2684" s="549" t="s">
        <v>770</v>
      </c>
      <c r="I2684" s="549" t="s">
        <v>976</v>
      </c>
      <c r="J2684" s="549" t="s">
        <v>976</v>
      </c>
      <c r="K2684" s="549" t="s">
        <v>976</v>
      </c>
      <c r="L2684" s="549">
        <v>24045.200000000001</v>
      </c>
      <c r="M2684" s="549">
        <v>1815.41</v>
      </c>
      <c r="N2684" s="549">
        <v>1380.19</v>
      </c>
      <c r="O2684" s="549">
        <v>992</v>
      </c>
      <c r="P2684" s="549">
        <v>3.56</v>
      </c>
      <c r="Q2684" s="549">
        <v>149.08000000000001</v>
      </c>
    </row>
    <row r="2685" spans="1:17" x14ac:dyDescent="0.25">
      <c r="A2685" s="549" t="s">
        <v>1083</v>
      </c>
      <c r="B2685" s="549" t="s">
        <v>584</v>
      </c>
      <c r="C2685" s="549" t="s">
        <v>770</v>
      </c>
      <c r="D2685" s="549" t="s">
        <v>771</v>
      </c>
      <c r="E2685" s="549" t="s">
        <v>973</v>
      </c>
      <c r="F2685" s="549" t="s">
        <v>1212</v>
      </c>
      <c r="G2685" s="549">
        <v>1122</v>
      </c>
      <c r="H2685" s="549" t="s">
        <v>770</v>
      </c>
      <c r="I2685" s="549" t="s">
        <v>976</v>
      </c>
      <c r="J2685" s="549" t="s">
        <v>976</v>
      </c>
      <c r="K2685" s="549" t="s">
        <v>976</v>
      </c>
      <c r="L2685" s="549">
        <v>84021.97</v>
      </c>
      <c r="M2685" s="549">
        <v>6343.66</v>
      </c>
      <c r="N2685" s="549">
        <v>4822.8599999999997</v>
      </c>
      <c r="O2685" s="549">
        <v>992</v>
      </c>
      <c r="P2685" s="549">
        <v>3.56</v>
      </c>
      <c r="Q2685" s="549">
        <v>432.84</v>
      </c>
    </row>
    <row r="2686" spans="1:17" x14ac:dyDescent="0.25">
      <c r="A2686" s="549" t="s">
        <v>1083</v>
      </c>
      <c r="B2686" s="549" t="s">
        <v>584</v>
      </c>
      <c r="C2686" s="549" t="s">
        <v>770</v>
      </c>
      <c r="D2686" s="549" t="s">
        <v>771</v>
      </c>
      <c r="E2686" s="549" t="s">
        <v>973</v>
      </c>
      <c r="F2686" s="549" t="s">
        <v>1212</v>
      </c>
      <c r="G2686" s="549">
        <v>1132</v>
      </c>
      <c r="H2686" s="549" t="s">
        <v>770</v>
      </c>
      <c r="I2686" s="549" t="s">
        <v>976</v>
      </c>
      <c r="J2686" s="549" t="s">
        <v>976</v>
      </c>
      <c r="K2686" s="549" t="s">
        <v>976</v>
      </c>
      <c r="L2686" s="549">
        <v>84021.97</v>
      </c>
      <c r="M2686" s="549">
        <v>6343.66</v>
      </c>
      <c r="N2686" s="549">
        <v>4822.8599999999997</v>
      </c>
      <c r="O2686" s="549">
        <v>992</v>
      </c>
      <c r="P2686" s="549">
        <v>3.56</v>
      </c>
      <c r="Q2686" s="549">
        <v>432.84</v>
      </c>
    </row>
    <row r="2687" spans="1:17" x14ac:dyDescent="0.25">
      <c r="A2687" s="549" t="s">
        <v>1083</v>
      </c>
      <c r="B2687" s="549" t="s">
        <v>584</v>
      </c>
      <c r="C2687" s="549" t="s">
        <v>770</v>
      </c>
      <c r="D2687" s="549" t="s">
        <v>771</v>
      </c>
      <c r="E2687" s="549" t="s">
        <v>973</v>
      </c>
      <c r="F2687" s="549" t="s">
        <v>1212</v>
      </c>
      <c r="G2687" s="549" t="s">
        <v>1220</v>
      </c>
      <c r="H2687" s="549" t="s">
        <v>770</v>
      </c>
      <c r="I2687" s="549" t="s">
        <v>976</v>
      </c>
      <c r="J2687" s="549" t="s">
        <v>976</v>
      </c>
      <c r="K2687" s="549" t="s">
        <v>976</v>
      </c>
      <c r="L2687" s="549">
        <v>32316.799999999999</v>
      </c>
      <c r="M2687" s="549">
        <v>2439.92</v>
      </c>
      <c r="N2687" s="549">
        <v>1854.98</v>
      </c>
      <c r="O2687" s="549">
        <v>0</v>
      </c>
      <c r="P2687" s="549">
        <v>3.56</v>
      </c>
      <c r="Q2687" s="549">
        <v>152.9</v>
      </c>
    </row>
    <row r="2688" spans="1:17" x14ac:dyDescent="0.25">
      <c r="A2688" s="549" t="s">
        <v>1083</v>
      </c>
      <c r="B2688" s="549" t="s">
        <v>584</v>
      </c>
      <c r="C2688" s="549" t="s">
        <v>770</v>
      </c>
      <c r="D2688" s="549" t="s">
        <v>771</v>
      </c>
      <c r="E2688" s="549" t="s">
        <v>973</v>
      </c>
      <c r="F2688" s="549" t="s">
        <v>1212</v>
      </c>
      <c r="G2688" s="549" t="s">
        <v>1226</v>
      </c>
      <c r="H2688" s="549" t="s">
        <v>770</v>
      </c>
      <c r="I2688" s="549" t="s">
        <v>976</v>
      </c>
      <c r="J2688" s="549" t="s">
        <v>976</v>
      </c>
      <c r="K2688" s="549" t="s">
        <v>976</v>
      </c>
      <c r="L2688" s="549">
        <v>32316.799999999999</v>
      </c>
      <c r="M2688" s="549">
        <v>2439.92</v>
      </c>
      <c r="N2688" s="549">
        <v>1854.98</v>
      </c>
      <c r="O2688" s="549">
        <v>0</v>
      </c>
      <c r="P2688" s="549">
        <v>3.56</v>
      </c>
      <c r="Q2688" s="549">
        <v>152.9</v>
      </c>
    </row>
    <row r="2689" spans="1:17" x14ac:dyDescent="0.25">
      <c r="A2689" s="549" t="s">
        <v>1083</v>
      </c>
      <c r="B2689" s="549" t="s">
        <v>584</v>
      </c>
      <c r="C2689" s="549" t="s">
        <v>770</v>
      </c>
      <c r="D2689" s="549" t="s">
        <v>771</v>
      </c>
      <c r="E2689" s="549" t="s">
        <v>977</v>
      </c>
      <c r="F2689" s="549" t="s">
        <v>1212</v>
      </c>
      <c r="G2689" s="549">
        <v>532</v>
      </c>
      <c r="H2689" s="549" t="s">
        <v>770</v>
      </c>
      <c r="I2689" s="549" t="s">
        <v>976</v>
      </c>
      <c r="J2689" s="549" t="s">
        <v>976</v>
      </c>
      <c r="K2689" s="549" t="s">
        <v>976</v>
      </c>
      <c r="L2689" s="549">
        <v>636081.93000000005</v>
      </c>
      <c r="M2689" s="549">
        <v>48024.19</v>
      </c>
      <c r="N2689" s="549">
        <v>14057.41</v>
      </c>
      <c r="O2689" s="549">
        <v>2976</v>
      </c>
      <c r="P2689" s="549">
        <v>96.44</v>
      </c>
      <c r="Q2689" s="549">
        <v>62741.55</v>
      </c>
    </row>
    <row r="2690" spans="1:17" x14ac:dyDescent="0.25">
      <c r="A2690" s="549" t="s">
        <v>1083</v>
      </c>
      <c r="B2690" s="549" t="s">
        <v>584</v>
      </c>
      <c r="C2690" s="549" t="s">
        <v>770</v>
      </c>
      <c r="D2690" s="549" t="s">
        <v>771</v>
      </c>
      <c r="E2690" s="549" t="s">
        <v>977</v>
      </c>
      <c r="F2690" s="549" t="s">
        <v>1212</v>
      </c>
      <c r="G2690" s="549">
        <v>552</v>
      </c>
      <c r="H2690" s="549" t="s">
        <v>770</v>
      </c>
      <c r="I2690" s="549" t="s">
        <v>976</v>
      </c>
      <c r="J2690" s="549" t="s">
        <v>976</v>
      </c>
      <c r="K2690" s="549" t="s">
        <v>976</v>
      </c>
      <c r="L2690" s="549">
        <v>636081.93000000005</v>
      </c>
      <c r="M2690" s="549">
        <v>48024.19</v>
      </c>
      <c r="N2690" s="549">
        <v>14057.41</v>
      </c>
      <c r="O2690" s="549">
        <v>2976</v>
      </c>
      <c r="P2690" s="549">
        <v>96.44</v>
      </c>
      <c r="Q2690" s="549">
        <v>62741.55</v>
      </c>
    </row>
    <row r="2691" spans="1:17" x14ac:dyDescent="0.25">
      <c r="A2691" s="549" t="s">
        <v>1083</v>
      </c>
      <c r="B2691" s="549" t="s">
        <v>584</v>
      </c>
      <c r="C2691" s="549" t="s">
        <v>770</v>
      </c>
      <c r="D2691" s="549" t="s">
        <v>771</v>
      </c>
      <c r="E2691" s="549" t="s">
        <v>977</v>
      </c>
      <c r="F2691" s="549" t="s">
        <v>1212</v>
      </c>
      <c r="G2691" s="549">
        <v>1022</v>
      </c>
      <c r="H2691" s="549" t="s">
        <v>770</v>
      </c>
      <c r="I2691" s="549" t="s">
        <v>976</v>
      </c>
      <c r="J2691" s="549" t="s">
        <v>976</v>
      </c>
      <c r="K2691" s="549" t="s">
        <v>976</v>
      </c>
      <c r="L2691" s="549">
        <v>84021.97</v>
      </c>
      <c r="M2691" s="549">
        <v>6343.66</v>
      </c>
      <c r="N2691" s="549">
        <v>1856.89</v>
      </c>
      <c r="O2691" s="549">
        <v>992</v>
      </c>
      <c r="P2691" s="549">
        <v>96.44</v>
      </c>
      <c r="Q2691" s="549">
        <v>8865.2999999999993</v>
      </c>
    </row>
    <row r="2692" spans="1:17" x14ac:dyDescent="0.25">
      <c r="A2692" s="549" t="s">
        <v>1083</v>
      </c>
      <c r="B2692" s="549" t="s">
        <v>584</v>
      </c>
      <c r="C2692" s="549" t="s">
        <v>770</v>
      </c>
      <c r="D2692" s="549" t="s">
        <v>771</v>
      </c>
      <c r="E2692" s="549" t="s">
        <v>977</v>
      </c>
      <c r="F2692" s="549" t="s">
        <v>1212</v>
      </c>
      <c r="G2692" s="549">
        <v>1042</v>
      </c>
      <c r="H2692" s="549" t="s">
        <v>770</v>
      </c>
      <c r="I2692" s="549" t="s">
        <v>976</v>
      </c>
      <c r="J2692" s="549" t="s">
        <v>976</v>
      </c>
      <c r="K2692" s="549" t="s">
        <v>976</v>
      </c>
      <c r="L2692" s="549">
        <v>239044.95</v>
      </c>
      <c r="M2692" s="549">
        <v>18047.89</v>
      </c>
      <c r="N2692" s="549">
        <v>5282.89</v>
      </c>
      <c r="O2692" s="549">
        <v>1984</v>
      </c>
      <c r="P2692" s="549">
        <v>96.44</v>
      </c>
      <c r="Q2692" s="549">
        <v>24413.57</v>
      </c>
    </row>
    <row r="2693" spans="1:17" x14ac:dyDescent="0.25">
      <c r="A2693" s="549" t="s">
        <v>1083</v>
      </c>
      <c r="B2693" s="549" t="s">
        <v>584</v>
      </c>
      <c r="C2693" s="549" t="s">
        <v>770</v>
      </c>
      <c r="D2693" s="549" t="s">
        <v>771</v>
      </c>
      <c r="E2693" s="549" t="s">
        <v>977</v>
      </c>
      <c r="F2693" s="549" t="s">
        <v>1212</v>
      </c>
      <c r="G2693" s="549">
        <v>1062</v>
      </c>
      <c r="H2693" s="549" t="s">
        <v>770</v>
      </c>
      <c r="I2693" s="549" t="s">
        <v>976</v>
      </c>
      <c r="J2693" s="549" t="s">
        <v>976</v>
      </c>
      <c r="K2693" s="549" t="s">
        <v>976</v>
      </c>
      <c r="L2693" s="549">
        <v>84021.97</v>
      </c>
      <c r="M2693" s="549">
        <v>6343.66</v>
      </c>
      <c r="N2693" s="549">
        <v>1856.89</v>
      </c>
      <c r="O2693" s="549">
        <v>992</v>
      </c>
      <c r="P2693" s="549">
        <v>96.44</v>
      </c>
      <c r="Q2693" s="549">
        <v>8865.2999999999993</v>
      </c>
    </row>
    <row r="2694" spans="1:17" x14ac:dyDescent="0.25">
      <c r="A2694" s="549" t="s">
        <v>1083</v>
      </c>
      <c r="B2694" s="549" t="s">
        <v>584</v>
      </c>
      <c r="C2694" s="549" t="s">
        <v>770</v>
      </c>
      <c r="D2694" s="549" t="s">
        <v>771</v>
      </c>
      <c r="E2694" s="549" t="s">
        <v>977</v>
      </c>
      <c r="F2694" s="549" t="s">
        <v>1212</v>
      </c>
      <c r="G2694" s="549">
        <v>1067</v>
      </c>
      <c r="H2694" s="549" t="s">
        <v>770</v>
      </c>
      <c r="I2694" s="549" t="s">
        <v>976</v>
      </c>
      <c r="J2694" s="549" t="s">
        <v>976</v>
      </c>
      <c r="K2694" s="549" t="s">
        <v>976</v>
      </c>
      <c r="L2694" s="549">
        <v>24045.200000000001</v>
      </c>
      <c r="M2694" s="549">
        <v>1815.41</v>
      </c>
      <c r="N2694" s="549">
        <v>531.4</v>
      </c>
      <c r="O2694" s="549">
        <v>992</v>
      </c>
      <c r="P2694" s="549">
        <v>96.44</v>
      </c>
      <c r="Q2694" s="549">
        <v>3219.95</v>
      </c>
    </row>
    <row r="2695" spans="1:17" x14ac:dyDescent="0.25">
      <c r="A2695" s="549" t="s">
        <v>1083</v>
      </c>
      <c r="B2695" s="549" t="s">
        <v>584</v>
      </c>
      <c r="C2695" s="549" t="s">
        <v>770</v>
      </c>
      <c r="D2695" s="549" t="s">
        <v>771</v>
      </c>
      <c r="E2695" s="549" t="s">
        <v>977</v>
      </c>
      <c r="F2695" s="549" t="s">
        <v>1212</v>
      </c>
      <c r="G2695" s="549">
        <v>1072</v>
      </c>
      <c r="H2695" s="549" t="s">
        <v>770</v>
      </c>
      <c r="I2695" s="549" t="s">
        <v>976</v>
      </c>
      <c r="J2695" s="549" t="s">
        <v>976</v>
      </c>
      <c r="K2695" s="549" t="s">
        <v>976</v>
      </c>
      <c r="L2695" s="549">
        <v>84021.97</v>
      </c>
      <c r="M2695" s="549">
        <v>6343.66</v>
      </c>
      <c r="N2695" s="549">
        <v>1856.89</v>
      </c>
      <c r="O2695" s="549">
        <v>992</v>
      </c>
      <c r="P2695" s="549">
        <v>96.44</v>
      </c>
      <c r="Q2695" s="549">
        <v>8865.2999999999993</v>
      </c>
    </row>
    <row r="2696" spans="1:17" x14ac:dyDescent="0.25">
      <c r="A2696" s="549" t="s">
        <v>1083</v>
      </c>
      <c r="B2696" s="549" t="s">
        <v>584</v>
      </c>
      <c r="C2696" s="549" t="s">
        <v>770</v>
      </c>
      <c r="D2696" s="549" t="s">
        <v>771</v>
      </c>
      <c r="E2696" s="549" t="s">
        <v>977</v>
      </c>
      <c r="F2696" s="549" t="s">
        <v>1212</v>
      </c>
      <c r="G2696" s="549">
        <v>1082</v>
      </c>
      <c r="H2696" s="549" t="s">
        <v>770</v>
      </c>
      <c r="I2696" s="549" t="s">
        <v>976</v>
      </c>
      <c r="J2696" s="549" t="s">
        <v>976</v>
      </c>
      <c r="K2696" s="549" t="s">
        <v>976</v>
      </c>
      <c r="L2696" s="549">
        <v>84021.97</v>
      </c>
      <c r="M2696" s="549">
        <v>6343.66</v>
      </c>
      <c r="N2696" s="549">
        <v>1856.89</v>
      </c>
      <c r="O2696" s="549">
        <v>992</v>
      </c>
      <c r="P2696" s="549">
        <v>96.44</v>
      </c>
      <c r="Q2696" s="549">
        <v>8865.2999999999993</v>
      </c>
    </row>
    <row r="2697" spans="1:17" x14ac:dyDescent="0.25">
      <c r="A2697" s="549" t="s">
        <v>1083</v>
      </c>
      <c r="B2697" s="549" t="s">
        <v>584</v>
      </c>
      <c r="C2697" s="549" t="s">
        <v>770</v>
      </c>
      <c r="D2697" s="549" t="s">
        <v>771</v>
      </c>
      <c r="E2697" s="549" t="s">
        <v>977</v>
      </c>
      <c r="F2697" s="549" t="s">
        <v>1212</v>
      </c>
      <c r="G2697" s="549">
        <v>1087</v>
      </c>
      <c r="H2697" s="549" t="s">
        <v>770</v>
      </c>
      <c r="I2697" s="549" t="s">
        <v>976</v>
      </c>
      <c r="J2697" s="549" t="s">
        <v>976</v>
      </c>
      <c r="K2697" s="549" t="s">
        <v>976</v>
      </c>
      <c r="L2697" s="549">
        <v>24045.200000000001</v>
      </c>
      <c r="M2697" s="549">
        <v>1815.41</v>
      </c>
      <c r="N2697" s="549">
        <v>531.4</v>
      </c>
      <c r="O2697" s="549">
        <v>992</v>
      </c>
      <c r="P2697" s="549">
        <v>96.44</v>
      </c>
      <c r="Q2697" s="549">
        <v>3219.95</v>
      </c>
    </row>
    <row r="2698" spans="1:17" x14ac:dyDescent="0.25">
      <c r="A2698" s="549" t="s">
        <v>1083</v>
      </c>
      <c r="B2698" s="549" t="s">
        <v>584</v>
      </c>
      <c r="C2698" s="549" t="s">
        <v>770</v>
      </c>
      <c r="D2698" s="549" t="s">
        <v>771</v>
      </c>
      <c r="E2698" s="549" t="s">
        <v>977</v>
      </c>
      <c r="F2698" s="549" t="s">
        <v>1212</v>
      </c>
      <c r="G2698" s="549">
        <v>1092</v>
      </c>
      <c r="H2698" s="549" t="s">
        <v>770</v>
      </c>
      <c r="I2698" s="549" t="s">
        <v>976</v>
      </c>
      <c r="J2698" s="549" t="s">
        <v>976</v>
      </c>
      <c r="K2698" s="549" t="s">
        <v>976</v>
      </c>
      <c r="L2698" s="549">
        <v>84021.97</v>
      </c>
      <c r="M2698" s="549">
        <v>6343.66</v>
      </c>
      <c r="N2698" s="549">
        <v>1856.89</v>
      </c>
      <c r="O2698" s="549">
        <v>992</v>
      </c>
      <c r="P2698" s="549">
        <v>96.44</v>
      </c>
      <c r="Q2698" s="549">
        <v>8865.2999999999993</v>
      </c>
    </row>
    <row r="2699" spans="1:17" x14ac:dyDescent="0.25">
      <c r="A2699" s="549" t="s">
        <v>1083</v>
      </c>
      <c r="B2699" s="549" t="s">
        <v>584</v>
      </c>
      <c r="C2699" s="549" t="s">
        <v>770</v>
      </c>
      <c r="D2699" s="549" t="s">
        <v>771</v>
      </c>
      <c r="E2699" s="549" t="s">
        <v>977</v>
      </c>
      <c r="F2699" s="549" t="s">
        <v>1212</v>
      </c>
      <c r="G2699" s="549">
        <v>1102</v>
      </c>
      <c r="H2699" s="549" t="s">
        <v>770</v>
      </c>
      <c r="I2699" s="549" t="s">
        <v>976</v>
      </c>
      <c r="J2699" s="549" t="s">
        <v>976</v>
      </c>
      <c r="K2699" s="549" t="s">
        <v>976</v>
      </c>
      <c r="L2699" s="549">
        <v>239044.95</v>
      </c>
      <c r="M2699" s="549">
        <v>18047.89</v>
      </c>
      <c r="N2699" s="549">
        <v>5282.89</v>
      </c>
      <c r="O2699" s="549">
        <v>1984</v>
      </c>
      <c r="P2699" s="549">
        <v>96.44</v>
      </c>
      <c r="Q2699" s="549">
        <v>24413.57</v>
      </c>
    </row>
    <row r="2700" spans="1:17" x14ac:dyDescent="0.25">
      <c r="A2700" s="549" t="s">
        <v>1083</v>
      </c>
      <c r="B2700" s="549" t="s">
        <v>584</v>
      </c>
      <c r="C2700" s="549" t="s">
        <v>770</v>
      </c>
      <c r="D2700" s="549" t="s">
        <v>771</v>
      </c>
      <c r="E2700" s="549" t="s">
        <v>977</v>
      </c>
      <c r="F2700" s="549" t="s">
        <v>1212</v>
      </c>
      <c r="G2700" s="549">
        <v>1107</v>
      </c>
      <c r="H2700" s="549" t="s">
        <v>770</v>
      </c>
      <c r="I2700" s="549" t="s">
        <v>976</v>
      </c>
      <c r="J2700" s="549" t="s">
        <v>976</v>
      </c>
      <c r="K2700" s="549" t="s">
        <v>976</v>
      </c>
      <c r="L2700" s="549">
        <v>24045.200000000001</v>
      </c>
      <c r="M2700" s="549">
        <v>1815.41</v>
      </c>
      <c r="N2700" s="549">
        <v>531.4</v>
      </c>
      <c r="O2700" s="549">
        <v>992</v>
      </c>
      <c r="P2700" s="549">
        <v>96.44</v>
      </c>
      <c r="Q2700" s="549">
        <v>3219.95</v>
      </c>
    </row>
    <row r="2701" spans="1:17" x14ac:dyDescent="0.25">
      <c r="A2701" s="549" t="s">
        <v>1083</v>
      </c>
      <c r="B2701" s="549" t="s">
        <v>584</v>
      </c>
      <c r="C2701" s="549" t="s">
        <v>770</v>
      </c>
      <c r="D2701" s="549" t="s">
        <v>771</v>
      </c>
      <c r="E2701" s="549" t="s">
        <v>977</v>
      </c>
      <c r="F2701" s="549" t="s">
        <v>1212</v>
      </c>
      <c r="G2701" s="549">
        <v>1122</v>
      </c>
      <c r="H2701" s="549" t="s">
        <v>770</v>
      </c>
      <c r="I2701" s="549" t="s">
        <v>976</v>
      </c>
      <c r="J2701" s="549" t="s">
        <v>976</v>
      </c>
      <c r="K2701" s="549" t="s">
        <v>976</v>
      </c>
      <c r="L2701" s="549">
        <v>84021.97</v>
      </c>
      <c r="M2701" s="549">
        <v>6343.66</v>
      </c>
      <c r="N2701" s="549">
        <v>1856.89</v>
      </c>
      <c r="O2701" s="549">
        <v>992</v>
      </c>
      <c r="P2701" s="549">
        <v>96.44</v>
      </c>
      <c r="Q2701" s="549">
        <v>8865.2999999999993</v>
      </c>
    </row>
    <row r="2702" spans="1:17" x14ac:dyDescent="0.25">
      <c r="A2702" s="549" t="s">
        <v>1083</v>
      </c>
      <c r="B2702" s="549" t="s">
        <v>584</v>
      </c>
      <c r="C2702" s="549" t="s">
        <v>770</v>
      </c>
      <c r="D2702" s="549" t="s">
        <v>771</v>
      </c>
      <c r="E2702" s="549" t="s">
        <v>977</v>
      </c>
      <c r="F2702" s="549" t="s">
        <v>1212</v>
      </c>
      <c r="G2702" s="549">
        <v>1132</v>
      </c>
      <c r="H2702" s="549" t="s">
        <v>770</v>
      </c>
      <c r="I2702" s="549" t="s">
        <v>976</v>
      </c>
      <c r="J2702" s="549" t="s">
        <v>976</v>
      </c>
      <c r="K2702" s="549" t="s">
        <v>976</v>
      </c>
      <c r="L2702" s="549">
        <v>84021.97</v>
      </c>
      <c r="M2702" s="549">
        <v>6343.66</v>
      </c>
      <c r="N2702" s="549">
        <v>1856.89</v>
      </c>
      <c r="O2702" s="549">
        <v>992</v>
      </c>
      <c r="P2702" s="549">
        <v>96.44</v>
      </c>
      <c r="Q2702" s="549">
        <v>8865.2999999999993</v>
      </c>
    </row>
    <row r="2703" spans="1:17" x14ac:dyDescent="0.25">
      <c r="A2703" s="549" t="s">
        <v>1083</v>
      </c>
      <c r="B2703" s="549" t="s">
        <v>584</v>
      </c>
      <c r="C2703" s="549" t="s">
        <v>770</v>
      </c>
      <c r="D2703" s="549" t="s">
        <v>771</v>
      </c>
      <c r="E2703" s="549" t="s">
        <v>977</v>
      </c>
      <c r="F2703" s="549" t="s">
        <v>1212</v>
      </c>
      <c r="G2703" s="549" t="s">
        <v>1220</v>
      </c>
      <c r="H2703" s="549" t="s">
        <v>770</v>
      </c>
      <c r="I2703" s="549" t="s">
        <v>976</v>
      </c>
      <c r="J2703" s="549" t="s">
        <v>976</v>
      </c>
      <c r="K2703" s="549" t="s">
        <v>976</v>
      </c>
      <c r="L2703" s="549">
        <v>32316.799999999999</v>
      </c>
      <c r="M2703" s="549">
        <v>2439.92</v>
      </c>
      <c r="N2703" s="549">
        <v>714.2</v>
      </c>
      <c r="O2703" s="549">
        <v>0</v>
      </c>
      <c r="P2703" s="549">
        <v>96.44</v>
      </c>
      <c r="Q2703" s="549">
        <v>3041.83</v>
      </c>
    </row>
    <row r="2704" spans="1:17" x14ac:dyDescent="0.25">
      <c r="A2704" s="549" t="s">
        <v>1083</v>
      </c>
      <c r="B2704" s="549" t="s">
        <v>584</v>
      </c>
      <c r="C2704" s="549" t="s">
        <v>770</v>
      </c>
      <c r="D2704" s="549" t="s">
        <v>771</v>
      </c>
      <c r="E2704" s="549" t="s">
        <v>977</v>
      </c>
      <c r="F2704" s="549" t="s">
        <v>1212</v>
      </c>
      <c r="G2704" s="549" t="s">
        <v>1226</v>
      </c>
      <c r="H2704" s="549" t="s">
        <v>770</v>
      </c>
      <c r="I2704" s="549" t="s">
        <v>976</v>
      </c>
      <c r="J2704" s="549" t="s">
        <v>976</v>
      </c>
      <c r="K2704" s="549" t="s">
        <v>976</v>
      </c>
      <c r="L2704" s="549">
        <v>32316.799999999999</v>
      </c>
      <c r="M2704" s="549">
        <v>2439.92</v>
      </c>
      <c r="N2704" s="549">
        <v>714.2</v>
      </c>
      <c r="O2704" s="549">
        <v>0</v>
      </c>
      <c r="P2704" s="549">
        <v>96.44</v>
      </c>
      <c r="Q2704" s="549">
        <v>3041.83</v>
      </c>
    </row>
    <row r="2705" spans="1:17" x14ac:dyDescent="0.25">
      <c r="A2705" s="549" t="s">
        <v>1083</v>
      </c>
      <c r="B2705" s="549" t="s">
        <v>584</v>
      </c>
      <c r="C2705" s="549" t="s">
        <v>782</v>
      </c>
      <c r="D2705" s="549" t="s">
        <v>1201</v>
      </c>
      <c r="E2705" s="549" t="s">
        <v>977</v>
      </c>
      <c r="F2705" s="549" t="s">
        <v>1212</v>
      </c>
      <c r="G2705" s="549">
        <v>92</v>
      </c>
      <c r="H2705" s="549" t="s">
        <v>782</v>
      </c>
      <c r="I2705" s="549" t="s">
        <v>976</v>
      </c>
      <c r="J2705" s="549" t="s">
        <v>976</v>
      </c>
      <c r="K2705" s="549" t="s">
        <v>976</v>
      </c>
      <c r="L2705" s="549">
        <v>344086.71</v>
      </c>
      <c r="M2705" s="549">
        <v>25978.55</v>
      </c>
      <c r="N2705" s="549">
        <v>7604.32</v>
      </c>
      <c r="O2705" s="549">
        <v>1984</v>
      </c>
      <c r="P2705" s="549">
        <v>100</v>
      </c>
      <c r="Q2705" s="549">
        <v>35566.870000000003</v>
      </c>
    </row>
    <row r="2706" spans="1:17" x14ac:dyDescent="0.25">
      <c r="A2706" s="549" t="s">
        <v>1083</v>
      </c>
      <c r="B2706" s="549" t="s">
        <v>584</v>
      </c>
      <c r="C2706" s="549" t="s">
        <v>782</v>
      </c>
      <c r="D2706" s="549" t="s">
        <v>1201</v>
      </c>
      <c r="E2706" s="549" t="s">
        <v>977</v>
      </c>
      <c r="F2706" s="549" t="s">
        <v>1212</v>
      </c>
      <c r="G2706" s="549">
        <v>152</v>
      </c>
      <c r="H2706" s="549" t="s">
        <v>782</v>
      </c>
      <c r="I2706" s="549" t="s">
        <v>976</v>
      </c>
      <c r="J2706" s="549" t="s">
        <v>976</v>
      </c>
      <c r="K2706" s="549" t="s">
        <v>976</v>
      </c>
      <c r="L2706" s="549">
        <v>344086.71</v>
      </c>
      <c r="M2706" s="549">
        <v>25978.55</v>
      </c>
      <c r="N2706" s="549">
        <v>7604.32</v>
      </c>
      <c r="O2706" s="549">
        <v>1984</v>
      </c>
      <c r="P2706" s="549">
        <v>100</v>
      </c>
      <c r="Q2706" s="549">
        <v>35566.870000000003</v>
      </c>
    </row>
    <row r="2707" spans="1:17" x14ac:dyDescent="0.25">
      <c r="A2707" s="549" t="s">
        <v>1083</v>
      </c>
      <c r="B2707" s="549" t="s">
        <v>584</v>
      </c>
      <c r="C2707" s="549" t="s">
        <v>782</v>
      </c>
      <c r="D2707" s="549" t="s">
        <v>1201</v>
      </c>
      <c r="E2707" s="549" t="s">
        <v>977</v>
      </c>
      <c r="F2707" s="549" t="s">
        <v>1212</v>
      </c>
      <c r="G2707" s="549">
        <v>998</v>
      </c>
      <c r="H2707" s="549" t="s">
        <v>782</v>
      </c>
      <c r="I2707" s="549" t="s">
        <v>976</v>
      </c>
      <c r="J2707" s="549" t="s">
        <v>976</v>
      </c>
      <c r="K2707" s="549" t="s">
        <v>976</v>
      </c>
      <c r="L2707" s="549">
        <v>206363.64</v>
      </c>
      <c r="M2707" s="549">
        <v>15580.45</v>
      </c>
      <c r="N2707" s="549">
        <v>4560.6400000000003</v>
      </c>
      <c r="O2707" s="549">
        <v>2976</v>
      </c>
      <c r="P2707" s="549">
        <v>100</v>
      </c>
      <c r="Q2707" s="549">
        <v>23117.09</v>
      </c>
    </row>
    <row r="2708" spans="1:17" x14ac:dyDescent="0.25">
      <c r="A2708" s="549" t="s">
        <v>1083</v>
      </c>
      <c r="B2708" s="549" t="s">
        <v>584</v>
      </c>
      <c r="C2708" s="549" t="s">
        <v>782</v>
      </c>
      <c r="D2708" s="549" t="s">
        <v>1201</v>
      </c>
      <c r="E2708" s="549" t="s">
        <v>977</v>
      </c>
      <c r="F2708" s="549" t="s">
        <v>1212</v>
      </c>
      <c r="G2708" s="549">
        <v>1002</v>
      </c>
      <c r="H2708" s="549" t="s">
        <v>782</v>
      </c>
      <c r="I2708" s="549" t="s">
        <v>976</v>
      </c>
      <c r="J2708" s="549" t="s">
        <v>976</v>
      </c>
      <c r="K2708" s="549" t="s">
        <v>976</v>
      </c>
      <c r="L2708" s="549">
        <v>162740.35</v>
      </c>
      <c r="M2708" s="549">
        <v>12286.9</v>
      </c>
      <c r="N2708" s="549">
        <v>3596.56</v>
      </c>
      <c r="O2708" s="549">
        <v>1984</v>
      </c>
      <c r="P2708" s="549">
        <v>100</v>
      </c>
      <c r="Q2708" s="549">
        <v>17867.46</v>
      </c>
    </row>
    <row r="2709" spans="1:17" x14ac:dyDescent="0.25">
      <c r="A2709" s="549" t="s">
        <v>1083</v>
      </c>
      <c r="B2709" s="549" t="s">
        <v>584</v>
      </c>
      <c r="C2709" s="549" t="s">
        <v>782</v>
      </c>
      <c r="D2709" s="549" t="s">
        <v>1201</v>
      </c>
      <c r="E2709" s="549" t="s">
        <v>977</v>
      </c>
      <c r="F2709" s="549" t="s">
        <v>1212</v>
      </c>
      <c r="G2709" s="549">
        <v>1012</v>
      </c>
      <c r="H2709" s="549" t="s">
        <v>782</v>
      </c>
      <c r="I2709" s="549" t="s">
        <v>976</v>
      </c>
      <c r="J2709" s="549" t="s">
        <v>976</v>
      </c>
      <c r="K2709" s="549" t="s">
        <v>976</v>
      </c>
      <c r="L2709" s="549">
        <v>259755.06</v>
      </c>
      <c r="M2709" s="549">
        <v>19611.509999999998</v>
      </c>
      <c r="N2709" s="549">
        <v>5740.59</v>
      </c>
      <c r="O2709" s="549">
        <v>3968</v>
      </c>
      <c r="P2709" s="549">
        <v>100</v>
      </c>
      <c r="Q2709" s="549">
        <v>29320.1</v>
      </c>
    </row>
    <row r="2710" spans="1:17" x14ac:dyDescent="0.25">
      <c r="A2710" s="549" t="s">
        <v>1083</v>
      </c>
      <c r="B2710" s="549" t="s">
        <v>584</v>
      </c>
      <c r="C2710" s="549" t="s">
        <v>782</v>
      </c>
      <c r="D2710" s="549" t="s">
        <v>1201</v>
      </c>
      <c r="E2710" s="549" t="s">
        <v>977</v>
      </c>
      <c r="F2710" s="549" t="s">
        <v>1212</v>
      </c>
      <c r="G2710" s="549">
        <v>1022</v>
      </c>
      <c r="H2710" s="549" t="s">
        <v>782</v>
      </c>
      <c r="I2710" s="549" t="s">
        <v>976</v>
      </c>
      <c r="J2710" s="549" t="s">
        <v>976</v>
      </c>
      <c r="K2710" s="549" t="s">
        <v>976</v>
      </c>
      <c r="L2710" s="549">
        <v>179417.25</v>
      </c>
      <c r="M2710" s="549">
        <v>13546</v>
      </c>
      <c r="N2710" s="549">
        <v>3965.12</v>
      </c>
      <c r="O2710" s="549">
        <v>3968</v>
      </c>
      <c r="P2710" s="549">
        <v>100</v>
      </c>
      <c r="Q2710" s="549">
        <v>21479.119999999999</v>
      </c>
    </row>
    <row r="2711" spans="1:17" x14ac:dyDescent="0.25">
      <c r="A2711" s="549" t="s">
        <v>1083</v>
      </c>
      <c r="B2711" s="549" t="s">
        <v>584</v>
      </c>
      <c r="C2711" s="549" t="s">
        <v>782</v>
      </c>
      <c r="D2711" s="549" t="s">
        <v>1201</v>
      </c>
      <c r="E2711" s="549" t="s">
        <v>977</v>
      </c>
      <c r="F2711" s="549" t="s">
        <v>1212</v>
      </c>
      <c r="G2711" s="549">
        <v>1032</v>
      </c>
      <c r="H2711" s="549" t="s">
        <v>782</v>
      </c>
      <c r="I2711" s="549" t="s">
        <v>976</v>
      </c>
      <c r="J2711" s="549" t="s">
        <v>976</v>
      </c>
      <c r="K2711" s="549" t="s">
        <v>976</v>
      </c>
      <c r="L2711" s="549">
        <v>179417.25</v>
      </c>
      <c r="M2711" s="549">
        <v>13546</v>
      </c>
      <c r="N2711" s="549">
        <v>3965.12</v>
      </c>
      <c r="O2711" s="549">
        <v>3968</v>
      </c>
      <c r="P2711" s="549">
        <v>100</v>
      </c>
      <c r="Q2711" s="549">
        <v>21479.119999999999</v>
      </c>
    </row>
    <row r="2712" spans="1:17" x14ac:dyDescent="0.25">
      <c r="A2712" s="549" t="s">
        <v>1083</v>
      </c>
      <c r="B2712" s="549" t="s">
        <v>584</v>
      </c>
      <c r="C2712" s="549" t="s">
        <v>782</v>
      </c>
      <c r="D2712" s="549" t="s">
        <v>1201</v>
      </c>
      <c r="E2712" s="549" t="s">
        <v>977</v>
      </c>
      <c r="F2712" s="549" t="s">
        <v>1212</v>
      </c>
      <c r="G2712" s="549">
        <v>1042</v>
      </c>
      <c r="H2712" s="549" t="s">
        <v>782</v>
      </c>
      <c r="I2712" s="549" t="s">
        <v>976</v>
      </c>
      <c r="J2712" s="549" t="s">
        <v>976</v>
      </c>
      <c r="K2712" s="549" t="s">
        <v>976</v>
      </c>
      <c r="L2712" s="549">
        <v>179417.25</v>
      </c>
      <c r="M2712" s="549">
        <v>13546</v>
      </c>
      <c r="N2712" s="549">
        <v>3965.12</v>
      </c>
      <c r="O2712" s="549">
        <v>3968</v>
      </c>
      <c r="P2712" s="549">
        <v>100</v>
      </c>
      <c r="Q2712" s="549">
        <v>21479.119999999999</v>
      </c>
    </row>
    <row r="2713" spans="1:17" x14ac:dyDescent="0.25">
      <c r="A2713" s="549" t="s">
        <v>1083</v>
      </c>
      <c r="B2713" s="549" t="s">
        <v>584</v>
      </c>
      <c r="C2713" s="549" t="s">
        <v>782</v>
      </c>
      <c r="D2713" s="549" t="s">
        <v>1201</v>
      </c>
      <c r="E2713" s="549" t="s">
        <v>977</v>
      </c>
      <c r="F2713" s="549" t="s">
        <v>1212</v>
      </c>
      <c r="G2713" s="549">
        <v>1052</v>
      </c>
      <c r="H2713" s="549" t="s">
        <v>782</v>
      </c>
      <c r="I2713" s="549" t="s">
        <v>976</v>
      </c>
      <c r="J2713" s="549" t="s">
        <v>976</v>
      </c>
      <c r="K2713" s="549" t="s">
        <v>976</v>
      </c>
      <c r="L2713" s="549">
        <v>179417.25</v>
      </c>
      <c r="M2713" s="549">
        <v>13546</v>
      </c>
      <c r="N2713" s="549">
        <v>3965.12</v>
      </c>
      <c r="O2713" s="549">
        <v>3968</v>
      </c>
      <c r="P2713" s="549">
        <v>100</v>
      </c>
      <c r="Q2713" s="549">
        <v>21479.119999999999</v>
      </c>
    </row>
    <row r="2714" spans="1:17" x14ac:dyDescent="0.25">
      <c r="A2714" s="549" t="s">
        <v>1083</v>
      </c>
      <c r="B2714" s="549" t="s">
        <v>584</v>
      </c>
      <c r="C2714" s="549" t="s">
        <v>782</v>
      </c>
      <c r="D2714" s="549" t="s">
        <v>1201</v>
      </c>
      <c r="E2714" s="549" t="s">
        <v>977</v>
      </c>
      <c r="F2714" s="549" t="s">
        <v>1212</v>
      </c>
      <c r="G2714" s="549">
        <v>1062</v>
      </c>
      <c r="H2714" s="549" t="s">
        <v>782</v>
      </c>
      <c r="I2714" s="549" t="s">
        <v>976</v>
      </c>
      <c r="J2714" s="549" t="s">
        <v>976</v>
      </c>
      <c r="K2714" s="549" t="s">
        <v>976</v>
      </c>
      <c r="L2714" s="549">
        <v>162740.35</v>
      </c>
      <c r="M2714" s="549">
        <v>12286.9</v>
      </c>
      <c r="N2714" s="549">
        <v>3596.56</v>
      </c>
      <c r="O2714" s="549">
        <v>1984</v>
      </c>
      <c r="P2714" s="549">
        <v>100</v>
      </c>
      <c r="Q2714" s="549">
        <v>17867.46</v>
      </c>
    </row>
    <row r="2715" spans="1:17" x14ac:dyDescent="0.25">
      <c r="A2715" s="549" t="s">
        <v>1083</v>
      </c>
      <c r="B2715" s="549" t="s">
        <v>584</v>
      </c>
      <c r="C2715" s="549" t="s">
        <v>782</v>
      </c>
      <c r="D2715" s="549" t="s">
        <v>1201</v>
      </c>
      <c r="E2715" s="549" t="s">
        <v>977</v>
      </c>
      <c r="F2715" s="549" t="s">
        <v>1212</v>
      </c>
      <c r="G2715" s="549">
        <v>1072</v>
      </c>
      <c r="H2715" s="549" t="s">
        <v>782</v>
      </c>
      <c r="I2715" s="549" t="s">
        <v>976</v>
      </c>
      <c r="J2715" s="549" t="s">
        <v>976</v>
      </c>
      <c r="K2715" s="549" t="s">
        <v>976</v>
      </c>
      <c r="L2715" s="549">
        <v>259755.06</v>
      </c>
      <c r="M2715" s="549">
        <v>19611.509999999998</v>
      </c>
      <c r="N2715" s="549">
        <v>5740.59</v>
      </c>
      <c r="O2715" s="549">
        <v>3968</v>
      </c>
      <c r="P2715" s="549">
        <v>100</v>
      </c>
      <c r="Q2715" s="549">
        <v>29320.1</v>
      </c>
    </row>
    <row r="2716" spans="1:17" x14ac:dyDescent="0.25">
      <c r="A2716" s="549" t="s">
        <v>1083</v>
      </c>
      <c r="B2716" s="549" t="s">
        <v>584</v>
      </c>
      <c r="C2716" s="549" t="s">
        <v>782</v>
      </c>
      <c r="D2716" s="549" t="s">
        <v>1201</v>
      </c>
      <c r="E2716" s="549" t="s">
        <v>977</v>
      </c>
      <c r="F2716" s="549" t="s">
        <v>1212</v>
      </c>
      <c r="G2716" s="549" t="s">
        <v>1424</v>
      </c>
      <c r="H2716" s="549" t="s">
        <v>782</v>
      </c>
      <c r="I2716" s="549" t="s">
        <v>976</v>
      </c>
      <c r="J2716" s="549" t="s">
        <v>976</v>
      </c>
      <c r="K2716" s="549" t="s">
        <v>976</v>
      </c>
      <c r="L2716" s="549">
        <v>22102.92</v>
      </c>
      <c r="M2716" s="549">
        <v>1668.77</v>
      </c>
      <c r="N2716" s="549">
        <v>488.47</v>
      </c>
      <c r="O2716" s="549">
        <v>0</v>
      </c>
      <c r="P2716" s="549">
        <v>100</v>
      </c>
      <c r="Q2716" s="549">
        <v>2157.2399999999998</v>
      </c>
    </row>
    <row r="2717" spans="1:17" x14ac:dyDescent="0.25">
      <c r="A2717" s="549" t="s">
        <v>1083</v>
      </c>
      <c r="B2717" s="549" t="s">
        <v>584</v>
      </c>
      <c r="C2717" s="549" t="s">
        <v>782</v>
      </c>
      <c r="D2717" s="549" t="s">
        <v>1201</v>
      </c>
      <c r="E2717" s="549" t="s">
        <v>977</v>
      </c>
      <c r="F2717" s="549" t="s">
        <v>1212</v>
      </c>
      <c r="G2717" s="549" t="s">
        <v>1227</v>
      </c>
      <c r="H2717" s="549" t="s">
        <v>782</v>
      </c>
      <c r="I2717" s="549" t="s">
        <v>976</v>
      </c>
      <c r="J2717" s="549" t="s">
        <v>976</v>
      </c>
      <c r="K2717" s="549" t="s">
        <v>976</v>
      </c>
      <c r="L2717" s="549">
        <v>22102.92</v>
      </c>
      <c r="M2717" s="549">
        <v>1668.77</v>
      </c>
      <c r="N2717" s="549">
        <v>488.47</v>
      </c>
      <c r="O2717" s="549">
        <v>0</v>
      </c>
      <c r="P2717" s="549">
        <v>100</v>
      </c>
      <c r="Q2717" s="549">
        <v>2157.2399999999998</v>
      </c>
    </row>
    <row r="2718" spans="1:17" x14ac:dyDescent="0.25">
      <c r="A2718" s="549" t="s">
        <v>1083</v>
      </c>
      <c r="B2718" s="549" t="s">
        <v>584</v>
      </c>
      <c r="C2718" s="549" t="s">
        <v>745</v>
      </c>
      <c r="D2718" s="549" t="s">
        <v>746</v>
      </c>
      <c r="E2718" s="549" t="s">
        <v>973</v>
      </c>
      <c r="F2718" s="549" t="s">
        <v>1212</v>
      </c>
      <c r="G2718" s="549">
        <v>62</v>
      </c>
      <c r="H2718" s="549" t="s">
        <v>745</v>
      </c>
      <c r="I2718" s="549" t="s">
        <v>976</v>
      </c>
      <c r="J2718" s="549" t="s">
        <v>976</v>
      </c>
      <c r="K2718" s="549" t="s">
        <v>976</v>
      </c>
      <c r="L2718" s="549">
        <v>347493.52</v>
      </c>
      <c r="M2718" s="549">
        <v>26235.759999999998</v>
      </c>
      <c r="N2718" s="549">
        <v>19946.13</v>
      </c>
      <c r="O2718" s="549">
        <v>1984</v>
      </c>
      <c r="P2718" s="549">
        <v>21.66</v>
      </c>
      <c r="Q2718" s="549">
        <v>10432.73</v>
      </c>
    </row>
    <row r="2719" spans="1:17" x14ac:dyDescent="0.25">
      <c r="A2719" s="549" t="s">
        <v>1083</v>
      </c>
      <c r="B2719" s="549" t="s">
        <v>584</v>
      </c>
      <c r="C2719" s="549" t="s">
        <v>745</v>
      </c>
      <c r="D2719" s="549" t="s">
        <v>746</v>
      </c>
      <c r="E2719" s="549" t="s">
        <v>973</v>
      </c>
      <c r="F2719" s="549" t="s">
        <v>1212</v>
      </c>
      <c r="G2719" s="549">
        <v>82</v>
      </c>
      <c r="H2719" s="549" t="s">
        <v>745</v>
      </c>
      <c r="I2719" s="549" t="s">
        <v>976</v>
      </c>
      <c r="J2719" s="549" t="s">
        <v>976</v>
      </c>
      <c r="K2719" s="549" t="s">
        <v>976</v>
      </c>
      <c r="L2719" s="549">
        <v>347493.52</v>
      </c>
      <c r="M2719" s="549">
        <v>26235.759999999998</v>
      </c>
      <c r="N2719" s="549">
        <v>19946.13</v>
      </c>
      <c r="O2719" s="549">
        <v>1984</v>
      </c>
      <c r="P2719" s="549">
        <v>21.66</v>
      </c>
      <c r="Q2719" s="549">
        <v>10432.73</v>
      </c>
    </row>
    <row r="2720" spans="1:17" x14ac:dyDescent="0.25">
      <c r="A2720" s="549" t="s">
        <v>1083</v>
      </c>
      <c r="B2720" s="549" t="s">
        <v>584</v>
      </c>
      <c r="C2720" s="549" t="s">
        <v>745</v>
      </c>
      <c r="D2720" s="549" t="s">
        <v>746</v>
      </c>
      <c r="E2720" s="549" t="s">
        <v>973</v>
      </c>
      <c r="F2720" s="549" t="s">
        <v>1212</v>
      </c>
      <c r="G2720" s="549">
        <v>1312</v>
      </c>
      <c r="H2720" s="549" t="s">
        <v>745</v>
      </c>
      <c r="I2720" s="549" t="s">
        <v>976</v>
      </c>
      <c r="J2720" s="549" t="s">
        <v>976</v>
      </c>
      <c r="K2720" s="549" t="s">
        <v>976</v>
      </c>
      <c r="L2720" s="549">
        <v>160660.25</v>
      </c>
      <c r="M2720" s="549">
        <v>12129.85</v>
      </c>
      <c r="N2720" s="549">
        <v>9221.9</v>
      </c>
      <c r="O2720" s="549">
        <v>3968</v>
      </c>
      <c r="P2720" s="549">
        <v>21.66</v>
      </c>
      <c r="Q2720" s="549">
        <v>5484.26</v>
      </c>
    </row>
    <row r="2721" spans="1:17" x14ac:dyDescent="0.25">
      <c r="A2721" s="549" t="s">
        <v>1083</v>
      </c>
      <c r="B2721" s="549" t="s">
        <v>584</v>
      </c>
      <c r="C2721" s="549" t="s">
        <v>745</v>
      </c>
      <c r="D2721" s="549" t="s">
        <v>746</v>
      </c>
      <c r="E2721" s="549" t="s">
        <v>973</v>
      </c>
      <c r="F2721" s="549" t="s">
        <v>1212</v>
      </c>
      <c r="G2721" s="549">
        <v>1322</v>
      </c>
      <c r="H2721" s="549" t="s">
        <v>745</v>
      </c>
      <c r="I2721" s="549" t="s">
        <v>976</v>
      </c>
      <c r="J2721" s="549" t="s">
        <v>976</v>
      </c>
      <c r="K2721" s="549" t="s">
        <v>976</v>
      </c>
      <c r="L2721" s="549">
        <v>146401.39000000001</v>
      </c>
      <c r="M2721" s="549">
        <v>11053.3</v>
      </c>
      <c r="N2721" s="549">
        <v>8403.44</v>
      </c>
      <c r="O2721" s="549">
        <v>1984</v>
      </c>
      <c r="P2721" s="549">
        <v>21.66</v>
      </c>
      <c r="Q2721" s="549">
        <v>4644.0600000000004</v>
      </c>
    </row>
    <row r="2722" spans="1:17" x14ac:dyDescent="0.25">
      <c r="A2722" s="549" t="s">
        <v>1083</v>
      </c>
      <c r="B2722" s="549" t="s">
        <v>584</v>
      </c>
      <c r="C2722" s="549" t="s">
        <v>745</v>
      </c>
      <c r="D2722" s="549" t="s">
        <v>746</v>
      </c>
      <c r="E2722" s="549" t="s">
        <v>973</v>
      </c>
      <c r="F2722" s="549" t="s">
        <v>1212</v>
      </c>
      <c r="G2722" s="549">
        <v>1327</v>
      </c>
      <c r="H2722" s="549" t="s">
        <v>745</v>
      </c>
      <c r="I2722" s="549" t="s">
        <v>976</v>
      </c>
      <c r="J2722" s="549" t="s">
        <v>976</v>
      </c>
      <c r="K2722" s="549" t="s">
        <v>976</v>
      </c>
      <c r="L2722" s="549">
        <v>22089.46</v>
      </c>
      <c r="M2722" s="549">
        <v>1667.75</v>
      </c>
      <c r="N2722" s="549">
        <v>1267.94</v>
      </c>
      <c r="O2722" s="549">
        <v>992</v>
      </c>
      <c r="P2722" s="549">
        <v>21.66</v>
      </c>
      <c r="Q2722" s="549">
        <v>850.74</v>
      </c>
    </row>
    <row r="2723" spans="1:17" x14ac:dyDescent="0.25">
      <c r="A2723" s="549" t="s">
        <v>1083</v>
      </c>
      <c r="B2723" s="549" t="s">
        <v>584</v>
      </c>
      <c r="C2723" s="549" t="s">
        <v>745</v>
      </c>
      <c r="D2723" s="549" t="s">
        <v>746</v>
      </c>
      <c r="E2723" s="549" t="s">
        <v>973</v>
      </c>
      <c r="F2723" s="549" t="s">
        <v>1212</v>
      </c>
      <c r="G2723" s="549">
        <v>1332</v>
      </c>
      <c r="H2723" s="549" t="s">
        <v>745</v>
      </c>
      <c r="I2723" s="549" t="s">
        <v>976</v>
      </c>
      <c r="J2723" s="549" t="s">
        <v>976</v>
      </c>
      <c r="K2723" s="549" t="s">
        <v>976</v>
      </c>
      <c r="L2723" s="549">
        <v>160660.25</v>
      </c>
      <c r="M2723" s="549">
        <v>12129.85</v>
      </c>
      <c r="N2723" s="549">
        <v>9221.9</v>
      </c>
      <c r="O2723" s="549">
        <v>3968</v>
      </c>
      <c r="P2723" s="549">
        <v>21.66</v>
      </c>
      <c r="Q2723" s="549">
        <v>5484.26</v>
      </c>
    </row>
    <row r="2724" spans="1:17" x14ac:dyDescent="0.25">
      <c r="A2724" s="549" t="s">
        <v>1083</v>
      </c>
      <c r="B2724" s="549" t="s">
        <v>584</v>
      </c>
      <c r="C2724" s="549" t="s">
        <v>745</v>
      </c>
      <c r="D2724" s="549" t="s">
        <v>746</v>
      </c>
      <c r="E2724" s="549" t="s">
        <v>973</v>
      </c>
      <c r="F2724" s="549" t="s">
        <v>1212</v>
      </c>
      <c r="G2724" s="549">
        <v>1352</v>
      </c>
      <c r="H2724" s="549" t="s">
        <v>745</v>
      </c>
      <c r="I2724" s="549" t="s">
        <v>976</v>
      </c>
      <c r="J2724" s="549" t="s">
        <v>976</v>
      </c>
      <c r="K2724" s="549" t="s">
        <v>976</v>
      </c>
      <c r="L2724" s="549">
        <v>160660.25</v>
      </c>
      <c r="M2724" s="549">
        <v>12129.85</v>
      </c>
      <c r="N2724" s="549">
        <v>9221.9</v>
      </c>
      <c r="O2724" s="549">
        <v>3968</v>
      </c>
      <c r="P2724" s="549">
        <v>21.66</v>
      </c>
      <c r="Q2724" s="549">
        <v>5484.26</v>
      </c>
    </row>
    <row r="2725" spans="1:17" x14ac:dyDescent="0.25">
      <c r="A2725" s="549" t="s">
        <v>1083</v>
      </c>
      <c r="B2725" s="549" t="s">
        <v>584</v>
      </c>
      <c r="C2725" s="549" t="s">
        <v>745</v>
      </c>
      <c r="D2725" s="549" t="s">
        <v>746</v>
      </c>
      <c r="E2725" s="549" t="s">
        <v>973</v>
      </c>
      <c r="F2725" s="549" t="s">
        <v>1212</v>
      </c>
      <c r="G2725" s="549">
        <v>1362</v>
      </c>
      <c r="H2725" s="549" t="s">
        <v>745</v>
      </c>
      <c r="I2725" s="549" t="s">
        <v>976</v>
      </c>
      <c r="J2725" s="549" t="s">
        <v>976</v>
      </c>
      <c r="K2725" s="549" t="s">
        <v>976</v>
      </c>
      <c r="L2725" s="549">
        <v>146401.39000000001</v>
      </c>
      <c r="M2725" s="549">
        <v>11053.3</v>
      </c>
      <c r="N2725" s="549">
        <v>8403.44</v>
      </c>
      <c r="O2725" s="549">
        <v>1984</v>
      </c>
      <c r="P2725" s="549">
        <v>21.66</v>
      </c>
      <c r="Q2725" s="549">
        <v>4644.0600000000004</v>
      </c>
    </row>
    <row r="2726" spans="1:17" x14ac:dyDescent="0.25">
      <c r="A2726" s="549" t="s">
        <v>1083</v>
      </c>
      <c r="B2726" s="549" t="s">
        <v>584</v>
      </c>
      <c r="C2726" s="549" t="s">
        <v>745</v>
      </c>
      <c r="D2726" s="549" t="s">
        <v>746</v>
      </c>
      <c r="E2726" s="549" t="s">
        <v>973</v>
      </c>
      <c r="F2726" s="549" t="s">
        <v>1212</v>
      </c>
      <c r="G2726" s="549">
        <v>1367</v>
      </c>
      <c r="H2726" s="549" t="s">
        <v>745</v>
      </c>
      <c r="I2726" s="549" t="s">
        <v>976</v>
      </c>
      <c r="J2726" s="549" t="s">
        <v>976</v>
      </c>
      <c r="K2726" s="549" t="s">
        <v>976</v>
      </c>
      <c r="L2726" s="549">
        <v>22089.46</v>
      </c>
      <c r="M2726" s="549">
        <v>1667.75</v>
      </c>
      <c r="N2726" s="549">
        <v>1267.94</v>
      </c>
      <c r="O2726" s="549">
        <v>992</v>
      </c>
      <c r="P2726" s="549">
        <v>21.66</v>
      </c>
      <c r="Q2726" s="549">
        <v>850.74</v>
      </c>
    </row>
    <row r="2727" spans="1:17" x14ac:dyDescent="0.25">
      <c r="A2727" s="549" t="s">
        <v>1083</v>
      </c>
      <c r="B2727" s="549" t="s">
        <v>584</v>
      </c>
      <c r="C2727" s="549" t="s">
        <v>745</v>
      </c>
      <c r="D2727" s="549" t="s">
        <v>746</v>
      </c>
      <c r="E2727" s="549" t="s">
        <v>973</v>
      </c>
      <c r="F2727" s="549" t="s">
        <v>1212</v>
      </c>
      <c r="G2727" s="549" t="s">
        <v>1425</v>
      </c>
      <c r="H2727" s="549" t="s">
        <v>745</v>
      </c>
      <c r="I2727" s="549" t="s">
        <v>976</v>
      </c>
      <c r="J2727" s="549" t="s">
        <v>976</v>
      </c>
      <c r="K2727" s="549" t="s">
        <v>976</v>
      </c>
      <c r="L2727" s="549">
        <v>31081.41</v>
      </c>
      <c r="M2727" s="549">
        <v>2346.65</v>
      </c>
      <c r="N2727" s="549">
        <v>1784.07</v>
      </c>
      <c r="O2727" s="549">
        <v>0</v>
      </c>
      <c r="P2727" s="549">
        <v>21.66</v>
      </c>
      <c r="Q2727" s="549">
        <v>894.71</v>
      </c>
    </row>
    <row r="2728" spans="1:17" x14ac:dyDescent="0.25">
      <c r="A2728" s="549" t="s">
        <v>1083</v>
      </c>
      <c r="B2728" s="549" t="s">
        <v>584</v>
      </c>
      <c r="C2728" s="549" t="s">
        <v>745</v>
      </c>
      <c r="D2728" s="549" t="s">
        <v>746</v>
      </c>
      <c r="E2728" s="549" t="s">
        <v>973</v>
      </c>
      <c r="F2728" s="549" t="s">
        <v>1212</v>
      </c>
      <c r="G2728" s="549" t="s">
        <v>1426</v>
      </c>
      <c r="H2728" s="549" t="s">
        <v>745</v>
      </c>
      <c r="I2728" s="549" t="s">
        <v>976</v>
      </c>
      <c r="J2728" s="549" t="s">
        <v>976</v>
      </c>
      <c r="K2728" s="549" t="s">
        <v>976</v>
      </c>
      <c r="L2728" s="549">
        <v>31081.41</v>
      </c>
      <c r="M2728" s="549">
        <v>2346.65</v>
      </c>
      <c r="N2728" s="549">
        <v>1784.07</v>
      </c>
      <c r="O2728" s="549">
        <v>0</v>
      </c>
      <c r="P2728" s="549">
        <v>21.66</v>
      </c>
      <c r="Q2728" s="549">
        <v>894.71</v>
      </c>
    </row>
    <row r="2729" spans="1:17" x14ac:dyDescent="0.25">
      <c r="A2729" s="549" t="s">
        <v>1083</v>
      </c>
      <c r="B2729" s="549" t="s">
        <v>584</v>
      </c>
      <c r="C2729" s="549" t="s">
        <v>745</v>
      </c>
      <c r="D2729" s="549" t="s">
        <v>746</v>
      </c>
      <c r="E2729" s="549" t="s">
        <v>977</v>
      </c>
      <c r="F2729" s="549" t="s">
        <v>1212</v>
      </c>
      <c r="G2729" s="549">
        <v>62</v>
      </c>
      <c r="H2729" s="549" t="s">
        <v>745</v>
      </c>
      <c r="I2729" s="549" t="s">
        <v>976</v>
      </c>
      <c r="J2729" s="549" t="s">
        <v>976</v>
      </c>
      <c r="K2729" s="549" t="s">
        <v>976</v>
      </c>
      <c r="L2729" s="549">
        <v>347493.52</v>
      </c>
      <c r="M2729" s="549">
        <v>26235.759999999998</v>
      </c>
      <c r="N2729" s="549">
        <v>7679.61</v>
      </c>
      <c r="O2729" s="549">
        <v>1984</v>
      </c>
      <c r="P2729" s="549">
        <v>78.34</v>
      </c>
      <c r="Q2729" s="549">
        <v>28123.57</v>
      </c>
    </row>
    <row r="2730" spans="1:17" x14ac:dyDescent="0.25">
      <c r="A2730" s="549" t="s">
        <v>1083</v>
      </c>
      <c r="B2730" s="549" t="s">
        <v>584</v>
      </c>
      <c r="C2730" s="549" t="s">
        <v>745</v>
      </c>
      <c r="D2730" s="549" t="s">
        <v>746</v>
      </c>
      <c r="E2730" s="549" t="s">
        <v>977</v>
      </c>
      <c r="F2730" s="549" t="s">
        <v>1212</v>
      </c>
      <c r="G2730" s="549">
        <v>82</v>
      </c>
      <c r="H2730" s="549" t="s">
        <v>745</v>
      </c>
      <c r="I2730" s="549" t="s">
        <v>976</v>
      </c>
      <c r="J2730" s="549" t="s">
        <v>976</v>
      </c>
      <c r="K2730" s="549" t="s">
        <v>976</v>
      </c>
      <c r="L2730" s="549">
        <v>347493.52</v>
      </c>
      <c r="M2730" s="549">
        <v>26235.759999999998</v>
      </c>
      <c r="N2730" s="549">
        <v>7679.61</v>
      </c>
      <c r="O2730" s="549">
        <v>1984</v>
      </c>
      <c r="P2730" s="549">
        <v>78.34</v>
      </c>
      <c r="Q2730" s="549">
        <v>28123.57</v>
      </c>
    </row>
    <row r="2731" spans="1:17" x14ac:dyDescent="0.25">
      <c r="A2731" s="549" t="s">
        <v>1083</v>
      </c>
      <c r="B2731" s="549" t="s">
        <v>584</v>
      </c>
      <c r="C2731" s="549" t="s">
        <v>745</v>
      </c>
      <c r="D2731" s="549" t="s">
        <v>746</v>
      </c>
      <c r="E2731" s="549" t="s">
        <v>977</v>
      </c>
      <c r="F2731" s="549" t="s">
        <v>1212</v>
      </c>
      <c r="G2731" s="549">
        <v>1312</v>
      </c>
      <c r="H2731" s="549" t="s">
        <v>745</v>
      </c>
      <c r="I2731" s="549" t="s">
        <v>976</v>
      </c>
      <c r="J2731" s="549" t="s">
        <v>976</v>
      </c>
      <c r="K2731" s="549" t="s">
        <v>976</v>
      </c>
      <c r="L2731" s="549">
        <v>160660.25</v>
      </c>
      <c r="M2731" s="549">
        <v>12129.85</v>
      </c>
      <c r="N2731" s="549">
        <v>3550.59</v>
      </c>
      <c r="O2731" s="549">
        <v>3968</v>
      </c>
      <c r="P2731" s="549">
        <v>78.34</v>
      </c>
      <c r="Q2731" s="549">
        <v>15392.59</v>
      </c>
    </row>
    <row r="2732" spans="1:17" x14ac:dyDescent="0.25">
      <c r="A2732" s="549" t="s">
        <v>1083</v>
      </c>
      <c r="B2732" s="549" t="s">
        <v>584</v>
      </c>
      <c r="C2732" s="549" t="s">
        <v>745</v>
      </c>
      <c r="D2732" s="549" t="s">
        <v>746</v>
      </c>
      <c r="E2732" s="549" t="s">
        <v>977</v>
      </c>
      <c r="F2732" s="549" t="s">
        <v>1212</v>
      </c>
      <c r="G2732" s="549">
        <v>1322</v>
      </c>
      <c r="H2732" s="549" t="s">
        <v>745</v>
      </c>
      <c r="I2732" s="549" t="s">
        <v>976</v>
      </c>
      <c r="J2732" s="549" t="s">
        <v>976</v>
      </c>
      <c r="K2732" s="549" t="s">
        <v>976</v>
      </c>
      <c r="L2732" s="549">
        <v>146401.39000000001</v>
      </c>
      <c r="M2732" s="549">
        <v>11053.3</v>
      </c>
      <c r="N2732" s="549">
        <v>3235.47</v>
      </c>
      <c r="O2732" s="549">
        <v>1984</v>
      </c>
      <c r="P2732" s="549">
        <v>78.34</v>
      </c>
      <c r="Q2732" s="549">
        <v>12748.09</v>
      </c>
    </row>
    <row r="2733" spans="1:17" x14ac:dyDescent="0.25">
      <c r="A2733" s="549" t="s">
        <v>1083</v>
      </c>
      <c r="B2733" s="549" t="s">
        <v>584</v>
      </c>
      <c r="C2733" s="549" t="s">
        <v>745</v>
      </c>
      <c r="D2733" s="549" t="s">
        <v>746</v>
      </c>
      <c r="E2733" s="549" t="s">
        <v>977</v>
      </c>
      <c r="F2733" s="549" t="s">
        <v>1212</v>
      </c>
      <c r="G2733" s="549">
        <v>1327</v>
      </c>
      <c r="H2733" s="549" t="s">
        <v>745</v>
      </c>
      <c r="I2733" s="549" t="s">
        <v>976</v>
      </c>
      <c r="J2733" s="549" t="s">
        <v>976</v>
      </c>
      <c r="K2733" s="549" t="s">
        <v>976</v>
      </c>
      <c r="L2733" s="549">
        <v>22089.46</v>
      </c>
      <c r="M2733" s="549">
        <v>1667.75</v>
      </c>
      <c r="N2733" s="549">
        <v>488.18</v>
      </c>
      <c r="O2733" s="549">
        <v>992</v>
      </c>
      <c r="P2733" s="549">
        <v>78.34</v>
      </c>
      <c r="Q2733" s="549">
        <v>2466.09</v>
      </c>
    </row>
    <row r="2734" spans="1:17" x14ac:dyDescent="0.25">
      <c r="A2734" s="549" t="s">
        <v>1083</v>
      </c>
      <c r="B2734" s="549" t="s">
        <v>584</v>
      </c>
      <c r="C2734" s="549" t="s">
        <v>745</v>
      </c>
      <c r="D2734" s="549" t="s">
        <v>746</v>
      </c>
      <c r="E2734" s="549" t="s">
        <v>977</v>
      </c>
      <c r="F2734" s="549" t="s">
        <v>1212</v>
      </c>
      <c r="G2734" s="549">
        <v>1332</v>
      </c>
      <c r="H2734" s="549" t="s">
        <v>745</v>
      </c>
      <c r="I2734" s="549" t="s">
        <v>976</v>
      </c>
      <c r="J2734" s="549" t="s">
        <v>976</v>
      </c>
      <c r="K2734" s="549" t="s">
        <v>976</v>
      </c>
      <c r="L2734" s="549">
        <v>160660.25</v>
      </c>
      <c r="M2734" s="549">
        <v>12129.85</v>
      </c>
      <c r="N2734" s="549">
        <v>3550.59</v>
      </c>
      <c r="O2734" s="549">
        <v>3968</v>
      </c>
      <c r="P2734" s="549">
        <v>78.34</v>
      </c>
      <c r="Q2734" s="549">
        <v>15392.59</v>
      </c>
    </row>
    <row r="2735" spans="1:17" x14ac:dyDescent="0.25">
      <c r="A2735" s="549" t="s">
        <v>1083</v>
      </c>
      <c r="B2735" s="549" t="s">
        <v>584</v>
      </c>
      <c r="C2735" s="549" t="s">
        <v>745</v>
      </c>
      <c r="D2735" s="549" t="s">
        <v>746</v>
      </c>
      <c r="E2735" s="549" t="s">
        <v>977</v>
      </c>
      <c r="F2735" s="549" t="s">
        <v>1212</v>
      </c>
      <c r="G2735" s="549">
        <v>1352</v>
      </c>
      <c r="H2735" s="549" t="s">
        <v>745</v>
      </c>
      <c r="I2735" s="549" t="s">
        <v>976</v>
      </c>
      <c r="J2735" s="549" t="s">
        <v>976</v>
      </c>
      <c r="K2735" s="549" t="s">
        <v>976</v>
      </c>
      <c r="L2735" s="549">
        <v>160660.25</v>
      </c>
      <c r="M2735" s="549">
        <v>12129.85</v>
      </c>
      <c r="N2735" s="549">
        <v>3550.59</v>
      </c>
      <c r="O2735" s="549">
        <v>3968</v>
      </c>
      <c r="P2735" s="549">
        <v>78.34</v>
      </c>
      <c r="Q2735" s="549">
        <v>15392.59</v>
      </c>
    </row>
    <row r="2736" spans="1:17" x14ac:dyDescent="0.25">
      <c r="A2736" s="549" t="s">
        <v>1083</v>
      </c>
      <c r="B2736" s="549" t="s">
        <v>584</v>
      </c>
      <c r="C2736" s="549" t="s">
        <v>745</v>
      </c>
      <c r="D2736" s="549" t="s">
        <v>746</v>
      </c>
      <c r="E2736" s="549" t="s">
        <v>977</v>
      </c>
      <c r="F2736" s="549" t="s">
        <v>1212</v>
      </c>
      <c r="G2736" s="549">
        <v>1362</v>
      </c>
      <c r="H2736" s="549" t="s">
        <v>745</v>
      </c>
      <c r="I2736" s="549" t="s">
        <v>976</v>
      </c>
      <c r="J2736" s="549" t="s">
        <v>976</v>
      </c>
      <c r="K2736" s="549" t="s">
        <v>976</v>
      </c>
      <c r="L2736" s="549">
        <v>146401.39000000001</v>
      </c>
      <c r="M2736" s="549">
        <v>11053.3</v>
      </c>
      <c r="N2736" s="549">
        <v>3235.47</v>
      </c>
      <c r="O2736" s="549">
        <v>1984</v>
      </c>
      <c r="P2736" s="549">
        <v>78.34</v>
      </c>
      <c r="Q2736" s="549">
        <v>12748.09</v>
      </c>
    </row>
    <row r="2737" spans="1:17" x14ac:dyDescent="0.25">
      <c r="A2737" s="549" t="s">
        <v>1083</v>
      </c>
      <c r="B2737" s="549" t="s">
        <v>584</v>
      </c>
      <c r="C2737" s="549" t="s">
        <v>745</v>
      </c>
      <c r="D2737" s="549" t="s">
        <v>746</v>
      </c>
      <c r="E2737" s="549" t="s">
        <v>977</v>
      </c>
      <c r="F2737" s="549" t="s">
        <v>1212</v>
      </c>
      <c r="G2737" s="549">
        <v>1367</v>
      </c>
      <c r="H2737" s="549" t="s">
        <v>745</v>
      </c>
      <c r="I2737" s="549" t="s">
        <v>976</v>
      </c>
      <c r="J2737" s="549" t="s">
        <v>976</v>
      </c>
      <c r="K2737" s="549" t="s">
        <v>976</v>
      </c>
      <c r="L2737" s="549">
        <v>22089.46</v>
      </c>
      <c r="M2737" s="549">
        <v>1667.75</v>
      </c>
      <c r="N2737" s="549">
        <v>488.18</v>
      </c>
      <c r="O2737" s="549">
        <v>992</v>
      </c>
      <c r="P2737" s="549">
        <v>78.34</v>
      </c>
      <c r="Q2737" s="549">
        <v>2466.09</v>
      </c>
    </row>
    <row r="2738" spans="1:17" x14ac:dyDescent="0.25">
      <c r="A2738" s="549" t="s">
        <v>1083</v>
      </c>
      <c r="B2738" s="549" t="s">
        <v>584</v>
      </c>
      <c r="C2738" s="549" t="s">
        <v>745</v>
      </c>
      <c r="D2738" s="549" t="s">
        <v>746</v>
      </c>
      <c r="E2738" s="549" t="s">
        <v>977</v>
      </c>
      <c r="F2738" s="549" t="s">
        <v>1212</v>
      </c>
      <c r="G2738" s="549" t="s">
        <v>1425</v>
      </c>
      <c r="H2738" s="549" t="s">
        <v>745</v>
      </c>
      <c r="I2738" s="549" t="s">
        <v>976</v>
      </c>
      <c r="J2738" s="549" t="s">
        <v>976</v>
      </c>
      <c r="K2738" s="549" t="s">
        <v>976</v>
      </c>
      <c r="L2738" s="549">
        <v>31081.41</v>
      </c>
      <c r="M2738" s="549">
        <v>2346.65</v>
      </c>
      <c r="N2738" s="549">
        <v>686.9</v>
      </c>
      <c r="O2738" s="549">
        <v>0</v>
      </c>
      <c r="P2738" s="549">
        <v>78.34</v>
      </c>
      <c r="Q2738" s="549">
        <v>2376.48</v>
      </c>
    </row>
    <row r="2739" spans="1:17" x14ac:dyDescent="0.25">
      <c r="A2739" s="549" t="s">
        <v>1083</v>
      </c>
      <c r="B2739" s="549" t="s">
        <v>584</v>
      </c>
      <c r="C2739" s="549" t="s">
        <v>745</v>
      </c>
      <c r="D2739" s="549" t="s">
        <v>746</v>
      </c>
      <c r="E2739" s="549" t="s">
        <v>977</v>
      </c>
      <c r="F2739" s="549" t="s">
        <v>1212</v>
      </c>
      <c r="G2739" s="549" t="s">
        <v>1426</v>
      </c>
      <c r="H2739" s="549" t="s">
        <v>745</v>
      </c>
      <c r="I2739" s="549" t="s">
        <v>976</v>
      </c>
      <c r="J2739" s="549" t="s">
        <v>976</v>
      </c>
      <c r="K2739" s="549" t="s">
        <v>976</v>
      </c>
      <c r="L2739" s="549">
        <v>31081.41</v>
      </c>
      <c r="M2739" s="549">
        <v>2346.65</v>
      </c>
      <c r="N2739" s="549">
        <v>686.9</v>
      </c>
      <c r="O2739" s="549">
        <v>0</v>
      </c>
      <c r="P2739" s="549">
        <v>78.34</v>
      </c>
      <c r="Q2739" s="549">
        <v>2376.48</v>
      </c>
    </row>
    <row r="2740" spans="1:17" x14ac:dyDescent="0.25">
      <c r="A2740" s="549" t="s">
        <v>1083</v>
      </c>
      <c r="B2740" s="549" t="s">
        <v>584</v>
      </c>
      <c r="C2740" s="549" t="s">
        <v>787</v>
      </c>
      <c r="D2740" s="549" t="s">
        <v>788</v>
      </c>
      <c r="E2740" s="549" t="s">
        <v>973</v>
      </c>
      <c r="F2740" s="549" t="s">
        <v>1212</v>
      </c>
      <c r="G2740" s="549">
        <v>92</v>
      </c>
      <c r="H2740" s="549" t="s">
        <v>787</v>
      </c>
      <c r="I2740" s="549" t="s">
        <v>976</v>
      </c>
      <c r="J2740" s="549" t="s">
        <v>976</v>
      </c>
      <c r="K2740" s="549" t="s">
        <v>976</v>
      </c>
      <c r="L2740" s="549">
        <v>344086.71</v>
      </c>
      <c r="M2740" s="549">
        <v>25978.55</v>
      </c>
      <c r="N2740" s="549">
        <v>19750.580000000002</v>
      </c>
      <c r="O2740" s="549">
        <v>1984</v>
      </c>
      <c r="P2740" s="549">
        <v>49.8</v>
      </c>
      <c r="Q2740" s="549">
        <v>23761.14</v>
      </c>
    </row>
    <row r="2741" spans="1:17" x14ac:dyDescent="0.25">
      <c r="A2741" s="549" t="s">
        <v>1083</v>
      </c>
      <c r="B2741" s="549" t="s">
        <v>584</v>
      </c>
      <c r="C2741" s="549" t="s">
        <v>787</v>
      </c>
      <c r="D2741" s="549" t="s">
        <v>788</v>
      </c>
      <c r="E2741" s="549" t="s">
        <v>973</v>
      </c>
      <c r="F2741" s="549" t="s">
        <v>1212</v>
      </c>
      <c r="G2741" s="549">
        <v>112</v>
      </c>
      <c r="H2741" s="549" t="s">
        <v>787</v>
      </c>
      <c r="I2741" s="549" t="s">
        <v>976</v>
      </c>
      <c r="J2741" s="549" t="s">
        <v>976</v>
      </c>
      <c r="K2741" s="549" t="s">
        <v>976</v>
      </c>
      <c r="L2741" s="549">
        <v>344086.71</v>
      </c>
      <c r="M2741" s="549">
        <v>25978.55</v>
      </c>
      <c r="N2741" s="549">
        <v>19750.580000000002</v>
      </c>
      <c r="O2741" s="549">
        <v>1984</v>
      </c>
      <c r="P2741" s="549">
        <v>49.8</v>
      </c>
      <c r="Q2741" s="549">
        <v>23761.14</v>
      </c>
    </row>
    <row r="2742" spans="1:17" x14ac:dyDescent="0.25">
      <c r="A2742" s="549" t="s">
        <v>1083</v>
      </c>
      <c r="B2742" s="549" t="s">
        <v>584</v>
      </c>
      <c r="C2742" s="549" t="s">
        <v>787</v>
      </c>
      <c r="D2742" s="549" t="s">
        <v>788</v>
      </c>
      <c r="E2742" s="549" t="s">
        <v>973</v>
      </c>
      <c r="F2742" s="549" t="s">
        <v>1212</v>
      </c>
      <c r="G2742" s="549">
        <v>322</v>
      </c>
      <c r="H2742" s="549" t="s">
        <v>787</v>
      </c>
      <c r="I2742" s="549" t="s">
        <v>976</v>
      </c>
      <c r="J2742" s="549" t="s">
        <v>976</v>
      </c>
      <c r="K2742" s="549" t="s">
        <v>976</v>
      </c>
      <c r="L2742" s="549">
        <v>133878</v>
      </c>
      <c r="M2742" s="549">
        <v>10107.790000000001</v>
      </c>
      <c r="N2742" s="549">
        <v>7684.6</v>
      </c>
      <c r="O2742" s="549">
        <v>1984</v>
      </c>
      <c r="P2742" s="549">
        <v>49.8</v>
      </c>
      <c r="Q2742" s="549">
        <v>9848.64</v>
      </c>
    </row>
    <row r="2743" spans="1:17" x14ac:dyDescent="0.25">
      <c r="A2743" s="549" t="s">
        <v>1083</v>
      </c>
      <c r="B2743" s="549" t="s">
        <v>584</v>
      </c>
      <c r="C2743" s="549" t="s">
        <v>787</v>
      </c>
      <c r="D2743" s="549" t="s">
        <v>788</v>
      </c>
      <c r="E2743" s="549" t="s">
        <v>973</v>
      </c>
      <c r="F2743" s="549" t="s">
        <v>1212</v>
      </c>
      <c r="G2743" s="549">
        <v>332</v>
      </c>
      <c r="H2743" s="549" t="s">
        <v>787</v>
      </c>
      <c r="I2743" s="549" t="s">
        <v>976</v>
      </c>
      <c r="J2743" s="549" t="s">
        <v>976</v>
      </c>
      <c r="K2743" s="549" t="s">
        <v>976</v>
      </c>
      <c r="L2743" s="549">
        <v>146917.14000000001</v>
      </c>
      <c r="M2743" s="549">
        <v>11092.24</v>
      </c>
      <c r="N2743" s="549">
        <v>8433.0400000000009</v>
      </c>
      <c r="O2743" s="549">
        <v>3968</v>
      </c>
      <c r="P2743" s="549">
        <v>49.8</v>
      </c>
      <c r="Q2743" s="549">
        <v>11699.65</v>
      </c>
    </row>
    <row r="2744" spans="1:17" x14ac:dyDescent="0.25">
      <c r="A2744" s="549" t="s">
        <v>1083</v>
      </c>
      <c r="B2744" s="549" t="s">
        <v>584</v>
      </c>
      <c r="C2744" s="549" t="s">
        <v>787</v>
      </c>
      <c r="D2744" s="549" t="s">
        <v>788</v>
      </c>
      <c r="E2744" s="549" t="s">
        <v>973</v>
      </c>
      <c r="F2744" s="549" t="s">
        <v>1212</v>
      </c>
      <c r="G2744" s="549">
        <v>342</v>
      </c>
      <c r="H2744" s="549" t="s">
        <v>787</v>
      </c>
      <c r="I2744" s="549" t="s">
        <v>976</v>
      </c>
      <c r="J2744" s="549" t="s">
        <v>976</v>
      </c>
      <c r="K2744" s="549" t="s">
        <v>976</v>
      </c>
      <c r="L2744" s="549">
        <v>146917.14000000001</v>
      </c>
      <c r="M2744" s="549">
        <v>11092.24</v>
      </c>
      <c r="N2744" s="549">
        <v>8433.0400000000009</v>
      </c>
      <c r="O2744" s="549">
        <v>3968</v>
      </c>
      <c r="P2744" s="549">
        <v>49.8</v>
      </c>
      <c r="Q2744" s="549">
        <v>11699.65</v>
      </c>
    </row>
    <row r="2745" spans="1:17" x14ac:dyDescent="0.25">
      <c r="A2745" s="549" t="s">
        <v>1083</v>
      </c>
      <c r="B2745" s="549" t="s">
        <v>584</v>
      </c>
      <c r="C2745" s="549" t="s">
        <v>787</v>
      </c>
      <c r="D2745" s="549" t="s">
        <v>788</v>
      </c>
      <c r="E2745" s="549" t="s">
        <v>973</v>
      </c>
      <c r="F2745" s="549" t="s">
        <v>1212</v>
      </c>
      <c r="G2745" s="549">
        <v>352</v>
      </c>
      <c r="H2745" s="549" t="s">
        <v>787</v>
      </c>
      <c r="I2745" s="549" t="s">
        <v>976</v>
      </c>
      <c r="J2745" s="549" t="s">
        <v>976</v>
      </c>
      <c r="K2745" s="549" t="s">
        <v>976</v>
      </c>
      <c r="L2745" s="549">
        <v>146917.14000000001</v>
      </c>
      <c r="M2745" s="549">
        <v>11092.24</v>
      </c>
      <c r="N2745" s="549">
        <v>8433.0400000000009</v>
      </c>
      <c r="O2745" s="549">
        <v>3968</v>
      </c>
      <c r="P2745" s="549">
        <v>49.8</v>
      </c>
      <c r="Q2745" s="549">
        <v>11699.65</v>
      </c>
    </row>
    <row r="2746" spans="1:17" x14ac:dyDescent="0.25">
      <c r="A2746" s="549" t="s">
        <v>1083</v>
      </c>
      <c r="B2746" s="549" t="s">
        <v>584</v>
      </c>
      <c r="C2746" s="549" t="s">
        <v>787</v>
      </c>
      <c r="D2746" s="549" t="s">
        <v>788</v>
      </c>
      <c r="E2746" s="549" t="s">
        <v>973</v>
      </c>
      <c r="F2746" s="549" t="s">
        <v>1212</v>
      </c>
      <c r="G2746" s="549">
        <v>372</v>
      </c>
      <c r="H2746" s="549" t="s">
        <v>787</v>
      </c>
      <c r="I2746" s="549" t="s">
        <v>976</v>
      </c>
      <c r="J2746" s="549" t="s">
        <v>976</v>
      </c>
      <c r="K2746" s="549" t="s">
        <v>976</v>
      </c>
      <c r="L2746" s="549">
        <v>146917.14000000001</v>
      </c>
      <c r="M2746" s="549">
        <v>11092.24</v>
      </c>
      <c r="N2746" s="549">
        <v>8433.0400000000009</v>
      </c>
      <c r="O2746" s="549">
        <v>3968</v>
      </c>
      <c r="P2746" s="549">
        <v>49.8</v>
      </c>
      <c r="Q2746" s="549">
        <v>11699.65</v>
      </c>
    </row>
    <row r="2747" spans="1:17" x14ac:dyDescent="0.25">
      <c r="A2747" s="549" t="s">
        <v>1083</v>
      </c>
      <c r="B2747" s="549" t="s">
        <v>584</v>
      </c>
      <c r="C2747" s="549" t="s">
        <v>787</v>
      </c>
      <c r="D2747" s="549" t="s">
        <v>788</v>
      </c>
      <c r="E2747" s="549" t="s">
        <v>973</v>
      </c>
      <c r="F2747" s="549" t="s">
        <v>1212</v>
      </c>
      <c r="G2747" s="549">
        <v>377</v>
      </c>
      <c r="H2747" s="549" t="s">
        <v>787</v>
      </c>
      <c r="I2747" s="549" t="s">
        <v>976</v>
      </c>
      <c r="J2747" s="549" t="s">
        <v>976</v>
      </c>
      <c r="K2747" s="549" t="s">
        <v>976</v>
      </c>
      <c r="L2747" s="549">
        <v>0.02</v>
      </c>
      <c r="M2747" s="549">
        <v>0</v>
      </c>
      <c r="N2747" s="549">
        <v>0</v>
      </c>
      <c r="O2747" s="549">
        <v>992</v>
      </c>
      <c r="P2747" s="549">
        <v>49.8</v>
      </c>
      <c r="Q2747" s="549">
        <v>494.02</v>
      </c>
    </row>
    <row r="2748" spans="1:17" x14ac:dyDescent="0.25">
      <c r="A2748" s="549" t="s">
        <v>1083</v>
      </c>
      <c r="B2748" s="549" t="s">
        <v>584</v>
      </c>
      <c r="C2748" s="549" t="s">
        <v>787</v>
      </c>
      <c r="D2748" s="549" t="s">
        <v>788</v>
      </c>
      <c r="E2748" s="549" t="s">
        <v>973</v>
      </c>
      <c r="F2748" s="549" t="s">
        <v>1212</v>
      </c>
      <c r="G2748" s="549">
        <v>382</v>
      </c>
      <c r="H2748" s="549" t="s">
        <v>787</v>
      </c>
      <c r="I2748" s="549" t="s">
        <v>976</v>
      </c>
      <c r="J2748" s="549" t="s">
        <v>976</v>
      </c>
      <c r="K2748" s="549" t="s">
        <v>976</v>
      </c>
      <c r="L2748" s="549">
        <v>133878</v>
      </c>
      <c r="M2748" s="549">
        <v>10107.790000000001</v>
      </c>
      <c r="N2748" s="549">
        <v>7684.6</v>
      </c>
      <c r="O2748" s="549">
        <v>1984</v>
      </c>
      <c r="P2748" s="549">
        <v>49.8</v>
      </c>
      <c r="Q2748" s="549">
        <v>9848.64</v>
      </c>
    </row>
    <row r="2749" spans="1:17" x14ac:dyDescent="0.25">
      <c r="A2749" s="549" t="s">
        <v>1083</v>
      </c>
      <c r="B2749" s="549" t="s">
        <v>584</v>
      </c>
      <c r="C2749" s="549" t="s">
        <v>787</v>
      </c>
      <c r="D2749" s="549" t="s">
        <v>788</v>
      </c>
      <c r="E2749" s="549" t="s">
        <v>973</v>
      </c>
      <c r="F2749" s="549" t="s">
        <v>1212</v>
      </c>
      <c r="G2749" s="549">
        <v>392</v>
      </c>
      <c r="H2749" s="549" t="s">
        <v>787</v>
      </c>
      <c r="I2749" s="549" t="s">
        <v>976</v>
      </c>
      <c r="J2749" s="549" t="s">
        <v>976</v>
      </c>
      <c r="K2749" s="549" t="s">
        <v>976</v>
      </c>
      <c r="L2749" s="549">
        <v>146917.14000000001</v>
      </c>
      <c r="M2749" s="549">
        <v>11092.24</v>
      </c>
      <c r="N2749" s="549">
        <v>8433.0400000000009</v>
      </c>
      <c r="O2749" s="549">
        <v>3968</v>
      </c>
      <c r="P2749" s="549">
        <v>49.8</v>
      </c>
      <c r="Q2749" s="549">
        <v>11699.65</v>
      </c>
    </row>
    <row r="2750" spans="1:17" x14ac:dyDescent="0.25">
      <c r="A2750" s="549" t="s">
        <v>1083</v>
      </c>
      <c r="B2750" s="549" t="s">
        <v>584</v>
      </c>
      <c r="C2750" s="549" t="s">
        <v>787</v>
      </c>
      <c r="D2750" s="549" t="s">
        <v>788</v>
      </c>
      <c r="E2750" s="549" t="s">
        <v>973</v>
      </c>
      <c r="F2750" s="549" t="s">
        <v>1212</v>
      </c>
      <c r="G2750" s="549">
        <v>402</v>
      </c>
      <c r="H2750" s="549" t="s">
        <v>787</v>
      </c>
      <c r="I2750" s="549" t="s">
        <v>976</v>
      </c>
      <c r="J2750" s="549" t="s">
        <v>976</v>
      </c>
      <c r="K2750" s="549" t="s">
        <v>976</v>
      </c>
      <c r="L2750" s="549">
        <v>146917.14000000001</v>
      </c>
      <c r="M2750" s="549">
        <v>11092.24</v>
      </c>
      <c r="N2750" s="549">
        <v>8433.0400000000009</v>
      </c>
      <c r="O2750" s="549">
        <v>3968</v>
      </c>
      <c r="P2750" s="549">
        <v>49.8</v>
      </c>
      <c r="Q2750" s="549">
        <v>11699.65</v>
      </c>
    </row>
    <row r="2751" spans="1:17" x14ac:dyDescent="0.25">
      <c r="A2751" s="549" t="s">
        <v>1083</v>
      </c>
      <c r="B2751" s="549" t="s">
        <v>584</v>
      </c>
      <c r="C2751" s="549" t="s">
        <v>787</v>
      </c>
      <c r="D2751" s="549" t="s">
        <v>788</v>
      </c>
      <c r="E2751" s="549" t="s">
        <v>973</v>
      </c>
      <c r="F2751" s="549" t="s">
        <v>1212</v>
      </c>
      <c r="G2751" s="549">
        <v>412</v>
      </c>
      <c r="H2751" s="549" t="s">
        <v>787</v>
      </c>
      <c r="I2751" s="549" t="s">
        <v>976</v>
      </c>
      <c r="J2751" s="549" t="s">
        <v>976</v>
      </c>
      <c r="K2751" s="549" t="s">
        <v>976</v>
      </c>
      <c r="L2751" s="549">
        <v>146917.14000000001</v>
      </c>
      <c r="M2751" s="549">
        <v>11092.24</v>
      </c>
      <c r="N2751" s="549">
        <v>8433.0400000000009</v>
      </c>
      <c r="O2751" s="549">
        <v>3968</v>
      </c>
      <c r="P2751" s="549">
        <v>49.8</v>
      </c>
      <c r="Q2751" s="549">
        <v>11699.65</v>
      </c>
    </row>
    <row r="2752" spans="1:17" x14ac:dyDescent="0.25">
      <c r="A2752" s="549" t="s">
        <v>1083</v>
      </c>
      <c r="B2752" s="549" t="s">
        <v>584</v>
      </c>
      <c r="C2752" s="549" t="s">
        <v>787</v>
      </c>
      <c r="D2752" s="549" t="s">
        <v>788</v>
      </c>
      <c r="E2752" s="549" t="s">
        <v>973</v>
      </c>
      <c r="F2752" s="549" t="s">
        <v>1212</v>
      </c>
      <c r="G2752" s="549" t="s">
        <v>1321</v>
      </c>
      <c r="H2752" s="549" t="s">
        <v>787</v>
      </c>
      <c r="I2752" s="549" t="s">
        <v>976</v>
      </c>
      <c r="J2752" s="549" t="s">
        <v>976</v>
      </c>
      <c r="K2752" s="549" t="s">
        <v>976</v>
      </c>
      <c r="L2752" s="549">
        <v>0.02</v>
      </c>
      <c r="M2752" s="549">
        <v>0</v>
      </c>
      <c r="N2752" s="549">
        <v>0</v>
      </c>
      <c r="O2752" s="549">
        <v>1984</v>
      </c>
      <c r="P2752" s="549">
        <v>49.8</v>
      </c>
      <c r="Q2752" s="549">
        <v>988.03</v>
      </c>
    </row>
    <row r="2753" spans="1:17" x14ac:dyDescent="0.25">
      <c r="A2753" s="549" t="s">
        <v>1083</v>
      </c>
      <c r="B2753" s="549" t="s">
        <v>584</v>
      </c>
      <c r="C2753" s="549" t="s">
        <v>787</v>
      </c>
      <c r="D2753" s="549" t="s">
        <v>788</v>
      </c>
      <c r="E2753" s="549" t="s">
        <v>973</v>
      </c>
      <c r="F2753" s="549" t="s">
        <v>1212</v>
      </c>
      <c r="G2753" s="549" t="s">
        <v>1283</v>
      </c>
      <c r="H2753" s="549" t="s">
        <v>787</v>
      </c>
      <c r="I2753" s="549" t="s">
        <v>976</v>
      </c>
      <c r="J2753" s="549" t="s">
        <v>976</v>
      </c>
      <c r="K2753" s="549" t="s">
        <v>976</v>
      </c>
      <c r="L2753" s="549">
        <v>18099.14</v>
      </c>
      <c r="M2753" s="549">
        <v>1366.49</v>
      </c>
      <c r="N2753" s="549">
        <v>1038.8900000000001</v>
      </c>
      <c r="O2753" s="549">
        <v>0</v>
      </c>
      <c r="P2753" s="549">
        <v>49.8</v>
      </c>
      <c r="Q2753" s="549">
        <v>1197.8800000000001</v>
      </c>
    </row>
    <row r="2754" spans="1:17" x14ac:dyDescent="0.25">
      <c r="A2754" s="549" t="s">
        <v>1083</v>
      </c>
      <c r="B2754" s="549" t="s">
        <v>584</v>
      </c>
      <c r="C2754" s="549" t="s">
        <v>787</v>
      </c>
      <c r="D2754" s="549" t="s">
        <v>788</v>
      </c>
      <c r="E2754" s="549" t="s">
        <v>973</v>
      </c>
      <c r="F2754" s="549" t="s">
        <v>1212</v>
      </c>
      <c r="G2754" s="549" t="s">
        <v>1427</v>
      </c>
      <c r="H2754" s="549" t="s">
        <v>787</v>
      </c>
      <c r="I2754" s="549" t="s">
        <v>976</v>
      </c>
      <c r="J2754" s="549" t="s">
        <v>976</v>
      </c>
      <c r="K2754" s="549" t="s">
        <v>976</v>
      </c>
      <c r="L2754" s="549">
        <v>18099.14</v>
      </c>
      <c r="M2754" s="549">
        <v>1366.49</v>
      </c>
      <c r="N2754" s="549">
        <v>1038.8900000000001</v>
      </c>
      <c r="O2754" s="549">
        <v>0</v>
      </c>
      <c r="P2754" s="549">
        <v>49.8</v>
      </c>
      <c r="Q2754" s="549">
        <v>1197.8800000000001</v>
      </c>
    </row>
    <row r="2755" spans="1:17" x14ac:dyDescent="0.25">
      <c r="A2755" s="549" t="s">
        <v>1083</v>
      </c>
      <c r="B2755" s="549" t="s">
        <v>584</v>
      </c>
      <c r="C2755" s="549" t="s">
        <v>787</v>
      </c>
      <c r="D2755" s="549" t="s">
        <v>788</v>
      </c>
      <c r="E2755" s="549" t="s">
        <v>977</v>
      </c>
      <c r="F2755" s="549" t="s">
        <v>1212</v>
      </c>
      <c r="G2755" s="549">
        <v>92</v>
      </c>
      <c r="H2755" s="549" t="s">
        <v>787</v>
      </c>
      <c r="I2755" s="549" t="s">
        <v>976</v>
      </c>
      <c r="J2755" s="549" t="s">
        <v>976</v>
      </c>
      <c r="K2755" s="549" t="s">
        <v>976</v>
      </c>
      <c r="L2755" s="549">
        <v>344086.71</v>
      </c>
      <c r="M2755" s="549">
        <v>25978.55</v>
      </c>
      <c r="N2755" s="549">
        <v>7604.32</v>
      </c>
      <c r="O2755" s="549">
        <v>1984</v>
      </c>
      <c r="P2755" s="549">
        <v>50.2</v>
      </c>
      <c r="Q2755" s="549">
        <v>17854.57</v>
      </c>
    </row>
    <row r="2756" spans="1:17" x14ac:dyDescent="0.25">
      <c r="A2756" s="549" t="s">
        <v>1083</v>
      </c>
      <c r="B2756" s="549" t="s">
        <v>584</v>
      </c>
      <c r="C2756" s="549" t="s">
        <v>787</v>
      </c>
      <c r="D2756" s="549" t="s">
        <v>788</v>
      </c>
      <c r="E2756" s="549" t="s">
        <v>977</v>
      </c>
      <c r="F2756" s="549" t="s">
        <v>1212</v>
      </c>
      <c r="G2756" s="549">
        <v>112</v>
      </c>
      <c r="H2756" s="549" t="s">
        <v>787</v>
      </c>
      <c r="I2756" s="549" t="s">
        <v>976</v>
      </c>
      <c r="J2756" s="549" t="s">
        <v>976</v>
      </c>
      <c r="K2756" s="549" t="s">
        <v>976</v>
      </c>
      <c r="L2756" s="549">
        <v>344086.71</v>
      </c>
      <c r="M2756" s="549">
        <v>25978.55</v>
      </c>
      <c r="N2756" s="549">
        <v>7604.32</v>
      </c>
      <c r="O2756" s="549">
        <v>1984</v>
      </c>
      <c r="P2756" s="549">
        <v>50.2</v>
      </c>
      <c r="Q2756" s="549">
        <v>17854.57</v>
      </c>
    </row>
    <row r="2757" spans="1:17" x14ac:dyDescent="0.25">
      <c r="A2757" s="549" t="s">
        <v>1083</v>
      </c>
      <c r="B2757" s="549" t="s">
        <v>584</v>
      </c>
      <c r="C2757" s="549" t="s">
        <v>787</v>
      </c>
      <c r="D2757" s="549" t="s">
        <v>788</v>
      </c>
      <c r="E2757" s="549" t="s">
        <v>977</v>
      </c>
      <c r="F2757" s="549" t="s">
        <v>1212</v>
      </c>
      <c r="G2757" s="549">
        <v>322</v>
      </c>
      <c r="H2757" s="549" t="s">
        <v>787</v>
      </c>
      <c r="I2757" s="549" t="s">
        <v>976</v>
      </c>
      <c r="J2757" s="549" t="s">
        <v>976</v>
      </c>
      <c r="K2757" s="549" t="s">
        <v>976</v>
      </c>
      <c r="L2757" s="549">
        <v>133878</v>
      </c>
      <c r="M2757" s="549">
        <v>10107.790000000001</v>
      </c>
      <c r="N2757" s="549">
        <v>2958.7</v>
      </c>
      <c r="O2757" s="549">
        <v>1984</v>
      </c>
      <c r="P2757" s="549">
        <v>50.2</v>
      </c>
      <c r="Q2757" s="549">
        <v>7555.35</v>
      </c>
    </row>
    <row r="2758" spans="1:17" x14ac:dyDescent="0.25">
      <c r="A2758" s="549" t="s">
        <v>1083</v>
      </c>
      <c r="B2758" s="549" t="s">
        <v>584</v>
      </c>
      <c r="C2758" s="549" t="s">
        <v>787</v>
      </c>
      <c r="D2758" s="549" t="s">
        <v>788</v>
      </c>
      <c r="E2758" s="549" t="s">
        <v>977</v>
      </c>
      <c r="F2758" s="549" t="s">
        <v>1212</v>
      </c>
      <c r="G2758" s="549">
        <v>332</v>
      </c>
      <c r="H2758" s="549" t="s">
        <v>787</v>
      </c>
      <c r="I2758" s="549" t="s">
        <v>976</v>
      </c>
      <c r="J2758" s="549" t="s">
        <v>976</v>
      </c>
      <c r="K2758" s="549" t="s">
        <v>976</v>
      </c>
      <c r="L2758" s="549">
        <v>146917.14000000001</v>
      </c>
      <c r="M2758" s="549">
        <v>11092.24</v>
      </c>
      <c r="N2758" s="549">
        <v>3246.87</v>
      </c>
      <c r="O2758" s="549">
        <v>3968</v>
      </c>
      <c r="P2758" s="549">
        <v>50.2</v>
      </c>
      <c r="Q2758" s="549">
        <v>9190.17</v>
      </c>
    </row>
    <row r="2759" spans="1:17" x14ac:dyDescent="0.25">
      <c r="A2759" s="549" t="s">
        <v>1083</v>
      </c>
      <c r="B2759" s="549" t="s">
        <v>584</v>
      </c>
      <c r="C2759" s="549" t="s">
        <v>787</v>
      </c>
      <c r="D2759" s="549" t="s">
        <v>788</v>
      </c>
      <c r="E2759" s="549" t="s">
        <v>977</v>
      </c>
      <c r="F2759" s="549" t="s">
        <v>1212</v>
      </c>
      <c r="G2759" s="549">
        <v>342</v>
      </c>
      <c r="H2759" s="549" t="s">
        <v>787</v>
      </c>
      <c r="I2759" s="549" t="s">
        <v>976</v>
      </c>
      <c r="J2759" s="549" t="s">
        <v>976</v>
      </c>
      <c r="K2759" s="549" t="s">
        <v>976</v>
      </c>
      <c r="L2759" s="549">
        <v>146917.14000000001</v>
      </c>
      <c r="M2759" s="549">
        <v>11092.24</v>
      </c>
      <c r="N2759" s="549">
        <v>3246.87</v>
      </c>
      <c r="O2759" s="549">
        <v>3968</v>
      </c>
      <c r="P2759" s="549">
        <v>50.2</v>
      </c>
      <c r="Q2759" s="549">
        <v>9190.17</v>
      </c>
    </row>
    <row r="2760" spans="1:17" x14ac:dyDescent="0.25">
      <c r="A2760" s="549" t="s">
        <v>1083</v>
      </c>
      <c r="B2760" s="549" t="s">
        <v>584</v>
      </c>
      <c r="C2760" s="549" t="s">
        <v>787</v>
      </c>
      <c r="D2760" s="549" t="s">
        <v>788</v>
      </c>
      <c r="E2760" s="549" t="s">
        <v>977</v>
      </c>
      <c r="F2760" s="549" t="s">
        <v>1212</v>
      </c>
      <c r="G2760" s="549">
        <v>352</v>
      </c>
      <c r="H2760" s="549" t="s">
        <v>787</v>
      </c>
      <c r="I2760" s="549" t="s">
        <v>976</v>
      </c>
      <c r="J2760" s="549" t="s">
        <v>976</v>
      </c>
      <c r="K2760" s="549" t="s">
        <v>976</v>
      </c>
      <c r="L2760" s="549">
        <v>146917.14000000001</v>
      </c>
      <c r="M2760" s="549">
        <v>11092.24</v>
      </c>
      <c r="N2760" s="549">
        <v>3246.87</v>
      </c>
      <c r="O2760" s="549">
        <v>3968</v>
      </c>
      <c r="P2760" s="549">
        <v>50.2</v>
      </c>
      <c r="Q2760" s="549">
        <v>9190.17</v>
      </c>
    </row>
    <row r="2761" spans="1:17" x14ac:dyDescent="0.25">
      <c r="A2761" s="549" t="s">
        <v>1083</v>
      </c>
      <c r="B2761" s="549" t="s">
        <v>584</v>
      </c>
      <c r="C2761" s="549" t="s">
        <v>787</v>
      </c>
      <c r="D2761" s="549" t="s">
        <v>788</v>
      </c>
      <c r="E2761" s="549" t="s">
        <v>977</v>
      </c>
      <c r="F2761" s="549" t="s">
        <v>1212</v>
      </c>
      <c r="G2761" s="549">
        <v>372</v>
      </c>
      <c r="H2761" s="549" t="s">
        <v>787</v>
      </c>
      <c r="I2761" s="549" t="s">
        <v>976</v>
      </c>
      <c r="J2761" s="549" t="s">
        <v>976</v>
      </c>
      <c r="K2761" s="549" t="s">
        <v>976</v>
      </c>
      <c r="L2761" s="549">
        <v>146917.14000000001</v>
      </c>
      <c r="M2761" s="549">
        <v>11092.24</v>
      </c>
      <c r="N2761" s="549">
        <v>3246.87</v>
      </c>
      <c r="O2761" s="549">
        <v>3968</v>
      </c>
      <c r="P2761" s="549">
        <v>50.2</v>
      </c>
      <c r="Q2761" s="549">
        <v>9190.17</v>
      </c>
    </row>
    <row r="2762" spans="1:17" x14ac:dyDescent="0.25">
      <c r="A2762" s="549" t="s">
        <v>1083</v>
      </c>
      <c r="B2762" s="549" t="s">
        <v>584</v>
      </c>
      <c r="C2762" s="549" t="s">
        <v>787</v>
      </c>
      <c r="D2762" s="549" t="s">
        <v>788</v>
      </c>
      <c r="E2762" s="549" t="s">
        <v>977</v>
      </c>
      <c r="F2762" s="549" t="s">
        <v>1212</v>
      </c>
      <c r="G2762" s="549">
        <v>377</v>
      </c>
      <c r="H2762" s="549" t="s">
        <v>787</v>
      </c>
      <c r="I2762" s="549" t="s">
        <v>976</v>
      </c>
      <c r="J2762" s="549" t="s">
        <v>976</v>
      </c>
      <c r="K2762" s="549" t="s">
        <v>976</v>
      </c>
      <c r="L2762" s="549">
        <v>0.02</v>
      </c>
      <c r="M2762" s="549">
        <v>0</v>
      </c>
      <c r="N2762" s="549">
        <v>0</v>
      </c>
      <c r="O2762" s="549">
        <v>992</v>
      </c>
      <c r="P2762" s="549">
        <v>50.2</v>
      </c>
      <c r="Q2762" s="549">
        <v>497.98</v>
      </c>
    </row>
    <row r="2763" spans="1:17" x14ac:dyDescent="0.25">
      <c r="A2763" s="549" t="s">
        <v>1083</v>
      </c>
      <c r="B2763" s="549" t="s">
        <v>584</v>
      </c>
      <c r="C2763" s="549" t="s">
        <v>787</v>
      </c>
      <c r="D2763" s="549" t="s">
        <v>788</v>
      </c>
      <c r="E2763" s="549" t="s">
        <v>977</v>
      </c>
      <c r="F2763" s="549" t="s">
        <v>1212</v>
      </c>
      <c r="G2763" s="549">
        <v>382</v>
      </c>
      <c r="H2763" s="549" t="s">
        <v>787</v>
      </c>
      <c r="I2763" s="549" t="s">
        <v>976</v>
      </c>
      <c r="J2763" s="549" t="s">
        <v>976</v>
      </c>
      <c r="K2763" s="549" t="s">
        <v>976</v>
      </c>
      <c r="L2763" s="549">
        <v>133878</v>
      </c>
      <c r="M2763" s="549">
        <v>10107.790000000001</v>
      </c>
      <c r="N2763" s="549">
        <v>2958.7</v>
      </c>
      <c r="O2763" s="549">
        <v>1984</v>
      </c>
      <c r="P2763" s="549">
        <v>50.2</v>
      </c>
      <c r="Q2763" s="549">
        <v>7555.35</v>
      </c>
    </row>
    <row r="2764" spans="1:17" x14ac:dyDescent="0.25">
      <c r="A2764" s="549" t="s">
        <v>1083</v>
      </c>
      <c r="B2764" s="549" t="s">
        <v>584</v>
      </c>
      <c r="C2764" s="549" t="s">
        <v>787</v>
      </c>
      <c r="D2764" s="549" t="s">
        <v>788</v>
      </c>
      <c r="E2764" s="549" t="s">
        <v>977</v>
      </c>
      <c r="F2764" s="549" t="s">
        <v>1212</v>
      </c>
      <c r="G2764" s="549">
        <v>392</v>
      </c>
      <c r="H2764" s="549" t="s">
        <v>787</v>
      </c>
      <c r="I2764" s="549" t="s">
        <v>976</v>
      </c>
      <c r="J2764" s="549" t="s">
        <v>976</v>
      </c>
      <c r="K2764" s="549" t="s">
        <v>976</v>
      </c>
      <c r="L2764" s="549">
        <v>146917.14000000001</v>
      </c>
      <c r="M2764" s="549">
        <v>11092.24</v>
      </c>
      <c r="N2764" s="549">
        <v>3246.87</v>
      </c>
      <c r="O2764" s="549">
        <v>3968</v>
      </c>
      <c r="P2764" s="549">
        <v>50.2</v>
      </c>
      <c r="Q2764" s="549">
        <v>9190.17</v>
      </c>
    </row>
    <row r="2765" spans="1:17" x14ac:dyDescent="0.25">
      <c r="A2765" s="549" t="s">
        <v>1083</v>
      </c>
      <c r="B2765" s="549" t="s">
        <v>584</v>
      </c>
      <c r="C2765" s="549" t="s">
        <v>787</v>
      </c>
      <c r="D2765" s="549" t="s">
        <v>788</v>
      </c>
      <c r="E2765" s="549" t="s">
        <v>977</v>
      </c>
      <c r="F2765" s="549" t="s">
        <v>1212</v>
      </c>
      <c r="G2765" s="549">
        <v>402</v>
      </c>
      <c r="H2765" s="549" t="s">
        <v>787</v>
      </c>
      <c r="I2765" s="549" t="s">
        <v>976</v>
      </c>
      <c r="J2765" s="549" t="s">
        <v>976</v>
      </c>
      <c r="K2765" s="549" t="s">
        <v>976</v>
      </c>
      <c r="L2765" s="549">
        <v>146917.14000000001</v>
      </c>
      <c r="M2765" s="549">
        <v>11092.24</v>
      </c>
      <c r="N2765" s="549">
        <v>3246.87</v>
      </c>
      <c r="O2765" s="549">
        <v>3968</v>
      </c>
      <c r="P2765" s="549">
        <v>50.2</v>
      </c>
      <c r="Q2765" s="549">
        <v>9190.17</v>
      </c>
    </row>
    <row r="2766" spans="1:17" x14ac:dyDescent="0.25">
      <c r="A2766" s="549" t="s">
        <v>1083</v>
      </c>
      <c r="B2766" s="549" t="s">
        <v>584</v>
      </c>
      <c r="C2766" s="549" t="s">
        <v>787</v>
      </c>
      <c r="D2766" s="549" t="s">
        <v>788</v>
      </c>
      <c r="E2766" s="549" t="s">
        <v>977</v>
      </c>
      <c r="F2766" s="549" t="s">
        <v>1212</v>
      </c>
      <c r="G2766" s="549">
        <v>412</v>
      </c>
      <c r="H2766" s="549" t="s">
        <v>787</v>
      </c>
      <c r="I2766" s="549" t="s">
        <v>976</v>
      </c>
      <c r="J2766" s="549" t="s">
        <v>976</v>
      </c>
      <c r="K2766" s="549" t="s">
        <v>976</v>
      </c>
      <c r="L2766" s="549">
        <v>146917.14000000001</v>
      </c>
      <c r="M2766" s="549">
        <v>11092.24</v>
      </c>
      <c r="N2766" s="549">
        <v>3246.87</v>
      </c>
      <c r="O2766" s="549">
        <v>3968</v>
      </c>
      <c r="P2766" s="549">
        <v>50.2</v>
      </c>
      <c r="Q2766" s="549">
        <v>9190.17</v>
      </c>
    </row>
    <row r="2767" spans="1:17" x14ac:dyDescent="0.25">
      <c r="A2767" s="549" t="s">
        <v>1083</v>
      </c>
      <c r="B2767" s="549" t="s">
        <v>584</v>
      </c>
      <c r="C2767" s="549" t="s">
        <v>787</v>
      </c>
      <c r="D2767" s="549" t="s">
        <v>788</v>
      </c>
      <c r="E2767" s="549" t="s">
        <v>977</v>
      </c>
      <c r="F2767" s="549" t="s">
        <v>1212</v>
      </c>
      <c r="G2767" s="549" t="s">
        <v>1321</v>
      </c>
      <c r="H2767" s="549" t="s">
        <v>787</v>
      </c>
      <c r="I2767" s="549" t="s">
        <v>976</v>
      </c>
      <c r="J2767" s="549" t="s">
        <v>976</v>
      </c>
      <c r="K2767" s="549" t="s">
        <v>976</v>
      </c>
      <c r="L2767" s="549">
        <v>0.02</v>
      </c>
      <c r="M2767" s="549">
        <v>0</v>
      </c>
      <c r="N2767" s="549">
        <v>0</v>
      </c>
      <c r="O2767" s="549">
        <v>1984</v>
      </c>
      <c r="P2767" s="549">
        <v>50.2</v>
      </c>
      <c r="Q2767" s="549">
        <v>995.97</v>
      </c>
    </row>
    <row r="2768" spans="1:17" x14ac:dyDescent="0.25">
      <c r="A2768" s="549" t="s">
        <v>1083</v>
      </c>
      <c r="B2768" s="549" t="s">
        <v>584</v>
      </c>
      <c r="C2768" s="549" t="s">
        <v>787</v>
      </c>
      <c r="D2768" s="549" t="s">
        <v>788</v>
      </c>
      <c r="E2768" s="549" t="s">
        <v>977</v>
      </c>
      <c r="F2768" s="549" t="s">
        <v>1212</v>
      </c>
      <c r="G2768" s="549" t="s">
        <v>1283</v>
      </c>
      <c r="H2768" s="549" t="s">
        <v>787</v>
      </c>
      <c r="I2768" s="549" t="s">
        <v>976</v>
      </c>
      <c r="J2768" s="549" t="s">
        <v>976</v>
      </c>
      <c r="K2768" s="549" t="s">
        <v>976</v>
      </c>
      <c r="L2768" s="549">
        <v>18099.14</v>
      </c>
      <c r="M2768" s="549">
        <v>1366.49</v>
      </c>
      <c r="N2768" s="549">
        <v>399.99</v>
      </c>
      <c r="O2768" s="549">
        <v>0</v>
      </c>
      <c r="P2768" s="549">
        <v>50.2</v>
      </c>
      <c r="Q2768" s="549">
        <v>886.77</v>
      </c>
    </row>
    <row r="2769" spans="1:17" x14ac:dyDescent="0.25">
      <c r="A2769" s="549" t="s">
        <v>1083</v>
      </c>
      <c r="B2769" s="549" t="s">
        <v>584</v>
      </c>
      <c r="C2769" s="549" t="s">
        <v>787</v>
      </c>
      <c r="D2769" s="549" t="s">
        <v>788</v>
      </c>
      <c r="E2769" s="549" t="s">
        <v>977</v>
      </c>
      <c r="F2769" s="549" t="s">
        <v>1212</v>
      </c>
      <c r="G2769" s="549" t="s">
        <v>1427</v>
      </c>
      <c r="H2769" s="549" t="s">
        <v>787</v>
      </c>
      <c r="I2769" s="549" t="s">
        <v>976</v>
      </c>
      <c r="J2769" s="549" t="s">
        <v>976</v>
      </c>
      <c r="K2769" s="549" t="s">
        <v>976</v>
      </c>
      <c r="L2769" s="549">
        <v>18099.14</v>
      </c>
      <c r="M2769" s="549">
        <v>1366.49</v>
      </c>
      <c r="N2769" s="549">
        <v>399.99</v>
      </c>
      <c r="O2769" s="549">
        <v>0</v>
      </c>
      <c r="P2769" s="549">
        <v>50.2</v>
      </c>
      <c r="Q2769" s="549">
        <v>886.77</v>
      </c>
    </row>
    <row r="2770" spans="1:17" x14ac:dyDescent="0.25">
      <c r="A2770" s="549" t="s">
        <v>1083</v>
      </c>
      <c r="B2770" s="549" t="s">
        <v>584</v>
      </c>
      <c r="C2770" s="549" t="s">
        <v>756</v>
      </c>
      <c r="D2770" s="549" t="s">
        <v>757</v>
      </c>
      <c r="E2770" s="549" t="s">
        <v>977</v>
      </c>
      <c r="F2770" s="549" t="s">
        <v>1212</v>
      </c>
      <c r="G2770" s="549" t="s">
        <v>1235</v>
      </c>
      <c r="H2770" s="549" t="s">
        <v>849</v>
      </c>
      <c r="I2770" s="549" t="s">
        <v>976</v>
      </c>
      <c r="J2770" s="549" t="s">
        <v>976</v>
      </c>
      <c r="K2770" s="549" t="s">
        <v>976</v>
      </c>
      <c r="L2770" s="549">
        <v>311322.25</v>
      </c>
      <c r="M2770" s="549">
        <v>23504.83</v>
      </c>
      <c r="N2770" s="549">
        <v>6880.22</v>
      </c>
      <c r="O2770" s="549">
        <v>992</v>
      </c>
      <c r="P2770" s="549">
        <v>22.06</v>
      </c>
      <c r="Q2770" s="549">
        <v>6921.78</v>
      </c>
    </row>
    <row r="2771" spans="1:17" x14ac:dyDescent="0.25">
      <c r="A2771" s="549" t="s">
        <v>1083</v>
      </c>
      <c r="B2771" s="549" t="s">
        <v>584</v>
      </c>
      <c r="C2771" s="549" t="s">
        <v>756</v>
      </c>
      <c r="D2771" s="549" t="s">
        <v>757</v>
      </c>
      <c r="E2771" s="549" t="s">
        <v>977</v>
      </c>
      <c r="F2771" s="549" t="s">
        <v>1212</v>
      </c>
      <c r="G2771" s="549" t="s">
        <v>1236</v>
      </c>
      <c r="H2771" s="549" t="s">
        <v>849</v>
      </c>
      <c r="I2771" s="549" t="s">
        <v>976</v>
      </c>
      <c r="J2771" s="549" t="s">
        <v>976</v>
      </c>
      <c r="K2771" s="549" t="s">
        <v>976</v>
      </c>
      <c r="L2771" s="549">
        <v>268770.3</v>
      </c>
      <c r="M2771" s="549">
        <v>20292.16</v>
      </c>
      <c r="N2771" s="549">
        <v>5939.82</v>
      </c>
      <c r="O2771" s="549">
        <v>992</v>
      </c>
      <c r="P2771" s="549">
        <v>26.45</v>
      </c>
      <c r="Q2771" s="549">
        <v>7200.74</v>
      </c>
    </row>
    <row r="2772" spans="1:17" x14ac:dyDescent="0.25">
      <c r="A2772" s="549" t="s">
        <v>1083</v>
      </c>
      <c r="B2772" s="549" t="s">
        <v>584</v>
      </c>
      <c r="C2772" s="549" t="s">
        <v>756</v>
      </c>
      <c r="D2772" s="549" t="s">
        <v>757</v>
      </c>
      <c r="E2772" s="549" t="s">
        <v>977</v>
      </c>
      <c r="F2772" s="549" t="s">
        <v>1212</v>
      </c>
      <c r="G2772" s="549" t="s">
        <v>1247</v>
      </c>
      <c r="H2772" s="549" t="s">
        <v>849</v>
      </c>
      <c r="I2772" s="549" t="s">
        <v>976</v>
      </c>
      <c r="J2772" s="549" t="s">
        <v>976</v>
      </c>
      <c r="K2772" s="549" t="s">
        <v>976</v>
      </c>
      <c r="L2772" s="549">
        <v>311322.25</v>
      </c>
      <c r="M2772" s="549">
        <v>23504.83</v>
      </c>
      <c r="N2772" s="549">
        <v>6880.22</v>
      </c>
      <c r="O2772" s="549">
        <v>992</v>
      </c>
      <c r="P2772" s="549">
        <v>22.06</v>
      </c>
      <c r="Q2772" s="549">
        <v>6921.78</v>
      </c>
    </row>
    <row r="2773" spans="1:17" x14ac:dyDescent="0.25">
      <c r="A2773" s="549" t="s">
        <v>1083</v>
      </c>
      <c r="B2773" s="549" t="s">
        <v>584</v>
      </c>
      <c r="C2773" s="549" t="s">
        <v>756</v>
      </c>
      <c r="D2773" s="549" t="s">
        <v>757</v>
      </c>
      <c r="E2773" s="549" t="s">
        <v>977</v>
      </c>
      <c r="F2773" s="549" t="s">
        <v>1212</v>
      </c>
      <c r="G2773" s="549" t="s">
        <v>1248</v>
      </c>
      <c r="H2773" s="549" t="s">
        <v>849</v>
      </c>
      <c r="I2773" s="549" t="s">
        <v>976</v>
      </c>
      <c r="J2773" s="549" t="s">
        <v>976</v>
      </c>
      <c r="K2773" s="549" t="s">
        <v>976</v>
      </c>
      <c r="L2773" s="549">
        <v>268770.3</v>
      </c>
      <c r="M2773" s="549">
        <v>20292.16</v>
      </c>
      <c r="N2773" s="549">
        <v>5939.82</v>
      </c>
      <c r="O2773" s="549">
        <v>992</v>
      </c>
      <c r="P2773" s="549">
        <v>26.45</v>
      </c>
      <c r="Q2773" s="549">
        <v>7200.74</v>
      </c>
    </row>
    <row r="2774" spans="1:17" x14ac:dyDescent="0.25">
      <c r="A2774" s="549" t="s">
        <v>1083</v>
      </c>
      <c r="B2774" s="549" t="s">
        <v>584</v>
      </c>
      <c r="C2774" s="549" t="s">
        <v>756</v>
      </c>
      <c r="D2774" s="549" t="s">
        <v>757</v>
      </c>
      <c r="E2774" s="549" t="s">
        <v>977</v>
      </c>
      <c r="F2774" s="549" t="s">
        <v>1212</v>
      </c>
      <c r="G2774" s="549">
        <v>112</v>
      </c>
      <c r="H2774" s="549" t="s">
        <v>855</v>
      </c>
      <c r="I2774" s="549" t="s">
        <v>976</v>
      </c>
      <c r="J2774" s="549" t="s">
        <v>976</v>
      </c>
      <c r="K2774" s="549" t="s">
        <v>976</v>
      </c>
      <c r="L2774" s="549">
        <v>509800.94</v>
      </c>
      <c r="M2774" s="549">
        <v>38489.97</v>
      </c>
      <c r="N2774" s="549">
        <v>11266.6</v>
      </c>
      <c r="O2774" s="549">
        <v>3968</v>
      </c>
      <c r="P2774" s="549">
        <v>22.06</v>
      </c>
      <c r="Q2774" s="549">
        <v>11851.64</v>
      </c>
    </row>
    <row r="2775" spans="1:17" x14ac:dyDescent="0.25">
      <c r="A2775" s="549" t="s">
        <v>1083</v>
      </c>
      <c r="B2775" s="549" t="s">
        <v>584</v>
      </c>
      <c r="C2775" s="549" t="s">
        <v>756</v>
      </c>
      <c r="D2775" s="549" t="s">
        <v>757</v>
      </c>
      <c r="E2775" s="549" t="s">
        <v>977</v>
      </c>
      <c r="F2775" s="549" t="s">
        <v>1212</v>
      </c>
      <c r="G2775" s="549">
        <v>132</v>
      </c>
      <c r="H2775" s="549" t="s">
        <v>855</v>
      </c>
      <c r="I2775" s="549" t="s">
        <v>976</v>
      </c>
      <c r="J2775" s="549" t="s">
        <v>976</v>
      </c>
      <c r="K2775" s="549" t="s">
        <v>976</v>
      </c>
      <c r="L2775" s="549">
        <v>509800.94</v>
      </c>
      <c r="M2775" s="549">
        <v>38489.97</v>
      </c>
      <c r="N2775" s="549">
        <v>11266.6</v>
      </c>
      <c r="O2775" s="549">
        <v>3968</v>
      </c>
      <c r="P2775" s="549">
        <v>22.06</v>
      </c>
      <c r="Q2775" s="549">
        <v>11851.64</v>
      </c>
    </row>
    <row r="2776" spans="1:17" x14ac:dyDescent="0.25">
      <c r="A2776" s="549" t="s">
        <v>1083</v>
      </c>
      <c r="B2776" s="549" t="s">
        <v>584</v>
      </c>
      <c r="C2776" s="549" t="s">
        <v>756</v>
      </c>
      <c r="D2776" s="549" t="s">
        <v>757</v>
      </c>
      <c r="E2776" s="549" t="s">
        <v>977</v>
      </c>
      <c r="F2776" s="549" t="s">
        <v>1212</v>
      </c>
      <c r="G2776" s="549">
        <v>42</v>
      </c>
      <c r="H2776" s="549" t="s">
        <v>756</v>
      </c>
      <c r="I2776" s="549" t="s">
        <v>976</v>
      </c>
      <c r="J2776" s="549" t="s">
        <v>976</v>
      </c>
      <c r="K2776" s="549" t="s">
        <v>976</v>
      </c>
      <c r="L2776" s="549">
        <v>344086.71</v>
      </c>
      <c r="M2776" s="549">
        <v>25978.55</v>
      </c>
      <c r="N2776" s="549">
        <v>7604.32</v>
      </c>
      <c r="O2776" s="549">
        <v>1984</v>
      </c>
      <c r="P2776" s="549">
        <v>100</v>
      </c>
      <c r="Q2776" s="549">
        <v>35566.870000000003</v>
      </c>
    </row>
    <row r="2777" spans="1:17" x14ac:dyDescent="0.25">
      <c r="A2777" s="549" t="s">
        <v>1083</v>
      </c>
      <c r="B2777" s="549" t="s">
        <v>584</v>
      </c>
      <c r="C2777" s="549" t="s">
        <v>756</v>
      </c>
      <c r="D2777" s="549" t="s">
        <v>757</v>
      </c>
      <c r="E2777" s="549" t="s">
        <v>977</v>
      </c>
      <c r="F2777" s="549" t="s">
        <v>1212</v>
      </c>
      <c r="G2777" s="549">
        <v>62</v>
      </c>
      <c r="H2777" s="549" t="s">
        <v>756</v>
      </c>
      <c r="I2777" s="549" t="s">
        <v>976</v>
      </c>
      <c r="J2777" s="549" t="s">
        <v>976</v>
      </c>
      <c r="K2777" s="549" t="s">
        <v>976</v>
      </c>
      <c r="L2777" s="549">
        <v>344086.71</v>
      </c>
      <c r="M2777" s="549">
        <v>25978.55</v>
      </c>
      <c r="N2777" s="549">
        <v>7604.32</v>
      </c>
      <c r="O2777" s="549">
        <v>3968</v>
      </c>
      <c r="P2777" s="549">
        <v>100</v>
      </c>
      <c r="Q2777" s="549">
        <v>37550.870000000003</v>
      </c>
    </row>
    <row r="2778" spans="1:17" x14ac:dyDescent="0.25">
      <c r="A2778" s="549" t="s">
        <v>1083</v>
      </c>
      <c r="B2778" s="549" t="s">
        <v>584</v>
      </c>
      <c r="C2778" s="549" t="s">
        <v>756</v>
      </c>
      <c r="D2778" s="549" t="s">
        <v>757</v>
      </c>
      <c r="E2778" s="549" t="s">
        <v>977</v>
      </c>
      <c r="F2778" s="549" t="s">
        <v>1212</v>
      </c>
      <c r="G2778" s="549">
        <v>212</v>
      </c>
      <c r="H2778" s="549" t="s">
        <v>756</v>
      </c>
      <c r="I2778" s="549" t="s">
        <v>976</v>
      </c>
      <c r="J2778" s="549" t="s">
        <v>976</v>
      </c>
      <c r="K2778" s="549" t="s">
        <v>976</v>
      </c>
      <c r="L2778" s="549">
        <v>133151.85</v>
      </c>
      <c r="M2778" s="549">
        <v>10052.959999999999</v>
      </c>
      <c r="N2778" s="549">
        <v>2942.66</v>
      </c>
      <c r="O2778" s="549">
        <v>3968</v>
      </c>
      <c r="P2778" s="549">
        <v>100</v>
      </c>
      <c r="Q2778" s="549">
        <v>16963.62</v>
      </c>
    </row>
    <row r="2779" spans="1:17" x14ac:dyDescent="0.25">
      <c r="A2779" s="549" t="s">
        <v>1083</v>
      </c>
      <c r="B2779" s="549" t="s">
        <v>584</v>
      </c>
      <c r="C2779" s="549" t="s">
        <v>756</v>
      </c>
      <c r="D2779" s="549" t="s">
        <v>757</v>
      </c>
      <c r="E2779" s="549" t="s">
        <v>977</v>
      </c>
      <c r="F2779" s="549" t="s">
        <v>1212</v>
      </c>
      <c r="G2779" s="549">
        <v>232</v>
      </c>
      <c r="H2779" s="549" t="s">
        <v>756</v>
      </c>
      <c r="I2779" s="549" t="s">
        <v>976</v>
      </c>
      <c r="J2779" s="549" t="s">
        <v>976</v>
      </c>
      <c r="K2779" s="549" t="s">
        <v>976</v>
      </c>
      <c r="L2779" s="549">
        <v>133151.85</v>
      </c>
      <c r="M2779" s="549">
        <v>10052.959999999999</v>
      </c>
      <c r="N2779" s="549">
        <v>2942.66</v>
      </c>
      <c r="O2779" s="549">
        <v>3968</v>
      </c>
      <c r="P2779" s="549">
        <v>100</v>
      </c>
      <c r="Q2779" s="549">
        <v>16963.62</v>
      </c>
    </row>
    <row r="2780" spans="1:17" x14ac:dyDescent="0.25">
      <c r="A2780" s="549" t="s">
        <v>1083</v>
      </c>
      <c r="B2780" s="549" t="s">
        <v>584</v>
      </c>
      <c r="C2780" s="549" t="s">
        <v>756</v>
      </c>
      <c r="D2780" s="549" t="s">
        <v>757</v>
      </c>
      <c r="E2780" s="549" t="s">
        <v>977</v>
      </c>
      <c r="F2780" s="549" t="s">
        <v>1212</v>
      </c>
      <c r="G2780" s="549">
        <v>242</v>
      </c>
      <c r="H2780" s="549" t="s">
        <v>756</v>
      </c>
      <c r="I2780" s="549" t="s">
        <v>976</v>
      </c>
      <c r="J2780" s="549" t="s">
        <v>976</v>
      </c>
      <c r="K2780" s="549" t="s">
        <v>976</v>
      </c>
      <c r="L2780" s="549">
        <v>133151.85</v>
      </c>
      <c r="M2780" s="549">
        <v>10052.959999999999</v>
      </c>
      <c r="N2780" s="549">
        <v>2942.66</v>
      </c>
      <c r="O2780" s="549">
        <v>3968</v>
      </c>
      <c r="P2780" s="549">
        <v>100</v>
      </c>
      <c r="Q2780" s="549">
        <v>16963.62</v>
      </c>
    </row>
    <row r="2781" spans="1:17" x14ac:dyDescent="0.25">
      <c r="A2781" s="549" t="s">
        <v>1083</v>
      </c>
      <c r="B2781" s="549" t="s">
        <v>584</v>
      </c>
      <c r="C2781" s="549" t="s">
        <v>756</v>
      </c>
      <c r="D2781" s="549" t="s">
        <v>757</v>
      </c>
      <c r="E2781" s="549" t="s">
        <v>977</v>
      </c>
      <c r="F2781" s="549" t="s">
        <v>1212</v>
      </c>
      <c r="G2781" s="549">
        <v>282</v>
      </c>
      <c r="H2781" s="549" t="s">
        <v>756</v>
      </c>
      <c r="I2781" s="549" t="s">
        <v>976</v>
      </c>
      <c r="J2781" s="549" t="s">
        <v>976</v>
      </c>
      <c r="K2781" s="549" t="s">
        <v>976</v>
      </c>
      <c r="L2781" s="549">
        <v>133151.85</v>
      </c>
      <c r="M2781" s="549">
        <v>10052.959999999999</v>
      </c>
      <c r="N2781" s="549">
        <v>2942.66</v>
      </c>
      <c r="O2781" s="549">
        <v>3968</v>
      </c>
      <c r="P2781" s="549">
        <v>100</v>
      </c>
      <c r="Q2781" s="549">
        <v>16963.62</v>
      </c>
    </row>
    <row r="2782" spans="1:17" x14ac:dyDescent="0.25">
      <c r="A2782" s="549" t="s">
        <v>1083</v>
      </c>
      <c r="B2782" s="549" t="s">
        <v>584</v>
      </c>
      <c r="C2782" s="549" t="s">
        <v>756</v>
      </c>
      <c r="D2782" s="549" t="s">
        <v>757</v>
      </c>
      <c r="E2782" s="549" t="s">
        <v>977</v>
      </c>
      <c r="F2782" s="549" t="s">
        <v>1212</v>
      </c>
      <c r="G2782" s="549">
        <v>302</v>
      </c>
      <c r="H2782" s="549" t="s">
        <v>756</v>
      </c>
      <c r="I2782" s="549" t="s">
        <v>976</v>
      </c>
      <c r="J2782" s="549" t="s">
        <v>976</v>
      </c>
      <c r="K2782" s="549" t="s">
        <v>976</v>
      </c>
      <c r="L2782" s="549">
        <v>133151.85</v>
      </c>
      <c r="M2782" s="549">
        <v>10052.959999999999</v>
      </c>
      <c r="N2782" s="549">
        <v>2942.66</v>
      </c>
      <c r="O2782" s="549">
        <v>3968</v>
      </c>
      <c r="P2782" s="549">
        <v>100</v>
      </c>
      <c r="Q2782" s="549">
        <v>16963.62</v>
      </c>
    </row>
    <row r="2783" spans="1:17" x14ac:dyDescent="0.25">
      <c r="A2783" s="549" t="s">
        <v>1083</v>
      </c>
      <c r="B2783" s="549" t="s">
        <v>584</v>
      </c>
      <c r="C2783" s="549" t="s">
        <v>756</v>
      </c>
      <c r="D2783" s="549" t="s">
        <v>757</v>
      </c>
      <c r="E2783" s="549" t="s">
        <v>977</v>
      </c>
      <c r="F2783" s="549" t="s">
        <v>1212</v>
      </c>
      <c r="G2783" s="549" t="s">
        <v>1428</v>
      </c>
      <c r="H2783" s="549" t="s">
        <v>756</v>
      </c>
      <c r="I2783" s="549" t="s">
        <v>976</v>
      </c>
      <c r="J2783" s="549" t="s">
        <v>976</v>
      </c>
      <c r="K2783" s="549" t="s">
        <v>976</v>
      </c>
      <c r="L2783" s="549">
        <v>31351.5</v>
      </c>
      <c r="M2783" s="549">
        <v>2367.04</v>
      </c>
      <c r="N2783" s="549">
        <v>692.87</v>
      </c>
      <c r="O2783" s="549">
        <v>1984</v>
      </c>
      <c r="P2783" s="549">
        <v>100</v>
      </c>
      <c r="Q2783" s="549">
        <v>5043.91</v>
      </c>
    </row>
    <row r="2784" spans="1:17" x14ac:dyDescent="0.25">
      <c r="A2784" s="549" t="s">
        <v>1083</v>
      </c>
      <c r="B2784" s="549" t="s">
        <v>584</v>
      </c>
      <c r="C2784" s="549" t="s">
        <v>756</v>
      </c>
      <c r="D2784" s="549" t="s">
        <v>757</v>
      </c>
      <c r="E2784" s="549" t="s">
        <v>977</v>
      </c>
      <c r="F2784" s="549" t="s">
        <v>1212</v>
      </c>
      <c r="G2784" s="549" t="s">
        <v>1235</v>
      </c>
      <c r="H2784" s="549" t="s">
        <v>756</v>
      </c>
      <c r="I2784" s="549" t="s">
        <v>976</v>
      </c>
      <c r="J2784" s="549" t="s">
        <v>976</v>
      </c>
      <c r="K2784" s="549" t="s">
        <v>976</v>
      </c>
      <c r="L2784" s="549">
        <v>268770.3</v>
      </c>
      <c r="M2784" s="549">
        <v>20292.16</v>
      </c>
      <c r="N2784" s="549">
        <v>5939.82</v>
      </c>
      <c r="O2784" s="549">
        <v>992</v>
      </c>
      <c r="P2784" s="549">
        <v>100</v>
      </c>
      <c r="Q2784" s="549">
        <v>27223.98</v>
      </c>
    </row>
    <row r="2785" spans="1:17" x14ac:dyDescent="0.25">
      <c r="A2785" s="549" t="s">
        <v>1083</v>
      </c>
      <c r="B2785" s="549" t="s">
        <v>584</v>
      </c>
      <c r="C2785" s="549" t="s">
        <v>756</v>
      </c>
      <c r="D2785" s="549" t="s">
        <v>757</v>
      </c>
      <c r="E2785" s="549" t="s">
        <v>977</v>
      </c>
      <c r="F2785" s="549" t="s">
        <v>1212</v>
      </c>
      <c r="G2785" s="549" t="s">
        <v>1429</v>
      </c>
      <c r="H2785" s="549" t="s">
        <v>756</v>
      </c>
      <c r="I2785" s="549" t="s">
        <v>976</v>
      </c>
      <c r="J2785" s="549" t="s">
        <v>976</v>
      </c>
      <c r="K2785" s="549" t="s">
        <v>976</v>
      </c>
      <c r="L2785" s="549">
        <v>31999.97</v>
      </c>
      <c r="M2785" s="549">
        <v>2416</v>
      </c>
      <c r="N2785" s="549">
        <v>707.2</v>
      </c>
      <c r="O2785" s="549">
        <v>0</v>
      </c>
      <c r="P2785" s="549">
        <v>100</v>
      </c>
      <c r="Q2785" s="549">
        <v>3123.2</v>
      </c>
    </row>
    <row r="2786" spans="1:17" x14ac:dyDescent="0.25">
      <c r="A2786" s="549" t="s">
        <v>1083</v>
      </c>
      <c r="B2786" s="549" t="s">
        <v>584</v>
      </c>
      <c r="C2786" s="549" t="s">
        <v>756</v>
      </c>
      <c r="D2786" s="549" t="s">
        <v>757</v>
      </c>
      <c r="E2786" s="549" t="s">
        <v>977</v>
      </c>
      <c r="F2786" s="549" t="s">
        <v>1212</v>
      </c>
      <c r="G2786" s="549" t="s">
        <v>1242</v>
      </c>
      <c r="H2786" s="549" t="s">
        <v>756</v>
      </c>
      <c r="I2786" s="549" t="s">
        <v>976</v>
      </c>
      <c r="J2786" s="549" t="s">
        <v>976</v>
      </c>
      <c r="K2786" s="549" t="s">
        <v>976</v>
      </c>
      <c r="L2786" s="549">
        <v>30461.56</v>
      </c>
      <c r="M2786" s="549">
        <v>2299.85</v>
      </c>
      <c r="N2786" s="549">
        <v>673.2</v>
      </c>
      <c r="O2786" s="549">
        <v>0</v>
      </c>
      <c r="P2786" s="549">
        <v>100</v>
      </c>
      <c r="Q2786" s="549">
        <v>2973.05</v>
      </c>
    </row>
    <row r="2787" spans="1:17" x14ac:dyDescent="0.25">
      <c r="A2787" s="549" t="s">
        <v>1083</v>
      </c>
      <c r="B2787" s="549" t="s">
        <v>584</v>
      </c>
      <c r="C2787" s="549" t="s">
        <v>756</v>
      </c>
      <c r="D2787" s="549" t="s">
        <v>757</v>
      </c>
      <c r="E2787" s="549" t="s">
        <v>977</v>
      </c>
      <c r="F2787" s="549" t="s">
        <v>1212</v>
      </c>
      <c r="G2787" s="549" t="s">
        <v>1214</v>
      </c>
      <c r="H2787" s="549" t="s">
        <v>756</v>
      </c>
      <c r="I2787" s="549" t="s">
        <v>976</v>
      </c>
      <c r="J2787" s="549" t="s">
        <v>976</v>
      </c>
      <c r="K2787" s="549" t="s">
        <v>976</v>
      </c>
      <c r="L2787" s="549">
        <v>48805.45</v>
      </c>
      <c r="M2787" s="549">
        <v>3684.81</v>
      </c>
      <c r="N2787" s="549">
        <v>1078.5999999999999</v>
      </c>
      <c r="O2787" s="549">
        <v>0</v>
      </c>
      <c r="P2787" s="549">
        <v>100</v>
      </c>
      <c r="Q2787" s="549">
        <v>4763.41</v>
      </c>
    </row>
    <row r="2788" spans="1:17" x14ac:dyDescent="0.25">
      <c r="A2788" s="549" t="s">
        <v>1083</v>
      </c>
      <c r="B2788" s="549" t="s">
        <v>584</v>
      </c>
      <c r="C2788" s="549" t="s">
        <v>756</v>
      </c>
      <c r="D2788" s="549" t="s">
        <v>757</v>
      </c>
      <c r="E2788" s="549" t="s">
        <v>977</v>
      </c>
      <c r="F2788" s="549" t="s">
        <v>1212</v>
      </c>
      <c r="G2788" s="549">
        <v>72</v>
      </c>
      <c r="H2788" s="549" t="s">
        <v>523</v>
      </c>
      <c r="I2788" s="549" t="s">
        <v>976</v>
      </c>
      <c r="J2788" s="549" t="s">
        <v>976</v>
      </c>
      <c r="K2788" s="549" t="s">
        <v>976</v>
      </c>
      <c r="L2788" s="549">
        <v>504629.39</v>
      </c>
      <c r="M2788" s="549">
        <v>38099.519999999997</v>
      </c>
      <c r="N2788" s="549">
        <v>11152.31</v>
      </c>
      <c r="O2788" s="549">
        <v>3968</v>
      </c>
      <c r="P2788" s="549">
        <v>26.45</v>
      </c>
      <c r="Q2788" s="549">
        <v>14076.65</v>
      </c>
    </row>
    <row r="2789" spans="1:17" x14ac:dyDescent="0.25">
      <c r="A2789" s="549" t="s">
        <v>1083</v>
      </c>
      <c r="B2789" s="549" t="s">
        <v>584</v>
      </c>
      <c r="C2789" s="549" t="s">
        <v>756</v>
      </c>
      <c r="D2789" s="549" t="s">
        <v>757</v>
      </c>
      <c r="E2789" s="549" t="s">
        <v>977</v>
      </c>
      <c r="F2789" s="549" t="s">
        <v>1212</v>
      </c>
      <c r="G2789" s="549">
        <v>92</v>
      </c>
      <c r="H2789" s="549" t="s">
        <v>523</v>
      </c>
      <c r="I2789" s="549" t="s">
        <v>976</v>
      </c>
      <c r="J2789" s="549" t="s">
        <v>976</v>
      </c>
      <c r="K2789" s="549" t="s">
        <v>976</v>
      </c>
      <c r="L2789" s="549">
        <v>504629.39</v>
      </c>
      <c r="M2789" s="549">
        <v>38099.519999999997</v>
      </c>
      <c r="N2789" s="549">
        <v>11152.31</v>
      </c>
      <c r="O2789" s="549">
        <v>3968</v>
      </c>
      <c r="P2789" s="549">
        <v>26.45</v>
      </c>
      <c r="Q2789" s="549">
        <v>14076.65</v>
      </c>
    </row>
    <row r="2790" spans="1:17" x14ac:dyDescent="0.25">
      <c r="A2790" s="549" t="s">
        <v>1083</v>
      </c>
      <c r="B2790" s="549" t="s">
        <v>584</v>
      </c>
      <c r="C2790" s="549" t="s">
        <v>756</v>
      </c>
      <c r="D2790" s="549" t="s">
        <v>757</v>
      </c>
      <c r="E2790" s="549" t="s">
        <v>977</v>
      </c>
      <c r="F2790" s="549" t="s">
        <v>1212</v>
      </c>
      <c r="G2790" s="549">
        <v>102</v>
      </c>
      <c r="H2790" s="549" t="s">
        <v>523</v>
      </c>
      <c r="I2790" s="549" t="s">
        <v>976</v>
      </c>
      <c r="J2790" s="549" t="s">
        <v>976</v>
      </c>
      <c r="K2790" s="549" t="s">
        <v>976</v>
      </c>
      <c r="L2790" s="549">
        <v>504629.39</v>
      </c>
      <c r="M2790" s="549">
        <v>38099.519999999997</v>
      </c>
      <c r="N2790" s="549">
        <v>11152.31</v>
      </c>
      <c r="O2790" s="549">
        <v>3968</v>
      </c>
      <c r="P2790" s="549">
        <v>100</v>
      </c>
      <c r="Q2790" s="549">
        <v>53219.83</v>
      </c>
    </row>
    <row r="2791" spans="1:17" x14ac:dyDescent="0.25">
      <c r="A2791" s="549" t="s">
        <v>1083</v>
      </c>
      <c r="B2791" s="549" t="s">
        <v>584</v>
      </c>
      <c r="C2791" s="549" t="s">
        <v>756</v>
      </c>
      <c r="D2791" s="549" t="s">
        <v>757</v>
      </c>
      <c r="E2791" s="549" t="s">
        <v>977</v>
      </c>
      <c r="F2791" s="549" t="s">
        <v>1212</v>
      </c>
      <c r="G2791" s="549" t="s">
        <v>1249</v>
      </c>
      <c r="H2791" s="549" t="s">
        <v>523</v>
      </c>
      <c r="I2791" s="549" t="s">
        <v>976</v>
      </c>
      <c r="J2791" s="549" t="s">
        <v>976</v>
      </c>
      <c r="K2791" s="549" t="s">
        <v>976</v>
      </c>
      <c r="L2791" s="549">
        <v>48805.45</v>
      </c>
      <c r="M2791" s="549">
        <v>3684.81</v>
      </c>
      <c r="N2791" s="549">
        <v>1078.5999999999999</v>
      </c>
      <c r="O2791" s="549">
        <v>0</v>
      </c>
      <c r="P2791" s="549">
        <v>26.45</v>
      </c>
      <c r="Q2791" s="549">
        <v>1259.92</v>
      </c>
    </row>
    <row r="2792" spans="1:17" x14ac:dyDescent="0.25">
      <c r="A2792" s="549" t="s">
        <v>1083</v>
      </c>
      <c r="B2792" s="549" t="s">
        <v>584</v>
      </c>
      <c r="C2792" s="549" t="s">
        <v>756</v>
      </c>
      <c r="D2792" s="549" t="s">
        <v>757</v>
      </c>
      <c r="E2792" s="549" t="s">
        <v>977</v>
      </c>
      <c r="F2792" s="549" t="s">
        <v>1212</v>
      </c>
      <c r="G2792" s="549" t="s">
        <v>1250</v>
      </c>
      <c r="H2792" s="549" t="s">
        <v>523</v>
      </c>
      <c r="I2792" s="549" t="s">
        <v>976</v>
      </c>
      <c r="J2792" s="549" t="s">
        <v>976</v>
      </c>
      <c r="K2792" s="549" t="s">
        <v>976</v>
      </c>
      <c r="L2792" s="549">
        <v>48805.45</v>
      </c>
      <c r="M2792" s="549">
        <v>3684.81</v>
      </c>
      <c r="N2792" s="549">
        <v>1078.5999999999999</v>
      </c>
      <c r="O2792" s="549">
        <v>0</v>
      </c>
      <c r="P2792" s="549">
        <v>26.45</v>
      </c>
      <c r="Q2792" s="549">
        <v>1259.92</v>
      </c>
    </row>
    <row r="2793" spans="1:17" x14ac:dyDescent="0.25">
      <c r="A2793" s="549" t="s">
        <v>1083</v>
      </c>
      <c r="B2793" s="549" t="s">
        <v>584</v>
      </c>
      <c r="C2793" s="549" t="s">
        <v>789</v>
      </c>
      <c r="D2793" s="549" t="s">
        <v>790</v>
      </c>
      <c r="E2793" s="549" t="s">
        <v>973</v>
      </c>
      <c r="F2793" s="549" t="s">
        <v>1212</v>
      </c>
      <c r="G2793" s="549">
        <v>822</v>
      </c>
      <c r="H2793" s="549" t="s">
        <v>789</v>
      </c>
      <c r="I2793" s="549" t="s">
        <v>976</v>
      </c>
      <c r="J2793" s="549" t="s">
        <v>976</v>
      </c>
      <c r="K2793" s="549" t="s">
        <v>976</v>
      </c>
      <c r="L2793" s="549">
        <v>344086.71</v>
      </c>
      <c r="M2793" s="549">
        <v>25978.55</v>
      </c>
      <c r="N2793" s="549">
        <v>19750.580000000002</v>
      </c>
      <c r="O2793" s="549">
        <v>1984</v>
      </c>
      <c r="P2793" s="549">
        <v>37.85</v>
      </c>
      <c r="Q2793" s="549">
        <v>18059.419999999998</v>
      </c>
    </row>
    <row r="2794" spans="1:17" x14ac:dyDescent="0.25">
      <c r="A2794" s="549" t="s">
        <v>1083</v>
      </c>
      <c r="B2794" s="549" t="s">
        <v>584</v>
      </c>
      <c r="C2794" s="549" t="s">
        <v>789</v>
      </c>
      <c r="D2794" s="549" t="s">
        <v>790</v>
      </c>
      <c r="E2794" s="549" t="s">
        <v>973</v>
      </c>
      <c r="F2794" s="549" t="s">
        <v>1212</v>
      </c>
      <c r="G2794" s="549">
        <v>862</v>
      </c>
      <c r="H2794" s="549" t="s">
        <v>789</v>
      </c>
      <c r="I2794" s="549" t="s">
        <v>976</v>
      </c>
      <c r="J2794" s="549" t="s">
        <v>976</v>
      </c>
      <c r="K2794" s="549" t="s">
        <v>976</v>
      </c>
      <c r="L2794" s="549">
        <v>344086.71</v>
      </c>
      <c r="M2794" s="549">
        <v>25978.55</v>
      </c>
      <c r="N2794" s="549">
        <v>19750.580000000002</v>
      </c>
      <c r="O2794" s="549">
        <v>1984</v>
      </c>
      <c r="P2794" s="549">
        <v>37.85</v>
      </c>
      <c r="Q2794" s="549">
        <v>18059.419999999998</v>
      </c>
    </row>
    <row r="2795" spans="1:17" x14ac:dyDescent="0.25">
      <c r="A2795" s="549" t="s">
        <v>1083</v>
      </c>
      <c r="B2795" s="549" t="s">
        <v>584</v>
      </c>
      <c r="C2795" s="549" t="s">
        <v>789</v>
      </c>
      <c r="D2795" s="549" t="s">
        <v>790</v>
      </c>
      <c r="E2795" s="549" t="s">
        <v>973</v>
      </c>
      <c r="F2795" s="549" t="s">
        <v>1212</v>
      </c>
      <c r="G2795" s="549">
        <v>1262</v>
      </c>
      <c r="H2795" s="549" t="s">
        <v>789</v>
      </c>
      <c r="I2795" s="549" t="s">
        <v>976</v>
      </c>
      <c r="J2795" s="549" t="s">
        <v>976</v>
      </c>
      <c r="K2795" s="549" t="s">
        <v>976</v>
      </c>
      <c r="L2795" s="549">
        <v>138390</v>
      </c>
      <c r="M2795" s="549">
        <v>10448.44</v>
      </c>
      <c r="N2795" s="549">
        <v>7943.59</v>
      </c>
      <c r="O2795" s="549">
        <v>3968</v>
      </c>
      <c r="P2795" s="549">
        <v>37.85</v>
      </c>
      <c r="Q2795" s="549">
        <v>8463.27</v>
      </c>
    </row>
    <row r="2796" spans="1:17" x14ac:dyDescent="0.25">
      <c r="A2796" s="549" t="s">
        <v>1083</v>
      </c>
      <c r="B2796" s="549" t="s">
        <v>584</v>
      </c>
      <c r="C2796" s="549" t="s">
        <v>789</v>
      </c>
      <c r="D2796" s="549" t="s">
        <v>790</v>
      </c>
      <c r="E2796" s="549" t="s">
        <v>973</v>
      </c>
      <c r="F2796" s="549" t="s">
        <v>1212</v>
      </c>
      <c r="G2796" s="549">
        <v>1272</v>
      </c>
      <c r="H2796" s="549" t="s">
        <v>789</v>
      </c>
      <c r="I2796" s="549" t="s">
        <v>976</v>
      </c>
      <c r="J2796" s="549" t="s">
        <v>976</v>
      </c>
      <c r="K2796" s="549" t="s">
        <v>976</v>
      </c>
      <c r="L2796" s="549">
        <v>126107.66</v>
      </c>
      <c r="M2796" s="549">
        <v>9521.1299999999992</v>
      </c>
      <c r="N2796" s="549">
        <v>7238.58</v>
      </c>
      <c r="O2796" s="549">
        <v>1984</v>
      </c>
      <c r="P2796" s="549">
        <v>37.85</v>
      </c>
      <c r="Q2796" s="549">
        <v>7094.49</v>
      </c>
    </row>
    <row r="2797" spans="1:17" x14ac:dyDescent="0.25">
      <c r="A2797" s="549" t="s">
        <v>1083</v>
      </c>
      <c r="B2797" s="549" t="s">
        <v>584</v>
      </c>
      <c r="C2797" s="549" t="s">
        <v>789</v>
      </c>
      <c r="D2797" s="549" t="s">
        <v>790</v>
      </c>
      <c r="E2797" s="549" t="s">
        <v>973</v>
      </c>
      <c r="F2797" s="549" t="s">
        <v>1212</v>
      </c>
      <c r="G2797" s="549">
        <v>1282</v>
      </c>
      <c r="H2797" s="549" t="s">
        <v>789</v>
      </c>
      <c r="I2797" s="549" t="s">
        <v>976</v>
      </c>
      <c r="J2797" s="549" t="s">
        <v>976</v>
      </c>
      <c r="K2797" s="549" t="s">
        <v>976</v>
      </c>
      <c r="L2797" s="549">
        <v>138390</v>
      </c>
      <c r="M2797" s="549">
        <v>10448.44</v>
      </c>
      <c r="N2797" s="549">
        <v>7943.59</v>
      </c>
      <c r="O2797" s="549">
        <v>3968</v>
      </c>
      <c r="P2797" s="549">
        <v>37.85</v>
      </c>
      <c r="Q2797" s="549">
        <v>8463.27</v>
      </c>
    </row>
    <row r="2798" spans="1:17" x14ac:dyDescent="0.25">
      <c r="A2798" s="549" t="s">
        <v>1083</v>
      </c>
      <c r="B2798" s="549" t="s">
        <v>584</v>
      </c>
      <c r="C2798" s="549" t="s">
        <v>789</v>
      </c>
      <c r="D2798" s="549" t="s">
        <v>790</v>
      </c>
      <c r="E2798" s="549" t="s">
        <v>973</v>
      </c>
      <c r="F2798" s="549" t="s">
        <v>1212</v>
      </c>
      <c r="G2798" s="549">
        <v>1292</v>
      </c>
      <c r="H2798" s="549" t="s">
        <v>789</v>
      </c>
      <c r="I2798" s="549" t="s">
        <v>976</v>
      </c>
      <c r="J2798" s="549" t="s">
        <v>976</v>
      </c>
      <c r="K2798" s="549" t="s">
        <v>976</v>
      </c>
      <c r="L2798" s="549">
        <v>138390</v>
      </c>
      <c r="M2798" s="549">
        <v>10448.44</v>
      </c>
      <c r="N2798" s="549">
        <v>7943.59</v>
      </c>
      <c r="O2798" s="549">
        <v>3968</v>
      </c>
      <c r="P2798" s="549">
        <v>37.85</v>
      </c>
      <c r="Q2798" s="549">
        <v>8463.27</v>
      </c>
    </row>
    <row r="2799" spans="1:17" x14ac:dyDescent="0.25">
      <c r="A2799" s="549" t="s">
        <v>1083</v>
      </c>
      <c r="B2799" s="549" t="s">
        <v>584</v>
      </c>
      <c r="C2799" s="549" t="s">
        <v>789</v>
      </c>
      <c r="D2799" s="549" t="s">
        <v>790</v>
      </c>
      <c r="E2799" s="549" t="s">
        <v>973</v>
      </c>
      <c r="F2799" s="549" t="s">
        <v>1212</v>
      </c>
      <c r="G2799" s="549">
        <v>1308</v>
      </c>
      <c r="H2799" s="549" t="s">
        <v>789</v>
      </c>
      <c r="I2799" s="549" t="s">
        <v>976</v>
      </c>
      <c r="J2799" s="549" t="s">
        <v>976</v>
      </c>
      <c r="K2799" s="549" t="s">
        <v>976</v>
      </c>
      <c r="L2799" s="549">
        <v>109944.59</v>
      </c>
      <c r="M2799" s="549">
        <v>8300.82</v>
      </c>
      <c r="N2799" s="549">
        <v>6310.82</v>
      </c>
      <c r="O2799" s="549">
        <v>2976</v>
      </c>
      <c r="P2799" s="549">
        <v>37.85</v>
      </c>
      <c r="Q2799" s="549">
        <v>6656.92</v>
      </c>
    </row>
    <row r="2800" spans="1:17" x14ac:dyDescent="0.25">
      <c r="A2800" s="549" t="s">
        <v>1083</v>
      </c>
      <c r="B2800" s="549" t="s">
        <v>584</v>
      </c>
      <c r="C2800" s="549" t="s">
        <v>789</v>
      </c>
      <c r="D2800" s="549" t="s">
        <v>790</v>
      </c>
      <c r="E2800" s="549" t="s">
        <v>973</v>
      </c>
      <c r="F2800" s="549" t="s">
        <v>1212</v>
      </c>
      <c r="G2800" s="549">
        <v>1342</v>
      </c>
      <c r="H2800" s="549" t="s">
        <v>789</v>
      </c>
      <c r="I2800" s="549" t="s">
        <v>976</v>
      </c>
      <c r="J2800" s="549" t="s">
        <v>976</v>
      </c>
      <c r="K2800" s="549" t="s">
        <v>976</v>
      </c>
      <c r="L2800" s="549">
        <v>138390</v>
      </c>
      <c r="M2800" s="549">
        <v>10448.44</v>
      </c>
      <c r="N2800" s="549">
        <v>7943.59</v>
      </c>
      <c r="O2800" s="549">
        <v>3968</v>
      </c>
      <c r="P2800" s="549">
        <v>37.85</v>
      </c>
      <c r="Q2800" s="549">
        <v>8463.27</v>
      </c>
    </row>
    <row r="2801" spans="1:17" x14ac:dyDescent="0.25">
      <c r="A2801" s="549" t="s">
        <v>1083</v>
      </c>
      <c r="B2801" s="549" t="s">
        <v>584</v>
      </c>
      <c r="C2801" s="549" t="s">
        <v>789</v>
      </c>
      <c r="D2801" s="549" t="s">
        <v>790</v>
      </c>
      <c r="E2801" s="549" t="s">
        <v>973</v>
      </c>
      <c r="F2801" s="549" t="s">
        <v>1212</v>
      </c>
      <c r="G2801" s="549">
        <v>1352</v>
      </c>
      <c r="H2801" s="549" t="s">
        <v>789</v>
      </c>
      <c r="I2801" s="549" t="s">
        <v>976</v>
      </c>
      <c r="J2801" s="549" t="s">
        <v>976</v>
      </c>
      <c r="K2801" s="549" t="s">
        <v>976</v>
      </c>
      <c r="L2801" s="549">
        <v>126107.66</v>
      </c>
      <c r="M2801" s="549">
        <v>9521.1299999999992</v>
      </c>
      <c r="N2801" s="549">
        <v>7238.58</v>
      </c>
      <c r="O2801" s="549">
        <v>1984</v>
      </c>
      <c r="P2801" s="549">
        <v>37.85</v>
      </c>
      <c r="Q2801" s="549">
        <v>7094.49</v>
      </c>
    </row>
    <row r="2802" spans="1:17" x14ac:dyDescent="0.25">
      <c r="A2802" s="549" t="s">
        <v>1083</v>
      </c>
      <c r="B2802" s="549" t="s">
        <v>584</v>
      </c>
      <c r="C2802" s="549" t="s">
        <v>789</v>
      </c>
      <c r="D2802" s="549" t="s">
        <v>790</v>
      </c>
      <c r="E2802" s="549" t="s">
        <v>973</v>
      </c>
      <c r="F2802" s="549" t="s">
        <v>1212</v>
      </c>
      <c r="G2802" s="549">
        <v>1372</v>
      </c>
      <c r="H2802" s="549" t="s">
        <v>789</v>
      </c>
      <c r="I2802" s="549" t="s">
        <v>976</v>
      </c>
      <c r="J2802" s="549" t="s">
        <v>976</v>
      </c>
      <c r="K2802" s="549" t="s">
        <v>976</v>
      </c>
      <c r="L2802" s="549">
        <v>138390</v>
      </c>
      <c r="M2802" s="549">
        <v>10448.44</v>
      </c>
      <c r="N2802" s="549">
        <v>7943.59</v>
      </c>
      <c r="O2802" s="549">
        <v>3968</v>
      </c>
      <c r="P2802" s="549">
        <v>37.85</v>
      </c>
      <c r="Q2802" s="549">
        <v>8463.27</v>
      </c>
    </row>
    <row r="2803" spans="1:17" x14ac:dyDescent="0.25">
      <c r="A2803" s="549" t="s">
        <v>1083</v>
      </c>
      <c r="B2803" s="549" t="s">
        <v>584</v>
      </c>
      <c r="C2803" s="549" t="s">
        <v>789</v>
      </c>
      <c r="D2803" s="549" t="s">
        <v>790</v>
      </c>
      <c r="E2803" s="549" t="s">
        <v>973</v>
      </c>
      <c r="F2803" s="549" t="s">
        <v>1212</v>
      </c>
      <c r="G2803" s="549" t="s">
        <v>1409</v>
      </c>
      <c r="H2803" s="549" t="s">
        <v>789</v>
      </c>
      <c r="I2803" s="549" t="s">
        <v>976</v>
      </c>
      <c r="J2803" s="549" t="s">
        <v>976</v>
      </c>
      <c r="K2803" s="549" t="s">
        <v>976</v>
      </c>
      <c r="L2803" s="549">
        <v>30525.21</v>
      </c>
      <c r="M2803" s="549">
        <v>2304.65</v>
      </c>
      <c r="N2803" s="549">
        <v>1752.15</v>
      </c>
      <c r="O2803" s="549">
        <v>0</v>
      </c>
      <c r="P2803" s="549">
        <v>37.85</v>
      </c>
      <c r="Q2803" s="549">
        <v>1535.5</v>
      </c>
    </row>
    <row r="2804" spans="1:17" x14ac:dyDescent="0.25">
      <c r="A2804" s="549" t="s">
        <v>1083</v>
      </c>
      <c r="B2804" s="549" t="s">
        <v>584</v>
      </c>
      <c r="C2804" s="549" t="s">
        <v>789</v>
      </c>
      <c r="D2804" s="549" t="s">
        <v>790</v>
      </c>
      <c r="E2804" s="549" t="s">
        <v>973</v>
      </c>
      <c r="F2804" s="549" t="s">
        <v>1212</v>
      </c>
      <c r="G2804" s="549" t="s">
        <v>1328</v>
      </c>
      <c r="H2804" s="549" t="s">
        <v>789</v>
      </c>
      <c r="I2804" s="549" t="s">
        <v>976</v>
      </c>
      <c r="J2804" s="549" t="s">
        <v>976</v>
      </c>
      <c r="K2804" s="549" t="s">
        <v>976</v>
      </c>
      <c r="L2804" s="549">
        <v>30525.21</v>
      </c>
      <c r="M2804" s="549">
        <v>2304.65</v>
      </c>
      <c r="N2804" s="549">
        <v>1752.15</v>
      </c>
      <c r="O2804" s="549">
        <v>0</v>
      </c>
      <c r="P2804" s="549">
        <v>37.85</v>
      </c>
      <c r="Q2804" s="549">
        <v>1535.5</v>
      </c>
    </row>
    <row r="2805" spans="1:17" x14ac:dyDescent="0.25">
      <c r="A2805" s="549" t="s">
        <v>1083</v>
      </c>
      <c r="B2805" s="549" t="s">
        <v>584</v>
      </c>
      <c r="C2805" s="549" t="s">
        <v>789</v>
      </c>
      <c r="D2805" s="549" t="s">
        <v>790</v>
      </c>
      <c r="E2805" s="549" t="s">
        <v>977</v>
      </c>
      <c r="F2805" s="549" t="s">
        <v>1212</v>
      </c>
      <c r="G2805" s="549">
        <v>822</v>
      </c>
      <c r="H2805" s="549" t="s">
        <v>789</v>
      </c>
      <c r="I2805" s="549" t="s">
        <v>976</v>
      </c>
      <c r="J2805" s="549" t="s">
        <v>976</v>
      </c>
      <c r="K2805" s="549" t="s">
        <v>976</v>
      </c>
      <c r="L2805" s="549">
        <v>344086.71</v>
      </c>
      <c r="M2805" s="549">
        <v>25978.55</v>
      </c>
      <c r="N2805" s="549">
        <v>7604.32</v>
      </c>
      <c r="O2805" s="549">
        <v>1984</v>
      </c>
      <c r="P2805" s="549">
        <v>62.15</v>
      </c>
      <c r="Q2805" s="549">
        <v>22104.81</v>
      </c>
    </row>
    <row r="2806" spans="1:17" x14ac:dyDescent="0.25">
      <c r="A2806" s="549" t="s">
        <v>1083</v>
      </c>
      <c r="B2806" s="549" t="s">
        <v>584</v>
      </c>
      <c r="C2806" s="549" t="s">
        <v>789</v>
      </c>
      <c r="D2806" s="549" t="s">
        <v>790</v>
      </c>
      <c r="E2806" s="549" t="s">
        <v>977</v>
      </c>
      <c r="F2806" s="549" t="s">
        <v>1212</v>
      </c>
      <c r="G2806" s="549">
        <v>862</v>
      </c>
      <c r="H2806" s="549" t="s">
        <v>789</v>
      </c>
      <c r="I2806" s="549" t="s">
        <v>976</v>
      </c>
      <c r="J2806" s="549" t="s">
        <v>976</v>
      </c>
      <c r="K2806" s="549" t="s">
        <v>976</v>
      </c>
      <c r="L2806" s="549">
        <v>344086.71</v>
      </c>
      <c r="M2806" s="549">
        <v>25978.55</v>
      </c>
      <c r="N2806" s="549">
        <v>7604.32</v>
      </c>
      <c r="O2806" s="549">
        <v>1984</v>
      </c>
      <c r="P2806" s="549">
        <v>62.15</v>
      </c>
      <c r="Q2806" s="549">
        <v>22104.81</v>
      </c>
    </row>
    <row r="2807" spans="1:17" x14ac:dyDescent="0.25">
      <c r="A2807" s="549" t="s">
        <v>1083</v>
      </c>
      <c r="B2807" s="549" t="s">
        <v>584</v>
      </c>
      <c r="C2807" s="549" t="s">
        <v>789</v>
      </c>
      <c r="D2807" s="549" t="s">
        <v>790</v>
      </c>
      <c r="E2807" s="549" t="s">
        <v>977</v>
      </c>
      <c r="F2807" s="549" t="s">
        <v>1212</v>
      </c>
      <c r="G2807" s="549">
        <v>1262</v>
      </c>
      <c r="H2807" s="549" t="s">
        <v>789</v>
      </c>
      <c r="I2807" s="549" t="s">
        <v>976</v>
      </c>
      <c r="J2807" s="549" t="s">
        <v>976</v>
      </c>
      <c r="K2807" s="549" t="s">
        <v>976</v>
      </c>
      <c r="L2807" s="549">
        <v>138390</v>
      </c>
      <c r="M2807" s="549">
        <v>10448.44</v>
      </c>
      <c r="N2807" s="549">
        <v>3058.42</v>
      </c>
      <c r="O2807" s="549">
        <v>3968</v>
      </c>
      <c r="P2807" s="549">
        <v>62.15</v>
      </c>
      <c r="Q2807" s="549">
        <v>10860.63</v>
      </c>
    </row>
    <row r="2808" spans="1:17" x14ac:dyDescent="0.25">
      <c r="A2808" s="549" t="s">
        <v>1083</v>
      </c>
      <c r="B2808" s="549" t="s">
        <v>584</v>
      </c>
      <c r="C2808" s="549" t="s">
        <v>789</v>
      </c>
      <c r="D2808" s="549" t="s">
        <v>790</v>
      </c>
      <c r="E2808" s="549" t="s">
        <v>977</v>
      </c>
      <c r="F2808" s="549" t="s">
        <v>1212</v>
      </c>
      <c r="G2808" s="549">
        <v>1272</v>
      </c>
      <c r="H2808" s="549" t="s">
        <v>789</v>
      </c>
      <c r="I2808" s="549" t="s">
        <v>976</v>
      </c>
      <c r="J2808" s="549" t="s">
        <v>976</v>
      </c>
      <c r="K2808" s="549" t="s">
        <v>976</v>
      </c>
      <c r="L2808" s="549">
        <v>126107.66</v>
      </c>
      <c r="M2808" s="549">
        <v>9521.1299999999992</v>
      </c>
      <c r="N2808" s="549">
        <v>2786.98</v>
      </c>
      <c r="O2808" s="549">
        <v>1984</v>
      </c>
      <c r="P2808" s="549">
        <v>62.15</v>
      </c>
      <c r="Q2808" s="549">
        <v>8882.5499999999993</v>
      </c>
    </row>
    <row r="2809" spans="1:17" x14ac:dyDescent="0.25">
      <c r="A2809" s="549" t="s">
        <v>1083</v>
      </c>
      <c r="B2809" s="549" t="s">
        <v>584</v>
      </c>
      <c r="C2809" s="549" t="s">
        <v>789</v>
      </c>
      <c r="D2809" s="549" t="s">
        <v>790</v>
      </c>
      <c r="E2809" s="549" t="s">
        <v>977</v>
      </c>
      <c r="F2809" s="549" t="s">
        <v>1212</v>
      </c>
      <c r="G2809" s="549">
        <v>1282</v>
      </c>
      <c r="H2809" s="549" t="s">
        <v>789</v>
      </c>
      <c r="I2809" s="549" t="s">
        <v>976</v>
      </c>
      <c r="J2809" s="549" t="s">
        <v>976</v>
      </c>
      <c r="K2809" s="549" t="s">
        <v>976</v>
      </c>
      <c r="L2809" s="549">
        <v>138390</v>
      </c>
      <c r="M2809" s="549">
        <v>10448.44</v>
      </c>
      <c r="N2809" s="549">
        <v>3058.42</v>
      </c>
      <c r="O2809" s="549">
        <v>3968</v>
      </c>
      <c r="P2809" s="549">
        <v>62.15</v>
      </c>
      <c r="Q2809" s="549">
        <v>10860.63</v>
      </c>
    </row>
    <row r="2810" spans="1:17" x14ac:dyDescent="0.25">
      <c r="A2810" s="549" t="s">
        <v>1083</v>
      </c>
      <c r="B2810" s="549" t="s">
        <v>584</v>
      </c>
      <c r="C2810" s="549" t="s">
        <v>789</v>
      </c>
      <c r="D2810" s="549" t="s">
        <v>790</v>
      </c>
      <c r="E2810" s="549" t="s">
        <v>977</v>
      </c>
      <c r="F2810" s="549" t="s">
        <v>1212</v>
      </c>
      <c r="G2810" s="549">
        <v>1292</v>
      </c>
      <c r="H2810" s="549" t="s">
        <v>789</v>
      </c>
      <c r="I2810" s="549" t="s">
        <v>976</v>
      </c>
      <c r="J2810" s="549" t="s">
        <v>976</v>
      </c>
      <c r="K2810" s="549" t="s">
        <v>976</v>
      </c>
      <c r="L2810" s="549">
        <v>138390</v>
      </c>
      <c r="M2810" s="549">
        <v>10448.44</v>
      </c>
      <c r="N2810" s="549">
        <v>3058.42</v>
      </c>
      <c r="O2810" s="549">
        <v>3968</v>
      </c>
      <c r="P2810" s="549">
        <v>62.15</v>
      </c>
      <c r="Q2810" s="549">
        <v>10860.63</v>
      </c>
    </row>
    <row r="2811" spans="1:17" x14ac:dyDescent="0.25">
      <c r="A2811" s="549" t="s">
        <v>1083</v>
      </c>
      <c r="B2811" s="549" t="s">
        <v>584</v>
      </c>
      <c r="C2811" s="549" t="s">
        <v>789</v>
      </c>
      <c r="D2811" s="549" t="s">
        <v>790</v>
      </c>
      <c r="E2811" s="549" t="s">
        <v>977</v>
      </c>
      <c r="F2811" s="549" t="s">
        <v>1212</v>
      </c>
      <c r="G2811" s="549">
        <v>1308</v>
      </c>
      <c r="H2811" s="549" t="s">
        <v>789</v>
      </c>
      <c r="I2811" s="549" t="s">
        <v>976</v>
      </c>
      <c r="J2811" s="549" t="s">
        <v>976</v>
      </c>
      <c r="K2811" s="549" t="s">
        <v>976</v>
      </c>
      <c r="L2811" s="549">
        <v>109944.59</v>
      </c>
      <c r="M2811" s="549">
        <v>8300.82</v>
      </c>
      <c r="N2811" s="549">
        <v>2429.7800000000002</v>
      </c>
      <c r="O2811" s="549">
        <v>2976</v>
      </c>
      <c r="P2811" s="549">
        <v>62.15</v>
      </c>
      <c r="Q2811" s="549">
        <v>8518.65</v>
      </c>
    </row>
    <row r="2812" spans="1:17" x14ac:dyDescent="0.25">
      <c r="A2812" s="549" t="s">
        <v>1083</v>
      </c>
      <c r="B2812" s="549" t="s">
        <v>584</v>
      </c>
      <c r="C2812" s="549" t="s">
        <v>789</v>
      </c>
      <c r="D2812" s="549" t="s">
        <v>790</v>
      </c>
      <c r="E2812" s="549" t="s">
        <v>977</v>
      </c>
      <c r="F2812" s="549" t="s">
        <v>1212</v>
      </c>
      <c r="G2812" s="549">
        <v>1342</v>
      </c>
      <c r="H2812" s="549" t="s">
        <v>789</v>
      </c>
      <c r="I2812" s="549" t="s">
        <v>976</v>
      </c>
      <c r="J2812" s="549" t="s">
        <v>976</v>
      </c>
      <c r="K2812" s="549" t="s">
        <v>976</v>
      </c>
      <c r="L2812" s="549">
        <v>138390</v>
      </c>
      <c r="M2812" s="549">
        <v>10448.44</v>
      </c>
      <c r="N2812" s="549">
        <v>3058.42</v>
      </c>
      <c r="O2812" s="549">
        <v>3968</v>
      </c>
      <c r="P2812" s="549">
        <v>62.15</v>
      </c>
      <c r="Q2812" s="549">
        <v>10860.63</v>
      </c>
    </row>
    <row r="2813" spans="1:17" x14ac:dyDescent="0.25">
      <c r="A2813" s="549" t="s">
        <v>1083</v>
      </c>
      <c r="B2813" s="549" t="s">
        <v>584</v>
      </c>
      <c r="C2813" s="549" t="s">
        <v>789</v>
      </c>
      <c r="D2813" s="549" t="s">
        <v>790</v>
      </c>
      <c r="E2813" s="549" t="s">
        <v>977</v>
      </c>
      <c r="F2813" s="549" t="s">
        <v>1212</v>
      </c>
      <c r="G2813" s="549">
        <v>1352</v>
      </c>
      <c r="H2813" s="549" t="s">
        <v>789</v>
      </c>
      <c r="I2813" s="549" t="s">
        <v>976</v>
      </c>
      <c r="J2813" s="549" t="s">
        <v>976</v>
      </c>
      <c r="K2813" s="549" t="s">
        <v>976</v>
      </c>
      <c r="L2813" s="549">
        <v>126107.66</v>
      </c>
      <c r="M2813" s="549">
        <v>9521.1299999999992</v>
      </c>
      <c r="N2813" s="549">
        <v>2786.98</v>
      </c>
      <c r="O2813" s="549">
        <v>1984</v>
      </c>
      <c r="P2813" s="549">
        <v>62.15</v>
      </c>
      <c r="Q2813" s="549">
        <v>8882.5499999999993</v>
      </c>
    </row>
    <row r="2814" spans="1:17" x14ac:dyDescent="0.25">
      <c r="A2814" s="549" t="s">
        <v>1083</v>
      </c>
      <c r="B2814" s="549" t="s">
        <v>584</v>
      </c>
      <c r="C2814" s="549" t="s">
        <v>789</v>
      </c>
      <c r="D2814" s="549" t="s">
        <v>790</v>
      </c>
      <c r="E2814" s="549" t="s">
        <v>977</v>
      </c>
      <c r="F2814" s="549" t="s">
        <v>1212</v>
      </c>
      <c r="G2814" s="549">
        <v>1372</v>
      </c>
      <c r="H2814" s="549" t="s">
        <v>789</v>
      </c>
      <c r="I2814" s="549" t="s">
        <v>976</v>
      </c>
      <c r="J2814" s="549" t="s">
        <v>976</v>
      </c>
      <c r="K2814" s="549" t="s">
        <v>976</v>
      </c>
      <c r="L2814" s="549">
        <v>138390</v>
      </c>
      <c r="M2814" s="549">
        <v>10448.44</v>
      </c>
      <c r="N2814" s="549">
        <v>3058.42</v>
      </c>
      <c r="O2814" s="549">
        <v>3968</v>
      </c>
      <c r="P2814" s="549">
        <v>62.15</v>
      </c>
      <c r="Q2814" s="549">
        <v>10860.63</v>
      </c>
    </row>
    <row r="2815" spans="1:17" x14ac:dyDescent="0.25">
      <c r="A2815" s="549" t="s">
        <v>1083</v>
      </c>
      <c r="B2815" s="549" t="s">
        <v>584</v>
      </c>
      <c r="C2815" s="549" t="s">
        <v>789</v>
      </c>
      <c r="D2815" s="549" t="s">
        <v>790</v>
      </c>
      <c r="E2815" s="549" t="s">
        <v>977</v>
      </c>
      <c r="F2815" s="549" t="s">
        <v>1212</v>
      </c>
      <c r="G2815" s="549" t="s">
        <v>1409</v>
      </c>
      <c r="H2815" s="549" t="s">
        <v>789</v>
      </c>
      <c r="I2815" s="549" t="s">
        <v>976</v>
      </c>
      <c r="J2815" s="549" t="s">
        <v>976</v>
      </c>
      <c r="K2815" s="549" t="s">
        <v>976</v>
      </c>
      <c r="L2815" s="549">
        <v>30525.21</v>
      </c>
      <c r="M2815" s="549">
        <v>2304.65</v>
      </c>
      <c r="N2815" s="549">
        <v>674.61</v>
      </c>
      <c r="O2815" s="549">
        <v>0</v>
      </c>
      <c r="P2815" s="549">
        <v>62.15</v>
      </c>
      <c r="Q2815" s="549">
        <v>1851.61</v>
      </c>
    </row>
    <row r="2816" spans="1:17" x14ac:dyDescent="0.25">
      <c r="A2816" s="549" t="s">
        <v>1083</v>
      </c>
      <c r="B2816" s="549" t="s">
        <v>584</v>
      </c>
      <c r="C2816" s="549" t="s">
        <v>789</v>
      </c>
      <c r="D2816" s="549" t="s">
        <v>790</v>
      </c>
      <c r="E2816" s="549" t="s">
        <v>977</v>
      </c>
      <c r="F2816" s="549" t="s">
        <v>1212</v>
      </c>
      <c r="G2816" s="549" t="s">
        <v>1328</v>
      </c>
      <c r="H2816" s="549" t="s">
        <v>789</v>
      </c>
      <c r="I2816" s="549" t="s">
        <v>976</v>
      </c>
      <c r="J2816" s="549" t="s">
        <v>976</v>
      </c>
      <c r="K2816" s="549" t="s">
        <v>976</v>
      </c>
      <c r="L2816" s="549">
        <v>30525.21</v>
      </c>
      <c r="M2816" s="549">
        <v>2304.65</v>
      </c>
      <c r="N2816" s="549">
        <v>674.61</v>
      </c>
      <c r="O2816" s="549">
        <v>0</v>
      </c>
      <c r="P2816" s="549">
        <v>62.15</v>
      </c>
      <c r="Q2816" s="549">
        <v>1851.61</v>
      </c>
    </row>
    <row r="2817" spans="1:17" x14ac:dyDescent="0.25">
      <c r="A2817" s="549" t="s">
        <v>1091</v>
      </c>
      <c r="B2817" s="549" t="s">
        <v>1092</v>
      </c>
      <c r="C2817" s="549" t="s">
        <v>855</v>
      </c>
      <c r="D2817" s="549" t="s">
        <v>856</v>
      </c>
      <c r="E2817" s="549" t="s">
        <v>973</v>
      </c>
      <c r="F2817" s="549" t="s">
        <v>1212</v>
      </c>
      <c r="G2817" s="549">
        <v>2122</v>
      </c>
      <c r="H2817" s="549" t="s">
        <v>855</v>
      </c>
      <c r="I2817" s="549" t="s">
        <v>976</v>
      </c>
      <c r="J2817" s="549" t="s">
        <v>976</v>
      </c>
      <c r="K2817" s="549" t="s">
        <v>976</v>
      </c>
      <c r="L2817" s="549">
        <v>109092.24</v>
      </c>
      <c r="M2817" s="549">
        <v>8236.4599999999991</v>
      </c>
      <c r="N2817" s="549">
        <v>6261.89</v>
      </c>
      <c r="O2817" s="549">
        <v>992</v>
      </c>
      <c r="P2817" s="549">
        <v>0</v>
      </c>
      <c r="Q2817" s="549">
        <v>0</v>
      </c>
    </row>
    <row r="2818" spans="1:17" x14ac:dyDescent="0.25">
      <c r="A2818" s="549" t="s">
        <v>1091</v>
      </c>
      <c r="B2818" s="549" t="s">
        <v>1092</v>
      </c>
      <c r="C2818" s="549" t="s">
        <v>855</v>
      </c>
      <c r="D2818" s="549" t="s">
        <v>856</v>
      </c>
      <c r="E2818" s="549" t="s">
        <v>973</v>
      </c>
      <c r="F2818" s="549" t="s">
        <v>1212</v>
      </c>
      <c r="G2818" s="549">
        <v>442</v>
      </c>
      <c r="H2818" s="549" t="s">
        <v>855</v>
      </c>
      <c r="I2818" s="549" t="s">
        <v>976</v>
      </c>
      <c r="J2818" s="549" t="s">
        <v>976</v>
      </c>
      <c r="K2818" s="549" t="s">
        <v>976</v>
      </c>
      <c r="L2818" s="549">
        <v>435724.79</v>
      </c>
      <c r="M2818" s="549">
        <v>32897.22</v>
      </c>
      <c r="N2818" s="549">
        <v>25010.6</v>
      </c>
      <c r="O2818" s="549">
        <v>1984</v>
      </c>
      <c r="P2818" s="549">
        <v>0</v>
      </c>
      <c r="Q2818" s="549">
        <v>0</v>
      </c>
    </row>
    <row r="2819" spans="1:17" x14ac:dyDescent="0.25">
      <c r="A2819" s="549" t="s">
        <v>1091</v>
      </c>
      <c r="B2819" s="549" t="s">
        <v>1092</v>
      </c>
      <c r="C2819" s="549" t="s">
        <v>855</v>
      </c>
      <c r="D2819" s="549" t="s">
        <v>856</v>
      </c>
      <c r="E2819" s="549" t="s">
        <v>973</v>
      </c>
      <c r="F2819" s="549" t="s">
        <v>1212</v>
      </c>
      <c r="G2819" s="549">
        <v>402</v>
      </c>
      <c r="H2819" s="549" t="s">
        <v>855</v>
      </c>
      <c r="I2819" s="549" t="s">
        <v>976</v>
      </c>
      <c r="J2819" s="549" t="s">
        <v>976</v>
      </c>
      <c r="K2819" s="549" t="s">
        <v>976</v>
      </c>
      <c r="L2819" s="549">
        <v>435724.79</v>
      </c>
      <c r="M2819" s="549">
        <v>32897.22</v>
      </c>
      <c r="N2819" s="549">
        <v>25010.6</v>
      </c>
      <c r="O2819" s="549">
        <v>1984</v>
      </c>
      <c r="P2819" s="549">
        <v>0</v>
      </c>
      <c r="Q2819" s="549">
        <v>0</v>
      </c>
    </row>
    <row r="2820" spans="1:17" x14ac:dyDescent="0.25">
      <c r="A2820" s="549" t="s">
        <v>1091</v>
      </c>
      <c r="B2820" s="549" t="s">
        <v>1092</v>
      </c>
      <c r="C2820" s="549" t="s">
        <v>855</v>
      </c>
      <c r="D2820" s="549" t="s">
        <v>856</v>
      </c>
      <c r="E2820" s="549" t="s">
        <v>973</v>
      </c>
      <c r="F2820" s="549" t="s">
        <v>1212</v>
      </c>
      <c r="G2820" s="549">
        <v>212</v>
      </c>
      <c r="H2820" s="549" t="s">
        <v>855</v>
      </c>
      <c r="I2820" s="549" t="s">
        <v>976</v>
      </c>
      <c r="J2820" s="549" t="s">
        <v>976</v>
      </c>
      <c r="K2820" s="549" t="s">
        <v>976</v>
      </c>
      <c r="L2820" s="549">
        <v>347612.99</v>
      </c>
      <c r="M2820" s="549">
        <v>26244.78</v>
      </c>
      <c r="N2820" s="549">
        <v>19952.990000000002</v>
      </c>
      <c r="O2820" s="549">
        <v>1984</v>
      </c>
      <c r="P2820" s="549">
        <v>0</v>
      </c>
      <c r="Q2820" s="549">
        <v>0</v>
      </c>
    </row>
    <row r="2821" spans="1:17" x14ac:dyDescent="0.25">
      <c r="A2821" s="549" t="s">
        <v>1091</v>
      </c>
      <c r="B2821" s="549" t="s">
        <v>1092</v>
      </c>
      <c r="C2821" s="549" t="s">
        <v>855</v>
      </c>
      <c r="D2821" s="549" t="s">
        <v>856</v>
      </c>
      <c r="E2821" s="549" t="s">
        <v>973</v>
      </c>
      <c r="F2821" s="549" t="s">
        <v>1212</v>
      </c>
      <c r="G2821" s="549">
        <v>192</v>
      </c>
      <c r="H2821" s="549" t="s">
        <v>855</v>
      </c>
      <c r="I2821" s="549" t="s">
        <v>976</v>
      </c>
      <c r="J2821" s="549" t="s">
        <v>976</v>
      </c>
      <c r="K2821" s="549" t="s">
        <v>976</v>
      </c>
      <c r="L2821" s="549">
        <v>347612.99</v>
      </c>
      <c r="M2821" s="549">
        <v>26244.78</v>
      </c>
      <c r="N2821" s="549">
        <v>19952.990000000002</v>
      </c>
      <c r="O2821" s="549">
        <v>1984</v>
      </c>
      <c r="P2821" s="549">
        <v>0</v>
      </c>
      <c r="Q2821" s="549">
        <v>0</v>
      </c>
    </row>
    <row r="2822" spans="1:17" x14ac:dyDescent="0.25">
      <c r="A2822" s="549" t="s">
        <v>1083</v>
      </c>
      <c r="B2822" s="549" t="s">
        <v>584</v>
      </c>
      <c r="C2822" s="549" t="s">
        <v>233</v>
      </c>
      <c r="D2822" s="549" t="s">
        <v>744</v>
      </c>
      <c r="E2822" s="549" t="s">
        <v>973</v>
      </c>
      <c r="F2822" s="549" t="s">
        <v>1212</v>
      </c>
      <c r="G2822" s="549">
        <v>1</v>
      </c>
      <c r="H2822" s="549" t="s">
        <v>233</v>
      </c>
      <c r="I2822" s="549" t="s">
        <v>976</v>
      </c>
      <c r="J2822" s="549" t="s">
        <v>976</v>
      </c>
      <c r="K2822" s="549" t="s">
        <v>976</v>
      </c>
      <c r="L2822" s="549">
        <v>73527.31</v>
      </c>
      <c r="M2822" s="549">
        <v>5551.31</v>
      </c>
      <c r="N2822" s="549">
        <v>4220.47</v>
      </c>
      <c r="O2822" s="549">
        <v>992</v>
      </c>
      <c r="P2822" s="549">
        <v>0</v>
      </c>
      <c r="Q2822" s="549">
        <v>0</v>
      </c>
    </row>
    <row r="2823" spans="1:17" x14ac:dyDescent="0.25">
      <c r="A2823" s="549" t="s">
        <v>1083</v>
      </c>
      <c r="B2823" s="549" t="s">
        <v>584</v>
      </c>
      <c r="C2823" s="549" t="s">
        <v>233</v>
      </c>
      <c r="D2823" s="549" t="s">
        <v>744</v>
      </c>
      <c r="E2823" s="549" t="s">
        <v>973</v>
      </c>
      <c r="F2823" s="549" t="s">
        <v>1212</v>
      </c>
      <c r="G2823" s="549">
        <v>2</v>
      </c>
      <c r="H2823" s="549" t="s">
        <v>233</v>
      </c>
      <c r="I2823" s="549" t="s">
        <v>976</v>
      </c>
      <c r="J2823" s="549" t="s">
        <v>976</v>
      </c>
      <c r="K2823" s="549" t="s">
        <v>976</v>
      </c>
      <c r="L2823" s="549">
        <v>73527.31</v>
      </c>
      <c r="M2823" s="549">
        <v>5551.31</v>
      </c>
      <c r="N2823" s="549">
        <v>4220.47</v>
      </c>
      <c r="O2823" s="549">
        <v>992</v>
      </c>
      <c r="P2823" s="549">
        <v>0</v>
      </c>
      <c r="Q2823" s="549">
        <v>0</v>
      </c>
    </row>
    <row r="2824" spans="1:17" x14ac:dyDescent="0.25">
      <c r="A2824" s="549" t="s">
        <v>1083</v>
      </c>
      <c r="B2824" s="549" t="s">
        <v>584</v>
      </c>
      <c r="C2824" s="549" t="s">
        <v>233</v>
      </c>
      <c r="D2824" s="549" t="s">
        <v>744</v>
      </c>
      <c r="E2824" s="549" t="s">
        <v>973</v>
      </c>
      <c r="F2824" s="549" t="s">
        <v>1212</v>
      </c>
      <c r="G2824" s="549">
        <v>3</v>
      </c>
      <c r="H2824" s="549" t="s">
        <v>233</v>
      </c>
      <c r="I2824" s="549" t="s">
        <v>976</v>
      </c>
      <c r="J2824" s="549" t="s">
        <v>976</v>
      </c>
      <c r="K2824" s="549" t="s">
        <v>976</v>
      </c>
      <c r="L2824" s="549">
        <v>73527.31</v>
      </c>
      <c r="M2824" s="549">
        <v>5551.31</v>
      </c>
      <c r="N2824" s="549">
        <v>4220.47</v>
      </c>
      <c r="O2824" s="549">
        <v>992</v>
      </c>
      <c r="P2824" s="549">
        <v>0</v>
      </c>
      <c r="Q2824" s="549">
        <v>0</v>
      </c>
    </row>
    <row r="2825" spans="1:17" x14ac:dyDescent="0.25">
      <c r="A2825" s="549" t="s">
        <v>1083</v>
      </c>
      <c r="B2825" s="549" t="s">
        <v>584</v>
      </c>
      <c r="C2825" s="549" t="s">
        <v>233</v>
      </c>
      <c r="D2825" s="549" t="s">
        <v>744</v>
      </c>
      <c r="E2825" s="549" t="s">
        <v>973</v>
      </c>
      <c r="F2825" s="549" t="s">
        <v>1212</v>
      </c>
      <c r="G2825" s="549">
        <v>4</v>
      </c>
      <c r="H2825" s="549" t="s">
        <v>233</v>
      </c>
      <c r="I2825" s="549" t="s">
        <v>976</v>
      </c>
      <c r="J2825" s="549" t="s">
        <v>976</v>
      </c>
      <c r="K2825" s="549" t="s">
        <v>976</v>
      </c>
      <c r="L2825" s="549">
        <v>73527.31</v>
      </c>
      <c r="M2825" s="549">
        <v>5551.31</v>
      </c>
      <c r="N2825" s="549">
        <v>4220.47</v>
      </c>
      <c r="O2825" s="549">
        <v>992</v>
      </c>
      <c r="P2825" s="549">
        <v>0</v>
      </c>
      <c r="Q2825" s="549">
        <v>0</v>
      </c>
    </row>
    <row r="2826" spans="1:17" x14ac:dyDescent="0.25">
      <c r="A2826" s="549" t="s">
        <v>1083</v>
      </c>
      <c r="B2826" s="549" t="s">
        <v>584</v>
      </c>
      <c r="C2826" s="549" t="s">
        <v>233</v>
      </c>
      <c r="D2826" s="549" t="s">
        <v>744</v>
      </c>
      <c r="E2826" s="549" t="s">
        <v>973</v>
      </c>
      <c r="F2826" s="549" t="s">
        <v>1212</v>
      </c>
      <c r="G2826" s="549">
        <v>5</v>
      </c>
      <c r="H2826" s="549" t="s">
        <v>233</v>
      </c>
      <c r="I2826" s="549" t="s">
        <v>976</v>
      </c>
      <c r="J2826" s="549" t="s">
        <v>976</v>
      </c>
      <c r="K2826" s="549" t="s">
        <v>976</v>
      </c>
      <c r="L2826" s="549">
        <v>73527.31</v>
      </c>
      <c r="M2826" s="549">
        <v>5551.31</v>
      </c>
      <c r="N2826" s="549">
        <v>4220.47</v>
      </c>
      <c r="O2826" s="549">
        <v>992</v>
      </c>
      <c r="P2826" s="549">
        <v>0</v>
      </c>
      <c r="Q2826" s="549">
        <v>0</v>
      </c>
    </row>
    <row r="2827" spans="1:17" x14ac:dyDescent="0.25">
      <c r="A2827" s="549" t="s">
        <v>1083</v>
      </c>
      <c r="B2827" s="549" t="s">
        <v>584</v>
      </c>
      <c r="C2827" s="549" t="s">
        <v>233</v>
      </c>
      <c r="D2827" s="549" t="s">
        <v>744</v>
      </c>
      <c r="E2827" s="549" t="s">
        <v>973</v>
      </c>
      <c r="F2827" s="549" t="s">
        <v>1212</v>
      </c>
      <c r="G2827" s="549">
        <v>6</v>
      </c>
      <c r="H2827" s="549" t="s">
        <v>233</v>
      </c>
      <c r="I2827" s="549" t="s">
        <v>976</v>
      </c>
      <c r="J2827" s="549" t="s">
        <v>976</v>
      </c>
      <c r="K2827" s="549" t="s">
        <v>976</v>
      </c>
      <c r="L2827" s="549">
        <v>73527.31</v>
      </c>
      <c r="M2827" s="549">
        <v>5551.31</v>
      </c>
      <c r="N2827" s="549">
        <v>4220.47</v>
      </c>
      <c r="O2827" s="549">
        <v>992</v>
      </c>
      <c r="P2827" s="549">
        <v>0</v>
      </c>
      <c r="Q2827" s="549">
        <v>0</v>
      </c>
    </row>
    <row r="2828" spans="1:17" x14ac:dyDescent="0.25">
      <c r="A2828" s="549" t="s">
        <v>1083</v>
      </c>
      <c r="B2828" s="549" t="s">
        <v>584</v>
      </c>
      <c r="C2828" s="549" t="s">
        <v>233</v>
      </c>
      <c r="D2828" s="549" t="s">
        <v>744</v>
      </c>
      <c r="E2828" s="549" t="s">
        <v>973</v>
      </c>
      <c r="F2828" s="549" t="s">
        <v>1212</v>
      </c>
      <c r="G2828" s="549">
        <v>7</v>
      </c>
      <c r="H2828" s="549" t="s">
        <v>233</v>
      </c>
      <c r="I2828" s="549" t="s">
        <v>976</v>
      </c>
      <c r="J2828" s="549" t="s">
        <v>976</v>
      </c>
      <c r="K2828" s="549" t="s">
        <v>976</v>
      </c>
      <c r="L2828" s="549">
        <v>73527.31</v>
      </c>
      <c r="M2828" s="549">
        <v>5551.31</v>
      </c>
      <c r="N2828" s="549">
        <v>4220.47</v>
      </c>
      <c r="O2828" s="549">
        <v>992</v>
      </c>
      <c r="P2828" s="549">
        <v>0</v>
      </c>
      <c r="Q2828" s="549">
        <v>0</v>
      </c>
    </row>
    <row r="2829" spans="1:17" x14ac:dyDescent="0.25">
      <c r="A2829" s="549" t="s">
        <v>1083</v>
      </c>
      <c r="B2829" s="549" t="s">
        <v>584</v>
      </c>
      <c r="C2829" s="549" t="s">
        <v>233</v>
      </c>
      <c r="D2829" s="549" t="s">
        <v>744</v>
      </c>
      <c r="E2829" s="549" t="s">
        <v>973</v>
      </c>
      <c r="F2829" s="549" t="s">
        <v>1212</v>
      </c>
      <c r="G2829" s="549">
        <v>8</v>
      </c>
      <c r="H2829" s="549" t="s">
        <v>233</v>
      </c>
      <c r="I2829" s="549" t="s">
        <v>976</v>
      </c>
      <c r="J2829" s="549" t="s">
        <v>976</v>
      </c>
      <c r="K2829" s="549" t="s">
        <v>976</v>
      </c>
      <c r="L2829" s="549">
        <v>73527.31</v>
      </c>
      <c r="M2829" s="549">
        <v>5551.31</v>
      </c>
      <c r="N2829" s="549">
        <v>4220.47</v>
      </c>
      <c r="O2829" s="549">
        <v>992</v>
      </c>
      <c r="P2829" s="549">
        <v>0</v>
      </c>
      <c r="Q2829" s="549">
        <v>0</v>
      </c>
    </row>
    <row r="2830" spans="1:17" x14ac:dyDescent="0.25">
      <c r="A2830" s="549" t="s">
        <v>1083</v>
      </c>
      <c r="B2830" s="549" t="s">
        <v>584</v>
      </c>
      <c r="C2830" s="549" t="s">
        <v>233</v>
      </c>
      <c r="D2830" s="549" t="s">
        <v>744</v>
      </c>
      <c r="E2830" s="549" t="s">
        <v>973</v>
      </c>
      <c r="F2830" s="549" t="s">
        <v>1212</v>
      </c>
      <c r="G2830" s="549">
        <v>9</v>
      </c>
      <c r="H2830" s="549" t="s">
        <v>233</v>
      </c>
      <c r="I2830" s="549" t="s">
        <v>976</v>
      </c>
      <c r="J2830" s="549" t="s">
        <v>976</v>
      </c>
      <c r="K2830" s="549" t="s">
        <v>976</v>
      </c>
      <c r="L2830" s="549">
        <v>73527.31</v>
      </c>
      <c r="M2830" s="549">
        <v>5551.31</v>
      </c>
      <c r="N2830" s="549">
        <v>4220.47</v>
      </c>
      <c r="O2830" s="549">
        <v>992</v>
      </c>
      <c r="P2830" s="549">
        <v>0</v>
      </c>
      <c r="Q2830" s="549">
        <v>0</v>
      </c>
    </row>
    <row r="2831" spans="1:17" x14ac:dyDescent="0.25">
      <c r="A2831" s="549" t="s">
        <v>1083</v>
      </c>
      <c r="B2831" s="549" t="s">
        <v>584</v>
      </c>
      <c r="C2831" s="549" t="s">
        <v>233</v>
      </c>
      <c r="D2831" s="549" t="s">
        <v>744</v>
      </c>
      <c r="E2831" s="549" t="s">
        <v>973</v>
      </c>
      <c r="F2831" s="549" t="s">
        <v>1212</v>
      </c>
      <c r="G2831" s="549">
        <v>10</v>
      </c>
      <c r="H2831" s="549" t="s">
        <v>233</v>
      </c>
      <c r="I2831" s="549" t="s">
        <v>976</v>
      </c>
      <c r="J2831" s="549" t="s">
        <v>976</v>
      </c>
      <c r="K2831" s="549" t="s">
        <v>976</v>
      </c>
      <c r="L2831" s="549">
        <v>73527.31</v>
      </c>
      <c r="M2831" s="549">
        <v>5551.31</v>
      </c>
      <c r="N2831" s="549">
        <v>4220.47</v>
      </c>
      <c r="O2831" s="549">
        <v>992</v>
      </c>
      <c r="P2831" s="549">
        <v>0</v>
      </c>
      <c r="Q2831" s="549">
        <v>0</v>
      </c>
    </row>
    <row r="2832" spans="1:17" x14ac:dyDescent="0.25">
      <c r="A2832" s="549" t="s">
        <v>1083</v>
      </c>
      <c r="B2832" s="549" t="s">
        <v>584</v>
      </c>
      <c r="C2832" s="549" t="s">
        <v>233</v>
      </c>
      <c r="D2832" s="549" t="s">
        <v>744</v>
      </c>
      <c r="E2832" s="549" t="s">
        <v>973</v>
      </c>
      <c r="F2832" s="549" t="s">
        <v>1212</v>
      </c>
      <c r="G2832" s="549">
        <v>11</v>
      </c>
      <c r="H2832" s="549" t="s">
        <v>233</v>
      </c>
      <c r="I2832" s="549" t="s">
        <v>976</v>
      </c>
      <c r="J2832" s="549" t="s">
        <v>976</v>
      </c>
      <c r="K2832" s="549" t="s">
        <v>976</v>
      </c>
      <c r="L2832" s="549">
        <v>73527.31</v>
      </c>
      <c r="M2832" s="549">
        <v>5551.31</v>
      </c>
      <c r="N2832" s="549">
        <v>4220.47</v>
      </c>
      <c r="O2832" s="549">
        <v>992</v>
      </c>
      <c r="P2832" s="549">
        <v>0</v>
      </c>
      <c r="Q2832" s="549">
        <v>0</v>
      </c>
    </row>
    <row r="2833" spans="1:17" x14ac:dyDescent="0.25">
      <c r="A2833" s="549" t="s">
        <v>1083</v>
      </c>
      <c r="B2833" s="549" t="s">
        <v>584</v>
      </c>
      <c r="C2833" s="549" t="s">
        <v>233</v>
      </c>
      <c r="D2833" s="549" t="s">
        <v>744</v>
      </c>
      <c r="E2833" s="549" t="s">
        <v>973</v>
      </c>
      <c r="F2833" s="549" t="s">
        <v>1212</v>
      </c>
      <c r="G2833" s="549">
        <v>13</v>
      </c>
      <c r="H2833" s="549" t="s">
        <v>233</v>
      </c>
      <c r="I2833" s="549" t="s">
        <v>976</v>
      </c>
      <c r="J2833" s="549" t="s">
        <v>976</v>
      </c>
      <c r="K2833" s="549" t="s">
        <v>976</v>
      </c>
      <c r="L2833" s="549">
        <v>73527.31</v>
      </c>
      <c r="M2833" s="549">
        <v>5551.31</v>
      </c>
      <c r="N2833" s="549">
        <v>4220.47</v>
      </c>
      <c r="O2833" s="549">
        <v>992</v>
      </c>
      <c r="P2833" s="549">
        <v>0</v>
      </c>
      <c r="Q2833" s="549">
        <v>0</v>
      </c>
    </row>
    <row r="2834" spans="1:17" x14ac:dyDescent="0.25">
      <c r="A2834" s="549" t="s">
        <v>1083</v>
      </c>
      <c r="B2834" s="549" t="s">
        <v>584</v>
      </c>
      <c r="C2834" s="549" t="s">
        <v>233</v>
      </c>
      <c r="D2834" s="549" t="s">
        <v>744</v>
      </c>
      <c r="E2834" s="549" t="s">
        <v>973</v>
      </c>
      <c r="F2834" s="549" t="s">
        <v>1212</v>
      </c>
      <c r="G2834" s="549">
        <v>14</v>
      </c>
      <c r="H2834" s="549" t="s">
        <v>233</v>
      </c>
      <c r="I2834" s="549" t="s">
        <v>976</v>
      </c>
      <c r="J2834" s="549" t="s">
        <v>976</v>
      </c>
      <c r="K2834" s="549" t="s">
        <v>976</v>
      </c>
      <c r="L2834" s="549">
        <v>73527.31</v>
      </c>
      <c r="M2834" s="549">
        <v>5551.31</v>
      </c>
      <c r="N2834" s="549">
        <v>4220.47</v>
      </c>
      <c r="O2834" s="549">
        <v>992</v>
      </c>
      <c r="P2834" s="549">
        <v>0</v>
      </c>
      <c r="Q2834" s="549">
        <v>0</v>
      </c>
    </row>
    <row r="2835" spans="1:17" x14ac:dyDescent="0.25">
      <c r="A2835" s="549" t="s">
        <v>1083</v>
      </c>
      <c r="B2835" s="549" t="s">
        <v>584</v>
      </c>
      <c r="C2835" s="549" t="s">
        <v>233</v>
      </c>
      <c r="D2835" s="549" t="s">
        <v>744</v>
      </c>
      <c r="E2835" s="549" t="s">
        <v>973</v>
      </c>
      <c r="F2835" s="549" t="s">
        <v>1212</v>
      </c>
      <c r="G2835" s="549">
        <v>15</v>
      </c>
      <c r="H2835" s="549" t="s">
        <v>233</v>
      </c>
      <c r="I2835" s="549" t="s">
        <v>976</v>
      </c>
      <c r="J2835" s="549" t="s">
        <v>976</v>
      </c>
      <c r="K2835" s="549" t="s">
        <v>976</v>
      </c>
      <c r="L2835" s="549">
        <v>73527.31</v>
      </c>
      <c r="M2835" s="549">
        <v>5551.31</v>
      </c>
      <c r="N2835" s="549">
        <v>4220.47</v>
      </c>
      <c r="O2835" s="549">
        <v>992</v>
      </c>
      <c r="P2835" s="549">
        <v>0</v>
      </c>
      <c r="Q2835" s="549">
        <v>0</v>
      </c>
    </row>
    <row r="2836" spans="1:17" x14ac:dyDescent="0.25">
      <c r="A2836" s="549" t="s">
        <v>1083</v>
      </c>
      <c r="B2836" s="549" t="s">
        <v>584</v>
      </c>
      <c r="C2836" s="549" t="s">
        <v>233</v>
      </c>
      <c r="D2836" s="549" t="s">
        <v>744</v>
      </c>
      <c r="E2836" s="549" t="s">
        <v>973</v>
      </c>
      <c r="F2836" s="549" t="s">
        <v>1212</v>
      </c>
      <c r="G2836" s="549">
        <v>16</v>
      </c>
      <c r="H2836" s="549" t="s">
        <v>233</v>
      </c>
      <c r="I2836" s="549" t="s">
        <v>976</v>
      </c>
      <c r="J2836" s="549" t="s">
        <v>976</v>
      </c>
      <c r="K2836" s="549" t="s">
        <v>976</v>
      </c>
      <c r="L2836" s="549">
        <v>73527.31</v>
      </c>
      <c r="M2836" s="549">
        <v>5551.31</v>
      </c>
      <c r="N2836" s="549">
        <v>4220.47</v>
      </c>
      <c r="O2836" s="549">
        <v>992</v>
      </c>
      <c r="P2836" s="549">
        <v>0</v>
      </c>
      <c r="Q2836" s="549">
        <v>0</v>
      </c>
    </row>
    <row r="2837" spans="1:17" x14ac:dyDescent="0.25">
      <c r="A2837" s="549" t="s">
        <v>1083</v>
      </c>
      <c r="B2837" s="549" t="s">
        <v>584</v>
      </c>
      <c r="C2837" s="549" t="s">
        <v>233</v>
      </c>
      <c r="D2837" s="549" t="s">
        <v>744</v>
      </c>
      <c r="E2837" s="549" t="s">
        <v>973</v>
      </c>
      <c r="F2837" s="549" t="s">
        <v>1212</v>
      </c>
      <c r="G2837" s="549">
        <v>17</v>
      </c>
      <c r="H2837" s="549" t="s">
        <v>233</v>
      </c>
      <c r="I2837" s="549" t="s">
        <v>976</v>
      </c>
      <c r="J2837" s="549" t="s">
        <v>976</v>
      </c>
      <c r="K2837" s="549" t="s">
        <v>976</v>
      </c>
      <c r="L2837" s="549">
        <v>73527.31</v>
      </c>
      <c r="M2837" s="549">
        <v>5551.31</v>
      </c>
      <c r="N2837" s="549">
        <v>4220.47</v>
      </c>
      <c r="O2837" s="549">
        <v>992</v>
      </c>
      <c r="P2837" s="549">
        <v>0</v>
      </c>
      <c r="Q2837" s="549">
        <v>0</v>
      </c>
    </row>
    <row r="2838" spans="1:17" x14ac:dyDescent="0.25">
      <c r="A2838" s="549" t="s">
        <v>1083</v>
      </c>
      <c r="B2838" s="549" t="s">
        <v>584</v>
      </c>
      <c r="C2838" s="549" t="s">
        <v>233</v>
      </c>
      <c r="D2838" s="549" t="s">
        <v>744</v>
      </c>
      <c r="E2838" s="549" t="s">
        <v>973</v>
      </c>
      <c r="F2838" s="549" t="s">
        <v>1212</v>
      </c>
      <c r="G2838" s="549">
        <v>18</v>
      </c>
      <c r="H2838" s="549" t="s">
        <v>233</v>
      </c>
      <c r="I2838" s="549" t="s">
        <v>976</v>
      </c>
      <c r="J2838" s="549" t="s">
        <v>976</v>
      </c>
      <c r="K2838" s="549" t="s">
        <v>976</v>
      </c>
      <c r="L2838" s="549">
        <v>73527.31</v>
      </c>
      <c r="M2838" s="549">
        <v>5551.31</v>
      </c>
      <c r="N2838" s="549">
        <v>4220.47</v>
      </c>
      <c r="O2838" s="549">
        <v>992</v>
      </c>
      <c r="P2838" s="549">
        <v>0</v>
      </c>
      <c r="Q2838" s="549">
        <v>0</v>
      </c>
    </row>
    <row r="2839" spans="1:17" x14ac:dyDescent="0.25">
      <c r="A2839" s="549" t="s">
        <v>1083</v>
      </c>
      <c r="B2839" s="549" t="s">
        <v>584</v>
      </c>
      <c r="C2839" s="549" t="s">
        <v>233</v>
      </c>
      <c r="D2839" s="549" t="s">
        <v>744</v>
      </c>
      <c r="E2839" s="549" t="s">
        <v>973</v>
      </c>
      <c r="F2839" s="549" t="s">
        <v>1212</v>
      </c>
      <c r="G2839" s="549">
        <v>19</v>
      </c>
      <c r="H2839" s="549" t="s">
        <v>233</v>
      </c>
      <c r="I2839" s="549" t="s">
        <v>976</v>
      </c>
      <c r="J2839" s="549" t="s">
        <v>976</v>
      </c>
      <c r="K2839" s="549" t="s">
        <v>976</v>
      </c>
      <c r="L2839" s="549">
        <v>73527.31</v>
      </c>
      <c r="M2839" s="549">
        <v>5551.31</v>
      </c>
      <c r="N2839" s="549">
        <v>4220.47</v>
      </c>
      <c r="O2839" s="549">
        <v>992</v>
      </c>
      <c r="P2839" s="549">
        <v>0</v>
      </c>
      <c r="Q2839" s="549">
        <v>0</v>
      </c>
    </row>
    <row r="2840" spans="1:17" x14ac:dyDescent="0.25">
      <c r="A2840" s="549" t="s">
        <v>1083</v>
      </c>
      <c r="B2840" s="549" t="s">
        <v>584</v>
      </c>
      <c r="C2840" s="549" t="s">
        <v>233</v>
      </c>
      <c r="D2840" s="549" t="s">
        <v>744</v>
      </c>
      <c r="E2840" s="549" t="s">
        <v>973</v>
      </c>
      <c r="F2840" s="549" t="s">
        <v>1212</v>
      </c>
      <c r="G2840" s="549">
        <v>21</v>
      </c>
      <c r="H2840" s="549" t="s">
        <v>233</v>
      </c>
      <c r="I2840" s="549" t="s">
        <v>976</v>
      </c>
      <c r="J2840" s="549" t="s">
        <v>976</v>
      </c>
      <c r="K2840" s="549" t="s">
        <v>976</v>
      </c>
      <c r="L2840" s="549">
        <v>73527.31</v>
      </c>
      <c r="M2840" s="549">
        <v>5551.31</v>
      </c>
      <c r="N2840" s="549">
        <v>4220.47</v>
      </c>
      <c r="O2840" s="549">
        <v>992</v>
      </c>
      <c r="P2840" s="549">
        <v>0</v>
      </c>
      <c r="Q2840" s="549">
        <v>0</v>
      </c>
    </row>
    <row r="2841" spans="1:17" x14ac:dyDescent="0.25">
      <c r="A2841" s="549" t="s">
        <v>1083</v>
      </c>
      <c r="B2841" s="549" t="s">
        <v>584</v>
      </c>
      <c r="C2841" s="549" t="s">
        <v>233</v>
      </c>
      <c r="D2841" s="549" t="s">
        <v>744</v>
      </c>
      <c r="E2841" s="549" t="s">
        <v>973</v>
      </c>
      <c r="F2841" s="549" t="s">
        <v>1212</v>
      </c>
      <c r="G2841" s="549">
        <v>22</v>
      </c>
      <c r="H2841" s="549" t="s">
        <v>233</v>
      </c>
      <c r="I2841" s="549" t="s">
        <v>976</v>
      </c>
      <c r="J2841" s="549" t="s">
        <v>976</v>
      </c>
      <c r="K2841" s="549" t="s">
        <v>976</v>
      </c>
      <c r="L2841" s="549">
        <v>73527.31</v>
      </c>
      <c r="M2841" s="549">
        <v>5551.31</v>
      </c>
      <c r="N2841" s="549">
        <v>4220.47</v>
      </c>
      <c r="O2841" s="549">
        <v>992</v>
      </c>
      <c r="P2841" s="549">
        <v>0</v>
      </c>
      <c r="Q2841" s="549">
        <v>0</v>
      </c>
    </row>
    <row r="2842" spans="1:17" x14ac:dyDescent="0.25">
      <c r="A2842" s="549" t="s">
        <v>1083</v>
      </c>
      <c r="B2842" s="549" t="s">
        <v>584</v>
      </c>
      <c r="C2842" s="549" t="s">
        <v>233</v>
      </c>
      <c r="D2842" s="549" t="s">
        <v>744</v>
      </c>
      <c r="E2842" s="549" t="s">
        <v>973</v>
      </c>
      <c r="F2842" s="549" t="s">
        <v>1212</v>
      </c>
      <c r="G2842" s="549">
        <v>23</v>
      </c>
      <c r="H2842" s="549" t="s">
        <v>233</v>
      </c>
      <c r="I2842" s="549" t="s">
        <v>976</v>
      </c>
      <c r="J2842" s="549" t="s">
        <v>976</v>
      </c>
      <c r="K2842" s="549" t="s">
        <v>976</v>
      </c>
      <c r="L2842" s="549">
        <v>73527.31</v>
      </c>
      <c r="M2842" s="549">
        <v>5551.31</v>
      </c>
      <c r="N2842" s="549">
        <v>4220.47</v>
      </c>
      <c r="O2842" s="549">
        <v>992</v>
      </c>
      <c r="P2842" s="549">
        <v>0</v>
      </c>
      <c r="Q2842" s="549">
        <v>0</v>
      </c>
    </row>
    <row r="2843" spans="1:17" x14ac:dyDescent="0.25">
      <c r="A2843" s="549" t="s">
        <v>1083</v>
      </c>
      <c r="B2843" s="549" t="s">
        <v>584</v>
      </c>
      <c r="C2843" s="549" t="s">
        <v>233</v>
      </c>
      <c r="D2843" s="549" t="s">
        <v>744</v>
      </c>
      <c r="E2843" s="549" t="s">
        <v>973</v>
      </c>
      <c r="F2843" s="549" t="s">
        <v>1212</v>
      </c>
      <c r="G2843" s="549">
        <v>24</v>
      </c>
      <c r="H2843" s="549" t="s">
        <v>233</v>
      </c>
      <c r="I2843" s="549" t="s">
        <v>976</v>
      </c>
      <c r="J2843" s="549" t="s">
        <v>976</v>
      </c>
      <c r="K2843" s="549" t="s">
        <v>976</v>
      </c>
      <c r="L2843" s="549">
        <v>73527.31</v>
      </c>
      <c r="M2843" s="549">
        <v>5551.31</v>
      </c>
      <c r="N2843" s="549">
        <v>4220.47</v>
      </c>
      <c r="O2843" s="549">
        <v>992</v>
      </c>
      <c r="P2843" s="549">
        <v>0</v>
      </c>
      <c r="Q2843" s="549">
        <v>0</v>
      </c>
    </row>
    <row r="2844" spans="1:17" x14ac:dyDescent="0.25">
      <c r="A2844" s="549" t="s">
        <v>1083</v>
      </c>
      <c r="B2844" s="549" t="s">
        <v>584</v>
      </c>
      <c r="C2844" s="549" t="s">
        <v>233</v>
      </c>
      <c r="D2844" s="549" t="s">
        <v>744</v>
      </c>
      <c r="E2844" s="549" t="s">
        <v>973</v>
      </c>
      <c r="F2844" s="549" t="s">
        <v>1212</v>
      </c>
      <c r="G2844" s="549">
        <v>25</v>
      </c>
      <c r="H2844" s="549" t="s">
        <v>233</v>
      </c>
      <c r="I2844" s="549" t="s">
        <v>976</v>
      </c>
      <c r="J2844" s="549" t="s">
        <v>976</v>
      </c>
      <c r="K2844" s="549" t="s">
        <v>976</v>
      </c>
      <c r="L2844" s="549">
        <v>73527.31</v>
      </c>
      <c r="M2844" s="549">
        <v>5551.31</v>
      </c>
      <c r="N2844" s="549">
        <v>4220.47</v>
      </c>
      <c r="O2844" s="549">
        <v>992</v>
      </c>
      <c r="P2844" s="549">
        <v>0</v>
      </c>
      <c r="Q2844" s="549">
        <v>0</v>
      </c>
    </row>
    <row r="2845" spans="1:17" x14ac:dyDescent="0.25">
      <c r="A2845" s="549" t="s">
        <v>1083</v>
      </c>
      <c r="B2845" s="549" t="s">
        <v>584</v>
      </c>
      <c r="C2845" s="549" t="s">
        <v>233</v>
      </c>
      <c r="D2845" s="549" t="s">
        <v>744</v>
      </c>
      <c r="E2845" s="549" t="s">
        <v>973</v>
      </c>
      <c r="F2845" s="549" t="s">
        <v>1212</v>
      </c>
      <c r="G2845" s="549">
        <v>26</v>
      </c>
      <c r="H2845" s="549" t="s">
        <v>233</v>
      </c>
      <c r="I2845" s="549" t="s">
        <v>976</v>
      </c>
      <c r="J2845" s="549" t="s">
        <v>976</v>
      </c>
      <c r="K2845" s="549" t="s">
        <v>976</v>
      </c>
      <c r="L2845" s="549">
        <v>73527.31</v>
      </c>
      <c r="M2845" s="549">
        <v>5551.31</v>
      </c>
      <c r="N2845" s="549">
        <v>4220.47</v>
      </c>
      <c r="O2845" s="549">
        <v>992</v>
      </c>
      <c r="P2845" s="549">
        <v>0</v>
      </c>
      <c r="Q2845" s="549">
        <v>0</v>
      </c>
    </row>
    <row r="2846" spans="1:17" x14ac:dyDescent="0.25">
      <c r="A2846" s="549" t="s">
        <v>1083</v>
      </c>
      <c r="B2846" s="549" t="s">
        <v>584</v>
      </c>
      <c r="C2846" s="549" t="s">
        <v>233</v>
      </c>
      <c r="D2846" s="549" t="s">
        <v>744</v>
      </c>
      <c r="E2846" s="549" t="s">
        <v>973</v>
      </c>
      <c r="F2846" s="549" t="s">
        <v>1212</v>
      </c>
      <c r="G2846" s="549">
        <v>27</v>
      </c>
      <c r="H2846" s="549" t="s">
        <v>233</v>
      </c>
      <c r="I2846" s="549" t="s">
        <v>976</v>
      </c>
      <c r="J2846" s="549" t="s">
        <v>976</v>
      </c>
      <c r="K2846" s="549" t="s">
        <v>976</v>
      </c>
      <c r="L2846" s="549">
        <v>73527.31</v>
      </c>
      <c r="M2846" s="549">
        <v>5551.31</v>
      </c>
      <c r="N2846" s="549">
        <v>4220.47</v>
      </c>
      <c r="O2846" s="549">
        <v>992</v>
      </c>
      <c r="P2846" s="549">
        <v>0</v>
      </c>
      <c r="Q2846" s="549">
        <v>0</v>
      </c>
    </row>
    <row r="2847" spans="1:17" x14ac:dyDescent="0.25">
      <c r="A2847" s="549" t="s">
        <v>1083</v>
      </c>
      <c r="B2847" s="549" t="s">
        <v>584</v>
      </c>
      <c r="C2847" s="549" t="s">
        <v>233</v>
      </c>
      <c r="D2847" s="549" t="s">
        <v>744</v>
      </c>
      <c r="E2847" s="549" t="s">
        <v>973</v>
      </c>
      <c r="F2847" s="549" t="s">
        <v>1212</v>
      </c>
      <c r="G2847" s="549">
        <v>28</v>
      </c>
      <c r="H2847" s="549" t="s">
        <v>233</v>
      </c>
      <c r="I2847" s="549" t="s">
        <v>976</v>
      </c>
      <c r="J2847" s="549" t="s">
        <v>976</v>
      </c>
      <c r="K2847" s="549" t="s">
        <v>976</v>
      </c>
      <c r="L2847" s="549">
        <v>73527.31</v>
      </c>
      <c r="M2847" s="549">
        <v>5551.31</v>
      </c>
      <c r="N2847" s="549">
        <v>4220.47</v>
      </c>
      <c r="O2847" s="549">
        <v>992</v>
      </c>
      <c r="P2847" s="549">
        <v>0</v>
      </c>
      <c r="Q2847" s="549">
        <v>0</v>
      </c>
    </row>
    <row r="2848" spans="1:17" x14ac:dyDescent="0.25">
      <c r="A2848" s="549" t="s">
        <v>1083</v>
      </c>
      <c r="B2848" s="549" t="s">
        <v>584</v>
      </c>
      <c r="C2848" s="549" t="s">
        <v>233</v>
      </c>
      <c r="D2848" s="549" t="s">
        <v>744</v>
      </c>
      <c r="E2848" s="549" t="s">
        <v>973</v>
      </c>
      <c r="F2848" s="549" t="s">
        <v>1212</v>
      </c>
      <c r="G2848" s="549">
        <v>29</v>
      </c>
      <c r="H2848" s="549" t="s">
        <v>233</v>
      </c>
      <c r="I2848" s="549" t="s">
        <v>976</v>
      </c>
      <c r="J2848" s="549" t="s">
        <v>976</v>
      </c>
      <c r="K2848" s="549" t="s">
        <v>976</v>
      </c>
      <c r="L2848" s="549">
        <v>73527.31</v>
      </c>
      <c r="M2848" s="549">
        <v>5551.31</v>
      </c>
      <c r="N2848" s="549">
        <v>4220.47</v>
      </c>
      <c r="O2848" s="549">
        <v>992</v>
      </c>
      <c r="P2848" s="549">
        <v>0</v>
      </c>
      <c r="Q2848" s="549">
        <v>0</v>
      </c>
    </row>
    <row r="2849" spans="1:17" x14ac:dyDescent="0.25">
      <c r="A2849" s="549" t="s">
        <v>1083</v>
      </c>
      <c r="B2849" s="549" t="s">
        <v>584</v>
      </c>
      <c r="C2849" s="549" t="s">
        <v>233</v>
      </c>
      <c r="D2849" s="549" t="s">
        <v>744</v>
      </c>
      <c r="E2849" s="549" t="s">
        <v>973</v>
      </c>
      <c r="F2849" s="549" t="s">
        <v>1212</v>
      </c>
      <c r="G2849" s="549">
        <v>30</v>
      </c>
      <c r="H2849" s="549" t="s">
        <v>233</v>
      </c>
      <c r="I2849" s="549" t="s">
        <v>976</v>
      </c>
      <c r="J2849" s="549" t="s">
        <v>976</v>
      </c>
      <c r="K2849" s="549" t="s">
        <v>976</v>
      </c>
      <c r="L2849" s="549">
        <v>73527.31</v>
      </c>
      <c r="M2849" s="549">
        <v>5551.31</v>
      </c>
      <c r="N2849" s="549">
        <v>4220.47</v>
      </c>
      <c r="O2849" s="549">
        <v>992</v>
      </c>
      <c r="P2849" s="549">
        <v>0</v>
      </c>
      <c r="Q2849" s="549">
        <v>0</v>
      </c>
    </row>
    <row r="2850" spans="1:17" x14ac:dyDescent="0.25">
      <c r="A2850" s="549" t="s">
        <v>1083</v>
      </c>
      <c r="B2850" s="549" t="s">
        <v>584</v>
      </c>
      <c r="C2850" s="549" t="s">
        <v>233</v>
      </c>
      <c r="D2850" s="549" t="s">
        <v>744</v>
      </c>
      <c r="E2850" s="549" t="s">
        <v>973</v>
      </c>
      <c r="F2850" s="549" t="s">
        <v>1212</v>
      </c>
      <c r="G2850" s="549">
        <v>31</v>
      </c>
      <c r="H2850" s="549" t="s">
        <v>233</v>
      </c>
      <c r="I2850" s="549" t="s">
        <v>976</v>
      </c>
      <c r="J2850" s="549" t="s">
        <v>976</v>
      </c>
      <c r="K2850" s="549" t="s">
        <v>976</v>
      </c>
      <c r="L2850" s="549">
        <v>73527.31</v>
      </c>
      <c r="M2850" s="549">
        <v>5551.31</v>
      </c>
      <c r="N2850" s="549">
        <v>4220.47</v>
      </c>
      <c r="O2850" s="549">
        <v>992</v>
      </c>
      <c r="P2850" s="549">
        <v>0</v>
      </c>
      <c r="Q2850" s="549">
        <v>0</v>
      </c>
    </row>
    <row r="2851" spans="1:17" x14ac:dyDescent="0.25">
      <c r="A2851" s="549" t="s">
        <v>1083</v>
      </c>
      <c r="B2851" s="549" t="s">
        <v>584</v>
      </c>
      <c r="C2851" s="549" t="s">
        <v>233</v>
      </c>
      <c r="D2851" s="549" t="s">
        <v>744</v>
      </c>
      <c r="E2851" s="549" t="s">
        <v>973</v>
      </c>
      <c r="F2851" s="549" t="s">
        <v>1212</v>
      </c>
      <c r="G2851" s="549">
        <v>32</v>
      </c>
      <c r="H2851" s="549" t="s">
        <v>233</v>
      </c>
      <c r="I2851" s="549" t="s">
        <v>976</v>
      </c>
      <c r="J2851" s="549" t="s">
        <v>976</v>
      </c>
      <c r="K2851" s="549" t="s">
        <v>976</v>
      </c>
      <c r="L2851" s="549">
        <v>73527.31</v>
      </c>
      <c r="M2851" s="549">
        <v>5551.31</v>
      </c>
      <c r="N2851" s="549">
        <v>4220.47</v>
      </c>
      <c r="O2851" s="549">
        <v>992</v>
      </c>
      <c r="P2851" s="549">
        <v>0</v>
      </c>
      <c r="Q2851" s="549">
        <v>0</v>
      </c>
    </row>
    <row r="2852" spans="1:17" x14ac:dyDescent="0.25">
      <c r="A2852" s="549" t="s">
        <v>1083</v>
      </c>
      <c r="B2852" s="549" t="s">
        <v>584</v>
      </c>
      <c r="C2852" s="549" t="s">
        <v>233</v>
      </c>
      <c r="D2852" s="549" t="s">
        <v>744</v>
      </c>
      <c r="E2852" s="549" t="s">
        <v>973</v>
      </c>
      <c r="F2852" s="549" t="s">
        <v>1212</v>
      </c>
      <c r="G2852" s="549">
        <v>71</v>
      </c>
      <c r="H2852" s="549" t="s">
        <v>233</v>
      </c>
      <c r="I2852" s="549" t="s">
        <v>976</v>
      </c>
      <c r="J2852" s="549" t="s">
        <v>976</v>
      </c>
      <c r="K2852" s="549" t="s">
        <v>976</v>
      </c>
      <c r="L2852" s="549">
        <v>77761.23</v>
      </c>
      <c r="M2852" s="549">
        <v>5870.97</v>
      </c>
      <c r="N2852" s="549">
        <v>4463.49</v>
      </c>
      <c r="O2852" s="549">
        <v>992</v>
      </c>
      <c r="P2852" s="549">
        <v>0</v>
      </c>
      <c r="Q2852" s="549">
        <v>0</v>
      </c>
    </row>
    <row r="2853" spans="1:17" x14ac:dyDescent="0.25">
      <c r="A2853" s="549" t="s">
        <v>1083</v>
      </c>
      <c r="B2853" s="549" t="s">
        <v>584</v>
      </c>
      <c r="C2853" s="549" t="s">
        <v>233</v>
      </c>
      <c r="D2853" s="549" t="s">
        <v>744</v>
      </c>
      <c r="E2853" s="549" t="s">
        <v>973</v>
      </c>
      <c r="F2853" s="549" t="s">
        <v>1212</v>
      </c>
      <c r="G2853" s="549">
        <v>72</v>
      </c>
      <c r="H2853" s="549" t="s">
        <v>233</v>
      </c>
      <c r="I2853" s="549" t="s">
        <v>976</v>
      </c>
      <c r="J2853" s="549" t="s">
        <v>976</v>
      </c>
      <c r="K2853" s="549" t="s">
        <v>976</v>
      </c>
      <c r="L2853" s="549">
        <v>75220.88</v>
      </c>
      <c r="M2853" s="549">
        <v>5679.18</v>
      </c>
      <c r="N2853" s="549">
        <v>4317.68</v>
      </c>
      <c r="O2853" s="549">
        <v>992</v>
      </c>
      <c r="P2853" s="549">
        <v>0</v>
      </c>
      <c r="Q2853" s="549">
        <v>0</v>
      </c>
    </row>
    <row r="2854" spans="1:17" x14ac:dyDescent="0.25">
      <c r="A2854" s="549" t="s">
        <v>1083</v>
      </c>
      <c r="B2854" s="549" t="s">
        <v>584</v>
      </c>
      <c r="C2854" s="549" t="s">
        <v>233</v>
      </c>
      <c r="D2854" s="549" t="s">
        <v>744</v>
      </c>
      <c r="E2854" s="549" t="s">
        <v>973</v>
      </c>
      <c r="F2854" s="549" t="s">
        <v>1212</v>
      </c>
      <c r="G2854" s="549">
        <v>73</v>
      </c>
      <c r="H2854" s="549" t="s">
        <v>233</v>
      </c>
      <c r="I2854" s="549" t="s">
        <v>976</v>
      </c>
      <c r="J2854" s="549" t="s">
        <v>976</v>
      </c>
      <c r="K2854" s="549" t="s">
        <v>976</v>
      </c>
      <c r="L2854" s="549">
        <v>75220.88</v>
      </c>
      <c r="M2854" s="549">
        <v>5679.18</v>
      </c>
      <c r="N2854" s="549">
        <v>4317.68</v>
      </c>
      <c r="O2854" s="549">
        <v>992</v>
      </c>
      <c r="P2854" s="549">
        <v>0</v>
      </c>
      <c r="Q2854" s="549">
        <v>0</v>
      </c>
    </row>
    <row r="2855" spans="1:17" x14ac:dyDescent="0.25">
      <c r="A2855" s="549" t="s">
        <v>1083</v>
      </c>
      <c r="B2855" s="549" t="s">
        <v>584</v>
      </c>
      <c r="C2855" s="549" t="s">
        <v>233</v>
      </c>
      <c r="D2855" s="549" t="s">
        <v>744</v>
      </c>
      <c r="E2855" s="549" t="s">
        <v>973</v>
      </c>
      <c r="F2855" s="549" t="s">
        <v>1212</v>
      </c>
      <c r="G2855" s="549">
        <v>74</v>
      </c>
      <c r="H2855" s="549" t="s">
        <v>233</v>
      </c>
      <c r="I2855" s="549" t="s">
        <v>976</v>
      </c>
      <c r="J2855" s="549" t="s">
        <v>976</v>
      </c>
      <c r="K2855" s="549" t="s">
        <v>976</v>
      </c>
      <c r="L2855" s="549">
        <v>77761.23</v>
      </c>
      <c r="M2855" s="549">
        <v>5870.97</v>
      </c>
      <c r="N2855" s="549">
        <v>4463.49</v>
      </c>
      <c r="O2855" s="549">
        <v>992</v>
      </c>
      <c r="P2855" s="549">
        <v>0</v>
      </c>
      <c r="Q2855" s="549">
        <v>0</v>
      </c>
    </row>
    <row r="2856" spans="1:17" x14ac:dyDescent="0.25">
      <c r="A2856" s="549" t="s">
        <v>1083</v>
      </c>
      <c r="B2856" s="549" t="s">
        <v>584</v>
      </c>
      <c r="C2856" s="549" t="s">
        <v>233</v>
      </c>
      <c r="D2856" s="549" t="s">
        <v>744</v>
      </c>
      <c r="E2856" s="549" t="s">
        <v>973</v>
      </c>
      <c r="F2856" s="549" t="s">
        <v>1212</v>
      </c>
      <c r="G2856" s="549">
        <v>75</v>
      </c>
      <c r="H2856" s="549" t="s">
        <v>233</v>
      </c>
      <c r="I2856" s="549" t="s">
        <v>976</v>
      </c>
      <c r="J2856" s="549" t="s">
        <v>976</v>
      </c>
      <c r="K2856" s="549" t="s">
        <v>976</v>
      </c>
      <c r="L2856" s="549">
        <v>75220.88</v>
      </c>
      <c r="M2856" s="549">
        <v>5679.18</v>
      </c>
      <c r="N2856" s="549">
        <v>4317.68</v>
      </c>
      <c r="O2856" s="549">
        <v>992</v>
      </c>
      <c r="P2856" s="549">
        <v>0</v>
      </c>
      <c r="Q2856" s="549">
        <v>0</v>
      </c>
    </row>
    <row r="2857" spans="1:17" x14ac:dyDescent="0.25">
      <c r="A2857" s="549" t="s">
        <v>1083</v>
      </c>
      <c r="B2857" s="549" t="s">
        <v>584</v>
      </c>
      <c r="C2857" s="549" t="s">
        <v>233</v>
      </c>
      <c r="D2857" s="549" t="s">
        <v>744</v>
      </c>
      <c r="E2857" s="549" t="s">
        <v>973</v>
      </c>
      <c r="F2857" s="549" t="s">
        <v>1212</v>
      </c>
      <c r="G2857" s="549">
        <v>76</v>
      </c>
      <c r="H2857" s="549" t="s">
        <v>233</v>
      </c>
      <c r="I2857" s="549" t="s">
        <v>976</v>
      </c>
      <c r="J2857" s="549" t="s">
        <v>976</v>
      </c>
      <c r="K2857" s="549" t="s">
        <v>976</v>
      </c>
      <c r="L2857" s="549">
        <v>75220.88</v>
      </c>
      <c r="M2857" s="549">
        <v>5679.18</v>
      </c>
      <c r="N2857" s="549">
        <v>4317.68</v>
      </c>
      <c r="O2857" s="549">
        <v>992</v>
      </c>
      <c r="P2857" s="549">
        <v>0</v>
      </c>
      <c r="Q2857" s="549">
        <v>0</v>
      </c>
    </row>
    <row r="2858" spans="1:17" x14ac:dyDescent="0.25">
      <c r="A2858" s="549" t="s">
        <v>1083</v>
      </c>
      <c r="B2858" s="549" t="s">
        <v>584</v>
      </c>
      <c r="C2858" s="549" t="s">
        <v>233</v>
      </c>
      <c r="D2858" s="549" t="s">
        <v>744</v>
      </c>
      <c r="E2858" s="549" t="s">
        <v>973</v>
      </c>
      <c r="F2858" s="549" t="s">
        <v>1212</v>
      </c>
      <c r="G2858" s="549">
        <v>77</v>
      </c>
      <c r="H2858" s="549" t="s">
        <v>233</v>
      </c>
      <c r="I2858" s="549" t="s">
        <v>976</v>
      </c>
      <c r="J2858" s="549" t="s">
        <v>976</v>
      </c>
      <c r="K2858" s="549" t="s">
        <v>976</v>
      </c>
      <c r="L2858" s="549">
        <v>30722.98</v>
      </c>
      <c r="M2858" s="549">
        <v>2319.58</v>
      </c>
      <c r="N2858" s="549">
        <v>1763.5</v>
      </c>
      <c r="O2858" s="549">
        <v>992</v>
      </c>
      <c r="P2858" s="549">
        <v>0</v>
      </c>
      <c r="Q2858" s="549">
        <v>0</v>
      </c>
    </row>
    <row r="2859" spans="1:17" x14ac:dyDescent="0.25">
      <c r="A2859" s="549" t="s">
        <v>1083</v>
      </c>
      <c r="B2859" s="549" t="s">
        <v>584</v>
      </c>
      <c r="C2859" s="549" t="s">
        <v>233</v>
      </c>
      <c r="D2859" s="549" t="s">
        <v>744</v>
      </c>
      <c r="E2859" s="549" t="s">
        <v>973</v>
      </c>
      <c r="F2859" s="549" t="s">
        <v>1212</v>
      </c>
      <c r="G2859" s="549">
        <v>78</v>
      </c>
      <c r="H2859" s="549" t="s">
        <v>233</v>
      </c>
      <c r="I2859" s="549" t="s">
        <v>976</v>
      </c>
      <c r="J2859" s="549" t="s">
        <v>976</v>
      </c>
      <c r="K2859" s="549" t="s">
        <v>976</v>
      </c>
      <c r="L2859" s="549">
        <v>30722.98</v>
      </c>
      <c r="M2859" s="549">
        <v>2319.58</v>
      </c>
      <c r="N2859" s="549">
        <v>1763.5</v>
      </c>
      <c r="O2859" s="549">
        <v>992</v>
      </c>
      <c r="P2859" s="549">
        <v>0</v>
      </c>
      <c r="Q2859" s="549">
        <v>0</v>
      </c>
    </row>
    <row r="2860" spans="1:17" x14ac:dyDescent="0.25">
      <c r="A2860" s="549" t="s">
        <v>1083</v>
      </c>
      <c r="B2860" s="549" t="s">
        <v>584</v>
      </c>
      <c r="C2860" s="549" t="s">
        <v>233</v>
      </c>
      <c r="D2860" s="549" t="s">
        <v>744</v>
      </c>
      <c r="E2860" s="549" t="s">
        <v>973</v>
      </c>
      <c r="F2860" s="549" t="s">
        <v>1212</v>
      </c>
      <c r="G2860" s="549">
        <v>79</v>
      </c>
      <c r="H2860" s="549" t="s">
        <v>233</v>
      </c>
      <c r="I2860" s="549" t="s">
        <v>976</v>
      </c>
      <c r="J2860" s="549" t="s">
        <v>976</v>
      </c>
      <c r="K2860" s="549" t="s">
        <v>976</v>
      </c>
      <c r="L2860" s="549">
        <v>75220.88</v>
      </c>
      <c r="M2860" s="549">
        <v>5679.18</v>
      </c>
      <c r="N2860" s="549">
        <v>4317.68</v>
      </c>
      <c r="O2860" s="549">
        <v>992</v>
      </c>
      <c r="P2860" s="549">
        <v>0</v>
      </c>
      <c r="Q2860" s="549">
        <v>0</v>
      </c>
    </row>
    <row r="2861" spans="1:17" x14ac:dyDescent="0.25">
      <c r="A2861" s="549" t="s">
        <v>1083</v>
      </c>
      <c r="B2861" s="549" t="s">
        <v>584</v>
      </c>
      <c r="C2861" s="549" t="s">
        <v>233</v>
      </c>
      <c r="D2861" s="549" t="s">
        <v>744</v>
      </c>
      <c r="E2861" s="549" t="s">
        <v>973</v>
      </c>
      <c r="F2861" s="549" t="s">
        <v>1212</v>
      </c>
      <c r="G2861" s="549">
        <v>80</v>
      </c>
      <c r="H2861" s="549" t="s">
        <v>233</v>
      </c>
      <c r="I2861" s="549" t="s">
        <v>976</v>
      </c>
      <c r="J2861" s="549" t="s">
        <v>976</v>
      </c>
      <c r="K2861" s="549" t="s">
        <v>976</v>
      </c>
      <c r="L2861" s="549">
        <v>75220.88</v>
      </c>
      <c r="M2861" s="549">
        <v>5679.18</v>
      </c>
      <c r="N2861" s="549">
        <v>4317.68</v>
      </c>
      <c r="O2861" s="549">
        <v>992</v>
      </c>
      <c r="P2861" s="549">
        <v>0</v>
      </c>
      <c r="Q2861" s="549">
        <v>0</v>
      </c>
    </row>
    <row r="2862" spans="1:17" x14ac:dyDescent="0.25">
      <c r="A2862" s="549" t="s">
        <v>1083</v>
      </c>
      <c r="B2862" s="549" t="s">
        <v>584</v>
      </c>
      <c r="C2862" s="549" t="s">
        <v>233</v>
      </c>
      <c r="D2862" s="549" t="s">
        <v>744</v>
      </c>
      <c r="E2862" s="549" t="s">
        <v>973</v>
      </c>
      <c r="F2862" s="549" t="s">
        <v>1212</v>
      </c>
      <c r="G2862" s="549">
        <v>81</v>
      </c>
      <c r="H2862" s="549" t="s">
        <v>233</v>
      </c>
      <c r="I2862" s="549" t="s">
        <v>1310</v>
      </c>
      <c r="J2862" s="549" t="s">
        <v>1310</v>
      </c>
      <c r="K2862" s="549" t="s">
        <v>1310</v>
      </c>
      <c r="L2862" s="549">
        <v>0.02</v>
      </c>
      <c r="M2862" s="549">
        <v>0</v>
      </c>
      <c r="N2862" s="549">
        <v>0</v>
      </c>
      <c r="O2862" s="549">
        <v>0</v>
      </c>
      <c r="P2862" s="549">
        <v>0</v>
      </c>
      <c r="Q2862" s="549">
        <v>0</v>
      </c>
    </row>
    <row r="2863" spans="1:17" x14ac:dyDescent="0.25">
      <c r="A2863" s="549" t="s">
        <v>1083</v>
      </c>
      <c r="B2863" s="549" t="s">
        <v>584</v>
      </c>
      <c r="C2863" s="549" t="s">
        <v>233</v>
      </c>
      <c r="D2863" s="549" t="s">
        <v>744</v>
      </c>
      <c r="E2863" s="549" t="s">
        <v>973</v>
      </c>
      <c r="F2863" s="549" t="s">
        <v>1212</v>
      </c>
      <c r="G2863" s="549">
        <v>312</v>
      </c>
      <c r="H2863" s="549" t="s">
        <v>233</v>
      </c>
      <c r="I2863" s="549" t="s">
        <v>976</v>
      </c>
      <c r="J2863" s="549" t="s">
        <v>976</v>
      </c>
      <c r="K2863" s="549" t="s">
        <v>976</v>
      </c>
      <c r="L2863" s="549">
        <v>344086.71</v>
      </c>
      <c r="M2863" s="549">
        <v>25978.55</v>
      </c>
      <c r="N2863" s="549">
        <v>19750.580000000002</v>
      </c>
      <c r="O2863" s="549">
        <v>1984</v>
      </c>
      <c r="P2863" s="549">
        <v>0</v>
      </c>
      <c r="Q2863" s="549">
        <v>0</v>
      </c>
    </row>
    <row r="2864" spans="1:17" x14ac:dyDescent="0.25">
      <c r="A2864" s="549" t="s">
        <v>1083</v>
      </c>
      <c r="B2864" s="549" t="s">
        <v>584</v>
      </c>
      <c r="C2864" s="549" t="s">
        <v>233</v>
      </c>
      <c r="D2864" s="549" t="s">
        <v>744</v>
      </c>
      <c r="E2864" s="549" t="s">
        <v>973</v>
      </c>
      <c r="F2864" s="549" t="s">
        <v>1212</v>
      </c>
      <c r="G2864" s="549">
        <v>332</v>
      </c>
      <c r="H2864" s="549" t="s">
        <v>233</v>
      </c>
      <c r="I2864" s="549" t="s">
        <v>976</v>
      </c>
      <c r="J2864" s="549" t="s">
        <v>976</v>
      </c>
      <c r="K2864" s="549" t="s">
        <v>976</v>
      </c>
      <c r="L2864" s="549">
        <v>344086.71</v>
      </c>
      <c r="M2864" s="549">
        <v>25978.55</v>
      </c>
      <c r="N2864" s="549">
        <v>19750.580000000002</v>
      </c>
      <c r="O2864" s="549">
        <v>1984</v>
      </c>
      <c r="P2864" s="549">
        <v>0</v>
      </c>
      <c r="Q2864" s="549">
        <v>0</v>
      </c>
    </row>
    <row r="2865" spans="1:17" x14ac:dyDescent="0.25">
      <c r="A2865" s="549" t="s">
        <v>1083</v>
      </c>
      <c r="B2865" s="549" t="s">
        <v>584</v>
      </c>
      <c r="C2865" s="549" t="s">
        <v>233</v>
      </c>
      <c r="D2865" s="549" t="s">
        <v>744</v>
      </c>
      <c r="E2865" s="549" t="s">
        <v>973</v>
      </c>
      <c r="F2865" s="549" t="s">
        <v>1212</v>
      </c>
      <c r="G2865" s="549">
        <v>362</v>
      </c>
      <c r="H2865" s="549" t="s">
        <v>233</v>
      </c>
      <c r="I2865" s="549" t="s">
        <v>976</v>
      </c>
      <c r="J2865" s="549" t="s">
        <v>976</v>
      </c>
      <c r="K2865" s="549" t="s">
        <v>976</v>
      </c>
      <c r="L2865" s="549">
        <v>344086.71</v>
      </c>
      <c r="M2865" s="549">
        <v>25978.55</v>
      </c>
      <c r="N2865" s="549">
        <v>19750.580000000002</v>
      </c>
      <c r="O2865" s="549">
        <v>1984</v>
      </c>
      <c r="P2865" s="549">
        <v>0</v>
      </c>
      <c r="Q2865" s="549">
        <v>0</v>
      </c>
    </row>
    <row r="2866" spans="1:17" x14ac:dyDescent="0.25">
      <c r="A2866" s="549" t="s">
        <v>1083</v>
      </c>
      <c r="B2866" s="549" t="s">
        <v>584</v>
      </c>
      <c r="C2866" s="549" t="s">
        <v>233</v>
      </c>
      <c r="D2866" s="549" t="s">
        <v>744</v>
      </c>
      <c r="E2866" s="549" t="s">
        <v>973</v>
      </c>
      <c r="F2866" s="549" t="s">
        <v>1212</v>
      </c>
      <c r="G2866" s="549">
        <v>382</v>
      </c>
      <c r="H2866" s="549" t="s">
        <v>233</v>
      </c>
      <c r="I2866" s="549" t="s">
        <v>976</v>
      </c>
      <c r="J2866" s="549" t="s">
        <v>976</v>
      </c>
      <c r="K2866" s="549" t="s">
        <v>976</v>
      </c>
      <c r="L2866" s="549">
        <v>344086.71</v>
      </c>
      <c r="M2866" s="549">
        <v>25978.55</v>
      </c>
      <c r="N2866" s="549">
        <v>19750.580000000002</v>
      </c>
      <c r="O2866" s="549">
        <v>1984</v>
      </c>
      <c r="P2866" s="549">
        <v>0</v>
      </c>
      <c r="Q2866" s="549">
        <v>0</v>
      </c>
    </row>
    <row r="2867" spans="1:17" x14ac:dyDescent="0.25">
      <c r="A2867" s="549" t="s">
        <v>1083</v>
      </c>
      <c r="B2867" s="549" t="s">
        <v>584</v>
      </c>
      <c r="C2867" s="549" t="s">
        <v>233</v>
      </c>
      <c r="D2867" s="549" t="s">
        <v>744</v>
      </c>
      <c r="E2867" s="549" t="s">
        <v>973</v>
      </c>
      <c r="F2867" s="549" t="s">
        <v>1212</v>
      </c>
      <c r="G2867" s="549">
        <v>2202</v>
      </c>
      <c r="H2867" s="549" t="s">
        <v>233</v>
      </c>
      <c r="I2867" s="549" t="s">
        <v>976</v>
      </c>
      <c r="J2867" s="549" t="s">
        <v>976</v>
      </c>
      <c r="K2867" s="549" t="s">
        <v>976</v>
      </c>
      <c r="L2867" s="549">
        <v>91839.02</v>
      </c>
      <c r="M2867" s="549">
        <v>6933.85</v>
      </c>
      <c r="N2867" s="549">
        <v>5271.56</v>
      </c>
      <c r="O2867" s="549">
        <v>992</v>
      </c>
      <c r="P2867" s="549">
        <v>0</v>
      </c>
      <c r="Q2867" s="549">
        <v>0</v>
      </c>
    </row>
    <row r="2868" spans="1:17" x14ac:dyDescent="0.25">
      <c r="A2868" s="549" t="s">
        <v>1083</v>
      </c>
      <c r="B2868" s="549" t="s">
        <v>584</v>
      </c>
      <c r="C2868" s="549" t="s">
        <v>233</v>
      </c>
      <c r="D2868" s="549" t="s">
        <v>744</v>
      </c>
      <c r="E2868" s="549" t="s">
        <v>973</v>
      </c>
      <c r="F2868" s="549" t="s">
        <v>1212</v>
      </c>
      <c r="G2868" s="549">
        <v>2212</v>
      </c>
      <c r="H2868" s="549" t="s">
        <v>233</v>
      </c>
      <c r="I2868" s="549" t="s">
        <v>976</v>
      </c>
      <c r="J2868" s="549" t="s">
        <v>976</v>
      </c>
      <c r="K2868" s="549" t="s">
        <v>976</v>
      </c>
      <c r="L2868" s="549">
        <v>91839.02</v>
      </c>
      <c r="M2868" s="549">
        <v>6933.85</v>
      </c>
      <c r="N2868" s="549">
        <v>5271.56</v>
      </c>
      <c r="O2868" s="549">
        <v>992</v>
      </c>
      <c r="P2868" s="549">
        <v>0</v>
      </c>
      <c r="Q2868" s="549">
        <v>0</v>
      </c>
    </row>
    <row r="2869" spans="1:17" x14ac:dyDescent="0.25">
      <c r="A2869" s="549" t="s">
        <v>1083</v>
      </c>
      <c r="B2869" s="549" t="s">
        <v>584</v>
      </c>
      <c r="C2869" s="549" t="s">
        <v>233</v>
      </c>
      <c r="D2869" s="549" t="s">
        <v>744</v>
      </c>
      <c r="E2869" s="549" t="s">
        <v>973</v>
      </c>
      <c r="F2869" s="549" t="s">
        <v>1212</v>
      </c>
      <c r="G2869" s="549">
        <v>2222</v>
      </c>
      <c r="H2869" s="549" t="s">
        <v>233</v>
      </c>
      <c r="I2869" s="549" t="s">
        <v>976</v>
      </c>
      <c r="J2869" s="549" t="s">
        <v>976</v>
      </c>
      <c r="K2869" s="549" t="s">
        <v>976</v>
      </c>
      <c r="L2869" s="549">
        <v>98189.9</v>
      </c>
      <c r="M2869" s="549">
        <v>7413.34</v>
      </c>
      <c r="N2869" s="549">
        <v>5636.1</v>
      </c>
      <c r="O2869" s="549">
        <v>992</v>
      </c>
      <c r="P2869" s="549">
        <v>0</v>
      </c>
      <c r="Q2869" s="549">
        <v>0</v>
      </c>
    </row>
    <row r="2870" spans="1:17" x14ac:dyDescent="0.25">
      <c r="A2870" s="549" t="s">
        <v>1083</v>
      </c>
      <c r="B2870" s="549" t="s">
        <v>584</v>
      </c>
      <c r="C2870" s="549" t="s">
        <v>233</v>
      </c>
      <c r="D2870" s="549" t="s">
        <v>744</v>
      </c>
      <c r="E2870" s="549" t="s">
        <v>973</v>
      </c>
      <c r="F2870" s="549" t="s">
        <v>1212</v>
      </c>
      <c r="G2870" s="549">
        <v>2242</v>
      </c>
      <c r="H2870" s="549" t="s">
        <v>233</v>
      </c>
      <c r="I2870" s="549" t="s">
        <v>976</v>
      </c>
      <c r="J2870" s="549" t="s">
        <v>976</v>
      </c>
      <c r="K2870" s="549" t="s">
        <v>976</v>
      </c>
      <c r="L2870" s="549">
        <v>91839.02</v>
      </c>
      <c r="M2870" s="549">
        <v>6933.85</v>
      </c>
      <c r="N2870" s="549">
        <v>5271.56</v>
      </c>
      <c r="O2870" s="549">
        <v>992</v>
      </c>
      <c r="P2870" s="549">
        <v>0</v>
      </c>
      <c r="Q2870" s="549">
        <v>0</v>
      </c>
    </row>
    <row r="2871" spans="1:17" x14ac:dyDescent="0.25">
      <c r="A2871" s="549" t="s">
        <v>1083</v>
      </c>
      <c r="B2871" s="549" t="s">
        <v>584</v>
      </c>
      <c r="C2871" s="549" t="s">
        <v>233</v>
      </c>
      <c r="D2871" s="549" t="s">
        <v>744</v>
      </c>
      <c r="E2871" s="549" t="s">
        <v>973</v>
      </c>
      <c r="F2871" s="549" t="s">
        <v>1212</v>
      </c>
      <c r="G2871" s="549" t="s">
        <v>1430</v>
      </c>
      <c r="H2871" s="549" t="s">
        <v>233</v>
      </c>
      <c r="I2871" s="549" t="s">
        <v>976</v>
      </c>
      <c r="J2871" s="549" t="s">
        <v>976</v>
      </c>
      <c r="K2871" s="549" t="s">
        <v>976</v>
      </c>
      <c r="L2871" s="549">
        <v>31102.38</v>
      </c>
      <c r="M2871" s="549">
        <v>2348.23</v>
      </c>
      <c r="N2871" s="549">
        <v>1785.28</v>
      </c>
      <c r="O2871" s="549">
        <v>0</v>
      </c>
      <c r="P2871" s="549">
        <v>0</v>
      </c>
      <c r="Q2871" s="549">
        <v>0</v>
      </c>
    </row>
    <row r="2872" spans="1:17" x14ac:dyDescent="0.25">
      <c r="A2872" s="549" t="s">
        <v>1083</v>
      </c>
      <c r="B2872" s="549" t="s">
        <v>584</v>
      </c>
      <c r="C2872" s="549" t="s">
        <v>233</v>
      </c>
      <c r="D2872" s="549" t="s">
        <v>744</v>
      </c>
      <c r="E2872" s="549" t="s">
        <v>973</v>
      </c>
      <c r="F2872" s="549" t="s">
        <v>1212</v>
      </c>
      <c r="G2872" s="549" t="s">
        <v>1244</v>
      </c>
      <c r="H2872" s="549" t="s">
        <v>233</v>
      </c>
      <c r="I2872" s="549" t="s">
        <v>976</v>
      </c>
      <c r="J2872" s="549" t="s">
        <v>976</v>
      </c>
      <c r="K2872" s="549" t="s">
        <v>976</v>
      </c>
      <c r="L2872" s="549">
        <v>31102.38</v>
      </c>
      <c r="M2872" s="549">
        <v>2348.23</v>
      </c>
      <c r="N2872" s="549">
        <v>1785.28</v>
      </c>
      <c r="O2872" s="549">
        <v>0</v>
      </c>
      <c r="P2872" s="549">
        <v>0</v>
      </c>
      <c r="Q2872" s="549">
        <v>0</v>
      </c>
    </row>
    <row r="2873" spans="1:17" x14ac:dyDescent="0.25">
      <c r="A2873" s="549" t="s">
        <v>1083</v>
      </c>
      <c r="B2873" s="549" t="s">
        <v>584</v>
      </c>
      <c r="C2873" s="549" t="s">
        <v>233</v>
      </c>
      <c r="D2873" s="549" t="s">
        <v>744</v>
      </c>
      <c r="E2873" s="549" t="s">
        <v>973</v>
      </c>
      <c r="F2873" s="549" t="s">
        <v>1212</v>
      </c>
      <c r="G2873" s="549" t="s">
        <v>1431</v>
      </c>
      <c r="H2873" s="549" t="s">
        <v>233</v>
      </c>
      <c r="I2873" s="549" t="s">
        <v>976</v>
      </c>
      <c r="J2873" s="549" t="s">
        <v>976</v>
      </c>
      <c r="K2873" s="549" t="s">
        <v>976</v>
      </c>
      <c r="L2873" s="549">
        <v>31102.38</v>
      </c>
      <c r="M2873" s="549">
        <v>2348.23</v>
      </c>
      <c r="N2873" s="549">
        <v>1785.28</v>
      </c>
      <c r="O2873" s="549">
        <v>0</v>
      </c>
      <c r="P2873" s="549">
        <v>0</v>
      </c>
      <c r="Q2873" s="549">
        <v>0</v>
      </c>
    </row>
    <row r="2874" spans="1:17" x14ac:dyDescent="0.25">
      <c r="A2874" s="549" t="s">
        <v>1083</v>
      </c>
      <c r="B2874" s="549" t="s">
        <v>584</v>
      </c>
      <c r="C2874" s="549" t="s">
        <v>233</v>
      </c>
      <c r="D2874" s="549" t="s">
        <v>744</v>
      </c>
      <c r="E2874" s="549" t="s">
        <v>973</v>
      </c>
      <c r="F2874" s="549" t="s">
        <v>1212</v>
      </c>
      <c r="G2874" s="549" t="s">
        <v>1432</v>
      </c>
      <c r="H2874" s="549" t="s">
        <v>233</v>
      </c>
      <c r="I2874" s="549" t="s">
        <v>976</v>
      </c>
      <c r="J2874" s="549" t="s">
        <v>976</v>
      </c>
      <c r="K2874" s="549" t="s">
        <v>976</v>
      </c>
      <c r="L2874" s="549">
        <v>31102.38</v>
      </c>
      <c r="M2874" s="549">
        <v>2348.23</v>
      </c>
      <c r="N2874" s="549">
        <v>1785.28</v>
      </c>
      <c r="O2874" s="549">
        <v>0</v>
      </c>
      <c r="P2874" s="549">
        <v>0</v>
      </c>
      <c r="Q2874" s="549">
        <v>0</v>
      </c>
    </row>
    <row r="2875" spans="1:17" x14ac:dyDescent="0.25">
      <c r="A2875" s="549" t="s">
        <v>1083</v>
      </c>
      <c r="B2875" s="549" t="s">
        <v>584</v>
      </c>
      <c r="C2875" s="549" t="s">
        <v>233</v>
      </c>
      <c r="D2875" s="549" t="s">
        <v>744</v>
      </c>
      <c r="E2875" s="549" t="s">
        <v>973</v>
      </c>
      <c r="F2875" s="549" t="s">
        <v>1212</v>
      </c>
      <c r="G2875" s="549" t="s">
        <v>1433</v>
      </c>
      <c r="H2875" s="549" t="s">
        <v>233</v>
      </c>
      <c r="I2875" s="549" t="s">
        <v>976</v>
      </c>
      <c r="J2875" s="549" t="s">
        <v>976</v>
      </c>
      <c r="K2875" s="549" t="s">
        <v>976</v>
      </c>
      <c r="L2875" s="549">
        <v>8157.64</v>
      </c>
      <c r="M2875" s="549">
        <v>615.9</v>
      </c>
      <c r="N2875" s="549">
        <v>468.25</v>
      </c>
      <c r="O2875" s="549">
        <v>0</v>
      </c>
      <c r="P2875" s="549">
        <v>0</v>
      </c>
      <c r="Q2875" s="549">
        <v>0</v>
      </c>
    </row>
    <row r="2876" spans="1:17" x14ac:dyDescent="0.25">
      <c r="A2876" s="549" t="s">
        <v>1083</v>
      </c>
      <c r="B2876" s="549" t="s">
        <v>584</v>
      </c>
      <c r="C2876" s="549" t="s">
        <v>233</v>
      </c>
      <c r="D2876" s="549" t="s">
        <v>744</v>
      </c>
      <c r="E2876" s="549" t="s">
        <v>973</v>
      </c>
      <c r="F2876" s="549" t="s">
        <v>1212</v>
      </c>
      <c r="G2876" s="549" t="s">
        <v>1434</v>
      </c>
      <c r="H2876" s="549" t="s">
        <v>233</v>
      </c>
      <c r="I2876" s="549" t="s">
        <v>976</v>
      </c>
      <c r="J2876" s="549" t="s">
        <v>976</v>
      </c>
      <c r="K2876" s="549" t="s">
        <v>976</v>
      </c>
      <c r="L2876" s="549">
        <v>8157.64</v>
      </c>
      <c r="M2876" s="549">
        <v>615.9</v>
      </c>
      <c r="N2876" s="549">
        <v>468.25</v>
      </c>
      <c r="O2876" s="549">
        <v>0</v>
      </c>
      <c r="P2876" s="549">
        <v>0</v>
      </c>
      <c r="Q2876" s="549">
        <v>0</v>
      </c>
    </row>
    <row r="2877" spans="1:17" x14ac:dyDescent="0.25">
      <c r="A2877" s="549" t="s">
        <v>1083</v>
      </c>
      <c r="B2877" s="549" t="s">
        <v>584</v>
      </c>
      <c r="C2877" s="549" t="s">
        <v>233</v>
      </c>
      <c r="D2877" s="549" t="s">
        <v>744</v>
      </c>
      <c r="E2877" s="549" t="s">
        <v>973</v>
      </c>
      <c r="F2877" s="549" t="s">
        <v>1212</v>
      </c>
      <c r="G2877" s="549" t="s">
        <v>1435</v>
      </c>
      <c r="H2877" s="549" t="s">
        <v>233</v>
      </c>
      <c r="I2877" s="549" t="s">
        <v>1310</v>
      </c>
      <c r="J2877" s="549" t="s">
        <v>1310</v>
      </c>
      <c r="K2877" s="549" t="s">
        <v>1310</v>
      </c>
      <c r="L2877" s="549">
        <v>0</v>
      </c>
      <c r="M2877" s="549">
        <v>0</v>
      </c>
      <c r="N2877" s="549">
        <v>0</v>
      </c>
      <c r="O2877" s="549">
        <v>0</v>
      </c>
      <c r="P2877" s="549">
        <v>0</v>
      </c>
      <c r="Q2877" s="549">
        <v>0</v>
      </c>
    </row>
    <row r="2878" spans="1:17" x14ac:dyDescent="0.25">
      <c r="A2878" s="549" t="s">
        <v>1083</v>
      </c>
      <c r="B2878" s="549" t="s">
        <v>584</v>
      </c>
      <c r="C2878" s="549" t="s">
        <v>233</v>
      </c>
      <c r="D2878" s="549" t="s">
        <v>744</v>
      </c>
      <c r="E2878" s="549" t="s">
        <v>977</v>
      </c>
      <c r="F2878" s="549" t="s">
        <v>1212</v>
      </c>
      <c r="G2878" s="549">
        <v>1</v>
      </c>
      <c r="H2878" s="549" t="s">
        <v>233</v>
      </c>
      <c r="I2878" s="549" t="s">
        <v>976</v>
      </c>
      <c r="J2878" s="549" t="s">
        <v>976</v>
      </c>
      <c r="K2878" s="549" t="s">
        <v>976</v>
      </c>
      <c r="L2878" s="549">
        <v>73527.31</v>
      </c>
      <c r="M2878" s="549">
        <v>5551.31</v>
      </c>
      <c r="N2878" s="549">
        <v>1624.95</v>
      </c>
      <c r="O2878" s="549">
        <v>992</v>
      </c>
      <c r="P2878" s="549">
        <v>100</v>
      </c>
      <c r="Q2878" s="549">
        <v>8168.26</v>
      </c>
    </row>
    <row r="2879" spans="1:17" x14ac:dyDescent="0.25">
      <c r="A2879" s="549" t="s">
        <v>1083</v>
      </c>
      <c r="B2879" s="549" t="s">
        <v>584</v>
      </c>
      <c r="C2879" s="549" t="s">
        <v>233</v>
      </c>
      <c r="D2879" s="549" t="s">
        <v>744</v>
      </c>
      <c r="E2879" s="549" t="s">
        <v>977</v>
      </c>
      <c r="F2879" s="549" t="s">
        <v>1212</v>
      </c>
      <c r="G2879" s="549">
        <v>2</v>
      </c>
      <c r="H2879" s="549" t="s">
        <v>233</v>
      </c>
      <c r="I2879" s="549" t="s">
        <v>976</v>
      </c>
      <c r="J2879" s="549" t="s">
        <v>976</v>
      </c>
      <c r="K2879" s="549" t="s">
        <v>976</v>
      </c>
      <c r="L2879" s="549">
        <v>73527.31</v>
      </c>
      <c r="M2879" s="549">
        <v>5551.31</v>
      </c>
      <c r="N2879" s="549">
        <v>1624.95</v>
      </c>
      <c r="O2879" s="549">
        <v>992</v>
      </c>
      <c r="P2879" s="549">
        <v>100</v>
      </c>
      <c r="Q2879" s="549">
        <v>8168.26</v>
      </c>
    </row>
    <row r="2880" spans="1:17" x14ac:dyDescent="0.25">
      <c r="A2880" s="549" t="s">
        <v>1083</v>
      </c>
      <c r="B2880" s="549" t="s">
        <v>584</v>
      </c>
      <c r="C2880" s="549" t="s">
        <v>233</v>
      </c>
      <c r="D2880" s="549" t="s">
        <v>744</v>
      </c>
      <c r="E2880" s="549" t="s">
        <v>977</v>
      </c>
      <c r="F2880" s="549" t="s">
        <v>1212</v>
      </c>
      <c r="G2880" s="549">
        <v>3</v>
      </c>
      <c r="H2880" s="549" t="s">
        <v>233</v>
      </c>
      <c r="I2880" s="549" t="s">
        <v>976</v>
      </c>
      <c r="J2880" s="549" t="s">
        <v>976</v>
      </c>
      <c r="K2880" s="549" t="s">
        <v>976</v>
      </c>
      <c r="L2880" s="549">
        <v>73527.31</v>
      </c>
      <c r="M2880" s="549">
        <v>5551.31</v>
      </c>
      <c r="N2880" s="549">
        <v>1624.95</v>
      </c>
      <c r="O2880" s="549">
        <v>992</v>
      </c>
      <c r="P2880" s="549">
        <v>100</v>
      </c>
      <c r="Q2880" s="549">
        <v>8168.26</v>
      </c>
    </row>
    <row r="2881" spans="1:17" x14ac:dyDescent="0.25">
      <c r="A2881" s="549" t="s">
        <v>1083</v>
      </c>
      <c r="B2881" s="549" t="s">
        <v>584</v>
      </c>
      <c r="C2881" s="549" t="s">
        <v>233</v>
      </c>
      <c r="D2881" s="549" t="s">
        <v>744</v>
      </c>
      <c r="E2881" s="549" t="s">
        <v>977</v>
      </c>
      <c r="F2881" s="549" t="s">
        <v>1212</v>
      </c>
      <c r="G2881" s="549">
        <v>4</v>
      </c>
      <c r="H2881" s="549" t="s">
        <v>233</v>
      </c>
      <c r="I2881" s="549" t="s">
        <v>976</v>
      </c>
      <c r="J2881" s="549" t="s">
        <v>976</v>
      </c>
      <c r="K2881" s="549" t="s">
        <v>976</v>
      </c>
      <c r="L2881" s="549">
        <v>73527.31</v>
      </c>
      <c r="M2881" s="549">
        <v>5551.31</v>
      </c>
      <c r="N2881" s="549">
        <v>1624.95</v>
      </c>
      <c r="O2881" s="549">
        <v>992</v>
      </c>
      <c r="P2881" s="549">
        <v>100</v>
      </c>
      <c r="Q2881" s="549">
        <v>8168.26</v>
      </c>
    </row>
    <row r="2882" spans="1:17" x14ac:dyDescent="0.25">
      <c r="A2882" s="549" t="s">
        <v>1083</v>
      </c>
      <c r="B2882" s="549" t="s">
        <v>584</v>
      </c>
      <c r="C2882" s="549" t="s">
        <v>233</v>
      </c>
      <c r="D2882" s="549" t="s">
        <v>744</v>
      </c>
      <c r="E2882" s="549" t="s">
        <v>977</v>
      </c>
      <c r="F2882" s="549" t="s">
        <v>1212</v>
      </c>
      <c r="G2882" s="549">
        <v>5</v>
      </c>
      <c r="H2882" s="549" t="s">
        <v>233</v>
      </c>
      <c r="I2882" s="549" t="s">
        <v>976</v>
      </c>
      <c r="J2882" s="549" t="s">
        <v>976</v>
      </c>
      <c r="K2882" s="549" t="s">
        <v>976</v>
      </c>
      <c r="L2882" s="549">
        <v>73527.31</v>
      </c>
      <c r="M2882" s="549">
        <v>5551.31</v>
      </c>
      <c r="N2882" s="549">
        <v>1624.95</v>
      </c>
      <c r="O2882" s="549">
        <v>992</v>
      </c>
      <c r="P2882" s="549">
        <v>100</v>
      </c>
      <c r="Q2882" s="549">
        <v>8168.26</v>
      </c>
    </row>
    <row r="2883" spans="1:17" x14ac:dyDescent="0.25">
      <c r="A2883" s="549" t="s">
        <v>1083</v>
      </c>
      <c r="B2883" s="549" t="s">
        <v>584</v>
      </c>
      <c r="C2883" s="549" t="s">
        <v>233</v>
      </c>
      <c r="D2883" s="549" t="s">
        <v>744</v>
      </c>
      <c r="E2883" s="549" t="s">
        <v>977</v>
      </c>
      <c r="F2883" s="549" t="s">
        <v>1212</v>
      </c>
      <c r="G2883" s="549">
        <v>6</v>
      </c>
      <c r="H2883" s="549" t="s">
        <v>233</v>
      </c>
      <c r="I2883" s="549" t="s">
        <v>976</v>
      </c>
      <c r="J2883" s="549" t="s">
        <v>976</v>
      </c>
      <c r="K2883" s="549" t="s">
        <v>976</v>
      </c>
      <c r="L2883" s="549">
        <v>73527.31</v>
      </c>
      <c r="M2883" s="549">
        <v>5551.31</v>
      </c>
      <c r="N2883" s="549">
        <v>1624.95</v>
      </c>
      <c r="O2883" s="549">
        <v>992</v>
      </c>
      <c r="P2883" s="549">
        <v>100</v>
      </c>
      <c r="Q2883" s="549">
        <v>8168.26</v>
      </c>
    </row>
    <row r="2884" spans="1:17" x14ac:dyDescent="0.25">
      <c r="A2884" s="549" t="s">
        <v>1083</v>
      </c>
      <c r="B2884" s="549" t="s">
        <v>584</v>
      </c>
      <c r="C2884" s="549" t="s">
        <v>233</v>
      </c>
      <c r="D2884" s="549" t="s">
        <v>744</v>
      </c>
      <c r="E2884" s="549" t="s">
        <v>977</v>
      </c>
      <c r="F2884" s="549" t="s">
        <v>1212</v>
      </c>
      <c r="G2884" s="549">
        <v>7</v>
      </c>
      <c r="H2884" s="549" t="s">
        <v>233</v>
      </c>
      <c r="I2884" s="549" t="s">
        <v>976</v>
      </c>
      <c r="J2884" s="549" t="s">
        <v>976</v>
      </c>
      <c r="K2884" s="549" t="s">
        <v>976</v>
      </c>
      <c r="L2884" s="549">
        <v>73527.31</v>
      </c>
      <c r="M2884" s="549">
        <v>5551.31</v>
      </c>
      <c r="N2884" s="549">
        <v>1624.95</v>
      </c>
      <c r="O2884" s="549">
        <v>992</v>
      </c>
      <c r="P2884" s="549">
        <v>100</v>
      </c>
      <c r="Q2884" s="549">
        <v>8168.26</v>
      </c>
    </row>
    <row r="2885" spans="1:17" x14ac:dyDescent="0.25">
      <c r="A2885" s="549" t="s">
        <v>1083</v>
      </c>
      <c r="B2885" s="549" t="s">
        <v>584</v>
      </c>
      <c r="C2885" s="549" t="s">
        <v>233</v>
      </c>
      <c r="D2885" s="549" t="s">
        <v>744</v>
      </c>
      <c r="E2885" s="549" t="s">
        <v>977</v>
      </c>
      <c r="F2885" s="549" t="s">
        <v>1212</v>
      </c>
      <c r="G2885" s="549">
        <v>8</v>
      </c>
      <c r="H2885" s="549" t="s">
        <v>233</v>
      </c>
      <c r="I2885" s="549" t="s">
        <v>976</v>
      </c>
      <c r="J2885" s="549" t="s">
        <v>976</v>
      </c>
      <c r="K2885" s="549" t="s">
        <v>976</v>
      </c>
      <c r="L2885" s="549">
        <v>73527.31</v>
      </c>
      <c r="M2885" s="549">
        <v>5551.31</v>
      </c>
      <c r="N2885" s="549">
        <v>1624.95</v>
      </c>
      <c r="O2885" s="549">
        <v>992</v>
      </c>
      <c r="P2885" s="549">
        <v>100</v>
      </c>
      <c r="Q2885" s="549">
        <v>8168.26</v>
      </c>
    </row>
    <row r="2886" spans="1:17" x14ac:dyDescent="0.25">
      <c r="A2886" s="549" t="s">
        <v>1083</v>
      </c>
      <c r="B2886" s="549" t="s">
        <v>584</v>
      </c>
      <c r="C2886" s="549" t="s">
        <v>233</v>
      </c>
      <c r="D2886" s="549" t="s">
        <v>744</v>
      </c>
      <c r="E2886" s="549" t="s">
        <v>977</v>
      </c>
      <c r="F2886" s="549" t="s">
        <v>1212</v>
      </c>
      <c r="G2886" s="549">
        <v>9</v>
      </c>
      <c r="H2886" s="549" t="s">
        <v>233</v>
      </c>
      <c r="I2886" s="549" t="s">
        <v>976</v>
      </c>
      <c r="J2886" s="549" t="s">
        <v>976</v>
      </c>
      <c r="K2886" s="549" t="s">
        <v>976</v>
      </c>
      <c r="L2886" s="549">
        <v>73527.31</v>
      </c>
      <c r="M2886" s="549">
        <v>5551.31</v>
      </c>
      <c r="N2886" s="549">
        <v>1624.95</v>
      </c>
      <c r="O2886" s="549">
        <v>992</v>
      </c>
      <c r="P2886" s="549">
        <v>100</v>
      </c>
      <c r="Q2886" s="549">
        <v>8168.26</v>
      </c>
    </row>
    <row r="2887" spans="1:17" x14ac:dyDescent="0.25">
      <c r="A2887" s="549" t="s">
        <v>1083</v>
      </c>
      <c r="B2887" s="549" t="s">
        <v>584</v>
      </c>
      <c r="C2887" s="549" t="s">
        <v>233</v>
      </c>
      <c r="D2887" s="549" t="s">
        <v>744</v>
      </c>
      <c r="E2887" s="549" t="s">
        <v>977</v>
      </c>
      <c r="F2887" s="549" t="s">
        <v>1212</v>
      </c>
      <c r="G2887" s="549">
        <v>10</v>
      </c>
      <c r="H2887" s="549" t="s">
        <v>233</v>
      </c>
      <c r="I2887" s="549" t="s">
        <v>976</v>
      </c>
      <c r="J2887" s="549" t="s">
        <v>976</v>
      </c>
      <c r="K2887" s="549" t="s">
        <v>976</v>
      </c>
      <c r="L2887" s="549">
        <v>73527.31</v>
      </c>
      <c r="M2887" s="549">
        <v>5551.31</v>
      </c>
      <c r="N2887" s="549">
        <v>1624.95</v>
      </c>
      <c r="O2887" s="549">
        <v>992</v>
      </c>
      <c r="P2887" s="549">
        <v>100</v>
      </c>
      <c r="Q2887" s="549">
        <v>8168.26</v>
      </c>
    </row>
    <row r="2888" spans="1:17" x14ac:dyDescent="0.25">
      <c r="A2888" s="549" t="s">
        <v>1083</v>
      </c>
      <c r="B2888" s="549" t="s">
        <v>584</v>
      </c>
      <c r="C2888" s="549" t="s">
        <v>233</v>
      </c>
      <c r="D2888" s="549" t="s">
        <v>744</v>
      </c>
      <c r="E2888" s="549" t="s">
        <v>977</v>
      </c>
      <c r="F2888" s="549" t="s">
        <v>1212</v>
      </c>
      <c r="G2888" s="549">
        <v>11</v>
      </c>
      <c r="H2888" s="549" t="s">
        <v>233</v>
      </c>
      <c r="I2888" s="549" t="s">
        <v>976</v>
      </c>
      <c r="J2888" s="549" t="s">
        <v>976</v>
      </c>
      <c r="K2888" s="549" t="s">
        <v>976</v>
      </c>
      <c r="L2888" s="549">
        <v>73527.31</v>
      </c>
      <c r="M2888" s="549">
        <v>5551.31</v>
      </c>
      <c r="N2888" s="549">
        <v>1624.95</v>
      </c>
      <c r="O2888" s="549">
        <v>992</v>
      </c>
      <c r="P2888" s="549">
        <v>100</v>
      </c>
      <c r="Q2888" s="549">
        <v>8168.26</v>
      </c>
    </row>
    <row r="2889" spans="1:17" x14ac:dyDescent="0.25">
      <c r="A2889" s="549" t="s">
        <v>1083</v>
      </c>
      <c r="B2889" s="549" t="s">
        <v>584</v>
      </c>
      <c r="C2889" s="549" t="s">
        <v>233</v>
      </c>
      <c r="D2889" s="549" t="s">
        <v>744</v>
      </c>
      <c r="E2889" s="549" t="s">
        <v>977</v>
      </c>
      <c r="F2889" s="549" t="s">
        <v>1212</v>
      </c>
      <c r="G2889" s="549">
        <v>13</v>
      </c>
      <c r="H2889" s="549" t="s">
        <v>233</v>
      </c>
      <c r="I2889" s="549" t="s">
        <v>976</v>
      </c>
      <c r="J2889" s="549" t="s">
        <v>976</v>
      </c>
      <c r="K2889" s="549" t="s">
        <v>976</v>
      </c>
      <c r="L2889" s="549">
        <v>73527.31</v>
      </c>
      <c r="M2889" s="549">
        <v>5551.31</v>
      </c>
      <c r="N2889" s="549">
        <v>1624.95</v>
      </c>
      <c r="O2889" s="549">
        <v>992</v>
      </c>
      <c r="P2889" s="549">
        <v>100</v>
      </c>
      <c r="Q2889" s="549">
        <v>8168.26</v>
      </c>
    </row>
    <row r="2890" spans="1:17" x14ac:dyDescent="0.25">
      <c r="A2890" s="549" t="s">
        <v>1083</v>
      </c>
      <c r="B2890" s="549" t="s">
        <v>584</v>
      </c>
      <c r="C2890" s="549" t="s">
        <v>233</v>
      </c>
      <c r="D2890" s="549" t="s">
        <v>744</v>
      </c>
      <c r="E2890" s="549" t="s">
        <v>977</v>
      </c>
      <c r="F2890" s="549" t="s">
        <v>1212</v>
      </c>
      <c r="G2890" s="549">
        <v>14</v>
      </c>
      <c r="H2890" s="549" t="s">
        <v>233</v>
      </c>
      <c r="I2890" s="549" t="s">
        <v>976</v>
      </c>
      <c r="J2890" s="549" t="s">
        <v>976</v>
      </c>
      <c r="K2890" s="549" t="s">
        <v>976</v>
      </c>
      <c r="L2890" s="549">
        <v>73527.31</v>
      </c>
      <c r="M2890" s="549">
        <v>5551.31</v>
      </c>
      <c r="N2890" s="549">
        <v>1624.95</v>
      </c>
      <c r="O2890" s="549">
        <v>992</v>
      </c>
      <c r="P2890" s="549">
        <v>100</v>
      </c>
      <c r="Q2890" s="549">
        <v>8168.26</v>
      </c>
    </row>
    <row r="2891" spans="1:17" x14ac:dyDescent="0.25">
      <c r="A2891" s="549" t="s">
        <v>1083</v>
      </c>
      <c r="B2891" s="549" t="s">
        <v>584</v>
      </c>
      <c r="C2891" s="549" t="s">
        <v>233</v>
      </c>
      <c r="D2891" s="549" t="s">
        <v>744</v>
      </c>
      <c r="E2891" s="549" t="s">
        <v>977</v>
      </c>
      <c r="F2891" s="549" t="s">
        <v>1212</v>
      </c>
      <c r="G2891" s="549">
        <v>15</v>
      </c>
      <c r="H2891" s="549" t="s">
        <v>233</v>
      </c>
      <c r="I2891" s="549" t="s">
        <v>976</v>
      </c>
      <c r="J2891" s="549" t="s">
        <v>976</v>
      </c>
      <c r="K2891" s="549" t="s">
        <v>976</v>
      </c>
      <c r="L2891" s="549">
        <v>73527.31</v>
      </c>
      <c r="M2891" s="549">
        <v>5551.31</v>
      </c>
      <c r="N2891" s="549">
        <v>1624.95</v>
      </c>
      <c r="O2891" s="549">
        <v>992</v>
      </c>
      <c r="P2891" s="549">
        <v>100</v>
      </c>
      <c r="Q2891" s="549">
        <v>8168.26</v>
      </c>
    </row>
    <row r="2892" spans="1:17" x14ac:dyDescent="0.25">
      <c r="A2892" s="549" t="s">
        <v>1083</v>
      </c>
      <c r="B2892" s="549" t="s">
        <v>584</v>
      </c>
      <c r="C2892" s="549" t="s">
        <v>233</v>
      </c>
      <c r="D2892" s="549" t="s">
        <v>744</v>
      </c>
      <c r="E2892" s="549" t="s">
        <v>977</v>
      </c>
      <c r="F2892" s="549" t="s">
        <v>1212</v>
      </c>
      <c r="G2892" s="549">
        <v>16</v>
      </c>
      <c r="H2892" s="549" t="s">
        <v>233</v>
      </c>
      <c r="I2892" s="549" t="s">
        <v>976</v>
      </c>
      <c r="J2892" s="549" t="s">
        <v>976</v>
      </c>
      <c r="K2892" s="549" t="s">
        <v>976</v>
      </c>
      <c r="L2892" s="549">
        <v>73527.31</v>
      </c>
      <c r="M2892" s="549">
        <v>5551.31</v>
      </c>
      <c r="N2892" s="549">
        <v>1624.95</v>
      </c>
      <c r="O2892" s="549">
        <v>992</v>
      </c>
      <c r="P2892" s="549">
        <v>100</v>
      </c>
      <c r="Q2892" s="549">
        <v>8168.26</v>
      </c>
    </row>
    <row r="2893" spans="1:17" x14ac:dyDescent="0.25">
      <c r="A2893" s="549" t="s">
        <v>1083</v>
      </c>
      <c r="B2893" s="549" t="s">
        <v>584</v>
      </c>
      <c r="C2893" s="549" t="s">
        <v>233</v>
      </c>
      <c r="D2893" s="549" t="s">
        <v>744</v>
      </c>
      <c r="E2893" s="549" t="s">
        <v>977</v>
      </c>
      <c r="F2893" s="549" t="s">
        <v>1212</v>
      </c>
      <c r="G2893" s="549">
        <v>17</v>
      </c>
      <c r="H2893" s="549" t="s">
        <v>233</v>
      </c>
      <c r="I2893" s="549" t="s">
        <v>976</v>
      </c>
      <c r="J2893" s="549" t="s">
        <v>976</v>
      </c>
      <c r="K2893" s="549" t="s">
        <v>976</v>
      </c>
      <c r="L2893" s="549">
        <v>73527.31</v>
      </c>
      <c r="M2893" s="549">
        <v>5551.31</v>
      </c>
      <c r="N2893" s="549">
        <v>1624.95</v>
      </c>
      <c r="O2893" s="549">
        <v>992</v>
      </c>
      <c r="P2893" s="549">
        <v>100</v>
      </c>
      <c r="Q2893" s="549">
        <v>8168.26</v>
      </c>
    </row>
    <row r="2894" spans="1:17" x14ac:dyDescent="0.25">
      <c r="A2894" s="549" t="s">
        <v>1083</v>
      </c>
      <c r="B2894" s="549" t="s">
        <v>584</v>
      </c>
      <c r="C2894" s="549" t="s">
        <v>233</v>
      </c>
      <c r="D2894" s="549" t="s">
        <v>744</v>
      </c>
      <c r="E2894" s="549" t="s">
        <v>977</v>
      </c>
      <c r="F2894" s="549" t="s">
        <v>1212</v>
      </c>
      <c r="G2894" s="549">
        <v>18</v>
      </c>
      <c r="H2894" s="549" t="s">
        <v>233</v>
      </c>
      <c r="I2894" s="549" t="s">
        <v>976</v>
      </c>
      <c r="J2894" s="549" t="s">
        <v>976</v>
      </c>
      <c r="K2894" s="549" t="s">
        <v>976</v>
      </c>
      <c r="L2894" s="549">
        <v>73527.31</v>
      </c>
      <c r="M2894" s="549">
        <v>5551.31</v>
      </c>
      <c r="N2894" s="549">
        <v>1624.95</v>
      </c>
      <c r="O2894" s="549">
        <v>992</v>
      </c>
      <c r="P2894" s="549">
        <v>100</v>
      </c>
      <c r="Q2894" s="549">
        <v>8168.26</v>
      </c>
    </row>
    <row r="2895" spans="1:17" x14ac:dyDescent="0.25">
      <c r="A2895" s="549" t="s">
        <v>1083</v>
      </c>
      <c r="B2895" s="549" t="s">
        <v>584</v>
      </c>
      <c r="C2895" s="549" t="s">
        <v>233</v>
      </c>
      <c r="D2895" s="549" t="s">
        <v>744</v>
      </c>
      <c r="E2895" s="549" t="s">
        <v>977</v>
      </c>
      <c r="F2895" s="549" t="s">
        <v>1212</v>
      </c>
      <c r="G2895" s="549">
        <v>19</v>
      </c>
      <c r="H2895" s="549" t="s">
        <v>233</v>
      </c>
      <c r="I2895" s="549" t="s">
        <v>976</v>
      </c>
      <c r="J2895" s="549" t="s">
        <v>976</v>
      </c>
      <c r="K2895" s="549" t="s">
        <v>976</v>
      </c>
      <c r="L2895" s="549">
        <v>73527.31</v>
      </c>
      <c r="M2895" s="549">
        <v>5551.31</v>
      </c>
      <c r="N2895" s="549">
        <v>1624.95</v>
      </c>
      <c r="O2895" s="549">
        <v>992</v>
      </c>
      <c r="P2895" s="549">
        <v>100</v>
      </c>
      <c r="Q2895" s="549">
        <v>8168.26</v>
      </c>
    </row>
    <row r="2896" spans="1:17" x14ac:dyDescent="0.25">
      <c r="A2896" s="549" t="s">
        <v>1083</v>
      </c>
      <c r="B2896" s="549" t="s">
        <v>584</v>
      </c>
      <c r="C2896" s="549" t="s">
        <v>233</v>
      </c>
      <c r="D2896" s="549" t="s">
        <v>744</v>
      </c>
      <c r="E2896" s="549" t="s">
        <v>977</v>
      </c>
      <c r="F2896" s="549" t="s">
        <v>1212</v>
      </c>
      <c r="G2896" s="549">
        <v>21</v>
      </c>
      <c r="H2896" s="549" t="s">
        <v>233</v>
      </c>
      <c r="I2896" s="549" t="s">
        <v>976</v>
      </c>
      <c r="J2896" s="549" t="s">
        <v>976</v>
      </c>
      <c r="K2896" s="549" t="s">
        <v>976</v>
      </c>
      <c r="L2896" s="549">
        <v>73527.31</v>
      </c>
      <c r="M2896" s="549">
        <v>5551.31</v>
      </c>
      <c r="N2896" s="549">
        <v>1624.95</v>
      </c>
      <c r="O2896" s="549">
        <v>992</v>
      </c>
      <c r="P2896" s="549">
        <v>100</v>
      </c>
      <c r="Q2896" s="549">
        <v>8168.26</v>
      </c>
    </row>
    <row r="2897" spans="1:17" x14ac:dyDescent="0.25">
      <c r="A2897" s="549" t="s">
        <v>1083</v>
      </c>
      <c r="B2897" s="549" t="s">
        <v>584</v>
      </c>
      <c r="C2897" s="549" t="s">
        <v>233</v>
      </c>
      <c r="D2897" s="549" t="s">
        <v>744</v>
      </c>
      <c r="E2897" s="549" t="s">
        <v>977</v>
      </c>
      <c r="F2897" s="549" t="s">
        <v>1212</v>
      </c>
      <c r="G2897" s="549">
        <v>22</v>
      </c>
      <c r="H2897" s="549" t="s">
        <v>233</v>
      </c>
      <c r="I2897" s="549" t="s">
        <v>976</v>
      </c>
      <c r="J2897" s="549" t="s">
        <v>976</v>
      </c>
      <c r="K2897" s="549" t="s">
        <v>976</v>
      </c>
      <c r="L2897" s="549">
        <v>73527.31</v>
      </c>
      <c r="M2897" s="549">
        <v>5551.31</v>
      </c>
      <c r="N2897" s="549">
        <v>1624.95</v>
      </c>
      <c r="O2897" s="549">
        <v>992</v>
      </c>
      <c r="P2897" s="549">
        <v>100</v>
      </c>
      <c r="Q2897" s="549">
        <v>8168.26</v>
      </c>
    </row>
    <row r="2898" spans="1:17" x14ac:dyDescent="0.25">
      <c r="A2898" s="549" t="s">
        <v>1083</v>
      </c>
      <c r="B2898" s="549" t="s">
        <v>584</v>
      </c>
      <c r="C2898" s="549" t="s">
        <v>233</v>
      </c>
      <c r="D2898" s="549" t="s">
        <v>744</v>
      </c>
      <c r="E2898" s="549" t="s">
        <v>977</v>
      </c>
      <c r="F2898" s="549" t="s">
        <v>1212</v>
      </c>
      <c r="G2898" s="549">
        <v>23</v>
      </c>
      <c r="H2898" s="549" t="s">
        <v>233</v>
      </c>
      <c r="I2898" s="549" t="s">
        <v>976</v>
      </c>
      <c r="J2898" s="549" t="s">
        <v>976</v>
      </c>
      <c r="K2898" s="549" t="s">
        <v>976</v>
      </c>
      <c r="L2898" s="549">
        <v>73527.31</v>
      </c>
      <c r="M2898" s="549">
        <v>5551.31</v>
      </c>
      <c r="N2898" s="549">
        <v>1624.95</v>
      </c>
      <c r="O2898" s="549">
        <v>992</v>
      </c>
      <c r="P2898" s="549">
        <v>100</v>
      </c>
      <c r="Q2898" s="549">
        <v>8168.26</v>
      </c>
    </row>
    <row r="2899" spans="1:17" x14ac:dyDescent="0.25">
      <c r="A2899" s="549" t="s">
        <v>1083</v>
      </c>
      <c r="B2899" s="549" t="s">
        <v>584</v>
      </c>
      <c r="C2899" s="549" t="s">
        <v>233</v>
      </c>
      <c r="D2899" s="549" t="s">
        <v>744</v>
      </c>
      <c r="E2899" s="549" t="s">
        <v>977</v>
      </c>
      <c r="F2899" s="549" t="s">
        <v>1212</v>
      </c>
      <c r="G2899" s="549">
        <v>24</v>
      </c>
      <c r="H2899" s="549" t="s">
        <v>233</v>
      </c>
      <c r="I2899" s="549" t="s">
        <v>976</v>
      </c>
      <c r="J2899" s="549" t="s">
        <v>976</v>
      </c>
      <c r="K2899" s="549" t="s">
        <v>976</v>
      </c>
      <c r="L2899" s="549">
        <v>73527.31</v>
      </c>
      <c r="M2899" s="549">
        <v>5551.31</v>
      </c>
      <c r="N2899" s="549">
        <v>1624.95</v>
      </c>
      <c r="O2899" s="549">
        <v>992</v>
      </c>
      <c r="P2899" s="549">
        <v>100</v>
      </c>
      <c r="Q2899" s="549">
        <v>8168.26</v>
      </c>
    </row>
    <row r="2900" spans="1:17" x14ac:dyDescent="0.25">
      <c r="A2900" s="549" t="s">
        <v>1083</v>
      </c>
      <c r="B2900" s="549" t="s">
        <v>584</v>
      </c>
      <c r="C2900" s="549" t="s">
        <v>233</v>
      </c>
      <c r="D2900" s="549" t="s">
        <v>744</v>
      </c>
      <c r="E2900" s="549" t="s">
        <v>977</v>
      </c>
      <c r="F2900" s="549" t="s">
        <v>1212</v>
      </c>
      <c r="G2900" s="549">
        <v>25</v>
      </c>
      <c r="H2900" s="549" t="s">
        <v>233</v>
      </c>
      <c r="I2900" s="549" t="s">
        <v>976</v>
      </c>
      <c r="J2900" s="549" t="s">
        <v>976</v>
      </c>
      <c r="K2900" s="549" t="s">
        <v>976</v>
      </c>
      <c r="L2900" s="549">
        <v>73527.31</v>
      </c>
      <c r="M2900" s="549">
        <v>5551.31</v>
      </c>
      <c r="N2900" s="549">
        <v>1624.95</v>
      </c>
      <c r="O2900" s="549">
        <v>992</v>
      </c>
      <c r="P2900" s="549">
        <v>100</v>
      </c>
      <c r="Q2900" s="549">
        <v>8168.26</v>
      </c>
    </row>
    <row r="2901" spans="1:17" x14ac:dyDescent="0.25">
      <c r="A2901" s="549" t="s">
        <v>1083</v>
      </c>
      <c r="B2901" s="549" t="s">
        <v>584</v>
      </c>
      <c r="C2901" s="549" t="s">
        <v>233</v>
      </c>
      <c r="D2901" s="549" t="s">
        <v>744</v>
      </c>
      <c r="E2901" s="549" t="s">
        <v>977</v>
      </c>
      <c r="F2901" s="549" t="s">
        <v>1212</v>
      </c>
      <c r="G2901" s="549">
        <v>26</v>
      </c>
      <c r="H2901" s="549" t="s">
        <v>233</v>
      </c>
      <c r="I2901" s="549" t="s">
        <v>976</v>
      </c>
      <c r="J2901" s="549" t="s">
        <v>976</v>
      </c>
      <c r="K2901" s="549" t="s">
        <v>976</v>
      </c>
      <c r="L2901" s="549">
        <v>73527.31</v>
      </c>
      <c r="M2901" s="549">
        <v>5551.31</v>
      </c>
      <c r="N2901" s="549">
        <v>1624.95</v>
      </c>
      <c r="O2901" s="549">
        <v>992</v>
      </c>
      <c r="P2901" s="549">
        <v>100</v>
      </c>
      <c r="Q2901" s="549">
        <v>8168.26</v>
      </c>
    </row>
    <row r="2902" spans="1:17" x14ac:dyDescent="0.25">
      <c r="A2902" s="549" t="s">
        <v>1083</v>
      </c>
      <c r="B2902" s="549" t="s">
        <v>584</v>
      </c>
      <c r="C2902" s="549" t="s">
        <v>233</v>
      </c>
      <c r="D2902" s="549" t="s">
        <v>744</v>
      </c>
      <c r="E2902" s="549" t="s">
        <v>977</v>
      </c>
      <c r="F2902" s="549" t="s">
        <v>1212</v>
      </c>
      <c r="G2902" s="549">
        <v>27</v>
      </c>
      <c r="H2902" s="549" t="s">
        <v>233</v>
      </c>
      <c r="I2902" s="549" t="s">
        <v>976</v>
      </c>
      <c r="J2902" s="549" t="s">
        <v>976</v>
      </c>
      <c r="K2902" s="549" t="s">
        <v>976</v>
      </c>
      <c r="L2902" s="549">
        <v>73527.31</v>
      </c>
      <c r="M2902" s="549">
        <v>5551.31</v>
      </c>
      <c r="N2902" s="549">
        <v>1624.95</v>
      </c>
      <c r="O2902" s="549">
        <v>992</v>
      </c>
      <c r="P2902" s="549">
        <v>100</v>
      </c>
      <c r="Q2902" s="549">
        <v>8168.26</v>
      </c>
    </row>
    <row r="2903" spans="1:17" x14ac:dyDescent="0.25">
      <c r="A2903" s="549" t="s">
        <v>1083</v>
      </c>
      <c r="B2903" s="549" t="s">
        <v>584</v>
      </c>
      <c r="C2903" s="549" t="s">
        <v>233</v>
      </c>
      <c r="D2903" s="549" t="s">
        <v>744</v>
      </c>
      <c r="E2903" s="549" t="s">
        <v>977</v>
      </c>
      <c r="F2903" s="549" t="s">
        <v>1212</v>
      </c>
      <c r="G2903" s="549">
        <v>28</v>
      </c>
      <c r="H2903" s="549" t="s">
        <v>233</v>
      </c>
      <c r="I2903" s="549" t="s">
        <v>976</v>
      </c>
      <c r="J2903" s="549" t="s">
        <v>976</v>
      </c>
      <c r="K2903" s="549" t="s">
        <v>976</v>
      </c>
      <c r="L2903" s="549">
        <v>73527.31</v>
      </c>
      <c r="M2903" s="549">
        <v>5551.31</v>
      </c>
      <c r="N2903" s="549">
        <v>1624.95</v>
      </c>
      <c r="O2903" s="549">
        <v>992</v>
      </c>
      <c r="P2903" s="549">
        <v>100</v>
      </c>
      <c r="Q2903" s="549">
        <v>8168.26</v>
      </c>
    </row>
    <row r="2904" spans="1:17" x14ac:dyDescent="0.25">
      <c r="A2904" s="549" t="s">
        <v>1083</v>
      </c>
      <c r="B2904" s="549" t="s">
        <v>584</v>
      </c>
      <c r="C2904" s="549" t="s">
        <v>233</v>
      </c>
      <c r="D2904" s="549" t="s">
        <v>744</v>
      </c>
      <c r="E2904" s="549" t="s">
        <v>977</v>
      </c>
      <c r="F2904" s="549" t="s">
        <v>1212</v>
      </c>
      <c r="G2904" s="549">
        <v>29</v>
      </c>
      <c r="H2904" s="549" t="s">
        <v>233</v>
      </c>
      <c r="I2904" s="549" t="s">
        <v>976</v>
      </c>
      <c r="J2904" s="549" t="s">
        <v>976</v>
      </c>
      <c r="K2904" s="549" t="s">
        <v>976</v>
      </c>
      <c r="L2904" s="549">
        <v>73527.31</v>
      </c>
      <c r="M2904" s="549">
        <v>5551.31</v>
      </c>
      <c r="N2904" s="549">
        <v>1624.95</v>
      </c>
      <c r="O2904" s="549">
        <v>992</v>
      </c>
      <c r="P2904" s="549">
        <v>100</v>
      </c>
      <c r="Q2904" s="549">
        <v>8168.26</v>
      </c>
    </row>
    <row r="2905" spans="1:17" x14ac:dyDescent="0.25">
      <c r="A2905" s="549" t="s">
        <v>1083</v>
      </c>
      <c r="B2905" s="549" t="s">
        <v>584</v>
      </c>
      <c r="C2905" s="549" t="s">
        <v>233</v>
      </c>
      <c r="D2905" s="549" t="s">
        <v>744</v>
      </c>
      <c r="E2905" s="549" t="s">
        <v>977</v>
      </c>
      <c r="F2905" s="549" t="s">
        <v>1212</v>
      </c>
      <c r="G2905" s="549">
        <v>30</v>
      </c>
      <c r="H2905" s="549" t="s">
        <v>233</v>
      </c>
      <c r="I2905" s="549" t="s">
        <v>976</v>
      </c>
      <c r="J2905" s="549" t="s">
        <v>976</v>
      </c>
      <c r="K2905" s="549" t="s">
        <v>976</v>
      </c>
      <c r="L2905" s="549">
        <v>73527.31</v>
      </c>
      <c r="M2905" s="549">
        <v>5551.31</v>
      </c>
      <c r="N2905" s="549">
        <v>1624.95</v>
      </c>
      <c r="O2905" s="549">
        <v>992</v>
      </c>
      <c r="P2905" s="549">
        <v>100</v>
      </c>
      <c r="Q2905" s="549">
        <v>8168.26</v>
      </c>
    </row>
    <row r="2906" spans="1:17" x14ac:dyDescent="0.25">
      <c r="A2906" s="549" t="s">
        <v>1083</v>
      </c>
      <c r="B2906" s="549" t="s">
        <v>584</v>
      </c>
      <c r="C2906" s="549" t="s">
        <v>233</v>
      </c>
      <c r="D2906" s="549" t="s">
        <v>744</v>
      </c>
      <c r="E2906" s="549" t="s">
        <v>977</v>
      </c>
      <c r="F2906" s="549" t="s">
        <v>1212</v>
      </c>
      <c r="G2906" s="549">
        <v>31</v>
      </c>
      <c r="H2906" s="549" t="s">
        <v>233</v>
      </c>
      <c r="I2906" s="549" t="s">
        <v>976</v>
      </c>
      <c r="J2906" s="549" t="s">
        <v>976</v>
      </c>
      <c r="K2906" s="549" t="s">
        <v>976</v>
      </c>
      <c r="L2906" s="549">
        <v>73527.31</v>
      </c>
      <c r="M2906" s="549">
        <v>5551.31</v>
      </c>
      <c r="N2906" s="549">
        <v>1624.95</v>
      </c>
      <c r="O2906" s="549">
        <v>992</v>
      </c>
      <c r="P2906" s="549">
        <v>100</v>
      </c>
      <c r="Q2906" s="549">
        <v>8168.26</v>
      </c>
    </row>
    <row r="2907" spans="1:17" x14ac:dyDescent="0.25">
      <c r="A2907" s="549" t="s">
        <v>1083</v>
      </c>
      <c r="B2907" s="549" t="s">
        <v>584</v>
      </c>
      <c r="C2907" s="549" t="s">
        <v>233</v>
      </c>
      <c r="D2907" s="549" t="s">
        <v>744</v>
      </c>
      <c r="E2907" s="549" t="s">
        <v>977</v>
      </c>
      <c r="F2907" s="549" t="s">
        <v>1212</v>
      </c>
      <c r="G2907" s="549">
        <v>32</v>
      </c>
      <c r="H2907" s="549" t="s">
        <v>233</v>
      </c>
      <c r="I2907" s="549" t="s">
        <v>976</v>
      </c>
      <c r="J2907" s="549" t="s">
        <v>976</v>
      </c>
      <c r="K2907" s="549" t="s">
        <v>976</v>
      </c>
      <c r="L2907" s="549">
        <v>73527.31</v>
      </c>
      <c r="M2907" s="549">
        <v>5551.31</v>
      </c>
      <c r="N2907" s="549">
        <v>1624.95</v>
      </c>
      <c r="O2907" s="549">
        <v>992</v>
      </c>
      <c r="P2907" s="549">
        <v>100</v>
      </c>
      <c r="Q2907" s="549">
        <v>8168.26</v>
      </c>
    </row>
    <row r="2908" spans="1:17" x14ac:dyDescent="0.25">
      <c r="A2908" s="549" t="s">
        <v>1083</v>
      </c>
      <c r="B2908" s="549" t="s">
        <v>584</v>
      </c>
      <c r="C2908" s="549" t="s">
        <v>233</v>
      </c>
      <c r="D2908" s="549" t="s">
        <v>744</v>
      </c>
      <c r="E2908" s="549" t="s">
        <v>977</v>
      </c>
      <c r="F2908" s="549" t="s">
        <v>1212</v>
      </c>
      <c r="G2908" s="549">
        <v>71</v>
      </c>
      <c r="H2908" s="549" t="s">
        <v>233</v>
      </c>
      <c r="I2908" s="549" t="s">
        <v>976</v>
      </c>
      <c r="J2908" s="549" t="s">
        <v>976</v>
      </c>
      <c r="K2908" s="549" t="s">
        <v>976</v>
      </c>
      <c r="L2908" s="549">
        <v>77761.23</v>
      </c>
      <c r="M2908" s="549">
        <v>5870.97</v>
      </c>
      <c r="N2908" s="549">
        <v>1718.52</v>
      </c>
      <c r="O2908" s="549">
        <v>992</v>
      </c>
      <c r="P2908" s="549">
        <v>100</v>
      </c>
      <c r="Q2908" s="549">
        <v>8581.49</v>
      </c>
    </row>
    <row r="2909" spans="1:17" x14ac:dyDescent="0.25">
      <c r="A2909" s="549" t="s">
        <v>1083</v>
      </c>
      <c r="B2909" s="549" t="s">
        <v>584</v>
      </c>
      <c r="C2909" s="549" t="s">
        <v>233</v>
      </c>
      <c r="D2909" s="549" t="s">
        <v>744</v>
      </c>
      <c r="E2909" s="549" t="s">
        <v>977</v>
      </c>
      <c r="F2909" s="549" t="s">
        <v>1212</v>
      </c>
      <c r="G2909" s="549">
        <v>72</v>
      </c>
      <c r="H2909" s="549" t="s">
        <v>233</v>
      </c>
      <c r="I2909" s="549" t="s">
        <v>976</v>
      </c>
      <c r="J2909" s="549" t="s">
        <v>976</v>
      </c>
      <c r="K2909" s="549" t="s">
        <v>976</v>
      </c>
      <c r="L2909" s="549">
        <v>75220.88</v>
      </c>
      <c r="M2909" s="549">
        <v>5679.18</v>
      </c>
      <c r="N2909" s="549">
        <v>1662.38</v>
      </c>
      <c r="O2909" s="549">
        <v>992</v>
      </c>
      <c r="P2909" s="549">
        <v>100</v>
      </c>
      <c r="Q2909" s="549">
        <v>8333.56</v>
      </c>
    </row>
    <row r="2910" spans="1:17" x14ac:dyDescent="0.25">
      <c r="A2910" s="549" t="s">
        <v>1083</v>
      </c>
      <c r="B2910" s="549" t="s">
        <v>584</v>
      </c>
      <c r="C2910" s="549" t="s">
        <v>233</v>
      </c>
      <c r="D2910" s="549" t="s">
        <v>744</v>
      </c>
      <c r="E2910" s="549" t="s">
        <v>977</v>
      </c>
      <c r="F2910" s="549" t="s">
        <v>1212</v>
      </c>
      <c r="G2910" s="549">
        <v>73</v>
      </c>
      <c r="H2910" s="549" t="s">
        <v>233</v>
      </c>
      <c r="I2910" s="549" t="s">
        <v>976</v>
      </c>
      <c r="J2910" s="549" t="s">
        <v>976</v>
      </c>
      <c r="K2910" s="549" t="s">
        <v>976</v>
      </c>
      <c r="L2910" s="549">
        <v>75220.88</v>
      </c>
      <c r="M2910" s="549">
        <v>5679.18</v>
      </c>
      <c r="N2910" s="549">
        <v>1662.38</v>
      </c>
      <c r="O2910" s="549">
        <v>992</v>
      </c>
      <c r="P2910" s="549">
        <v>100</v>
      </c>
      <c r="Q2910" s="549">
        <v>8333.56</v>
      </c>
    </row>
    <row r="2911" spans="1:17" x14ac:dyDescent="0.25">
      <c r="A2911" s="549" t="s">
        <v>1083</v>
      </c>
      <c r="B2911" s="549" t="s">
        <v>584</v>
      </c>
      <c r="C2911" s="549" t="s">
        <v>233</v>
      </c>
      <c r="D2911" s="549" t="s">
        <v>744</v>
      </c>
      <c r="E2911" s="549" t="s">
        <v>977</v>
      </c>
      <c r="F2911" s="549" t="s">
        <v>1212</v>
      </c>
      <c r="G2911" s="549">
        <v>74</v>
      </c>
      <c r="H2911" s="549" t="s">
        <v>233</v>
      </c>
      <c r="I2911" s="549" t="s">
        <v>976</v>
      </c>
      <c r="J2911" s="549" t="s">
        <v>976</v>
      </c>
      <c r="K2911" s="549" t="s">
        <v>976</v>
      </c>
      <c r="L2911" s="549">
        <v>77761.23</v>
      </c>
      <c r="M2911" s="549">
        <v>5870.97</v>
      </c>
      <c r="N2911" s="549">
        <v>1718.52</v>
      </c>
      <c r="O2911" s="549">
        <v>992</v>
      </c>
      <c r="P2911" s="549">
        <v>100</v>
      </c>
      <c r="Q2911" s="549">
        <v>8581.49</v>
      </c>
    </row>
    <row r="2912" spans="1:17" x14ac:dyDescent="0.25">
      <c r="A2912" s="549" t="s">
        <v>1083</v>
      </c>
      <c r="B2912" s="549" t="s">
        <v>584</v>
      </c>
      <c r="C2912" s="549" t="s">
        <v>233</v>
      </c>
      <c r="D2912" s="549" t="s">
        <v>744</v>
      </c>
      <c r="E2912" s="549" t="s">
        <v>977</v>
      </c>
      <c r="F2912" s="549" t="s">
        <v>1212</v>
      </c>
      <c r="G2912" s="549">
        <v>75</v>
      </c>
      <c r="H2912" s="549" t="s">
        <v>233</v>
      </c>
      <c r="I2912" s="549" t="s">
        <v>976</v>
      </c>
      <c r="J2912" s="549" t="s">
        <v>976</v>
      </c>
      <c r="K2912" s="549" t="s">
        <v>976</v>
      </c>
      <c r="L2912" s="549">
        <v>75220.88</v>
      </c>
      <c r="M2912" s="549">
        <v>5679.18</v>
      </c>
      <c r="N2912" s="549">
        <v>1662.38</v>
      </c>
      <c r="O2912" s="549">
        <v>992</v>
      </c>
      <c r="P2912" s="549">
        <v>100</v>
      </c>
      <c r="Q2912" s="549">
        <v>8333.56</v>
      </c>
    </row>
    <row r="2913" spans="1:17" x14ac:dyDescent="0.25">
      <c r="A2913" s="549" t="s">
        <v>1083</v>
      </c>
      <c r="B2913" s="549" t="s">
        <v>584</v>
      </c>
      <c r="C2913" s="549" t="s">
        <v>233</v>
      </c>
      <c r="D2913" s="549" t="s">
        <v>744</v>
      </c>
      <c r="E2913" s="549" t="s">
        <v>977</v>
      </c>
      <c r="F2913" s="549" t="s">
        <v>1212</v>
      </c>
      <c r="G2913" s="549">
        <v>76</v>
      </c>
      <c r="H2913" s="549" t="s">
        <v>233</v>
      </c>
      <c r="I2913" s="549" t="s">
        <v>976</v>
      </c>
      <c r="J2913" s="549" t="s">
        <v>976</v>
      </c>
      <c r="K2913" s="549" t="s">
        <v>976</v>
      </c>
      <c r="L2913" s="549">
        <v>75220.88</v>
      </c>
      <c r="M2913" s="549">
        <v>5679.18</v>
      </c>
      <c r="N2913" s="549">
        <v>1662.38</v>
      </c>
      <c r="O2913" s="549">
        <v>992</v>
      </c>
      <c r="P2913" s="549">
        <v>100</v>
      </c>
      <c r="Q2913" s="549">
        <v>8333.56</v>
      </c>
    </row>
    <row r="2914" spans="1:17" x14ac:dyDescent="0.25">
      <c r="A2914" s="549" t="s">
        <v>1083</v>
      </c>
      <c r="B2914" s="549" t="s">
        <v>584</v>
      </c>
      <c r="C2914" s="549" t="s">
        <v>233</v>
      </c>
      <c r="D2914" s="549" t="s">
        <v>744</v>
      </c>
      <c r="E2914" s="549" t="s">
        <v>977</v>
      </c>
      <c r="F2914" s="549" t="s">
        <v>1212</v>
      </c>
      <c r="G2914" s="549">
        <v>77</v>
      </c>
      <c r="H2914" s="549" t="s">
        <v>233</v>
      </c>
      <c r="I2914" s="549" t="s">
        <v>976</v>
      </c>
      <c r="J2914" s="549" t="s">
        <v>976</v>
      </c>
      <c r="K2914" s="549" t="s">
        <v>976</v>
      </c>
      <c r="L2914" s="549">
        <v>30722.98</v>
      </c>
      <c r="M2914" s="549">
        <v>2319.58</v>
      </c>
      <c r="N2914" s="549">
        <v>678.98</v>
      </c>
      <c r="O2914" s="549">
        <v>992</v>
      </c>
      <c r="P2914" s="549">
        <v>100</v>
      </c>
      <c r="Q2914" s="549">
        <v>3990.56</v>
      </c>
    </row>
    <row r="2915" spans="1:17" x14ac:dyDescent="0.25">
      <c r="A2915" s="549" t="s">
        <v>1083</v>
      </c>
      <c r="B2915" s="549" t="s">
        <v>584</v>
      </c>
      <c r="C2915" s="549" t="s">
        <v>233</v>
      </c>
      <c r="D2915" s="549" t="s">
        <v>744</v>
      </c>
      <c r="E2915" s="549" t="s">
        <v>977</v>
      </c>
      <c r="F2915" s="549" t="s">
        <v>1212</v>
      </c>
      <c r="G2915" s="549">
        <v>78</v>
      </c>
      <c r="H2915" s="549" t="s">
        <v>233</v>
      </c>
      <c r="I2915" s="549" t="s">
        <v>976</v>
      </c>
      <c r="J2915" s="549" t="s">
        <v>976</v>
      </c>
      <c r="K2915" s="549" t="s">
        <v>976</v>
      </c>
      <c r="L2915" s="549">
        <v>30722.98</v>
      </c>
      <c r="M2915" s="549">
        <v>2319.58</v>
      </c>
      <c r="N2915" s="549">
        <v>678.98</v>
      </c>
      <c r="O2915" s="549">
        <v>992</v>
      </c>
      <c r="P2915" s="549">
        <v>100</v>
      </c>
      <c r="Q2915" s="549">
        <v>3990.56</v>
      </c>
    </row>
    <row r="2916" spans="1:17" x14ac:dyDescent="0.25">
      <c r="A2916" s="549" t="s">
        <v>1083</v>
      </c>
      <c r="B2916" s="549" t="s">
        <v>584</v>
      </c>
      <c r="C2916" s="549" t="s">
        <v>233</v>
      </c>
      <c r="D2916" s="549" t="s">
        <v>744</v>
      </c>
      <c r="E2916" s="549" t="s">
        <v>977</v>
      </c>
      <c r="F2916" s="549" t="s">
        <v>1212</v>
      </c>
      <c r="G2916" s="549">
        <v>79</v>
      </c>
      <c r="H2916" s="549" t="s">
        <v>233</v>
      </c>
      <c r="I2916" s="549" t="s">
        <v>976</v>
      </c>
      <c r="J2916" s="549" t="s">
        <v>976</v>
      </c>
      <c r="K2916" s="549" t="s">
        <v>976</v>
      </c>
      <c r="L2916" s="549">
        <v>75220.88</v>
      </c>
      <c r="M2916" s="549">
        <v>5679.18</v>
      </c>
      <c r="N2916" s="549">
        <v>1662.38</v>
      </c>
      <c r="O2916" s="549">
        <v>992</v>
      </c>
      <c r="P2916" s="549">
        <v>100</v>
      </c>
      <c r="Q2916" s="549">
        <v>8333.56</v>
      </c>
    </row>
    <row r="2917" spans="1:17" x14ac:dyDescent="0.25">
      <c r="A2917" s="549" t="s">
        <v>1083</v>
      </c>
      <c r="B2917" s="549" t="s">
        <v>584</v>
      </c>
      <c r="C2917" s="549" t="s">
        <v>233</v>
      </c>
      <c r="D2917" s="549" t="s">
        <v>744</v>
      </c>
      <c r="E2917" s="549" t="s">
        <v>977</v>
      </c>
      <c r="F2917" s="549" t="s">
        <v>1212</v>
      </c>
      <c r="G2917" s="549">
        <v>80</v>
      </c>
      <c r="H2917" s="549" t="s">
        <v>233</v>
      </c>
      <c r="I2917" s="549" t="s">
        <v>976</v>
      </c>
      <c r="J2917" s="549" t="s">
        <v>976</v>
      </c>
      <c r="K2917" s="549" t="s">
        <v>976</v>
      </c>
      <c r="L2917" s="549">
        <v>75220.88</v>
      </c>
      <c r="M2917" s="549">
        <v>5679.18</v>
      </c>
      <c r="N2917" s="549">
        <v>1662.38</v>
      </c>
      <c r="O2917" s="549">
        <v>992</v>
      </c>
      <c r="P2917" s="549">
        <v>100</v>
      </c>
      <c r="Q2917" s="549">
        <v>8333.56</v>
      </c>
    </row>
    <row r="2918" spans="1:17" x14ac:dyDescent="0.25">
      <c r="A2918" s="549" t="s">
        <v>1083</v>
      </c>
      <c r="B2918" s="549" t="s">
        <v>584</v>
      </c>
      <c r="C2918" s="549" t="s">
        <v>233</v>
      </c>
      <c r="D2918" s="549" t="s">
        <v>744</v>
      </c>
      <c r="E2918" s="549" t="s">
        <v>977</v>
      </c>
      <c r="F2918" s="549" t="s">
        <v>1212</v>
      </c>
      <c r="G2918" s="549">
        <v>81</v>
      </c>
      <c r="H2918" s="549" t="s">
        <v>233</v>
      </c>
      <c r="I2918" s="549" t="s">
        <v>1310</v>
      </c>
      <c r="J2918" s="549" t="s">
        <v>1310</v>
      </c>
      <c r="K2918" s="549" t="s">
        <v>1310</v>
      </c>
      <c r="L2918" s="549">
        <v>0.02</v>
      </c>
      <c r="M2918" s="549">
        <v>0</v>
      </c>
      <c r="N2918" s="549">
        <v>0</v>
      </c>
      <c r="O2918" s="549">
        <v>0</v>
      </c>
      <c r="P2918" s="549">
        <v>100</v>
      </c>
      <c r="Q2918" s="549">
        <v>0</v>
      </c>
    </row>
    <row r="2919" spans="1:17" x14ac:dyDescent="0.25">
      <c r="A2919" s="549" t="s">
        <v>1083</v>
      </c>
      <c r="B2919" s="549" t="s">
        <v>584</v>
      </c>
      <c r="C2919" s="549" t="s">
        <v>233</v>
      </c>
      <c r="D2919" s="549" t="s">
        <v>744</v>
      </c>
      <c r="E2919" s="549" t="s">
        <v>977</v>
      </c>
      <c r="F2919" s="549" t="s">
        <v>1212</v>
      </c>
      <c r="G2919" s="549">
        <v>312</v>
      </c>
      <c r="H2919" s="549" t="s">
        <v>233</v>
      </c>
      <c r="I2919" s="549" t="s">
        <v>976</v>
      </c>
      <c r="J2919" s="549" t="s">
        <v>976</v>
      </c>
      <c r="K2919" s="549" t="s">
        <v>976</v>
      </c>
      <c r="L2919" s="549">
        <v>344086.71</v>
      </c>
      <c r="M2919" s="549">
        <v>25978.55</v>
      </c>
      <c r="N2919" s="549">
        <v>7604.32</v>
      </c>
      <c r="O2919" s="549">
        <v>1984</v>
      </c>
      <c r="P2919" s="549">
        <v>65.8</v>
      </c>
      <c r="Q2919" s="549">
        <v>23403</v>
      </c>
    </row>
    <row r="2920" spans="1:17" x14ac:dyDescent="0.25">
      <c r="A2920" s="549" t="s">
        <v>1083</v>
      </c>
      <c r="B2920" s="549" t="s">
        <v>584</v>
      </c>
      <c r="C2920" s="549" t="s">
        <v>233</v>
      </c>
      <c r="D2920" s="549" t="s">
        <v>744</v>
      </c>
      <c r="E2920" s="549" t="s">
        <v>977</v>
      </c>
      <c r="F2920" s="549" t="s">
        <v>1212</v>
      </c>
      <c r="G2920" s="549">
        <v>332</v>
      </c>
      <c r="H2920" s="549" t="s">
        <v>233</v>
      </c>
      <c r="I2920" s="549" t="s">
        <v>976</v>
      </c>
      <c r="J2920" s="549" t="s">
        <v>976</v>
      </c>
      <c r="K2920" s="549" t="s">
        <v>976</v>
      </c>
      <c r="L2920" s="549">
        <v>344086.71</v>
      </c>
      <c r="M2920" s="549">
        <v>25978.55</v>
      </c>
      <c r="N2920" s="549">
        <v>7604.32</v>
      </c>
      <c r="O2920" s="549">
        <v>1984</v>
      </c>
      <c r="P2920" s="549">
        <v>100</v>
      </c>
      <c r="Q2920" s="549">
        <v>35566.870000000003</v>
      </c>
    </row>
    <row r="2921" spans="1:17" x14ac:dyDescent="0.25">
      <c r="A2921" s="549" t="s">
        <v>1083</v>
      </c>
      <c r="B2921" s="549" t="s">
        <v>584</v>
      </c>
      <c r="C2921" s="549" t="s">
        <v>233</v>
      </c>
      <c r="D2921" s="549" t="s">
        <v>744</v>
      </c>
      <c r="E2921" s="549" t="s">
        <v>977</v>
      </c>
      <c r="F2921" s="549" t="s">
        <v>1212</v>
      </c>
      <c r="G2921" s="549">
        <v>362</v>
      </c>
      <c r="H2921" s="549" t="s">
        <v>233</v>
      </c>
      <c r="I2921" s="549" t="s">
        <v>976</v>
      </c>
      <c r="J2921" s="549" t="s">
        <v>976</v>
      </c>
      <c r="K2921" s="549" t="s">
        <v>976</v>
      </c>
      <c r="L2921" s="549">
        <v>344086.71</v>
      </c>
      <c r="M2921" s="549">
        <v>25978.55</v>
      </c>
      <c r="N2921" s="549">
        <v>7604.32</v>
      </c>
      <c r="O2921" s="549">
        <v>1984</v>
      </c>
      <c r="P2921" s="549">
        <v>100</v>
      </c>
      <c r="Q2921" s="549">
        <v>35566.870000000003</v>
      </c>
    </row>
    <row r="2922" spans="1:17" x14ac:dyDescent="0.25">
      <c r="A2922" s="549" t="s">
        <v>1083</v>
      </c>
      <c r="B2922" s="549" t="s">
        <v>584</v>
      </c>
      <c r="C2922" s="549" t="s">
        <v>233</v>
      </c>
      <c r="D2922" s="549" t="s">
        <v>744</v>
      </c>
      <c r="E2922" s="549" t="s">
        <v>977</v>
      </c>
      <c r="F2922" s="549" t="s">
        <v>1212</v>
      </c>
      <c r="G2922" s="549">
        <v>382</v>
      </c>
      <c r="H2922" s="549" t="s">
        <v>233</v>
      </c>
      <c r="I2922" s="549" t="s">
        <v>976</v>
      </c>
      <c r="J2922" s="549" t="s">
        <v>976</v>
      </c>
      <c r="K2922" s="549" t="s">
        <v>976</v>
      </c>
      <c r="L2922" s="549">
        <v>344086.71</v>
      </c>
      <c r="M2922" s="549">
        <v>25978.55</v>
      </c>
      <c r="N2922" s="549">
        <v>7604.32</v>
      </c>
      <c r="O2922" s="549">
        <v>1984</v>
      </c>
      <c r="P2922" s="549">
        <v>100</v>
      </c>
      <c r="Q2922" s="549">
        <v>35566.870000000003</v>
      </c>
    </row>
    <row r="2923" spans="1:17" x14ac:dyDescent="0.25">
      <c r="A2923" s="549" t="s">
        <v>1083</v>
      </c>
      <c r="B2923" s="549" t="s">
        <v>584</v>
      </c>
      <c r="C2923" s="549" t="s">
        <v>233</v>
      </c>
      <c r="D2923" s="549" t="s">
        <v>744</v>
      </c>
      <c r="E2923" s="549" t="s">
        <v>977</v>
      </c>
      <c r="F2923" s="549" t="s">
        <v>1212</v>
      </c>
      <c r="G2923" s="549">
        <v>2202</v>
      </c>
      <c r="H2923" s="549" t="s">
        <v>233</v>
      </c>
      <c r="I2923" s="549" t="s">
        <v>976</v>
      </c>
      <c r="J2923" s="549" t="s">
        <v>976</v>
      </c>
      <c r="K2923" s="549" t="s">
        <v>976</v>
      </c>
      <c r="L2923" s="549">
        <v>91839.02</v>
      </c>
      <c r="M2923" s="549">
        <v>6933.85</v>
      </c>
      <c r="N2923" s="549">
        <v>2029.64</v>
      </c>
      <c r="O2923" s="549">
        <v>992</v>
      </c>
      <c r="P2923" s="549">
        <v>100</v>
      </c>
      <c r="Q2923" s="549">
        <v>9955.49</v>
      </c>
    </row>
    <row r="2924" spans="1:17" x14ac:dyDescent="0.25">
      <c r="A2924" s="549" t="s">
        <v>1083</v>
      </c>
      <c r="B2924" s="549" t="s">
        <v>584</v>
      </c>
      <c r="C2924" s="549" t="s">
        <v>233</v>
      </c>
      <c r="D2924" s="549" t="s">
        <v>744</v>
      </c>
      <c r="E2924" s="549" t="s">
        <v>977</v>
      </c>
      <c r="F2924" s="549" t="s">
        <v>1212</v>
      </c>
      <c r="G2924" s="549">
        <v>2212</v>
      </c>
      <c r="H2924" s="549" t="s">
        <v>233</v>
      </c>
      <c r="I2924" s="549" t="s">
        <v>976</v>
      </c>
      <c r="J2924" s="549" t="s">
        <v>976</v>
      </c>
      <c r="K2924" s="549" t="s">
        <v>976</v>
      </c>
      <c r="L2924" s="549">
        <v>91839.02</v>
      </c>
      <c r="M2924" s="549">
        <v>6933.85</v>
      </c>
      <c r="N2924" s="549">
        <v>2029.64</v>
      </c>
      <c r="O2924" s="549">
        <v>992</v>
      </c>
      <c r="P2924" s="549">
        <v>100</v>
      </c>
      <c r="Q2924" s="549">
        <v>9955.49</v>
      </c>
    </row>
    <row r="2925" spans="1:17" x14ac:dyDescent="0.25">
      <c r="A2925" s="549" t="s">
        <v>1083</v>
      </c>
      <c r="B2925" s="549" t="s">
        <v>584</v>
      </c>
      <c r="C2925" s="549" t="s">
        <v>233</v>
      </c>
      <c r="D2925" s="549" t="s">
        <v>744</v>
      </c>
      <c r="E2925" s="549" t="s">
        <v>977</v>
      </c>
      <c r="F2925" s="549" t="s">
        <v>1212</v>
      </c>
      <c r="G2925" s="549">
        <v>2222</v>
      </c>
      <c r="H2925" s="549" t="s">
        <v>233</v>
      </c>
      <c r="I2925" s="549" t="s">
        <v>976</v>
      </c>
      <c r="J2925" s="549" t="s">
        <v>976</v>
      </c>
      <c r="K2925" s="549" t="s">
        <v>976</v>
      </c>
      <c r="L2925" s="549">
        <v>98189.9</v>
      </c>
      <c r="M2925" s="549">
        <v>7413.34</v>
      </c>
      <c r="N2925" s="549">
        <v>2170</v>
      </c>
      <c r="O2925" s="549">
        <v>992</v>
      </c>
      <c r="P2925" s="549">
        <v>65.8</v>
      </c>
      <c r="Q2925" s="549">
        <v>6958.57</v>
      </c>
    </row>
    <row r="2926" spans="1:17" x14ac:dyDescent="0.25">
      <c r="A2926" s="549" t="s">
        <v>1083</v>
      </c>
      <c r="B2926" s="549" t="s">
        <v>584</v>
      </c>
      <c r="C2926" s="549" t="s">
        <v>233</v>
      </c>
      <c r="D2926" s="549" t="s">
        <v>744</v>
      </c>
      <c r="E2926" s="549" t="s">
        <v>977</v>
      </c>
      <c r="F2926" s="549" t="s">
        <v>1212</v>
      </c>
      <c r="G2926" s="549">
        <v>2242</v>
      </c>
      <c r="H2926" s="549" t="s">
        <v>233</v>
      </c>
      <c r="I2926" s="549" t="s">
        <v>976</v>
      </c>
      <c r="J2926" s="549" t="s">
        <v>976</v>
      </c>
      <c r="K2926" s="549" t="s">
        <v>976</v>
      </c>
      <c r="L2926" s="549">
        <v>91839.02</v>
      </c>
      <c r="M2926" s="549">
        <v>6933.85</v>
      </c>
      <c r="N2926" s="549">
        <v>2029.64</v>
      </c>
      <c r="O2926" s="549">
        <v>992</v>
      </c>
      <c r="P2926" s="549">
        <v>100</v>
      </c>
      <c r="Q2926" s="549">
        <v>9955.49</v>
      </c>
    </row>
    <row r="2927" spans="1:17" x14ac:dyDescent="0.25">
      <c r="A2927" s="549" t="s">
        <v>1083</v>
      </c>
      <c r="B2927" s="549" t="s">
        <v>584</v>
      </c>
      <c r="C2927" s="549" t="s">
        <v>233</v>
      </c>
      <c r="D2927" s="549" t="s">
        <v>744</v>
      </c>
      <c r="E2927" s="549" t="s">
        <v>977</v>
      </c>
      <c r="F2927" s="549" t="s">
        <v>1212</v>
      </c>
      <c r="G2927" s="549" t="s">
        <v>1430</v>
      </c>
      <c r="H2927" s="549" t="s">
        <v>233</v>
      </c>
      <c r="I2927" s="549" t="s">
        <v>976</v>
      </c>
      <c r="J2927" s="549" t="s">
        <v>976</v>
      </c>
      <c r="K2927" s="549" t="s">
        <v>976</v>
      </c>
      <c r="L2927" s="549">
        <v>31102.38</v>
      </c>
      <c r="M2927" s="549">
        <v>2348.23</v>
      </c>
      <c r="N2927" s="549">
        <v>687.36</v>
      </c>
      <c r="O2927" s="549">
        <v>0</v>
      </c>
      <c r="P2927" s="549">
        <v>100</v>
      </c>
      <c r="Q2927" s="549">
        <v>3035.59</v>
      </c>
    </row>
    <row r="2928" spans="1:17" x14ac:dyDescent="0.25">
      <c r="A2928" s="549" t="s">
        <v>1083</v>
      </c>
      <c r="B2928" s="549" t="s">
        <v>584</v>
      </c>
      <c r="C2928" s="549" t="s">
        <v>233</v>
      </c>
      <c r="D2928" s="549" t="s">
        <v>744</v>
      </c>
      <c r="E2928" s="549" t="s">
        <v>977</v>
      </c>
      <c r="F2928" s="549" t="s">
        <v>1212</v>
      </c>
      <c r="G2928" s="549" t="s">
        <v>1244</v>
      </c>
      <c r="H2928" s="549" t="s">
        <v>233</v>
      </c>
      <c r="I2928" s="549" t="s">
        <v>976</v>
      </c>
      <c r="J2928" s="549" t="s">
        <v>976</v>
      </c>
      <c r="K2928" s="549" t="s">
        <v>976</v>
      </c>
      <c r="L2928" s="549">
        <v>31102.38</v>
      </c>
      <c r="M2928" s="549">
        <v>2348.23</v>
      </c>
      <c r="N2928" s="549">
        <v>687.36</v>
      </c>
      <c r="O2928" s="549">
        <v>0</v>
      </c>
      <c r="P2928" s="549">
        <v>65.8</v>
      </c>
      <c r="Q2928" s="549">
        <v>1997.42</v>
      </c>
    </row>
    <row r="2929" spans="1:17" x14ac:dyDescent="0.25">
      <c r="A2929" s="549" t="s">
        <v>1083</v>
      </c>
      <c r="B2929" s="549" t="s">
        <v>584</v>
      </c>
      <c r="C2929" s="549" t="s">
        <v>233</v>
      </c>
      <c r="D2929" s="549" t="s">
        <v>744</v>
      </c>
      <c r="E2929" s="549" t="s">
        <v>977</v>
      </c>
      <c r="F2929" s="549" t="s">
        <v>1212</v>
      </c>
      <c r="G2929" s="549" t="s">
        <v>1431</v>
      </c>
      <c r="H2929" s="549" t="s">
        <v>233</v>
      </c>
      <c r="I2929" s="549" t="s">
        <v>976</v>
      </c>
      <c r="J2929" s="549" t="s">
        <v>976</v>
      </c>
      <c r="K2929" s="549" t="s">
        <v>976</v>
      </c>
      <c r="L2929" s="549">
        <v>31102.38</v>
      </c>
      <c r="M2929" s="549">
        <v>2348.23</v>
      </c>
      <c r="N2929" s="549">
        <v>687.36</v>
      </c>
      <c r="O2929" s="549">
        <v>0</v>
      </c>
      <c r="P2929" s="549">
        <v>100</v>
      </c>
      <c r="Q2929" s="549">
        <v>3035.59</v>
      </c>
    </row>
    <row r="2930" spans="1:17" x14ac:dyDescent="0.25">
      <c r="A2930" s="549" t="s">
        <v>1083</v>
      </c>
      <c r="B2930" s="549" t="s">
        <v>584</v>
      </c>
      <c r="C2930" s="549" t="s">
        <v>233</v>
      </c>
      <c r="D2930" s="549" t="s">
        <v>744</v>
      </c>
      <c r="E2930" s="549" t="s">
        <v>977</v>
      </c>
      <c r="F2930" s="549" t="s">
        <v>1212</v>
      </c>
      <c r="G2930" s="549" t="s">
        <v>1432</v>
      </c>
      <c r="H2930" s="549" t="s">
        <v>233</v>
      </c>
      <c r="I2930" s="549" t="s">
        <v>976</v>
      </c>
      <c r="J2930" s="549" t="s">
        <v>976</v>
      </c>
      <c r="K2930" s="549" t="s">
        <v>976</v>
      </c>
      <c r="L2930" s="549">
        <v>31102.38</v>
      </c>
      <c r="M2930" s="549">
        <v>2348.23</v>
      </c>
      <c r="N2930" s="549">
        <v>687.36</v>
      </c>
      <c r="O2930" s="549">
        <v>0</v>
      </c>
      <c r="P2930" s="549">
        <v>100</v>
      </c>
      <c r="Q2930" s="549">
        <v>3035.59</v>
      </c>
    </row>
    <row r="2931" spans="1:17" x14ac:dyDescent="0.25">
      <c r="A2931" s="549" t="s">
        <v>1083</v>
      </c>
      <c r="B2931" s="549" t="s">
        <v>584</v>
      </c>
      <c r="C2931" s="549" t="s">
        <v>233</v>
      </c>
      <c r="D2931" s="549" t="s">
        <v>744</v>
      </c>
      <c r="E2931" s="549" t="s">
        <v>977</v>
      </c>
      <c r="F2931" s="549" t="s">
        <v>1212</v>
      </c>
      <c r="G2931" s="549" t="s">
        <v>1433</v>
      </c>
      <c r="H2931" s="549" t="s">
        <v>233</v>
      </c>
      <c r="I2931" s="549" t="s">
        <v>976</v>
      </c>
      <c r="J2931" s="549" t="s">
        <v>976</v>
      </c>
      <c r="K2931" s="549" t="s">
        <v>976</v>
      </c>
      <c r="L2931" s="549">
        <v>8157.64</v>
      </c>
      <c r="M2931" s="549">
        <v>615.9</v>
      </c>
      <c r="N2931" s="549">
        <v>180.28</v>
      </c>
      <c r="O2931" s="549">
        <v>0</v>
      </c>
      <c r="P2931" s="549">
        <v>100</v>
      </c>
      <c r="Q2931" s="549">
        <v>796.18</v>
      </c>
    </row>
    <row r="2932" spans="1:17" x14ac:dyDescent="0.25">
      <c r="A2932" s="549" t="s">
        <v>1083</v>
      </c>
      <c r="B2932" s="549" t="s">
        <v>584</v>
      </c>
      <c r="C2932" s="549" t="s">
        <v>233</v>
      </c>
      <c r="D2932" s="549" t="s">
        <v>744</v>
      </c>
      <c r="E2932" s="549" t="s">
        <v>977</v>
      </c>
      <c r="F2932" s="549" t="s">
        <v>1212</v>
      </c>
      <c r="G2932" s="549" t="s">
        <v>1434</v>
      </c>
      <c r="H2932" s="549" t="s">
        <v>233</v>
      </c>
      <c r="I2932" s="549" t="s">
        <v>976</v>
      </c>
      <c r="J2932" s="549" t="s">
        <v>976</v>
      </c>
      <c r="K2932" s="549" t="s">
        <v>976</v>
      </c>
      <c r="L2932" s="549">
        <v>8157.64</v>
      </c>
      <c r="M2932" s="549">
        <v>615.9</v>
      </c>
      <c r="N2932" s="549">
        <v>180.28</v>
      </c>
      <c r="O2932" s="549">
        <v>0</v>
      </c>
      <c r="P2932" s="549">
        <v>100</v>
      </c>
      <c r="Q2932" s="549">
        <v>796.18</v>
      </c>
    </row>
    <row r="2933" spans="1:17" x14ac:dyDescent="0.25">
      <c r="A2933" s="549" t="s">
        <v>1083</v>
      </c>
      <c r="B2933" s="549" t="s">
        <v>584</v>
      </c>
      <c r="C2933" s="549" t="s">
        <v>233</v>
      </c>
      <c r="D2933" s="549" t="s">
        <v>744</v>
      </c>
      <c r="E2933" s="549" t="s">
        <v>977</v>
      </c>
      <c r="F2933" s="549" t="s">
        <v>1212</v>
      </c>
      <c r="G2933" s="549" t="s">
        <v>1435</v>
      </c>
      <c r="H2933" s="549" t="s">
        <v>233</v>
      </c>
      <c r="I2933" s="549" t="s">
        <v>1310</v>
      </c>
      <c r="J2933" s="549" t="s">
        <v>1310</v>
      </c>
      <c r="K2933" s="549" t="s">
        <v>1310</v>
      </c>
      <c r="L2933" s="549">
        <v>0</v>
      </c>
      <c r="M2933" s="549">
        <v>0</v>
      </c>
      <c r="N2933" s="549">
        <v>0</v>
      </c>
      <c r="O2933" s="549">
        <v>0</v>
      </c>
      <c r="P2933" s="549">
        <v>100</v>
      </c>
      <c r="Q2933" s="549">
        <v>0</v>
      </c>
    </row>
    <row r="2934" spans="1:17" x14ac:dyDescent="0.25">
      <c r="A2934" s="549" t="s">
        <v>1083</v>
      </c>
      <c r="B2934" s="549" t="s">
        <v>584</v>
      </c>
      <c r="C2934" s="549" t="s">
        <v>758</v>
      </c>
      <c r="D2934" s="549" t="s">
        <v>759</v>
      </c>
      <c r="E2934" s="549" t="s">
        <v>977</v>
      </c>
      <c r="F2934" s="549" t="s">
        <v>1212</v>
      </c>
      <c r="G2934" s="549">
        <v>182</v>
      </c>
      <c r="H2934" s="549" t="s">
        <v>855</v>
      </c>
      <c r="I2934" s="549" t="s">
        <v>976</v>
      </c>
      <c r="J2934" s="549" t="s">
        <v>976</v>
      </c>
      <c r="K2934" s="549" t="s">
        <v>976</v>
      </c>
      <c r="L2934" s="549">
        <v>509800.94</v>
      </c>
      <c r="M2934" s="549">
        <v>38489.97</v>
      </c>
      <c r="N2934" s="549">
        <v>11266.6</v>
      </c>
      <c r="O2934" s="549">
        <v>3968</v>
      </c>
      <c r="P2934" s="549">
        <v>33.21</v>
      </c>
      <c r="Q2934" s="549">
        <v>17841.93</v>
      </c>
    </row>
    <row r="2935" spans="1:17" x14ac:dyDescent="0.25">
      <c r="A2935" s="549" t="s">
        <v>1083</v>
      </c>
      <c r="B2935" s="549" t="s">
        <v>584</v>
      </c>
      <c r="C2935" s="549" t="s">
        <v>758</v>
      </c>
      <c r="D2935" s="549" t="s">
        <v>759</v>
      </c>
      <c r="E2935" s="549" t="s">
        <v>977</v>
      </c>
      <c r="F2935" s="549" t="s">
        <v>1212</v>
      </c>
      <c r="G2935" s="549">
        <v>202</v>
      </c>
      <c r="H2935" s="549" t="s">
        <v>855</v>
      </c>
      <c r="I2935" s="549" t="s">
        <v>976</v>
      </c>
      <c r="J2935" s="549" t="s">
        <v>976</v>
      </c>
      <c r="K2935" s="549" t="s">
        <v>976</v>
      </c>
      <c r="L2935" s="549">
        <v>509800.94</v>
      </c>
      <c r="M2935" s="549">
        <v>38489.97</v>
      </c>
      <c r="N2935" s="549">
        <v>11266.6</v>
      </c>
      <c r="O2935" s="549">
        <v>3968</v>
      </c>
      <c r="P2935" s="549">
        <v>33.21</v>
      </c>
      <c r="Q2935" s="549">
        <v>17841.93</v>
      </c>
    </row>
    <row r="2936" spans="1:17" x14ac:dyDescent="0.25">
      <c r="A2936" s="549" t="s">
        <v>1083</v>
      </c>
      <c r="B2936" s="549" t="s">
        <v>584</v>
      </c>
      <c r="C2936" s="549" t="s">
        <v>758</v>
      </c>
      <c r="D2936" s="549" t="s">
        <v>759</v>
      </c>
      <c r="E2936" s="549" t="s">
        <v>977</v>
      </c>
      <c r="F2936" s="549" t="s">
        <v>1212</v>
      </c>
      <c r="G2936" s="549">
        <v>342</v>
      </c>
      <c r="H2936" s="549" t="s">
        <v>758</v>
      </c>
      <c r="I2936" s="549" t="s">
        <v>976</v>
      </c>
      <c r="J2936" s="549" t="s">
        <v>976</v>
      </c>
      <c r="K2936" s="549" t="s">
        <v>976</v>
      </c>
      <c r="L2936" s="549">
        <v>344086.71</v>
      </c>
      <c r="M2936" s="549">
        <v>25978.55</v>
      </c>
      <c r="N2936" s="549">
        <v>7604.32</v>
      </c>
      <c r="O2936" s="549">
        <v>1984</v>
      </c>
      <c r="P2936" s="549">
        <v>100</v>
      </c>
      <c r="Q2936" s="549">
        <v>35566.870000000003</v>
      </c>
    </row>
    <row r="2937" spans="1:17" x14ac:dyDescent="0.25">
      <c r="A2937" s="549" t="s">
        <v>1083</v>
      </c>
      <c r="B2937" s="549" t="s">
        <v>584</v>
      </c>
      <c r="C2937" s="549" t="s">
        <v>758</v>
      </c>
      <c r="D2937" s="549" t="s">
        <v>759</v>
      </c>
      <c r="E2937" s="549" t="s">
        <v>977</v>
      </c>
      <c r="F2937" s="549" t="s">
        <v>1212</v>
      </c>
      <c r="G2937" s="549">
        <v>362</v>
      </c>
      <c r="H2937" s="549" t="s">
        <v>758</v>
      </c>
      <c r="I2937" s="549" t="s">
        <v>976</v>
      </c>
      <c r="J2937" s="549" t="s">
        <v>976</v>
      </c>
      <c r="K2937" s="549" t="s">
        <v>976</v>
      </c>
      <c r="L2937" s="549">
        <v>344086.71</v>
      </c>
      <c r="M2937" s="549">
        <v>25978.55</v>
      </c>
      <c r="N2937" s="549">
        <v>7604.32</v>
      </c>
      <c r="O2937" s="549">
        <v>1984</v>
      </c>
      <c r="P2937" s="549">
        <v>100</v>
      </c>
      <c r="Q2937" s="549">
        <v>35566.870000000003</v>
      </c>
    </row>
    <row r="2938" spans="1:17" x14ac:dyDescent="0.25">
      <c r="A2938" s="549" t="s">
        <v>1083</v>
      </c>
      <c r="B2938" s="549" t="s">
        <v>584</v>
      </c>
      <c r="C2938" s="549" t="s">
        <v>758</v>
      </c>
      <c r="D2938" s="549" t="s">
        <v>759</v>
      </c>
      <c r="E2938" s="549" t="s">
        <v>977</v>
      </c>
      <c r="F2938" s="549" t="s">
        <v>1212</v>
      </c>
      <c r="G2938" s="549">
        <v>1052</v>
      </c>
      <c r="H2938" s="549" t="s">
        <v>758</v>
      </c>
      <c r="I2938" s="549" t="s">
        <v>976</v>
      </c>
      <c r="J2938" s="549" t="s">
        <v>976</v>
      </c>
      <c r="K2938" s="549" t="s">
        <v>976</v>
      </c>
      <c r="L2938" s="549">
        <v>551471.52</v>
      </c>
      <c r="M2938" s="549">
        <v>41636.1</v>
      </c>
      <c r="N2938" s="549">
        <v>12187.52</v>
      </c>
      <c r="O2938" s="549">
        <v>3968</v>
      </c>
      <c r="P2938" s="549">
        <v>100</v>
      </c>
      <c r="Q2938" s="549">
        <v>57791.62</v>
      </c>
    </row>
    <row r="2939" spans="1:17" x14ac:dyDescent="0.25">
      <c r="A2939" s="549" t="s">
        <v>1083</v>
      </c>
      <c r="B2939" s="549" t="s">
        <v>584</v>
      </c>
      <c r="C2939" s="549" t="s">
        <v>758</v>
      </c>
      <c r="D2939" s="549" t="s">
        <v>759</v>
      </c>
      <c r="E2939" s="549" t="s">
        <v>977</v>
      </c>
      <c r="F2939" s="549" t="s">
        <v>1212</v>
      </c>
      <c r="G2939" s="549">
        <v>1062</v>
      </c>
      <c r="H2939" s="549" t="s">
        <v>758</v>
      </c>
      <c r="I2939" s="549" t="s">
        <v>976</v>
      </c>
      <c r="J2939" s="549" t="s">
        <v>976</v>
      </c>
      <c r="K2939" s="549" t="s">
        <v>976</v>
      </c>
      <c r="L2939" s="549">
        <v>376223.92</v>
      </c>
      <c r="M2939" s="549">
        <v>28404.91</v>
      </c>
      <c r="N2939" s="549">
        <v>8314.5499999999993</v>
      </c>
      <c r="O2939" s="549">
        <v>1984</v>
      </c>
      <c r="P2939" s="549">
        <v>100</v>
      </c>
      <c r="Q2939" s="549">
        <v>38703.46</v>
      </c>
    </row>
    <row r="2940" spans="1:17" x14ac:dyDescent="0.25">
      <c r="A2940" s="549" t="s">
        <v>1083</v>
      </c>
      <c r="B2940" s="549" t="s">
        <v>584</v>
      </c>
      <c r="C2940" s="549" t="s">
        <v>758</v>
      </c>
      <c r="D2940" s="549" t="s">
        <v>759</v>
      </c>
      <c r="E2940" s="549" t="s">
        <v>977</v>
      </c>
      <c r="F2940" s="549" t="s">
        <v>1212</v>
      </c>
      <c r="G2940" s="549">
        <v>1072</v>
      </c>
      <c r="H2940" s="549" t="s">
        <v>758</v>
      </c>
      <c r="I2940" s="549" t="s">
        <v>976</v>
      </c>
      <c r="J2940" s="549" t="s">
        <v>976</v>
      </c>
      <c r="K2940" s="549" t="s">
        <v>976</v>
      </c>
      <c r="L2940" s="549">
        <v>551471.52</v>
      </c>
      <c r="M2940" s="549">
        <v>41636.1</v>
      </c>
      <c r="N2940" s="549">
        <v>12187.52</v>
      </c>
      <c r="O2940" s="549">
        <v>3968</v>
      </c>
      <c r="P2940" s="549">
        <v>100</v>
      </c>
      <c r="Q2940" s="549">
        <v>57791.62</v>
      </c>
    </row>
    <row r="2941" spans="1:17" x14ac:dyDescent="0.25">
      <c r="A2941" s="549" t="s">
        <v>1083</v>
      </c>
      <c r="B2941" s="549" t="s">
        <v>584</v>
      </c>
      <c r="C2941" s="549" t="s">
        <v>758</v>
      </c>
      <c r="D2941" s="549" t="s">
        <v>759</v>
      </c>
      <c r="E2941" s="549" t="s">
        <v>977</v>
      </c>
      <c r="F2941" s="549" t="s">
        <v>1212</v>
      </c>
      <c r="G2941" s="549">
        <v>1077</v>
      </c>
      <c r="H2941" s="549" t="s">
        <v>758</v>
      </c>
      <c r="I2941" s="549" t="s">
        <v>976</v>
      </c>
      <c r="J2941" s="549" t="s">
        <v>976</v>
      </c>
      <c r="K2941" s="549" t="s">
        <v>976</v>
      </c>
      <c r="L2941" s="549">
        <v>131762.19</v>
      </c>
      <c r="M2941" s="549">
        <v>9948.0499999999993</v>
      </c>
      <c r="N2941" s="549">
        <v>2911.94</v>
      </c>
      <c r="O2941" s="549">
        <v>992</v>
      </c>
      <c r="P2941" s="549">
        <v>100</v>
      </c>
      <c r="Q2941" s="549">
        <v>13851.99</v>
      </c>
    </row>
    <row r="2942" spans="1:17" x14ac:dyDescent="0.25">
      <c r="A2942" s="549" t="s">
        <v>1083</v>
      </c>
      <c r="B2942" s="549" t="s">
        <v>584</v>
      </c>
      <c r="C2942" s="549" t="s">
        <v>758</v>
      </c>
      <c r="D2942" s="549" t="s">
        <v>759</v>
      </c>
      <c r="E2942" s="549" t="s">
        <v>977</v>
      </c>
      <c r="F2942" s="549" t="s">
        <v>1212</v>
      </c>
      <c r="G2942" s="549">
        <v>1092</v>
      </c>
      <c r="H2942" s="549" t="s">
        <v>758</v>
      </c>
      <c r="I2942" s="549" t="s">
        <v>976</v>
      </c>
      <c r="J2942" s="549" t="s">
        <v>976</v>
      </c>
      <c r="K2942" s="549" t="s">
        <v>976</v>
      </c>
      <c r="L2942" s="549">
        <v>551471.52</v>
      </c>
      <c r="M2942" s="549">
        <v>41636.1</v>
      </c>
      <c r="N2942" s="549">
        <v>12187.52</v>
      </c>
      <c r="O2942" s="549">
        <v>3968</v>
      </c>
      <c r="P2942" s="549">
        <v>100</v>
      </c>
      <c r="Q2942" s="549">
        <v>57791.62</v>
      </c>
    </row>
    <row r="2943" spans="1:17" x14ac:dyDescent="0.25">
      <c r="A2943" s="549" t="s">
        <v>1083</v>
      </c>
      <c r="B2943" s="549" t="s">
        <v>584</v>
      </c>
      <c r="C2943" s="549" t="s">
        <v>758</v>
      </c>
      <c r="D2943" s="549" t="s">
        <v>759</v>
      </c>
      <c r="E2943" s="549" t="s">
        <v>977</v>
      </c>
      <c r="F2943" s="549" t="s">
        <v>1212</v>
      </c>
      <c r="G2943" s="549">
        <v>1102</v>
      </c>
      <c r="H2943" s="549" t="s">
        <v>758</v>
      </c>
      <c r="I2943" s="549" t="s">
        <v>976</v>
      </c>
      <c r="J2943" s="549" t="s">
        <v>976</v>
      </c>
      <c r="K2943" s="549" t="s">
        <v>976</v>
      </c>
      <c r="L2943" s="549">
        <v>551471.52</v>
      </c>
      <c r="M2943" s="549">
        <v>41636.1</v>
      </c>
      <c r="N2943" s="549">
        <v>12187.52</v>
      </c>
      <c r="O2943" s="549">
        <v>3968</v>
      </c>
      <c r="P2943" s="549">
        <v>100</v>
      </c>
      <c r="Q2943" s="549">
        <v>57791.62</v>
      </c>
    </row>
    <row r="2944" spans="1:17" x14ac:dyDescent="0.25">
      <c r="A2944" s="549" t="s">
        <v>1083</v>
      </c>
      <c r="B2944" s="549" t="s">
        <v>584</v>
      </c>
      <c r="C2944" s="549" t="s">
        <v>758</v>
      </c>
      <c r="D2944" s="549" t="s">
        <v>759</v>
      </c>
      <c r="E2944" s="549" t="s">
        <v>977</v>
      </c>
      <c r="F2944" s="549" t="s">
        <v>1212</v>
      </c>
      <c r="G2944" s="549">
        <v>1107</v>
      </c>
      <c r="H2944" s="549" t="s">
        <v>758</v>
      </c>
      <c r="I2944" s="549" t="s">
        <v>976</v>
      </c>
      <c r="J2944" s="549" t="s">
        <v>976</v>
      </c>
      <c r="K2944" s="549" t="s">
        <v>976</v>
      </c>
      <c r="L2944" s="549">
        <v>72248.179999999993</v>
      </c>
      <c r="M2944" s="549">
        <v>5454.74</v>
      </c>
      <c r="N2944" s="549">
        <v>1596.68</v>
      </c>
      <c r="O2944" s="549">
        <v>992</v>
      </c>
      <c r="P2944" s="549">
        <v>100</v>
      </c>
      <c r="Q2944" s="549">
        <v>8043.42</v>
      </c>
    </row>
    <row r="2945" spans="1:17" x14ac:dyDescent="0.25">
      <c r="A2945" s="549" t="s">
        <v>1083</v>
      </c>
      <c r="B2945" s="549" t="s">
        <v>584</v>
      </c>
      <c r="C2945" s="549" t="s">
        <v>758</v>
      </c>
      <c r="D2945" s="549" t="s">
        <v>759</v>
      </c>
      <c r="E2945" s="549" t="s">
        <v>977</v>
      </c>
      <c r="F2945" s="549" t="s">
        <v>1212</v>
      </c>
      <c r="G2945" s="549">
        <v>1122</v>
      </c>
      <c r="H2945" s="549" t="s">
        <v>758</v>
      </c>
      <c r="I2945" s="549" t="s">
        <v>976</v>
      </c>
      <c r="J2945" s="549" t="s">
        <v>976</v>
      </c>
      <c r="K2945" s="549" t="s">
        <v>976</v>
      </c>
      <c r="L2945" s="549">
        <v>376223.92</v>
      </c>
      <c r="M2945" s="549">
        <v>28404.91</v>
      </c>
      <c r="N2945" s="549">
        <v>8314.5499999999993</v>
      </c>
      <c r="O2945" s="549">
        <v>1984</v>
      </c>
      <c r="P2945" s="549">
        <v>100</v>
      </c>
      <c r="Q2945" s="549">
        <v>38703.46</v>
      </c>
    </row>
    <row r="2946" spans="1:17" x14ac:dyDescent="0.25">
      <c r="A2946" s="549" t="s">
        <v>1083</v>
      </c>
      <c r="B2946" s="549" t="s">
        <v>584</v>
      </c>
      <c r="C2946" s="549" t="s">
        <v>758</v>
      </c>
      <c r="D2946" s="549" t="s">
        <v>759</v>
      </c>
      <c r="E2946" s="549" t="s">
        <v>977</v>
      </c>
      <c r="F2946" s="549" t="s">
        <v>1212</v>
      </c>
      <c r="G2946" s="549">
        <v>1132</v>
      </c>
      <c r="H2946" s="549" t="s">
        <v>758</v>
      </c>
      <c r="I2946" s="549" t="s">
        <v>976</v>
      </c>
      <c r="J2946" s="549" t="s">
        <v>976</v>
      </c>
      <c r="K2946" s="549" t="s">
        <v>976</v>
      </c>
      <c r="L2946" s="549">
        <v>551471.52</v>
      </c>
      <c r="M2946" s="549">
        <v>41636.1</v>
      </c>
      <c r="N2946" s="549">
        <v>12187.52</v>
      </c>
      <c r="O2946" s="549">
        <v>3968</v>
      </c>
      <c r="P2946" s="549">
        <v>100</v>
      </c>
      <c r="Q2946" s="549">
        <v>57791.62</v>
      </c>
    </row>
    <row r="2947" spans="1:17" x14ac:dyDescent="0.25">
      <c r="A2947" s="549" t="s">
        <v>1083</v>
      </c>
      <c r="B2947" s="549" t="s">
        <v>584</v>
      </c>
      <c r="C2947" s="549" t="s">
        <v>758</v>
      </c>
      <c r="D2947" s="549" t="s">
        <v>759</v>
      </c>
      <c r="E2947" s="549" t="s">
        <v>977</v>
      </c>
      <c r="F2947" s="549" t="s">
        <v>1212</v>
      </c>
      <c r="G2947" s="549" t="s">
        <v>1436</v>
      </c>
      <c r="H2947" s="549" t="s">
        <v>758</v>
      </c>
      <c r="I2947" s="549" t="s">
        <v>976</v>
      </c>
      <c r="J2947" s="549" t="s">
        <v>976</v>
      </c>
      <c r="K2947" s="549" t="s">
        <v>976</v>
      </c>
      <c r="L2947" s="549">
        <v>131762.19</v>
      </c>
      <c r="M2947" s="549">
        <v>9948.0499999999993</v>
      </c>
      <c r="N2947" s="549">
        <v>2911.94</v>
      </c>
      <c r="O2947" s="549">
        <v>1984</v>
      </c>
      <c r="P2947" s="549">
        <v>100</v>
      </c>
      <c r="Q2947" s="549">
        <v>14843.99</v>
      </c>
    </row>
    <row r="2948" spans="1:17" x14ac:dyDescent="0.25">
      <c r="A2948" s="549" t="s">
        <v>1083</v>
      </c>
      <c r="B2948" s="549" t="s">
        <v>584</v>
      </c>
      <c r="C2948" s="549" t="s">
        <v>758</v>
      </c>
      <c r="D2948" s="549" t="s">
        <v>759</v>
      </c>
      <c r="E2948" s="549" t="s">
        <v>977</v>
      </c>
      <c r="F2948" s="549" t="s">
        <v>1212</v>
      </c>
      <c r="G2948" s="549" t="s">
        <v>1321</v>
      </c>
      <c r="H2948" s="549" t="s">
        <v>758</v>
      </c>
      <c r="I2948" s="549" t="s">
        <v>976</v>
      </c>
      <c r="J2948" s="549" t="s">
        <v>976</v>
      </c>
      <c r="K2948" s="549" t="s">
        <v>976</v>
      </c>
      <c r="L2948" s="549">
        <v>107061.02</v>
      </c>
      <c r="M2948" s="549">
        <v>8083.11</v>
      </c>
      <c r="N2948" s="549">
        <v>2366.0500000000002</v>
      </c>
      <c r="O2948" s="549">
        <v>1984</v>
      </c>
      <c r="P2948" s="549">
        <v>100</v>
      </c>
      <c r="Q2948" s="549">
        <v>12433.16</v>
      </c>
    </row>
    <row r="2949" spans="1:17" x14ac:dyDescent="0.25">
      <c r="A2949" s="549" t="s">
        <v>1083</v>
      </c>
      <c r="B2949" s="549" t="s">
        <v>584</v>
      </c>
      <c r="C2949" s="549" t="s">
        <v>758</v>
      </c>
      <c r="D2949" s="549" t="s">
        <v>759</v>
      </c>
      <c r="E2949" s="549" t="s">
        <v>977</v>
      </c>
      <c r="F2949" s="549" t="s">
        <v>1212</v>
      </c>
      <c r="G2949" s="549" t="s">
        <v>1235</v>
      </c>
      <c r="H2949" s="549" t="s">
        <v>758</v>
      </c>
      <c r="I2949" s="549" t="s">
        <v>976</v>
      </c>
      <c r="J2949" s="549" t="s">
        <v>976</v>
      </c>
      <c r="K2949" s="549" t="s">
        <v>976</v>
      </c>
      <c r="L2949" s="549">
        <v>268770.3</v>
      </c>
      <c r="M2949" s="549">
        <v>20292.16</v>
      </c>
      <c r="N2949" s="549">
        <v>5939.82</v>
      </c>
      <c r="O2949" s="549">
        <v>992</v>
      </c>
      <c r="P2949" s="549">
        <v>100</v>
      </c>
      <c r="Q2949" s="549">
        <v>27223.98</v>
      </c>
    </row>
    <row r="2950" spans="1:17" x14ac:dyDescent="0.25">
      <c r="A2950" s="549" t="s">
        <v>1083</v>
      </c>
      <c r="B2950" s="549" t="s">
        <v>584</v>
      </c>
      <c r="C2950" s="549" t="s">
        <v>758</v>
      </c>
      <c r="D2950" s="549" t="s">
        <v>759</v>
      </c>
      <c r="E2950" s="549" t="s">
        <v>977</v>
      </c>
      <c r="F2950" s="549" t="s">
        <v>1212</v>
      </c>
      <c r="G2950" s="549" t="s">
        <v>1236</v>
      </c>
      <c r="H2950" s="549" t="s">
        <v>758</v>
      </c>
      <c r="I2950" s="549" t="s">
        <v>976</v>
      </c>
      <c r="J2950" s="549" t="s">
        <v>976</v>
      </c>
      <c r="K2950" s="549" t="s">
        <v>976</v>
      </c>
      <c r="L2950" s="549">
        <v>268770.3</v>
      </c>
      <c r="M2950" s="549">
        <v>20292.16</v>
      </c>
      <c r="N2950" s="549">
        <v>5939.82</v>
      </c>
      <c r="O2950" s="549">
        <v>992</v>
      </c>
      <c r="P2950" s="549">
        <v>100</v>
      </c>
      <c r="Q2950" s="549">
        <v>27223.98</v>
      </c>
    </row>
    <row r="2951" spans="1:17" x14ac:dyDescent="0.25">
      <c r="A2951" s="549" t="s">
        <v>1083</v>
      </c>
      <c r="B2951" s="549" t="s">
        <v>584</v>
      </c>
      <c r="C2951" s="549" t="s">
        <v>758</v>
      </c>
      <c r="D2951" s="549" t="s">
        <v>759</v>
      </c>
      <c r="E2951" s="549" t="s">
        <v>977</v>
      </c>
      <c r="F2951" s="549" t="s">
        <v>1212</v>
      </c>
      <c r="G2951" s="549" t="s">
        <v>1227</v>
      </c>
      <c r="H2951" s="549" t="s">
        <v>758</v>
      </c>
      <c r="I2951" s="549" t="s">
        <v>976</v>
      </c>
      <c r="J2951" s="549" t="s">
        <v>976</v>
      </c>
      <c r="K2951" s="549" t="s">
        <v>976</v>
      </c>
      <c r="L2951" s="549">
        <v>47280.57</v>
      </c>
      <c r="M2951" s="549">
        <v>3569.68</v>
      </c>
      <c r="N2951" s="549">
        <v>1044.9000000000001</v>
      </c>
      <c r="O2951" s="549">
        <v>0</v>
      </c>
      <c r="P2951" s="549">
        <v>100</v>
      </c>
      <c r="Q2951" s="549">
        <v>4614.58</v>
      </c>
    </row>
    <row r="2952" spans="1:17" x14ac:dyDescent="0.25">
      <c r="A2952" s="549" t="s">
        <v>1083</v>
      </c>
      <c r="B2952" s="549" t="s">
        <v>584</v>
      </c>
      <c r="C2952" s="549" t="s">
        <v>758</v>
      </c>
      <c r="D2952" s="549" t="s">
        <v>759</v>
      </c>
      <c r="E2952" s="549" t="s">
        <v>977</v>
      </c>
      <c r="F2952" s="549" t="s">
        <v>1212</v>
      </c>
      <c r="G2952" s="549" t="s">
        <v>1369</v>
      </c>
      <c r="H2952" s="549" t="s">
        <v>758</v>
      </c>
      <c r="I2952" s="549" t="s">
        <v>976</v>
      </c>
      <c r="J2952" s="549" t="s">
        <v>976</v>
      </c>
      <c r="K2952" s="549" t="s">
        <v>976</v>
      </c>
      <c r="L2952" s="549">
        <v>47280.57</v>
      </c>
      <c r="M2952" s="549">
        <v>3569.68</v>
      </c>
      <c r="N2952" s="549">
        <v>1044.9000000000001</v>
      </c>
      <c r="O2952" s="549">
        <v>0</v>
      </c>
      <c r="P2952" s="549">
        <v>100</v>
      </c>
      <c r="Q2952" s="549">
        <v>4614.58</v>
      </c>
    </row>
    <row r="2953" spans="1:17" x14ac:dyDescent="0.25">
      <c r="A2953" s="549" t="s">
        <v>1083</v>
      </c>
      <c r="B2953" s="549" t="s">
        <v>584</v>
      </c>
      <c r="C2953" s="549" t="s">
        <v>758</v>
      </c>
      <c r="D2953" s="549" t="s">
        <v>759</v>
      </c>
      <c r="E2953" s="549" t="s">
        <v>977</v>
      </c>
      <c r="F2953" s="549" t="s">
        <v>1212</v>
      </c>
      <c r="G2953" s="549" t="s">
        <v>1245</v>
      </c>
      <c r="H2953" s="549" t="s">
        <v>758</v>
      </c>
      <c r="I2953" s="549" t="s">
        <v>976</v>
      </c>
      <c r="J2953" s="549" t="s">
        <v>976</v>
      </c>
      <c r="K2953" s="549" t="s">
        <v>976</v>
      </c>
      <c r="L2953" s="549">
        <v>48805.45</v>
      </c>
      <c r="M2953" s="549">
        <v>3684.81</v>
      </c>
      <c r="N2953" s="549">
        <v>1078.5999999999999</v>
      </c>
      <c r="O2953" s="549">
        <v>0</v>
      </c>
      <c r="P2953" s="549">
        <v>100</v>
      </c>
      <c r="Q2953" s="549">
        <v>4763.41</v>
      </c>
    </row>
    <row r="2954" spans="1:17" x14ac:dyDescent="0.25">
      <c r="A2954" s="549" t="s">
        <v>1083</v>
      </c>
      <c r="B2954" s="549" t="s">
        <v>584</v>
      </c>
      <c r="C2954" s="549" t="s">
        <v>758</v>
      </c>
      <c r="D2954" s="549" t="s">
        <v>759</v>
      </c>
      <c r="E2954" s="549" t="s">
        <v>977</v>
      </c>
      <c r="F2954" s="549" t="s">
        <v>1212</v>
      </c>
      <c r="G2954" s="549" t="s">
        <v>1297</v>
      </c>
      <c r="H2954" s="549" t="s">
        <v>758</v>
      </c>
      <c r="I2954" s="549" t="s">
        <v>976</v>
      </c>
      <c r="J2954" s="549" t="s">
        <v>976</v>
      </c>
      <c r="K2954" s="549" t="s">
        <v>976</v>
      </c>
      <c r="L2954" s="549">
        <v>48805.45</v>
      </c>
      <c r="M2954" s="549">
        <v>3684.81</v>
      </c>
      <c r="N2954" s="549">
        <v>1078.5999999999999</v>
      </c>
      <c r="O2954" s="549">
        <v>0</v>
      </c>
      <c r="P2954" s="549">
        <v>100</v>
      </c>
      <c r="Q2954" s="549">
        <v>4763.41</v>
      </c>
    </row>
    <row r="2955" spans="1:17" x14ac:dyDescent="0.25">
      <c r="A2955" s="549" t="s">
        <v>1083</v>
      </c>
      <c r="B2955" s="549" t="s">
        <v>584</v>
      </c>
      <c r="C2955" s="549" t="s">
        <v>758</v>
      </c>
      <c r="D2955" s="549" t="s">
        <v>759</v>
      </c>
      <c r="E2955" s="549" t="s">
        <v>977</v>
      </c>
      <c r="F2955" s="549" t="s">
        <v>1212</v>
      </c>
      <c r="G2955" s="549" t="s">
        <v>1215</v>
      </c>
      <c r="H2955" s="549" t="s">
        <v>758</v>
      </c>
      <c r="I2955" s="549" t="s">
        <v>976</v>
      </c>
      <c r="J2955" s="549" t="s">
        <v>976</v>
      </c>
      <c r="K2955" s="549" t="s">
        <v>976</v>
      </c>
      <c r="L2955" s="549">
        <v>47306.879999999997</v>
      </c>
      <c r="M2955" s="549">
        <v>3571.67</v>
      </c>
      <c r="N2955" s="549">
        <v>1045.48</v>
      </c>
      <c r="O2955" s="549">
        <v>0</v>
      </c>
      <c r="P2955" s="549">
        <v>100</v>
      </c>
      <c r="Q2955" s="549">
        <v>4617.1499999999996</v>
      </c>
    </row>
    <row r="2956" spans="1:17" x14ac:dyDescent="0.25">
      <c r="A2956" s="549" t="s">
        <v>1083</v>
      </c>
      <c r="B2956" s="549" t="s">
        <v>584</v>
      </c>
      <c r="C2956" s="549" t="s">
        <v>758</v>
      </c>
      <c r="D2956" s="549" t="s">
        <v>759</v>
      </c>
      <c r="E2956" s="549" t="s">
        <v>977</v>
      </c>
      <c r="F2956" s="549" t="s">
        <v>1212</v>
      </c>
      <c r="G2956" s="549" t="s">
        <v>1288</v>
      </c>
      <c r="H2956" s="549" t="s">
        <v>758</v>
      </c>
      <c r="I2956" s="549" t="s">
        <v>976</v>
      </c>
      <c r="J2956" s="549" t="s">
        <v>976</v>
      </c>
      <c r="K2956" s="549" t="s">
        <v>976</v>
      </c>
      <c r="L2956" s="549">
        <v>41233.089999999997</v>
      </c>
      <c r="M2956" s="549">
        <v>3113.1</v>
      </c>
      <c r="N2956" s="549">
        <v>911.25</v>
      </c>
      <c r="O2956" s="549">
        <v>0</v>
      </c>
      <c r="P2956" s="549">
        <v>100</v>
      </c>
      <c r="Q2956" s="549">
        <v>4024.35</v>
      </c>
    </row>
    <row r="2957" spans="1:17" x14ac:dyDescent="0.25">
      <c r="A2957" s="549" t="s">
        <v>1083</v>
      </c>
      <c r="B2957" s="549" t="s">
        <v>584</v>
      </c>
      <c r="C2957" s="549" t="s">
        <v>758</v>
      </c>
      <c r="D2957" s="549" t="s">
        <v>759</v>
      </c>
      <c r="E2957" s="549" t="s">
        <v>977</v>
      </c>
      <c r="F2957" s="549" t="s">
        <v>1212</v>
      </c>
      <c r="G2957" s="549">
        <v>62</v>
      </c>
      <c r="H2957" s="549" t="s">
        <v>742</v>
      </c>
      <c r="I2957" s="549" t="s">
        <v>976</v>
      </c>
      <c r="J2957" s="549" t="s">
        <v>976</v>
      </c>
      <c r="K2957" s="549" t="s">
        <v>976</v>
      </c>
      <c r="L2957" s="549">
        <v>504629.39</v>
      </c>
      <c r="M2957" s="549">
        <v>38099.519999999997</v>
      </c>
      <c r="N2957" s="549">
        <v>11152.31</v>
      </c>
      <c r="O2957" s="549">
        <v>3968</v>
      </c>
      <c r="P2957" s="549">
        <v>56.11</v>
      </c>
      <c r="Q2957" s="549">
        <v>29861.65</v>
      </c>
    </row>
    <row r="2958" spans="1:17" x14ac:dyDescent="0.25">
      <c r="A2958" s="549" t="s">
        <v>1083</v>
      </c>
      <c r="B2958" s="549" t="s">
        <v>584</v>
      </c>
      <c r="C2958" s="549" t="s">
        <v>758</v>
      </c>
      <c r="D2958" s="549" t="s">
        <v>759</v>
      </c>
      <c r="E2958" s="549" t="s">
        <v>977</v>
      </c>
      <c r="F2958" s="549" t="s">
        <v>1212</v>
      </c>
      <c r="G2958" s="549">
        <v>82</v>
      </c>
      <c r="H2958" s="549" t="s">
        <v>742</v>
      </c>
      <c r="I2958" s="549" t="s">
        <v>976</v>
      </c>
      <c r="J2958" s="549" t="s">
        <v>976</v>
      </c>
      <c r="K2958" s="549" t="s">
        <v>976</v>
      </c>
      <c r="L2958" s="549">
        <v>504629.39</v>
      </c>
      <c r="M2958" s="549">
        <v>38099.519999999997</v>
      </c>
      <c r="N2958" s="549">
        <v>11152.31</v>
      </c>
      <c r="O2958" s="549">
        <v>3968</v>
      </c>
      <c r="P2958" s="549">
        <v>33.21</v>
      </c>
      <c r="Q2958" s="549">
        <v>17674.310000000001</v>
      </c>
    </row>
    <row r="2959" spans="1:17" x14ac:dyDescent="0.25">
      <c r="A2959" s="549" t="s">
        <v>1083</v>
      </c>
      <c r="B2959" s="549" t="s">
        <v>584</v>
      </c>
      <c r="C2959" s="549" t="s">
        <v>758</v>
      </c>
      <c r="D2959" s="549" t="s">
        <v>759</v>
      </c>
      <c r="E2959" s="549" t="s">
        <v>977</v>
      </c>
      <c r="F2959" s="549" t="s">
        <v>1212</v>
      </c>
      <c r="G2959" s="549">
        <v>102</v>
      </c>
      <c r="H2959" s="549" t="s">
        <v>742</v>
      </c>
      <c r="I2959" s="549" t="s">
        <v>976</v>
      </c>
      <c r="J2959" s="549" t="s">
        <v>976</v>
      </c>
      <c r="K2959" s="549" t="s">
        <v>976</v>
      </c>
      <c r="L2959" s="549">
        <v>504629.39</v>
      </c>
      <c r="M2959" s="549">
        <v>38099.519999999997</v>
      </c>
      <c r="N2959" s="549">
        <v>11152.31</v>
      </c>
      <c r="O2959" s="549">
        <v>3968</v>
      </c>
      <c r="P2959" s="549">
        <v>56.11</v>
      </c>
      <c r="Q2959" s="549">
        <v>29861.65</v>
      </c>
    </row>
    <row r="2960" spans="1:17" x14ac:dyDescent="0.25">
      <c r="A2960" s="549" t="s">
        <v>1083</v>
      </c>
      <c r="B2960" s="549" t="s">
        <v>584</v>
      </c>
      <c r="C2960" s="549" t="s">
        <v>758</v>
      </c>
      <c r="D2960" s="549" t="s">
        <v>759</v>
      </c>
      <c r="E2960" s="549" t="s">
        <v>977</v>
      </c>
      <c r="F2960" s="549" t="s">
        <v>1212</v>
      </c>
      <c r="G2960" s="549">
        <v>122</v>
      </c>
      <c r="H2960" s="549" t="s">
        <v>742</v>
      </c>
      <c r="I2960" s="549" t="s">
        <v>976</v>
      </c>
      <c r="J2960" s="549" t="s">
        <v>976</v>
      </c>
      <c r="K2960" s="549" t="s">
        <v>976</v>
      </c>
      <c r="L2960" s="549">
        <v>504629.39</v>
      </c>
      <c r="M2960" s="549">
        <v>38099.519999999997</v>
      </c>
      <c r="N2960" s="549">
        <v>11152.31</v>
      </c>
      <c r="O2960" s="549">
        <v>3968</v>
      </c>
      <c r="P2960" s="549">
        <v>33.21</v>
      </c>
      <c r="Q2960" s="549">
        <v>17674.310000000001</v>
      </c>
    </row>
    <row r="2961" spans="1:17" x14ac:dyDescent="0.25">
      <c r="A2961" s="549" t="s">
        <v>1083</v>
      </c>
      <c r="B2961" s="549" t="s">
        <v>584</v>
      </c>
      <c r="C2961" s="549" t="s">
        <v>758</v>
      </c>
      <c r="D2961" s="549" t="s">
        <v>759</v>
      </c>
      <c r="E2961" s="549" t="s">
        <v>977</v>
      </c>
      <c r="F2961" s="549" t="s">
        <v>1212</v>
      </c>
      <c r="G2961" s="549" t="s">
        <v>1437</v>
      </c>
      <c r="H2961" s="549" t="s">
        <v>742</v>
      </c>
      <c r="I2961" s="549" t="s">
        <v>976</v>
      </c>
      <c r="J2961" s="549" t="s">
        <v>976</v>
      </c>
      <c r="K2961" s="549" t="s">
        <v>976</v>
      </c>
      <c r="L2961" s="549">
        <v>53530.52</v>
      </c>
      <c r="M2961" s="549">
        <v>4041.55</v>
      </c>
      <c r="N2961" s="549">
        <v>1183.02</v>
      </c>
      <c r="O2961" s="549">
        <v>1984</v>
      </c>
      <c r="P2961" s="549">
        <v>33.21</v>
      </c>
      <c r="Q2961" s="549">
        <v>2393.9699999999998</v>
      </c>
    </row>
    <row r="2962" spans="1:17" x14ac:dyDescent="0.25">
      <c r="A2962" s="549" t="s">
        <v>1083</v>
      </c>
      <c r="B2962" s="549" t="s">
        <v>584</v>
      </c>
      <c r="C2962" s="549" t="s">
        <v>758</v>
      </c>
      <c r="D2962" s="549" t="s">
        <v>759</v>
      </c>
      <c r="E2962" s="549" t="s">
        <v>977</v>
      </c>
      <c r="F2962" s="549" t="s">
        <v>1212</v>
      </c>
      <c r="G2962" s="549" t="s">
        <v>1438</v>
      </c>
      <c r="H2962" s="549" t="s">
        <v>742</v>
      </c>
      <c r="I2962" s="549" t="s">
        <v>976</v>
      </c>
      <c r="J2962" s="549" t="s">
        <v>976</v>
      </c>
      <c r="K2962" s="549" t="s">
        <v>976</v>
      </c>
      <c r="L2962" s="549">
        <v>106166.61</v>
      </c>
      <c r="M2962" s="549">
        <v>8015.58</v>
      </c>
      <c r="N2962" s="549">
        <v>2346.2800000000002</v>
      </c>
      <c r="O2962" s="549">
        <v>1984</v>
      </c>
      <c r="P2962" s="549">
        <v>33.21</v>
      </c>
      <c r="Q2962" s="549">
        <v>4100.0600000000004</v>
      </c>
    </row>
    <row r="2963" spans="1:17" x14ac:dyDescent="0.25">
      <c r="A2963" s="549" t="s">
        <v>1083</v>
      </c>
      <c r="B2963" s="549" t="s">
        <v>584</v>
      </c>
      <c r="C2963" s="549" t="s">
        <v>758</v>
      </c>
      <c r="D2963" s="549" t="s">
        <v>759</v>
      </c>
      <c r="E2963" s="549" t="s">
        <v>977</v>
      </c>
      <c r="F2963" s="549" t="s">
        <v>1212</v>
      </c>
      <c r="G2963" s="549">
        <v>502</v>
      </c>
      <c r="H2963" s="549" t="s">
        <v>760</v>
      </c>
      <c r="I2963" s="549" t="s">
        <v>976</v>
      </c>
      <c r="J2963" s="549" t="s">
        <v>976</v>
      </c>
      <c r="K2963" s="549" t="s">
        <v>976</v>
      </c>
      <c r="L2963" s="549">
        <v>504629.39</v>
      </c>
      <c r="M2963" s="549">
        <v>38099.519999999997</v>
      </c>
      <c r="N2963" s="549">
        <v>11152.31</v>
      </c>
      <c r="O2963" s="549">
        <v>3968</v>
      </c>
      <c r="P2963" s="549">
        <v>100</v>
      </c>
      <c r="Q2963" s="549">
        <v>53219.83</v>
      </c>
    </row>
    <row r="2964" spans="1:17" x14ac:dyDescent="0.25">
      <c r="A2964" s="549" t="s">
        <v>1083</v>
      </c>
      <c r="B2964" s="549" t="s">
        <v>584</v>
      </c>
      <c r="C2964" s="549" t="s">
        <v>758</v>
      </c>
      <c r="D2964" s="549" t="s">
        <v>759</v>
      </c>
      <c r="E2964" s="549" t="s">
        <v>977</v>
      </c>
      <c r="F2964" s="549" t="s">
        <v>1212</v>
      </c>
      <c r="G2964" s="549">
        <v>512</v>
      </c>
      <c r="H2964" s="549" t="s">
        <v>760</v>
      </c>
      <c r="I2964" s="549" t="s">
        <v>976</v>
      </c>
      <c r="J2964" s="549" t="s">
        <v>976</v>
      </c>
      <c r="K2964" s="549" t="s">
        <v>976</v>
      </c>
      <c r="L2964" s="549">
        <v>504629.39</v>
      </c>
      <c r="M2964" s="549">
        <v>38099.519999999997</v>
      </c>
      <c r="N2964" s="549">
        <v>11152.31</v>
      </c>
      <c r="O2964" s="549">
        <v>3968</v>
      </c>
      <c r="P2964" s="549">
        <v>56.11</v>
      </c>
      <c r="Q2964" s="549">
        <v>29861.65</v>
      </c>
    </row>
    <row r="2965" spans="1:17" x14ac:dyDescent="0.25">
      <c r="A2965" s="549" t="s">
        <v>1083</v>
      </c>
      <c r="B2965" s="549" t="s">
        <v>584</v>
      </c>
      <c r="C2965" s="549" t="s">
        <v>758</v>
      </c>
      <c r="D2965" s="549" t="s">
        <v>759</v>
      </c>
      <c r="E2965" s="549" t="s">
        <v>977</v>
      </c>
      <c r="F2965" s="549" t="s">
        <v>1212</v>
      </c>
      <c r="G2965" s="549">
        <v>552</v>
      </c>
      <c r="H2965" s="549" t="s">
        <v>760</v>
      </c>
      <c r="I2965" s="549" t="s">
        <v>976</v>
      </c>
      <c r="J2965" s="549" t="s">
        <v>976</v>
      </c>
      <c r="K2965" s="549" t="s">
        <v>976</v>
      </c>
      <c r="L2965" s="549">
        <v>504629.39</v>
      </c>
      <c r="M2965" s="549">
        <v>38099.519999999997</v>
      </c>
      <c r="N2965" s="549">
        <v>11152.31</v>
      </c>
      <c r="O2965" s="549">
        <v>3968</v>
      </c>
      <c r="P2965" s="549">
        <v>56.11</v>
      </c>
      <c r="Q2965" s="549">
        <v>29861.65</v>
      </c>
    </row>
    <row r="2966" spans="1:17" x14ac:dyDescent="0.25">
      <c r="A2966" s="549" t="s">
        <v>1083</v>
      </c>
      <c r="B2966" s="549" t="s">
        <v>584</v>
      </c>
      <c r="C2966" s="549" t="s">
        <v>758</v>
      </c>
      <c r="D2966" s="549" t="s">
        <v>759</v>
      </c>
      <c r="E2966" s="549" t="s">
        <v>977</v>
      </c>
      <c r="F2966" s="549" t="s">
        <v>1212</v>
      </c>
      <c r="G2966" s="549">
        <v>562</v>
      </c>
      <c r="H2966" s="549" t="s">
        <v>760</v>
      </c>
      <c r="I2966" s="549" t="s">
        <v>976</v>
      </c>
      <c r="J2966" s="549" t="s">
        <v>976</v>
      </c>
      <c r="K2966" s="549" t="s">
        <v>976</v>
      </c>
      <c r="L2966" s="549">
        <v>504629.39</v>
      </c>
      <c r="M2966" s="549">
        <v>38099.519999999997</v>
      </c>
      <c r="N2966" s="549">
        <v>11152.31</v>
      </c>
      <c r="O2966" s="549">
        <v>3968</v>
      </c>
      <c r="P2966" s="549">
        <v>100</v>
      </c>
      <c r="Q2966" s="549">
        <v>53219.83</v>
      </c>
    </row>
    <row r="2967" spans="1:17" x14ac:dyDescent="0.25">
      <c r="A2967" s="549" t="s">
        <v>1083</v>
      </c>
      <c r="B2967" s="549" t="s">
        <v>584</v>
      </c>
      <c r="C2967" s="549" t="s">
        <v>758</v>
      </c>
      <c r="D2967" s="549" t="s">
        <v>759</v>
      </c>
      <c r="E2967" s="549" t="s">
        <v>977</v>
      </c>
      <c r="F2967" s="549" t="s">
        <v>1212</v>
      </c>
      <c r="G2967" s="549" t="s">
        <v>1439</v>
      </c>
      <c r="H2967" s="549" t="s">
        <v>760</v>
      </c>
      <c r="I2967" s="549" t="s">
        <v>976</v>
      </c>
      <c r="J2967" s="549" t="s">
        <v>976</v>
      </c>
      <c r="K2967" s="549" t="s">
        <v>976</v>
      </c>
      <c r="L2967" s="549">
        <v>107061.02</v>
      </c>
      <c r="M2967" s="549">
        <v>8083.11</v>
      </c>
      <c r="N2967" s="549">
        <v>2366.0500000000002</v>
      </c>
      <c r="O2967" s="549">
        <v>1984</v>
      </c>
      <c r="P2967" s="549">
        <v>56.11</v>
      </c>
      <c r="Q2967" s="549">
        <v>6976.25</v>
      </c>
    </row>
    <row r="2968" spans="1:17" x14ac:dyDescent="0.25">
      <c r="A2968" s="549" t="s">
        <v>1083</v>
      </c>
      <c r="B2968" s="549" t="s">
        <v>584</v>
      </c>
      <c r="C2968" s="549" t="s">
        <v>747</v>
      </c>
      <c r="D2968" s="549" t="s">
        <v>748</v>
      </c>
      <c r="E2968" s="549" t="s">
        <v>973</v>
      </c>
      <c r="F2968" s="549" t="s">
        <v>1212</v>
      </c>
      <c r="G2968" s="549">
        <v>222</v>
      </c>
      <c r="H2968" s="549" t="s">
        <v>747</v>
      </c>
      <c r="I2968" s="549" t="s">
        <v>976</v>
      </c>
      <c r="J2968" s="549" t="s">
        <v>976</v>
      </c>
      <c r="K2968" s="549" t="s">
        <v>976</v>
      </c>
      <c r="L2968" s="549">
        <v>208155.93</v>
      </c>
      <c r="M2968" s="549">
        <v>15715.77</v>
      </c>
      <c r="N2968" s="549">
        <v>11948.15</v>
      </c>
      <c r="O2968" s="549">
        <v>3968</v>
      </c>
      <c r="P2968" s="549">
        <v>22.98</v>
      </c>
      <c r="Q2968" s="549">
        <v>7269.02</v>
      </c>
    </row>
    <row r="2969" spans="1:17" x14ac:dyDescent="0.25">
      <c r="A2969" s="549" t="s">
        <v>1083</v>
      </c>
      <c r="B2969" s="549" t="s">
        <v>584</v>
      </c>
      <c r="C2969" s="549" t="s">
        <v>747</v>
      </c>
      <c r="D2969" s="549" t="s">
        <v>748</v>
      </c>
      <c r="E2969" s="549" t="s">
        <v>973</v>
      </c>
      <c r="F2969" s="549" t="s">
        <v>1212</v>
      </c>
      <c r="G2969" s="549">
        <v>242</v>
      </c>
      <c r="H2969" s="549" t="s">
        <v>747</v>
      </c>
      <c r="I2969" s="549" t="s">
        <v>976</v>
      </c>
      <c r="J2969" s="549" t="s">
        <v>976</v>
      </c>
      <c r="K2969" s="549" t="s">
        <v>976</v>
      </c>
      <c r="L2969" s="549">
        <v>892972.4</v>
      </c>
      <c r="M2969" s="549">
        <v>67419.42</v>
      </c>
      <c r="N2969" s="549">
        <v>51256.62</v>
      </c>
      <c r="O2969" s="549">
        <v>3968</v>
      </c>
      <c r="P2969" s="549">
        <v>22.98</v>
      </c>
      <c r="Q2969" s="549">
        <v>28183.599999999999</v>
      </c>
    </row>
    <row r="2970" spans="1:17" x14ac:dyDescent="0.25">
      <c r="A2970" s="549" t="s">
        <v>1083</v>
      </c>
      <c r="B2970" s="549" t="s">
        <v>584</v>
      </c>
      <c r="C2970" s="549" t="s">
        <v>747</v>
      </c>
      <c r="D2970" s="549" t="s">
        <v>748</v>
      </c>
      <c r="E2970" s="549" t="s">
        <v>973</v>
      </c>
      <c r="F2970" s="549" t="s">
        <v>1212</v>
      </c>
      <c r="G2970" s="549">
        <v>1162</v>
      </c>
      <c r="H2970" s="549" t="s">
        <v>747</v>
      </c>
      <c r="I2970" s="549" t="s">
        <v>976</v>
      </c>
      <c r="J2970" s="549" t="s">
        <v>976</v>
      </c>
      <c r="K2970" s="549" t="s">
        <v>976</v>
      </c>
      <c r="L2970" s="549">
        <v>84021.97</v>
      </c>
      <c r="M2970" s="549">
        <v>6343.66</v>
      </c>
      <c r="N2970" s="549">
        <v>4822.8599999999997</v>
      </c>
      <c r="O2970" s="549">
        <v>992</v>
      </c>
      <c r="P2970" s="549">
        <v>22.98</v>
      </c>
      <c r="Q2970" s="549">
        <v>2794.03</v>
      </c>
    </row>
    <row r="2971" spans="1:17" x14ac:dyDescent="0.25">
      <c r="A2971" s="549" t="s">
        <v>1083</v>
      </c>
      <c r="B2971" s="549" t="s">
        <v>584</v>
      </c>
      <c r="C2971" s="549" t="s">
        <v>747</v>
      </c>
      <c r="D2971" s="549" t="s">
        <v>748</v>
      </c>
      <c r="E2971" s="549" t="s">
        <v>973</v>
      </c>
      <c r="F2971" s="549" t="s">
        <v>1212</v>
      </c>
      <c r="G2971" s="549">
        <v>1172</v>
      </c>
      <c r="H2971" s="549" t="s">
        <v>747</v>
      </c>
      <c r="I2971" s="549" t="s">
        <v>976</v>
      </c>
      <c r="J2971" s="549" t="s">
        <v>976</v>
      </c>
      <c r="K2971" s="549" t="s">
        <v>976</v>
      </c>
      <c r="L2971" s="549">
        <v>239044.95</v>
      </c>
      <c r="M2971" s="549">
        <v>18047.89</v>
      </c>
      <c r="N2971" s="549">
        <v>13721.18</v>
      </c>
      <c r="O2971" s="549">
        <v>1984</v>
      </c>
      <c r="P2971" s="549">
        <v>22.98</v>
      </c>
      <c r="Q2971" s="549">
        <v>7756.46</v>
      </c>
    </row>
    <row r="2972" spans="1:17" x14ac:dyDescent="0.25">
      <c r="A2972" s="549" t="s">
        <v>1083</v>
      </c>
      <c r="B2972" s="549" t="s">
        <v>584</v>
      </c>
      <c r="C2972" s="549" t="s">
        <v>747</v>
      </c>
      <c r="D2972" s="549" t="s">
        <v>748</v>
      </c>
      <c r="E2972" s="549" t="s">
        <v>973</v>
      </c>
      <c r="F2972" s="549" t="s">
        <v>1212</v>
      </c>
      <c r="G2972" s="549">
        <v>1177</v>
      </c>
      <c r="H2972" s="549" t="s">
        <v>747</v>
      </c>
      <c r="I2972" s="549" t="s">
        <v>976</v>
      </c>
      <c r="J2972" s="549" t="s">
        <v>976</v>
      </c>
      <c r="K2972" s="549" t="s">
        <v>976</v>
      </c>
      <c r="L2972" s="549">
        <v>0.02</v>
      </c>
      <c r="M2972" s="549">
        <v>0</v>
      </c>
      <c r="N2972" s="549">
        <v>0</v>
      </c>
      <c r="O2972" s="549">
        <v>992</v>
      </c>
      <c r="P2972" s="549">
        <v>22.98</v>
      </c>
      <c r="Q2972" s="549">
        <v>227.96</v>
      </c>
    </row>
    <row r="2973" spans="1:17" x14ac:dyDescent="0.25">
      <c r="A2973" s="549" t="s">
        <v>1083</v>
      </c>
      <c r="B2973" s="549" t="s">
        <v>584</v>
      </c>
      <c r="C2973" s="549" t="s">
        <v>747</v>
      </c>
      <c r="D2973" s="549" t="s">
        <v>748</v>
      </c>
      <c r="E2973" s="549" t="s">
        <v>973</v>
      </c>
      <c r="F2973" s="549" t="s">
        <v>1212</v>
      </c>
      <c r="G2973" s="549">
        <v>1182</v>
      </c>
      <c r="H2973" s="549" t="s">
        <v>747</v>
      </c>
      <c r="I2973" s="549" t="s">
        <v>976</v>
      </c>
      <c r="J2973" s="549" t="s">
        <v>976</v>
      </c>
      <c r="K2973" s="549" t="s">
        <v>976</v>
      </c>
      <c r="L2973" s="549">
        <v>84021.97</v>
      </c>
      <c r="M2973" s="549">
        <v>6343.66</v>
      </c>
      <c r="N2973" s="549">
        <v>4822.8599999999997</v>
      </c>
      <c r="O2973" s="549">
        <v>992</v>
      </c>
      <c r="P2973" s="549">
        <v>22.98</v>
      </c>
      <c r="Q2973" s="549">
        <v>2794.03</v>
      </c>
    </row>
    <row r="2974" spans="1:17" x14ac:dyDescent="0.25">
      <c r="A2974" s="549" t="s">
        <v>1083</v>
      </c>
      <c r="B2974" s="549" t="s">
        <v>584</v>
      </c>
      <c r="C2974" s="549" t="s">
        <v>747</v>
      </c>
      <c r="D2974" s="549" t="s">
        <v>748</v>
      </c>
      <c r="E2974" s="549" t="s">
        <v>973</v>
      </c>
      <c r="F2974" s="549" t="s">
        <v>1212</v>
      </c>
      <c r="G2974" s="549">
        <v>1202</v>
      </c>
      <c r="H2974" s="549" t="s">
        <v>747</v>
      </c>
      <c r="I2974" s="549" t="s">
        <v>976</v>
      </c>
      <c r="J2974" s="549" t="s">
        <v>976</v>
      </c>
      <c r="K2974" s="549" t="s">
        <v>976</v>
      </c>
      <c r="L2974" s="549">
        <v>84021.97</v>
      </c>
      <c r="M2974" s="549">
        <v>6343.66</v>
      </c>
      <c r="N2974" s="549">
        <v>4822.8599999999997</v>
      </c>
      <c r="O2974" s="549">
        <v>992</v>
      </c>
      <c r="P2974" s="549">
        <v>22.98</v>
      </c>
      <c r="Q2974" s="549">
        <v>2794.03</v>
      </c>
    </row>
    <row r="2975" spans="1:17" x14ac:dyDescent="0.25">
      <c r="A2975" s="549" t="s">
        <v>1083</v>
      </c>
      <c r="B2975" s="549" t="s">
        <v>584</v>
      </c>
      <c r="C2975" s="549" t="s">
        <v>747</v>
      </c>
      <c r="D2975" s="549" t="s">
        <v>748</v>
      </c>
      <c r="E2975" s="549" t="s">
        <v>973</v>
      </c>
      <c r="F2975" s="549" t="s">
        <v>1212</v>
      </c>
      <c r="G2975" s="549">
        <v>1222</v>
      </c>
      <c r="H2975" s="549" t="s">
        <v>747</v>
      </c>
      <c r="I2975" s="549" t="s">
        <v>976</v>
      </c>
      <c r="J2975" s="549" t="s">
        <v>976</v>
      </c>
      <c r="K2975" s="549" t="s">
        <v>976</v>
      </c>
      <c r="L2975" s="549">
        <v>84021.97</v>
      </c>
      <c r="M2975" s="549">
        <v>6343.66</v>
      </c>
      <c r="N2975" s="549">
        <v>4822.8599999999997</v>
      </c>
      <c r="O2975" s="549">
        <v>992</v>
      </c>
      <c r="P2975" s="549">
        <v>22.98</v>
      </c>
      <c r="Q2975" s="549">
        <v>2794.03</v>
      </c>
    </row>
    <row r="2976" spans="1:17" x14ac:dyDescent="0.25">
      <c r="A2976" s="549" t="s">
        <v>1083</v>
      </c>
      <c r="B2976" s="549" t="s">
        <v>584</v>
      </c>
      <c r="C2976" s="549" t="s">
        <v>747</v>
      </c>
      <c r="D2976" s="549" t="s">
        <v>748</v>
      </c>
      <c r="E2976" s="549" t="s">
        <v>973</v>
      </c>
      <c r="F2976" s="549" t="s">
        <v>1212</v>
      </c>
      <c r="G2976" s="549">
        <v>1232</v>
      </c>
      <c r="H2976" s="549" t="s">
        <v>747</v>
      </c>
      <c r="I2976" s="549" t="s">
        <v>976</v>
      </c>
      <c r="J2976" s="549" t="s">
        <v>976</v>
      </c>
      <c r="K2976" s="549" t="s">
        <v>976</v>
      </c>
      <c r="L2976" s="549">
        <v>239044.95</v>
      </c>
      <c r="M2976" s="549">
        <v>18047.89</v>
      </c>
      <c r="N2976" s="549">
        <v>13721.18</v>
      </c>
      <c r="O2976" s="549">
        <v>1984</v>
      </c>
      <c r="P2976" s="549">
        <v>22.98</v>
      </c>
      <c r="Q2976" s="549">
        <v>7756.46</v>
      </c>
    </row>
    <row r="2977" spans="1:17" x14ac:dyDescent="0.25">
      <c r="A2977" s="549" t="s">
        <v>1083</v>
      </c>
      <c r="B2977" s="549" t="s">
        <v>584</v>
      </c>
      <c r="C2977" s="549" t="s">
        <v>747</v>
      </c>
      <c r="D2977" s="549" t="s">
        <v>748</v>
      </c>
      <c r="E2977" s="549" t="s">
        <v>973</v>
      </c>
      <c r="F2977" s="549" t="s">
        <v>1212</v>
      </c>
      <c r="G2977" s="549">
        <v>1237</v>
      </c>
      <c r="H2977" s="549" t="s">
        <v>747</v>
      </c>
      <c r="I2977" s="549" t="s">
        <v>976</v>
      </c>
      <c r="J2977" s="549" t="s">
        <v>976</v>
      </c>
      <c r="K2977" s="549" t="s">
        <v>976</v>
      </c>
      <c r="L2977" s="549">
        <v>0.02</v>
      </c>
      <c r="M2977" s="549">
        <v>0</v>
      </c>
      <c r="N2977" s="549">
        <v>0</v>
      </c>
      <c r="O2977" s="549">
        <v>992</v>
      </c>
      <c r="P2977" s="549">
        <v>22.98</v>
      </c>
      <c r="Q2977" s="549">
        <v>227.96</v>
      </c>
    </row>
    <row r="2978" spans="1:17" x14ac:dyDescent="0.25">
      <c r="A2978" s="549" t="s">
        <v>1083</v>
      </c>
      <c r="B2978" s="549" t="s">
        <v>584</v>
      </c>
      <c r="C2978" s="549" t="s">
        <v>747</v>
      </c>
      <c r="D2978" s="549" t="s">
        <v>748</v>
      </c>
      <c r="E2978" s="549" t="s">
        <v>973</v>
      </c>
      <c r="F2978" s="549" t="s">
        <v>1212</v>
      </c>
      <c r="G2978" s="549" t="s">
        <v>1440</v>
      </c>
      <c r="H2978" s="549" t="s">
        <v>747</v>
      </c>
      <c r="I2978" s="549" t="s">
        <v>976</v>
      </c>
      <c r="J2978" s="549" t="s">
        <v>976</v>
      </c>
      <c r="K2978" s="549" t="s">
        <v>976</v>
      </c>
      <c r="L2978" s="549">
        <v>0.02</v>
      </c>
      <c r="M2978" s="549">
        <v>0</v>
      </c>
      <c r="N2978" s="549">
        <v>0</v>
      </c>
      <c r="O2978" s="549">
        <v>1984</v>
      </c>
      <c r="P2978" s="549">
        <v>22.98</v>
      </c>
      <c r="Q2978" s="549">
        <v>455.92</v>
      </c>
    </row>
    <row r="2979" spans="1:17" x14ac:dyDescent="0.25">
      <c r="A2979" s="549" t="s">
        <v>1083</v>
      </c>
      <c r="B2979" s="549" t="s">
        <v>584</v>
      </c>
      <c r="C2979" s="549" t="s">
        <v>747</v>
      </c>
      <c r="D2979" s="549" t="s">
        <v>748</v>
      </c>
      <c r="E2979" s="549" t="s">
        <v>973</v>
      </c>
      <c r="F2979" s="549" t="s">
        <v>1212</v>
      </c>
      <c r="G2979" s="549" t="s">
        <v>1441</v>
      </c>
      <c r="H2979" s="549" t="s">
        <v>747</v>
      </c>
      <c r="I2979" s="549" t="s">
        <v>976</v>
      </c>
      <c r="J2979" s="549" t="s">
        <v>976</v>
      </c>
      <c r="K2979" s="549" t="s">
        <v>976</v>
      </c>
      <c r="L2979" s="549">
        <v>32316.799999999999</v>
      </c>
      <c r="M2979" s="549">
        <v>2439.92</v>
      </c>
      <c r="N2979" s="549">
        <v>1854.98</v>
      </c>
      <c r="O2979" s="549">
        <v>0</v>
      </c>
      <c r="P2979" s="549">
        <v>22.98</v>
      </c>
      <c r="Q2979" s="549">
        <v>986.97</v>
      </c>
    </row>
    <row r="2980" spans="1:17" x14ac:dyDescent="0.25">
      <c r="A2980" s="549" t="s">
        <v>1083</v>
      </c>
      <c r="B2980" s="549" t="s">
        <v>584</v>
      </c>
      <c r="C2980" s="549" t="s">
        <v>747</v>
      </c>
      <c r="D2980" s="549" t="s">
        <v>748</v>
      </c>
      <c r="E2980" s="549" t="s">
        <v>973</v>
      </c>
      <c r="F2980" s="549" t="s">
        <v>1212</v>
      </c>
      <c r="G2980" s="549" t="s">
        <v>1221</v>
      </c>
      <c r="H2980" s="549" t="s">
        <v>747</v>
      </c>
      <c r="I2980" s="549" t="s">
        <v>976</v>
      </c>
      <c r="J2980" s="549" t="s">
        <v>976</v>
      </c>
      <c r="K2980" s="549" t="s">
        <v>976</v>
      </c>
      <c r="L2980" s="549">
        <v>32316.799999999999</v>
      </c>
      <c r="M2980" s="549">
        <v>2439.92</v>
      </c>
      <c r="N2980" s="549">
        <v>1854.98</v>
      </c>
      <c r="O2980" s="549">
        <v>0</v>
      </c>
      <c r="P2980" s="549">
        <v>22.98</v>
      </c>
      <c r="Q2980" s="549">
        <v>986.97</v>
      </c>
    </row>
    <row r="2981" spans="1:17" x14ac:dyDescent="0.25">
      <c r="A2981" s="549" t="s">
        <v>1083</v>
      </c>
      <c r="B2981" s="549" t="s">
        <v>584</v>
      </c>
      <c r="C2981" s="549" t="s">
        <v>747</v>
      </c>
      <c r="D2981" s="549" t="s">
        <v>748</v>
      </c>
      <c r="E2981" s="549" t="s">
        <v>977</v>
      </c>
      <c r="F2981" s="549" t="s">
        <v>1212</v>
      </c>
      <c r="G2981" s="549">
        <v>222</v>
      </c>
      <c r="H2981" s="549" t="s">
        <v>747</v>
      </c>
      <c r="I2981" s="549" t="s">
        <v>976</v>
      </c>
      <c r="J2981" s="549" t="s">
        <v>976</v>
      </c>
      <c r="K2981" s="549" t="s">
        <v>976</v>
      </c>
      <c r="L2981" s="549">
        <v>208155.93</v>
      </c>
      <c r="M2981" s="549">
        <v>15715.77</v>
      </c>
      <c r="N2981" s="549">
        <v>4600.25</v>
      </c>
      <c r="O2981" s="549">
        <v>3968</v>
      </c>
      <c r="P2981" s="549">
        <v>77.02</v>
      </c>
      <c r="Q2981" s="549">
        <v>18703.55</v>
      </c>
    </row>
    <row r="2982" spans="1:17" x14ac:dyDescent="0.25">
      <c r="A2982" s="549" t="s">
        <v>1083</v>
      </c>
      <c r="B2982" s="549" t="s">
        <v>584</v>
      </c>
      <c r="C2982" s="549" t="s">
        <v>747</v>
      </c>
      <c r="D2982" s="549" t="s">
        <v>748</v>
      </c>
      <c r="E2982" s="549" t="s">
        <v>977</v>
      </c>
      <c r="F2982" s="549" t="s">
        <v>1212</v>
      </c>
      <c r="G2982" s="549">
        <v>242</v>
      </c>
      <c r="H2982" s="549" t="s">
        <v>747</v>
      </c>
      <c r="I2982" s="549" t="s">
        <v>976</v>
      </c>
      <c r="J2982" s="549" t="s">
        <v>976</v>
      </c>
      <c r="K2982" s="549" t="s">
        <v>976</v>
      </c>
      <c r="L2982" s="549">
        <v>892972.4</v>
      </c>
      <c r="M2982" s="549">
        <v>67419.42</v>
      </c>
      <c r="N2982" s="549">
        <v>19734.689999999999</v>
      </c>
      <c r="O2982" s="549">
        <v>3968</v>
      </c>
      <c r="P2982" s="549">
        <v>77.02</v>
      </c>
      <c r="Q2982" s="549">
        <v>70182.25</v>
      </c>
    </row>
    <row r="2983" spans="1:17" x14ac:dyDescent="0.25">
      <c r="A2983" s="549" t="s">
        <v>1083</v>
      </c>
      <c r="B2983" s="549" t="s">
        <v>584</v>
      </c>
      <c r="C2983" s="549" t="s">
        <v>747</v>
      </c>
      <c r="D2983" s="549" t="s">
        <v>748</v>
      </c>
      <c r="E2983" s="549" t="s">
        <v>977</v>
      </c>
      <c r="F2983" s="549" t="s">
        <v>1212</v>
      </c>
      <c r="G2983" s="549">
        <v>1162</v>
      </c>
      <c r="H2983" s="549" t="s">
        <v>747</v>
      </c>
      <c r="I2983" s="549" t="s">
        <v>976</v>
      </c>
      <c r="J2983" s="549" t="s">
        <v>976</v>
      </c>
      <c r="K2983" s="549" t="s">
        <v>976</v>
      </c>
      <c r="L2983" s="549">
        <v>84021.97</v>
      </c>
      <c r="M2983" s="549">
        <v>6343.66</v>
      </c>
      <c r="N2983" s="549">
        <v>1856.89</v>
      </c>
      <c r="O2983" s="549">
        <v>992</v>
      </c>
      <c r="P2983" s="549">
        <v>77.02</v>
      </c>
      <c r="Q2983" s="549">
        <v>7080.1</v>
      </c>
    </row>
    <row r="2984" spans="1:17" x14ac:dyDescent="0.25">
      <c r="A2984" s="549" t="s">
        <v>1083</v>
      </c>
      <c r="B2984" s="549" t="s">
        <v>584</v>
      </c>
      <c r="C2984" s="549" t="s">
        <v>747</v>
      </c>
      <c r="D2984" s="549" t="s">
        <v>748</v>
      </c>
      <c r="E2984" s="549" t="s">
        <v>977</v>
      </c>
      <c r="F2984" s="549" t="s">
        <v>1212</v>
      </c>
      <c r="G2984" s="549">
        <v>1172</v>
      </c>
      <c r="H2984" s="549" t="s">
        <v>747</v>
      </c>
      <c r="I2984" s="549" t="s">
        <v>976</v>
      </c>
      <c r="J2984" s="549" t="s">
        <v>976</v>
      </c>
      <c r="K2984" s="549" t="s">
        <v>976</v>
      </c>
      <c r="L2984" s="549">
        <v>239044.95</v>
      </c>
      <c r="M2984" s="549">
        <v>18047.89</v>
      </c>
      <c r="N2984" s="549">
        <v>5282.89</v>
      </c>
      <c r="O2984" s="549">
        <v>1984</v>
      </c>
      <c r="P2984" s="549">
        <v>77.02</v>
      </c>
      <c r="Q2984" s="549">
        <v>19497.439999999999</v>
      </c>
    </row>
    <row r="2985" spans="1:17" x14ac:dyDescent="0.25">
      <c r="A2985" s="549" t="s">
        <v>1083</v>
      </c>
      <c r="B2985" s="549" t="s">
        <v>584</v>
      </c>
      <c r="C2985" s="549" t="s">
        <v>747</v>
      </c>
      <c r="D2985" s="549" t="s">
        <v>748</v>
      </c>
      <c r="E2985" s="549" t="s">
        <v>977</v>
      </c>
      <c r="F2985" s="549" t="s">
        <v>1212</v>
      </c>
      <c r="G2985" s="549">
        <v>1177</v>
      </c>
      <c r="H2985" s="549" t="s">
        <v>747</v>
      </c>
      <c r="I2985" s="549" t="s">
        <v>976</v>
      </c>
      <c r="J2985" s="549" t="s">
        <v>976</v>
      </c>
      <c r="K2985" s="549" t="s">
        <v>976</v>
      </c>
      <c r="L2985" s="549">
        <v>0.02</v>
      </c>
      <c r="M2985" s="549">
        <v>0</v>
      </c>
      <c r="N2985" s="549">
        <v>0</v>
      </c>
      <c r="O2985" s="549">
        <v>992</v>
      </c>
      <c r="P2985" s="549">
        <v>77.02</v>
      </c>
      <c r="Q2985" s="549">
        <v>764.04</v>
      </c>
    </row>
    <row r="2986" spans="1:17" x14ac:dyDescent="0.25">
      <c r="A2986" s="549" t="s">
        <v>1083</v>
      </c>
      <c r="B2986" s="549" t="s">
        <v>584</v>
      </c>
      <c r="C2986" s="549" t="s">
        <v>747</v>
      </c>
      <c r="D2986" s="549" t="s">
        <v>748</v>
      </c>
      <c r="E2986" s="549" t="s">
        <v>977</v>
      </c>
      <c r="F2986" s="549" t="s">
        <v>1212</v>
      </c>
      <c r="G2986" s="549">
        <v>1182</v>
      </c>
      <c r="H2986" s="549" t="s">
        <v>747</v>
      </c>
      <c r="I2986" s="549" t="s">
        <v>976</v>
      </c>
      <c r="J2986" s="549" t="s">
        <v>976</v>
      </c>
      <c r="K2986" s="549" t="s">
        <v>976</v>
      </c>
      <c r="L2986" s="549">
        <v>84021.97</v>
      </c>
      <c r="M2986" s="549">
        <v>6343.66</v>
      </c>
      <c r="N2986" s="549">
        <v>1856.89</v>
      </c>
      <c r="O2986" s="549">
        <v>992</v>
      </c>
      <c r="P2986" s="549">
        <v>77.02</v>
      </c>
      <c r="Q2986" s="549">
        <v>7080.1</v>
      </c>
    </row>
    <row r="2987" spans="1:17" x14ac:dyDescent="0.25">
      <c r="A2987" s="549" t="s">
        <v>1083</v>
      </c>
      <c r="B2987" s="549" t="s">
        <v>584</v>
      </c>
      <c r="C2987" s="549" t="s">
        <v>747</v>
      </c>
      <c r="D2987" s="549" t="s">
        <v>748</v>
      </c>
      <c r="E2987" s="549" t="s">
        <v>977</v>
      </c>
      <c r="F2987" s="549" t="s">
        <v>1212</v>
      </c>
      <c r="G2987" s="549">
        <v>1202</v>
      </c>
      <c r="H2987" s="549" t="s">
        <v>747</v>
      </c>
      <c r="I2987" s="549" t="s">
        <v>976</v>
      </c>
      <c r="J2987" s="549" t="s">
        <v>976</v>
      </c>
      <c r="K2987" s="549" t="s">
        <v>976</v>
      </c>
      <c r="L2987" s="549">
        <v>84021.97</v>
      </c>
      <c r="M2987" s="549">
        <v>6343.66</v>
      </c>
      <c r="N2987" s="549">
        <v>1856.89</v>
      </c>
      <c r="O2987" s="549">
        <v>992</v>
      </c>
      <c r="P2987" s="549">
        <v>77.02</v>
      </c>
      <c r="Q2987" s="549">
        <v>7080.1</v>
      </c>
    </row>
    <row r="2988" spans="1:17" x14ac:dyDescent="0.25">
      <c r="A2988" s="549" t="s">
        <v>1083</v>
      </c>
      <c r="B2988" s="549" t="s">
        <v>584</v>
      </c>
      <c r="C2988" s="549" t="s">
        <v>747</v>
      </c>
      <c r="D2988" s="549" t="s">
        <v>748</v>
      </c>
      <c r="E2988" s="549" t="s">
        <v>977</v>
      </c>
      <c r="F2988" s="549" t="s">
        <v>1212</v>
      </c>
      <c r="G2988" s="549">
        <v>1222</v>
      </c>
      <c r="H2988" s="549" t="s">
        <v>747</v>
      </c>
      <c r="I2988" s="549" t="s">
        <v>976</v>
      </c>
      <c r="J2988" s="549" t="s">
        <v>976</v>
      </c>
      <c r="K2988" s="549" t="s">
        <v>976</v>
      </c>
      <c r="L2988" s="549">
        <v>84021.97</v>
      </c>
      <c r="M2988" s="549">
        <v>6343.66</v>
      </c>
      <c r="N2988" s="549">
        <v>1856.89</v>
      </c>
      <c r="O2988" s="549">
        <v>992</v>
      </c>
      <c r="P2988" s="549">
        <v>77.02</v>
      </c>
      <c r="Q2988" s="549">
        <v>7080.1</v>
      </c>
    </row>
    <row r="2989" spans="1:17" x14ac:dyDescent="0.25">
      <c r="A2989" s="549" t="s">
        <v>1083</v>
      </c>
      <c r="B2989" s="549" t="s">
        <v>584</v>
      </c>
      <c r="C2989" s="549" t="s">
        <v>747</v>
      </c>
      <c r="D2989" s="549" t="s">
        <v>748</v>
      </c>
      <c r="E2989" s="549" t="s">
        <v>977</v>
      </c>
      <c r="F2989" s="549" t="s">
        <v>1212</v>
      </c>
      <c r="G2989" s="549">
        <v>1232</v>
      </c>
      <c r="H2989" s="549" t="s">
        <v>747</v>
      </c>
      <c r="I2989" s="549" t="s">
        <v>976</v>
      </c>
      <c r="J2989" s="549" t="s">
        <v>976</v>
      </c>
      <c r="K2989" s="549" t="s">
        <v>976</v>
      </c>
      <c r="L2989" s="549">
        <v>239044.95</v>
      </c>
      <c r="M2989" s="549">
        <v>18047.89</v>
      </c>
      <c r="N2989" s="549">
        <v>5282.89</v>
      </c>
      <c r="O2989" s="549">
        <v>1984</v>
      </c>
      <c r="P2989" s="549">
        <v>77.02</v>
      </c>
      <c r="Q2989" s="549">
        <v>19497.439999999999</v>
      </c>
    </row>
    <row r="2990" spans="1:17" x14ac:dyDescent="0.25">
      <c r="A2990" s="549" t="s">
        <v>1083</v>
      </c>
      <c r="B2990" s="549" t="s">
        <v>584</v>
      </c>
      <c r="C2990" s="549" t="s">
        <v>747</v>
      </c>
      <c r="D2990" s="549" t="s">
        <v>748</v>
      </c>
      <c r="E2990" s="549" t="s">
        <v>977</v>
      </c>
      <c r="F2990" s="549" t="s">
        <v>1212</v>
      </c>
      <c r="G2990" s="549">
        <v>1237</v>
      </c>
      <c r="H2990" s="549" t="s">
        <v>747</v>
      </c>
      <c r="I2990" s="549" t="s">
        <v>976</v>
      </c>
      <c r="J2990" s="549" t="s">
        <v>976</v>
      </c>
      <c r="K2990" s="549" t="s">
        <v>976</v>
      </c>
      <c r="L2990" s="549">
        <v>0.02</v>
      </c>
      <c r="M2990" s="549">
        <v>0</v>
      </c>
      <c r="N2990" s="549">
        <v>0</v>
      </c>
      <c r="O2990" s="549">
        <v>992</v>
      </c>
      <c r="P2990" s="549">
        <v>77.02</v>
      </c>
      <c r="Q2990" s="549">
        <v>764.04</v>
      </c>
    </row>
    <row r="2991" spans="1:17" x14ac:dyDescent="0.25">
      <c r="A2991" s="549" t="s">
        <v>1083</v>
      </c>
      <c r="B2991" s="549" t="s">
        <v>584</v>
      </c>
      <c r="C2991" s="549" t="s">
        <v>747</v>
      </c>
      <c r="D2991" s="549" t="s">
        <v>748</v>
      </c>
      <c r="E2991" s="549" t="s">
        <v>977</v>
      </c>
      <c r="F2991" s="549" t="s">
        <v>1212</v>
      </c>
      <c r="G2991" s="549" t="s">
        <v>1440</v>
      </c>
      <c r="H2991" s="549" t="s">
        <v>747</v>
      </c>
      <c r="I2991" s="549" t="s">
        <v>976</v>
      </c>
      <c r="J2991" s="549" t="s">
        <v>976</v>
      </c>
      <c r="K2991" s="549" t="s">
        <v>976</v>
      </c>
      <c r="L2991" s="549">
        <v>0.02</v>
      </c>
      <c r="M2991" s="549">
        <v>0</v>
      </c>
      <c r="N2991" s="549">
        <v>0</v>
      </c>
      <c r="O2991" s="549">
        <v>1984</v>
      </c>
      <c r="P2991" s="549">
        <v>77.02</v>
      </c>
      <c r="Q2991" s="549">
        <v>1528.08</v>
      </c>
    </row>
    <row r="2992" spans="1:17" x14ac:dyDescent="0.25">
      <c r="A2992" s="549" t="s">
        <v>1083</v>
      </c>
      <c r="B2992" s="549" t="s">
        <v>584</v>
      </c>
      <c r="C2992" s="549" t="s">
        <v>747</v>
      </c>
      <c r="D2992" s="549" t="s">
        <v>748</v>
      </c>
      <c r="E2992" s="549" t="s">
        <v>977</v>
      </c>
      <c r="F2992" s="549" t="s">
        <v>1212</v>
      </c>
      <c r="G2992" s="549" t="s">
        <v>1441</v>
      </c>
      <c r="H2992" s="549" t="s">
        <v>747</v>
      </c>
      <c r="I2992" s="549" t="s">
        <v>976</v>
      </c>
      <c r="J2992" s="549" t="s">
        <v>976</v>
      </c>
      <c r="K2992" s="549" t="s">
        <v>976</v>
      </c>
      <c r="L2992" s="549">
        <v>32316.799999999999</v>
      </c>
      <c r="M2992" s="549">
        <v>2439.92</v>
      </c>
      <c r="N2992" s="549">
        <v>714.2</v>
      </c>
      <c r="O2992" s="549">
        <v>0</v>
      </c>
      <c r="P2992" s="549">
        <v>77.02</v>
      </c>
      <c r="Q2992" s="549">
        <v>2429.3000000000002</v>
      </c>
    </row>
    <row r="2993" spans="1:17" x14ac:dyDescent="0.25">
      <c r="A2993" s="549" t="s">
        <v>1083</v>
      </c>
      <c r="B2993" s="549" t="s">
        <v>584</v>
      </c>
      <c r="C2993" s="549" t="s">
        <v>747</v>
      </c>
      <c r="D2993" s="549" t="s">
        <v>748</v>
      </c>
      <c r="E2993" s="549" t="s">
        <v>977</v>
      </c>
      <c r="F2993" s="549" t="s">
        <v>1212</v>
      </c>
      <c r="G2993" s="549" t="s">
        <v>1221</v>
      </c>
      <c r="H2993" s="549" t="s">
        <v>747</v>
      </c>
      <c r="I2993" s="549" t="s">
        <v>976</v>
      </c>
      <c r="J2993" s="549" t="s">
        <v>976</v>
      </c>
      <c r="K2993" s="549" t="s">
        <v>976</v>
      </c>
      <c r="L2993" s="549">
        <v>32316.799999999999</v>
      </c>
      <c r="M2993" s="549">
        <v>2439.92</v>
      </c>
      <c r="N2993" s="549">
        <v>714.2</v>
      </c>
      <c r="O2993" s="549">
        <v>0</v>
      </c>
      <c r="P2993" s="549">
        <v>77.02</v>
      </c>
      <c r="Q2993" s="549">
        <v>2429.3000000000002</v>
      </c>
    </row>
    <row r="2994" spans="1:17" x14ac:dyDescent="0.25">
      <c r="A2994" s="549" t="s">
        <v>1083</v>
      </c>
      <c r="B2994" s="549" t="s">
        <v>584</v>
      </c>
      <c r="C2994" s="549" t="s">
        <v>751</v>
      </c>
      <c r="D2994" s="549" t="s">
        <v>752</v>
      </c>
      <c r="E2994" s="549" t="s">
        <v>977</v>
      </c>
      <c r="F2994" s="549" t="s">
        <v>1212</v>
      </c>
      <c r="G2994" s="549">
        <v>142</v>
      </c>
      <c r="H2994" s="549" t="s">
        <v>751</v>
      </c>
      <c r="I2994" s="549" t="s">
        <v>976</v>
      </c>
      <c r="J2994" s="549" t="s">
        <v>976</v>
      </c>
      <c r="K2994" s="549" t="s">
        <v>976</v>
      </c>
      <c r="L2994" s="549">
        <v>347493.52</v>
      </c>
      <c r="M2994" s="549">
        <v>26235.759999999998</v>
      </c>
      <c r="N2994" s="549">
        <v>7679.61</v>
      </c>
      <c r="O2994" s="549">
        <v>1984</v>
      </c>
      <c r="P2994" s="549">
        <v>100</v>
      </c>
      <c r="Q2994" s="549">
        <v>35899.370000000003</v>
      </c>
    </row>
    <row r="2995" spans="1:17" x14ac:dyDescent="0.25">
      <c r="A2995" s="549" t="s">
        <v>1083</v>
      </c>
      <c r="B2995" s="549" t="s">
        <v>584</v>
      </c>
      <c r="C2995" s="549" t="s">
        <v>751</v>
      </c>
      <c r="D2995" s="549" t="s">
        <v>752</v>
      </c>
      <c r="E2995" s="549" t="s">
        <v>977</v>
      </c>
      <c r="F2995" s="549" t="s">
        <v>1212</v>
      </c>
      <c r="G2995" s="549">
        <v>162</v>
      </c>
      <c r="H2995" s="549" t="s">
        <v>751</v>
      </c>
      <c r="I2995" s="549" t="s">
        <v>976</v>
      </c>
      <c r="J2995" s="549" t="s">
        <v>976</v>
      </c>
      <c r="K2995" s="549" t="s">
        <v>976</v>
      </c>
      <c r="L2995" s="549">
        <v>347493.52</v>
      </c>
      <c r="M2995" s="549">
        <v>26235.759999999998</v>
      </c>
      <c r="N2995" s="549">
        <v>7679.61</v>
      </c>
      <c r="O2995" s="549">
        <v>1984</v>
      </c>
      <c r="P2995" s="549">
        <v>100</v>
      </c>
      <c r="Q2995" s="549">
        <v>35899.370000000003</v>
      </c>
    </row>
    <row r="2996" spans="1:17" x14ac:dyDescent="0.25">
      <c r="A2996" s="549" t="s">
        <v>1083</v>
      </c>
      <c r="B2996" s="549" t="s">
        <v>584</v>
      </c>
      <c r="C2996" s="549" t="s">
        <v>751</v>
      </c>
      <c r="D2996" s="549" t="s">
        <v>752</v>
      </c>
      <c r="E2996" s="549" t="s">
        <v>977</v>
      </c>
      <c r="F2996" s="549" t="s">
        <v>1212</v>
      </c>
      <c r="G2996" s="549">
        <v>1272</v>
      </c>
      <c r="H2996" s="549" t="s">
        <v>751</v>
      </c>
      <c r="I2996" s="549" t="s">
        <v>976</v>
      </c>
      <c r="J2996" s="549" t="s">
        <v>976</v>
      </c>
      <c r="K2996" s="549" t="s">
        <v>976</v>
      </c>
      <c r="L2996" s="549">
        <v>137020.70000000001</v>
      </c>
      <c r="M2996" s="549">
        <v>10345.06</v>
      </c>
      <c r="N2996" s="549">
        <v>3028.16</v>
      </c>
      <c r="O2996" s="549">
        <v>3968</v>
      </c>
      <c r="P2996" s="549">
        <v>100</v>
      </c>
      <c r="Q2996" s="549">
        <v>17341.22</v>
      </c>
    </row>
    <row r="2997" spans="1:17" x14ac:dyDescent="0.25">
      <c r="A2997" s="549" t="s">
        <v>1083</v>
      </c>
      <c r="B2997" s="549" t="s">
        <v>584</v>
      </c>
      <c r="C2997" s="549" t="s">
        <v>751</v>
      </c>
      <c r="D2997" s="549" t="s">
        <v>752</v>
      </c>
      <c r="E2997" s="549" t="s">
        <v>977</v>
      </c>
      <c r="F2997" s="549" t="s">
        <v>1212</v>
      </c>
      <c r="G2997" s="549">
        <v>1282</v>
      </c>
      <c r="H2997" s="549" t="s">
        <v>751</v>
      </c>
      <c r="I2997" s="549" t="s">
        <v>976</v>
      </c>
      <c r="J2997" s="549" t="s">
        <v>976</v>
      </c>
      <c r="K2997" s="549" t="s">
        <v>976</v>
      </c>
      <c r="L2997" s="549">
        <v>124859.88</v>
      </c>
      <c r="M2997" s="549">
        <v>9426.92</v>
      </c>
      <c r="N2997" s="549">
        <v>2759.4</v>
      </c>
      <c r="O2997" s="549">
        <v>1984</v>
      </c>
      <c r="P2997" s="549">
        <v>100</v>
      </c>
      <c r="Q2997" s="549">
        <v>14170.32</v>
      </c>
    </row>
    <row r="2998" spans="1:17" x14ac:dyDescent="0.25">
      <c r="A2998" s="549" t="s">
        <v>1083</v>
      </c>
      <c r="B2998" s="549" t="s">
        <v>584</v>
      </c>
      <c r="C2998" s="549" t="s">
        <v>751</v>
      </c>
      <c r="D2998" s="549" t="s">
        <v>752</v>
      </c>
      <c r="E2998" s="549" t="s">
        <v>977</v>
      </c>
      <c r="F2998" s="549" t="s">
        <v>1212</v>
      </c>
      <c r="G2998" s="549">
        <v>1287</v>
      </c>
      <c r="H2998" s="549" t="s">
        <v>751</v>
      </c>
      <c r="I2998" s="549" t="s">
        <v>976</v>
      </c>
      <c r="J2998" s="549" t="s">
        <v>976</v>
      </c>
      <c r="K2998" s="549" t="s">
        <v>976</v>
      </c>
      <c r="L2998" s="549">
        <v>18839.21</v>
      </c>
      <c r="M2998" s="549">
        <v>1422.36</v>
      </c>
      <c r="N2998" s="549">
        <v>416.35</v>
      </c>
      <c r="O2998" s="549">
        <v>992</v>
      </c>
      <c r="P2998" s="549">
        <v>100</v>
      </c>
      <c r="Q2998" s="549">
        <v>2830.71</v>
      </c>
    </row>
    <row r="2999" spans="1:17" x14ac:dyDescent="0.25">
      <c r="A2999" s="549" t="s">
        <v>1083</v>
      </c>
      <c r="B2999" s="549" t="s">
        <v>584</v>
      </c>
      <c r="C2999" s="549" t="s">
        <v>751</v>
      </c>
      <c r="D2999" s="549" t="s">
        <v>752</v>
      </c>
      <c r="E2999" s="549" t="s">
        <v>977</v>
      </c>
      <c r="F2999" s="549" t="s">
        <v>1212</v>
      </c>
      <c r="G2999" s="549">
        <v>1292</v>
      </c>
      <c r="H2999" s="549" t="s">
        <v>751</v>
      </c>
      <c r="I2999" s="549" t="s">
        <v>976</v>
      </c>
      <c r="J2999" s="549" t="s">
        <v>976</v>
      </c>
      <c r="K2999" s="549" t="s">
        <v>976</v>
      </c>
      <c r="L2999" s="549">
        <v>137020.70000000001</v>
      </c>
      <c r="M2999" s="549">
        <v>10345.06</v>
      </c>
      <c r="N2999" s="549">
        <v>3028.16</v>
      </c>
      <c r="O2999" s="549">
        <v>3968</v>
      </c>
      <c r="P2999" s="549">
        <v>100</v>
      </c>
      <c r="Q2999" s="549">
        <v>17341.22</v>
      </c>
    </row>
    <row r="3000" spans="1:17" x14ac:dyDescent="0.25">
      <c r="A3000" s="549" t="s">
        <v>1083</v>
      </c>
      <c r="B3000" s="549" t="s">
        <v>584</v>
      </c>
      <c r="C3000" s="549" t="s">
        <v>751</v>
      </c>
      <c r="D3000" s="549" t="s">
        <v>752</v>
      </c>
      <c r="E3000" s="549" t="s">
        <v>977</v>
      </c>
      <c r="F3000" s="549" t="s">
        <v>1212</v>
      </c>
      <c r="G3000" s="549">
        <v>1332</v>
      </c>
      <c r="H3000" s="549" t="s">
        <v>751</v>
      </c>
      <c r="I3000" s="549" t="s">
        <v>976</v>
      </c>
      <c r="J3000" s="549" t="s">
        <v>976</v>
      </c>
      <c r="K3000" s="549" t="s">
        <v>976</v>
      </c>
      <c r="L3000" s="549">
        <v>137020.70000000001</v>
      </c>
      <c r="M3000" s="549">
        <v>10345.06</v>
      </c>
      <c r="N3000" s="549">
        <v>3028.16</v>
      </c>
      <c r="O3000" s="549">
        <v>3968</v>
      </c>
      <c r="P3000" s="549">
        <v>100</v>
      </c>
      <c r="Q3000" s="549">
        <v>17341.22</v>
      </c>
    </row>
    <row r="3001" spans="1:17" x14ac:dyDescent="0.25">
      <c r="A3001" s="549" t="s">
        <v>1083</v>
      </c>
      <c r="B3001" s="549" t="s">
        <v>584</v>
      </c>
      <c r="C3001" s="549" t="s">
        <v>751</v>
      </c>
      <c r="D3001" s="549" t="s">
        <v>752</v>
      </c>
      <c r="E3001" s="549" t="s">
        <v>977</v>
      </c>
      <c r="F3001" s="549" t="s">
        <v>1212</v>
      </c>
      <c r="G3001" s="549">
        <v>1347</v>
      </c>
      <c r="H3001" s="549" t="s">
        <v>751</v>
      </c>
      <c r="I3001" s="549" t="s">
        <v>976</v>
      </c>
      <c r="J3001" s="549" t="s">
        <v>976</v>
      </c>
      <c r="K3001" s="549" t="s">
        <v>976</v>
      </c>
      <c r="L3001" s="549">
        <v>18839.21</v>
      </c>
      <c r="M3001" s="549">
        <v>1422.36</v>
      </c>
      <c r="N3001" s="549">
        <v>416.35</v>
      </c>
      <c r="O3001" s="549">
        <v>992</v>
      </c>
      <c r="P3001" s="549">
        <v>100</v>
      </c>
      <c r="Q3001" s="549">
        <v>2830.71</v>
      </c>
    </row>
    <row r="3002" spans="1:17" x14ac:dyDescent="0.25">
      <c r="A3002" s="549" t="s">
        <v>1083</v>
      </c>
      <c r="B3002" s="549" t="s">
        <v>584</v>
      </c>
      <c r="C3002" s="549" t="s">
        <v>751</v>
      </c>
      <c r="D3002" s="549" t="s">
        <v>752</v>
      </c>
      <c r="E3002" s="549" t="s">
        <v>977</v>
      </c>
      <c r="F3002" s="549" t="s">
        <v>1212</v>
      </c>
      <c r="G3002" s="549">
        <v>1352</v>
      </c>
      <c r="H3002" s="549" t="s">
        <v>751</v>
      </c>
      <c r="I3002" s="549" t="s">
        <v>976</v>
      </c>
      <c r="J3002" s="549" t="s">
        <v>976</v>
      </c>
      <c r="K3002" s="549" t="s">
        <v>976</v>
      </c>
      <c r="L3002" s="549">
        <v>63015.13</v>
      </c>
      <c r="M3002" s="549">
        <v>4757.6400000000003</v>
      </c>
      <c r="N3002" s="549">
        <v>1392.63</v>
      </c>
      <c r="O3002" s="549">
        <v>992</v>
      </c>
      <c r="P3002" s="549">
        <v>100</v>
      </c>
      <c r="Q3002" s="549">
        <v>7142.27</v>
      </c>
    </row>
    <row r="3003" spans="1:17" x14ac:dyDescent="0.25">
      <c r="A3003" s="549" t="s">
        <v>1083</v>
      </c>
      <c r="B3003" s="549" t="s">
        <v>584</v>
      </c>
      <c r="C3003" s="549" t="s">
        <v>751</v>
      </c>
      <c r="D3003" s="549" t="s">
        <v>752</v>
      </c>
      <c r="E3003" s="549" t="s">
        <v>977</v>
      </c>
      <c r="F3003" s="549" t="s">
        <v>1212</v>
      </c>
      <c r="G3003" s="549">
        <v>1362</v>
      </c>
      <c r="H3003" s="549" t="s">
        <v>751</v>
      </c>
      <c r="I3003" s="549" t="s">
        <v>976</v>
      </c>
      <c r="J3003" s="549" t="s">
        <v>976</v>
      </c>
      <c r="K3003" s="549" t="s">
        <v>976</v>
      </c>
      <c r="L3003" s="549">
        <v>124859.88</v>
      </c>
      <c r="M3003" s="549">
        <v>9426.92</v>
      </c>
      <c r="N3003" s="549">
        <v>2759.4</v>
      </c>
      <c r="O3003" s="549">
        <v>1984</v>
      </c>
      <c r="P3003" s="549">
        <v>100</v>
      </c>
      <c r="Q3003" s="549">
        <v>14170.32</v>
      </c>
    </row>
    <row r="3004" spans="1:17" x14ac:dyDescent="0.25">
      <c r="A3004" s="549" t="s">
        <v>1083</v>
      </c>
      <c r="B3004" s="549" t="s">
        <v>584</v>
      </c>
      <c r="C3004" s="549" t="s">
        <v>751</v>
      </c>
      <c r="D3004" s="549" t="s">
        <v>752</v>
      </c>
      <c r="E3004" s="549" t="s">
        <v>977</v>
      </c>
      <c r="F3004" s="549" t="s">
        <v>1212</v>
      </c>
      <c r="G3004" s="549" t="s">
        <v>1442</v>
      </c>
      <c r="H3004" s="549" t="s">
        <v>751</v>
      </c>
      <c r="I3004" s="549" t="s">
        <v>976</v>
      </c>
      <c r="J3004" s="549" t="s">
        <v>976</v>
      </c>
      <c r="K3004" s="549" t="s">
        <v>976</v>
      </c>
      <c r="L3004" s="549">
        <v>32262.45</v>
      </c>
      <c r="M3004" s="549">
        <v>2435.81</v>
      </c>
      <c r="N3004" s="549">
        <v>713</v>
      </c>
      <c r="O3004" s="549">
        <v>1984</v>
      </c>
      <c r="P3004" s="549">
        <v>100</v>
      </c>
      <c r="Q3004" s="549">
        <v>5132.8100000000004</v>
      </c>
    </row>
    <row r="3005" spans="1:17" x14ac:dyDescent="0.25">
      <c r="A3005" s="549" t="s">
        <v>1083</v>
      </c>
      <c r="B3005" s="549" t="s">
        <v>584</v>
      </c>
      <c r="C3005" s="549" t="s">
        <v>751</v>
      </c>
      <c r="D3005" s="549" t="s">
        <v>752</v>
      </c>
      <c r="E3005" s="549" t="s">
        <v>977</v>
      </c>
      <c r="F3005" s="549" t="s">
        <v>1212</v>
      </c>
      <c r="G3005" s="549" t="s">
        <v>1443</v>
      </c>
      <c r="H3005" s="549" t="s">
        <v>751</v>
      </c>
      <c r="I3005" s="549" t="s">
        <v>976</v>
      </c>
      <c r="J3005" s="549" t="s">
        <v>976</v>
      </c>
      <c r="K3005" s="549" t="s">
        <v>976</v>
      </c>
      <c r="L3005" s="549">
        <v>16879.97</v>
      </c>
      <c r="M3005" s="549">
        <v>1274.44</v>
      </c>
      <c r="N3005" s="549">
        <v>373.05</v>
      </c>
      <c r="O3005" s="549">
        <v>0</v>
      </c>
      <c r="P3005" s="549">
        <v>100</v>
      </c>
      <c r="Q3005" s="549">
        <v>1647.49</v>
      </c>
    </row>
    <row r="3006" spans="1:17" x14ac:dyDescent="0.25">
      <c r="A3006" s="549" t="s">
        <v>1083</v>
      </c>
      <c r="B3006" s="549" t="s">
        <v>584</v>
      </c>
      <c r="C3006" s="549" t="s">
        <v>751</v>
      </c>
      <c r="D3006" s="549" t="s">
        <v>752</v>
      </c>
      <c r="E3006" s="549" t="s">
        <v>977</v>
      </c>
      <c r="F3006" s="549" t="s">
        <v>1212</v>
      </c>
      <c r="G3006" s="549" t="s">
        <v>1426</v>
      </c>
      <c r="H3006" s="549" t="s">
        <v>751</v>
      </c>
      <c r="I3006" s="549" t="s">
        <v>976</v>
      </c>
      <c r="J3006" s="549" t="s">
        <v>976</v>
      </c>
      <c r="K3006" s="549" t="s">
        <v>976</v>
      </c>
      <c r="L3006" s="549">
        <v>16879.97</v>
      </c>
      <c r="M3006" s="549">
        <v>1274.44</v>
      </c>
      <c r="N3006" s="549">
        <v>373.05</v>
      </c>
      <c r="O3006" s="549">
        <v>0</v>
      </c>
      <c r="P3006" s="549">
        <v>100</v>
      </c>
      <c r="Q3006" s="549">
        <v>1647.49</v>
      </c>
    </row>
    <row r="3007" spans="1:17" x14ac:dyDescent="0.25">
      <c r="A3007" s="549" t="s">
        <v>1083</v>
      </c>
      <c r="B3007" s="549" t="s">
        <v>584</v>
      </c>
      <c r="C3007" s="549" t="s">
        <v>766</v>
      </c>
      <c r="D3007" s="549" t="s">
        <v>767</v>
      </c>
      <c r="E3007" s="549" t="s">
        <v>977</v>
      </c>
      <c r="F3007" s="549" t="s">
        <v>1212</v>
      </c>
      <c r="G3007" s="549">
        <v>82</v>
      </c>
      <c r="H3007" s="549" t="s">
        <v>766</v>
      </c>
      <c r="I3007" s="549" t="s">
        <v>976</v>
      </c>
      <c r="J3007" s="549" t="s">
        <v>976</v>
      </c>
      <c r="K3007" s="549" t="s">
        <v>976</v>
      </c>
      <c r="L3007" s="549">
        <v>268968.24</v>
      </c>
      <c r="M3007" s="549">
        <v>20307.099999999999</v>
      </c>
      <c r="N3007" s="549">
        <v>5944.2</v>
      </c>
      <c r="O3007" s="549">
        <v>1984</v>
      </c>
      <c r="P3007" s="549">
        <v>100</v>
      </c>
      <c r="Q3007" s="549">
        <v>28235.3</v>
      </c>
    </row>
    <row r="3008" spans="1:17" x14ac:dyDescent="0.25">
      <c r="A3008" s="549" t="s">
        <v>1083</v>
      </c>
      <c r="B3008" s="549" t="s">
        <v>584</v>
      </c>
      <c r="C3008" s="549" t="s">
        <v>766</v>
      </c>
      <c r="D3008" s="549" t="s">
        <v>767</v>
      </c>
      <c r="E3008" s="549" t="s">
        <v>977</v>
      </c>
      <c r="F3008" s="549" t="s">
        <v>1212</v>
      </c>
      <c r="G3008" s="549">
        <v>1082</v>
      </c>
      <c r="H3008" s="549" t="s">
        <v>766</v>
      </c>
      <c r="I3008" s="549" t="s">
        <v>976</v>
      </c>
      <c r="J3008" s="549" t="s">
        <v>976</v>
      </c>
      <c r="K3008" s="549" t="s">
        <v>976</v>
      </c>
      <c r="L3008" s="549">
        <v>143039.78</v>
      </c>
      <c r="M3008" s="549">
        <v>10799.5</v>
      </c>
      <c r="N3008" s="549">
        <v>3161.18</v>
      </c>
      <c r="O3008" s="549">
        <v>1984</v>
      </c>
      <c r="P3008" s="549">
        <v>100</v>
      </c>
      <c r="Q3008" s="549">
        <v>15944.68</v>
      </c>
    </row>
    <row r="3009" spans="1:17" x14ac:dyDescent="0.25">
      <c r="A3009" s="549" t="s">
        <v>1083</v>
      </c>
      <c r="B3009" s="549" t="s">
        <v>584</v>
      </c>
      <c r="C3009" s="549" t="s">
        <v>766</v>
      </c>
      <c r="D3009" s="549" t="s">
        <v>767</v>
      </c>
      <c r="E3009" s="549" t="s">
        <v>977</v>
      </c>
      <c r="F3009" s="549" t="s">
        <v>1212</v>
      </c>
      <c r="G3009" s="549">
        <v>1112</v>
      </c>
      <c r="H3009" s="549" t="s">
        <v>766</v>
      </c>
      <c r="I3009" s="549" t="s">
        <v>976</v>
      </c>
      <c r="J3009" s="549" t="s">
        <v>976</v>
      </c>
      <c r="K3009" s="549" t="s">
        <v>976</v>
      </c>
      <c r="L3009" s="549">
        <v>156971.24</v>
      </c>
      <c r="M3009" s="549">
        <v>11851.33</v>
      </c>
      <c r="N3009" s="549">
        <v>3469.06</v>
      </c>
      <c r="O3009" s="549">
        <v>3968</v>
      </c>
      <c r="P3009" s="549">
        <v>100</v>
      </c>
      <c r="Q3009" s="549">
        <v>19288.39</v>
      </c>
    </row>
    <row r="3010" spans="1:17" x14ac:dyDescent="0.25">
      <c r="A3010" s="549" t="s">
        <v>1083</v>
      </c>
      <c r="B3010" s="549" t="s">
        <v>584</v>
      </c>
      <c r="C3010" s="549" t="s">
        <v>766</v>
      </c>
      <c r="D3010" s="549" t="s">
        <v>767</v>
      </c>
      <c r="E3010" s="549" t="s">
        <v>977</v>
      </c>
      <c r="F3010" s="549" t="s">
        <v>1212</v>
      </c>
      <c r="G3010" s="549">
        <v>1122</v>
      </c>
      <c r="H3010" s="549" t="s">
        <v>766</v>
      </c>
      <c r="I3010" s="549" t="s">
        <v>976</v>
      </c>
      <c r="J3010" s="549" t="s">
        <v>976</v>
      </c>
      <c r="K3010" s="549" t="s">
        <v>976</v>
      </c>
      <c r="L3010" s="549">
        <v>143039.78</v>
      </c>
      <c r="M3010" s="549">
        <v>10799.5</v>
      </c>
      <c r="N3010" s="549">
        <v>3161.18</v>
      </c>
      <c r="O3010" s="549">
        <v>1984</v>
      </c>
      <c r="P3010" s="549">
        <v>100</v>
      </c>
      <c r="Q3010" s="549">
        <v>15944.68</v>
      </c>
    </row>
    <row r="3011" spans="1:17" x14ac:dyDescent="0.25">
      <c r="A3011" s="549" t="s">
        <v>1083</v>
      </c>
      <c r="B3011" s="549" t="s">
        <v>584</v>
      </c>
      <c r="C3011" s="549" t="s">
        <v>766</v>
      </c>
      <c r="D3011" s="549" t="s">
        <v>767</v>
      </c>
      <c r="E3011" s="549" t="s">
        <v>977</v>
      </c>
      <c r="F3011" s="549" t="s">
        <v>1212</v>
      </c>
      <c r="G3011" s="549">
        <v>1132</v>
      </c>
      <c r="H3011" s="549" t="s">
        <v>766</v>
      </c>
      <c r="I3011" s="549" t="s">
        <v>976</v>
      </c>
      <c r="J3011" s="549" t="s">
        <v>976</v>
      </c>
      <c r="K3011" s="549" t="s">
        <v>976</v>
      </c>
      <c r="L3011" s="549">
        <v>156971.24</v>
      </c>
      <c r="M3011" s="549">
        <v>11851.33</v>
      </c>
      <c r="N3011" s="549">
        <v>3469.06</v>
      </c>
      <c r="O3011" s="549">
        <v>3968</v>
      </c>
      <c r="P3011" s="549">
        <v>100</v>
      </c>
      <c r="Q3011" s="549">
        <v>19288.39</v>
      </c>
    </row>
    <row r="3012" spans="1:17" x14ac:dyDescent="0.25">
      <c r="A3012" s="549" t="s">
        <v>1083</v>
      </c>
      <c r="B3012" s="549" t="s">
        <v>584</v>
      </c>
      <c r="C3012" s="549" t="s">
        <v>766</v>
      </c>
      <c r="D3012" s="549" t="s">
        <v>767</v>
      </c>
      <c r="E3012" s="549" t="s">
        <v>977</v>
      </c>
      <c r="F3012" s="549" t="s">
        <v>1212</v>
      </c>
      <c r="G3012" s="549" t="s">
        <v>1444</v>
      </c>
      <c r="H3012" s="549" t="s">
        <v>766</v>
      </c>
      <c r="I3012" s="549" t="s">
        <v>976</v>
      </c>
      <c r="J3012" s="549" t="s">
        <v>976</v>
      </c>
      <c r="K3012" s="549" t="s">
        <v>976</v>
      </c>
      <c r="L3012" s="549">
        <v>36959.94</v>
      </c>
      <c r="M3012" s="549">
        <v>2790.48</v>
      </c>
      <c r="N3012" s="549">
        <v>816.81</v>
      </c>
      <c r="O3012" s="549">
        <v>1984</v>
      </c>
      <c r="P3012" s="549">
        <v>100</v>
      </c>
      <c r="Q3012" s="549">
        <v>5591.29</v>
      </c>
    </row>
    <row r="3013" spans="1:17" x14ac:dyDescent="0.25">
      <c r="A3013" s="549" t="s">
        <v>1083</v>
      </c>
      <c r="B3013" s="549" t="s">
        <v>584</v>
      </c>
      <c r="C3013" s="549" t="s">
        <v>766</v>
      </c>
      <c r="D3013" s="549" t="s">
        <v>767</v>
      </c>
      <c r="E3013" s="549" t="s">
        <v>977</v>
      </c>
      <c r="F3013" s="549" t="s">
        <v>1212</v>
      </c>
      <c r="G3013" s="549" t="s">
        <v>1280</v>
      </c>
      <c r="H3013" s="549" t="s">
        <v>766</v>
      </c>
      <c r="I3013" s="549" t="s">
        <v>976</v>
      </c>
      <c r="J3013" s="549" t="s">
        <v>976</v>
      </c>
      <c r="K3013" s="549" t="s">
        <v>976</v>
      </c>
      <c r="L3013" s="549">
        <v>19337.73</v>
      </c>
      <c r="M3013" s="549">
        <v>1460</v>
      </c>
      <c r="N3013" s="549">
        <v>427.36</v>
      </c>
      <c r="O3013" s="549">
        <v>0</v>
      </c>
      <c r="P3013" s="549">
        <v>100</v>
      </c>
      <c r="Q3013" s="549">
        <v>1887.36</v>
      </c>
    </row>
    <row r="3014" spans="1:17" x14ac:dyDescent="0.25">
      <c r="A3014" s="549" t="s">
        <v>1083</v>
      </c>
      <c r="B3014" s="549" t="s">
        <v>584</v>
      </c>
      <c r="C3014" s="549" t="s">
        <v>766</v>
      </c>
      <c r="D3014" s="549" t="s">
        <v>767</v>
      </c>
      <c r="E3014" s="549" t="s">
        <v>977</v>
      </c>
      <c r="F3014" s="549" t="s">
        <v>1212</v>
      </c>
      <c r="G3014" s="549" t="s">
        <v>1369</v>
      </c>
      <c r="H3014" s="549" t="s">
        <v>766</v>
      </c>
      <c r="I3014" s="549" t="s">
        <v>976</v>
      </c>
      <c r="J3014" s="549" t="s">
        <v>976</v>
      </c>
      <c r="K3014" s="549" t="s">
        <v>976</v>
      </c>
      <c r="L3014" s="549">
        <v>19337.73</v>
      </c>
      <c r="M3014" s="549">
        <v>1460</v>
      </c>
      <c r="N3014" s="549">
        <v>427.36</v>
      </c>
      <c r="O3014" s="549">
        <v>0</v>
      </c>
      <c r="P3014" s="549">
        <v>100</v>
      </c>
      <c r="Q3014" s="549">
        <v>1887.36</v>
      </c>
    </row>
    <row r="3015" spans="1:17" x14ac:dyDescent="0.25">
      <c r="A3015" s="549" t="s">
        <v>1083</v>
      </c>
      <c r="B3015" s="549" t="s">
        <v>584</v>
      </c>
      <c r="C3015" s="549" t="s">
        <v>774</v>
      </c>
      <c r="D3015" s="549" t="s">
        <v>775</v>
      </c>
      <c r="E3015" s="549" t="s">
        <v>977</v>
      </c>
      <c r="F3015" s="549" t="s">
        <v>1212</v>
      </c>
      <c r="G3015" s="549">
        <v>52</v>
      </c>
      <c r="H3015" s="549" t="s">
        <v>774</v>
      </c>
      <c r="I3015" s="549" t="s">
        <v>976</v>
      </c>
      <c r="J3015" s="549" t="s">
        <v>976</v>
      </c>
      <c r="K3015" s="549" t="s">
        <v>976</v>
      </c>
      <c r="L3015" s="549">
        <v>347493.52</v>
      </c>
      <c r="M3015" s="549">
        <v>26235.759999999998</v>
      </c>
      <c r="N3015" s="549">
        <v>7679.61</v>
      </c>
      <c r="O3015" s="549">
        <v>1984</v>
      </c>
      <c r="P3015" s="549">
        <v>100</v>
      </c>
      <c r="Q3015" s="549">
        <v>35899.370000000003</v>
      </c>
    </row>
    <row r="3016" spans="1:17" x14ac:dyDescent="0.25">
      <c r="A3016" s="549" t="s">
        <v>1083</v>
      </c>
      <c r="B3016" s="549" t="s">
        <v>584</v>
      </c>
      <c r="C3016" s="549" t="s">
        <v>774</v>
      </c>
      <c r="D3016" s="549" t="s">
        <v>775</v>
      </c>
      <c r="E3016" s="549" t="s">
        <v>977</v>
      </c>
      <c r="F3016" s="549" t="s">
        <v>1212</v>
      </c>
      <c r="G3016" s="549">
        <v>62</v>
      </c>
      <c r="H3016" s="549" t="s">
        <v>774</v>
      </c>
      <c r="I3016" s="549" t="s">
        <v>976</v>
      </c>
      <c r="J3016" s="549" t="s">
        <v>976</v>
      </c>
      <c r="K3016" s="549" t="s">
        <v>976</v>
      </c>
      <c r="L3016" s="549">
        <v>347493.52</v>
      </c>
      <c r="M3016" s="549">
        <v>26235.759999999998</v>
      </c>
      <c r="N3016" s="549">
        <v>7679.61</v>
      </c>
      <c r="O3016" s="549">
        <v>1984</v>
      </c>
      <c r="P3016" s="549">
        <v>100</v>
      </c>
      <c r="Q3016" s="549">
        <v>35899.370000000003</v>
      </c>
    </row>
    <row r="3017" spans="1:17" x14ac:dyDescent="0.25">
      <c r="A3017" s="549" t="s">
        <v>1083</v>
      </c>
      <c r="B3017" s="549" t="s">
        <v>584</v>
      </c>
      <c r="C3017" s="549" t="s">
        <v>774</v>
      </c>
      <c r="D3017" s="549" t="s">
        <v>775</v>
      </c>
      <c r="E3017" s="549" t="s">
        <v>977</v>
      </c>
      <c r="F3017" s="549" t="s">
        <v>1212</v>
      </c>
      <c r="G3017" s="549">
        <v>202</v>
      </c>
      <c r="H3017" s="549" t="s">
        <v>774</v>
      </c>
      <c r="I3017" s="549" t="s">
        <v>976</v>
      </c>
      <c r="J3017" s="549" t="s">
        <v>976</v>
      </c>
      <c r="K3017" s="549" t="s">
        <v>976</v>
      </c>
      <c r="L3017" s="549">
        <v>149405.22</v>
      </c>
      <c r="M3017" s="549">
        <v>11280.09</v>
      </c>
      <c r="N3017" s="549">
        <v>3301.86</v>
      </c>
      <c r="O3017" s="549">
        <v>3968</v>
      </c>
      <c r="P3017" s="549">
        <v>100</v>
      </c>
      <c r="Q3017" s="549">
        <v>18549.95</v>
      </c>
    </row>
    <row r="3018" spans="1:17" x14ac:dyDescent="0.25">
      <c r="A3018" s="549" t="s">
        <v>1083</v>
      </c>
      <c r="B3018" s="549" t="s">
        <v>584</v>
      </c>
      <c r="C3018" s="549" t="s">
        <v>774</v>
      </c>
      <c r="D3018" s="549" t="s">
        <v>775</v>
      </c>
      <c r="E3018" s="549" t="s">
        <v>977</v>
      </c>
      <c r="F3018" s="549" t="s">
        <v>1212</v>
      </c>
      <c r="G3018" s="549">
        <v>222</v>
      </c>
      <c r="H3018" s="549" t="s">
        <v>774</v>
      </c>
      <c r="I3018" s="549" t="s">
        <v>976</v>
      </c>
      <c r="J3018" s="549" t="s">
        <v>976</v>
      </c>
      <c r="K3018" s="549" t="s">
        <v>976</v>
      </c>
      <c r="L3018" s="549">
        <v>149405.22</v>
      </c>
      <c r="M3018" s="549">
        <v>11280.09</v>
      </c>
      <c r="N3018" s="549">
        <v>3301.86</v>
      </c>
      <c r="O3018" s="549">
        <v>3968</v>
      </c>
      <c r="P3018" s="549">
        <v>100</v>
      </c>
      <c r="Q3018" s="549">
        <v>18549.95</v>
      </c>
    </row>
    <row r="3019" spans="1:17" x14ac:dyDescent="0.25">
      <c r="A3019" s="549" t="s">
        <v>1083</v>
      </c>
      <c r="B3019" s="549" t="s">
        <v>584</v>
      </c>
      <c r="C3019" s="549" t="s">
        <v>774</v>
      </c>
      <c r="D3019" s="549" t="s">
        <v>775</v>
      </c>
      <c r="E3019" s="549" t="s">
        <v>977</v>
      </c>
      <c r="F3019" s="549" t="s">
        <v>1212</v>
      </c>
      <c r="G3019" s="549">
        <v>232</v>
      </c>
      <c r="H3019" s="549" t="s">
        <v>774</v>
      </c>
      <c r="I3019" s="549" t="s">
        <v>976</v>
      </c>
      <c r="J3019" s="549" t="s">
        <v>976</v>
      </c>
      <c r="K3019" s="549" t="s">
        <v>976</v>
      </c>
      <c r="L3019" s="549">
        <v>136145.26</v>
      </c>
      <c r="M3019" s="549">
        <v>10278.969999999999</v>
      </c>
      <c r="N3019" s="549">
        <v>3008.81</v>
      </c>
      <c r="O3019" s="549">
        <v>1984</v>
      </c>
      <c r="P3019" s="549">
        <v>100</v>
      </c>
      <c r="Q3019" s="549">
        <v>15271.78</v>
      </c>
    </row>
    <row r="3020" spans="1:17" x14ac:dyDescent="0.25">
      <c r="A3020" s="549" t="s">
        <v>1083</v>
      </c>
      <c r="B3020" s="549" t="s">
        <v>584</v>
      </c>
      <c r="C3020" s="549" t="s">
        <v>774</v>
      </c>
      <c r="D3020" s="549" t="s">
        <v>775</v>
      </c>
      <c r="E3020" s="549" t="s">
        <v>977</v>
      </c>
      <c r="F3020" s="549" t="s">
        <v>1212</v>
      </c>
      <c r="G3020" s="549">
        <v>242</v>
      </c>
      <c r="H3020" s="549" t="s">
        <v>774</v>
      </c>
      <c r="I3020" s="549" t="s">
        <v>976</v>
      </c>
      <c r="J3020" s="549" t="s">
        <v>976</v>
      </c>
      <c r="K3020" s="549" t="s">
        <v>976</v>
      </c>
      <c r="L3020" s="549">
        <v>149405.22</v>
      </c>
      <c r="M3020" s="549">
        <v>11280.09</v>
      </c>
      <c r="N3020" s="549">
        <v>3301.86</v>
      </c>
      <c r="O3020" s="549">
        <v>3968</v>
      </c>
      <c r="P3020" s="549">
        <v>100</v>
      </c>
      <c r="Q3020" s="549">
        <v>18549.95</v>
      </c>
    </row>
    <row r="3021" spans="1:17" x14ac:dyDescent="0.25">
      <c r="A3021" s="549" t="s">
        <v>1083</v>
      </c>
      <c r="B3021" s="549" t="s">
        <v>584</v>
      </c>
      <c r="C3021" s="549" t="s">
        <v>774</v>
      </c>
      <c r="D3021" s="549" t="s">
        <v>775</v>
      </c>
      <c r="E3021" s="549" t="s">
        <v>977</v>
      </c>
      <c r="F3021" s="549" t="s">
        <v>1212</v>
      </c>
      <c r="G3021" s="549">
        <v>262</v>
      </c>
      <c r="H3021" s="549" t="s">
        <v>774</v>
      </c>
      <c r="I3021" s="549" t="s">
        <v>976</v>
      </c>
      <c r="J3021" s="549" t="s">
        <v>976</v>
      </c>
      <c r="K3021" s="549" t="s">
        <v>976</v>
      </c>
      <c r="L3021" s="549">
        <v>149405.22</v>
      </c>
      <c r="M3021" s="549">
        <v>11280.09</v>
      </c>
      <c r="N3021" s="549">
        <v>3301.86</v>
      </c>
      <c r="O3021" s="549">
        <v>3968</v>
      </c>
      <c r="P3021" s="549">
        <v>100</v>
      </c>
      <c r="Q3021" s="549">
        <v>18549.95</v>
      </c>
    </row>
    <row r="3022" spans="1:17" x14ac:dyDescent="0.25">
      <c r="A3022" s="549" t="s">
        <v>1083</v>
      </c>
      <c r="B3022" s="549" t="s">
        <v>584</v>
      </c>
      <c r="C3022" s="549" t="s">
        <v>774</v>
      </c>
      <c r="D3022" s="549" t="s">
        <v>775</v>
      </c>
      <c r="E3022" s="549" t="s">
        <v>977</v>
      </c>
      <c r="F3022" s="549" t="s">
        <v>1212</v>
      </c>
      <c r="G3022" s="549">
        <v>282</v>
      </c>
      <c r="H3022" s="549" t="s">
        <v>774</v>
      </c>
      <c r="I3022" s="549" t="s">
        <v>976</v>
      </c>
      <c r="J3022" s="549" t="s">
        <v>976</v>
      </c>
      <c r="K3022" s="549" t="s">
        <v>976</v>
      </c>
      <c r="L3022" s="549">
        <v>149405.22</v>
      </c>
      <c r="M3022" s="549">
        <v>11280.09</v>
      </c>
      <c r="N3022" s="549">
        <v>3301.86</v>
      </c>
      <c r="O3022" s="549">
        <v>3968</v>
      </c>
      <c r="P3022" s="549">
        <v>100</v>
      </c>
      <c r="Q3022" s="549">
        <v>18549.95</v>
      </c>
    </row>
    <row r="3023" spans="1:17" x14ac:dyDescent="0.25">
      <c r="A3023" s="549" t="s">
        <v>1083</v>
      </c>
      <c r="B3023" s="549" t="s">
        <v>584</v>
      </c>
      <c r="C3023" s="549" t="s">
        <v>774</v>
      </c>
      <c r="D3023" s="549" t="s">
        <v>775</v>
      </c>
      <c r="E3023" s="549" t="s">
        <v>977</v>
      </c>
      <c r="F3023" s="549" t="s">
        <v>1212</v>
      </c>
      <c r="G3023" s="549">
        <v>292</v>
      </c>
      <c r="H3023" s="549" t="s">
        <v>774</v>
      </c>
      <c r="I3023" s="549" t="s">
        <v>976</v>
      </c>
      <c r="J3023" s="549" t="s">
        <v>976</v>
      </c>
      <c r="K3023" s="549" t="s">
        <v>976</v>
      </c>
      <c r="L3023" s="549">
        <v>136145.26</v>
      </c>
      <c r="M3023" s="549">
        <v>10278.969999999999</v>
      </c>
      <c r="N3023" s="549">
        <v>3008.81</v>
      </c>
      <c r="O3023" s="549">
        <v>1984</v>
      </c>
      <c r="P3023" s="549">
        <v>100</v>
      </c>
      <c r="Q3023" s="549">
        <v>15271.78</v>
      </c>
    </row>
    <row r="3024" spans="1:17" x14ac:dyDescent="0.25">
      <c r="A3024" s="549" t="s">
        <v>1083</v>
      </c>
      <c r="B3024" s="549" t="s">
        <v>584</v>
      </c>
      <c r="C3024" s="549" t="s">
        <v>774</v>
      </c>
      <c r="D3024" s="549" t="s">
        <v>775</v>
      </c>
      <c r="E3024" s="549" t="s">
        <v>977</v>
      </c>
      <c r="F3024" s="549" t="s">
        <v>1212</v>
      </c>
      <c r="G3024" s="549">
        <v>312</v>
      </c>
      <c r="H3024" s="549" t="s">
        <v>774</v>
      </c>
      <c r="I3024" s="549" t="s">
        <v>976</v>
      </c>
      <c r="J3024" s="549" t="s">
        <v>976</v>
      </c>
      <c r="K3024" s="549" t="s">
        <v>976</v>
      </c>
      <c r="L3024" s="549">
        <v>149405.22</v>
      </c>
      <c r="M3024" s="549">
        <v>11280.09</v>
      </c>
      <c r="N3024" s="549">
        <v>3301.86</v>
      </c>
      <c r="O3024" s="549">
        <v>3968</v>
      </c>
      <c r="P3024" s="549">
        <v>100</v>
      </c>
      <c r="Q3024" s="549">
        <v>18549.95</v>
      </c>
    </row>
    <row r="3025" spans="1:17" x14ac:dyDescent="0.25">
      <c r="A3025" s="549" t="s">
        <v>1083</v>
      </c>
      <c r="B3025" s="549" t="s">
        <v>584</v>
      </c>
      <c r="C3025" s="549" t="s">
        <v>774</v>
      </c>
      <c r="D3025" s="549" t="s">
        <v>775</v>
      </c>
      <c r="E3025" s="549" t="s">
        <v>977</v>
      </c>
      <c r="F3025" s="549" t="s">
        <v>1212</v>
      </c>
      <c r="G3025" s="549" t="s">
        <v>1241</v>
      </c>
      <c r="H3025" s="549" t="s">
        <v>774</v>
      </c>
      <c r="I3025" s="549" t="s">
        <v>976</v>
      </c>
      <c r="J3025" s="549" t="s">
        <v>976</v>
      </c>
      <c r="K3025" s="549" t="s">
        <v>976</v>
      </c>
      <c r="L3025" s="549">
        <v>35178.480000000003</v>
      </c>
      <c r="M3025" s="549">
        <v>2655.98</v>
      </c>
      <c r="N3025" s="549">
        <v>777.44</v>
      </c>
      <c r="O3025" s="549">
        <v>1984</v>
      </c>
      <c r="P3025" s="549">
        <v>100</v>
      </c>
      <c r="Q3025" s="549">
        <v>5417.42</v>
      </c>
    </row>
    <row r="3026" spans="1:17" x14ac:dyDescent="0.25">
      <c r="A3026" s="549" t="s">
        <v>1083</v>
      </c>
      <c r="B3026" s="549" t="s">
        <v>584</v>
      </c>
      <c r="C3026" s="549" t="s">
        <v>774</v>
      </c>
      <c r="D3026" s="549" t="s">
        <v>775</v>
      </c>
      <c r="E3026" s="549" t="s">
        <v>977</v>
      </c>
      <c r="F3026" s="549" t="s">
        <v>1212</v>
      </c>
      <c r="G3026" s="549" t="s">
        <v>1242</v>
      </c>
      <c r="H3026" s="549" t="s">
        <v>774</v>
      </c>
      <c r="I3026" s="549" t="s">
        <v>976</v>
      </c>
      <c r="J3026" s="549" t="s">
        <v>976</v>
      </c>
      <c r="K3026" s="549" t="s">
        <v>976</v>
      </c>
      <c r="L3026" s="549">
        <v>30944.639999999999</v>
      </c>
      <c r="M3026" s="549">
        <v>2336.3200000000002</v>
      </c>
      <c r="N3026" s="549">
        <v>683.88</v>
      </c>
      <c r="O3026" s="549">
        <v>0</v>
      </c>
      <c r="P3026" s="549">
        <v>100</v>
      </c>
      <c r="Q3026" s="549">
        <v>3020.2</v>
      </c>
    </row>
    <row r="3027" spans="1:17" x14ac:dyDescent="0.25">
      <c r="A3027" s="549" t="s">
        <v>1083</v>
      </c>
      <c r="B3027" s="549" t="s">
        <v>584</v>
      </c>
      <c r="C3027" s="549" t="s">
        <v>774</v>
      </c>
      <c r="D3027" s="549" t="s">
        <v>775</v>
      </c>
      <c r="E3027" s="549" t="s">
        <v>977</v>
      </c>
      <c r="F3027" s="549" t="s">
        <v>1212</v>
      </c>
      <c r="G3027" s="549" t="s">
        <v>1243</v>
      </c>
      <c r="H3027" s="549" t="s">
        <v>774</v>
      </c>
      <c r="I3027" s="549" t="s">
        <v>976</v>
      </c>
      <c r="J3027" s="549" t="s">
        <v>976</v>
      </c>
      <c r="K3027" s="549" t="s">
        <v>976</v>
      </c>
      <c r="L3027" s="549">
        <v>30944.639999999999</v>
      </c>
      <c r="M3027" s="549">
        <v>2336.3200000000002</v>
      </c>
      <c r="N3027" s="549">
        <v>683.88</v>
      </c>
      <c r="O3027" s="549">
        <v>0</v>
      </c>
      <c r="P3027" s="549">
        <v>100</v>
      </c>
      <c r="Q3027" s="549">
        <v>3020.2</v>
      </c>
    </row>
    <row r="3028" spans="1:17" x14ac:dyDescent="0.25">
      <c r="A3028" s="549" t="s">
        <v>1083</v>
      </c>
      <c r="B3028" s="549" t="s">
        <v>584</v>
      </c>
      <c r="C3028" s="549" t="s">
        <v>749</v>
      </c>
      <c r="D3028" s="549" t="s">
        <v>750</v>
      </c>
      <c r="E3028" s="549" t="s">
        <v>977</v>
      </c>
      <c r="F3028" s="549" t="s">
        <v>1212</v>
      </c>
      <c r="G3028" s="549">
        <v>1062</v>
      </c>
      <c r="H3028" s="549" t="s">
        <v>749</v>
      </c>
      <c r="I3028" s="549" t="s">
        <v>976</v>
      </c>
      <c r="J3028" s="549" t="s">
        <v>976</v>
      </c>
      <c r="K3028" s="549" t="s">
        <v>976</v>
      </c>
      <c r="L3028" s="549">
        <v>239044.95</v>
      </c>
      <c r="M3028" s="549">
        <v>18047.89</v>
      </c>
      <c r="N3028" s="549">
        <v>5282.89</v>
      </c>
      <c r="O3028" s="549">
        <v>1984</v>
      </c>
      <c r="P3028" s="549">
        <v>100</v>
      </c>
      <c r="Q3028" s="549">
        <v>25314.78</v>
      </c>
    </row>
    <row r="3029" spans="1:17" x14ac:dyDescent="0.25">
      <c r="A3029" s="549" t="s">
        <v>1083</v>
      </c>
      <c r="B3029" s="549" t="s">
        <v>584</v>
      </c>
      <c r="C3029" s="549" t="s">
        <v>749</v>
      </c>
      <c r="D3029" s="549" t="s">
        <v>750</v>
      </c>
      <c r="E3029" s="549" t="s">
        <v>977</v>
      </c>
      <c r="F3029" s="549" t="s">
        <v>1212</v>
      </c>
      <c r="G3029" s="549">
        <v>1072</v>
      </c>
      <c r="H3029" s="549" t="s">
        <v>749</v>
      </c>
      <c r="I3029" s="549" t="s">
        <v>976</v>
      </c>
      <c r="J3029" s="549" t="s">
        <v>976</v>
      </c>
      <c r="K3029" s="549" t="s">
        <v>976</v>
      </c>
      <c r="L3029" s="549">
        <v>171960.39</v>
      </c>
      <c r="M3029" s="549">
        <v>12983.01</v>
      </c>
      <c r="N3029" s="549">
        <v>3800.32</v>
      </c>
      <c r="O3029" s="549">
        <v>3968</v>
      </c>
      <c r="P3029" s="549">
        <v>100</v>
      </c>
      <c r="Q3029" s="549">
        <v>20751.330000000002</v>
      </c>
    </row>
    <row r="3030" spans="1:17" x14ac:dyDescent="0.25">
      <c r="A3030" s="549" t="s">
        <v>1083</v>
      </c>
      <c r="B3030" s="549" t="s">
        <v>584</v>
      </c>
      <c r="C3030" s="549" t="s">
        <v>749</v>
      </c>
      <c r="D3030" s="549" t="s">
        <v>750</v>
      </c>
      <c r="E3030" s="549" t="s">
        <v>977</v>
      </c>
      <c r="F3030" s="549" t="s">
        <v>1212</v>
      </c>
      <c r="G3030" s="549">
        <v>1092</v>
      </c>
      <c r="H3030" s="549" t="s">
        <v>749</v>
      </c>
      <c r="I3030" s="549" t="s">
        <v>976</v>
      </c>
      <c r="J3030" s="549" t="s">
        <v>976</v>
      </c>
      <c r="K3030" s="549" t="s">
        <v>976</v>
      </c>
      <c r="L3030" s="549">
        <v>171960.39</v>
      </c>
      <c r="M3030" s="549">
        <v>12983.01</v>
      </c>
      <c r="N3030" s="549">
        <v>3800.32</v>
      </c>
      <c r="O3030" s="549">
        <v>3968</v>
      </c>
      <c r="P3030" s="549">
        <v>100</v>
      </c>
      <c r="Q3030" s="549">
        <v>20751.330000000002</v>
      </c>
    </row>
    <row r="3031" spans="1:17" x14ac:dyDescent="0.25">
      <c r="A3031" s="549" t="s">
        <v>1083</v>
      </c>
      <c r="B3031" s="549" t="s">
        <v>584</v>
      </c>
      <c r="C3031" s="549" t="s">
        <v>749</v>
      </c>
      <c r="D3031" s="549" t="s">
        <v>750</v>
      </c>
      <c r="E3031" s="549" t="s">
        <v>977</v>
      </c>
      <c r="F3031" s="549" t="s">
        <v>1212</v>
      </c>
      <c r="G3031" s="549">
        <v>1112</v>
      </c>
      <c r="H3031" s="549" t="s">
        <v>749</v>
      </c>
      <c r="I3031" s="549" t="s">
        <v>976</v>
      </c>
      <c r="J3031" s="549" t="s">
        <v>976</v>
      </c>
      <c r="K3031" s="549" t="s">
        <v>976</v>
      </c>
      <c r="L3031" s="549">
        <v>171960.39</v>
      </c>
      <c r="M3031" s="549">
        <v>12983.01</v>
      </c>
      <c r="N3031" s="549">
        <v>3800.32</v>
      </c>
      <c r="O3031" s="549">
        <v>3968</v>
      </c>
      <c r="P3031" s="549">
        <v>100</v>
      </c>
      <c r="Q3031" s="549">
        <v>20751.330000000002</v>
      </c>
    </row>
    <row r="3032" spans="1:17" x14ac:dyDescent="0.25">
      <c r="A3032" s="549" t="s">
        <v>1083</v>
      </c>
      <c r="B3032" s="549" t="s">
        <v>584</v>
      </c>
      <c r="C3032" s="549" t="s">
        <v>749</v>
      </c>
      <c r="D3032" s="549" t="s">
        <v>750</v>
      </c>
      <c r="E3032" s="549" t="s">
        <v>977</v>
      </c>
      <c r="F3032" s="549" t="s">
        <v>1212</v>
      </c>
      <c r="G3032" s="549" t="s">
        <v>1445</v>
      </c>
      <c r="H3032" s="549" t="s">
        <v>749</v>
      </c>
      <c r="I3032" s="549" t="s">
        <v>976</v>
      </c>
      <c r="J3032" s="549" t="s">
        <v>976</v>
      </c>
      <c r="K3032" s="549" t="s">
        <v>976</v>
      </c>
      <c r="L3032" s="549">
        <v>0.02</v>
      </c>
      <c r="M3032" s="549">
        <v>0</v>
      </c>
      <c r="N3032" s="549">
        <v>0</v>
      </c>
      <c r="O3032" s="549">
        <v>1984</v>
      </c>
      <c r="P3032" s="549">
        <v>100</v>
      </c>
      <c r="Q3032" s="549">
        <v>1984</v>
      </c>
    </row>
    <row r="3033" spans="1:17" x14ac:dyDescent="0.25">
      <c r="A3033" s="549" t="s">
        <v>1083</v>
      </c>
      <c r="B3033" s="549" t="s">
        <v>584</v>
      </c>
      <c r="C3033" s="549" t="s">
        <v>749</v>
      </c>
      <c r="D3033" s="549" t="s">
        <v>750</v>
      </c>
      <c r="E3033" s="549" t="s">
        <v>977</v>
      </c>
      <c r="F3033" s="549" t="s">
        <v>1212</v>
      </c>
      <c r="G3033" s="549" t="s">
        <v>1227</v>
      </c>
      <c r="H3033" s="549" t="s">
        <v>749</v>
      </c>
      <c r="I3033" s="549" t="s">
        <v>976</v>
      </c>
      <c r="J3033" s="549" t="s">
        <v>976</v>
      </c>
      <c r="K3033" s="549" t="s">
        <v>976</v>
      </c>
      <c r="L3033" s="549">
        <v>32316.799999999999</v>
      </c>
      <c r="M3033" s="549">
        <v>2439.92</v>
      </c>
      <c r="N3033" s="549">
        <v>714.2</v>
      </c>
      <c r="O3033" s="549">
        <v>0</v>
      </c>
      <c r="P3033" s="549">
        <v>100</v>
      </c>
      <c r="Q3033" s="549">
        <v>3154.12</v>
      </c>
    </row>
    <row r="3034" spans="1:17" x14ac:dyDescent="0.25">
      <c r="A3034" s="549" t="s">
        <v>1083</v>
      </c>
      <c r="B3034" s="549" t="s">
        <v>584</v>
      </c>
      <c r="C3034" s="549" t="s">
        <v>749</v>
      </c>
      <c r="D3034" s="549" t="s">
        <v>750</v>
      </c>
      <c r="E3034" s="549" t="s">
        <v>977</v>
      </c>
      <c r="F3034" s="549" t="s">
        <v>1212</v>
      </c>
      <c r="G3034" s="549" t="s">
        <v>1286</v>
      </c>
      <c r="H3034" s="549" t="s">
        <v>749</v>
      </c>
      <c r="I3034" s="549" t="s">
        <v>976</v>
      </c>
      <c r="J3034" s="549" t="s">
        <v>976</v>
      </c>
      <c r="K3034" s="549" t="s">
        <v>976</v>
      </c>
      <c r="L3034" s="549">
        <v>152904.84</v>
      </c>
      <c r="M3034" s="549">
        <v>11544.32</v>
      </c>
      <c r="N3034" s="549">
        <v>3379.2</v>
      </c>
      <c r="O3034" s="549">
        <v>0</v>
      </c>
      <c r="P3034" s="549">
        <v>100</v>
      </c>
      <c r="Q3034" s="549">
        <v>14923.52</v>
      </c>
    </row>
    <row r="3035" spans="1:17" x14ac:dyDescent="0.25">
      <c r="A3035" s="549" t="s">
        <v>1083</v>
      </c>
      <c r="B3035" s="549" t="s">
        <v>584</v>
      </c>
      <c r="C3035" s="549" t="s">
        <v>783</v>
      </c>
      <c r="D3035" s="549" t="s">
        <v>784</v>
      </c>
      <c r="E3035" s="549" t="s">
        <v>977</v>
      </c>
      <c r="F3035" s="549" t="s">
        <v>1212</v>
      </c>
      <c r="G3035" s="549">
        <v>42</v>
      </c>
      <c r="H3035" s="549" t="s">
        <v>783</v>
      </c>
      <c r="I3035" s="549" t="s">
        <v>976</v>
      </c>
      <c r="J3035" s="549" t="s">
        <v>976</v>
      </c>
      <c r="K3035" s="549" t="s">
        <v>976</v>
      </c>
      <c r="L3035" s="549">
        <v>344086.71</v>
      </c>
      <c r="M3035" s="549">
        <v>25978.55</v>
      </c>
      <c r="N3035" s="549">
        <v>7604.32</v>
      </c>
      <c r="O3035" s="549">
        <v>1984</v>
      </c>
      <c r="P3035" s="549">
        <v>100</v>
      </c>
      <c r="Q3035" s="549">
        <v>35566.870000000003</v>
      </c>
    </row>
    <row r="3036" spans="1:17" x14ac:dyDescent="0.25">
      <c r="A3036" s="549" t="s">
        <v>1083</v>
      </c>
      <c r="B3036" s="549" t="s">
        <v>584</v>
      </c>
      <c r="C3036" s="549" t="s">
        <v>785</v>
      </c>
      <c r="D3036" s="549" t="s">
        <v>786</v>
      </c>
      <c r="E3036" s="549" t="s">
        <v>977</v>
      </c>
      <c r="F3036" s="549" t="s">
        <v>1212</v>
      </c>
      <c r="G3036" s="549">
        <v>62</v>
      </c>
      <c r="H3036" s="549" t="s">
        <v>785</v>
      </c>
      <c r="I3036" s="549" t="s">
        <v>976</v>
      </c>
      <c r="J3036" s="549" t="s">
        <v>976</v>
      </c>
      <c r="K3036" s="549" t="s">
        <v>976</v>
      </c>
      <c r="L3036" s="549">
        <v>344086.71</v>
      </c>
      <c r="M3036" s="549">
        <v>25978.55</v>
      </c>
      <c r="N3036" s="549">
        <v>7604.32</v>
      </c>
      <c r="O3036" s="549">
        <v>1984</v>
      </c>
      <c r="P3036" s="549">
        <v>94.85</v>
      </c>
      <c r="Q3036" s="549">
        <v>33735.18</v>
      </c>
    </row>
    <row r="3037" spans="1:17" x14ac:dyDescent="0.25">
      <c r="A3037" s="549" t="s">
        <v>1083</v>
      </c>
      <c r="B3037" s="549" t="s">
        <v>584</v>
      </c>
      <c r="C3037" s="549" t="s">
        <v>785</v>
      </c>
      <c r="D3037" s="549" t="s">
        <v>786</v>
      </c>
      <c r="E3037" s="549" t="s">
        <v>977</v>
      </c>
      <c r="F3037" s="549" t="s">
        <v>1212</v>
      </c>
      <c r="G3037" s="549">
        <v>92</v>
      </c>
      <c r="H3037" s="549" t="s">
        <v>785</v>
      </c>
      <c r="I3037" s="549" t="s">
        <v>976</v>
      </c>
      <c r="J3037" s="549" t="s">
        <v>976</v>
      </c>
      <c r="K3037" s="549" t="s">
        <v>976</v>
      </c>
      <c r="L3037" s="549">
        <v>344086.71</v>
      </c>
      <c r="M3037" s="549">
        <v>25978.55</v>
      </c>
      <c r="N3037" s="549">
        <v>7604.32</v>
      </c>
      <c r="O3037" s="549">
        <v>1984</v>
      </c>
      <c r="P3037" s="549">
        <v>94.85</v>
      </c>
      <c r="Q3037" s="549">
        <v>33735.18</v>
      </c>
    </row>
    <row r="3038" spans="1:17" x14ac:dyDescent="0.25">
      <c r="A3038" s="549" t="s">
        <v>1083</v>
      </c>
      <c r="B3038" s="549" t="s">
        <v>584</v>
      </c>
      <c r="C3038" s="549" t="s">
        <v>785</v>
      </c>
      <c r="D3038" s="549" t="s">
        <v>786</v>
      </c>
      <c r="E3038" s="549" t="s">
        <v>977</v>
      </c>
      <c r="F3038" s="549" t="s">
        <v>1212</v>
      </c>
      <c r="G3038" s="549">
        <v>1042</v>
      </c>
      <c r="H3038" s="549" t="s">
        <v>785</v>
      </c>
      <c r="I3038" s="549" t="s">
        <v>976</v>
      </c>
      <c r="J3038" s="549" t="s">
        <v>976</v>
      </c>
      <c r="K3038" s="549" t="s">
        <v>976</v>
      </c>
      <c r="L3038" s="549">
        <v>147893.45000000001</v>
      </c>
      <c r="M3038" s="549">
        <v>11165.96</v>
      </c>
      <c r="N3038" s="549">
        <v>3268.45</v>
      </c>
      <c r="O3038" s="549">
        <v>3968</v>
      </c>
      <c r="P3038" s="549">
        <v>100</v>
      </c>
      <c r="Q3038" s="549">
        <v>18402.41</v>
      </c>
    </row>
    <row r="3039" spans="1:17" x14ac:dyDescent="0.25">
      <c r="A3039" s="549" t="s">
        <v>1083</v>
      </c>
      <c r="B3039" s="549" t="s">
        <v>584</v>
      </c>
      <c r="C3039" s="549" t="s">
        <v>785</v>
      </c>
      <c r="D3039" s="549" t="s">
        <v>786</v>
      </c>
      <c r="E3039" s="549" t="s">
        <v>977</v>
      </c>
      <c r="F3039" s="549" t="s">
        <v>1212</v>
      </c>
      <c r="G3039" s="549">
        <v>1052</v>
      </c>
      <c r="H3039" s="549" t="s">
        <v>785</v>
      </c>
      <c r="I3039" s="549" t="s">
        <v>976</v>
      </c>
      <c r="J3039" s="549" t="s">
        <v>976</v>
      </c>
      <c r="K3039" s="549" t="s">
        <v>976</v>
      </c>
      <c r="L3039" s="549">
        <v>134767.66</v>
      </c>
      <c r="M3039" s="549">
        <v>10174.959999999999</v>
      </c>
      <c r="N3039" s="549">
        <v>2978.37</v>
      </c>
      <c r="O3039" s="549">
        <v>1984</v>
      </c>
      <c r="P3039" s="549">
        <v>94.85</v>
      </c>
      <c r="Q3039" s="549">
        <v>14357.76</v>
      </c>
    </row>
    <row r="3040" spans="1:17" x14ac:dyDescent="0.25">
      <c r="A3040" s="549" t="s">
        <v>1083</v>
      </c>
      <c r="B3040" s="549" t="s">
        <v>584</v>
      </c>
      <c r="C3040" s="549" t="s">
        <v>785</v>
      </c>
      <c r="D3040" s="549" t="s">
        <v>786</v>
      </c>
      <c r="E3040" s="549" t="s">
        <v>977</v>
      </c>
      <c r="F3040" s="549" t="s">
        <v>1212</v>
      </c>
      <c r="G3040" s="549">
        <v>1057</v>
      </c>
      <c r="H3040" s="549" t="s">
        <v>785</v>
      </c>
      <c r="I3040" s="549" t="s">
        <v>976</v>
      </c>
      <c r="J3040" s="549" t="s">
        <v>976</v>
      </c>
      <c r="K3040" s="549" t="s">
        <v>976</v>
      </c>
      <c r="L3040" s="549">
        <v>41214.54</v>
      </c>
      <c r="M3040" s="549">
        <v>3111.7</v>
      </c>
      <c r="N3040" s="549">
        <v>910.84</v>
      </c>
      <c r="O3040" s="549">
        <v>992</v>
      </c>
      <c r="P3040" s="549">
        <v>94.85</v>
      </c>
      <c r="Q3040" s="549">
        <v>4756.29</v>
      </c>
    </row>
    <row r="3041" spans="1:17" x14ac:dyDescent="0.25">
      <c r="A3041" s="549" t="s">
        <v>1083</v>
      </c>
      <c r="B3041" s="549" t="s">
        <v>584</v>
      </c>
      <c r="C3041" s="549" t="s">
        <v>785</v>
      </c>
      <c r="D3041" s="549" t="s">
        <v>786</v>
      </c>
      <c r="E3041" s="549" t="s">
        <v>977</v>
      </c>
      <c r="F3041" s="549" t="s">
        <v>1212</v>
      </c>
      <c r="G3041" s="549">
        <v>1082</v>
      </c>
      <c r="H3041" s="549" t="s">
        <v>785</v>
      </c>
      <c r="I3041" s="549" t="s">
        <v>976</v>
      </c>
      <c r="J3041" s="549" t="s">
        <v>976</v>
      </c>
      <c r="K3041" s="549" t="s">
        <v>976</v>
      </c>
      <c r="L3041" s="549">
        <v>134767.66</v>
      </c>
      <c r="M3041" s="549">
        <v>10174.959999999999</v>
      </c>
      <c r="N3041" s="549">
        <v>2978.37</v>
      </c>
      <c r="O3041" s="549">
        <v>1984</v>
      </c>
      <c r="P3041" s="549">
        <v>94.85</v>
      </c>
      <c r="Q3041" s="549">
        <v>14357.76</v>
      </c>
    </row>
    <row r="3042" spans="1:17" x14ac:dyDescent="0.25">
      <c r="A3042" s="549" t="s">
        <v>1083</v>
      </c>
      <c r="B3042" s="549" t="s">
        <v>584</v>
      </c>
      <c r="C3042" s="549" t="s">
        <v>785</v>
      </c>
      <c r="D3042" s="549" t="s">
        <v>786</v>
      </c>
      <c r="E3042" s="549" t="s">
        <v>977</v>
      </c>
      <c r="F3042" s="549" t="s">
        <v>1212</v>
      </c>
      <c r="G3042" s="549">
        <v>1087</v>
      </c>
      <c r="H3042" s="549" t="s">
        <v>785</v>
      </c>
      <c r="I3042" s="549" t="s">
        <v>976</v>
      </c>
      <c r="J3042" s="549" t="s">
        <v>976</v>
      </c>
      <c r="K3042" s="549" t="s">
        <v>976</v>
      </c>
      <c r="L3042" s="549">
        <v>41214.54</v>
      </c>
      <c r="M3042" s="549">
        <v>3111.7</v>
      </c>
      <c r="N3042" s="549">
        <v>910.84</v>
      </c>
      <c r="O3042" s="549">
        <v>992</v>
      </c>
      <c r="P3042" s="549">
        <v>94.85</v>
      </c>
      <c r="Q3042" s="549">
        <v>4756.29</v>
      </c>
    </row>
    <row r="3043" spans="1:17" x14ac:dyDescent="0.25">
      <c r="A3043" s="549" t="s">
        <v>1083</v>
      </c>
      <c r="B3043" s="549" t="s">
        <v>584</v>
      </c>
      <c r="C3043" s="549" t="s">
        <v>785</v>
      </c>
      <c r="D3043" s="549" t="s">
        <v>786</v>
      </c>
      <c r="E3043" s="549" t="s">
        <v>977</v>
      </c>
      <c r="F3043" s="549" t="s">
        <v>1212</v>
      </c>
      <c r="G3043" s="549">
        <v>1092</v>
      </c>
      <c r="H3043" s="549" t="s">
        <v>785</v>
      </c>
      <c r="I3043" s="549" t="s">
        <v>976</v>
      </c>
      <c r="J3043" s="549" t="s">
        <v>976</v>
      </c>
      <c r="K3043" s="549" t="s">
        <v>976</v>
      </c>
      <c r="L3043" s="549">
        <v>147893.45000000001</v>
      </c>
      <c r="M3043" s="549">
        <v>11165.96</v>
      </c>
      <c r="N3043" s="549">
        <v>3268.45</v>
      </c>
      <c r="O3043" s="549">
        <v>3968</v>
      </c>
      <c r="P3043" s="549">
        <v>100</v>
      </c>
      <c r="Q3043" s="549">
        <v>18402.41</v>
      </c>
    </row>
    <row r="3044" spans="1:17" x14ac:dyDescent="0.25">
      <c r="A3044" s="549" t="s">
        <v>1083</v>
      </c>
      <c r="B3044" s="549" t="s">
        <v>584</v>
      </c>
      <c r="C3044" s="549" t="s">
        <v>785</v>
      </c>
      <c r="D3044" s="549" t="s">
        <v>786</v>
      </c>
      <c r="E3044" s="549" t="s">
        <v>977</v>
      </c>
      <c r="F3044" s="549" t="s">
        <v>1212</v>
      </c>
      <c r="G3044" s="549" t="s">
        <v>1269</v>
      </c>
      <c r="H3044" s="549" t="s">
        <v>785</v>
      </c>
      <c r="I3044" s="549" t="s">
        <v>976</v>
      </c>
      <c r="J3044" s="549" t="s">
        <v>976</v>
      </c>
      <c r="K3044" s="549" t="s">
        <v>976</v>
      </c>
      <c r="L3044" s="549">
        <v>60955.97</v>
      </c>
      <c r="M3044" s="549">
        <v>4602.18</v>
      </c>
      <c r="N3044" s="549">
        <v>1347.13</v>
      </c>
      <c r="O3044" s="549">
        <v>1984</v>
      </c>
      <c r="P3044" s="549">
        <v>94.85</v>
      </c>
      <c r="Q3044" s="549">
        <v>7524.74</v>
      </c>
    </row>
    <row r="3045" spans="1:17" x14ac:dyDescent="0.25">
      <c r="A3045" s="549" t="s">
        <v>1083</v>
      </c>
      <c r="B3045" s="549" t="s">
        <v>584</v>
      </c>
      <c r="C3045" s="549" t="s">
        <v>785</v>
      </c>
      <c r="D3045" s="549" t="s">
        <v>786</v>
      </c>
      <c r="E3045" s="549" t="s">
        <v>977</v>
      </c>
      <c r="F3045" s="549" t="s">
        <v>1212</v>
      </c>
      <c r="G3045" s="549" t="s">
        <v>1220</v>
      </c>
      <c r="H3045" s="549" t="s">
        <v>785</v>
      </c>
      <c r="I3045" s="549" t="s">
        <v>976</v>
      </c>
      <c r="J3045" s="549" t="s">
        <v>976</v>
      </c>
      <c r="K3045" s="549" t="s">
        <v>976</v>
      </c>
      <c r="L3045" s="549">
        <v>18219.41</v>
      </c>
      <c r="M3045" s="549">
        <v>1375.57</v>
      </c>
      <c r="N3045" s="549">
        <v>402.65</v>
      </c>
      <c r="O3045" s="549">
        <v>0</v>
      </c>
      <c r="P3045" s="549">
        <v>100</v>
      </c>
      <c r="Q3045" s="549">
        <v>1778.22</v>
      </c>
    </row>
    <row r="3046" spans="1:17" x14ac:dyDescent="0.25">
      <c r="A3046" s="549" t="s">
        <v>1083</v>
      </c>
      <c r="B3046" s="549" t="s">
        <v>584</v>
      </c>
      <c r="C3046" s="549" t="s">
        <v>785</v>
      </c>
      <c r="D3046" s="549" t="s">
        <v>786</v>
      </c>
      <c r="E3046" s="549" t="s">
        <v>977</v>
      </c>
      <c r="F3046" s="549" t="s">
        <v>1212</v>
      </c>
      <c r="G3046" s="549" t="s">
        <v>1296</v>
      </c>
      <c r="H3046" s="549" t="s">
        <v>785</v>
      </c>
      <c r="I3046" s="549" t="s">
        <v>976</v>
      </c>
      <c r="J3046" s="549" t="s">
        <v>976</v>
      </c>
      <c r="K3046" s="549" t="s">
        <v>976</v>
      </c>
      <c r="L3046" s="549">
        <v>18219.41</v>
      </c>
      <c r="M3046" s="549">
        <v>1375.57</v>
      </c>
      <c r="N3046" s="549">
        <v>402.65</v>
      </c>
      <c r="O3046" s="549">
        <v>0</v>
      </c>
      <c r="P3046" s="549">
        <v>100</v>
      </c>
      <c r="Q3046" s="549">
        <v>1778.22</v>
      </c>
    </row>
    <row r="3047" spans="1:17" x14ac:dyDescent="0.25">
      <c r="A3047" s="549" t="s">
        <v>1083</v>
      </c>
      <c r="B3047" s="549" t="s">
        <v>584</v>
      </c>
      <c r="C3047" s="549" t="s">
        <v>776</v>
      </c>
      <c r="D3047" s="549" t="s">
        <v>777</v>
      </c>
      <c r="E3047" s="549" t="s">
        <v>977</v>
      </c>
      <c r="F3047" s="549" t="s">
        <v>1212</v>
      </c>
      <c r="G3047" s="549">
        <v>39</v>
      </c>
      <c r="H3047" s="549" t="s">
        <v>776</v>
      </c>
      <c r="I3047" s="549" t="s">
        <v>976</v>
      </c>
      <c r="J3047" s="549" t="s">
        <v>976</v>
      </c>
      <c r="K3047" s="549" t="s">
        <v>976</v>
      </c>
      <c r="L3047" s="549">
        <v>78531.14</v>
      </c>
      <c r="M3047" s="549">
        <v>5929.1</v>
      </c>
      <c r="N3047" s="549">
        <v>1735.54</v>
      </c>
      <c r="O3047" s="549">
        <v>1984</v>
      </c>
      <c r="P3047" s="549">
        <v>100</v>
      </c>
      <c r="Q3047" s="549">
        <v>9648.64</v>
      </c>
    </row>
    <row r="3048" spans="1:17" x14ac:dyDescent="0.25">
      <c r="A3048" s="549" t="s">
        <v>1083</v>
      </c>
      <c r="B3048" s="549" t="s">
        <v>584</v>
      </c>
      <c r="C3048" s="549" t="s">
        <v>776</v>
      </c>
      <c r="D3048" s="549" t="s">
        <v>777</v>
      </c>
      <c r="E3048" s="549" t="s">
        <v>977</v>
      </c>
      <c r="F3048" s="549" t="s">
        <v>1212</v>
      </c>
      <c r="G3048" s="549" t="s">
        <v>1238</v>
      </c>
      <c r="H3048" s="549" t="s">
        <v>776</v>
      </c>
      <c r="I3048" s="549" t="s">
        <v>976</v>
      </c>
      <c r="J3048" s="549" t="s">
        <v>976</v>
      </c>
      <c r="K3048" s="549" t="s">
        <v>976</v>
      </c>
      <c r="L3048" s="549">
        <v>0</v>
      </c>
      <c r="M3048" s="549">
        <v>0</v>
      </c>
      <c r="N3048" s="549">
        <v>0</v>
      </c>
      <c r="O3048" s="549">
        <v>0</v>
      </c>
      <c r="P3048" s="549">
        <v>100</v>
      </c>
      <c r="Q3048" s="549">
        <v>0</v>
      </c>
    </row>
    <row r="3049" spans="1:17" x14ac:dyDescent="0.25">
      <c r="A3049" s="549" t="s">
        <v>1083</v>
      </c>
      <c r="B3049" s="549" t="s">
        <v>584</v>
      </c>
      <c r="C3049" s="549" t="s">
        <v>776</v>
      </c>
      <c r="D3049" s="549" t="s">
        <v>777</v>
      </c>
      <c r="E3049" s="549" t="s">
        <v>977</v>
      </c>
      <c r="F3049" s="549" t="s">
        <v>1212</v>
      </c>
      <c r="G3049" s="549" t="s">
        <v>1274</v>
      </c>
      <c r="H3049" s="549" t="s">
        <v>776</v>
      </c>
      <c r="I3049" s="549" t="s">
        <v>976</v>
      </c>
      <c r="J3049" s="549" t="s">
        <v>976</v>
      </c>
      <c r="K3049" s="549" t="s">
        <v>976</v>
      </c>
      <c r="L3049" s="549">
        <v>40349.230000000003</v>
      </c>
      <c r="M3049" s="549">
        <v>3046.37</v>
      </c>
      <c r="N3049" s="549">
        <v>891.72</v>
      </c>
      <c r="O3049" s="549">
        <v>0</v>
      </c>
      <c r="P3049" s="549">
        <v>23.23</v>
      </c>
      <c r="Q3049" s="549">
        <v>914.82</v>
      </c>
    </row>
    <row r="3050" spans="1:17" x14ac:dyDescent="0.25">
      <c r="A3050" s="549" t="s">
        <v>1083</v>
      </c>
      <c r="B3050" s="549" t="s">
        <v>584</v>
      </c>
      <c r="C3050" s="549" t="s">
        <v>753</v>
      </c>
      <c r="D3050" s="549" t="s">
        <v>754</v>
      </c>
      <c r="E3050" s="549" t="s">
        <v>973</v>
      </c>
      <c r="F3050" s="549" t="s">
        <v>1212</v>
      </c>
      <c r="G3050" s="549">
        <v>999</v>
      </c>
      <c r="H3050" s="549" t="s">
        <v>1101</v>
      </c>
      <c r="I3050" s="549" t="s">
        <v>1291</v>
      </c>
      <c r="J3050" s="549" t="s">
        <v>1291</v>
      </c>
      <c r="K3050" s="549" t="s">
        <v>1291</v>
      </c>
      <c r="L3050" s="549">
        <v>0</v>
      </c>
      <c r="M3050" s="549">
        <v>0</v>
      </c>
      <c r="N3050" s="549">
        <v>0</v>
      </c>
      <c r="O3050" s="549">
        <v>0</v>
      </c>
      <c r="P3050" s="549">
        <v>0</v>
      </c>
      <c r="Q3050" s="549">
        <v>0</v>
      </c>
    </row>
    <row r="3051" spans="1:17" x14ac:dyDescent="0.25">
      <c r="A3051" s="549" t="s">
        <v>1083</v>
      </c>
      <c r="B3051" s="549" t="s">
        <v>584</v>
      </c>
      <c r="C3051" s="549" t="s">
        <v>753</v>
      </c>
      <c r="D3051" s="549" t="s">
        <v>754</v>
      </c>
      <c r="E3051" s="549" t="s">
        <v>977</v>
      </c>
      <c r="F3051" s="549" t="s">
        <v>1212</v>
      </c>
      <c r="G3051" s="549">
        <v>999</v>
      </c>
      <c r="H3051" s="549" t="s">
        <v>1101</v>
      </c>
      <c r="I3051" s="549" t="s">
        <v>1291</v>
      </c>
      <c r="J3051" s="549" t="s">
        <v>1291</v>
      </c>
      <c r="K3051" s="549" t="s">
        <v>1291</v>
      </c>
      <c r="L3051" s="549">
        <v>0</v>
      </c>
      <c r="M3051" s="549">
        <v>0</v>
      </c>
      <c r="N3051" s="549">
        <v>0</v>
      </c>
      <c r="O3051" s="549">
        <v>0</v>
      </c>
      <c r="P3051" s="549">
        <v>0</v>
      </c>
      <c r="Q3051" s="549">
        <v>0</v>
      </c>
    </row>
    <row r="3052" spans="1:17" x14ac:dyDescent="0.25">
      <c r="A3052" s="549" t="s">
        <v>1083</v>
      </c>
      <c r="B3052" s="549" t="s">
        <v>584</v>
      </c>
      <c r="C3052" s="549" t="s">
        <v>753</v>
      </c>
      <c r="D3052" s="549" t="s">
        <v>754</v>
      </c>
      <c r="E3052" s="549" t="s">
        <v>977</v>
      </c>
      <c r="F3052" s="549" t="s">
        <v>1212</v>
      </c>
      <c r="G3052" s="549">
        <v>52</v>
      </c>
      <c r="H3052" s="549" t="s">
        <v>753</v>
      </c>
      <c r="I3052" s="549" t="s">
        <v>976</v>
      </c>
      <c r="J3052" s="549" t="s">
        <v>976</v>
      </c>
      <c r="K3052" s="549" t="s">
        <v>976</v>
      </c>
      <c r="L3052" s="549">
        <v>426873.98</v>
      </c>
      <c r="M3052" s="549">
        <v>32228.99</v>
      </c>
      <c r="N3052" s="549">
        <v>9433.91</v>
      </c>
      <c r="O3052" s="549">
        <v>3968</v>
      </c>
      <c r="P3052" s="549">
        <v>100</v>
      </c>
      <c r="Q3052" s="549">
        <v>45630.9</v>
      </c>
    </row>
    <row r="3053" spans="1:17" x14ac:dyDescent="0.25">
      <c r="A3053" s="549" t="s">
        <v>1083</v>
      </c>
      <c r="B3053" s="549" t="s">
        <v>584</v>
      </c>
      <c r="C3053" s="549" t="s">
        <v>753</v>
      </c>
      <c r="D3053" s="549" t="s">
        <v>754</v>
      </c>
      <c r="E3053" s="549" t="s">
        <v>977</v>
      </c>
      <c r="F3053" s="549" t="s">
        <v>1212</v>
      </c>
      <c r="G3053" s="549">
        <v>72</v>
      </c>
      <c r="H3053" s="549" t="s">
        <v>753</v>
      </c>
      <c r="I3053" s="549" t="s">
        <v>976</v>
      </c>
      <c r="J3053" s="549" t="s">
        <v>976</v>
      </c>
      <c r="K3053" s="549" t="s">
        <v>976</v>
      </c>
      <c r="L3053" s="549">
        <v>426873.98</v>
      </c>
      <c r="M3053" s="549">
        <v>32228.99</v>
      </c>
      <c r="N3053" s="549">
        <v>9433.91</v>
      </c>
      <c r="O3053" s="549">
        <v>3968</v>
      </c>
      <c r="P3053" s="549">
        <v>100</v>
      </c>
      <c r="Q3053" s="549">
        <v>45630.9</v>
      </c>
    </row>
    <row r="3054" spans="1:17" x14ac:dyDescent="0.25">
      <c r="A3054" s="549" t="s">
        <v>1083</v>
      </c>
      <c r="B3054" s="549" t="s">
        <v>584</v>
      </c>
      <c r="C3054" s="549" t="s">
        <v>753</v>
      </c>
      <c r="D3054" s="549" t="s">
        <v>754</v>
      </c>
      <c r="E3054" s="549" t="s">
        <v>977</v>
      </c>
      <c r="F3054" s="549" t="s">
        <v>1212</v>
      </c>
      <c r="G3054" s="549">
        <v>1102</v>
      </c>
      <c r="H3054" s="549" t="s">
        <v>753</v>
      </c>
      <c r="I3054" s="549" t="s">
        <v>976</v>
      </c>
      <c r="J3054" s="549" t="s">
        <v>976</v>
      </c>
      <c r="K3054" s="549" t="s">
        <v>976</v>
      </c>
      <c r="L3054" s="549">
        <v>149332.76</v>
      </c>
      <c r="M3054" s="549">
        <v>11274.62</v>
      </c>
      <c r="N3054" s="549">
        <v>3300.25</v>
      </c>
      <c r="O3054" s="549">
        <v>3968</v>
      </c>
      <c r="P3054" s="549">
        <v>100</v>
      </c>
      <c r="Q3054" s="549">
        <v>18542.87</v>
      </c>
    </row>
    <row r="3055" spans="1:17" x14ac:dyDescent="0.25">
      <c r="A3055" s="549" t="s">
        <v>1083</v>
      </c>
      <c r="B3055" s="549" t="s">
        <v>584</v>
      </c>
      <c r="C3055" s="549" t="s">
        <v>753</v>
      </c>
      <c r="D3055" s="549" t="s">
        <v>754</v>
      </c>
      <c r="E3055" s="549" t="s">
        <v>977</v>
      </c>
      <c r="F3055" s="549" t="s">
        <v>1212</v>
      </c>
      <c r="G3055" s="549">
        <v>1112</v>
      </c>
      <c r="H3055" s="549" t="s">
        <v>753</v>
      </c>
      <c r="I3055" s="549" t="s">
        <v>976</v>
      </c>
      <c r="J3055" s="549" t="s">
        <v>976</v>
      </c>
      <c r="K3055" s="549" t="s">
        <v>976</v>
      </c>
      <c r="L3055" s="549">
        <v>136079.23000000001</v>
      </c>
      <c r="M3055" s="549">
        <v>10273.98</v>
      </c>
      <c r="N3055" s="549">
        <v>3007.35</v>
      </c>
      <c r="O3055" s="549">
        <v>1984</v>
      </c>
      <c r="P3055" s="549">
        <v>100</v>
      </c>
      <c r="Q3055" s="549">
        <v>15265.33</v>
      </c>
    </row>
    <row r="3056" spans="1:17" x14ac:dyDescent="0.25">
      <c r="A3056" s="549" t="s">
        <v>1083</v>
      </c>
      <c r="B3056" s="549" t="s">
        <v>584</v>
      </c>
      <c r="C3056" s="549" t="s">
        <v>753</v>
      </c>
      <c r="D3056" s="549" t="s">
        <v>754</v>
      </c>
      <c r="E3056" s="549" t="s">
        <v>977</v>
      </c>
      <c r="F3056" s="549" t="s">
        <v>1212</v>
      </c>
      <c r="G3056" s="549">
        <v>1122</v>
      </c>
      <c r="H3056" s="549" t="s">
        <v>753</v>
      </c>
      <c r="I3056" s="549" t="s">
        <v>976</v>
      </c>
      <c r="J3056" s="549" t="s">
        <v>976</v>
      </c>
      <c r="K3056" s="549" t="s">
        <v>976</v>
      </c>
      <c r="L3056" s="549">
        <v>149332.76</v>
      </c>
      <c r="M3056" s="549">
        <v>11274.62</v>
      </c>
      <c r="N3056" s="549">
        <v>3300.25</v>
      </c>
      <c r="O3056" s="549">
        <v>3968</v>
      </c>
      <c r="P3056" s="549">
        <v>100</v>
      </c>
      <c r="Q3056" s="549">
        <v>18542.87</v>
      </c>
    </row>
    <row r="3057" spans="1:17" x14ac:dyDescent="0.25">
      <c r="A3057" s="549" t="s">
        <v>1083</v>
      </c>
      <c r="B3057" s="549" t="s">
        <v>584</v>
      </c>
      <c r="C3057" s="549" t="s">
        <v>753</v>
      </c>
      <c r="D3057" s="549" t="s">
        <v>754</v>
      </c>
      <c r="E3057" s="549" t="s">
        <v>977</v>
      </c>
      <c r="F3057" s="549" t="s">
        <v>1212</v>
      </c>
      <c r="G3057" s="549">
        <v>1127</v>
      </c>
      <c r="H3057" s="549" t="s">
        <v>753</v>
      </c>
      <c r="I3057" s="549" t="s">
        <v>976</v>
      </c>
      <c r="J3057" s="549" t="s">
        <v>976</v>
      </c>
      <c r="K3057" s="549" t="s">
        <v>976</v>
      </c>
      <c r="L3057" s="549">
        <v>35161.42</v>
      </c>
      <c r="M3057" s="549">
        <v>2654.69</v>
      </c>
      <c r="N3057" s="549">
        <v>777.07</v>
      </c>
      <c r="O3057" s="549">
        <v>992</v>
      </c>
      <c r="P3057" s="549">
        <v>100</v>
      </c>
      <c r="Q3057" s="549">
        <v>4423.76</v>
      </c>
    </row>
    <row r="3058" spans="1:17" x14ac:dyDescent="0.25">
      <c r="A3058" s="549" t="s">
        <v>1083</v>
      </c>
      <c r="B3058" s="549" t="s">
        <v>584</v>
      </c>
      <c r="C3058" s="549" t="s">
        <v>753</v>
      </c>
      <c r="D3058" s="549" t="s">
        <v>754</v>
      </c>
      <c r="E3058" s="549" t="s">
        <v>977</v>
      </c>
      <c r="F3058" s="549" t="s">
        <v>1212</v>
      </c>
      <c r="G3058" s="549">
        <v>1142</v>
      </c>
      <c r="H3058" s="549" t="s">
        <v>753</v>
      </c>
      <c r="I3058" s="549" t="s">
        <v>976</v>
      </c>
      <c r="J3058" s="549" t="s">
        <v>976</v>
      </c>
      <c r="K3058" s="549" t="s">
        <v>976</v>
      </c>
      <c r="L3058" s="549">
        <v>149332.76</v>
      </c>
      <c r="M3058" s="549">
        <v>11274.62</v>
      </c>
      <c r="N3058" s="549">
        <v>3300.25</v>
      </c>
      <c r="O3058" s="549">
        <v>3968</v>
      </c>
      <c r="P3058" s="549">
        <v>100</v>
      </c>
      <c r="Q3058" s="549">
        <v>18542.87</v>
      </c>
    </row>
    <row r="3059" spans="1:17" x14ac:dyDescent="0.25">
      <c r="A3059" s="549" t="s">
        <v>1083</v>
      </c>
      <c r="B3059" s="549" t="s">
        <v>584</v>
      </c>
      <c r="C3059" s="549" t="s">
        <v>753</v>
      </c>
      <c r="D3059" s="549" t="s">
        <v>754</v>
      </c>
      <c r="E3059" s="549" t="s">
        <v>977</v>
      </c>
      <c r="F3059" s="549" t="s">
        <v>1212</v>
      </c>
      <c r="G3059" s="549">
        <v>1172</v>
      </c>
      <c r="H3059" s="549" t="s">
        <v>753</v>
      </c>
      <c r="I3059" s="549" t="s">
        <v>976</v>
      </c>
      <c r="J3059" s="549" t="s">
        <v>976</v>
      </c>
      <c r="K3059" s="549" t="s">
        <v>976</v>
      </c>
      <c r="L3059" s="549">
        <v>136079.23000000001</v>
      </c>
      <c r="M3059" s="549">
        <v>10273.98</v>
      </c>
      <c r="N3059" s="549">
        <v>3007.35</v>
      </c>
      <c r="O3059" s="549">
        <v>1984</v>
      </c>
      <c r="P3059" s="549">
        <v>100</v>
      </c>
      <c r="Q3059" s="549">
        <v>15265.33</v>
      </c>
    </row>
    <row r="3060" spans="1:17" x14ac:dyDescent="0.25">
      <c r="A3060" s="549" t="s">
        <v>1083</v>
      </c>
      <c r="B3060" s="549" t="s">
        <v>584</v>
      </c>
      <c r="C3060" s="549" t="s">
        <v>753</v>
      </c>
      <c r="D3060" s="549" t="s">
        <v>754</v>
      </c>
      <c r="E3060" s="549" t="s">
        <v>977</v>
      </c>
      <c r="F3060" s="549" t="s">
        <v>1212</v>
      </c>
      <c r="G3060" s="549" t="s">
        <v>1446</v>
      </c>
      <c r="H3060" s="549" t="s">
        <v>753</v>
      </c>
      <c r="I3060" s="549" t="s">
        <v>976</v>
      </c>
      <c r="J3060" s="549" t="s">
        <v>976</v>
      </c>
      <c r="K3060" s="549" t="s">
        <v>976</v>
      </c>
      <c r="L3060" s="549">
        <v>35161.42</v>
      </c>
      <c r="M3060" s="549">
        <v>2654.69</v>
      </c>
      <c r="N3060" s="549">
        <v>777.07</v>
      </c>
      <c r="O3060" s="549">
        <v>1984</v>
      </c>
      <c r="P3060" s="549">
        <v>100</v>
      </c>
      <c r="Q3060" s="549">
        <v>5415.76</v>
      </c>
    </row>
    <row r="3061" spans="1:17" x14ac:dyDescent="0.25">
      <c r="A3061" s="549" t="s">
        <v>1083</v>
      </c>
      <c r="B3061" s="549" t="s">
        <v>584</v>
      </c>
      <c r="C3061" s="549" t="s">
        <v>753</v>
      </c>
      <c r="D3061" s="549" t="s">
        <v>754</v>
      </c>
      <c r="E3061" s="549" t="s">
        <v>977</v>
      </c>
      <c r="F3061" s="549" t="s">
        <v>1212</v>
      </c>
      <c r="G3061" s="549" t="s">
        <v>1447</v>
      </c>
      <c r="H3061" s="549" t="s">
        <v>753</v>
      </c>
      <c r="I3061" s="549" t="s">
        <v>976</v>
      </c>
      <c r="J3061" s="549" t="s">
        <v>976</v>
      </c>
      <c r="K3061" s="549" t="s">
        <v>976</v>
      </c>
      <c r="L3061" s="549">
        <v>0.02</v>
      </c>
      <c r="M3061" s="549">
        <v>0</v>
      </c>
      <c r="N3061" s="549">
        <v>0</v>
      </c>
      <c r="O3061" s="549">
        <v>1984</v>
      </c>
      <c r="P3061" s="549">
        <v>100</v>
      </c>
      <c r="Q3061" s="549">
        <v>1984</v>
      </c>
    </row>
    <row r="3062" spans="1:17" x14ac:dyDescent="0.25">
      <c r="A3062" s="549" t="s">
        <v>1083</v>
      </c>
      <c r="B3062" s="549" t="s">
        <v>584</v>
      </c>
      <c r="C3062" s="549" t="s">
        <v>753</v>
      </c>
      <c r="D3062" s="549" t="s">
        <v>754</v>
      </c>
      <c r="E3062" s="549" t="s">
        <v>977</v>
      </c>
      <c r="F3062" s="549" t="s">
        <v>1212</v>
      </c>
      <c r="G3062" s="549" t="s">
        <v>1448</v>
      </c>
      <c r="H3062" s="549" t="s">
        <v>753</v>
      </c>
      <c r="I3062" s="549" t="s">
        <v>976</v>
      </c>
      <c r="J3062" s="549" t="s">
        <v>976</v>
      </c>
      <c r="K3062" s="549" t="s">
        <v>976</v>
      </c>
      <c r="L3062" s="549">
        <v>18396.73</v>
      </c>
      <c r="M3062" s="549">
        <v>1388.95</v>
      </c>
      <c r="N3062" s="549">
        <v>406.57</v>
      </c>
      <c r="O3062" s="549">
        <v>0</v>
      </c>
      <c r="P3062" s="549">
        <v>100</v>
      </c>
      <c r="Q3062" s="549">
        <v>1795.52</v>
      </c>
    </row>
    <row r="3063" spans="1:17" x14ac:dyDescent="0.25">
      <c r="A3063" s="549" t="s">
        <v>1083</v>
      </c>
      <c r="B3063" s="549" t="s">
        <v>584</v>
      </c>
      <c r="C3063" s="549" t="s">
        <v>753</v>
      </c>
      <c r="D3063" s="549" t="s">
        <v>754</v>
      </c>
      <c r="E3063" s="549" t="s">
        <v>977</v>
      </c>
      <c r="F3063" s="549" t="s">
        <v>1212</v>
      </c>
      <c r="G3063" s="549" t="s">
        <v>1441</v>
      </c>
      <c r="H3063" s="549" t="s">
        <v>753</v>
      </c>
      <c r="I3063" s="549" t="s">
        <v>976</v>
      </c>
      <c r="J3063" s="549" t="s">
        <v>976</v>
      </c>
      <c r="K3063" s="549" t="s">
        <v>976</v>
      </c>
      <c r="L3063" s="549">
        <v>18396.73</v>
      </c>
      <c r="M3063" s="549">
        <v>1388.95</v>
      </c>
      <c r="N3063" s="549">
        <v>406.57</v>
      </c>
      <c r="O3063" s="549">
        <v>0</v>
      </c>
      <c r="P3063" s="549">
        <v>100</v>
      </c>
      <c r="Q3063" s="549">
        <v>1795.52</v>
      </c>
    </row>
    <row r="3064" spans="1:17" x14ac:dyDescent="0.25">
      <c r="A3064" s="549" t="s">
        <v>1083</v>
      </c>
      <c r="B3064" s="549" t="s">
        <v>584</v>
      </c>
      <c r="C3064" s="549" t="s">
        <v>753</v>
      </c>
      <c r="D3064" s="549" t="s">
        <v>754</v>
      </c>
      <c r="E3064" s="549" t="s">
        <v>977</v>
      </c>
      <c r="F3064" s="549" t="s">
        <v>1212</v>
      </c>
      <c r="G3064" s="549" t="s">
        <v>1215</v>
      </c>
      <c r="H3064" s="549" t="s">
        <v>753</v>
      </c>
      <c r="I3064" s="549" t="s">
        <v>976</v>
      </c>
      <c r="J3064" s="549" t="s">
        <v>976</v>
      </c>
      <c r="K3064" s="549" t="s">
        <v>976</v>
      </c>
      <c r="L3064" s="549">
        <v>48805.45</v>
      </c>
      <c r="M3064" s="549">
        <v>3684.81</v>
      </c>
      <c r="N3064" s="549">
        <v>1078.5999999999999</v>
      </c>
      <c r="O3064" s="549">
        <v>0</v>
      </c>
      <c r="P3064" s="549">
        <v>100</v>
      </c>
      <c r="Q3064" s="549">
        <v>4763.41</v>
      </c>
    </row>
    <row r="3065" spans="1:17" x14ac:dyDescent="0.25">
      <c r="A3065" s="549" t="s">
        <v>1083</v>
      </c>
      <c r="B3065" s="549" t="s">
        <v>584</v>
      </c>
      <c r="C3065" s="549" t="s">
        <v>753</v>
      </c>
      <c r="D3065" s="549" t="s">
        <v>754</v>
      </c>
      <c r="E3065" s="549" t="s">
        <v>977</v>
      </c>
      <c r="F3065" s="549" t="s">
        <v>1212</v>
      </c>
      <c r="G3065" s="549" t="s">
        <v>1288</v>
      </c>
      <c r="H3065" s="549" t="s">
        <v>753</v>
      </c>
      <c r="I3065" s="549" t="s">
        <v>976</v>
      </c>
      <c r="J3065" s="549" t="s">
        <v>976</v>
      </c>
      <c r="K3065" s="549" t="s">
        <v>976</v>
      </c>
      <c r="L3065" s="549">
        <v>48805.45</v>
      </c>
      <c r="M3065" s="549">
        <v>3684.81</v>
      </c>
      <c r="N3065" s="549">
        <v>1078.5999999999999</v>
      </c>
      <c r="O3065" s="549">
        <v>0</v>
      </c>
      <c r="P3065" s="549">
        <v>100</v>
      </c>
      <c r="Q3065" s="549">
        <v>4763.41</v>
      </c>
    </row>
    <row r="3066" spans="1:17" x14ac:dyDescent="0.25">
      <c r="A3066" s="549" t="s">
        <v>1083</v>
      </c>
      <c r="B3066" s="549" t="s">
        <v>584</v>
      </c>
      <c r="C3066" s="549" t="s">
        <v>753</v>
      </c>
      <c r="D3066" s="549" t="s">
        <v>754</v>
      </c>
      <c r="E3066" s="549" t="s">
        <v>977</v>
      </c>
      <c r="F3066" s="549" t="s">
        <v>1212</v>
      </c>
      <c r="G3066" s="549">
        <v>102</v>
      </c>
      <c r="H3066" s="549" t="s">
        <v>538</v>
      </c>
      <c r="I3066" s="549" t="s">
        <v>976</v>
      </c>
      <c r="J3066" s="549" t="s">
        <v>976</v>
      </c>
      <c r="K3066" s="549" t="s">
        <v>976</v>
      </c>
      <c r="L3066" s="549">
        <v>504629.39</v>
      </c>
      <c r="M3066" s="549">
        <v>38099.519999999997</v>
      </c>
      <c r="N3066" s="549">
        <v>11152.31</v>
      </c>
      <c r="O3066" s="549">
        <v>3968</v>
      </c>
      <c r="P3066" s="549">
        <v>33.68</v>
      </c>
      <c r="Q3066" s="549">
        <v>17924.439999999999</v>
      </c>
    </row>
    <row r="3067" spans="1:17" x14ac:dyDescent="0.25">
      <c r="A3067" s="549" t="s">
        <v>1083</v>
      </c>
      <c r="B3067" s="549" t="s">
        <v>584</v>
      </c>
      <c r="C3067" s="549" t="s">
        <v>753</v>
      </c>
      <c r="D3067" s="549" t="s">
        <v>754</v>
      </c>
      <c r="E3067" s="549" t="s">
        <v>977</v>
      </c>
      <c r="F3067" s="549" t="s">
        <v>1212</v>
      </c>
      <c r="G3067" s="549">
        <v>162</v>
      </c>
      <c r="H3067" s="549" t="s">
        <v>538</v>
      </c>
      <c r="I3067" s="549" t="s">
        <v>976</v>
      </c>
      <c r="J3067" s="549" t="s">
        <v>976</v>
      </c>
      <c r="K3067" s="549" t="s">
        <v>976</v>
      </c>
      <c r="L3067" s="549">
        <v>504629.39</v>
      </c>
      <c r="M3067" s="549">
        <v>38099.519999999997</v>
      </c>
      <c r="N3067" s="549">
        <v>11152.31</v>
      </c>
      <c r="O3067" s="549">
        <v>3968</v>
      </c>
      <c r="P3067" s="549">
        <v>100</v>
      </c>
      <c r="Q3067" s="549">
        <v>53219.83</v>
      </c>
    </row>
    <row r="3068" spans="1:17" x14ac:dyDescent="0.25">
      <c r="A3068" s="549" t="s">
        <v>1083</v>
      </c>
      <c r="B3068" s="549" t="s">
        <v>584</v>
      </c>
      <c r="C3068" s="549" t="s">
        <v>538</v>
      </c>
      <c r="D3068" s="549" t="s">
        <v>755</v>
      </c>
      <c r="E3068" s="549" t="s">
        <v>977</v>
      </c>
      <c r="F3068" s="549" t="s">
        <v>1212</v>
      </c>
      <c r="G3068" s="549">
        <v>72</v>
      </c>
      <c r="H3068" s="549" t="s">
        <v>538</v>
      </c>
      <c r="I3068" s="549" t="s">
        <v>976</v>
      </c>
      <c r="J3068" s="549" t="s">
        <v>976</v>
      </c>
      <c r="K3068" s="549" t="s">
        <v>976</v>
      </c>
      <c r="L3068" s="549">
        <v>344086.71</v>
      </c>
      <c r="M3068" s="549">
        <v>25978.55</v>
      </c>
      <c r="N3068" s="549">
        <v>7604.32</v>
      </c>
      <c r="O3068" s="549">
        <v>1984</v>
      </c>
      <c r="P3068" s="549">
        <v>100</v>
      </c>
      <c r="Q3068" s="549">
        <v>35566.870000000003</v>
      </c>
    </row>
    <row r="3069" spans="1:17" x14ac:dyDescent="0.25">
      <c r="A3069" s="549" t="s">
        <v>1083</v>
      </c>
      <c r="B3069" s="549" t="s">
        <v>584</v>
      </c>
      <c r="C3069" s="549" t="s">
        <v>538</v>
      </c>
      <c r="D3069" s="549" t="s">
        <v>755</v>
      </c>
      <c r="E3069" s="549" t="s">
        <v>977</v>
      </c>
      <c r="F3069" s="549" t="s">
        <v>1212</v>
      </c>
      <c r="G3069" s="549">
        <v>192</v>
      </c>
      <c r="H3069" s="549" t="s">
        <v>538</v>
      </c>
      <c r="I3069" s="549" t="s">
        <v>976</v>
      </c>
      <c r="J3069" s="549" t="s">
        <v>976</v>
      </c>
      <c r="K3069" s="549" t="s">
        <v>976</v>
      </c>
      <c r="L3069" s="549">
        <v>344086.71</v>
      </c>
      <c r="M3069" s="549">
        <v>25978.55</v>
      </c>
      <c r="N3069" s="549">
        <v>7604.32</v>
      </c>
      <c r="O3069" s="549">
        <v>1984</v>
      </c>
      <c r="P3069" s="549">
        <v>100</v>
      </c>
      <c r="Q3069" s="549">
        <v>35566.870000000003</v>
      </c>
    </row>
    <row r="3070" spans="1:17" x14ac:dyDescent="0.25">
      <c r="A3070" s="549" t="s">
        <v>1083</v>
      </c>
      <c r="B3070" s="549" t="s">
        <v>584</v>
      </c>
      <c r="C3070" s="549" t="s">
        <v>538</v>
      </c>
      <c r="D3070" s="549" t="s">
        <v>755</v>
      </c>
      <c r="E3070" s="549" t="s">
        <v>977</v>
      </c>
      <c r="F3070" s="549" t="s">
        <v>1212</v>
      </c>
      <c r="G3070" s="549">
        <v>2742</v>
      </c>
      <c r="H3070" s="549" t="s">
        <v>538</v>
      </c>
      <c r="I3070" s="549" t="s">
        <v>976</v>
      </c>
      <c r="J3070" s="549" t="s">
        <v>976</v>
      </c>
      <c r="K3070" s="549" t="s">
        <v>976</v>
      </c>
      <c r="L3070" s="549">
        <v>91839.02</v>
      </c>
      <c r="M3070" s="549">
        <v>6933.85</v>
      </c>
      <c r="N3070" s="549">
        <v>2029.64</v>
      </c>
      <c r="O3070" s="549">
        <v>992</v>
      </c>
      <c r="P3070" s="549">
        <v>100</v>
      </c>
      <c r="Q3070" s="549">
        <v>9955.49</v>
      </c>
    </row>
    <row r="3071" spans="1:17" x14ac:dyDescent="0.25">
      <c r="A3071" s="549" t="s">
        <v>1083</v>
      </c>
      <c r="B3071" s="549" t="s">
        <v>584</v>
      </c>
      <c r="C3071" s="549" t="s">
        <v>538</v>
      </c>
      <c r="D3071" s="549" t="s">
        <v>755</v>
      </c>
      <c r="E3071" s="549" t="s">
        <v>977</v>
      </c>
      <c r="F3071" s="549" t="s">
        <v>1212</v>
      </c>
      <c r="G3071" s="549">
        <v>2762</v>
      </c>
      <c r="H3071" s="549" t="s">
        <v>538</v>
      </c>
      <c r="I3071" s="549" t="s">
        <v>976</v>
      </c>
      <c r="J3071" s="549" t="s">
        <v>976</v>
      </c>
      <c r="K3071" s="549" t="s">
        <v>976</v>
      </c>
      <c r="L3071" s="549">
        <v>91839.02</v>
      </c>
      <c r="M3071" s="549">
        <v>6933.85</v>
      </c>
      <c r="N3071" s="549">
        <v>2029.64</v>
      </c>
      <c r="O3071" s="549">
        <v>992</v>
      </c>
      <c r="P3071" s="549">
        <v>100</v>
      </c>
      <c r="Q3071" s="549">
        <v>9955.49</v>
      </c>
    </row>
    <row r="3072" spans="1:17" x14ac:dyDescent="0.25">
      <c r="A3072" s="549" t="s">
        <v>1083</v>
      </c>
      <c r="B3072" s="549" t="s">
        <v>584</v>
      </c>
      <c r="C3072" s="549" t="s">
        <v>538</v>
      </c>
      <c r="D3072" s="549" t="s">
        <v>755</v>
      </c>
      <c r="E3072" s="549" t="s">
        <v>977</v>
      </c>
      <c r="F3072" s="549" t="s">
        <v>1212</v>
      </c>
      <c r="G3072" s="549">
        <v>2772</v>
      </c>
      <c r="H3072" s="549" t="s">
        <v>538</v>
      </c>
      <c r="I3072" s="549" t="s">
        <v>976</v>
      </c>
      <c r="J3072" s="549" t="s">
        <v>976</v>
      </c>
      <c r="K3072" s="549" t="s">
        <v>976</v>
      </c>
      <c r="L3072" s="549">
        <v>98189.9</v>
      </c>
      <c r="M3072" s="549">
        <v>7413.34</v>
      </c>
      <c r="N3072" s="549">
        <v>2170</v>
      </c>
      <c r="O3072" s="549">
        <v>992</v>
      </c>
      <c r="P3072" s="549">
        <v>100</v>
      </c>
      <c r="Q3072" s="549">
        <v>10575.34</v>
      </c>
    </row>
    <row r="3073" spans="1:17" x14ac:dyDescent="0.25">
      <c r="A3073" s="549" t="s">
        <v>1083</v>
      </c>
      <c r="B3073" s="549" t="s">
        <v>584</v>
      </c>
      <c r="C3073" s="549" t="s">
        <v>538</v>
      </c>
      <c r="D3073" s="549" t="s">
        <v>755</v>
      </c>
      <c r="E3073" s="549" t="s">
        <v>977</v>
      </c>
      <c r="F3073" s="549" t="s">
        <v>1212</v>
      </c>
      <c r="G3073" s="549">
        <v>2782</v>
      </c>
      <c r="H3073" s="549" t="s">
        <v>538</v>
      </c>
      <c r="I3073" s="549" t="s">
        <v>976</v>
      </c>
      <c r="J3073" s="549" t="s">
        <v>976</v>
      </c>
      <c r="K3073" s="549" t="s">
        <v>976</v>
      </c>
      <c r="L3073" s="549">
        <v>91839.02</v>
      </c>
      <c r="M3073" s="549">
        <v>6933.85</v>
      </c>
      <c r="N3073" s="549">
        <v>2029.64</v>
      </c>
      <c r="O3073" s="549">
        <v>992</v>
      </c>
      <c r="P3073" s="549">
        <v>100</v>
      </c>
      <c r="Q3073" s="549">
        <v>9955.49</v>
      </c>
    </row>
    <row r="3074" spans="1:17" x14ac:dyDescent="0.25">
      <c r="A3074" s="549" t="s">
        <v>1083</v>
      </c>
      <c r="B3074" s="549" t="s">
        <v>584</v>
      </c>
      <c r="C3074" s="549" t="s">
        <v>538</v>
      </c>
      <c r="D3074" s="549" t="s">
        <v>755</v>
      </c>
      <c r="E3074" s="549" t="s">
        <v>977</v>
      </c>
      <c r="F3074" s="549" t="s">
        <v>1212</v>
      </c>
      <c r="G3074" s="549">
        <v>2808</v>
      </c>
      <c r="H3074" s="549" t="s">
        <v>538</v>
      </c>
      <c r="I3074" s="549" t="s">
        <v>976</v>
      </c>
      <c r="J3074" s="549" t="s">
        <v>976</v>
      </c>
      <c r="K3074" s="549" t="s">
        <v>976</v>
      </c>
      <c r="L3074" s="549">
        <v>105387.56</v>
      </c>
      <c r="M3074" s="549">
        <v>7956.76</v>
      </c>
      <c r="N3074" s="549">
        <v>2329.0700000000002</v>
      </c>
      <c r="O3074" s="549">
        <v>992</v>
      </c>
      <c r="P3074" s="549">
        <v>100</v>
      </c>
      <c r="Q3074" s="549">
        <v>11277.83</v>
      </c>
    </row>
    <row r="3075" spans="1:17" x14ac:dyDescent="0.25">
      <c r="A3075" s="549" t="s">
        <v>1083</v>
      </c>
      <c r="B3075" s="549" t="s">
        <v>584</v>
      </c>
      <c r="C3075" s="549" t="s">
        <v>538</v>
      </c>
      <c r="D3075" s="549" t="s">
        <v>755</v>
      </c>
      <c r="E3075" s="549" t="s">
        <v>977</v>
      </c>
      <c r="F3075" s="549" t="s">
        <v>1212</v>
      </c>
      <c r="G3075" s="549">
        <v>2822</v>
      </c>
      <c r="H3075" s="549" t="s">
        <v>538</v>
      </c>
      <c r="I3075" s="549" t="s">
        <v>976</v>
      </c>
      <c r="J3075" s="549" t="s">
        <v>976</v>
      </c>
      <c r="K3075" s="549" t="s">
        <v>976</v>
      </c>
      <c r="L3075" s="549">
        <v>91839.02</v>
      </c>
      <c r="M3075" s="549">
        <v>6933.85</v>
      </c>
      <c r="N3075" s="549">
        <v>2029.64</v>
      </c>
      <c r="O3075" s="549">
        <v>992</v>
      </c>
      <c r="P3075" s="549">
        <v>100</v>
      </c>
      <c r="Q3075" s="549">
        <v>9955.49</v>
      </c>
    </row>
    <row r="3076" spans="1:17" x14ac:dyDescent="0.25">
      <c r="A3076" s="549" t="s">
        <v>1083</v>
      </c>
      <c r="B3076" s="549" t="s">
        <v>584</v>
      </c>
      <c r="C3076" s="549" t="s">
        <v>538</v>
      </c>
      <c r="D3076" s="549" t="s">
        <v>755</v>
      </c>
      <c r="E3076" s="549" t="s">
        <v>977</v>
      </c>
      <c r="F3076" s="549" t="s">
        <v>1212</v>
      </c>
      <c r="G3076" s="549">
        <v>2832</v>
      </c>
      <c r="H3076" s="549" t="s">
        <v>538</v>
      </c>
      <c r="I3076" s="549" t="s">
        <v>976</v>
      </c>
      <c r="J3076" s="549" t="s">
        <v>976</v>
      </c>
      <c r="K3076" s="549" t="s">
        <v>976</v>
      </c>
      <c r="L3076" s="549">
        <v>98189.9</v>
      </c>
      <c r="M3076" s="549">
        <v>7413.34</v>
      </c>
      <c r="N3076" s="549">
        <v>2170</v>
      </c>
      <c r="O3076" s="549">
        <v>992</v>
      </c>
      <c r="P3076" s="549">
        <v>100</v>
      </c>
      <c r="Q3076" s="549">
        <v>10575.34</v>
      </c>
    </row>
    <row r="3077" spans="1:17" x14ac:dyDescent="0.25">
      <c r="A3077" s="549" t="s">
        <v>1083</v>
      </c>
      <c r="B3077" s="549" t="s">
        <v>584</v>
      </c>
      <c r="C3077" s="549" t="s">
        <v>538</v>
      </c>
      <c r="D3077" s="549" t="s">
        <v>755</v>
      </c>
      <c r="E3077" s="549" t="s">
        <v>977</v>
      </c>
      <c r="F3077" s="549" t="s">
        <v>1212</v>
      </c>
      <c r="G3077" s="549">
        <v>2842</v>
      </c>
      <c r="H3077" s="549" t="s">
        <v>538</v>
      </c>
      <c r="I3077" s="549" t="s">
        <v>976</v>
      </c>
      <c r="J3077" s="549" t="s">
        <v>976</v>
      </c>
      <c r="K3077" s="549" t="s">
        <v>976</v>
      </c>
      <c r="L3077" s="549">
        <v>91839.02</v>
      </c>
      <c r="M3077" s="549">
        <v>6933.85</v>
      </c>
      <c r="N3077" s="549">
        <v>2029.64</v>
      </c>
      <c r="O3077" s="549">
        <v>992</v>
      </c>
      <c r="P3077" s="549">
        <v>100</v>
      </c>
      <c r="Q3077" s="549">
        <v>9955.49</v>
      </c>
    </row>
    <row r="3078" spans="1:17" x14ac:dyDescent="0.25">
      <c r="A3078" s="549" t="s">
        <v>1083</v>
      </c>
      <c r="B3078" s="549" t="s">
        <v>584</v>
      </c>
      <c r="C3078" s="549" t="s">
        <v>538</v>
      </c>
      <c r="D3078" s="549" t="s">
        <v>755</v>
      </c>
      <c r="E3078" s="549" t="s">
        <v>977</v>
      </c>
      <c r="F3078" s="549" t="s">
        <v>1212</v>
      </c>
      <c r="G3078" s="549">
        <v>2862</v>
      </c>
      <c r="H3078" s="549" t="s">
        <v>538</v>
      </c>
      <c r="I3078" s="549" t="s">
        <v>976</v>
      </c>
      <c r="J3078" s="549" t="s">
        <v>976</v>
      </c>
      <c r="K3078" s="549" t="s">
        <v>976</v>
      </c>
      <c r="L3078" s="549">
        <v>91839.02</v>
      </c>
      <c r="M3078" s="549">
        <v>6933.85</v>
      </c>
      <c r="N3078" s="549">
        <v>2029.64</v>
      </c>
      <c r="O3078" s="549">
        <v>992</v>
      </c>
      <c r="P3078" s="549">
        <v>100</v>
      </c>
      <c r="Q3078" s="549">
        <v>9955.49</v>
      </c>
    </row>
    <row r="3079" spans="1:17" x14ac:dyDescent="0.25">
      <c r="A3079" s="549" t="s">
        <v>1083</v>
      </c>
      <c r="B3079" s="549" t="s">
        <v>584</v>
      </c>
      <c r="C3079" s="549" t="s">
        <v>538</v>
      </c>
      <c r="D3079" s="549" t="s">
        <v>755</v>
      </c>
      <c r="E3079" s="549" t="s">
        <v>977</v>
      </c>
      <c r="F3079" s="549" t="s">
        <v>1212</v>
      </c>
      <c r="G3079" s="549" t="s">
        <v>1216</v>
      </c>
      <c r="H3079" s="549" t="s">
        <v>538</v>
      </c>
      <c r="I3079" s="549" t="s">
        <v>976</v>
      </c>
      <c r="J3079" s="549" t="s">
        <v>976</v>
      </c>
      <c r="K3079" s="549" t="s">
        <v>976</v>
      </c>
      <c r="L3079" s="549">
        <v>31102.38</v>
      </c>
      <c r="M3079" s="549">
        <v>2348.23</v>
      </c>
      <c r="N3079" s="549">
        <v>687.36</v>
      </c>
      <c r="O3079" s="549">
        <v>0</v>
      </c>
      <c r="P3079" s="549">
        <v>100</v>
      </c>
      <c r="Q3079" s="549">
        <v>3035.59</v>
      </c>
    </row>
    <row r="3080" spans="1:17" x14ac:dyDescent="0.25">
      <c r="A3080" s="549" t="s">
        <v>1083</v>
      </c>
      <c r="B3080" s="549" t="s">
        <v>584</v>
      </c>
      <c r="C3080" s="549" t="s">
        <v>538</v>
      </c>
      <c r="D3080" s="549" t="s">
        <v>755</v>
      </c>
      <c r="E3080" s="549" t="s">
        <v>977</v>
      </c>
      <c r="F3080" s="549" t="s">
        <v>1212</v>
      </c>
      <c r="G3080" s="549" t="s">
        <v>1272</v>
      </c>
      <c r="H3080" s="549" t="s">
        <v>538</v>
      </c>
      <c r="I3080" s="549" t="s">
        <v>976</v>
      </c>
      <c r="J3080" s="549" t="s">
        <v>976</v>
      </c>
      <c r="K3080" s="549" t="s">
        <v>976</v>
      </c>
      <c r="L3080" s="549">
        <v>31102.38</v>
      </c>
      <c r="M3080" s="549">
        <v>2348.23</v>
      </c>
      <c r="N3080" s="549">
        <v>687.36</v>
      </c>
      <c r="O3080" s="549">
        <v>0</v>
      </c>
      <c r="P3080" s="549">
        <v>100</v>
      </c>
      <c r="Q3080" s="549">
        <v>3035.59</v>
      </c>
    </row>
    <row r="3081" spans="1:17" x14ac:dyDescent="0.25">
      <c r="A3081" s="549" t="s">
        <v>1083</v>
      </c>
      <c r="B3081" s="549" t="s">
        <v>584</v>
      </c>
      <c r="C3081" s="549" t="s">
        <v>780</v>
      </c>
      <c r="D3081" s="549" t="s">
        <v>781</v>
      </c>
      <c r="E3081" s="549" t="s">
        <v>973</v>
      </c>
      <c r="F3081" s="549" t="s">
        <v>1212</v>
      </c>
      <c r="G3081" s="549">
        <v>212</v>
      </c>
      <c r="H3081" s="549" t="s">
        <v>780</v>
      </c>
      <c r="I3081" s="549" t="s">
        <v>976</v>
      </c>
      <c r="J3081" s="549" t="s">
        <v>976</v>
      </c>
      <c r="K3081" s="549" t="s">
        <v>976</v>
      </c>
      <c r="L3081" s="549">
        <v>504629.39</v>
      </c>
      <c r="M3081" s="549">
        <v>38099.519999999997</v>
      </c>
      <c r="N3081" s="549">
        <v>28965.73</v>
      </c>
      <c r="O3081" s="549">
        <v>3968</v>
      </c>
      <c r="P3081" s="549">
        <v>9.99</v>
      </c>
      <c r="Q3081" s="549">
        <v>7096.22</v>
      </c>
    </row>
    <row r="3082" spans="1:17" x14ac:dyDescent="0.25">
      <c r="A3082" s="549" t="s">
        <v>1083</v>
      </c>
      <c r="B3082" s="549" t="s">
        <v>584</v>
      </c>
      <c r="C3082" s="549" t="s">
        <v>780</v>
      </c>
      <c r="D3082" s="549" t="s">
        <v>781</v>
      </c>
      <c r="E3082" s="549" t="s">
        <v>973</v>
      </c>
      <c r="F3082" s="549" t="s">
        <v>1212</v>
      </c>
      <c r="G3082" s="549">
        <v>242</v>
      </c>
      <c r="H3082" s="549" t="s">
        <v>780</v>
      </c>
      <c r="I3082" s="549" t="s">
        <v>976</v>
      </c>
      <c r="J3082" s="549" t="s">
        <v>976</v>
      </c>
      <c r="K3082" s="549" t="s">
        <v>976</v>
      </c>
      <c r="L3082" s="549">
        <v>504629.39</v>
      </c>
      <c r="M3082" s="549">
        <v>38099.519999999997</v>
      </c>
      <c r="N3082" s="549">
        <v>28965.73</v>
      </c>
      <c r="O3082" s="549">
        <v>3968</v>
      </c>
      <c r="P3082" s="549">
        <v>9.99</v>
      </c>
      <c r="Q3082" s="549">
        <v>7096.22</v>
      </c>
    </row>
    <row r="3083" spans="1:17" x14ac:dyDescent="0.25">
      <c r="A3083" s="549" t="s">
        <v>1094</v>
      </c>
      <c r="B3083" s="549" t="s">
        <v>580</v>
      </c>
      <c r="C3083" s="549" t="s">
        <v>535</v>
      </c>
      <c r="D3083" s="549" t="s">
        <v>711</v>
      </c>
      <c r="E3083" s="549" t="s">
        <v>977</v>
      </c>
      <c r="F3083" s="549" t="s">
        <v>1212</v>
      </c>
      <c r="G3083" s="549" t="s">
        <v>1424</v>
      </c>
      <c r="H3083" s="549" t="s">
        <v>535</v>
      </c>
      <c r="I3083" s="549" t="s">
        <v>976</v>
      </c>
      <c r="J3083" s="549" t="s">
        <v>976</v>
      </c>
      <c r="K3083" s="549" t="s">
        <v>976</v>
      </c>
      <c r="L3083" s="549">
        <v>31999.97</v>
      </c>
      <c r="M3083" s="549">
        <v>2416</v>
      </c>
      <c r="N3083" s="549">
        <v>707.2</v>
      </c>
      <c r="O3083" s="549">
        <v>0</v>
      </c>
      <c r="P3083" s="549">
        <v>100</v>
      </c>
      <c r="Q3083" s="549">
        <v>3123.2</v>
      </c>
    </row>
    <row r="3084" spans="1:17" x14ac:dyDescent="0.25">
      <c r="A3084" s="549" t="s">
        <v>1083</v>
      </c>
      <c r="B3084" s="549" t="s">
        <v>584</v>
      </c>
      <c r="C3084" s="549" t="s">
        <v>780</v>
      </c>
      <c r="D3084" s="549" t="s">
        <v>781</v>
      </c>
      <c r="E3084" s="549" t="s">
        <v>973</v>
      </c>
      <c r="F3084" s="549" t="s">
        <v>1212</v>
      </c>
      <c r="G3084" s="549">
        <v>272</v>
      </c>
      <c r="H3084" s="549" t="s">
        <v>780</v>
      </c>
      <c r="I3084" s="549" t="s">
        <v>976</v>
      </c>
      <c r="J3084" s="549" t="s">
        <v>976</v>
      </c>
      <c r="K3084" s="549" t="s">
        <v>976</v>
      </c>
      <c r="L3084" s="549">
        <v>344086.71</v>
      </c>
      <c r="M3084" s="549">
        <v>25978.55</v>
      </c>
      <c r="N3084" s="549">
        <v>19750.580000000002</v>
      </c>
      <c r="O3084" s="549">
        <v>1984</v>
      </c>
      <c r="P3084" s="549">
        <v>9.99</v>
      </c>
      <c r="Q3084" s="549">
        <v>4766.54</v>
      </c>
    </row>
    <row r="3085" spans="1:17" x14ac:dyDescent="0.25">
      <c r="A3085" s="549" t="s">
        <v>1083</v>
      </c>
      <c r="B3085" s="549" t="s">
        <v>584</v>
      </c>
      <c r="C3085" s="549" t="s">
        <v>780</v>
      </c>
      <c r="D3085" s="549" t="s">
        <v>781</v>
      </c>
      <c r="E3085" s="549" t="s">
        <v>973</v>
      </c>
      <c r="F3085" s="549" t="s">
        <v>1212</v>
      </c>
      <c r="G3085" s="549">
        <v>282</v>
      </c>
      <c r="H3085" s="549" t="s">
        <v>780</v>
      </c>
      <c r="I3085" s="549" t="s">
        <v>976</v>
      </c>
      <c r="J3085" s="549" t="s">
        <v>976</v>
      </c>
      <c r="K3085" s="549" t="s">
        <v>976</v>
      </c>
      <c r="L3085" s="549">
        <v>344086.71</v>
      </c>
      <c r="M3085" s="549">
        <v>25978.55</v>
      </c>
      <c r="N3085" s="549">
        <v>19750.580000000002</v>
      </c>
      <c r="O3085" s="549">
        <v>1984</v>
      </c>
      <c r="P3085" s="549">
        <v>9.99</v>
      </c>
      <c r="Q3085" s="549">
        <v>4766.54</v>
      </c>
    </row>
    <row r="3086" spans="1:17" x14ac:dyDescent="0.25">
      <c r="A3086" s="549" t="s">
        <v>1083</v>
      </c>
      <c r="B3086" s="549" t="s">
        <v>584</v>
      </c>
      <c r="C3086" s="549" t="s">
        <v>780</v>
      </c>
      <c r="D3086" s="549" t="s">
        <v>781</v>
      </c>
      <c r="E3086" s="549" t="s">
        <v>973</v>
      </c>
      <c r="F3086" s="549" t="s">
        <v>1212</v>
      </c>
      <c r="G3086" s="549">
        <v>292</v>
      </c>
      <c r="H3086" s="549" t="s">
        <v>780</v>
      </c>
      <c r="I3086" s="549" t="s">
        <v>976</v>
      </c>
      <c r="J3086" s="549" t="s">
        <v>976</v>
      </c>
      <c r="K3086" s="549" t="s">
        <v>976</v>
      </c>
      <c r="L3086" s="549">
        <v>344086.71</v>
      </c>
      <c r="M3086" s="549">
        <v>25978.55</v>
      </c>
      <c r="N3086" s="549">
        <v>19750.580000000002</v>
      </c>
      <c r="O3086" s="549">
        <v>1984</v>
      </c>
      <c r="P3086" s="549">
        <v>9.99</v>
      </c>
      <c r="Q3086" s="549">
        <v>4766.54</v>
      </c>
    </row>
    <row r="3087" spans="1:17" x14ac:dyDescent="0.25">
      <c r="A3087" s="549" t="s">
        <v>1094</v>
      </c>
      <c r="B3087" s="549" t="s">
        <v>580</v>
      </c>
      <c r="C3087" s="549" t="s">
        <v>535</v>
      </c>
      <c r="D3087" s="549" t="s">
        <v>711</v>
      </c>
      <c r="E3087" s="549" t="s">
        <v>977</v>
      </c>
      <c r="F3087" s="549" t="s">
        <v>1212</v>
      </c>
      <c r="G3087" s="549">
        <v>1002</v>
      </c>
      <c r="H3087" s="549" t="s">
        <v>535</v>
      </c>
      <c r="I3087" s="549" t="s">
        <v>976</v>
      </c>
      <c r="J3087" s="549" t="s">
        <v>976</v>
      </c>
      <c r="K3087" s="549" t="s">
        <v>976</v>
      </c>
      <c r="L3087" s="549">
        <v>236701.37</v>
      </c>
      <c r="M3087" s="549">
        <v>17870.95</v>
      </c>
      <c r="N3087" s="549">
        <v>5231.1000000000004</v>
      </c>
      <c r="O3087" s="549">
        <v>1984</v>
      </c>
      <c r="P3087" s="549">
        <v>100</v>
      </c>
      <c r="Q3087" s="549">
        <v>25086.05</v>
      </c>
    </row>
    <row r="3088" spans="1:17" x14ac:dyDescent="0.25">
      <c r="A3088" s="549" t="s">
        <v>1083</v>
      </c>
      <c r="B3088" s="549" t="s">
        <v>584</v>
      </c>
      <c r="C3088" s="549" t="s">
        <v>780</v>
      </c>
      <c r="D3088" s="549" t="s">
        <v>781</v>
      </c>
      <c r="E3088" s="549" t="s">
        <v>973</v>
      </c>
      <c r="F3088" s="549" t="s">
        <v>1212</v>
      </c>
      <c r="G3088" s="549">
        <v>1202</v>
      </c>
      <c r="H3088" s="549" t="s">
        <v>780</v>
      </c>
      <c r="I3088" s="549" t="s">
        <v>976</v>
      </c>
      <c r="J3088" s="549" t="s">
        <v>976</v>
      </c>
      <c r="K3088" s="549" t="s">
        <v>976</v>
      </c>
      <c r="L3088" s="549">
        <v>83198.22</v>
      </c>
      <c r="M3088" s="549">
        <v>6281.47</v>
      </c>
      <c r="N3088" s="549">
        <v>4775.58</v>
      </c>
      <c r="O3088" s="549">
        <v>992</v>
      </c>
      <c r="P3088" s="549">
        <v>9.99</v>
      </c>
      <c r="Q3088" s="549">
        <v>1203.7</v>
      </c>
    </row>
    <row r="3089" spans="1:17" x14ac:dyDescent="0.25">
      <c r="A3089" s="549" t="s">
        <v>1083</v>
      </c>
      <c r="B3089" s="549" t="s">
        <v>584</v>
      </c>
      <c r="C3089" s="549" t="s">
        <v>780</v>
      </c>
      <c r="D3089" s="549" t="s">
        <v>781</v>
      </c>
      <c r="E3089" s="549" t="s">
        <v>973</v>
      </c>
      <c r="F3089" s="549" t="s">
        <v>1212</v>
      </c>
      <c r="G3089" s="549">
        <v>1212</v>
      </c>
      <c r="H3089" s="549" t="s">
        <v>780</v>
      </c>
      <c r="I3089" s="549" t="s">
        <v>976</v>
      </c>
      <c r="J3089" s="549" t="s">
        <v>976</v>
      </c>
      <c r="K3089" s="549" t="s">
        <v>976</v>
      </c>
      <c r="L3089" s="549">
        <v>236701.37</v>
      </c>
      <c r="M3089" s="549">
        <v>17870.95</v>
      </c>
      <c r="N3089" s="549">
        <v>13586.66</v>
      </c>
      <c r="O3089" s="549">
        <v>1984</v>
      </c>
      <c r="P3089" s="549">
        <v>9.99</v>
      </c>
      <c r="Q3089" s="549">
        <v>3340.82</v>
      </c>
    </row>
    <row r="3090" spans="1:17" x14ac:dyDescent="0.25">
      <c r="A3090" s="549" t="s">
        <v>1083</v>
      </c>
      <c r="B3090" s="549" t="s">
        <v>584</v>
      </c>
      <c r="C3090" s="549" t="s">
        <v>780</v>
      </c>
      <c r="D3090" s="549" t="s">
        <v>781</v>
      </c>
      <c r="E3090" s="549" t="s">
        <v>973</v>
      </c>
      <c r="F3090" s="549" t="s">
        <v>1212</v>
      </c>
      <c r="G3090" s="549">
        <v>1222</v>
      </c>
      <c r="H3090" s="549" t="s">
        <v>780</v>
      </c>
      <c r="I3090" s="549" t="s">
        <v>976</v>
      </c>
      <c r="J3090" s="549" t="s">
        <v>976</v>
      </c>
      <c r="K3090" s="549" t="s">
        <v>976</v>
      </c>
      <c r="L3090" s="549">
        <v>83198.22</v>
      </c>
      <c r="M3090" s="549">
        <v>6281.47</v>
      </c>
      <c r="N3090" s="549">
        <v>4775.58</v>
      </c>
      <c r="O3090" s="549">
        <v>992</v>
      </c>
      <c r="P3090" s="549">
        <v>9.99</v>
      </c>
      <c r="Q3090" s="549">
        <v>1203.7</v>
      </c>
    </row>
    <row r="3091" spans="1:17" x14ac:dyDescent="0.25">
      <c r="A3091" s="549" t="s">
        <v>1083</v>
      </c>
      <c r="B3091" s="549" t="s">
        <v>584</v>
      </c>
      <c r="C3091" s="549" t="s">
        <v>780</v>
      </c>
      <c r="D3091" s="549" t="s">
        <v>781</v>
      </c>
      <c r="E3091" s="549" t="s">
        <v>973</v>
      </c>
      <c r="F3091" s="549" t="s">
        <v>1212</v>
      </c>
      <c r="G3091" s="549">
        <v>1242</v>
      </c>
      <c r="H3091" s="549" t="s">
        <v>780</v>
      </c>
      <c r="I3091" s="549" t="s">
        <v>976</v>
      </c>
      <c r="J3091" s="549" t="s">
        <v>976</v>
      </c>
      <c r="K3091" s="549" t="s">
        <v>976</v>
      </c>
      <c r="L3091" s="549">
        <v>83198.22</v>
      </c>
      <c r="M3091" s="549">
        <v>6281.47</v>
      </c>
      <c r="N3091" s="549">
        <v>4775.58</v>
      </c>
      <c r="O3091" s="549">
        <v>992</v>
      </c>
      <c r="P3091" s="549">
        <v>9.99</v>
      </c>
      <c r="Q3091" s="549">
        <v>1203.7</v>
      </c>
    </row>
    <row r="3092" spans="1:17" x14ac:dyDescent="0.25">
      <c r="A3092" s="549" t="s">
        <v>1083</v>
      </c>
      <c r="B3092" s="549" t="s">
        <v>584</v>
      </c>
      <c r="C3092" s="549" t="s">
        <v>780</v>
      </c>
      <c r="D3092" s="549" t="s">
        <v>781</v>
      </c>
      <c r="E3092" s="549" t="s">
        <v>973</v>
      </c>
      <c r="F3092" s="549" t="s">
        <v>1212</v>
      </c>
      <c r="G3092" s="549" t="s">
        <v>1440</v>
      </c>
      <c r="H3092" s="549" t="s">
        <v>780</v>
      </c>
      <c r="I3092" s="549" t="s">
        <v>976</v>
      </c>
      <c r="J3092" s="549" t="s">
        <v>976</v>
      </c>
      <c r="K3092" s="549" t="s">
        <v>976</v>
      </c>
      <c r="L3092" s="549">
        <v>61158.97</v>
      </c>
      <c r="M3092" s="549">
        <v>4617.5</v>
      </c>
      <c r="N3092" s="549">
        <v>3510.52</v>
      </c>
      <c r="O3092" s="549">
        <v>1984</v>
      </c>
      <c r="P3092" s="549">
        <v>9.99</v>
      </c>
      <c r="Q3092" s="549">
        <v>1010.19</v>
      </c>
    </row>
    <row r="3093" spans="1:17" x14ac:dyDescent="0.25">
      <c r="A3093" s="549" t="s">
        <v>1083</v>
      </c>
      <c r="B3093" s="549" t="s">
        <v>584</v>
      </c>
      <c r="C3093" s="549" t="s">
        <v>780</v>
      </c>
      <c r="D3093" s="549" t="s">
        <v>781</v>
      </c>
      <c r="E3093" s="549" t="s">
        <v>973</v>
      </c>
      <c r="F3093" s="549" t="s">
        <v>1212</v>
      </c>
      <c r="G3093" s="549" t="s">
        <v>1449</v>
      </c>
      <c r="H3093" s="549" t="s">
        <v>780</v>
      </c>
      <c r="I3093" s="549" t="s">
        <v>976</v>
      </c>
      <c r="J3093" s="549" t="s">
        <v>976</v>
      </c>
      <c r="K3093" s="549" t="s">
        <v>976</v>
      </c>
      <c r="L3093" s="549">
        <v>35687.01</v>
      </c>
      <c r="M3093" s="549">
        <v>2694.37</v>
      </c>
      <c r="N3093" s="549">
        <v>2048.4299999999998</v>
      </c>
      <c r="O3093" s="549">
        <v>1984</v>
      </c>
      <c r="P3093" s="549">
        <v>9.99</v>
      </c>
      <c r="Q3093" s="549">
        <v>672.01</v>
      </c>
    </row>
    <row r="3094" spans="1:17" x14ac:dyDescent="0.25">
      <c r="A3094" s="549" t="s">
        <v>1083</v>
      </c>
      <c r="B3094" s="549" t="s">
        <v>584</v>
      </c>
      <c r="C3094" s="549" t="s">
        <v>780</v>
      </c>
      <c r="D3094" s="549" t="s">
        <v>781</v>
      </c>
      <c r="E3094" s="549" t="s">
        <v>973</v>
      </c>
      <c r="F3094" s="549" t="s">
        <v>1212</v>
      </c>
      <c r="G3094" s="549" t="s">
        <v>1303</v>
      </c>
      <c r="H3094" s="549" t="s">
        <v>780</v>
      </c>
      <c r="I3094" s="549" t="s">
        <v>976</v>
      </c>
      <c r="J3094" s="549" t="s">
        <v>976</v>
      </c>
      <c r="K3094" s="549" t="s">
        <v>976</v>
      </c>
      <c r="L3094" s="549">
        <v>35687.01</v>
      </c>
      <c r="M3094" s="549">
        <v>2694.37</v>
      </c>
      <c r="N3094" s="549">
        <v>2048.4299999999998</v>
      </c>
      <c r="O3094" s="549">
        <v>1984</v>
      </c>
      <c r="P3094" s="549">
        <v>9.99</v>
      </c>
      <c r="Q3094" s="549">
        <v>672.01</v>
      </c>
    </row>
    <row r="3095" spans="1:17" x14ac:dyDescent="0.25">
      <c r="A3095" s="549" t="s">
        <v>1083</v>
      </c>
      <c r="B3095" s="549" t="s">
        <v>584</v>
      </c>
      <c r="C3095" s="549" t="s">
        <v>780</v>
      </c>
      <c r="D3095" s="549" t="s">
        <v>781</v>
      </c>
      <c r="E3095" s="549" t="s">
        <v>973</v>
      </c>
      <c r="F3095" s="549" t="s">
        <v>1212</v>
      </c>
      <c r="G3095" s="549" t="s">
        <v>1450</v>
      </c>
      <c r="H3095" s="549" t="s">
        <v>780</v>
      </c>
      <c r="I3095" s="549" t="s">
        <v>976</v>
      </c>
      <c r="J3095" s="549" t="s">
        <v>976</v>
      </c>
      <c r="K3095" s="549" t="s">
        <v>976</v>
      </c>
      <c r="L3095" s="549">
        <v>35687.01</v>
      </c>
      <c r="M3095" s="549">
        <v>2694.37</v>
      </c>
      <c r="N3095" s="549">
        <v>2048.4299999999998</v>
      </c>
      <c r="O3095" s="549">
        <v>1984</v>
      </c>
      <c r="P3095" s="549">
        <v>9.99</v>
      </c>
      <c r="Q3095" s="549">
        <v>672.01</v>
      </c>
    </row>
    <row r="3096" spans="1:17" x14ac:dyDescent="0.25">
      <c r="A3096" s="549" t="s">
        <v>1083</v>
      </c>
      <c r="B3096" s="549" t="s">
        <v>584</v>
      </c>
      <c r="C3096" s="549" t="s">
        <v>780</v>
      </c>
      <c r="D3096" s="549" t="s">
        <v>781</v>
      </c>
      <c r="E3096" s="549" t="s">
        <v>973</v>
      </c>
      <c r="F3096" s="549" t="s">
        <v>1212</v>
      </c>
      <c r="G3096" s="549" t="s">
        <v>1451</v>
      </c>
      <c r="H3096" s="549" t="s">
        <v>780</v>
      </c>
      <c r="I3096" s="549" t="s">
        <v>976</v>
      </c>
      <c r="J3096" s="549" t="s">
        <v>976</v>
      </c>
      <c r="K3096" s="549" t="s">
        <v>976</v>
      </c>
      <c r="L3096" s="549">
        <v>31999.97</v>
      </c>
      <c r="M3096" s="549">
        <v>2416</v>
      </c>
      <c r="N3096" s="549">
        <v>1836.8</v>
      </c>
      <c r="O3096" s="549">
        <v>0</v>
      </c>
      <c r="P3096" s="549">
        <v>9.99</v>
      </c>
      <c r="Q3096" s="549">
        <v>424.85</v>
      </c>
    </row>
    <row r="3097" spans="1:17" x14ac:dyDescent="0.25">
      <c r="A3097" s="549" t="s">
        <v>1083</v>
      </c>
      <c r="B3097" s="549" t="s">
        <v>584</v>
      </c>
      <c r="C3097" s="549" t="s">
        <v>780</v>
      </c>
      <c r="D3097" s="549" t="s">
        <v>781</v>
      </c>
      <c r="E3097" s="549" t="s">
        <v>973</v>
      </c>
      <c r="F3097" s="549" t="s">
        <v>1212</v>
      </c>
      <c r="G3097" s="549" t="s">
        <v>1408</v>
      </c>
      <c r="H3097" s="549" t="s">
        <v>780</v>
      </c>
      <c r="I3097" s="549" t="s">
        <v>976</v>
      </c>
      <c r="J3097" s="549" t="s">
        <v>976</v>
      </c>
      <c r="K3097" s="549" t="s">
        <v>976</v>
      </c>
      <c r="L3097" s="549">
        <v>31999.97</v>
      </c>
      <c r="M3097" s="549">
        <v>2416</v>
      </c>
      <c r="N3097" s="549">
        <v>1836.8</v>
      </c>
      <c r="O3097" s="549">
        <v>0</v>
      </c>
      <c r="P3097" s="549">
        <v>9.99</v>
      </c>
      <c r="Q3097" s="549">
        <v>424.85</v>
      </c>
    </row>
    <row r="3098" spans="1:17" x14ac:dyDescent="0.25">
      <c r="A3098" s="549" t="s">
        <v>1083</v>
      </c>
      <c r="B3098" s="549" t="s">
        <v>584</v>
      </c>
      <c r="C3098" s="549" t="s">
        <v>780</v>
      </c>
      <c r="D3098" s="549" t="s">
        <v>781</v>
      </c>
      <c r="E3098" s="549" t="s">
        <v>973</v>
      </c>
      <c r="F3098" s="549" t="s">
        <v>1212</v>
      </c>
      <c r="G3098" s="549" t="s">
        <v>1249</v>
      </c>
      <c r="H3098" s="549" t="s">
        <v>780</v>
      </c>
      <c r="I3098" s="549" t="s">
        <v>976</v>
      </c>
      <c r="J3098" s="549" t="s">
        <v>976</v>
      </c>
      <c r="K3098" s="549" t="s">
        <v>976</v>
      </c>
      <c r="L3098" s="549">
        <v>48805.45</v>
      </c>
      <c r="M3098" s="549">
        <v>3684.81</v>
      </c>
      <c r="N3098" s="549">
        <v>2801.43</v>
      </c>
      <c r="O3098" s="549">
        <v>0</v>
      </c>
      <c r="P3098" s="549">
        <v>9.99</v>
      </c>
      <c r="Q3098" s="549">
        <v>647.98</v>
      </c>
    </row>
    <row r="3099" spans="1:17" x14ac:dyDescent="0.25">
      <c r="A3099" s="549" t="s">
        <v>1083</v>
      </c>
      <c r="B3099" s="549" t="s">
        <v>584</v>
      </c>
      <c r="C3099" s="549" t="s">
        <v>780</v>
      </c>
      <c r="D3099" s="549" t="s">
        <v>781</v>
      </c>
      <c r="E3099" s="549" t="s">
        <v>973</v>
      </c>
      <c r="F3099" s="549" t="s">
        <v>1212</v>
      </c>
      <c r="G3099" s="549" t="s">
        <v>1250</v>
      </c>
      <c r="H3099" s="549" t="s">
        <v>780</v>
      </c>
      <c r="I3099" s="549" t="s">
        <v>976</v>
      </c>
      <c r="J3099" s="549" t="s">
        <v>976</v>
      </c>
      <c r="K3099" s="549" t="s">
        <v>976</v>
      </c>
      <c r="L3099" s="549">
        <v>48805.45</v>
      </c>
      <c r="M3099" s="549">
        <v>3684.81</v>
      </c>
      <c r="N3099" s="549">
        <v>2801.43</v>
      </c>
      <c r="O3099" s="549">
        <v>0</v>
      </c>
      <c r="P3099" s="549">
        <v>9.99</v>
      </c>
      <c r="Q3099" s="549">
        <v>647.98</v>
      </c>
    </row>
    <row r="3100" spans="1:17" x14ac:dyDescent="0.25">
      <c r="A3100" s="549" t="s">
        <v>1083</v>
      </c>
      <c r="B3100" s="549" t="s">
        <v>584</v>
      </c>
      <c r="C3100" s="549" t="s">
        <v>780</v>
      </c>
      <c r="D3100" s="549" t="s">
        <v>781</v>
      </c>
      <c r="E3100" s="549" t="s">
        <v>977</v>
      </c>
      <c r="F3100" s="549" t="s">
        <v>1212</v>
      </c>
      <c r="G3100" s="549">
        <v>11</v>
      </c>
      <c r="H3100" s="549" t="s">
        <v>780</v>
      </c>
      <c r="I3100" s="549" t="s">
        <v>976</v>
      </c>
      <c r="J3100" s="549" t="s">
        <v>976</v>
      </c>
      <c r="K3100" s="549" t="s">
        <v>976</v>
      </c>
      <c r="L3100" s="549">
        <v>0.02</v>
      </c>
      <c r="M3100" s="549">
        <v>0</v>
      </c>
      <c r="N3100" s="549">
        <v>0</v>
      </c>
      <c r="O3100" s="549">
        <v>992</v>
      </c>
      <c r="P3100" s="549">
        <v>100</v>
      </c>
      <c r="Q3100" s="549">
        <v>992</v>
      </c>
    </row>
    <row r="3101" spans="1:17" x14ac:dyDescent="0.25">
      <c r="A3101" s="549" t="s">
        <v>1083</v>
      </c>
      <c r="B3101" s="549" t="s">
        <v>584</v>
      </c>
      <c r="C3101" s="549" t="s">
        <v>780</v>
      </c>
      <c r="D3101" s="549" t="s">
        <v>781</v>
      </c>
      <c r="E3101" s="549" t="s">
        <v>977</v>
      </c>
      <c r="F3101" s="549" t="s">
        <v>1212</v>
      </c>
      <c r="G3101" s="549">
        <v>12</v>
      </c>
      <c r="H3101" s="549" t="s">
        <v>780</v>
      </c>
      <c r="I3101" s="549" t="s">
        <v>1291</v>
      </c>
      <c r="J3101" s="549" t="s">
        <v>1291</v>
      </c>
      <c r="K3101" s="549" t="s">
        <v>1291</v>
      </c>
      <c r="L3101" s="549">
        <v>0.02</v>
      </c>
      <c r="M3101" s="549">
        <v>0</v>
      </c>
      <c r="N3101" s="549">
        <v>0</v>
      </c>
      <c r="O3101" s="549">
        <v>0</v>
      </c>
      <c r="P3101" s="549">
        <v>100</v>
      </c>
      <c r="Q3101" s="549">
        <v>0</v>
      </c>
    </row>
    <row r="3102" spans="1:17" x14ac:dyDescent="0.25">
      <c r="A3102" s="549" t="s">
        <v>1083</v>
      </c>
      <c r="B3102" s="549" t="s">
        <v>584</v>
      </c>
      <c r="C3102" s="549" t="s">
        <v>780</v>
      </c>
      <c r="D3102" s="549" t="s">
        <v>781</v>
      </c>
      <c r="E3102" s="549" t="s">
        <v>977</v>
      </c>
      <c r="F3102" s="549" t="s">
        <v>1212</v>
      </c>
      <c r="G3102" s="549">
        <v>13</v>
      </c>
      <c r="H3102" s="549" t="s">
        <v>780</v>
      </c>
      <c r="I3102" s="549" t="s">
        <v>976</v>
      </c>
      <c r="J3102" s="549" t="s">
        <v>976</v>
      </c>
      <c r="K3102" s="549" t="s">
        <v>976</v>
      </c>
      <c r="L3102" s="549">
        <v>73527.31</v>
      </c>
      <c r="M3102" s="549">
        <v>5551.31</v>
      </c>
      <c r="N3102" s="549">
        <v>1624.95</v>
      </c>
      <c r="O3102" s="549">
        <v>992</v>
      </c>
      <c r="P3102" s="549">
        <v>100</v>
      </c>
      <c r="Q3102" s="549">
        <v>8168.26</v>
      </c>
    </row>
    <row r="3103" spans="1:17" x14ac:dyDescent="0.25">
      <c r="A3103" s="549" t="s">
        <v>1083</v>
      </c>
      <c r="B3103" s="549" t="s">
        <v>584</v>
      </c>
      <c r="C3103" s="549" t="s">
        <v>780</v>
      </c>
      <c r="D3103" s="549" t="s">
        <v>781</v>
      </c>
      <c r="E3103" s="549" t="s">
        <v>977</v>
      </c>
      <c r="F3103" s="549" t="s">
        <v>1212</v>
      </c>
      <c r="G3103" s="549">
        <v>14</v>
      </c>
      <c r="H3103" s="549" t="s">
        <v>780</v>
      </c>
      <c r="I3103" s="549" t="s">
        <v>976</v>
      </c>
      <c r="J3103" s="549" t="s">
        <v>976</v>
      </c>
      <c r="K3103" s="549" t="s">
        <v>976</v>
      </c>
      <c r="L3103" s="549">
        <v>73527.31</v>
      </c>
      <c r="M3103" s="549">
        <v>5551.31</v>
      </c>
      <c r="N3103" s="549">
        <v>1624.95</v>
      </c>
      <c r="O3103" s="549">
        <v>992</v>
      </c>
      <c r="P3103" s="549">
        <v>100</v>
      </c>
      <c r="Q3103" s="549">
        <v>8168.26</v>
      </c>
    </row>
    <row r="3104" spans="1:17" x14ac:dyDescent="0.25">
      <c r="A3104" s="549" t="s">
        <v>1083</v>
      </c>
      <c r="B3104" s="549" t="s">
        <v>584</v>
      </c>
      <c r="C3104" s="549" t="s">
        <v>780</v>
      </c>
      <c r="D3104" s="549" t="s">
        <v>781</v>
      </c>
      <c r="E3104" s="549" t="s">
        <v>977</v>
      </c>
      <c r="F3104" s="549" t="s">
        <v>1212</v>
      </c>
      <c r="G3104" s="549">
        <v>15</v>
      </c>
      <c r="H3104" s="549" t="s">
        <v>780</v>
      </c>
      <c r="I3104" s="549" t="s">
        <v>976</v>
      </c>
      <c r="J3104" s="549" t="s">
        <v>976</v>
      </c>
      <c r="K3104" s="549" t="s">
        <v>976</v>
      </c>
      <c r="L3104" s="549">
        <v>73527.31</v>
      </c>
      <c r="M3104" s="549">
        <v>5551.31</v>
      </c>
      <c r="N3104" s="549">
        <v>1624.95</v>
      </c>
      <c r="O3104" s="549">
        <v>992</v>
      </c>
      <c r="P3104" s="549">
        <v>100</v>
      </c>
      <c r="Q3104" s="549">
        <v>8168.26</v>
      </c>
    </row>
    <row r="3105" spans="1:17" x14ac:dyDescent="0.25">
      <c r="A3105" s="549" t="s">
        <v>1083</v>
      </c>
      <c r="B3105" s="549" t="s">
        <v>584</v>
      </c>
      <c r="C3105" s="549" t="s">
        <v>780</v>
      </c>
      <c r="D3105" s="549" t="s">
        <v>781</v>
      </c>
      <c r="E3105" s="549" t="s">
        <v>977</v>
      </c>
      <c r="F3105" s="549" t="s">
        <v>1212</v>
      </c>
      <c r="G3105" s="549">
        <v>16</v>
      </c>
      <c r="H3105" s="549" t="s">
        <v>780</v>
      </c>
      <c r="I3105" s="549" t="s">
        <v>976</v>
      </c>
      <c r="J3105" s="549" t="s">
        <v>976</v>
      </c>
      <c r="K3105" s="549" t="s">
        <v>976</v>
      </c>
      <c r="L3105" s="549">
        <v>73527.31</v>
      </c>
      <c r="M3105" s="549">
        <v>5551.31</v>
      </c>
      <c r="N3105" s="549">
        <v>1624.95</v>
      </c>
      <c r="O3105" s="549">
        <v>992</v>
      </c>
      <c r="P3105" s="549">
        <v>100</v>
      </c>
      <c r="Q3105" s="549">
        <v>8168.26</v>
      </c>
    </row>
    <row r="3106" spans="1:17" x14ac:dyDescent="0.25">
      <c r="A3106" s="549" t="s">
        <v>1083</v>
      </c>
      <c r="B3106" s="549" t="s">
        <v>584</v>
      </c>
      <c r="C3106" s="549" t="s">
        <v>780</v>
      </c>
      <c r="D3106" s="549" t="s">
        <v>781</v>
      </c>
      <c r="E3106" s="549" t="s">
        <v>977</v>
      </c>
      <c r="F3106" s="549" t="s">
        <v>1212</v>
      </c>
      <c r="G3106" s="549">
        <v>17</v>
      </c>
      <c r="H3106" s="549" t="s">
        <v>780</v>
      </c>
      <c r="I3106" s="549" t="s">
        <v>976</v>
      </c>
      <c r="J3106" s="549" t="s">
        <v>976</v>
      </c>
      <c r="K3106" s="549" t="s">
        <v>976</v>
      </c>
      <c r="L3106" s="549">
        <v>73527.31</v>
      </c>
      <c r="M3106" s="549">
        <v>5551.31</v>
      </c>
      <c r="N3106" s="549">
        <v>1624.95</v>
      </c>
      <c r="O3106" s="549">
        <v>992</v>
      </c>
      <c r="P3106" s="549">
        <v>100</v>
      </c>
      <c r="Q3106" s="549">
        <v>8168.26</v>
      </c>
    </row>
    <row r="3107" spans="1:17" x14ac:dyDescent="0.25">
      <c r="A3107" s="549" t="s">
        <v>1083</v>
      </c>
      <c r="B3107" s="549" t="s">
        <v>584</v>
      </c>
      <c r="C3107" s="549" t="s">
        <v>780</v>
      </c>
      <c r="D3107" s="549" t="s">
        <v>781</v>
      </c>
      <c r="E3107" s="549" t="s">
        <v>977</v>
      </c>
      <c r="F3107" s="549" t="s">
        <v>1212</v>
      </c>
      <c r="G3107" s="549">
        <v>18</v>
      </c>
      <c r="H3107" s="549" t="s">
        <v>780</v>
      </c>
      <c r="I3107" s="549" t="s">
        <v>976</v>
      </c>
      <c r="J3107" s="549" t="s">
        <v>976</v>
      </c>
      <c r="K3107" s="549" t="s">
        <v>976</v>
      </c>
      <c r="L3107" s="549">
        <v>73527.31</v>
      </c>
      <c r="M3107" s="549">
        <v>5551.31</v>
      </c>
      <c r="N3107" s="549">
        <v>1624.95</v>
      </c>
      <c r="O3107" s="549">
        <v>992</v>
      </c>
      <c r="P3107" s="549">
        <v>100</v>
      </c>
      <c r="Q3107" s="549">
        <v>8168.26</v>
      </c>
    </row>
    <row r="3108" spans="1:17" x14ac:dyDescent="0.25">
      <c r="A3108" s="549" t="s">
        <v>1083</v>
      </c>
      <c r="B3108" s="549" t="s">
        <v>584</v>
      </c>
      <c r="C3108" s="549" t="s">
        <v>780</v>
      </c>
      <c r="D3108" s="549" t="s">
        <v>781</v>
      </c>
      <c r="E3108" s="549" t="s">
        <v>977</v>
      </c>
      <c r="F3108" s="549" t="s">
        <v>1212</v>
      </c>
      <c r="G3108" s="549">
        <v>19</v>
      </c>
      <c r="H3108" s="549" t="s">
        <v>780</v>
      </c>
      <c r="I3108" s="549" t="s">
        <v>976</v>
      </c>
      <c r="J3108" s="549" t="s">
        <v>976</v>
      </c>
      <c r="K3108" s="549" t="s">
        <v>976</v>
      </c>
      <c r="L3108" s="549">
        <v>73527.31</v>
      </c>
      <c r="M3108" s="549">
        <v>5551.31</v>
      </c>
      <c r="N3108" s="549">
        <v>1624.95</v>
      </c>
      <c r="O3108" s="549">
        <v>992</v>
      </c>
      <c r="P3108" s="549">
        <v>100</v>
      </c>
      <c r="Q3108" s="549">
        <v>8168.26</v>
      </c>
    </row>
    <row r="3109" spans="1:17" x14ac:dyDescent="0.25">
      <c r="A3109" s="549" t="s">
        <v>1083</v>
      </c>
      <c r="B3109" s="549" t="s">
        <v>584</v>
      </c>
      <c r="C3109" s="549" t="s">
        <v>780</v>
      </c>
      <c r="D3109" s="549" t="s">
        <v>781</v>
      </c>
      <c r="E3109" s="549" t="s">
        <v>977</v>
      </c>
      <c r="F3109" s="549" t="s">
        <v>1212</v>
      </c>
      <c r="G3109" s="549">
        <v>20</v>
      </c>
      <c r="H3109" s="549" t="s">
        <v>780</v>
      </c>
      <c r="I3109" s="549" t="s">
        <v>976</v>
      </c>
      <c r="J3109" s="549" t="s">
        <v>976</v>
      </c>
      <c r="K3109" s="549" t="s">
        <v>976</v>
      </c>
      <c r="L3109" s="549">
        <v>73527.31</v>
      </c>
      <c r="M3109" s="549">
        <v>5551.31</v>
      </c>
      <c r="N3109" s="549">
        <v>1624.95</v>
      </c>
      <c r="O3109" s="549">
        <v>992</v>
      </c>
      <c r="P3109" s="549">
        <v>100</v>
      </c>
      <c r="Q3109" s="549">
        <v>8168.26</v>
      </c>
    </row>
    <row r="3110" spans="1:17" x14ac:dyDescent="0.25">
      <c r="A3110" s="549" t="s">
        <v>1083</v>
      </c>
      <c r="B3110" s="549" t="s">
        <v>584</v>
      </c>
      <c r="C3110" s="549" t="s">
        <v>780</v>
      </c>
      <c r="D3110" s="549" t="s">
        <v>781</v>
      </c>
      <c r="E3110" s="549" t="s">
        <v>977</v>
      </c>
      <c r="F3110" s="549" t="s">
        <v>1212</v>
      </c>
      <c r="G3110" s="549">
        <v>21</v>
      </c>
      <c r="H3110" s="549" t="s">
        <v>780</v>
      </c>
      <c r="I3110" s="549" t="s">
        <v>976</v>
      </c>
      <c r="J3110" s="549" t="s">
        <v>976</v>
      </c>
      <c r="K3110" s="549" t="s">
        <v>976</v>
      </c>
      <c r="L3110" s="549">
        <v>0.02</v>
      </c>
      <c r="M3110" s="549">
        <v>0</v>
      </c>
      <c r="N3110" s="549">
        <v>0</v>
      </c>
      <c r="O3110" s="549">
        <v>992</v>
      </c>
      <c r="P3110" s="549">
        <v>100</v>
      </c>
      <c r="Q3110" s="549">
        <v>992</v>
      </c>
    </row>
    <row r="3111" spans="1:17" x14ac:dyDescent="0.25">
      <c r="A3111" s="549" t="s">
        <v>1083</v>
      </c>
      <c r="B3111" s="549" t="s">
        <v>584</v>
      </c>
      <c r="C3111" s="549" t="s">
        <v>780</v>
      </c>
      <c r="D3111" s="549" t="s">
        <v>781</v>
      </c>
      <c r="E3111" s="549" t="s">
        <v>977</v>
      </c>
      <c r="F3111" s="549" t="s">
        <v>1212</v>
      </c>
      <c r="G3111" s="549">
        <v>37</v>
      </c>
      <c r="H3111" s="549" t="s">
        <v>780</v>
      </c>
      <c r="I3111" s="549" t="s">
        <v>976</v>
      </c>
      <c r="J3111" s="549" t="s">
        <v>976</v>
      </c>
      <c r="K3111" s="549" t="s">
        <v>976</v>
      </c>
      <c r="L3111" s="549">
        <v>77761.23</v>
      </c>
      <c r="M3111" s="549">
        <v>5870.97</v>
      </c>
      <c r="N3111" s="549">
        <v>1718.52</v>
      </c>
      <c r="O3111" s="549">
        <v>992</v>
      </c>
      <c r="P3111" s="549">
        <v>100</v>
      </c>
      <c r="Q3111" s="549">
        <v>8581.49</v>
      </c>
    </row>
    <row r="3112" spans="1:17" x14ac:dyDescent="0.25">
      <c r="A3112" s="549" t="s">
        <v>1083</v>
      </c>
      <c r="B3112" s="549" t="s">
        <v>584</v>
      </c>
      <c r="C3112" s="549" t="s">
        <v>780</v>
      </c>
      <c r="D3112" s="549" t="s">
        <v>781</v>
      </c>
      <c r="E3112" s="549" t="s">
        <v>977</v>
      </c>
      <c r="F3112" s="549" t="s">
        <v>1212</v>
      </c>
      <c r="G3112" s="549">
        <v>38</v>
      </c>
      <c r="H3112" s="549" t="s">
        <v>780</v>
      </c>
      <c r="I3112" s="549" t="s">
        <v>976</v>
      </c>
      <c r="J3112" s="549" t="s">
        <v>976</v>
      </c>
      <c r="K3112" s="549" t="s">
        <v>976</v>
      </c>
      <c r="L3112" s="549">
        <v>75220.88</v>
      </c>
      <c r="M3112" s="549">
        <v>5679.18</v>
      </c>
      <c r="N3112" s="549">
        <v>1662.38</v>
      </c>
      <c r="O3112" s="549">
        <v>992</v>
      </c>
      <c r="P3112" s="549">
        <v>100</v>
      </c>
      <c r="Q3112" s="549">
        <v>8333.56</v>
      </c>
    </row>
    <row r="3113" spans="1:17" x14ac:dyDescent="0.25">
      <c r="A3113" s="549" t="s">
        <v>1083</v>
      </c>
      <c r="B3113" s="549" t="s">
        <v>584</v>
      </c>
      <c r="C3113" s="549" t="s">
        <v>780</v>
      </c>
      <c r="D3113" s="549" t="s">
        <v>781</v>
      </c>
      <c r="E3113" s="549" t="s">
        <v>977</v>
      </c>
      <c r="F3113" s="549" t="s">
        <v>1212</v>
      </c>
      <c r="G3113" s="549">
        <v>39</v>
      </c>
      <c r="H3113" s="549" t="s">
        <v>780</v>
      </c>
      <c r="I3113" s="549" t="s">
        <v>976</v>
      </c>
      <c r="J3113" s="549" t="s">
        <v>976</v>
      </c>
      <c r="K3113" s="549" t="s">
        <v>976</v>
      </c>
      <c r="L3113" s="549">
        <v>77761.23</v>
      </c>
      <c r="M3113" s="549">
        <v>5870.97</v>
      </c>
      <c r="N3113" s="549">
        <v>1718.52</v>
      </c>
      <c r="O3113" s="549">
        <v>992</v>
      </c>
      <c r="P3113" s="549">
        <v>100</v>
      </c>
      <c r="Q3113" s="549">
        <v>8581.49</v>
      </c>
    </row>
    <row r="3114" spans="1:17" x14ac:dyDescent="0.25">
      <c r="A3114" s="549" t="s">
        <v>1083</v>
      </c>
      <c r="B3114" s="549" t="s">
        <v>584</v>
      </c>
      <c r="C3114" s="549" t="s">
        <v>780</v>
      </c>
      <c r="D3114" s="549" t="s">
        <v>781</v>
      </c>
      <c r="E3114" s="549" t="s">
        <v>977</v>
      </c>
      <c r="F3114" s="549" t="s">
        <v>1212</v>
      </c>
      <c r="G3114" s="549">
        <v>212</v>
      </c>
      <c r="H3114" s="549" t="s">
        <v>780</v>
      </c>
      <c r="I3114" s="549" t="s">
        <v>976</v>
      </c>
      <c r="J3114" s="549" t="s">
        <v>976</v>
      </c>
      <c r="K3114" s="549" t="s">
        <v>976</v>
      </c>
      <c r="L3114" s="549">
        <v>504629.39</v>
      </c>
      <c r="M3114" s="549">
        <v>38099.519999999997</v>
      </c>
      <c r="N3114" s="549">
        <v>11152.31</v>
      </c>
      <c r="O3114" s="549">
        <v>3968</v>
      </c>
      <c r="P3114" s="549">
        <v>90.01</v>
      </c>
      <c r="Q3114" s="549">
        <v>47903.17</v>
      </c>
    </row>
    <row r="3115" spans="1:17" x14ac:dyDescent="0.25">
      <c r="A3115" s="549" t="s">
        <v>1083</v>
      </c>
      <c r="B3115" s="549" t="s">
        <v>584</v>
      </c>
      <c r="C3115" s="549" t="s">
        <v>780</v>
      </c>
      <c r="D3115" s="549" t="s">
        <v>781</v>
      </c>
      <c r="E3115" s="549" t="s">
        <v>977</v>
      </c>
      <c r="F3115" s="549" t="s">
        <v>1212</v>
      </c>
      <c r="G3115" s="549">
        <v>242</v>
      </c>
      <c r="H3115" s="549" t="s">
        <v>780</v>
      </c>
      <c r="I3115" s="549" t="s">
        <v>976</v>
      </c>
      <c r="J3115" s="549" t="s">
        <v>976</v>
      </c>
      <c r="K3115" s="549" t="s">
        <v>976</v>
      </c>
      <c r="L3115" s="549">
        <v>504629.39</v>
      </c>
      <c r="M3115" s="549">
        <v>38099.519999999997</v>
      </c>
      <c r="N3115" s="549">
        <v>11152.31</v>
      </c>
      <c r="O3115" s="549">
        <v>3968</v>
      </c>
      <c r="P3115" s="549">
        <v>90.01</v>
      </c>
      <c r="Q3115" s="549">
        <v>47903.17</v>
      </c>
    </row>
    <row r="3116" spans="1:17" x14ac:dyDescent="0.25">
      <c r="A3116" s="549" t="s">
        <v>1094</v>
      </c>
      <c r="B3116" s="549" t="s">
        <v>580</v>
      </c>
      <c r="C3116" s="549" t="s">
        <v>535</v>
      </c>
      <c r="D3116" s="549" t="s">
        <v>711</v>
      </c>
      <c r="E3116" s="549" t="s">
        <v>977</v>
      </c>
      <c r="F3116" s="549" t="s">
        <v>1212</v>
      </c>
      <c r="G3116" s="549">
        <v>462</v>
      </c>
      <c r="H3116" s="549" t="s">
        <v>535</v>
      </c>
      <c r="I3116" s="549" t="s">
        <v>976</v>
      </c>
      <c r="J3116" s="549" t="s">
        <v>976</v>
      </c>
      <c r="K3116" s="549" t="s">
        <v>976</v>
      </c>
      <c r="L3116" s="549">
        <v>468690.7</v>
      </c>
      <c r="M3116" s="549">
        <v>35386.15</v>
      </c>
      <c r="N3116" s="549">
        <v>10358.06</v>
      </c>
      <c r="O3116" s="549">
        <v>1984</v>
      </c>
      <c r="P3116" s="549">
        <v>4.0199999999999996</v>
      </c>
      <c r="Q3116" s="549">
        <v>1918.67</v>
      </c>
    </row>
    <row r="3117" spans="1:17" x14ac:dyDescent="0.25">
      <c r="A3117" s="549" t="s">
        <v>1083</v>
      </c>
      <c r="B3117" s="549" t="s">
        <v>584</v>
      </c>
      <c r="C3117" s="549" t="s">
        <v>780</v>
      </c>
      <c r="D3117" s="549" t="s">
        <v>781</v>
      </c>
      <c r="E3117" s="549" t="s">
        <v>977</v>
      </c>
      <c r="F3117" s="549" t="s">
        <v>1212</v>
      </c>
      <c r="G3117" s="549">
        <v>272</v>
      </c>
      <c r="H3117" s="549" t="s">
        <v>780</v>
      </c>
      <c r="I3117" s="549" t="s">
        <v>976</v>
      </c>
      <c r="J3117" s="549" t="s">
        <v>976</v>
      </c>
      <c r="K3117" s="549" t="s">
        <v>976</v>
      </c>
      <c r="L3117" s="549">
        <v>344086.71</v>
      </c>
      <c r="M3117" s="549">
        <v>25978.55</v>
      </c>
      <c r="N3117" s="549">
        <v>7604.32</v>
      </c>
      <c r="O3117" s="549">
        <v>1984</v>
      </c>
      <c r="P3117" s="549">
        <v>90.01</v>
      </c>
      <c r="Q3117" s="549">
        <v>32013.74</v>
      </c>
    </row>
    <row r="3118" spans="1:17" x14ac:dyDescent="0.25">
      <c r="A3118" s="549" t="s">
        <v>1083</v>
      </c>
      <c r="B3118" s="549" t="s">
        <v>584</v>
      </c>
      <c r="C3118" s="549" t="s">
        <v>780</v>
      </c>
      <c r="D3118" s="549" t="s">
        <v>781</v>
      </c>
      <c r="E3118" s="549" t="s">
        <v>977</v>
      </c>
      <c r="F3118" s="549" t="s">
        <v>1212</v>
      </c>
      <c r="G3118" s="549">
        <v>282</v>
      </c>
      <c r="H3118" s="549" t="s">
        <v>780</v>
      </c>
      <c r="I3118" s="549" t="s">
        <v>976</v>
      </c>
      <c r="J3118" s="549" t="s">
        <v>976</v>
      </c>
      <c r="K3118" s="549" t="s">
        <v>976</v>
      </c>
      <c r="L3118" s="549">
        <v>344086.71</v>
      </c>
      <c r="M3118" s="549">
        <v>25978.55</v>
      </c>
      <c r="N3118" s="549">
        <v>7604.32</v>
      </c>
      <c r="O3118" s="549">
        <v>1984</v>
      </c>
      <c r="P3118" s="549">
        <v>90.01</v>
      </c>
      <c r="Q3118" s="549">
        <v>32013.74</v>
      </c>
    </row>
    <row r="3119" spans="1:17" x14ac:dyDescent="0.25">
      <c r="A3119" s="549" t="s">
        <v>1083</v>
      </c>
      <c r="B3119" s="549" t="s">
        <v>584</v>
      </c>
      <c r="C3119" s="549" t="s">
        <v>780</v>
      </c>
      <c r="D3119" s="549" t="s">
        <v>781</v>
      </c>
      <c r="E3119" s="549" t="s">
        <v>977</v>
      </c>
      <c r="F3119" s="549" t="s">
        <v>1212</v>
      </c>
      <c r="G3119" s="549">
        <v>292</v>
      </c>
      <c r="H3119" s="549" t="s">
        <v>780</v>
      </c>
      <c r="I3119" s="549" t="s">
        <v>976</v>
      </c>
      <c r="J3119" s="549" t="s">
        <v>976</v>
      </c>
      <c r="K3119" s="549" t="s">
        <v>976</v>
      </c>
      <c r="L3119" s="549">
        <v>344086.71</v>
      </c>
      <c r="M3119" s="549">
        <v>25978.55</v>
      </c>
      <c r="N3119" s="549">
        <v>7604.32</v>
      </c>
      <c r="O3119" s="549">
        <v>1984</v>
      </c>
      <c r="P3119" s="549">
        <v>90.01</v>
      </c>
      <c r="Q3119" s="549">
        <v>32013.74</v>
      </c>
    </row>
    <row r="3120" spans="1:17" x14ac:dyDescent="0.25">
      <c r="A3120" s="549" t="s">
        <v>1094</v>
      </c>
      <c r="B3120" s="549" t="s">
        <v>580</v>
      </c>
      <c r="C3120" s="549" t="s">
        <v>535</v>
      </c>
      <c r="D3120" s="549" t="s">
        <v>711</v>
      </c>
      <c r="E3120" s="549" t="s">
        <v>977</v>
      </c>
      <c r="F3120" s="549" t="s">
        <v>1212</v>
      </c>
      <c r="G3120" s="549">
        <v>422</v>
      </c>
      <c r="H3120" s="549" t="s">
        <v>535</v>
      </c>
      <c r="I3120" s="549" t="s">
        <v>976</v>
      </c>
      <c r="J3120" s="549" t="s">
        <v>976</v>
      </c>
      <c r="K3120" s="549" t="s">
        <v>976</v>
      </c>
      <c r="L3120" s="549">
        <v>468690.7</v>
      </c>
      <c r="M3120" s="549">
        <v>35386.15</v>
      </c>
      <c r="N3120" s="549">
        <v>10358.06</v>
      </c>
      <c r="O3120" s="549">
        <v>1984</v>
      </c>
      <c r="P3120" s="549">
        <v>4.0199999999999996</v>
      </c>
      <c r="Q3120" s="549">
        <v>1918.67</v>
      </c>
    </row>
    <row r="3121" spans="1:17" x14ac:dyDescent="0.25">
      <c r="A3121" s="549" t="s">
        <v>1083</v>
      </c>
      <c r="B3121" s="549" t="s">
        <v>584</v>
      </c>
      <c r="C3121" s="549" t="s">
        <v>780</v>
      </c>
      <c r="D3121" s="549" t="s">
        <v>781</v>
      </c>
      <c r="E3121" s="549" t="s">
        <v>977</v>
      </c>
      <c r="F3121" s="549" t="s">
        <v>1212</v>
      </c>
      <c r="G3121" s="549">
        <v>1192</v>
      </c>
      <c r="H3121" s="549" t="s">
        <v>780</v>
      </c>
      <c r="I3121" s="549" t="s">
        <v>976</v>
      </c>
      <c r="J3121" s="549" t="s">
        <v>976</v>
      </c>
      <c r="K3121" s="549" t="s">
        <v>976</v>
      </c>
      <c r="L3121" s="549">
        <v>83198.22</v>
      </c>
      <c r="M3121" s="549">
        <v>6281.47</v>
      </c>
      <c r="N3121" s="549">
        <v>1838.68</v>
      </c>
      <c r="O3121" s="549">
        <v>992</v>
      </c>
      <c r="P3121" s="549">
        <v>100</v>
      </c>
      <c r="Q3121" s="549">
        <v>9112.15</v>
      </c>
    </row>
    <row r="3122" spans="1:17" x14ac:dyDescent="0.25">
      <c r="A3122" s="549" t="s">
        <v>1083</v>
      </c>
      <c r="B3122" s="549" t="s">
        <v>584</v>
      </c>
      <c r="C3122" s="549" t="s">
        <v>780</v>
      </c>
      <c r="D3122" s="549" t="s">
        <v>781</v>
      </c>
      <c r="E3122" s="549" t="s">
        <v>977</v>
      </c>
      <c r="F3122" s="549" t="s">
        <v>1212</v>
      </c>
      <c r="G3122" s="549">
        <v>1202</v>
      </c>
      <c r="H3122" s="549" t="s">
        <v>780</v>
      </c>
      <c r="I3122" s="549" t="s">
        <v>976</v>
      </c>
      <c r="J3122" s="549" t="s">
        <v>976</v>
      </c>
      <c r="K3122" s="549" t="s">
        <v>976</v>
      </c>
      <c r="L3122" s="549">
        <v>83198.22</v>
      </c>
      <c r="M3122" s="549">
        <v>6281.47</v>
      </c>
      <c r="N3122" s="549">
        <v>1838.68</v>
      </c>
      <c r="O3122" s="549">
        <v>992</v>
      </c>
      <c r="P3122" s="549">
        <v>90.01</v>
      </c>
      <c r="Q3122" s="549">
        <v>8201.85</v>
      </c>
    </row>
    <row r="3123" spans="1:17" x14ac:dyDescent="0.25">
      <c r="A3123" s="549" t="s">
        <v>1083</v>
      </c>
      <c r="B3123" s="549" t="s">
        <v>584</v>
      </c>
      <c r="C3123" s="549" t="s">
        <v>780</v>
      </c>
      <c r="D3123" s="549" t="s">
        <v>781</v>
      </c>
      <c r="E3123" s="549" t="s">
        <v>977</v>
      </c>
      <c r="F3123" s="549" t="s">
        <v>1212</v>
      </c>
      <c r="G3123" s="549">
        <v>1212</v>
      </c>
      <c r="H3123" s="549" t="s">
        <v>780</v>
      </c>
      <c r="I3123" s="549" t="s">
        <v>976</v>
      </c>
      <c r="J3123" s="549" t="s">
        <v>976</v>
      </c>
      <c r="K3123" s="549" t="s">
        <v>976</v>
      </c>
      <c r="L3123" s="549">
        <v>236701.37</v>
      </c>
      <c r="M3123" s="549">
        <v>17870.95</v>
      </c>
      <c r="N3123" s="549">
        <v>5231.1000000000004</v>
      </c>
      <c r="O3123" s="549">
        <v>1984</v>
      </c>
      <c r="P3123" s="549">
        <v>90.01</v>
      </c>
      <c r="Q3123" s="549">
        <v>22579.95</v>
      </c>
    </row>
    <row r="3124" spans="1:17" x14ac:dyDescent="0.25">
      <c r="A3124" s="549" t="s">
        <v>1083</v>
      </c>
      <c r="B3124" s="549" t="s">
        <v>584</v>
      </c>
      <c r="C3124" s="549" t="s">
        <v>780</v>
      </c>
      <c r="D3124" s="549" t="s">
        <v>781</v>
      </c>
      <c r="E3124" s="549" t="s">
        <v>977</v>
      </c>
      <c r="F3124" s="549" t="s">
        <v>1212</v>
      </c>
      <c r="G3124" s="549">
        <v>1222</v>
      </c>
      <c r="H3124" s="549" t="s">
        <v>780</v>
      </c>
      <c r="I3124" s="549" t="s">
        <v>976</v>
      </c>
      <c r="J3124" s="549" t="s">
        <v>976</v>
      </c>
      <c r="K3124" s="549" t="s">
        <v>976</v>
      </c>
      <c r="L3124" s="549">
        <v>83198.22</v>
      </c>
      <c r="M3124" s="549">
        <v>6281.47</v>
      </c>
      <c r="N3124" s="549">
        <v>1838.68</v>
      </c>
      <c r="O3124" s="549">
        <v>992</v>
      </c>
      <c r="P3124" s="549">
        <v>90.01</v>
      </c>
      <c r="Q3124" s="549">
        <v>8201.85</v>
      </c>
    </row>
    <row r="3125" spans="1:17" x14ac:dyDescent="0.25">
      <c r="A3125" s="549" t="s">
        <v>1083</v>
      </c>
      <c r="B3125" s="549" t="s">
        <v>584</v>
      </c>
      <c r="C3125" s="549" t="s">
        <v>780</v>
      </c>
      <c r="D3125" s="549" t="s">
        <v>781</v>
      </c>
      <c r="E3125" s="549" t="s">
        <v>977</v>
      </c>
      <c r="F3125" s="549" t="s">
        <v>1212</v>
      </c>
      <c r="G3125" s="549">
        <v>1232</v>
      </c>
      <c r="H3125" s="549" t="s">
        <v>780</v>
      </c>
      <c r="I3125" s="549" t="s">
        <v>976</v>
      </c>
      <c r="J3125" s="549" t="s">
        <v>976</v>
      </c>
      <c r="K3125" s="549" t="s">
        <v>976</v>
      </c>
      <c r="L3125" s="549">
        <v>83198.22</v>
      </c>
      <c r="M3125" s="549">
        <v>6281.47</v>
      </c>
      <c r="N3125" s="549">
        <v>1838.68</v>
      </c>
      <c r="O3125" s="549">
        <v>992</v>
      </c>
      <c r="P3125" s="549">
        <v>100</v>
      </c>
      <c r="Q3125" s="549">
        <v>9112.15</v>
      </c>
    </row>
    <row r="3126" spans="1:17" x14ac:dyDescent="0.25">
      <c r="A3126" s="549" t="s">
        <v>1083</v>
      </c>
      <c r="B3126" s="549" t="s">
        <v>584</v>
      </c>
      <c r="C3126" s="549" t="s">
        <v>780</v>
      </c>
      <c r="D3126" s="549" t="s">
        <v>781</v>
      </c>
      <c r="E3126" s="549" t="s">
        <v>977</v>
      </c>
      <c r="F3126" s="549" t="s">
        <v>1212</v>
      </c>
      <c r="G3126" s="549">
        <v>1242</v>
      </c>
      <c r="H3126" s="549" t="s">
        <v>780</v>
      </c>
      <c r="I3126" s="549" t="s">
        <v>976</v>
      </c>
      <c r="J3126" s="549" t="s">
        <v>976</v>
      </c>
      <c r="K3126" s="549" t="s">
        <v>976</v>
      </c>
      <c r="L3126" s="549">
        <v>83198.22</v>
      </c>
      <c r="M3126" s="549">
        <v>6281.47</v>
      </c>
      <c r="N3126" s="549">
        <v>1838.68</v>
      </c>
      <c r="O3126" s="549">
        <v>992</v>
      </c>
      <c r="P3126" s="549">
        <v>90.01</v>
      </c>
      <c r="Q3126" s="549">
        <v>8201.85</v>
      </c>
    </row>
    <row r="3127" spans="1:17" x14ac:dyDescent="0.25">
      <c r="A3127" s="549" t="s">
        <v>1083</v>
      </c>
      <c r="B3127" s="549" t="s">
        <v>584</v>
      </c>
      <c r="C3127" s="549" t="s">
        <v>780</v>
      </c>
      <c r="D3127" s="549" t="s">
        <v>781</v>
      </c>
      <c r="E3127" s="549" t="s">
        <v>977</v>
      </c>
      <c r="F3127" s="549" t="s">
        <v>1212</v>
      </c>
      <c r="G3127" s="549" t="s">
        <v>1440</v>
      </c>
      <c r="H3127" s="549" t="s">
        <v>780</v>
      </c>
      <c r="I3127" s="549" t="s">
        <v>976</v>
      </c>
      <c r="J3127" s="549" t="s">
        <v>976</v>
      </c>
      <c r="K3127" s="549" t="s">
        <v>976</v>
      </c>
      <c r="L3127" s="549">
        <v>61158.97</v>
      </c>
      <c r="M3127" s="549">
        <v>4617.5</v>
      </c>
      <c r="N3127" s="549">
        <v>1351.61</v>
      </c>
      <c r="O3127" s="549">
        <v>1984</v>
      </c>
      <c r="P3127" s="549">
        <v>90.01</v>
      </c>
      <c r="Q3127" s="549">
        <v>7158.59</v>
      </c>
    </row>
    <row r="3128" spans="1:17" x14ac:dyDescent="0.25">
      <c r="A3128" s="549" t="s">
        <v>1083</v>
      </c>
      <c r="B3128" s="549" t="s">
        <v>584</v>
      </c>
      <c r="C3128" s="549" t="s">
        <v>780</v>
      </c>
      <c r="D3128" s="549" t="s">
        <v>781</v>
      </c>
      <c r="E3128" s="549" t="s">
        <v>977</v>
      </c>
      <c r="F3128" s="549" t="s">
        <v>1212</v>
      </c>
      <c r="G3128" s="549" t="s">
        <v>1449</v>
      </c>
      <c r="H3128" s="549" t="s">
        <v>780</v>
      </c>
      <c r="I3128" s="549" t="s">
        <v>976</v>
      </c>
      <c r="J3128" s="549" t="s">
        <v>976</v>
      </c>
      <c r="K3128" s="549" t="s">
        <v>976</v>
      </c>
      <c r="L3128" s="549">
        <v>35687.01</v>
      </c>
      <c r="M3128" s="549">
        <v>2694.37</v>
      </c>
      <c r="N3128" s="549">
        <v>788.68</v>
      </c>
      <c r="O3128" s="549">
        <v>1984</v>
      </c>
      <c r="P3128" s="549">
        <v>90.01</v>
      </c>
      <c r="Q3128" s="549">
        <v>4920.8900000000003</v>
      </c>
    </row>
    <row r="3129" spans="1:17" x14ac:dyDescent="0.25">
      <c r="A3129" s="549" t="s">
        <v>1083</v>
      </c>
      <c r="B3129" s="549" t="s">
        <v>584</v>
      </c>
      <c r="C3129" s="549" t="s">
        <v>780</v>
      </c>
      <c r="D3129" s="549" t="s">
        <v>781</v>
      </c>
      <c r="E3129" s="549" t="s">
        <v>977</v>
      </c>
      <c r="F3129" s="549" t="s">
        <v>1212</v>
      </c>
      <c r="G3129" s="549" t="s">
        <v>1303</v>
      </c>
      <c r="H3129" s="549" t="s">
        <v>780</v>
      </c>
      <c r="I3129" s="549" t="s">
        <v>976</v>
      </c>
      <c r="J3129" s="549" t="s">
        <v>976</v>
      </c>
      <c r="K3129" s="549" t="s">
        <v>976</v>
      </c>
      <c r="L3129" s="549">
        <v>35687.01</v>
      </c>
      <c r="M3129" s="549">
        <v>2694.37</v>
      </c>
      <c r="N3129" s="549">
        <v>788.68</v>
      </c>
      <c r="O3129" s="549">
        <v>1984</v>
      </c>
      <c r="P3129" s="549">
        <v>90.01</v>
      </c>
      <c r="Q3129" s="549">
        <v>4920.8900000000003</v>
      </c>
    </row>
    <row r="3130" spans="1:17" x14ac:dyDescent="0.25">
      <c r="A3130" s="549" t="s">
        <v>1083</v>
      </c>
      <c r="B3130" s="549" t="s">
        <v>584</v>
      </c>
      <c r="C3130" s="549" t="s">
        <v>780</v>
      </c>
      <c r="D3130" s="549" t="s">
        <v>781</v>
      </c>
      <c r="E3130" s="549" t="s">
        <v>977</v>
      </c>
      <c r="F3130" s="549" t="s">
        <v>1212</v>
      </c>
      <c r="G3130" s="549" t="s">
        <v>1450</v>
      </c>
      <c r="H3130" s="549" t="s">
        <v>780</v>
      </c>
      <c r="I3130" s="549" t="s">
        <v>976</v>
      </c>
      <c r="J3130" s="549" t="s">
        <v>976</v>
      </c>
      <c r="K3130" s="549" t="s">
        <v>976</v>
      </c>
      <c r="L3130" s="549">
        <v>35687.01</v>
      </c>
      <c r="M3130" s="549">
        <v>2694.37</v>
      </c>
      <c r="N3130" s="549">
        <v>788.68</v>
      </c>
      <c r="O3130" s="549">
        <v>1984</v>
      </c>
      <c r="P3130" s="549">
        <v>90.01</v>
      </c>
      <c r="Q3130" s="549">
        <v>4920.8900000000003</v>
      </c>
    </row>
    <row r="3131" spans="1:17" x14ac:dyDescent="0.25">
      <c r="A3131" s="549" t="s">
        <v>1083</v>
      </c>
      <c r="B3131" s="549" t="s">
        <v>584</v>
      </c>
      <c r="C3131" s="549" t="s">
        <v>780</v>
      </c>
      <c r="D3131" s="549" t="s">
        <v>781</v>
      </c>
      <c r="E3131" s="549" t="s">
        <v>977</v>
      </c>
      <c r="F3131" s="549" t="s">
        <v>1212</v>
      </c>
      <c r="G3131" s="549" t="s">
        <v>1451</v>
      </c>
      <c r="H3131" s="549" t="s">
        <v>780</v>
      </c>
      <c r="I3131" s="549" t="s">
        <v>976</v>
      </c>
      <c r="J3131" s="549" t="s">
        <v>976</v>
      </c>
      <c r="K3131" s="549" t="s">
        <v>976</v>
      </c>
      <c r="L3131" s="549">
        <v>31999.97</v>
      </c>
      <c r="M3131" s="549">
        <v>2416</v>
      </c>
      <c r="N3131" s="549">
        <v>707.2</v>
      </c>
      <c r="O3131" s="549">
        <v>0</v>
      </c>
      <c r="P3131" s="549">
        <v>90.01</v>
      </c>
      <c r="Q3131" s="549">
        <v>2811.19</v>
      </c>
    </row>
    <row r="3132" spans="1:17" x14ac:dyDescent="0.25">
      <c r="A3132" s="549" t="s">
        <v>1083</v>
      </c>
      <c r="B3132" s="549" t="s">
        <v>584</v>
      </c>
      <c r="C3132" s="549" t="s">
        <v>780</v>
      </c>
      <c r="D3132" s="549" t="s">
        <v>781</v>
      </c>
      <c r="E3132" s="549" t="s">
        <v>977</v>
      </c>
      <c r="F3132" s="549" t="s">
        <v>1212</v>
      </c>
      <c r="G3132" s="549" t="s">
        <v>1408</v>
      </c>
      <c r="H3132" s="549" t="s">
        <v>780</v>
      </c>
      <c r="I3132" s="549" t="s">
        <v>976</v>
      </c>
      <c r="J3132" s="549" t="s">
        <v>976</v>
      </c>
      <c r="K3132" s="549" t="s">
        <v>976</v>
      </c>
      <c r="L3132" s="549">
        <v>31999.97</v>
      </c>
      <c r="M3132" s="549">
        <v>2416</v>
      </c>
      <c r="N3132" s="549">
        <v>707.2</v>
      </c>
      <c r="O3132" s="549">
        <v>0</v>
      </c>
      <c r="P3132" s="549">
        <v>90.01</v>
      </c>
      <c r="Q3132" s="549">
        <v>2811.19</v>
      </c>
    </row>
    <row r="3133" spans="1:17" x14ac:dyDescent="0.25">
      <c r="A3133" s="549" t="s">
        <v>1083</v>
      </c>
      <c r="B3133" s="549" t="s">
        <v>584</v>
      </c>
      <c r="C3133" s="549" t="s">
        <v>780</v>
      </c>
      <c r="D3133" s="549" t="s">
        <v>781</v>
      </c>
      <c r="E3133" s="549" t="s">
        <v>977</v>
      </c>
      <c r="F3133" s="549" t="s">
        <v>1212</v>
      </c>
      <c r="G3133" s="549" t="s">
        <v>1309</v>
      </c>
      <c r="H3133" s="549" t="s">
        <v>780</v>
      </c>
      <c r="I3133" s="549" t="s">
        <v>976</v>
      </c>
      <c r="J3133" s="549" t="s">
        <v>976</v>
      </c>
      <c r="K3133" s="549" t="s">
        <v>976</v>
      </c>
      <c r="L3133" s="549">
        <v>31102.38</v>
      </c>
      <c r="M3133" s="549">
        <v>2348.23</v>
      </c>
      <c r="N3133" s="549">
        <v>687.36</v>
      </c>
      <c r="O3133" s="549">
        <v>0</v>
      </c>
      <c r="P3133" s="549">
        <v>100</v>
      </c>
      <c r="Q3133" s="549">
        <v>3035.59</v>
      </c>
    </row>
    <row r="3134" spans="1:17" x14ac:dyDescent="0.25">
      <c r="A3134" s="549" t="s">
        <v>1083</v>
      </c>
      <c r="B3134" s="549" t="s">
        <v>584</v>
      </c>
      <c r="C3134" s="549" t="s">
        <v>780</v>
      </c>
      <c r="D3134" s="549" t="s">
        <v>781</v>
      </c>
      <c r="E3134" s="549" t="s">
        <v>977</v>
      </c>
      <c r="F3134" s="549" t="s">
        <v>1212</v>
      </c>
      <c r="G3134" s="549" t="s">
        <v>1238</v>
      </c>
      <c r="H3134" s="549" t="s">
        <v>780</v>
      </c>
      <c r="I3134" s="549" t="s">
        <v>976</v>
      </c>
      <c r="J3134" s="549" t="s">
        <v>976</v>
      </c>
      <c r="K3134" s="549" t="s">
        <v>976</v>
      </c>
      <c r="L3134" s="549">
        <v>31102.38</v>
      </c>
      <c r="M3134" s="549">
        <v>2348.23</v>
      </c>
      <c r="N3134" s="549">
        <v>687.36</v>
      </c>
      <c r="O3134" s="549">
        <v>0</v>
      </c>
      <c r="P3134" s="549">
        <v>100</v>
      </c>
      <c r="Q3134" s="549">
        <v>3035.59</v>
      </c>
    </row>
    <row r="3135" spans="1:17" x14ac:dyDescent="0.25">
      <c r="A3135" s="549" t="s">
        <v>1083</v>
      </c>
      <c r="B3135" s="549" t="s">
        <v>584</v>
      </c>
      <c r="C3135" s="549" t="s">
        <v>780</v>
      </c>
      <c r="D3135" s="549" t="s">
        <v>781</v>
      </c>
      <c r="E3135" s="549" t="s">
        <v>977</v>
      </c>
      <c r="F3135" s="549" t="s">
        <v>1212</v>
      </c>
      <c r="G3135" s="549" t="s">
        <v>1249</v>
      </c>
      <c r="H3135" s="549" t="s">
        <v>780</v>
      </c>
      <c r="I3135" s="549" t="s">
        <v>976</v>
      </c>
      <c r="J3135" s="549" t="s">
        <v>976</v>
      </c>
      <c r="K3135" s="549" t="s">
        <v>976</v>
      </c>
      <c r="L3135" s="549">
        <v>48805.45</v>
      </c>
      <c r="M3135" s="549">
        <v>3684.81</v>
      </c>
      <c r="N3135" s="549">
        <v>1078.5999999999999</v>
      </c>
      <c r="O3135" s="549">
        <v>0</v>
      </c>
      <c r="P3135" s="549">
        <v>90.01</v>
      </c>
      <c r="Q3135" s="549">
        <v>4287.55</v>
      </c>
    </row>
    <row r="3136" spans="1:17" x14ac:dyDescent="0.25">
      <c r="A3136" s="549" t="s">
        <v>1083</v>
      </c>
      <c r="B3136" s="549" t="s">
        <v>584</v>
      </c>
      <c r="C3136" s="549" t="s">
        <v>780</v>
      </c>
      <c r="D3136" s="549" t="s">
        <v>781</v>
      </c>
      <c r="E3136" s="549" t="s">
        <v>977</v>
      </c>
      <c r="F3136" s="549" t="s">
        <v>1212</v>
      </c>
      <c r="G3136" s="549" t="s">
        <v>1250</v>
      </c>
      <c r="H3136" s="549" t="s">
        <v>780</v>
      </c>
      <c r="I3136" s="549" t="s">
        <v>976</v>
      </c>
      <c r="J3136" s="549" t="s">
        <v>976</v>
      </c>
      <c r="K3136" s="549" t="s">
        <v>976</v>
      </c>
      <c r="L3136" s="549">
        <v>48805.45</v>
      </c>
      <c r="M3136" s="549">
        <v>3684.81</v>
      </c>
      <c r="N3136" s="549">
        <v>1078.5999999999999</v>
      </c>
      <c r="O3136" s="549">
        <v>0</v>
      </c>
      <c r="P3136" s="549">
        <v>90.01</v>
      </c>
      <c r="Q3136" s="549">
        <v>4287.55</v>
      </c>
    </row>
    <row r="3137" spans="1:17" x14ac:dyDescent="0.25">
      <c r="A3137" s="549" t="s">
        <v>1094</v>
      </c>
      <c r="B3137" s="549" t="s">
        <v>580</v>
      </c>
      <c r="C3137" s="549" t="s">
        <v>535</v>
      </c>
      <c r="D3137" s="549" t="s">
        <v>711</v>
      </c>
      <c r="E3137" s="549" t="s">
        <v>977</v>
      </c>
      <c r="F3137" s="549" t="s">
        <v>1212</v>
      </c>
      <c r="G3137" s="549">
        <v>28</v>
      </c>
      <c r="H3137" s="549" t="s">
        <v>535</v>
      </c>
      <c r="I3137" s="549" t="s">
        <v>976</v>
      </c>
      <c r="J3137" s="549" t="s">
        <v>976</v>
      </c>
      <c r="K3137" s="549" t="s">
        <v>976</v>
      </c>
      <c r="L3137" s="549">
        <v>154077.64000000001</v>
      </c>
      <c r="M3137" s="549">
        <v>11632.86</v>
      </c>
      <c r="N3137" s="549">
        <v>3405.12</v>
      </c>
      <c r="O3137" s="549">
        <v>992</v>
      </c>
      <c r="P3137" s="549">
        <v>100</v>
      </c>
      <c r="Q3137" s="549">
        <v>16029.98</v>
      </c>
    </row>
    <row r="3138" spans="1:17" x14ac:dyDescent="0.25">
      <c r="A3138" s="549" t="s">
        <v>1083</v>
      </c>
      <c r="B3138" s="549" t="s">
        <v>584</v>
      </c>
      <c r="C3138" s="549" t="s">
        <v>762</v>
      </c>
      <c r="D3138" s="549" t="s">
        <v>763</v>
      </c>
      <c r="E3138" s="549" t="s">
        <v>977</v>
      </c>
      <c r="F3138" s="549" t="s">
        <v>1212</v>
      </c>
      <c r="G3138" s="549">
        <v>142</v>
      </c>
      <c r="H3138" s="549" t="s">
        <v>762</v>
      </c>
      <c r="I3138" s="549" t="s">
        <v>976</v>
      </c>
      <c r="J3138" s="549" t="s">
        <v>976</v>
      </c>
      <c r="K3138" s="549" t="s">
        <v>976</v>
      </c>
      <c r="L3138" s="549">
        <v>344086.71</v>
      </c>
      <c r="M3138" s="549">
        <v>25978.55</v>
      </c>
      <c r="N3138" s="549">
        <v>7604.32</v>
      </c>
      <c r="O3138" s="549">
        <v>1984</v>
      </c>
      <c r="P3138" s="549">
        <v>100</v>
      </c>
      <c r="Q3138" s="549">
        <v>35566.870000000003</v>
      </c>
    </row>
    <row r="3139" spans="1:17" x14ac:dyDescent="0.25">
      <c r="A3139" s="549" t="s">
        <v>1094</v>
      </c>
      <c r="B3139" s="549" t="s">
        <v>580</v>
      </c>
      <c r="C3139" s="549" t="s">
        <v>535</v>
      </c>
      <c r="D3139" s="549" t="s">
        <v>711</v>
      </c>
      <c r="E3139" s="549" t="s">
        <v>977</v>
      </c>
      <c r="F3139" s="549" t="s">
        <v>1212</v>
      </c>
      <c r="G3139" s="549">
        <v>18</v>
      </c>
      <c r="H3139" s="549" t="s">
        <v>535</v>
      </c>
      <c r="I3139" s="549" t="s">
        <v>976</v>
      </c>
      <c r="J3139" s="549" t="s">
        <v>976</v>
      </c>
      <c r="K3139" s="549" t="s">
        <v>976</v>
      </c>
      <c r="L3139" s="549">
        <v>154077.64000000001</v>
      </c>
      <c r="M3139" s="549">
        <v>11632.86</v>
      </c>
      <c r="N3139" s="549">
        <v>3405.12</v>
      </c>
      <c r="O3139" s="549">
        <v>992</v>
      </c>
      <c r="P3139" s="549">
        <v>100</v>
      </c>
      <c r="Q3139" s="549">
        <v>16029.98</v>
      </c>
    </row>
    <row r="3140" spans="1:17" x14ac:dyDescent="0.25">
      <c r="A3140" s="549" t="s">
        <v>1083</v>
      </c>
      <c r="B3140" s="549" t="s">
        <v>584</v>
      </c>
      <c r="C3140" s="549" t="s">
        <v>762</v>
      </c>
      <c r="D3140" s="549" t="s">
        <v>763</v>
      </c>
      <c r="E3140" s="549" t="s">
        <v>977</v>
      </c>
      <c r="F3140" s="549" t="s">
        <v>1212</v>
      </c>
      <c r="G3140" s="549">
        <v>1082</v>
      </c>
      <c r="H3140" s="549" t="s">
        <v>762</v>
      </c>
      <c r="I3140" s="549" t="s">
        <v>976</v>
      </c>
      <c r="J3140" s="549" t="s">
        <v>976</v>
      </c>
      <c r="K3140" s="549" t="s">
        <v>976</v>
      </c>
      <c r="L3140" s="549">
        <v>83198.22</v>
      </c>
      <c r="M3140" s="549">
        <v>6281.47</v>
      </c>
      <c r="N3140" s="549">
        <v>1838.68</v>
      </c>
      <c r="O3140" s="549">
        <v>992</v>
      </c>
      <c r="P3140" s="549">
        <v>100</v>
      </c>
      <c r="Q3140" s="549">
        <v>9112.15</v>
      </c>
    </row>
    <row r="3141" spans="1:17" x14ac:dyDescent="0.25">
      <c r="A3141" s="549" t="s">
        <v>1083</v>
      </c>
      <c r="B3141" s="549" t="s">
        <v>584</v>
      </c>
      <c r="C3141" s="549" t="s">
        <v>762</v>
      </c>
      <c r="D3141" s="549" t="s">
        <v>763</v>
      </c>
      <c r="E3141" s="549" t="s">
        <v>977</v>
      </c>
      <c r="F3141" s="549" t="s">
        <v>1212</v>
      </c>
      <c r="G3141" s="549">
        <v>1102</v>
      </c>
      <c r="H3141" s="549" t="s">
        <v>762</v>
      </c>
      <c r="I3141" s="549" t="s">
        <v>976</v>
      </c>
      <c r="J3141" s="549" t="s">
        <v>976</v>
      </c>
      <c r="K3141" s="549" t="s">
        <v>976</v>
      </c>
      <c r="L3141" s="549">
        <v>83198.22</v>
      </c>
      <c r="M3141" s="549">
        <v>6281.47</v>
      </c>
      <c r="N3141" s="549">
        <v>1838.68</v>
      </c>
      <c r="O3141" s="549">
        <v>992</v>
      </c>
      <c r="P3141" s="549">
        <v>100</v>
      </c>
      <c r="Q3141" s="549">
        <v>9112.15</v>
      </c>
    </row>
    <row r="3142" spans="1:17" x14ac:dyDescent="0.25">
      <c r="A3142" s="549" t="s">
        <v>1083</v>
      </c>
      <c r="B3142" s="549" t="s">
        <v>584</v>
      </c>
      <c r="C3142" s="549" t="s">
        <v>762</v>
      </c>
      <c r="D3142" s="549" t="s">
        <v>763</v>
      </c>
      <c r="E3142" s="549" t="s">
        <v>977</v>
      </c>
      <c r="F3142" s="549" t="s">
        <v>1212</v>
      </c>
      <c r="G3142" s="549">
        <v>1112</v>
      </c>
      <c r="H3142" s="549" t="s">
        <v>762</v>
      </c>
      <c r="I3142" s="549" t="s">
        <v>976</v>
      </c>
      <c r="J3142" s="549" t="s">
        <v>976</v>
      </c>
      <c r="K3142" s="549" t="s">
        <v>976</v>
      </c>
      <c r="L3142" s="549">
        <v>236701.37</v>
      </c>
      <c r="M3142" s="549">
        <v>17870.95</v>
      </c>
      <c r="N3142" s="549">
        <v>5231.1000000000004</v>
      </c>
      <c r="O3142" s="549">
        <v>1984</v>
      </c>
      <c r="P3142" s="549">
        <v>100</v>
      </c>
      <c r="Q3142" s="549">
        <v>25086.05</v>
      </c>
    </row>
    <row r="3143" spans="1:17" x14ac:dyDescent="0.25">
      <c r="A3143" s="549" t="s">
        <v>1083</v>
      </c>
      <c r="B3143" s="549" t="s">
        <v>584</v>
      </c>
      <c r="C3143" s="549" t="s">
        <v>762</v>
      </c>
      <c r="D3143" s="549" t="s">
        <v>763</v>
      </c>
      <c r="E3143" s="549" t="s">
        <v>977</v>
      </c>
      <c r="F3143" s="549" t="s">
        <v>1212</v>
      </c>
      <c r="G3143" s="549">
        <v>1122</v>
      </c>
      <c r="H3143" s="549" t="s">
        <v>762</v>
      </c>
      <c r="I3143" s="549" t="s">
        <v>976</v>
      </c>
      <c r="J3143" s="549" t="s">
        <v>976</v>
      </c>
      <c r="K3143" s="549" t="s">
        <v>976</v>
      </c>
      <c r="L3143" s="549">
        <v>83198.22</v>
      </c>
      <c r="M3143" s="549">
        <v>6281.47</v>
      </c>
      <c r="N3143" s="549">
        <v>1838.68</v>
      </c>
      <c r="O3143" s="549">
        <v>992</v>
      </c>
      <c r="P3143" s="549">
        <v>100</v>
      </c>
      <c r="Q3143" s="549">
        <v>9112.15</v>
      </c>
    </row>
    <row r="3144" spans="1:17" x14ac:dyDescent="0.25">
      <c r="A3144" s="549" t="s">
        <v>1083</v>
      </c>
      <c r="B3144" s="549" t="s">
        <v>584</v>
      </c>
      <c r="C3144" s="549" t="s">
        <v>762</v>
      </c>
      <c r="D3144" s="549" t="s">
        <v>763</v>
      </c>
      <c r="E3144" s="549" t="s">
        <v>977</v>
      </c>
      <c r="F3144" s="549" t="s">
        <v>1212</v>
      </c>
      <c r="G3144" s="549" t="s">
        <v>1452</v>
      </c>
      <c r="H3144" s="549" t="s">
        <v>762</v>
      </c>
      <c r="I3144" s="549" t="s">
        <v>976</v>
      </c>
      <c r="J3144" s="549" t="s">
        <v>976</v>
      </c>
      <c r="K3144" s="549" t="s">
        <v>976</v>
      </c>
      <c r="L3144" s="549">
        <v>0.02</v>
      </c>
      <c r="M3144" s="549">
        <v>0</v>
      </c>
      <c r="N3144" s="549">
        <v>0</v>
      </c>
      <c r="O3144" s="549">
        <v>1984</v>
      </c>
      <c r="P3144" s="549">
        <v>100</v>
      </c>
      <c r="Q3144" s="549">
        <v>1984</v>
      </c>
    </row>
    <row r="3145" spans="1:17" x14ac:dyDescent="0.25">
      <c r="A3145" s="549" t="s">
        <v>1094</v>
      </c>
      <c r="B3145" s="549" t="s">
        <v>580</v>
      </c>
      <c r="C3145" s="549" t="s">
        <v>535</v>
      </c>
      <c r="D3145" s="549" t="s">
        <v>711</v>
      </c>
      <c r="E3145" s="549" t="s">
        <v>973</v>
      </c>
      <c r="F3145" s="549" t="s">
        <v>1212</v>
      </c>
      <c r="G3145" s="549" t="s">
        <v>1424</v>
      </c>
      <c r="H3145" s="549" t="s">
        <v>535</v>
      </c>
      <c r="I3145" s="549" t="s">
        <v>976</v>
      </c>
      <c r="J3145" s="549" t="s">
        <v>976</v>
      </c>
      <c r="K3145" s="549" t="s">
        <v>976</v>
      </c>
      <c r="L3145" s="549">
        <v>31999.97</v>
      </c>
      <c r="M3145" s="549">
        <v>2416</v>
      </c>
      <c r="N3145" s="549">
        <v>1836.8</v>
      </c>
      <c r="O3145" s="549">
        <v>0</v>
      </c>
      <c r="P3145" s="549">
        <v>0</v>
      </c>
      <c r="Q3145" s="549">
        <v>0</v>
      </c>
    </row>
    <row r="3146" spans="1:17" x14ac:dyDescent="0.25">
      <c r="A3146" s="549" t="s">
        <v>1083</v>
      </c>
      <c r="B3146" s="549" t="s">
        <v>584</v>
      </c>
      <c r="C3146" s="549" t="s">
        <v>762</v>
      </c>
      <c r="D3146" s="549" t="s">
        <v>763</v>
      </c>
      <c r="E3146" s="549" t="s">
        <v>977</v>
      </c>
      <c r="F3146" s="549" t="s">
        <v>1212</v>
      </c>
      <c r="G3146" s="549" t="s">
        <v>1448</v>
      </c>
      <c r="H3146" s="549" t="s">
        <v>762</v>
      </c>
      <c r="I3146" s="549" t="s">
        <v>976</v>
      </c>
      <c r="J3146" s="549" t="s">
        <v>976</v>
      </c>
      <c r="K3146" s="549" t="s">
        <v>976</v>
      </c>
      <c r="L3146" s="549">
        <v>31999.97</v>
      </c>
      <c r="M3146" s="549">
        <v>2416</v>
      </c>
      <c r="N3146" s="549">
        <v>707.2</v>
      </c>
      <c r="O3146" s="549">
        <v>0</v>
      </c>
      <c r="P3146" s="549">
        <v>100</v>
      </c>
      <c r="Q3146" s="549">
        <v>3123.2</v>
      </c>
    </row>
    <row r="3147" spans="1:17" x14ac:dyDescent="0.25">
      <c r="A3147" s="549" t="s">
        <v>1083</v>
      </c>
      <c r="B3147" s="549" t="s">
        <v>584</v>
      </c>
      <c r="C3147" s="549" t="s">
        <v>742</v>
      </c>
      <c r="D3147" s="549" t="s">
        <v>743</v>
      </c>
      <c r="E3147" s="549" t="s">
        <v>977</v>
      </c>
      <c r="F3147" s="549" t="s">
        <v>1212</v>
      </c>
      <c r="G3147" s="549">
        <v>182</v>
      </c>
      <c r="H3147" s="549" t="s">
        <v>855</v>
      </c>
      <c r="I3147" s="549" t="s">
        <v>976</v>
      </c>
      <c r="J3147" s="549" t="s">
        <v>976</v>
      </c>
      <c r="K3147" s="549" t="s">
        <v>976</v>
      </c>
      <c r="L3147" s="549">
        <v>509800.94</v>
      </c>
      <c r="M3147" s="549">
        <v>38489.97</v>
      </c>
      <c r="N3147" s="549">
        <v>11266.6</v>
      </c>
      <c r="O3147" s="549">
        <v>3968</v>
      </c>
      <c r="P3147" s="549">
        <v>40.82</v>
      </c>
      <c r="Q3147" s="549">
        <v>21930.37</v>
      </c>
    </row>
    <row r="3148" spans="1:17" x14ac:dyDescent="0.25">
      <c r="A3148" s="549" t="s">
        <v>1083</v>
      </c>
      <c r="B3148" s="549" t="s">
        <v>584</v>
      </c>
      <c r="C3148" s="549" t="s">
        <v>742</v>
      </c>
      <c r="D3148" s="549" t="s">
        <v>743</v>
      </c>
      <c r="E3148" s="549" t="s">
        <v>977</v>
      </c>
      <c r="F3148" s="549" t="s">
        <v>1212</v>
      </c>
      <c r="G3148" s="549">
        <v>202</v>
      </c>
      <c r="H3148" s="549" t="s">
        <v>855</v>
      </c>
      <c r="I3148" s="549" t="s">
        <v>976</v>
      </c>
      <c r="J3148" s="549" t="s">
        <v>976</v>
      </c>
      <c r="K3148" s="549" t="s">
        <v>976</v>
      </c>
      <c r="L3148" s="549">
        <v>509800.94</v>
      </c>
      <c r="M3148" s="549">
        <v>38489.97</v>
      </c>
      <c r="N3148" s="549">
        <v>11266.6</v>
      </c>
      <c r="O3148" s="549">
        <v>3968</v>
      </c>
      <c r="P3148" s="549">
        <v>40.82</v>
      </c>
      <c r="Q3148" s="549">
        <v>21930.37</v>
      </c>
    </row>
    <row r="3149" spans="1:17" x14ac:dyDescent="0.25">
      <c r="A3149" s="549" t="s">
        <v>1083</v>
      </c>
      <c r="B3149" s="549" t="s">
        <v>584</v>
      </c>
      <c r="C3149" s="549" t="s">
        <v>742</v>
      </c>
      <c r="D3149" s="549" t="s">
        <v>743</v>
      </c>
      <c r="E3149" s="549" t="s">
        <v>977</v>
      </c>
      <c r="F3149" s="549" t="s">
        <v>1212</v>
      </c>
      <c r="G3149" s="549">
        <v>82</v>
      </c>
      <c r="H3149" s="549" t="s">
        <v>742</v>
      </c>
      <c r="I3149" s="549" t="s">
        <v>976</v>
      </c>
      <c r="J3149" s="549" t="s">
        <v>976</v>
      </c>
      <c r="K3149" s="549" t="s">
        <v>976</v>
      </c>
      <c r="L3149" s="549">
        <v>504629.39</v>
      </c>
      <c r="M3149" s="549">
        <v>38099.519999999997</v>
      </c>
      <c r="N3149" s="549">
        <v>11152.31</v>
      </c>
      <c r="O3149" s="549">
        <v>3968</v>
      </c>
      <c r="P3149" s="549">
        <v>40.82</v>
      </c>
      <c r="Q3149" s="549">
        <v>21724.33</v>
      </c>
    </row>
    <row r="3150" spans="1:17" x14ac:dyDescent="0.25">
      <c r="A3150" s="549" t="s">
        <v>1083</v>
      </c>
      <c r="B3150" s="549" t="s">
        <v>584</v>
      </c>
      <c r="C3150" s="549" t="s">
        <v>742</v>
      </c>
      <c r="D3150" s="549" t="s">
        <v>743</v>
      </c>
      <c r="E3150" s="549" t="s">
        <v>977</v>
      </c>
      <c r="F3150" s="549" t="s">
        <v>1212</v>
      </c>
      <c r="G3150" s="549">
        <v>92</v>
      </c>
      <c r="H3150" s="549" t="s">
        <v>742</v>
      </c>
      <c r="I3150" s="549" t="s">
        <v>976</v>
      </c>
      <c r="J3150" s="549" t="s">
        <v>976</v>
      </c>
      <c r="K3150" s="549" t="s">
        <v>976</v>
      </c>
      <c r="L3150" s="549">
        <v>177204.75</v>
      </c>
      <c r="M3150" s="549">
        <v>13378.96</v>
      </c>
      <c r="N3150" s="549">
        <v>3916.22</v>
      </c>
      <c r="O3150" s="549">
        <v>1984</v>
      </c>
      <c r="P3150" s="549">
        <v>100</v>
      </c>
      <c r="Q3150" s="549">
        <v>19279.18</v>
      </c>
    </row>
    <row r="3151" spans="1:17" x14ac:dyDescent="0.25">
      <c r="A3151" s="549" t="s">
        <v>1083</v>
      </c>
      <c r="B3151" s="549" t="s">
        <v>584</v>
      </c>
      <c r="C3151" s="549" t="s">
        <v>742</v>
      </c>
      <c r="D3151" s="549" t="s">
        <v>743</v>
      </c>
      <c r="E3151" s="549" t="s">
        <v>977</v>
      </c>
      <c r="F3151" s="549" t="s">
        <v>1212</v>
      </c>
      <c r="G3151" s="549">
        <v>112</v>
      </c>
      <c r="H3151" s="549" t="s">
        <v>742</v>
      </c>
      <c r="I3151" s="549" t="s">
        <v>976</v>
      </c>
      <c r="J3151" s="549" t="s">
        <v>976</v>
      </c>
      <c r="K3151" s="549" t="s">
        <v>976</v>
      </c>
      <c r="L3151" s="549">
        <v>177204.75</v>
      </c>
      <c r="M3151" s="549">
        <v>13378.96</v>
      </c>
      <c r="N3151" s="549">
        <v>3916.22</v>
      </c>
      <c r="O3151" s="549">
        <v>1984</v>
      </c>
      <c r="P3151" s="549">
        <v>100</v>
      </c>
      <c r="Q3151" s="549">
        <v>19279.18</v>
      </c>
    </row>
    <row r="3152" spans="1:17" x14ac:dyDescent="0.25">
      <c r="A3152" s="549" t="s">
        <v>1083</v>
      </c>
      <c r="B3152" s="549" t="s">
        <v>584</v>
      </c>
      <c r="C3152" s="549" t="s">
        <v>742</v>
      </c>
      <c r="D3152" s="549" t="s">
        <v>743</v>
      </c>
      <c r="E3152" s="549" t="s">
        <v>977</v>
      </c>
      <c r="F3152" s="549" t="s">
        <v>1212</v>
      </c>
      <c r="G3152" s="549">
        <v>122</v>
      </c>
      <c r="H3152" s="549" t="s">
        <v>742</v>
      </c>
      <c r="I3152" s="549" t="s">
        <v>976</v>
      </c>
      <c r="J3152" s="549" t="s">
        <v>976</v>
      </c>
      <c r="K3152" s="549" t="s">
        <v>976</v>
      </c>
      <c r="L3152" s="549">
        <v>504629.39</v>
      </c>
      <c r="M3152" s="549">
        <v>38099.519999999997</v>
      </c>
      <c r="N3152" s="549">
        <v>11152.31</v>
      </c>
      <c r="O3152" s="549">
        <v>3968</v>
      </c>
      <c r="P3152" s="549">
        <v>40.82</v>
      </c>
      <c r="Q3152" s="549">
        <v>21724.33</v>
      </c>
    </row>
    <row r="3153" spans="1:17" x14ac:dyDescent="0.25">
      <c r="A3153" s="549" t="s">
        <v>1083</v>
      </c>
      <c r="B3153" s="549" t="s">
        <v>584</v>
      </c>
      <c r="C3153" s="549" t="s">
        <v>742</v>
      </c>
      <c r="D3153" s="549" t="s">
        <v>743</v>
      </c>
      <c r="E3153" s="549" t="s">
        <v>977</v>
      </c>
      <c r="F3153" s="549" t="s">
        <v>1212</v>
      </c>
      <c r="G3153" s="549">
        <v>132</v>
      </c>
      <c r="H3153" s="549" t="s">
        <v>742</v>
      </c>
      <c r="I3153" s="549" t="s">
        <v>976</v>
      </c>
      <c r="J3153" s="549" t="s">
        <v>976</v>
      </c>
      <c r="K3153" s="549" t="s">
        <v>976</v>
      </c>
      <c r="L3153" s="549">
        <v>239246.92</v>
      </c>
      <c r="M3153" s="549">
        <v>18063.14</v>
      </c>
      <c r="N3153" s="549">
        <v>5287.36</v>
      </c>
      <c r="O3153" s="549">
        <v>1984</v>
      </c>
      <c r="P3153" s="549">
        <v>100</v>
      </c>
      <c r="Q3153" s="549">
        <v>25334.5</v>
      </c>
    </row>
    <row r="3154" spans="1:17" x14ac:dyDescent="0.25">
      <c r="A3154" s="549" t="s">
        <v>1083</v>
      </c>
      <c r="B3154" s="549" t="s">
        <v>584</v>
      </c>
      <c r="C3154" s="549" t="s">
        <v>742</v>
      </c>
      <c r="D3154" s="549" t="s">
        <v>743</v>
      </c>
      <c r="E3154" s="549" t="s">
        <v>977</v>
      </c>
      <c r="F3154" s="549" t="s">
        <v>1212</v>
      </c>
      <c r="G3154" s="549">
        <v>282</v>
      </c>
      <c r="H3154" s="549" t="s">
        <v>742</v>
      </c>
      <c r="I3154" s="549" t="s">
        <v>976</v>
      </c>
      <c r="J3154" s="549" t="s">
        <v>976</v>
      </c>
      <c r="K3154" s="549" t="s">
        <v>976</v>
      </c>
      <c r="L3154" s="549">
        <v>121901.27</v>
      </c>
      <c r="M3154" s="549">
        <v>9203.5499999999993</v>
      </c>
      <c r="N3154" s="549">
        <v>2694.02</v>
      </c>
      <c r="O3154" s="549">
        <v>1984</v>
      </c>
      <c r="P3154" s="549">
        <v>100</v>
      </c>
      <c r="Q3154" s="549">
        <v>13881.57</v>
      </c>
    </row>
    <row r="3155" spans="1:17" x14ac:dyDescent="0.25">
      <c r="A3155" s="549" t="s">
        <v>1083</v>
      </c>
      <c r="B3155" s="549" t="s">
        <v>584</v>
      </c>
      <c r="C3155" s="549" t="s">
        <v>742</v>
      </c>
      <c r="D3155" s="549" t="s">
        <v>743</v>
      </c>
      <c r="E3155" s="549" t="s">
        <v>977</v>
      </c>
      <c r="F3155" s="549" t="s">
        <v>1212</v>
      </c>
      <c r="G3155" s="549">
        <v>302</v>
      </c>
      <c r="H3155" s="549" t="s">
        <v>742</v>
      </c>
      <c r="I3155" s="549" t="s">
        <v>976</v>
      </c>
      <c r="J3155" s="549" t="s">
        <v>976</v>
      </c>
      <c r="K3155" s="549" t="s">
        <v>976</v>
      </c>
      <c r="L3155" s="549">
        <v>121901.27</v>
      </c>
      <c r="M3155" s="549">
        <v>9203.5499999999993</v>
      </c>
      <c r="N3155" s="549">
        <v>2694.02</v>
      </c>
      <c r="O3155" s="549">
        <v>1984</v>
      </c>
      <c r="P3155" s="549">
        <v>100</v>
      </c>
      <c r="Q3155" s="549">
        <v>13881.57</v>
      </c>
    </row>
    <row r="3156" spans="1:17" x14ac:dyDescent="0.25">
      <c r="A3156" s="549" t="s">
        <v>1083</v>
      </c>
      <c r="B3156" s="549" t="s">
        <v>584</v>
      </c>
      <c r="C3156" s="549" t="s">
        <v>742</v>
      </c>
      <c r="D3156" s="549" t="s">
        <v>743</v>
      </c>
      <c r="E3156" s="549" t="s">
        <v>977</v>
      </c>
      <c r="F3156" s="549" t="s">
        <v>1212</v>
      </c>
      <c r="G3156" s="549">
        <v>312</v>
      </c>
      <c r="H3156" s="549" t="s">
        <v>742</v>
      </c>
      <c r="I3156" s="549" t="s">
        <v>976</v>
      </c>
      <c r="J3156" s="549" t="s">
        <v>976</v>
      </c>
      <c r="K3156" s="549" t="s">
        <v>976</v>
      </c>
      <c r="L3156" s="549">
        <v>159088.13</v>
      </c>
      <c r="M3156" s="549">
        <v>12011.15</v>
      </c>
      <c r="N3156" s="549">
        <v>3515.85</v>
      </c>
      <c r="O3156" s="549">
        <v>3968</v>
      </c>
      <c r="P3156" s="549">
        <v>100</v>
      </c>
      <c r="Q3156" s="549">
        <v>19495</v>
      </c>
    </row>
    <row r="3157" spans="1:17" x14ac:dyDescent="0.25">
      <c r="A3157" s="549" t="s">
        <v>1083</v>
      </c>
      <c r="B3157" s="549" t="s">
        <v>584</v>
      </c>
      <c r="C3157" s="549" t="s">
        <v>742</v>
      </c>
      <c r="D3157" s="549" t="s">
        <v>743</v>
      </c>
      <c r="E3157" s="549" t="s">
        <v>977</v>
      </c>
      <c r="F3157" s="549" t="s">
        <v>1212</v>
      </c>
      <c r="G3157" s="549">
        <v>332</v>
      </c>
      <c r="H3157" s="549" t="s">
        <v>742</v>
      </c>
      <c r="I3157" s="549" t="s">
        <v>976</v>
      </c>
      <c r="J3157" s="549" t="s">
        <v>976</v>
      </c>
      <c r="K3157" s="549" t="s">
        <v>976</v>
      </c>
      <c r="L3157" s="549">
        <v>159088.13</v>
      </c>
      <c r="M3157" s="549">
        <v>12011.15</v>
      </c>
      <c r="N3157" s="549">
        <v>3515.85</v>
      </c>
      <c r="O3157" s="549">
        <v>3968</v>
      </c>
      <c r="P3157" s="549">
        <v>100</v>
      </c>
      <c r="Q3157" s="549">
        <v>19495</v>
      </c>
    </row>
    <row r="3158" spans="1:17" x14ac:dyDescent="0.25">
      <c r="A3158" s="549" t="s">
        <v>1083</v>
      </c>
      <c r="B3158" s="549" t="s">
        <v>584</v>
      </c>
      <c r="C3158" s="549" t="s">
        <v>742</v>
      </c>
      <c r="D3158" s="549" t="s">
        <v>743</v>
      </c>
      <c r="E3158" s="549" t="s">
        <v>977</v>
      </c>
      <c r="F3158" s="549" t="s">
        <v>1212</v>
      </c>
      <c r="G3158" s="549">
        <v>352</v>
      </c>
      <c r="H3158" s="549" t="s">
        <v>742</v>
      </c>
      <c r="I3158" s="549" t="s">
        <v>976</v>
      </c>
      <c r="J3158" s="549" t="s">
        <v>976</v>
      </c>
      <c r="K3158" s="549" t="s">
        <v>976</v>
      </c>
      <c r="L3158" s="549">
        <v>159088.13</v>
      </c>
      <c r="M3158" s="549">
        <v>12011.15</v>
      </c>
      <c r="N3158" s="549">
        <v>3515.85</v>
      </c>
      <c r="O3158" s="549">
        <v>3968</v>
      </c>
      <c r="P3158" s="549">
        <v>100</v>
      </c>
      <c r="Q3158" s="549">
        <v>19495</v>
      </c>
    </row>
    <row r="3159" spans="1:17" x14ac:dyDescent="0.25">
      <c r="A3159" s="549" t="s">
        <v>1083</v>
      </c>
      <c r="B3159" s="549" t="s">
        <v>584</v>
      </c>
      <c r="C3159" s="549" t="s">
        <v>742</v>
      </c>
      <c r="D3159" s="549" t="s">
        <v>743</v>
      </c>
      <c r="E3159" s="549" t="s">
        <v>977</v>
      </c>
      <c r="F3159" s="549" t="s">
        <v>1212</v>
      </c>
      <c r="G3159" s="549">
        <v>372</v>
      </c>
      <c r="H3159" s="549" t="s">
        <v>742</v>
      </c>
      <c r="I3159" s="549" t="s">
        <v>976</v>
      </c>
      <c r="J3159" s="549" t="s">
        <v>976</v>
      </c>
      <c r="K3159" s="549" t="s">
        <v>976</v>
      </c>
      <c r="L3159" s="549">
        <v>159088.13</v>
      </c>
      <c r="M3159" s="549">
        <v>12011.15</v>
      </c>
      <c r="N3159" s="549">
        <v>3515.85</v>
      </c>
      <c r="O3159" s="549">
        <v>3968</v>
      </c>
      <c r="P3159" s="549">
        <v>100</v>
      </c>
      <c r="Q3159" s="549">
        <v>19495</v>
      </c>
    </row>
    <row r="3160" spans="1:17" x14ac:dyDescent="0.25">
      <c r="A3160" s="549" t="s">
        <v>1083</v>
      </c>
      <c r="B3160" s="549" t="s">
        <v>584</v>
      </c>
      <c r="C3160" s="549" t="s">
        <v>742</v>
      </c>
      <c r="D3160" s="549" t="s">
        <v>743</v>
      </c>
      <c r="E3160" s="549" t="s">
        <v>977</v>
      </c>
      <c r="F3160" s="549" t="s">
        <v>1212</v>
      </c>
      <c r="G3160" s="549">
        <v>382</v>
      </c>
      <c r="H3160" s="549" t="s">
        <v>742</v>
      </c>
      <c r="I3160" s="549" t="s">
        <v>976</v>
      </c>
      <c r="J3160" s="549" t="s">
        <v>976</v>
      </c>
      <c r="K3160" s="549" t="s">
        <v>976</v>
      </c>
      <c r="L3160" s="549">
        <v>121901.27</v>
      </c>
      <c r="M3160" s="549">
        <v>9203.5499999999993</v>
      </c>
      <c r="N3160" s="549">
        <v>2694.02</v>
      </c>
      <c r="O3160" s="549">
        <v>1984</v>
      </c>
      <c r="P3160" s="549">
        <v>100</v>
      </c>
      <c r="Q3160" s="549">
        <v>13881.57</v>
      </c>
    </row>
    <row r="3161" spans="1:17" x14ac:dyDescent="0.25">
      <c r="A3161" s="549" t="s">
        <v>1083</v>
      </c>
      <c r="B3161" s="549" t="s">
        <v>584</v>
      </c>
      <c r="C3161" s="549" t="s">
        <v>742</v>
      </c>
      <c r="D3161" s="549" t="s">
        <v>743</v>
      </c>
      <c r="E3161" s="549" t="s">
        <v>977</v>
      </c>
      <c r="F3161" s="549" t="s">
        <v>1212</v>
      </c>
      <c r="G3161" s="549">
        <v>392</v>
      </c>
      <c r="H3161" s="549" t="s">
        <v>742</v>
      </c>
      <c r="I3161" s="549" t="s">
        <v>976</v>
      </c>
      <c r="J3161" s="549" t="s">
        <v>976</v>
      </c>
      <c r="K3161" s="549" t="s">
        <v>976</v>
      </c>
      <c r="L3161" s="549">
        <v>159088.13</v>
      </c>
      <c r="M3161" s="549">
        <v>12011.15</v>
      </c>
      <c r="N3161" s="549">
        <v>3515.85</v>
      </c>
      <c r="O3161" s="549">
        <v>3968</v>
      </c>
      <c r="P3161" s="549">
        <v>100</v>
      </c>
      <c r="Q3161" s="549">
        <v>19495</v>
      </c>
    </row>
    <row r="3162" spans="1:17" x14ac:dyDescent="0.25">
      <c r="A3162" s="549" t="s">
        <v>1083</v>
      </c>
      <c r="B3162" s="549" t="s">
        <v>584</v>
      </c>
      <c r="C3162" s="549" t="s">
        <v>742</v>
      </c>
      <c r="D3162" s="549" t="s">
        <v>743</v>
      </c>
      <c r="E3162" s="549" t="s">
        <v>977</v>
      </c>
      <c r="F3162" s="549" t="s">
        <v>1212</v>
      </c>
      <c r="G3162" s="549">
        <v>402</v>
      </c>
      <c r="H3162" s="549" t="s">
        <v>742</v>
      </c>
      <c r="I3162" s="549" t="s">
        <v>976</v>
      </c>
      <c r="J3162" s="549" t="s">
        <v>976</v>
      </c>
      <c r="K3162" s="549" t="s">
        <v>976</v>
      </c>
      <c r="L3162" s="549">
        <v>159088.13</v>
      </c>
      <c r="M3162" s="549">
        <v>12011.15</v>
      </c>
      <c r="N3162" s="549">
        <v>3515.85</v>
      </c>
      <c r="O3162" s="549">
        <v>3968</v>
      </c>
      <c r="P3162" s="549">
        <v>100</v>
      </c>
      <c r="Q3162" s="549">
        <v>19495</v>
      </c>
    </row>
    <row r="3163" spans="1:17" x14ac:dyDescent="0.25">
      <c r="A3163" s="549" t="s">
        <v>1083</v>
      </c>
      <c r="B3163" s="549" t="s">
        <v>584</v>
      </c>
      <c r="C3163" s="549" t="s">
        <v>742</v>
      </c>
      <c r="D3163" s="549" t="s">
        <v>743</v>
      </c>
      <c r="E3163" s="549" t="s">
        <v>977</v>
      </c>
      <c r="F3163" s="549" t="s">
        <v>1212</v>
      </c>
      <c r="G3163" s="549" t="s">
        <v>1437</v>
      </c>
      <c r="H3163" s="549" t="s">
        <v>742</v>
      </c>
      <c r="I3163" s="549" t="s">
        <v>976</v>
      </c>
      <c r="J3163" s="549" t="s">
        <v>976</v>
      </c>
      <c r="K3163" s="549" t="s">
        <v>976</v>
      </c>
      <c r="L3163" s="549">
        <v>53530.52</v>
      </c>
      <c r="M3163" s="549">
        <v>4041.55</v>
      </c>
      <c r="N3163" s="549">
        <v>1183.02</v>
      </c>
      <c r="O3163" s="549">
        <v>1984</v>
      </c>
      <c r="P3163" s="549">
        <v>40.82</v>
      </c>
      <c r="Q3163" s="549">
        <v>2942.54</v>
      </c>
    </row>
    <row r="3164" spans="1:17" x14ac:dyDescent="0.25">
      <c r="A3164" s="549" t="s">
        <v>1083</v>
      </c>
      <c r="B3164" s="549" t="s">
        <v>584</v>
      </c>
      <c r="C3164" s="549" t="s">
        <v>742</v>
      </c>
      <c r="D3164" s="549" t="s">
        <v>743</v>
      </c>
      <c r="E3164" s="549" t="s">
        <v>977</v>
      </c>
      <c r="F3164" s="549" t="s">
        <v>1212</v>
      </c>
      <c r="G3164" s="549" t="s">
        <v>1438</v>
      </c>
      <c r="H3164" s="549" t="s">
        <v>742</v>
      </c>
      <c r="I3164" s="549" t="s">
        <v>976</v>
      </c>
      <c r="J3164" s="549" t="s">
        <v>976</v>
      </c>
      <c r="K3164" s="549" t="s">
        <v>976</v>
      </c>
      <c r="L3164" s="549">
        <v>106166.61</v>
      </c>
      <c r="M3164" s="549">
        <v>8015.58</v>
      </c>
      <c r="N3164" s="549">
        <v>2346.2800000000002</v>
      </c>
      <c r="O3164" s="549">
        <v>1984</v>
      </c>
      <c r="P3164" s="549">
        <v>40.82</v>
      </c>
      <c r="Q3164" s="549">
        <v>5039.58</v>
      </c>
    </row>
    <row r="3165" spans="1:17" x14ac:dyDescent="0.25">
      <c r="A3165" s="549" t="s">
        <v>1083</v>
      </c>
      <c r="B3165" s="549" t="s">
        <v>584</v>
      </c>
      <c r="C3165" s="549" t="s">
        <v>742</v>
      </c>
      <c r="D3165" s="549" t="s">
        <v>743</v>
      </c>
      <c r="E3165" s="549" t="s">
        <v>977</v>
      </c>
      <c r="F3165" s="549" t="s">
        <v>1212</v>
      </c>
      <c r="G3165" s="549" t="s">
        <v>1331</v>
      </c>
      <c r="H3165" s="549" t="s">
        <v>742</v>
      </c>
      <c r="I3165" s="549" t="s">
        <v>976</v>
      </c>
      <c r="J3165" s="549" t="s">
        <v>976</v>
      </c>
      <c r="K3165" s="549" t="s">
        <v>976</v>
      </c>
      <c r="L3165" s="549">
        <v>37458.379999999997</v>
      </c>
      <c r="M3165" s="549">
        <v>2828.11</v>
      </c>
      <c r="N3165" s="549">
        <v>827.83</v>
      </c>
      <c r="O3165" s="549">
        <v>1984</v>
      </c>
      <c r="P3165" s="549">
        <v>100</v>
      </c>
      <c r="Q3165" s="549">
        <v>5639.94</v>
      </c>
    </row>
    <row r="3166" spans="1:17" x14ac:dyDescent="0.25">
      <c r="A3166" s="549" t="s">
        <v>1083</v>
      </c>
      <c r="B3166" s="549" t="s">
        <v>584</v>
      </c>
      <c r="C3166" s="549" t="s">
        <v>742</v>
      </c>
      <c r="D3166" s="549" t="s">
        <v>743</v>
      </c>
      <c r="E3166" s="549" t="s">
        <v>977</v>
      </c>
      <c r="F3166" s="549" t="s">
        <v>1212</v>
      </c>
      <c r="G3166" s="549" t="s">
        <v>1453</v>
      </c>
      <c r="H3166" s="549" t="s">
        <v>742</v>
      </c>
      <c r="I3166" s="549" t="s">
        <v>976</v>
      </c>
      <c r="J3166" s="549" t="s">
        <v>976</v>
      </c>
      <c r="K3166" s="549" t="s">
        <v>976</v>
      </c>
      <c r="L3166" s="549">
        <v>37458.379999999997</v>
      </c>
      <c r="M3166" s="549">
        <v>2828.11</v>
      </c>
      <c r="N3166" s="549">
        <v>827.83</v>
      </c>
      <c r="O3166" s="549">
        <v>1984</v>
      </c>
      <c r="P3166" s="549">
        <v>100</v>
      </c>
      <c r="Q3166" s="549">
        <v>5639.94</v>
      </c>
    </row>
    <row r="3167" spans="1:17" x14ac:dyDescent="0.25">
      <c r="A3167" s="549" t="s">
        <v>1083</v>
      </c>
      <c r="B3167" s="549" t="s">
        <v>584</v>
      </c>
      <c r="C3167" s="549" t="s">
        <v>742</v>
      </c>
      <c r="D3167" s="549" t="s">
        <v>743</v>
      </c>
      <c r="E3167" s="549" t="s">
        <v>977</v>
      </c>
      <c r="F3167" s="549" t="s">
        <v>1212</v>
      </c>
      <c r="G3167" s="549" t="s">
        <v>1418</v>
      </c>
      <c r="H3167" s="549" t="s">
        <v>742</v>
      </c>
      <c r="I3167" s="549" t="s">
        <v>976</v>
      </c>
      <c r="J3167" s="549" t="s">
        <v>976</v>
      </c>
      <c r="K3167" s="549" t="s">
        <v>976</v>
      </c>
      <c r="L3167" s="549">
        <v>30469.119999999999</v>
      </c>
      <c r="M3167" s="549">
        <v>2300.42</v>
      </c>
      <c r="N3167" s="549">
        <v>673.37</v>
      </c>
      <c r="O3167" s="549">
        <v>0</v>
      </c>
      <c r="P3167" s="549">
        <v>100</v>
      </c>
      <c r="Q3167" s="549">
        <v>2973.79</v>
      </c>
    </row>
    <row r="3168" spans="1:17" x14ac:dyDescent="0.25">
      <c r="A3168" s="549" t="s">
        <v>1083</v>
      </c>
      <c r="B3168" s="549" t="s">
        <v>584</v>
      </c>
      <c r="C3168" s="549" t="s">
        <v>742</v>
      </c>
      <c r="D3168" s="549" t="s">
        <v>743</v>
      </c>
      <c r="E3168" s="549" t="s">
        <v>977</v>
      </c>
      <c r="F3168" s="549" t="s">
        <v>1212</v>
      </c>
      <c r="G3168" s="549" t="s">
        <v>1454</v>
      </c>
      <c r="H3168" s="549" t="s">
        <v>742</v>
      </c>
      <c r="I3168" s="549" t="s">
        <v>976</v>
      </c>
      <c r="J3168" s="549" t="s">
        <v>976</v>
      </c>
      <c r="K3168" s="549" t="s">
        <v>976</v>
      </c>
      <c r="L3168" s="549">
        <v>30469.119999999999</v>
      </c>
      <c r="M3168" s="549">
        <v>2300.42</v>
      </c>
      <c r="N3168" s="549">
        <v>673.37</v>
      </c>
      <c r="O3168" s="549">
        <v>0</v>
      </c>
      <c r="P3168" s="549">
        <v>100</v>
      </c>
      <c r="Q3168" s="549">
        <v>2973.79</v>
      </c>
    </row>
    <row r="3169" spans="1:17" x14ac:dyDescent="0.25">
      <c r="A3169" s="549" t="s">
        <v>1083</v>
      </c>
      <c r="B3169" s="549" t="s">
        <v>584</v>
      </c>
      <c r="C3169" s="549" t="s">
        <v>742</v>
      </c>
      <c r="D3169" s="549" t="s">
        <v>743</v>
      </c>
      <c r="E3169" s="549" t="s">
        <v>977</v>
      </c>
      <c r="F3169" s="549" t="s">
        <v>1212</v>
      </c>
      <c r="G3169" s="549" t="s">
        <v>1427</v>
      </c>
      <c r="H3169" s="549" t="s">
        <v>742</v>
      </c>
      <c r="I3169" s="549" t="s">
        <v>976</v>
      </c>
      <c r="J3169" s="549" t="s">
        <v>976</v>
      </c>
      <c r="K3169" s="549" t="s">
        <v>976</v>
      </c>
      <c r="L3169" s="549">
        <v>30469.119999999999</v>
      </c>
      <c r="M3169" s="549">
        <v>2300.42</v>
      </c>
      <c r="N3169" s="549">
        <v>673.37</v>
      </c>
      <c r="O3169" s="549">
        <v>0</v>
      </c>
      <c r="P3169" s="549">
        <v>100</v>
      </c>
      <c r="Q3169" s="549">
        <v>2973.79</v>
      </c>
    </row>
    <row r="3170" spans="1:17" x14ac:dyDescent="0.25">
      <c r="A3170" s="549" t="s">
        <v>1083</v>
      </c>
      <c r="B3170" s="549" t="s">
        <v>584</v>
      </c>
      <c r="C3170" s="549" t="s">
        <v>742</v>
      </c>
      <c r="D3170" s="549" t="s">
        <v>743</v>
      </c>
      <c r="E3170" s="549" t="s">
        <v>977</v>
      </c>
      <c r="F3170" s="549" t="s">
        <v>1212</v>
      </c>
      <c r="G3170" s="549" t="s">
        <v>1455</v>
      </c>
      <c r="H3170" s="549" t="s">
        <v>742</v>
      </c>
      <c r="I3170" s="549" t="s">
        <v>976</v>
      </c>
      <c r="J3170" s="549" t="s">
        <v>976</v>
      </c>
      <c r="K3170" s="549" t="s">
        <v>976</v>
      </c>
      <c r="L3170" s="549">
        <v>48805.45</v>
      </c>
      <c r="M3170" s="549">
        <v>3684.81</v>
      </c>
      <c r="N3170" s="549">
        <v>1078.5999999999999</v>
      </c>
      <c r="O3170" s="549">
        <v>0</v>
      </c>
      <c r="P3170" s="549">
        <v>100</v>
      </c>
      <c r="Q3170" s="549">
        <v>4763.41</v>
      </c>
    </row>
    <row r="3171" spans="1:17" x14ac:dyDescent="0.25">
      <c r="A3171" s="549" t="s">
        <v>1083</v>
      </c>
      <c r="B3171" s="549" t="s">
        <v>584</v>
      </c>
      <c r="C3171" s="549" t="s">
        <v>742</v>
      </c>
      <c r="D3171" s="549" t="s">
        <v>743</v>
      </c>
      <c r="E3171" s="549" t="s">
        <v>977</v>
      </c>
      <c r="F3171" s="549" t="s">
        <v>1212</v>
      </c>
      <c r="G3171" s="549" t="s">
        <v>1240</v>
      </c>
      <c r="H3171" s="549" t="s">
        <v>742</v>
      </c>
      <c r="I3171" s="549" t="s">
        <v>976</v>
      </c>
      <c r="J3171" s="549" t="s">
        <v>976</v>
      </c>
      <c r="K3171" s="549" t="s">
        <v>976</v>
      </c>
      <c r="L3171" s="549">
        <v>48805.45</v>
      </c>
      <c r="M3171" s="549">
        <v>3684.81</v>
      </c>
      <c r="N3171" s="549">
        <v>1078.5999999999999</v>
      </c>
      <c r="O3171" s="549">
        <v>0</v>
      </c>
      <c r="P3171" s="549">
        <v>100</v>
      </c>
      <c r="Q3171" s="549">
        <v>4763.41</v>
      </c>
    </row>
    <row r="3172" spans="1:17" x14ac:dyDescent="0.25">
      <c r="A3172" s="549" t="s">
        <v>1083</v>
      </c>
      <c r="B3172" s="549" t="s">
        <v>584</v>
      </c>
      <c r="C3172" s="549" t="s">
        <v>760</v>
      </c>
      <c r="D3172" s="549" t="s">
        <v>761</v>
      </c>
      <c r="E3172" s="549" t="s">
        <v>977</v>
      </c>
      <c r="F3172" s="549" t="s">
        <v>1212</v>
      </c>
      <c r="G3172" s="549">
        <v>182</v>
      </c>
      <c r="H3172" s="549" t="s">
        <v>855</v>
      </c>
      <c r="I3172" s="549" t="s">
        <v>976</v>
      </c>
      <c r="J3172" s="549" t="s">
        <v>976</v>
      </c>
      <c r="K3172" s="549" t="s">
        <v>976</v>
      </c>
      <c r="L3172" s="549">
        <v>509800.94</v>
      </c>
      <c r="M3172" s="549">
        <v>38489.97</v>
      </c>
      <c r="N3172" s="549">
        <v>11266.6</v>
      </c>
      <c r="O3172" s="549">
        <v>3968</v>
      </c>
      <c r="P3172" s="549">
        <v>25.97</v>
      </c>
      <c r="Q3172" s="549">
        <v>13952.27</v>
      </c>
    </row>
    <row r="3173" spans="1:17" x14ac:dyDescent="0.25">
      <c r="A3173" s="549" t="s">
        <v>1083</v>
      </c>
      <c r="B3173" s="549" t="s">
        <v>584</v>
      </c>
      <c r="C3173" s="549" t="s">
        <v>760</v>
      </c>
      <c r="D3173" s="549" t="s">
        <v>761</v>
      </c>
      <c r="E3173" s="549" t="s">
        <v>977</v>
      </c>
      <c r="F3173" s="549" t="s">
        <v>1212</v>
      </c>
      <c r="G3173" s="549">
        <v>202</v>
      </c>
      <c r="H3173" s="549" t="s">
        <v>855</v>
      </c>
      <c r="I3173" s="549" t="s">
        <v>976</v>
      </c>
      <c r="J3173" s="549" t="s">
        <v>976</v>
      </c>
      <c r="K3173" s="549" t="s">
        <v>976</v>
      </c>
      <c r="L3173" s="549">
        <v>509800.94</v>
      </c>
      <c r="M3173" s="549">
        <v>38489.97</v>
      </c>
      <c r="N3173" s="549">
        <v>11266.6</v>
      </c>
      <c r="O3173" s="549">
        <v>3968</v>
      </c>
      <c r="P3173" s="549">
        <v>25.97</v>
      </c>
      <c r="Q3173" s="549">
        <v>13952.27</v>
      </c>
    </row>
    <row r="3174" spans="1:17" x14ac:dyDescent="0.25">
      <c r="A3174" s="549" t="s">
        <v>1083</v>
      </c>
      <c r="B3174" s="549" t="s">
        <v>584</v>
      </c>
      <c r="C3174" s="549" t="s">
        <v>760</v>
      </c>
      <c r="D3174" s="549" t="s">
        <v>761</v>
      </c>
      <c r="E3174" s="549" t="s">
        <v>977</v>
      </c>
      <c r="F3174" s="549" t="s">
        <v>1212</v>
      </c>
      <c r="G3174" s="549">
        <v>62</v>
      </c>
      <c r="H3174" s="549" t="s">
        <v>742</v>
      </c>
      <c r="I3174" s="549" t="s">
        <v>976</v>
      </c>
      <c r="J3174" s="549" t="s">
        <v>976</v>
      </c>
      <c r="K3174" s="549" t="s">
        <v>976</v>
      </c>
      <c r="L3174" s="549">
        <v>504629.39</v>
      </c>
      <c r="M3174" s="549">
        <v>38099.519999999997</v>
      </c>
      <c r="N3174" s="549">
        <v>11152.31</v>
      </c>
      <c r="O3174" s="549">
        <v>3968</v>
      </c>
      <c r="P3174" s="549">
        <v>43.89</v>
      </c>
      <c r="Q3174" s="549">
        <v>23358.18</v>
      </c>
    </row>
    <row r="3175" spans="1:17" x14ac:dyDescent="0.25">
      <c r="A3175" s="549" t="s">
        <v>1083</v>
      </c>
      <c r="B3175" s="549" t="s">
        <v>584</v>
      </c>
      <c r="C3175" s="549" t="s">
        <v>760</v>
      </c>
      <c r="D3175" s="549" t="s">
        <v>761</v>
      </c>
      <c r="E3175" s="549" t="s">
        <v>977</v>
      </c>
      <c r="F3175" s="549" t="s">
        <v>1212</v>
      </c>
      <c r="G3175" s="549">
        <v>82</v>
      </c>
      <c r="H3175" s="549" t="s">
        <v>742</v>
      </c>
      <c r="I3175" s="549" t="s">
        <v>976</v>
      </c>
      <c r="J3175" s="549" t="s">
        <v>976</v>
      </c>
      <c r="K3175" s="549" t="s">
        <v>976</v>
      </c>
      <c r="L3175" s="549">
        <v>504629.39</v>
      </c>
      <c r="M3175" s="549">
        <v>38099.519999999997</v>
      </c>
      <c r="N3175" s="549">
        <v>11152.31</v>
      </c>
      <c r="O3175" s="549">
        <v>3968</v>
      </c>
      <c r="P3175" s="549">
        <v>25.97</v>
      </c>
      <c r="Q3175" s="549">
        <v>13821.19</v>
      </c>
    </row>
    <row r="3176" spans="1:17" x14ac:dyDescent="0.25">
      <c r="A3176" s="549" t="s">
        <v>1083</v>
      </c>
      <c r="B3176" s="549" t="s">
        <v>584</v>
      </c>
      <c r="C3176" s="549" t="s">
        <v>760</v>
      </c>
      <c r="D3176" s="549" t="s">
        <v>761</v>
      </c>
      <c r="E3176" s="549" t="s">
        <v>977</v>
      </c>
      <c r="F3176" s="549" t="s">
        <v>1212</v>
      </c>
      <c r="G3176" s="549">
        <v>102</v>
      </c>
      <c r="H3176" s="549" t="s">
        <v>742</v>
      </c>
      <c r="I3176" s="549" t="s">
        <v>976</v>
      </c>
      <c r="J3176" s="549" t="s">
        <v>976</v>
      </c>
      <c r="K3176" s="549" t="s">
        <v>976</v>
      </c>
      <c r="L3176" s="549">
        <v>504629.39</v>
      </c>
      <c r="M3176" s="549">
        <v>38099.519999999997</v>
      </c>
      <c r="N3176" s="549">
        <v>11152.31</v>
      </c>
      <c r="O3176" s="549">
        <v>3968</v>
      </c>
      <c r="P3176" s="549">
        <v>43.89</v>
      </c>
      <c r="Q3176" s="549">
        <v>23358.18</v>
      </c>
    </row>
    <row r="3177" spans="1:17" x14ac:dyDescent="0.25">
      <c r="A3177" s="549" t="s">
        <v>1083</v>
      </c>
      <c r="B3177" s="549" t="s">
        <v>584</v>
      </c>
      <c r="C3177" s="549" t="s">
        <v>760</v>
      </c>
      <c r="D3177" s="549" t="s">
        <v>761</v>
      </c>
      <c r="E3177" s="549" t="s">
        <v>977</v>
      </c>
      <c r="F3177" s="549" t="s">
        <v>1212</v>
      </c>
      <c r="G3177" s="549">
        <v>122</v>
      </c>
      <c r="H3177" s="549" t="s">
        <v>742</v>
      </c>
      <c r="I3177" s="549" t="s">
        <v>976</v>
      </c>
      <c r="J3177" s="549" t="s">
        <v>976</v>
      </c>
      <c r="K3177" s="549" t="s">
        <v>976</v>
      </c>
      <c r="L3177" s="549">
        <v>504629.39</v>
      </c>
      <c r="M3177" s="549">
        <v>38099.519999999997</v>
      </c>
      <c r="N3177" s="549">
        <v>11152.31</v>
      </c>
      <c r="O3177" s="549">
        <v>3968</v>
      </c>
      <c r="P3177" s="549">
        <v>25.97</v>
      </c>
      <c r="Q3177" s="549">
        <v>13821.19</v>
      </c>
    </row>
    <row r="3178" spans="1:17" x14ac:dyDescent="0.25">
      <c r="A3178" s="549" t="s">
        <v>1083</v>
      </c>
      <c r="B3178" s="549" t="s">
        <v>584</v>
      </c>
      <c r="C3178" s="549" t="s">
        <v>760</v>
      </c>
      <c r="D3178" s="549" t="s">
        <v>761</v>
      </c>
      <c r="E3178" s="549" t="s">
        <v>977</v>
      </c>
      <c r="F3178" s="549" t="s">
        <v>1212</v>
      </c>
      <c r="G3178" s="549" t="s">
        <v>1437</v>
      </c>
      <c r="H3178" s="549" t="s">
        <v>742</v>
      </c>
      <c r="I3178" s="549" t="s">
        <v>976</v>
      </c>
      <c r="J3178" s="549" t="s">
        <v>976</v>
      </c>
      <c r="K3178" s="549" t="s">
        <v>976</v>
      </c>
      <c r="L3178" s="549">
        <v>53530.52</v>
      </c>
      <c r="M3178" s="549">
        <v>4041.55</v>
      </c>
      <c r="N3178" s="549">
        <v>1183.02</v>
      </c>
      <c r="O3178" s="549">
        <v>1984</v>
      </c>
      <c r="P3178" s="549">
        <v>25.97</v>
      </c>
      <c r="Q3178" s="549">
        <v>1872.07</v>
      </c>
    </row>
    <row r="3179" spans="1:17" x14ac:dyDescent="0.25">
      <c r="A3179" s="549" t="s">
        <v>1083</v>
      </c>
      <c r="B3179" s="549" t="s">
        <v>584</v>
      </c>
      <c r="C3179" s="549" t="s">
        <v>760</v>
      </c>
      <c r="D3179" s="549" t="s">
        <v>761</v>
      </c>
      <c r="E3179" s="549" t="s">
        <v>977</v>
      </c>
      <c r="F3179" s="549" t="s">
        <v>1212</v>
      </c>
      <c r="G3179" s="549" t="s">
        <v>1438</v>
      </c>
      <c r="H3179" s="549" t="s">
        <v>742</v>
      </c>
      <c r="I3179" s="549" t="s">
        <v>976</v>
      </c>
      <c r="J3179" s="549" t="s">
        <v>976</v>
      </c>
      <c r="K3179" s="549" t="s">
        <v>976</v>
      </c>
      <c r="L3179" s="549">
        <v>106166.61</v>
      </c>
      <c r="M3179" s="549">
        <v>8015.58</v>
      </c>
      <c r="N3179" s="549">
        <v>2346.2800000000002</v>
      </c>
      <c r="O3179" s="549">
        <v>1984</v>
      </c>
      <c r="P3179" s="549">
        <v>25.97</v>
      </c>
      <c r="Q3179" s="549">
        <v>3206.22</v>
      </c>
    </row>
    <row r="3180" spans="1:17" x14ac:dyDescent="0.25">
      <c r="A3180" s="549" t="s">
        <v>1083</v>
      </c>
      <c r="B3180" s="549" t="s">
        <v>584</v>
      </c>
      <c r="C3180" s="549" t="s">
        <v>760</v>
      </c>
      <c r="D3180" s="549" t="s">
        <v>761</v>
      </c>
      <c r="E3180" s="549" t="s">
        <v>977</v>
      </c>
      <c r="F3180" s="549" t="s">
        <v>1212</v>
      </c>
      <c r="G3180" s="549">
        <v>242</v>
      </c>
      <c r="H3180" s="549" t="s">
        <v>760</v>
      </c>
      <c r="I3180" s="549" t="s">
        <v>976</v>
      </c>
      <c r="J3180" s="549" t="s">
        <v>976</v>
      </c>
      <c r="K3180" s="549" t="s">
        <v>976</v>
      </c>
      <c r="L3180" s="549">
        <v>152537.76</v>
      </c>
      <c r="M3180" s="549">
        <v>11516.6</v>
      </c>
      <c r="N3180" s="549">
        <v>3371.08</v>
      </c>
      <c r="O3180" s="549">
        <v>3968</v>
      </c>
      <c r="P3180" s="549">
        <v>100</v>
      </c>
      <c r="Q3180" s="549">
        <v>18855.68</v>
      </c>
    </row>
    <row r="3181" spans="1:17" x14ac:dyDescent="0.25">
      <c r="A3181" s="549" t="s">
        <v>1083</v>
      </c>
      <c r="B3181" s="549" t="s">
        <v>584</v>
      </c>
      <c r="C3181" s="549" t="s">
        <v>760</v>
      </c>
      <c r="D3181" s="549" t="s">
        <v>761</v>
      </c>
      <c r="E3181" s="549" t="s">
        <v>977</v>
      </c>
      <c r="F3181" s="549" t="s">
        <v>1212</v>
      </c>
      <c r="G3181" s="549">
        <v>262</v>
      </c>
      <c r="H3181" s="549" t="s">
        <v>760</v>
      </c>
      <c r="I3181" s="549" t="s">
        <v>976</v>
      </c>
      <c r="J3181" s="549" t="s">
        <v>976</v>
      </c>
      <c r="K3181" s="549" t="s">
        <v>976</v>
      </c>
      <c r="L3181" s="549">
        <v>152537.76</v>
      </c>
      <c r="M3181" s="549">
        <v>11516.6</v>
      </c>
      <c r="N3181" s="549">
        <v>3371.08</v>
      </c>
      <c r="O3181" s="549">
        <v>3968</v>
      </c>
      <c r="P3181" s="549">
        <v>100</v>
      </c>
      <c r="Q3181" s="549">
        <v>18855.68</v>
      </c>
    </row>
    <row r="3182" spans="1:17" x14ac:dyDescent="0.25">
      <c r="A3182" s="549" t="s">
        <v>1083</v>
      </c>
      <c r="B3182" s="549" t="s">
        <v>584</v>
      </c>
      <c r="C3182" s="549" t="s">
        <v>760</v>
      </c>
      <c r="D3182" s="549" t="s">
        <v>761</v>
      </c>
      <c r="E3182" s="549" t="s">
        <v>977</v>
      </c>
      <c r="F3182" s="549" t="s">
        <v>1212</v>
      </c>
      <c r="G3182" s="549">
        <v>272</v>
      </c>
      <c r="H3182" s="549" t="s">
        <v>760</v>
      </c>
      <c r="I3182" s="549" t="s">
        <v>976</v>
      </c>
      <c r="J3182" s="549" t="s">
        <v>976</v>
      </c>
      <c r="K3182" s="549" t="s">
        <v>976</v>
      </c>
      <c r="L3182" s="549">
        <v>138999.78</v>
      </c>
      <c r="M3182" s="549">
        <v>10494.48</v>
      </c>
      <c r="N3182" s="549">
        <v>3071.9</v>
      </c>
      <c r="O3182" s="549">
        <v>1984</v>
      </c>
      <c r="P3182" s="549">
        <v>100</v>
      </c>
      <c r="Q3182" s="549">
        <v>15550.38</v>
      </c>
    </row>
    <row r="3183" spans="1:17" x14ac:dyDescent="0.25">
      <c r="A3183" s="549" t="s">
        <v>1083</v>
      </c>
      <c r="B3183" s="549" t="s">
        <v>584</v>
      </c>
      <c r="C3183" s="549" t="s">
        <v>760</v>
      </c>
      <c r="D3183" s="549" t="s">
        <v>761</v>
      </c>
      <c r="E3183" s="549" t="s">
        <v>977</v>
      </c>
      <c r="F3183" s="549" t="s">
        <v>1212</v>
      </c>
      <c r="G3183" s="549">
        <v>282</v>
      </c>
      <c r="H3183" s="549" t="s">
        <v>760</v>
      </c>
      <c r="I3183" s="549" t="s">
        <v>976</v>
      </c>
      <c r="J3183" s="549" t="s">
        <v>976</v>
      </c>
      <c r="K3183" s="549" t="s">
        <v>976</v>
      </c>
      <c r="L3183" s="549">
        <v>152537.76</v>
      </c>
      <c r="M3183" s="549">
        <v>11516.6</v>
      </c>
      <c r="N3183" s="549">
        <v>3371.08</v>
      </c>
      <c r="O3183" s="549">
        <v>3968</v>
      </c>
      <c r="P3183" s="549">
        <v>100</v>
      </c>
      <c r="Q3183" s="549">
        <v>18855.68</v>
      </c>
    </row>
    <row r="3184" spans="1:17" x14ac:dyDescent="0.25">
      <c r="A3184" s="549" t="s">
        <v>1083</v>
      </c>
      <c r="B3184" s="549" t="s">
        <v>584</v>
      </c>
      <c r="C3184" s="549" t="s">
        <v>760</v>
      </c>
      <c r="D3184" s="549" t="s">
        <v>761</v>
      </c>
      <c r="E3184" s="549" t="s">
        <v>977</v>
      </c>
      <c r="F3184" s="549" t="s">
        <v>1212</v>
      </c>
      <c r="G3184" s="549">
        <v>292</v>
      </c>
      <c r="H3184" s="549" t="s">
        <v>760</v>
      </c>
      <c r="I3184" s="549" t="s">
        <v>976</v>
      </c>
      <c r="J3184" s="549" t="s">
        <v>976</v>
      </c>
      <c r="K3184" s="549" t="s">
        <v>976</v>
      </c>
      <c r="L3184" s="549">
        <v>138999.78</v>
      </c>
      <c r="M3184" s="549">
        <v>10494.48</v>
      </c>
      <c r="N3184" s="549">
        <v>3071.9</v>
      </c>
      <c r="O3184" s="549">
        <v>1984</v>
      </c>
      <c r="P3184" s="549">
        <v>100</v>
      </c>
      <c r="Q3184" s="549">
        <v>15550.38</v>
      </c>
    </row>
    <row r="3185" spans="1:17" x14ac:dyDescent="0.25">
      <c r="A3185" s="549" t="s">
        <v>1083</v>
      </c>
      <c r="B3185" s="549" t="s">
        <v>584</v>
      </c>
      <c r="C3185" s="549" t="s">
        <v>760</v>
      </c>
      <c r="D3185" s="549" t="s">
        <v>761</v>
      </c>
      <c r="E3185" s="549" t="s">
        <v>977</v>
      </c>
      <c r="F3185" s="549" t="s">
        <v>1212</v>
      </c>
      <c r="G3185" s="549">
        <v>302</v>
      </c>
      <c r="H3185" s="549" t="s">
        <v>760</v>
      </c>
      <c r="I3185" s="549" t="s">
        <v>976</v>
      </c>
      <c r="J3185" s="549" t="s">
        <v>976</v>
      </c>
      <c r="K3185" s="549" t="s">
        <v>976</v>
      </c>
      <c r="L3185" s="549">
        <v>152537.76</v>
      </c>
      <c r="M3185" s="549">
        <v>11516.6</v>
      </c>
      <c r="N3185" s="549">
        <v>3371.08</v>
      </c>
      <c r="O3185" s="549">
        <v>3968</v>
      </c>
      <c r="P3185" s="549">
        <v>100</v>
      </c>
      <c r="Q3185" s="549">
        <v>18855.68</v>
      </c>
    </row>
    <row r="3186" spans="1:17" x14ac:dyDescent="0.25">
      <c r="A3186" s="549" t="s">
        <v>1083</v>
      </c>
      <c r="B3186" s="549" t="s">
        <v>584</v>
      </c>
      <c r="C3186" s="549" t="s">
        <v>760</v>
      </c>
      <c r="D3186" s="549" t="s">
        <v>761</v>
      </c>
      <c r="E3186" s="549" t="s">
        <v>977</v>
      </c>
      <c r="F3186" s="549" t="s">
        <v>1212</v>
      </c>
      <c r="G3186" s="549">
        <v>312</v>
      </c>
      <c r="H3186" s="549" t="s">
        <v>760</v>
      </c>
      <c r="I3186" s="549" t="s">
        <v>976</v>
      </c>
      <c r="J3186" s="549" t="s">
        <v>976</v>
      </c>
      <c r="K3186" s="549" t="s">
        <v>976</v>
      </c>
      <c r="L3186" s="549">
        <v>152537.76</v>
      </c>
      <c r="M3186" s="549">
        <v>11516.6</v>
      </c>
      <c r="N3186" s="549">
        <v>3371.08</v>
      </c>
      <c r="O3186" s="549">
        <v>3968</v>
      </c>
      <c r="P3186" s="549">
        <v>100</v>
      </c>
      <c r="Q3186" s="549">
        <v>18855.68</v>
      </c>
    </row>
    <row r="3187" spans="1:17" x14ac:dyDescent="0.25">
      <c r="A3187" s="549" t="s">
        <v>1083</v>
      </c>
      <c r="B3187" s="549" t="s">
        <v>584</v>
      </c>
      <c r="C3187" s="549" t="s">
        <v>760</v>
      </c>
      <c r="D3187" s="549" t="s">
        <v>761</v>
      </c>
      <c r="E3187" s="549" t="s">
        <v>977</v>
      </c>
      <c r="F3187" s="549" t="s">
        <v>1212</v>
      </c>
      <c r="G3187" s="549">
        <v>512</v>
      </c>
      <c r="H3187" s="549" t="s">
        <v>760</v>
      </c>
      <c r="I3187" s="549" t="s">
        <v>976</v>
      </c>
      <c r="J3187" s="549" t="s">
        <v>976</v>
      </c>
      <c r="K3187" s="549" t="s">
        <v>976</v>
      </c>
      <c r="L3187" s="549">
        <v>504629.39</v>
      </c>
      <c r="M3187" s="549">
        <v>38099.519999999997</v>
      </c>
      <c r="N3187" s="549">
        <v>11152.31</v>
      </c>
      <c r="O3187" s="549">
        <v>3968</v>
      </c>
      <c r="P3187" s="549">
        <v>43.89</v>
      </c>
      <c r="Q3187" s="549">
        <v>23358.18</v>
      </c>
    </row>
    <row r="3188" spans="1:17" x14ac:dyDescent="0.25">
      <c r="A3188" s="549" t="s">
        <v>1083</v>
      </c>
      <c r="B3188" s="549" t="s">
        <v>584</v>
      </c>
      <c r="C3188" s="549" t="s">
        <v>760</v>
      </c>
      <c r="D3188" s="549" t="s">
        <v>761</v>
      </c>
      <c r="E3188" s="549" t="s">
        <v>977</v>
      </c>
      <c r="F3188" s="549" t="s">
        <v>1212</v>
      </c>
      <c r="G3188" s="549">
        <v>522</v>
      </c>
      <c r="H3188" s="549" t="s">
        <v>760</v>
      </c>
      <c r="I3188" s="549" t="s">
        <v>976</v>
      </c>
      <c r="J3188" s="549" t="s">
        <v>976</v>
      </c>
      <c r="K3188" s="549" t="s">
        <v>976</v>
      </c>
      <c r="L3188" s="549">
        <v>344086.71</v>
      </c>
      <c r="M3188" s="549">
        <v>25978.55</v>
      </c>
      <c r="N3188" s="549">
        <v>7604.32</v>
      </c>
      <c r="O3188" s="549">
        <v>1984</v>
      </c>
      <c r="P3188" s="549">
        <v>100</v>
      </c>
      <c r="Q3188" s="549">
        <v>35566.870000000003</v>
      </c>
    </row>
    <row r="3189" spans="1:17" x14ac:dyDescent="0.25">
      <c r="A3189" s="549" t="s">
        <v>1083</v>
      </c>
      <c r="B3189" s="549" t="s">
        <v>584</v>
      </c>
      <c r="C3189" s="549" t="s">
        <v>760</v>
      </c>
      <c r="D3189" s="549" t="s">
        <v>761</v>
      </c>
      <c r="E3189" s="549" t="s">
        <v>977</v>
      </c>
      <c r="F3189" s="549" t="s">
        <v>1212</v>
      </c>
      <c r="G3189" s="549">
        <v>542</v>
      </c>
      <c r="H3189" s="549" t="s">
        <v>760</v>
      </c>
      <c r="I3189" s="549" t="s">
        <v>976</v>
      </c>
      <c r="J3189" s="549" t="s">
        <v>976</v>
      </c>
      <c r="K3189" s="549" t="s">
        <v>976</v>
      </c>
      <c r="L3189" s="549">
        <v>344086.71</v>
      </c>
      <c r="M3189" s="549">
        <v>25978.55</v>
      </c>
      <c r="N3189" s="549">
        <v>7604.32</v>
      </c>
      <c r="O3189" s="549">
        <v>1984</v>
      </c>
      <c r="P3189" s="549">
        <v>100</v>
      </c>
      <c r="Q3189" s="549">
        <v>35566.870000000003</v>
      </c>
    </row>
    <row r="3190" spans="1:17" x14ac:dyDescent="0.25">
      <c r="A3190" s="549" t="s">
        <v>1083</v>
      </c>
      <c r="B3190" s="549" t="s">
        <v>584</v>
      </c>
      <c r="C3190" s="549" t="s">
        <v>760</v>
      </c>
      <c r="D3190" s="549" t="s">
        <v>761</v>
      </c>
      <c r="E3190" s="549" t="s">
        <v>977</v>
      </c>
      <c r="F3190" s="549" t="s">
        <v>1212</v>
      </c>
      <c r="G3190" s="549">
        <v>552</v>
      </c>
      <c r="H3190" s="549" t="s">
        <v>760</v>
      </c>
      <c r="I3190" s="549" t="s">
        <v>976</v>
      </c>
      <c r="J3190" s="549" t="s">
        <v>976</v>
      </c>
      <c r="K3190" s="549" t="s">
        <v>976</v>
      </c>
      <c r="L3190" s="549">
        <v>504629.39</v>
      </c>
      <c r="M3190" s="549">
        <v>38099.519999999997</v>
      </c>
      <c r="N3190" s="549">
        <v>11152.31</v>
      </c>
      <c r="O3190" s="549">
        <v>3968</v>
      </c>
      <c r="P3190" s="549">
        <v>43.89</v>
      </c>
      <c r="Q3190" s="549">
        <v>23358.18</v>
      </c>
    </row>
    <row r="3191" spans="1:17" x14ac:dyDescent="0.25">
      <c r="A3191" s="549" t="s">
        <v>1083</v>
      </c>
      <c r="B3191" s="549" t="s">
        <v>584</v>
      </c>
      <c r="C3191" s="549" t="s">
        <v>760</v>
      </c>
      <c r="D3191" s="549" t="s">
        <v>761</v>
      </c>
      <c r="E3191" s="549" t="s">
        <v>977</v>
      </c>
      <c r="F3191" s="549" t="s">
        <v>1212</v>
      </c>
      <c r="G3191" s="549" t="s">
        <v>1456</v>
      </c>
      <c r="H3191" s="549" t="s">
        <v>760</v>
      </c>
      <c r="I3191" s="549" t="s">
        <v>976</v>
      </c>
      <c r="J3191" s="549" t="s">
        <v>976</v>
      </c>
      <c r="K3191" s="549" t="s">
        <v>976</v>
      </c>
      <c r="L3191" s="549">
        <v>35916.06</v>
      </c>
      <c r="M3191" s="549">
        <v>2711.66</v>
      </c>
      <c r="N3191" s="549">
        <v>793.74</v>
      </c>
      <c r="O3191" s="549">
        <v>1984</v>
      </c>
      <c r="P3191" s="549">
        <v>100</v>
      </c>
      <c r="Q3191" s="549">
        <v>5489.4</v>
      </c>
    </row>
    <row r="3192" spans="1:17" x14ac:dyDescent="0.25">
      <c r="A3192" s="549" t="s">
        <v>1083</v>
      </c>
      <c r="B3192" s="549" t="s">
        <v>584</v>
      </c>
      <c r="C3192" s="549" t="s">
        <v>760</v>
      </c>
      <c r="D3192" s="549" t="s">
        <v>761</v>
      </c>
      <c r="E3192" s="549" t="s">
        <v>977</v>
      </c>
      <c r="F3192" s="549" t="s">
        <v>1212</v>
      </c>
      <c r="G3192" s="549" t="s">
        <v>1439</v>
      </c>
      <c r="H3192" s="549" t="s">
        <v>760</v>
      </c>
      <c r="I3192" s="549" t="s">
        <v>976</v>
      </c>
      <c r="J3192" s="549" t="s">
        <v>976</v>
      </c>
      <c r="K3192" s="549" t="s">
        <v>976</v>
      </c>
      <c r="L3192" s="549">
        <v>107061.02</v>
      </c>
      <c r="M3192" s="549">
        <v>8083.11</v>
      </c>
      <c r="N3192" s="549">
        <v>2366.0500000000002</v>
      </c>
      <c r="O3192" s="549">
        <v>1984</v>
      </c>
      <c r="P3192" s="549">
        <v>43.89</v>
      </c>
      <c r="Q3192" s="549">
        <v>5456.91</v>
      </c>
    </row>
    <row r="3193" spans="1:17" x14ac:dyDescent="0.25">
      <c r="A3193" s="549" t="s">
        <v>1083</v>
      </c>
      <c r="B3193" s="549" t="s">
        <v>584</v>
      </c>
      <c r="C3193" s="549" t="s">
        <v>760</v>
      </c>
      <c r="D3193" s="549" t="s">
        <v>761</v>
      </c>
      <c r="E3193" s="549" t="s">
        <v>977</v>
      </c>
      <c r="F3193" s="549" t="s">
        <v>1212</v>
      </c>
      <c r="G3193" s="549" t="s">
        <v>1457</v>
      </c>
      <c r="H3193" s="549" t="s">
        <v>760</v>
      </c>
      <c r="I3193" s="549" t="s">
        <v>976</v>
      </c>
      <c r="J3193" s="549" t="s">
        <v>976</v>
      </c>
      <c r="K3193" s="549" t="s">
        <v>976</v>
      </c>
      <c r="L3193" s="549">
        <v>30697.13</v>
      </c>
      <c r="M3193" s="549">
        <v>2317.63</v>
      </c>
      <c r="N3193" s="549">
        <v>678.41</v>
      </c>
      <c r="O3193" s="549">
        <v>0</v>
      </c>
      <c r="P3193" s="549">
        <v>100</v>
      </c>
      <c r="Q3193" s="549">
        <v>2996.04</v>
      </c>
    </row>
    <row r="3194" spans="1:17" x14ac:dyDescent="0.25">
      <c r="A3194" s="549" t="s">
        <v>1083</v>
      </c>
      <c r="B3194" s="549" t="s">
        <v>584</v>
      </c>
      <c r="C3194" s="549" t="s">
        <v>760</v>
      </c>
      <c r="D3194" s="549" t="s">
        <v>761</v>
      </c>
      <c r="E3194" s="549" t="s">
        <v>977</v>
      </c>
      <c r="F3194" s="549" t="s">
        <v>1212</v>
      </c>
      <c r="G3194" s="549" t="s">
        <v>1243</v>
      </c>
      <c r="H3194" s="549" t="s">
        <v>760</v>
      </c>
      <c r="I3194" s="549" t="s">
        <v>976</v>
      </c>
      <c r="J3194" s="549" t="s">
        <v>976</v>
      </c>
      <c r="K3194" s="549" t="s">
        <v>976</v>
      </c>
      <c r="L3194" s="549">
        <v>30697.13</v>
      </c>
      <c r="M3194" s="549">
        <v>2317.63</v>
      </c>
      <c r="N3194" s="549">
        <v>678.41</v>
      </c>
      <c r="O3194" s="549">
        <v>0</v>
      </c>
      <c r="P3194" s="549">
        <v>100</v>
      </c>
      <c r="Q3194" s="549">
        <v>2996.04</v>
      </c>
    </row>
    <row r="3195" spans="1:17" x14ac:dyDescent="0.25">
      <c r="A3195" s="549" t="s">
        <v>1083</v>
      </c>
      <c r="B3195" s="549" t="s">
        <v>584</v>
      </c>
      <c r="C3195" s="549" t="s">
        <v>760</v>
      </c>
      <c r="D3195" s="549" t="s">
        <v>761</v>
      </c>
      <c r="E3195" s="549" t="s">
        <v>977</v>
      </c>
      <c r="F3195" s="549" t="s">
        <v>1212</v>
      </c>
      <c r="G3195" s="549" t="s">
        <v>1249</v>
      </c>
      <c r="H3195" s="549" t="s">
        <v>760</v>
      </c>
      <c r="I3195" s="549" t="s">
        <v>976</v>
      </c>
      <c r="J3195" s="549" t="s">
        <v>976</v>
      </c>
      <c r="K3195" s="549" t="s">
        <v>976</v>
      </c>
      <c r="L3195" s="549">
        <v>48805.45</v>
      </c>
      <c r="M3195" s="549">
        <v>3684.81</v>
      </c>
      <c r="N3195" s="549">
        <v>1078.5999999999999</v>
      </c>
      <c r="O3195" s="549">
        <v>0</v>
      </c>
      <c r="P3195" s="549">
        <v>100</v>
      </c>
      <c r="Q3195" s="549">
        <v>4763.41</v>
      </c>
    </row>
    <row r="3196" spans="1:17" x14ac:dyDescent="0.25">
      <c r="A3196" s="549" t="s">
        <v>1083</v>
      </c>
      <c r="B3196" s="549" t="s">
        <v>584</v>
      </c>
      <c r="C3196" s="549" t="s">
        <v>760</v>
      </c>
      <c r="D3196" s="549" t="s">
        <v>761</v>
      </c>
      <c r="E3196" s="549" t="s">
        <v>977</v>
      </c>
      <c r="F3196" s="549" t="s">
        <v>1212</v>
      </c>
      <c r="G3196" s="549" t="s">
        <v>1250</v>
      </c>
      <c r="H3196" s="549" t="s">
        <v>760</v>
      </c>
      <c r="I3196" s="549" t="s">
        <v>976</v>
      </c>
      <c r="J3196" s="549" t="s">
        <v>976</v>
      </c>
      <c r="K3196" s="549" t="s">
        <v>976</v>
      </c>
      <c r="L3196" s="549">
        <v>48805.45</v>
      </c>
      <c r="M3196" s="549">
        <v>3684.81</v>
      </c>
      <c r="N3196" s="549">
        <v>1078.5999999999999</v>
      </c>
      <c r="O3196" s="549">
        <v>0</v>
      </c>
      <c r="P3196" s="549">
        <v>100</v>
      </c>
      <c r="Q3196" s="549">
        <v>4763.41</v>
      </c>
    </row>
    <row r="3197" spans="1:17" x14ac:dyDescent="0.25">
      <c r="A3197" s="549" t="s">
        <v>1083</v>
      </c>
      <c r="B3197" s="549" t="s">
        <v>584</v>
      </c>
      <c r="C3197" s="549" t="s">
        <v>772</v>
      </c>
      <c r="D3197" s="549" t="s">
        <v>773</v>
      </c>
      <c r="E3197" s="549" t="s">
        <v>977</v>
      </c>
      <c r="F3197" s="549" t="s">
        <v>1212</v>
      </c>
      <c r="G3197" s="549">
        <v>72</v>
      </c>
      <c r="H3197" s="549" t="s">
        <v>772</v>
      </c>
      <c r="I3197" s="549" t="s">
        <v>976</v>
      </c>
      <c r="J3197" s="549" t="s">
        <v>976</v>
      </c>
      <c r="K3197" s="549" t="s">
        <v>976</v>
      </c>
      <c r="L3197" s="549">
        <v>347493.52</v>
      </c>
      <c r="M3197" s="549">
        <v>26235.759999999998</v>
      </c>
      <c r="N3197" s="549">
        <v>7679.61</v>
      </c>
      <c r="O3197" s="549">
        <v>1984</v>
      </c>
      <c r="P3197" s="549">
        <v>100</v>
      </c>
      <c r="Q3197" s="549">
        <v>35899.370000000003</v>
      </c>
    </row>
    <row r="3198" spans="1:17" x14ac:dyDescent="0.25">
      <c r="A3198" s="549" t="s">
        <v>1083</v>
      </c>
      <c r="B3198" s="549" t="s">
        <v>584</v>
      </c>
      <c r="C3198" s="549" t="s">
        <v>772</v>
      </c>
      <c r="D3198" s="549" t="s">
        <v>773</v>
      </c>
      <c r="E3198" s="549" t="s">
        <v>977</v>
      </c>
      <c r="F3198" s="549" t="s">
        <v>1212</v>
      </c>
      <c r="G3198" s="549">
        <v>82</v>
      </c>
      <c r="H3198" s="549" t="s">
        <v>772</v>
      </c>
      <c r="I3198" s="549" t="s">
        <v>976</v>
      </c>
      <c r="J3198" s="549" t="s">
        <v>976</v>
      </c>
      <c r="K3198" s="549" t="s">
        <v>976</v>
      </c>
      <c r="L3198" s="549">
        <v>347493.52</v>
      </c>
      <c r="M3198" s="549">
        <v>26235.759999999998</v>
      </c>
      <c r="N3198" s="549">
        <v>7679.61</v>
      </c>
      <c r="O3198" s="549">
        <v>1984</v>
      </c>
      <c r="P3198" s="549">
        <v>100</v>
      </c>
      <c r="Q3198" s="549">
        <v>35899.370000000003</v>
      </c>
    </row>
    <row r="3199" spans="1:17" x14ac:dyDescent="0.25">
      <c r="A3199" s="549" t="s">
        <v>1083</v>
      </c>
      <c r="B3199" s="549" t="s">
        <v>584</v>
      </c>
      <c r="C3199" s="549" t="s">
        <v>772</v>
      </c>
      <c r="D3199" s="549" t="s">
        <v>773</v>
      </c>
      <c r="E3199" s="549" t="s">
        <v>977</v>
      </c>
      <c r="F3199" s="549" t="s">
        <v>1212</v>
      </c>
      <c r="G3199" s="549">
        <v>2032</v>
      </c>
      <c r="H3199" s="549" t="s">
        <v>772</v>
      </c>
      <c r="I3199" s="549" t="s">
        <v>976</v>
      </c>
      <c r="J3199" s="549" t="s">
        <v>976</v>
      </c>
      <c r="K3199" s="549" t="s">
        <v>976</v>
      </c>
      <c r="L3199" s="549">
        <v>92748.31</v>
      </c>
      <c r="M3199" s="549">
        <v>7002.5</v>
      </c>
      <c r="N3199" s="549">
        <v>2049.7399999999998</v>
      </c>
      <c r="O3199" s="549">
        <v>992</v>
      </c>
      <c r="P3199" s="549">
        <v>100</v>
      </c>
      <c r="Q3199" s="549">
        <v>10044.24</v>
      </c>
    </row>
    <row r="3200" spans="1:17" x14ac:dyDescent="0.25">
      <c r="A3200" s="549" t="s">
        <v>1083</v>
      </c>
      <c r="B3200" s="549" t="s">
        <v>584</v>
      </c>
      <c r="C3200" s="549" t="s">
        <v>772</v>
      </c>
      <c r="D3200" s="549" t="s">
        <v>773</v>
      </c>
      <c r="E3200" s="549" t="s">
        <v>977</v>
      </c>
      <c r="F3200" s="549" t="s">
        <v>1212</v>
      </c>
      <c r="G3200" s="549">
        <v>2042</v>
      </c>
      <c r="H3200" s="549" t="s">
        <v>772</v>
      </c>
      <c r="I3200" s="549" t="s">
        <v>976</v>
      </c>
      <c r="J3200" s="549" t="s">
        <v>976</v>
      </c>
      <c r="K3200" s="549" t="s">
        <v>976</v>
      </c>
      <c r="L3200" s="549">
        <v>92748.31</v>
      </c>
      <c r="M3200" s="549">
        <v>7002.5</v>
      </c>
      <c r="N3200" s="549">
        <v>2049.7399999999998</v>
      </c>
      <c r="O3200" s="549">
        <v>992</v>
      </c>
      <c r="P3200" s="549">
        <v>100</v>
      </c>
      <c r="Q3200" s="549">
        <v>10044.24</v>
      </c>
    </row>
    <row r="3201" spans="1:17" x14ac:dyDescent="0.25">
      <c r="A3201" s="549" t="s">
        <v>1083</v>
      </c>
      <c r="B3201" s="549" t="s">
        <v>584</v>
      </c>
      <c r="C3201" s="549" t="s">
        <v>772</v>
      </c>
      <c r="D3201" s="549" t="s">
        <v>773</v>
      </c>
      <c r="E3201" s="549" t="s">
        <v>977</v>
      </c>
      <c r="F3201" s="549" t="s">
        <v>1212</v>
      </c>
      <c r="G3201" s="549">
        <v>2052</v>
      </c>
      <c r="H3201" s="549" t="s">
        <v>772</v>
      </c>
      <c r="I3201" s="549" t="s">
        <v>976</v>
      </c>
      <c r="J3201" s="549" t="s">
        <v>976</v>
      </c>
      <c r="K3201" s="549" t="s">
        <v>976</v>
      </c>
      <c r="L3201" s="549">
        <v>99162.07</v>
      </c>
      <c r="M3201" s="549">
        <v>7486.74</v>
      </c>
      <c r="N3201" s="549">
        <v>2191.48</v>
      </c>
      <c r="O3201" s="549">
        <v>992</v>
      </c>
      <c r="P3201" s="549">
        <v>100</v>
      </c>
      <c r="Q3201" s="549">
        <v>10670.22</v>
      </c>
    </row>
    <row r="3202" spans="1:17" x14ac:dyDescent="0.25">
      <c r="A3202" s="549" t="s">
        <v>1083</v>
      </c>
      <c r="B3202" s="549" t="s">
        <v>584</v>
      </c>
      <c r="C3202" s="549" t="s">
        <v>772</v>
      </c>
      <c r="D3202" s="549" t="s">
        <v>773</v>
      </c>
      <c r="E3202" s="549" t="s">
        <v>977</v>
      </c>
      <c r="F3202" s="549" t="s">
        <v>1212</v>
      </c>
      <c r="G3202" s="549">
        <v>2068</v>
      </c>
      <c r="H3202" s="549" t="s">
        <v>772</v>
      </c>
      <c r="I3202" s="549" t="s">
        <v>976</v>
      </c>
      <c r="J3202" s="549" t="s">
        <v>976</v>
      </c>
      <c r="K3202" s="549" t="s">
        <v>976</v>
      </c>
      <c r="L3202" s="549">
        <v>106431</v>
      </c>
      <c r="M3202" s="549">
        <v>8035.54</v>
      </c>
      <c r="N3202" s="549">
        <v>2352.13</v>
      </c>
      <c r="O3202" s="549">
        <v>992</v>
      </c>
      <c r="P3202" s="549">
        <v>100</v>
      </c>
      <c r="Q3202" s="549">
        <v>11379.67</v>
      </c>
    </row>
    <row r="3203" spans="1:17" x14ac:dyDescent="0.25">
      <c r="A3203" s="549" t="s">
        <v>1083</v>
      </c>
      <c r="B3203" s="549" t="s">
        <v>584</v>
      </c>
      <c r="C3203" s="549" t="s">
        <v>772</v>
      </c>
      <c r="D3203" s="549" t="s">
        <v>773</v>
      </c>
      <c r="E3203" s="549" t="s">
        <v>977</v>
      </c>
      <c r="F3203" s="549" t="s">
        <v>1212</v>
      </c>
      <c r="G3203" s="549">
        <v>2072</v>
      </c>
      <c r="H3203" s="549" t="s">
        <v>772</v>
      </c>
      <c r="I3203" s="549" t="s">
        <v>976</v>
      </c>
      <c r="J3203" s="549" t="s">
        <v>976</v>
      </c>
      <c r="K3203" s="549" t="s">
        <v>976</v>
      </c>
      <c r="L3203" s="549">
        <v>99162.07</v>
      </c>
      <c r="M3203" s="549">
        <v>7486.74</v>
      </c>
      <c r="N3203" s="549">
        <v>2191.48</v>
      </c>
      <c r="O3203" s="549">
        <v>992</v>
      </c>
      <c r="P3203" s="549">
        <v>100</v>
      </c>
      <c r="Q3203" s="549">
        <v>10670.22</v>
      </c>
    </row>
    <row r="3204" spans="1:17" x14ac:dyDescent="0.25">
      <c r="A3204" s="549" t="s">
        <v>1083</v>
      </c>
      <c r="B3204" s="549" t="s">
        <v>584</v>
      </c>
      <c r="C3204" s="549" t="s">
        <v>772</v>
      </c>
      <c r="D3204" s="549" t="s">
        <v>773</v>
      </c>
      <c r="E3204" s="549" t="s">
        <v>977</v>
      </c>
      <c r="F3204" s="549" t="s">
        <v>1212</v>
      </c>
      <c r="G3204" s="549">
        <v>2082</v>
      </c>
      <c r="H3204" s="549" t="s">
        <v>772</v>
      </c>
      <c r="I3204" s="549" t="s">
        <v>976</v>
      </c>
      <c r="J3204" s="549" t="s">
        <v>976</v>
      </c>
      <c r="K3204" s="549" t="s">
        <v>976</v>
      </c>
      <c r="L3204" s="549">
        <v>92748.31</v>
      </c>
      <c r="M3204" s="549">
        <v>7002.5</v>
      </c>
      <c r="N3204" s="549">
        <v>2049.7399999999998</v>
      </c>
      <c r="O3204" s="549">
        <v>992</v>
      </c>
      <c r="P3204" s="549">
        <v>100</v>
      </c>
      <c r="Q3204" s="549">
        <v>10044.24</v>
      </c>
    </row>
    <row r="3205" spans="1:17" x14ac:dyDescent="0.25">
      <c r="A3205" s="549" t="s">
        <v>1083</v>
      </c>
      <c r="B3205" s="549" t="s">
        <v>584</v>
      </c>
      <c r="C3205" s="549" t="s">
        <v>772</v>
      </c>
      <c r="D3205" s="549" t="s">
        <v>773</v>
      </c>
      <c r="E3205" s="549" t="s">
        <v>977</v>
      </c>
      <c r="F3205" s="549" t="s">
        <v>1212</v>
      </c>
      <c r="G3205" s="549">
        <v>2092</v>
      </c>
      <c r="H3205" s="549" t="s">
        <v>772</v>
      </c>
      <c r="I3205" s="549" t="s">
        <v>976</v>
      </c>
      <c r="J3205" s="549" t="s">
        <v>976</v>
      </c>
      <c r="K3205" s="549" t="s">
        <v>976</v>
      </c>
      <c r="L3205" s="549">
        <v>92748.31</v>
      </c>
      <c r="M3205" s="549">
        <v>7002.5</v>
      </c>
      <c r="N3205" s="549">
        <v>2049.7399999999998</v>
      </c>
      <c r="O3205" s="549">
        <v>992</v>
      </c>
      <c r="P3205" s="549">
        <v>100</v>
      </c>
      <c r="Q3205" s="549">
        <v>10044.24</v>
      </c>
    </row>
    <row r="3206" spans="1:17" x14ac:dyDescent="0.25">
      <c r="A3206" s="549" t="s">
        <v>1083</v>
      </c>
      <c r="B3206" s="549" t="s">
        <v>584</v>
      </c>
      <c r="C3206" s="549" t="s">
        <v>772</v>
      </c>
      <c r="D3206" s="549" t="s">
        <v>773</v>
      </c>
      <c r="E3206" s="549" t="s">
        <v>977</v>
      </c>
      <c r="F3206" s="549" t="s">
        <v>1212</v>
      </c>
      <c r="G3206" s="549" t="s">
        <v>1327</v>
      </c>
      <c r="H3206" s="549" t="s">
        <v>772</v>
      </c>
      <c r="I3206" s="549" t="s">
        <v>976</v>
      </c>
      <c r="J3206" s="549" t="s">
        <v>976</v>
      </c>
      <c r="K3206" s="549" t="s">
        <v>976</v>
      </c>
      <c r="L3206" s="549">
        <v>31410.32</v>
      </c>
      <c r="M3206" s="549">
        <v>2371.48</v>
      </c>
      <c r="N3206" s="549">
        <v>694.17</v>
      </c>
      <c r="O3206" s="549">
        <v>0</v>
      </c>
      <c r="P3206" s="549">
        <v>100</v>
      </c>
      <c r="Q3206" s="549">
        <v>3065.65</v>
      </c>
    </row>
    <row r="3207" spans="1:17" x14ac:dyDescent="0.25">
      <c r="A3207" s="549" t="s">
        <v>1083</v>
      </c>
      <c r="B3207" s="549" t="s">
        <v>584</v>
      </c>
      <c r="C3207" s="549" t="s">
        <v>772</v>
      </c>
      <c r="D3207" s="549" t="s">
        <v>773</v>
      </c>
      <c r="E3207" s="549" t="s">
        <v>977</v>
      </c>
      <c r="F3207" s="549" t="s">
        <v>1212</v>
      </c>
      <c r="G3207" s="549" t="s">
        <v>1458</v>
      </c>
      <c r="H3207" s="549" t="s">
        <v>772</v>
      </c>
      <c r="I3207" s="549" t="s">
        <v>976</v>
      </c>
      <c r="J3207" s="549" t="s">
        <v>976</v>
      </c>
      <c r="K3207" s="549" t="s">
        <v>976</v>
      </c>
      <c r="L3207" s="549">
        <v>31410.32</v>
      </c>
      <c r="M3207" s="549">
        <v>2371.48</v>
      </c>
      <c r="N3207" s="549">
        <v>694.17</v>
      </c>
      <c r="O3207" s="549">
        <v>0</v>
      </c>
      <c r="P3207" s="549">
        <v>100</v>
      </c>
      <c r="Q3207" s="549">
        <v>3065.65</v>
      </c>
    </row>
    <row r="3208" spans="1:17" x14ac:dyDescent="0.25">
      <c r="A3208" s="549" t="s">
        <v>1083</v>
      </c>
      <c r="B3208" s="549" t="s">
        <v>584</v>
      </c>
      <c r="C3208" s="549" t="s">
        <v>778</v>
      </c>
      <c r="D3208" s="549" t="s">
        <v>779</v>
      </c>
      <c r="E3208" s="549" t="s">
        <v>977</v>
      </c>
      <c r="F3208" s="549" t="s">
        <v>1212</v>
      </c>
      <c r="G3208" s="549">
        <v>42</v>
      </c>
      <c r="H3208" s="549" t="s">
        <v>778</v>
      </c>
      <c r="I3208" s="549" t="s">
        <v>976</v>
      </c>
      <c r="J3208" s="549" t="s">
        <v>976</v>
      </c>
      <c r="K3208" s="549" t="s">
        <v>976</v>
      </c>
      <c r="L3208" s="549">
        <v>257636.88</v>
      </c>
      <c r="M3208" s="549">
        <v>19451.580000000002</v>
      </c>
      <c r="N3208" s="549">
        <v>5693.78</v>
      </c>
      <c r="O3208" s="549">
        <v>3968</v>
      </c>
      <c r="P3208" s="549">
        <v>100</v>
      </c>
      <c r="Q3208" s="549">
        <v>29113.360000000001</v>
      </c>
    </row>
    <row r="3209" spans="1:17" x14ac:dyDescent="0.25">
      <c r="A3209" s="549" t="s">
        <v>1083</v>
      </c>
      <c r="B3209" s="549" t="s">
        <v>584</v>
      </c>
      <c r="C3209" s="549" t="s">
        <v>778</v>
      </c>
      <c r="D3209" s="549" t="s">
        <v>779</v>
      </c>
      <c r="E3209" s="549" t="s">
        <v>977</v>
      </c>
      <c r="F3209" s="549" t="s">
        <v>1212</v>
      </c>
      <c r="G3209" s="549">
        <v>242</v>
      </c>
      <c r="H3209" s="549" t="s">
        <v>778</v>
      </c>
      <c r="I3209" s="549" t="s">
        <v>976</v>
      </c>
      <c r="J3209" s="549" t="s">
        <v>976</v>
      </c>
      <c r="K3209" s="549" t="s">
        <v>976</v>
      </c>
      <c r="L3209" s="549">
        <v>48624.45</v>
      </c>
      <c r="M3209" s="549">
        <v>3671.15</v>
      </c>
      <c r="N3209" s="549">
        <v>1074.5999999999999</v>
      </c>
      <c r="O3209" s="549">
        <v>1984</v>
      </c>
      <c r="P3209" s="549">
        <v>100</v>
      </c>
      <c r="Q3209" s="549">
        <v>6729.75</v>
      </c>
    </row>
    <row r="3210" spans="1:17" x14ac:dyDescent="0.25">
      <c r="A3210" s="549" t="s">
        <v>1083</v>
      </c>
      <c r="B3210" s="549" t="s">
        <v>584</v>
      </c>
      <c r="C3210" s="549" t="s">
        <v>778</v>
      </c>
      <c r="D3210" s="549" t="s">
        <v>779</v>
      </c>
      <c r="E3210" s="549" t="s">
        <v>977</v>
      </c>
      <c r="F3210" s="549" t="s">
        <v>1212</v>
      </c>
      <c r="G3210" s="549">
        <v>262</v>
      </c>
      <c r="H3210" s="549" t="s">
        <v>778</v>
      </c>
      <c r="I3210" s="549" t="s">
        <v>976</v>
      </c>
      <c r="J3210" s="549" t="s">
        <v>976</v>
      </c>
      <c r="K3210" s="549" t="s">
        <v>976</v>
      </c>
      <c r="L3210" s="549">
        <v>48624.45</v>
      </c>
      <c r="M3210" s="549">
        <v>3671.15</v>
      </c>
      <c r="N3210" s="549">
        <v>1074.5999999999999</v>
      </c>
      <c r="O3210" s="549">
        <v>1984</v>
      </c>
      <c r="P3210" s="549">
        <v>100</v>
      </c>
      <c r="Q3210" s="549">
        <v>6729.75</v>
      </c>
    </row>
    <row r="3211" spans="1:17" x14ac:dyDescent="0.25">
      <c r="A3211" s="549" t="s">
        <v>1083</v>
      </c>
      <c r="B3211" s="549" t="s">
        <v>584</v>
      </c>
      <c r="C3211" s="549" t="s">
        <v>778</v>
      </c>
      <c r="D3211" s="549" t="s">
        <v>779</v>
      </c>
      <c r="E3211" s="549" t="s">
        <v>977</v>
      </c>
      <c r="F3211" s="549" t="s">
        <v>1212</v>
      </c>
      <c r="G3211" s="549">
        <v>282</v>
      </c>
      <c r="H3211" s="549" t="s">
        <v>778</v>
      </c>
      <c r="I3211" s="549" t="s">
        <v>976</v>
      </c>
      <c r="J3211" s="549" t="s">
        <v>976</v>
      </c>
      <c r="K3211" s="549" t="s">
        <v>976</v>
      </c>
      <c r="L3211" s="549">
        <v>48624.45</v>
      </c>
      <c r="M3211" s="549">
        <v>3671.15</v>
      </c>
      <c r="N3211" s="549">
        <v>1074.5999999999999</v>
      </c>
      <c r="O3211" s="549">
        <v>1984</v>
      </c>
      <c r="P3211" s="549">
        <v>100</v>
      </c>
      <c r="Q3211" s="549">
        <v>6729.75</v>
      </c>
    </row>
    <row r="3212" spans="1:17" x14ac:dyDescent="0.25">
      <c r="A3212" s="549" t="s">
        <v>1083</v>
      </c>
      <c r="B3212" s="549" t="s">
        <v>584</v>
      </c>
      <c r="C3212" s="549" t="s">
        <v>778</v>
      </c>
      <c r="D3212" s="549" t="s">
        <v>779</v>
      </c>
      <c r="E3212" s="549" t="s">
        <v>977</v>
      </c>
      <c r="F3212" s="549" t="s">
        <v>1212</v>
      </c>
      <c r="G3212" s="549">
        <v>302</v>
      </c>
      <c r="H3212" s="549" t="s">
        <v>778</v>
      </c>
      <c r="I3212" s="549" t="s">
        <v>976</v>
      </c>
      <c r="J3212" s="549" t="s">
        <v>976</v>
      </c>
      <c r="K3212" s="549" t="s">
        <v>976</v>
      </c>
      <c r="L3212" s="549">
        <v>99754.33</v>
      </c>
      <c r="M3212" s="549">
        <v>7531.45</v>
      </c>
      <c r="N3212" s="549">
        <v>2204.5700000000002</v>
      </c>
      <c r="O3212" s="549">
        <v>1984</v>
      </c>
      <c r="P3212" s="549">
        <v>100</v>
      </c>
      <c r="Q3212" s="549">
        <v>11720.02</v>
      </c>
    </row>
    <row r="3213" spans="1:17" x14ac:dyDescent="0.25">
      <c r="A3213" s="549" t="s">
        <v>1083</v>
      </c>
      <c r="B3213" s="549" t="s">
        <v>584</v>
      </c>
      <c r="C3213" s="549" t="s">
        <v>778</v>
      </c>
      <c r="D3213" s="549" t="s">
        <v>779</v>
      </c>
      <c r="E3213" s="549" t="s">
        <v>977</v>
      </c>
      <c r="F3213" s="549" t="s">
        <v>1212</v>
      </c>
      <c r="G3213" s="549" t="s">
        <v>1459</v>
      </c>
      <c r="H3213" s="549" t="s">
        <v>778</v>
      </c>
      <c r="I3213" s="549" t="s">
        <v>976</v>
      </c>
      <c r="J3213" s="549" t="s">
        <v>976</v>
      </c>
      <c r="K3213" s="549" t="s">
        <v>976</v>
      </c>
      <c r="L3213" s="549">
        <v>0.02</v>
      </c>
      <c r="M3213" s="549">
        <v>0</v>
      </c>
      <c r="N3213" s="549">
        <v>0</v>
      </c>
      <c r="O3213" s="549">
        <v>1984</v>
      </c>
      <c r="P3213" s="549">
        <v>100</v>
      </c>
      <c r="Q3213" s="549">
        <v>1984</v>
      </c>
    </row>
    <row r="3214" spans="1:17" x14ac:dyDescent="0.25">
      <c r="A3214" s="549" t="s">
        <v>1083</v>
      </c>
      <c r="B3214" s="549" t="s">
        <v>584</v>
      </c>
      <c r="C3214" s="549" t="s">
        <v>778</v>
      </c>
      <c r="D3214" s="549" t="s">
        <v>779</v>
      </c>
      <c r="E3214" s="549" t="s">
        <v>977</v>
      </c>
      <c r="F3214" s="549" t="s">
        <v>1212</v>
      </c>
      <c r="G3214" s="549" t="s">
        <v>1454</v>
      </c>
      <c r="H3214" s="549" t="s">
        <v>778</v>
      </c>
      <c r="I3214" s="549" t="s">
        <v>976</v>
      </c>
      <c r="J3214" s="549" t="s">
        <v>976</v>
      </c>
      <c r="K3214" s="549" t="s">
        <v>976</v>
      </c>
      <c r="L3214" s="549">
        <v>31102.38</v>
      </c>
      <c r="M3214" s="549">
        <v>2348.23</v>
      </c>
      <c r="N3214" s="549">
        <v>687.36</v>
      </c>
      <c r="O3214" s="549">
        <v>0</v>
      </c>
      <c r="P3214" s="549">
        <v>100</v>
      </c>
      <c r="Q3214" s="549">
        <v>3035.59</v>
      </c>
    </row>
    <row r="3215" spans="1:17" x14ac:dyDescent="0.25">
      <c r="A3215" s="549" t="s">
        <v>1094</v>
      </c>
      <c r="B3215" s="549" t="s">
        <v>580</v>
      </c>
      <c r="C3215" s="549" t="s">
        <v>535</v>
      </c>
      <c r="D3215" s="549" t="s">
        <v>711</v>
      </c>
      <c r="E3215" s="549" t="s">
        <v>973</v>
      </c>
      <c r="F3215" s="549" t="s">
        <v>1212</v>
      </c>
      <c r="G3215" s="549">
        <v>1002</v>
      </c>
      <c r="H3215" s="549" t="s">
        <v>535</v>
      </c>
      <c r="I3215" s="549" t="s">
        <v>976</v>
      </c>
      <c r="J3215" s="549" t="s">
        <v>976</v>
      </c>
      <c r="K3215" s="549" t="s">
        <v>976</v>
      </c>
      <c r="L3215" s="549">
        <v>236701.37</v>
      </c>
      <c r="M3215" s="549">
        <v>17870.95</v>
      </c>
      <c r="N3215" s="549">
        <v>13586.66</v>
      </c>
      <c r="O3215" s="549">
        <v>1984</v>
      </c>
      <c r="P3215" s="549">
        <v>0</v>
      </c>
      <c r="Q3215" s="549">
        <v>0</v>
      </c>
    </row>
    <row r="3216" spans="1:17" x14ac:dyDescent="0.25">
      <c r="A3216" s="549" t="s">
        <v>1094</v>
      </c>
      <c r="B3216" s="549" t="s">
        <v>580</v>
      </c>
      <c r="C3216" s="549" t="s">
        <v>535</v>
      </c>
      <c r="D3216" s="549" t="s">
        <v>711</v>
      </c>
      <c r="E3216" s="549" t="s">
        <v>973</v>
      </c>
      <c r="F3216" s="549" t="s">
        <v>1212</v>
      </c>
      <c r="G3216" s="549">
        <v>462</v>
      </c>
      <c r="H3216" s="549" t="s">
        <v>535</v>
      </c>
      <c r="I3216" s="549" t="s">
        <v>976</v>
      </c>
      <c r="J3216" s="549" t="s">
        <v>976</v>
      </c>
      <c r="K3216" s="549" t="s">
        <v>976</v>
      </c>
      <c r="L3216" s="549">
        <v>468690.7</v>
      </c>
      <c r="M3216" s="549">
        <v>35386.15</v>
      </c>
      <c r="N3216" s="549">
        <v>26902.85</v>
      </c>
      <c r="O3216" s="549">
        <v>1984</v>
      </c>
      <c r="P3216" s="549">
        <v>0</v>
      </c>
      <c r="Q3216" s="549">
        <v>0</v>
      </c>
    </row>
    <row r="3217" spans="1:17" x14ac:dyDescent="0.25">
      <c r="A3217" s="549" t="s">
        <v>1094</v>
      </c>
      <c r="B3217" s="549" t="s">
        <v>580</v>
      </c>
      <c r="C3217" s="549" t="s">
        <v>535</v>
      </c>
      <c r="D3217" s="549" t="s">
        <v>711</v>
      </c>
      <c r="E3217" s="549" t="s">
        <v>973</v>
      </c>
      <c r="F3217" s="549" t="s">
        <v>1212</v>
      </c>
      <c r="G3217" s="549">
        <v>422</v>
      </c>
      <c r="H3217" s="549" t="s">
        <v>535</v>
      </c>
      <c r="I3217" s="549" t="s">
        <v>976</v>
      </c>
      <c r="J3217" s="549" t="s">
        <v>976</v>
      </c>
      <c r="K3217" s="549" t="s">
        <v>976</v>
      </c>
      <c r="L3217" s="549">
        <v>468690.7</v>
      </c>
      <c r="M3217" s="549">
        <v>35386.15</v>
      </c>
      <c r="N3217" s="549">
        <v>26902.85</v>
      </c>
      <c r="O3217" s="549">
        <v>1984</v>
      </c>
      <c r="P3217" s="549">
        <v>0</v>
      </c>
      <c r="Q3217" s="549">
        <v>0</v>
      </c>
    </row>
    <row r="3218" spans="1:17" x14ac:dyDescent="0.25">
      <c r="A3218" s="549" t="s">
        <v>1094</v>
      </c>
      <c r="B3218" s="549" t="s">
        <v>580</v>
      </c>
      <c r="C3218" s="549" t="s">
        <v>535</v>
      </c>
      <c r="D3218" s="549" t="s">
        <v>711</v>
      </c>
      <c r="E3218" s="549" t="s">
        <v>973</v>
      </c>
      <c r="F3218" s="549" t="s">
        <v>1212</v>
      </c>
      <c r="G3218" s="549">
        <v>28</v>
      </c>
      <c r="H3218" s="549" t="s">
        <v>535</v>
      </c>
      <c r="I3218" s="549" t="s">
        <v>976</v>
      </c>
      <c r="J3218" s="549" t="s">
        <v>976</v>
      </c>
      <c r="K3218" s="549" t="s">
        <v>976</v>
      </c>
      <c r="L3218" s="549">
        <v>154077.64000000001</v>
      </c>
      <c r="M3218" s="549">
        <v>11632.86</v>
      </c>
      <c r="N3218" s="549">
        <v>8844.06</v>
      </c>
      <c r="O3218" s="549">
        <v>992</v>
      </c>
      <c r="P3218" s="549">
        <v>0</v>
      </c>
      <c r="Q3218" s="549">
        <v>0</v>
      </c>
    </row>
    <row r="3219" spans="1:17" x14ac:dyDescent="0.25">
      <c r="A3219" s="549" t="s">
        <v>1094</v>
      </c>
      <c r="B3219" s="549" t="s">
        <v>580</v>
      </c>
      <c r="C3219" s="549" t="s">
        <v>535</v>
      </c>
      <c r="D3219" s="549" t="s">
        <v>711</v>
      </c>
      <c r="E3219" s="549" t="s">
        <v>973</v>
      </c>
      <c r="F3219" s="549" t="s">
        <v>1212</v>
      </c>
      <c r="G3219" s="549">
        <v>18</v>
      </c>
      <c r="H3219" s="549" t="s">
        <v>535</v>
      </c>
      <c r="I3219" s="549" t="s">
        <v>976</v>
      </c>
      <c r="J3219" s="549" t="s">
        <v>976</v>
      </c>
      <c r="K3219" s="549" t="s">
        <v>976</v>
      </c>
      <c r="L3219" s="549">
        <v>154077.64000000001</v>
      </c>
      <c r="M3219" s="549">
        <v>11632.86</v>
      </c>
      <c r="N3219" s="549">
        <v>8844.06</v>
      </c>
      <c r="O3219" s="549">
        <v>992</v>
      </c>
      <c r="P3219" s="549">
        <v>0</v>
      </c>
      <c r="Q3219" s="549">
        <v>0</v>
      </c>
    </row>
    <row r="3220" spans="1:17" x14ac:dyDescent="0.25">
      <c r="A3220" s="549" t="s">
        <v>1094</v>
      </c>
      <c r="B3220" s="549" t="s">
        <v>580</v>
      </c>
      <c r="C3220" s="549" t="s">
        <v>648</v>
      </c>
      <c r="D3220" s="549" t="s">
        <v>649</v>
      </c>
      <c r="E3220" s="549" t="s">
        <v>977</v>
      </c>
      <c r="F3220" s="549" t="s">
        <v>1212</v>
      </c>
      <c r="G3220" s="549" t="s">
        <v>1460</v>
      </c>
      <c r="H3220" s="549" t="s">
        <v>648</v>
      </c>
      <c r="I3220" s="549" t="s">
        <v>976</v>
      </c>
      <c r="J3220" s="549" t="s">
        <v>976</v>
      </c>
      <c r="K3220" s="549" t="s">
        <v>976</v>
      </c>
      <c r="L3220" s="549">
        <v>30946.23</v>
      </c>
      <c r="M3220" s="549">
        <v>2336.44</v>
      </c>
      <c r="N3220" s="549">
        <v>683.91</v>
      </c>
      <c r="O3220" s="549">
        <v>0</v>
      </c>
      <c r="P3220" s="549">
        <v>100</v>
      </c>
      <c r="Q3220" s="549">
        <v>3020.35</v>
      </c>
    </row>
    <row r="3221" spans="1:17" x14ac:dyDescent="0.25">
      <c r="A3221" s="549" t="s">
        <v>1094</v>
      </c>
      <c r="B3221" s="549" t="s">
        <v>580</v>
      </c>
      <c r="C3221" s="549" t="s">
        <v>648</v>
      </c>
      <c r="D3221" s="549" t="s">
        <v>649</v>
      </c>
      <c r="E3221" s="549" t="s">
        <v>977</v>
      </c>
      <c r="F3221" s="549" t="s">
        <v>1212</v>
      </c>
      <c r="G3221" s="549" t="s">
        <v>1231</v>
      </c>
      <c r="H3221" s="549" t="s">
        <v>648</v>
      </c>
      <c r="I3221" s="549" t="s">
        <v>976</v>
      </c>
      <c r="J3221" s="549" t="s">
        <v>976</v>
      </c>
      <c r="K3221" s="549" t="s">
        <v>976</v>
      </c>
      <c r="L3221" s="549">
        <v>35209.17</v>
      </c>
      <c r="M3221" s="549">
        <v>2658.29</v>
      </c>
      <c r="N3221" s="549">
        <v>778.12</v>
      </c>
      <c r="O3221" s="549">
        <v>1984</v>
      </c>
      <c r="P3221" s="549">
        <v>37.31</v>
      </c>
      <c r="Q3221" s="549">
        <v>2022.35</v>
      </c>
    </row>
    <row r="3222" spans="1:17" x14ac:dyDescent="0.25">
      <c r="A3222" s="549" t="s">
        <v>1094</v>
      </c>
      <c r="B3222" s="549" t="s">
        <v>580</v>
      </c>
      <c r="C3222" s="549" t="s">
        <v>648</v>
      </c>
      <c r="D3222" s="549" t="s">
        <v>649</v>
      </c>
      <c r="E3222" s="549" t="s">
        <v>977</v>
      </c>
      <c r="F3222" s="549" t="s">
        <v>1212</v>
      </c>
      <c r="G3222" s="549">
        <v>6382</v>
      </c>
      <c r="H3222" s="549" t="s">
        <v>648</v>
      </c>
      <c r="I3222" s="549" t="s">
        <v>976</v>
      </c>
      <c r="J3222" s="549" t="s">
        <v>976</v>
      </c>
      <c r="K3222" s="549" t="s">
        <v>976</v>
      </c>
      <c r="L3222" s="549">
        <v>136264.03</v>
      </c>
      <c r="M3222" s="549">
        <v>10287.93</v>
      </c>
      <c r="N3222" s="549">
        <v>3011.44</v>
      </c>
      <c r="O3222" s="549">
        <v>1984</v>
      </c>
      <c r="P3222" s="549">
        <v>37.31</v>
      </c>
      <c r="Q3222" s="549">
        <v>5702.23</v>
      </c>
    </row>
    <row r="3223" spans="1:17" x14ac:dyDescent="0.25">
      <c r="A3223" s="549" t="s">
        <v>1094</v>
      </c>
      <c r="B3223" s="549" t="s">
        <v>580</v>
      </c>
      <c r="C3223" s="549" t="s">
        <v>648</v>
      </c>
      <c r="D3223" s="549" t="s">
        <v>649</v>
      </c>
      <c r="E3223" s="549" t="s">
        <v>977</v>
      </c>
      <c r="F3223" s="549" t="s">
        <v>1212</v>
      </c>
      <c r="G3223" s="549">
        <v>6372</v>
      </c>
      <c r="H3223" s="549" t="s">
        <v>648</v>
      </c>
      <c r="I3223" s="549" t="s">
        <v>976</v>
      </c>
      <c r="J3223" s="549" t="s">
        <v>976</v>
      </c>
      <c r="K3223" s="549" t="s">
        <v>976</v>
      </c>
      <c r="L3223" s="549">
        <v>149535.56</v>
      </c>
      <c r="M3223" s="549">
        <v>11289.93</v>
      </c>
      <c r="N3223" s="549">
        <v>3304.74</v>
      </c>
      <c r="O3223" s="549">
        <v>3968</v>
      </c>
      <c r="P3223" s="549">
        <v>100</v>
      </c>
      <c r="Q3223" s="549">
        <v>18562.669999999998</v>
      </c>
    </row>
    <row r="3224" spans="1:17" x14ac:dyDescent="0.25">
      <c r="A3224" s="549" t="s">
        <v>1094</v>
      </c>
      <c r="B3224" s="549" t="s">
        <v>580</v>
      </c>
      <c r="C3224" s="549" t="s">
        <v>648</v>
      </c>
      <c r="D3224" s="549" t="s">
        <v>649</v>
      </c>
      <c r="E3224" s="549" t="s">
        <v>977</v>
      </c>
      <c r="F3224" s="549" t="s">
        <v>1212</v>
      </c>
      <c r="G3224" s="549">
        <v>6302</v>
      </c>
      <c r="H3224" s="549" t="s">
        <v>648</v>
      </c>
      <c r="I3224" s="549" t="s">
        <v>976</v>
      </c>
      <c r="J3224" s="549" t="s">
        <v>976</v>
      </c>
      <c r="K3224" s="549" t="s">
        <v>976</v>
      </c>
      <c r="L3224" s="549">
        <v>136264.03</v>
      </c>
      <c r="M3224" s="549">
        <v>10287.93</v>
      </c>
      <c r="N3224" s="549">
        <v>3011.44</v>
      </c>
      <c r="O3224" s="549">
        <v>1984</v>
      </c>
      <c r="P3224" s="549">
        <v>37.31</v>
      </c>
      <c r="Q3224" s="549">
        <v>5702.23</v>
      </c>
    </row>
    <row r="3225" spans="1:17" x14ac:dyDescent="0.25">
      <c r="A3225" s="549" t="s">
        <v>1094</v>
      </c>
      <c r="B3225" s="549" t="s">
        <v>580</v>
      </c>
      <c r="C3225" s="549" t="s">
        <v>648</v>
      </c>
      <c r="D3225" s="549" t="s">
        <v>649</v>
      </c>
      <c r="E3225" s="549" t="s">
        <v>977</v>
      </c>
      <c r="F3225" s="549" t="s">
        <v>1212</v>
      </c>
      <c r="G3225" s="549">
        <v>2522</v>
      </c>
      <c r="H3225" s="549" t="s">
        <v>648</v>
      </c>
      <c r="I3225" s="549" t="s">
        <v>976</v>
      </c>
      <c r="J3225" s="549" t="s">
        <v>976</v>
      </c>
      <c r="K3225" s="549" t="s">
        <v>976</v>
      </c>
      <c r="L3225" s="549">
        <v>633521.49</v>
      </c>
      <c r="M3225" s="549">
        <v>47830.87</v>
      </c>
      <c r="N3225" s="549">
        <v>14000.82</v>
      </c>
      <c r="O3225" s="549">
        <v>2976</v>
      </c>
      <c r="P3225" s="549">
        <v>37.31</v>
      </c>
      <c r="Q3225" s="549">
        <v>24179.75</v>
      </c>
    </row>
    <row r="3226" spans="1:17" x14ac:dyDescent="0.25">
      <c r="A3226" s="549" t="s">
        <v>1094</v>
      </c>
      <c r="B3226" s="549" t="s">
        <v>580</v>
      </c>
      <c r="C3226" s="549" t="s">
        <v>648</v>
      </c>
      <c r="D3226" s="549" t="s">
        <v>649</v>
      </c>
      <c r="E3226" s="549" t="s">
        <v>977</v>
      </c>
      <c r="F3226" s="549" t="s">
        <v>1212</v>
      </c>
      <c r="G3226" s="549">
        <v>2492</v>
      </c>
      <c r="H3226" s="549" t="s">
        <v>648</v>
      </c>
      <c r="I3226" s="549" t="s">
        <v>976</v>
      </c>
      <c r="J3226" s="549" t="s">
        <v>976</v>
      </c>
      <c r="K3226" s="549" t="s">
        <v>976</v>
      </c>
      <c r="L3226" s="549">
        <v>633521.49</v>
      </c>
      <c r="M3226" s="549">
        <v>47830.87</v>
      </c>
      <c r="N3226" s="549">
        <v>14000.82</v>
      </c>
      <c r="O3226" s="549">
        <v>2976</v>
      </c>
      <c r="P3226" s="549">
        <v>37.31</v>
      </c>
      <c r="Q3226" s="549">
        <v>24179.75</v>
      </c>
    </row>
    <row r="3227" spans="1:17" x14ac:dyDescent="0.25">
      <c r="A3227" s="549" t="s">
        <v>1094</v>
      </c>
      <c r="B3227" s="549" t="s">
        <v>580</v>
      </c>
      <c r="C3227" s="549" t="s">
        <v>709</v>
      </c>
      <c r="D3227" s="549" t="s">
        <v>710</v>
      </c>
      <c r="E3227" s="549" t="s">
        <v>977</v>
      </c>
      <c r="F3227" s="549" t="s">
        <v>1212</v>
      </c>
      <c r="G3227" s="549" t="s">
        <v>1288</v>
      </c>
      <c r="H3227" s="549" t="s">
        <v>709</v>
      </c>
      <c r="I3227" s="549" t="s">
        <v>976</v>
      </c>
      <c r="J3227" s="549" t="s">
        <v>976</v>
      </c>
      <c r="K3227" s="549" t="s">
        <v>976</v>
      </c>
      <c r="L3227" s="549">
        <v>48805.45</v>
      </c>
      <c r="M3227" s="549">
        <v>3684.81</v>
      </c>
      <c r="N3227" s="549">
        <v>1078.5999999999999</v>
      </c>
      <c r="O3227" s="549">
        <v>0</v>
      </c>
      <c r="P3227" s="549">
        <v>100</v>
      </c>
      <c r="Q3227" s="549">
        <v>4763.41</v>
      </c>
    </row>
    <row r="3228" spans="1:17" x14ac:dyDescent="0.25">
      <c r="A3228" s="549" t="s">
        <v>1094</v>
      </c>
      <c r="B3228" s="549" t="s">
        <v>580</v>
      </c>
      <c r="C3228" s="549" t="s">
        <v>709</v>
      </c>
      <c r="D3228" s="549" t="s">
        <v>710</v>
      </c>
      <c r="E3228" s="549" t="s">
        <v>977</v>
      </c>
      <c r="F3228" s="549" t="s">
        <v>1212</v>
      </c>
      <c r="G3228" s="549" t="s">
        <v>1215</v>
      </c>
      <c r="H3228" s="549" t="s">
        <v>709</v>
      </c>
      <c r="I3228" s="549" t="s">
        <v>976</v>
      </c>
      <c r="J3228" s="549" t="s">
        <v>976</v>
      </c>
      <c r="K3228" s="549" t="s">
        <v>976</v>
      </c>
      <c r="L3228" s="549">
        <v>48805.45</v>
      </c>
      <c r="M3228" s="549">
        <v>3684.81</v>
      </c>
      <c r="N3228" s="549">
        <v>1078.5999999999999</v>
      </c>
      <c r="O3228" s="549">
        <v>0</v>
      </c>
      <c r="P3228" s="549">
        <v>100</v>
      </c>
      <c r="Q3228" s="549">
        <v>4763.41</v>
      </c>
    </row>
    <row r="3229" spans="1:17" x14ac:dyDescent="0.25">
      <c r="A3229" s="549" t="s">
        <v>1094</v>
      </c>
      <c r="B3229" s="549" t="s">
        <v>580</v>
      </c>
      <c r="C3229" s="549" t="s">
        <v>709</v>
      </c>
      <c r="D3229" s="549" t="s">
        <v>710</v>
      </c>
      <c r="E3229" s="549" t="s">
        <v>977</v>
      </c>
      <c r="F3229" s="549" t="s">
        <v>1212</v>
      </c>
      <c r="G3229" s="549" t="s">
        <v>1319</v>
      </c>
      <c r="H3229" s="549" t="s">
        <v>709</v>
      </c>
      <c r="I3229" s="549" t="s">
        <v>976</v>
      </c>
      <c r="J3229" s="549" t="s">
        <v>976</v>
      </c>
      <c r="K3229" s="549" t="s">
        <v>976</v>
      </c>
      <c r="L3229" s="549">
        <v>30558.31</v>
      </c>
      <c r="M3229" s="549">
        <v>2307.15</v>
      </c>
      <c r="N3229" s="549">
        <v>675.34</v>
      </c>
      <c r="O3229" s="549">
        <v>0</v>
      </c>
      <c r="P3229" s="549">
        <v>100</v>
      </c>
      <c r="Q3229" s="549">
        <v>2982.49</v>
      </c>
    </row>
    <row r="3230" spans="1:17" x14ac:dyDescent="0.25">
      <c r="A3230" s="549" t="s">
        <v>1151</v>
      </c>
      <c r="B3230" s="549" t="s">
        <v>791</v>
      </c>
      <c r="C3230" s="549" t="s">
        <v>794</v>
      </c>
      <c r="D3230" s="549" t="s">
        <v>795</v>
      </c>
      <c r="E3230" s="549" t="s">
        <v>977</v>
      </c>
      <c r="F3230" s="549" t="s">
        <v>1212</v>
      </c>
      <c r="G3230" s="549">
        <v>52</v>
      </c>
      <c r="H3230" s="549" t="s">
        <v>794</v>
      </c>
      <c r="I3230" s="549" t="s">
        <v>976</v>
      </c>
      <c r="J3230" s="549" t="s">
        <v>976</v>
      </c>
      <c r="K3230" s="549" t="s">
        <v>976</v>
      </c>
      <c r="L3230" s="549">
        <v>344086.71</v>
      </c>
      <c r="M3230" s="549">
        <v>25978.55</v>
      </c>
      <c r="N3230" s="549">
        <v>7604.32</v>
      </c>
      <c r="O3230" s="549">
        <v>1984</v>
      </c>
      <c r="P3230" s="549">
        <v>100</v>
      </c>
      <c r="Q3230" s="549">
        <v>35566.870000000003</v>
      </c>
    </row>
    <row r="3231" spans="1:17" x14ac:dyDescent="0.25">
      <c r="A3231" s="549" t="s">
        <v>1151</v>
      </c>
      <c r="B3231" s="549" t="s">
        <v>791</v>
      </c>
      <c r="C3231" s="549" t="s">
        <v>794</v>
      </c>
      <c r="D3231" s="549" t="s">
        <v>795</v>
      </c>
      <c r="E3231" s="549" t="s">
        <v>977</v>
      </c>
      <c r="F3231" s="549" t="s">
        <v>1212</v>
      </c>
      <c r="G3231" s="549">
        <v>62</v>
      </c>
      <c r="H3231" s="549" t="s">
        <v>794</v>
      </c>
      <c r="I3231" s="549" t="s">
        <v>976</v>
      </c>
      <c r="J3231" s="549" t="s">
        <v>976</v>
      </c>
      <c r="K3231" s="549" t="s">
        <v>976</v>
      </c>
      <c r="L3231" s="549">
        <v>344086.71</v>
      </c>
      <c r="M3231" s="549">
        <v>25978.55</v>
      </c>
      <c r="N3231" s="549">
        <v>7604.32</v>
      </c>
      <c r="O3231" s="549">
        <v>1984</v>
      </c>
      <c r="P3231" s="549">
        <v>100</v>
      </c>
      <c r="Q3231" s="549">
        <v>35566.870000000003</v>
      </c>
    </row>
    <row r="3232" spans="1:17" x14ac:dyDescent="0.25">
      <c r="A3232" s="549" t="s">
        <v>1094</v>
      </c>
      <c r="B3232" s="549" t="s">
        <v>580</v>
      </c>
      <c r="C3232" s="549" t="s">
        <v>709</v>
      </c>
      <c r="D3232" s="549" t="s">
        <v>710</v>
      </c>
      <c r="E3232" s="549" t="s">
        <v>977</v>
      </c>
      <c r="F3232" s="549" t="s">
        <v>1212</v>
      </c>
      <c r="G3232" s="549" t="s">
        <v>1461</v>
      </c>
      <c r="H3232" s="549" t="s">
        <v>709</v>
      </c>
      <c r="I3232" s="549" t="s">
        <v>976</v>
      </c>
      <c r="J3232" s="549" t="s">
        <v>976</v>
      </c>
      <c r="K3232" s="549" t="s">
        <v>976</v>
      </c>
      <c r="L3232" s="549">
        <v>30558.31</v>
      </c>
      <c r="M3232" s="549">
        <v>2307.15</v>
      </c>
      <c r="N3232" s="549">
        <v>675.34</v>
      </c>
      <c r="O3232" s="549">
        <v>0</v>
      </c>
      <c r="P3232" s="549">
        <v>100</v>
      </c>
      <c r="Q3232" s="549">
        <v>2982.49</v>
      </c>
    </row>
    <row r="3233" spans="1:17" x14ac:dyDescent="0.25">
      <c r="A3233" s="549" t="s">
        <v>1094</v>
      </c>
      <c r="B3233" s="549" t="s">
        <v>580</v>
      </c>
      <c r="C3233" s="549" t="s">
        <v>709</v>
      </c>
      <c r="D3233" s="549" t="s">
        <v>710</v>
      </c>
      <c r="E3233" s="549" t="s">
        <v>977</v>
      </c>
      <c r="F3233" s="549" t="s">
        <v>1212</v>
      </c>
      <c r="G3233" s="549" t="s">
        <v>1236</v>
      </c>
      <c r="H3233" s="549" t="s">
        <v>709</v>
      </c>
      <c r="I3233" s="549" t="s">
        <v>976</v>
      </c>
      <c r="J3233" s="549" t="s">
        <v>976</v>
      </c>
      <c r="K3233" s="549" t="s">
        <v>976</v>
      </c>
      <c r="L3233" s="549">
        <v>311322.25</v>
      </c>
      <c r="M3233" s="549">
        <v>23504.83</v>
      </c>
      <c r="N3233" s="549">
        <v>6880.22</v>
      </c>
      <c r="O3233" s="549">
        <v>992</v>
      </c>
      <c r="P3233" s="549">
        <v>100</v>
      </c>
      <c r="Q3233" s="549">
        <v>31377.05</v>
      </c>
    </row>
    <row r="3234" spans="1:17" x14ac:dyDescent="0.25">
      <c r="A3234" s="549" t="s">
        <v>1151</v>
      </c>
      <c r="B3234" s="549" t="s">
        <v>791</v>
      </c>
      <c r="C3234" s="549" t="s">
        <v>794</v>
      </c>
      <c r="D3234" s="549" t="s">
        <v>795</v>
      </c>
      <c r="E3234" s="549" t="s">
        <v>977</v>
      </c>
      <c r="F3234" s="549" t="s">
        <v>1212</v>
      </c>
      <c r="G3234" s="549" t="s">
        <v>1327</v>
      </c>
      <c r="H3234" s="549" t="s">
        <v>794</v>
      </c>
      <c r="I3234" s="549" t="s">
        <v>976</v>
      </c>
      <c r="J3234" s="549" t="s">
        <v>976</v>
      </c>
      <c r="K3234" s="549" t="s">
        <v>976</v>
      </c>
      <c r="L3234" s="549">
        <v>31102.38</v>
      </c>
      <c r="M3234" s="549">
        <v>2348.23</v>
      </c>
      <c r="N3234" s="549">
        <v>687.36</v>
      </c>
      <c r="O3234" s="549">
        <v>0</v>
      </c>
      <c r="P3234" s="549">
        <v>100</v>
      </c>
      <c r="Q3234" s="549">
        <v>3035.59</v>
      </c>
    </row>
    <row r="3235" spans="1:17" x14ac:dyDescent="0.25">
      <c r="A3235" s="549" t="s">
        <v>1151</v>
      </c>
      <c r="B3235" s="549" t="s">
        <v>791</v>
      </c>
      <c r="C3235" s="549" t="s">
        <v>794</v>
      </c>
      <c r="D3235" s="549" t="s">
        <v>795</v>
      </c>
      <c r="E3235" s="549" t="s">
        <v>977</v>
      </c>
      <c r="F3235" s="549" t="s">
        <v>1212</v>
      </c>
      <c r="G3235" s="549" t="s">
        <v>1343</v>
      </c>
      <c r="H3235" s="549" t="s">
        <v>794</v>
      </c>
      <c r="I3235" s="549" t="s">
        <v>976</v>
      </c>
      <c r="J3235" s="549" t="s">
        <v>976</v>
      </c>
      <c r="K3235" s="549" t="s">
        <v>976</v>
      </c>
      <c r="L3235" s="549">
        <v>31102.38</v>
      </c>
      <c r="M3235" s="549">
        <v>2348.23</v>
      </c>
      <c r="N3235" s="549">
        <v>687.36</v>
      </c>
      <c r="O3235" s="549">
        <v>0</v>
      </c>
      <c r="P3235" s="549">
        <v>100</v>
      </c>
      <c r="Q3235" s="549">
        <v>3035.59</v>
      </c>
    </row>
    <row r="3236" spans="1:17" x14ac:dyDescent="0.25">
      <c r="A3236" s="549" t="s">
        <v>1151</v>
      </c>
      <c r="B3236" s="549" t="s">
        <v>791</v>
      </c>
      <c r="C3236" s="549" t="s">
        <v>796</v>
      </c>
      <c r="D3236" s="549" t="s">
        <v>493</v>
      </c>
      <c r="E3236" s="549" t="s">
        <v>977</v>
      </c>
      <c r="F3236" s="549" t="s">
        <v>1212</v>
      </c>
      <c r="G3236" s="549">
        <v>62</v>
      </c>
      <c r="H3236" s="549" t="s">
        <v>796</v>
      </c>
      <c r="I3236" s="549" t="s">
        <v>976</v>
      </c>
      <c r="J3236" s="549" t="s">
        <v>976</v>
      </c>
      <c r="K3236" s="549" t="s">
        <v>976</v>
      </c>
      <c r="L3236" s="549">
        <v>294669.46000000002</v>
      </c>
      <c r="M3236" s="549">
        <v>22247.54</v>
      </c>
      <c r="N3236" s="549">
        <v>6512.2</v>
      </c>
      <c r="O3236" s="549">
        <v>1984</v>
      </c>
      <c r="P3236" s="549">
        <v>100</v>
      </c>
      <c r="Q3236" s="549">
        <v>30743.74</v>
      </c>
    </row>
    <row r="3237" spans="1:17" x14ac:dyDescent="0.25">
      <c r="A3237" s="549" t="s">
        <v>1151</v>
      </c>
      <c r="B3237" s="549" t="s">
        <v>791</v>
      </c>
      <c r="C3237" s="549" t="s">
        <v>796</v>
      </c>
      <c r="D3237" s="549" t="s">
        <v>493</v>
      </c>
      <c r="E3237" s="549" t="s">
        <v>977</v>
      </c>
      <c r="F3237" s="549" t="s">
        <v>1212</v>
      </c>
      <c r="G3237" s="549">
        <v>72</v>
      </c>
      <c r="H3237" s="549" t="s">
        <v>796</v>
      </c>
      <c r="I3237" s="549" t="s">
        <v>976</v>
      </c>
      <c r="J3237" s="549" t="s">
        <v>976</v>
      </c>
      <c r="K3237" s="549" t="s">
        <v>976</v>
      </c>
      <c r="L3237" s="549">
        <v>266865.81</v>
      </c>
      <c r="M3237" s="549">
        <v>20148.37</v>
      </c>
      <c r="N3237" s="549">
        <v>5897.73</v>
      </c>
      <c r="O3237" s="549">
        <v>1984</v>
      </c>
      <c r="P3237" s="549">
        <v>100</v>
      </c>
      <c r="Q3237" s="549">
        <v>28030.1</v>
      </c>
    </row>
    <row r="3238" spans="1:17" x14ac:dyDescent="0.25">
      <c r="A3238" s="549" t="s">
        <v>1151</v>
      </c>
      <c r="B3238" s="549" t="s">
        <v>791</v>
      </c>
      <c r="C3238" s="549" t="s">
        <v>796</v>
      </c>
      <c r="D3238" s="549" t="s">
        <v>493</v>
      </c>
      <c r="E3238" s="549" t="s">
        <v>977</v>
      </c>
      <c r="F3238" s="549" t="s">
        <v>1212</v>
      </c>
      <c r="G3238" s="549">
        <v>282</v>
      </c>
      <c r="H3238" s="549" t="s">
        <v>796</v>
      </c>
      <c r="I3238" s="549" t="s">
        <v>976</v>
      </c>
      <c r="J3238" s="549" t="s">
        <v>976</v>
      </c>
      <c r="K3238" s="549" t="s">
        <v>976</v>
      </c>
      <c r="L3238" s="549">
        <v>136124</v>
      </c>
      <c r="M3238" s="549">
        <v>10277.36</v>
      </c>
      <c r="N3238" s="549">
        <v>3008.34</v>
      </c>
      <c r="O3238" s="549">
        <v>1984</v>
      </c>
      <c r="P3238" s="549">
        <v>100</v>
      </c>
      <c r="Q3238" s="549">
        <v>15269.7</v>
      </c>
    </row>
    <row r="3239" spans="1:17" x14ac:dyDescent="0.25">
      <c r="A3239" s="549" t="s">
        <v>1151</v>
      </c>
      <c r="B3239" s="549" t="s">
        <v>791</v>
      </c>
      <c r="C3239" s="549" t="s">
        <v>796</v>
      </c>
      <c r="D3239" s="549" t="s">
        <v>493</v>
      </c>
      <c r="E3239" s="549" t="s">
        <v>977</v>
      </c>
      <c r="F3239" s="549" t="s">
        <v>1212</v>
      </c>
      <c r="G3239" s="549">
        <v>292</v>
      </c>
      <c r="H3239" s="549" t="s">
        <v>796</v>
      </c>
      <c r="I3239" s="549" t="s">
        <v>976</v>
      </c>
      <c r="J3239" s="549" t="s">
        <v>976</v>
      </c>
      <c r="K3239" s="549" t="s">
        <v>976</v>
      </c>
      <c r="L3239" s="549">
        <v>152832.41</v>
      </c>
      <c r="M3239" s="549">
        <v>11538.85</v>
      </c>
      <c r="N3239" s="549">
        <v>3377.6</v>
      </c>
      <c r="O3239" s="549">
        <v>3769.6</v>
      </c>
      <c r="P3239" s="549">
        <v>100</v>
      </c>
      <c r="Q3239" s="549">
        <v>18686.05</v>
      </c>
    </row>
    <row r="3240" spans="1:17" x14ac:dyDescent="0.25">
      <c r="A3240" s="549" t="s">
        <v>1151</v>
      </c>
      <c r="B3240" s="549" t="s">
        <v>791</v>
      </c>
      <c r="C3240" s="549" t="s">
        <v>796</v>
      </c>
      <c r="D3240" s="549" t="s">
        <v>493</v>
      </c>
      <c r="E3240" s="549" t="s">
        <v>977</v>
      </c>
      <c r="F3240" s="549" t="s">
        <v>1212</v>
      </c>
      <c r="G3240" s="549">
        <v>302</v>
      </c>
      <c r="H3240" s="549" t="s">
        <v>796</v>
      </c>
      <c r="I3240" s="549" t="s">
        <v>976</v>
      </c>
      <c r="J3240" s="549" t="s">
        <v>976</v>
      </c>
      <c r="K3240" s="549" t="s">
        <v>976</v>
      </c>
      <c r="L3240" s="549">
        <v>152832.41</v>
      </c>
      <c r="M3240" s="549">
        <v>11538.85</v>
      </c>
      <c r="N3240" s="549">
        <v>3377.6</v>
      </c>
      <c r="O3240" s="549">
        <v>3670.4</v>
      </c>
      <c r="P3240" s="549">
        <v>100</v>
      </c>
      <c r="Q3240" s="549">
        <v>18586.849999999999</v>
      </c>
    </row>
    <row r="3241" spans="1:17" x14ac:dyDescent="0.25">
      <c r="A3241" s="549" t="s">
        <v>1151</v>
      </c>
      <c r="B3241" s="549" t="s">
        <v>791</v>
      </c>
      <c r="C3241" s="549" t="s">
        <v>796</v>
      </c>
      <c r="D3241" s="549" t="s">
        <v>493</v>
      </c>
      <c r="E3241" s="549" t="s">
        <v>977</v>
      </c>
      <c r="F3241" s="549" t="s">
        <v>1212</v>
      </c>
      <c r="G3241" s="549">
        <v>312</v>
      </c>
      <c r="H3241" s="549" t="s">
        <v>796</v>
      </c>
      <c r="I3241" s="549" t="s">
        <v>976</v>
      </c>
      <c r="J3241" s="549" t="s">
        <v>976</v>
      </c>
      <c r="K3241" s="549" t="s">
        <v>976</v>
      </c>
      <c r="L3241" s="549">
        <v>152832.41</v>
      </c>
      <c r="M3241" s="549">
        <v>11538.85</v>
      </c>
      <c r="N3241" s="549">
        <v>3377.6</v>
      </c>
      <c r="O3241" s="549">
        <v>3769.6</v>
      </c>
      <c r="P3241" s="549">
        <v>100</v>
      </c>
      <c r="Q3241" s="549">
        <v>18686.05</v>
      </c>
    </row>
    <row r="3242" spans="1:17" x14ac:dyDescent="0.25">
      <c r="A3242" s="549" t="s">
        <v>1151</v>
      </c>
      <c r="B3242" s="549" t="s">
        <v>791</v>
      </c>
      <c r="C3242" s="549" t="s">
        <v>796</v>
      </c>
      <c r="D3242" s="549" t="s">
        <v>493</v>
      </c>
      <c r="E3242" s="549" t="s">
        <v>977</v>
      </c>
      <c r="F3242" s="549" t="s">
        <v>1212</v>
      </c>
      <c r="G3242" s="549">
        <v>332</v>
      </c>
      <c r="H3242" s="549" t="s">
        <v>796</v>
      </c>
      <c r="I3242" s="549" t="s">
        <v>976</v>
      </c>
      <c r="J3242" s="549" t="s">
        <v>976</v>
      </c>
      <c r="K3242" s="549" t="s">
        <v>976</v>
      </c>
      <c r="L3242" s="549">
        <v>152832.41</v>
      </c>
      <c r="M3242" s="549">
        <v>11538.85</v>
      </c>
      <c r="N3242" s="549">
        <v>3377.6</v>
      </c>
      <c r="O3242" s="549">
        <v>3769.6</v>
      </c>
      <c r="P3242" s="549">
        <v>100</v>
      </c>
      <c r="Q3242" s="549">
        <v>18686.05</v>
      </c>
    </row>
    <row r="3243" spans="1:17" x14ac:dyDescent="0.25">
      <c r="A3243" s="549" t="s">
        <v>1151</v>
      </c>
      <c r="B3243" s="549" t="s">
        <v>791</v>
      </c>
      <c r="C3243" s="549" t="s">
        <v>796</v>
      </c>
      <c r="D3243" s="549" t="s">
        <v>493</v>
      </c>
      <c r="E3243" s="549" t="s">
        <v>977</v>
      </c>
      <c r="F3243" s="549" t="s">
        <v>1212</v>
      </c>
      <c r="G3243" s="549">
        <v>342</v>
      </c>
      <c r="H3243" s="549" t="s">
        <v>796</v>
      </c>
      <c r="I3243" s="549" t="s">
        <v>976</v>
      </c>
      <c r="J3243" s="549" t="s">
        <v>976</v>
      </c>
      <c r="K3243" s="549" t="s">
        <v>976</v>
      </c>
      <c r="L3243" s="549">
        <v>136124</v>
      </c>
      <c r="M3243" s="549">
        <v>10277.36</v>
      </c>
      <c r="N3243" s="549">
        <v>3008.34</v>
      </c>
      <c r="O3243" s="549">
        <v>1984</v>
      </c>
      <c r="P3243" s="549">
        <v>100</v>
      </c>
      <c r="Q3243" s="549">
        <v>15269.7</v>
      </c>
    </row>
    <row r="3244" spans="1:17" x14ac:dyDescent="0.25">
      <c r="A3244" s="549" t="s">
        <v>1151</v>
      </c>
      <c r="B3244" s="549" t="s">
        <v>791</v>
      </c>
      <c r="C3244" s="549" t="s">
        <v>796</v>
      </c>
      <c r="D3244" s="549" t="s">
        <v>493</v>
      </c>
      <c r="E3244" s="549" t="s">
        <v>977</v>
      </c>
      <c r="F3244" s="549" t="s">
        <v>1212</v>
      </c>
      <c r="G3244" s="549">
        <v>352</v>
      </c>
      <c r="H3244" s="549" t="s">
        <v>796</v>
      </c>
      <c r="I3244" s="549" t="s">
        <v>976</v>
      </c>
      <c r="J3244" s="549" t="s">
        <v>976</v>
      </c>
      <c r="K3244" s="549" t="s">
        <v>976</v>
      </c>
      <c r="L3244" s="549">
        <v>152832.41</v>
      </c>
      <c r="M3244" s="549">
        <v>11538.85</v>
      </c>
      <c r="N3244" s="549">
        <v>3377.6</v>
      </c>
      <c r="O3244" s="549">
        <v>3769.6</v>
      </c>
      <c r="P3244" s="549">
        <v>100</v>
      </c>
      <c r="Q3244" s="549">
        <v>18686.05</v>
      </c>
    </row>
    <row r="3245" spans="1:17" x14ac:dyDescent="0.25">
      <c r="A3245" s="549" t="s">
        <v>1151</v>
      </c>
      <c r="B3245" s="549" t="s">
        <v>791</v>
      </c>
      <c r="C3245" s="549" t="s">
        <v>796</v>
      </c>
      <c r="D3245" s="549" t="s">
        <v>493</v>
      </c>
      <c r="E3245" s="549" t="s">
        <v>977</v>
      </c>
      <c r="F3245" s="549" t="s">
        <v>1212</v>
      </c>
      <c r="G3245" s="549">
        <v>372</v>
      </c>
      <c r="H3245" s="549" t="s">
        <v>796</v>
      </c>
      <c r="I3245" s="549" t="s">
        <v>976</v>
      </c>
      <c r="J3245" s="549" t="s">
        <v>976</v>
      </c>
      <c r="K3245" s="549" t="s">
        <v>976</v>
      </c>
      <c r="L3245" s="549">
        <v>152832.41</v>
      </c>
      <c r="M3245" s="549">
        <v>11538.85</v>
      </c>
      <c r="N3245" s="549">
        <v>3377.6</v>
      </c>
      <c r="O3245" s="549">
        <v>3769.6</v>
      </c>
      <c r="P3245" s="549">
        <v>100</v>
      </c>
      <c r="Q3245" s="549">
        <v>18686.05</v>
      </c>
    </row>
    <row r="3246" spans="1:17" x14ac:dyDescent="0.25">
      <c r="A3246" s="549" t="s">
        <v>1151</v>
      </c>
      <c r="B3246" s="549" t="s">
        <v>791</v>
      </c>
      <c r="C3246" s="549" t="s">
        <v>796</v>
      </c>
      <c r="D3246" s="549" t="s">
        <v>493</v>
      </c>
      <c r="E3246" s="549" t="s">
        <v>977</v>
      </c>
      <c r="F3246" s="549" t="s">
        <v>1212</v>
      </c>
      <c r="G3246" s="549" t="s">
        <v>1462</v>
      </c>
      <c r="H3246" s="549" t="s">
        <v>796</v>
      </c>
      <c r="I3246" s="549" t="s">
        <v>976</v>
      </c>
      <c r="J3246" s="549" t="s">
        <v>976</v>
      </c>
      <c r="K3246" s="549" t="s">
        <v>976</v>
      </c>
      <c r="L3246" s="549">
        <v>35172.980000000003</v>
      </c>
      <c r="M3246" s="549">
        <v>2655.56</v>
      </c>
      <c r="N3246" s="549">
        <v>777.32</v>
      </c>
      <c r="O3246" s="549">
        <v>1984</v>
      </c>
      <c r="P3246" s="549">
        <v>100</v>
      </c>
      <c r="Q3246" s="549">
        <v>5416.88</v>
      </c>
    </row>
    <row r="3247" spans="1:17" x14ac:dyDescent="0.25">
      <c r="A3247" s="549" t="s">
        <v>1151</v>
      </c>
      <c r="B3247" s="549" t="s">
        <v>791</v>
      </c>
      <c r="C3247" s="549" t="s">
        <v>796</v>
      </c>
      <c r="D3247" s="549" t="s">
        <v>493</v>
      </c>
      <c r="E3247" s="549" t="s">
        <v>977</v>
      </c>
      <c r="F3247" s="549" t="s">
        <v>1212</v>
      </c>
      <c r="G3247" s="549" t="s">
        <v>1418</v>
      </c>
      <c r="H3247" s="549" t="s">
        <v>796</v>
      </c>
      <c r="I3247" s="549" t="s">
        <v>976</v>
      </c>
      <c r="J3247" s="549" t="s">
        <v>976</v>
      </c>
      <c r="K3247" s="549" t="s">
        <v>976</v>
      </c>
      <c r="L3247" s="549">
        <v>18402.78</v>
      </c>
      <c r="M3247" s="549">
        <v>1389.41</v>
      </c>
      <c r="N3247" s="549">
        <v>406.7</v>
      </c>
      <c r="O3247" s="549">
        <v>0</v>
      </c>
      <c r="P3247" s="549">
        <v>100</v>
      </c>
      <c r="Q3247" s="549">
        <v>1796.11</v>
      </c>
    </row>
    <row r="3248" spans="1:17" x14ac:dyDescent="0.25">
      <c r="A3248" s="549" t="s">
        <v>1151</v>
      </c>
      <c r="B3248" s="549" t="s">
        <v>791</v>
      </c>
      <c r="C3248" s="549" t="s">
        <v>796</v>
      </c>
      <c r="D3248" s="549" t="s">
        <v>493</v>
      </c>
      <c r="E3248" s="549" t="s">
        <v>977</v>
      </c>
      <c r="F3248" s="549" t="s">
        <v>1212</v>
      </c>
      <c r="G3248" s="549" t="s">
        <v>1463</v>
      </c>
      <c r="H3248" s="549" t="s">
        <v>796</v>
      </c>
      <c r="I3248" s="549" t="s">
        <v>976</v>
      </c>
      <c r="J3248" s="549" t="s">
        <v>976</v>
      </c>
      <c r="K3248" s="549" t="s">
        <v>976</v>
      </c>
      <c r="L3248" s="549">
        <v>18402.78</v>
      </c>
      <c r="M3248" s="549">
        <v>1389.41</v>
      </c>
      <c r="N3248" s="549">
        <v>406.7</v>
      </c>
      <c r="O3248" s="549">
        <v>0</v>
      </c>
      <c r="P3248" s="549">
        <v>100</v>
      </c>
      <c r="Q3248" s="549">
        <v>1796.11</v>
      </c>
    </row>
    <row r="3249" spans="1:17" x14ac:dyDescent="0.25">
      <c r="A3249" s="549" t="s">
        <v>1151</v>
      </c>
      <c r="B3249" s="549" t="s">
        <v>791</v>
      </c>
      <c r="C3249" s="549" t="s">
        <v>797</v>
      </c>
      <c r="D3249" s="549" t="s">
        <v>798</v>
      </c>
      <c r="E3249" s="549" t="s">
        <v>977</v>
      </c>
      <c r="F3249" s="549" t="s">
        <v>1212</v>
      </c>
      <c r="G3249" s="549">
        <v>682</v>
      </c>
      <c r="H3249" s="549" t="s">
        <v>797</v>
      </c>
      <c r="I3249" s="549" t="s">
        <v>976</v>
      </c>
      <c r="J3249" s="549" t="s">
        <v>976</v>
      </c>
      <c r="K3249" s="549" t="s">
        <v>976</v>
      </c>
      <c r="L3249" s="549">
        <v>468690.7</v>
      </c>
      <c r="M3249" s="549">
        <v>35386.15</v>
      </c>
      <c r="N3249" s="549">
        <v>10358.06</v>
      </c>
      <c r="O3249" s="549">
        <v>1984</v>
      </c>
      <c r="P3249" s="549">
        <v>100</v>
      </c>
      <c r="Q3249" s="549">
        <v>47728.21</v>
      </c>
    </row>
    <row r="3250" spans="1:17" x14ac:dyDescent="0.25">
      <c r="A3250" s="549" t="s">
        <v>1151</v>
      </c>
      <c r="B3250" s="549" t="s">
        <v>791</v>
      </c>
      <c r="C3250" s="549" t="s">
        <v>797</v>
      </c>
      <c r="D3250" s="549" t="s">
        <v>798</v>
      </c>
      <c r="E3250" s="549" t="s">
        <v>977</v>
      </c>
      <c r="F3250" s="549" t="s">
        <v>1212</v>
      </c>
      <c r="G3250" s="549">
        <v>702</v>
      </c>
      <c r="H3250" s="549" t="s">
        <v>797</v>
      </c>
      <c r="I3250" s="549" t="s">
        <v>976</v>
      </c>
      <c r="J3250" s="549" t="s">
        <v>976</v>
      </c>
      <c r="K3250" s="549" t="s">
        <v>976</v>
      </c>
      <c r="L3250" s="549">
        <v>468690.7</v>
      </c>
      <c r="M3250" s="549">
        <v>35386.15</v>
      </c>
      <c r="N3250" s="549">
        <v>10358.06</v>
      </c>
      <c r="O3250" s="549">
        <v>1984</v>
      </c>
      <c r="P3250" s="549">
        <v>100</v>
      </c>
      <c r="Q3250" s="549">
        <v>47728.21</v>
      </c>
    </row>
    <row r="3251" spans="1:17" x14ac:dyDescent="0.25">
      <c r="A3251" s="549" t="s">
        <v>1151</v>
      </c>
      <c r="B3251" s="549" t="s">
        <v>791</v>
      </c>
      <c r="C3251" s="549" t="s">
        <v>797</v>
      </c>
      <c r="D3251" s="549" t="s">
        <v>798</v>
      </c>
      <c r="E3251" s="549" t="s">
        <v>977</v>
      </c>
      <c r="F3251" s="549" t="s">
        <v>1212</v>
      </c>
      <c r="G3251" s="549">
        <v>2732</v>
      </c>
      <c r="H3251" s="549" t="s">
        <v>797</v>
      </c>
      <c r="I3251" s="549" t="s">
        <v>976</v>
      </c>
      <c r="J3251" s="549" t="s">
        <v>976</v>
      </c>
      <c r="K3251" s="549" t="s">
        <v>976</v>
      </c>
      <c r="L3251" s="549">
        <v>109092.24</v>
      </c>
      <c r="M3251" s="549">
        <v>8236.4599999999991</v>
      </c>
      <c r="N3251" s="549">
        <v>2410.94</v>
      </c>
      <c r="O3251" s="549">
        <v>892.8</v>
      </c>
      <c r="P3251" s="549">
        <v>100</v>
      </c>
      <c r="Q3251" s="549">
        <v>11540.2</v>
      </c>
    </row>
    <row r="3252" spans="1:17" x14ac:dyDescent="0.25">
      <c r="A3252" s="549" t="s">
        <v>1151</v>
      </c>
      <c r="B3252" s="549" t="s">
        <v>791</v>
      </c>
      <c r="C3252" s="549" t="s">
        <v>797</v>
      </c>
      <c r="D3252" s="549" t="s">
        <v>798</v>
      </c>
      <c r="E3252" s="549" t="s">
        <v>977</v>
      </c>
      <c r="F3252" s="549" t="s">
        <v>1212</v>
      </c>
      <c r="G3252" s="549">
        <v>2742</v>
      </c>
      <c r="H3252" s="549" t="s">
        <v>797</v>
      </c>
      <c r="I3252" s="549" t="s">
        <v>976</v>
      </c>
      <c r="J3252" s="549" t="s">
        <v>976</v>
      </c>
      <c r="K3252" s="549" t="s">
        <v>976</v>
      </c>
      <c r="L3252" s="549">
        <v>109092.24</v>
      </c>
      <c r="M3252" s="549">
        <v>8236.4599999999991</v>
      </c>
      <c r="N3252" s="549">
        <v>2410.94</v>
      </c>
      <c r="O3252" s="549">
        <v>892.8</v>
      </c>
      <c r="P3252" s="549">
        <v>100</v>
      </c>
      <c r="Q3252" s="549">
        <v>11540.2</v>
      </c>
    </row>
    <row r="3253" spans="1:17" x14ac:dyDescent="0.25">
      <c r="A3253" s="549" t="s">
        <v>1151</v>
      </c>
      <c r="B3253" s="549" t="s">
        <v>791</v>
      </c>
      <c r="C3253" s="549" t="s">
        <v>797</v>
      </c>
      <c r="D3253" s="549" t="s">
        <v>798</v>
      </c>
      <c r="E3253" s="549" t="s">
        <v>977</v>
      </c>
      <c r="F3253" s="549" t="s">
        <v>1212</v>
      </c>
      <c r="G3253" s="549">
        <v>2752</v>
      </c>
      <c r="H3253" s="549" t="s">
        <v>797</v>
      </c>
      <c r="I3253" s="549" t="s">
        <v>976</v>
      </c>
      <c r="J3253" s="549" t="s">
        <v>976</v>
      </c>
      <c r="K3253" s="549" t="s">
        <v>976</v>
      </c>
      <c r="L3253" s="549">
        <v>109092.24</v>
      </c>
      <c r="M3253" s="549">
        <v>8236.4599999999991</v>
      </c>
      <c r="N3253" s="549">
        <v>2410.94</v>
      </c>
      <c r="O3253" s="549">
        <v>892.8</v>
      </c>
      <c r="P3253" s="549">
        <v>100</v>
      </c>
      <c r="Q3253" s="549">
        <v>11540.2</v>
      </c>
    </row>
    <row r="3254" spans="1:17" x14ac:dyDescent="0.25">
      <c r="A3254" s="549" t="s">
        <v>1094</v>
      </c>
      <c r="B3254" s="549" t="s">
        <v>580</v>
      </c>
      <c r="C3254" s="549" t="s">
        <v>709</v>
      </c>
      <c r="D3254" s="549" t="s">
        <v>710</v>
      </c>
      <c r="E3254" s="549" t="s">
        <v>977</v>
      </c>
      <c r="F3254" s="549" t="s">
        <v>1212</v>
      </c>
      <c r="G3254" s="549" t="s">
        <v>1235</v>
      </c>
      <c r="H3254" s="549" t="s">
        <v>709</v>
      </c>
      <c r="I3254" s="549" t="s">
        <v>976</v>
      </c>
      <c r="J3254" s="549" t="s">
        <v>976</v>
      </c>
      <c r="K3254" s="549" t="s">
        <v>976</v>
      </c>
      <c r="L3254" s="549">
        <v>311322.25</v>
      </c>
      <c r="M3254" s="549">
        <v>23504.83</v>
      </c>
      <c r="N3254" s="549">
        <v>6880.22</v>
      </c>
      <c r="O3254" s="549">
        <v>992</v>
      </c>
      <c r="P3254" s="549">
        <v>100</v>
      </c>
      <c r="Q3254" s="549">
        <v>31377.05</v>
      </c>
    </row>
    <row r="3255" spans="1:17" x14ac:dyDescent="0.25">
      <c r="A3255" s="549" t="s">
        <v>1151</v>
      </c>
      <c r="B3255" s="549" t="s">
        <v>791</v>
      </c>
      <c r="C3255" s="549" t="s">
        <v>797</v>
      </c>
      <c r="D3255" s="549" t="s">
        <v>798</v>
      </c>
      <c r="E3255" s="549" t="s">
        <v>977</v>
      </c>
      <c r="F3255" s="549" t="s">
        <v>1212</v>
      </c>
      <c r="G3255" s="549">
        <v>2772</v>
      </c>
      <c r="H3255" s="549" t="s">
        <v>797</v>
      </c>
      <c r="I3255" s="549" t="s">
        <v>976</v>
      </c>
      <c r="J3255" s="549" t="s">
        <v>976</v>
      </c>
      <c r="K3255" s="549" t="s">
        <v>976</v>
      </c>
      <c r="L3255" s="549">
        <v>109092.24</v>
      </c>
      <c r="M3255" s="549">
        <v>8236.4599999999991</v>
      </c>
      <c r="N3255" s="549">
        <v>2410.94</v>
      </c>
      <c r="O3255" s="549">
        <v>892.8</v>
      </c>
      <c r="P3255" s="549">
        <v>100</v>
      </c>
      <c r="Q3255" s="549">
        <v>11540.2</v>
      </c>
    </row>
    <row r="3256" spans="1:17" x14ac:dyDescent="0.25">
      <c r="A3256" s="549" t="s">
        <v>1151</v>
      </c>
      <c r="B3256" s="549" t="s">
        <v>791</v>
      </c>
      <c r="C3256" s="549" t="s">
        <v>797</v>
      </c>
      <c r="D3256" s="549" t="s">
        <v>798</v>
      </c>
      <c r="E3256" s="549" t="s">
        <v>977</v>
      </c>
      <c r="F3256" s="549" t="s">
        <v>1212</v>
      </c>
      <c r="G3256" s="549">
        <v>2782</v>
      </c>
      <c r="H3256" s="549" t="s">
        <v>797</v>
      </c>
      <c r="I3256" s="549" t="s">
        <v>976</v>
      </c>
      <c r="J3256" s="549" t="s">
        <v>976</v>
      </c>
      <c r="K3256" s="549" t="s">
        <v>976</v>
      </c>
      <c r="L3256" s="549">
        <v>109092.24</v>
      </c>
      <c r="M3256" s="549">
        <v>8236.4599999999991</v>
      </c>
      <c r="N3256" s="549">
        <v>2410.94</v>
      </c>
      <c r="O3256" s="549">
        <v>892.8</v>
      </c>
      <c r="P3256" s="549">
        <v>100</v>
      </c>
      <c r="Q3256" s="549">
        <v>11540.2</v>
      </c>
    </row>
    <row r="3257" spans="1:17" x14ac:dyDescent="0.25">
      <c r="A3257" s="549" t="s">
        <v>1151</v>
      </c>
      <c r="B3257" s="549" t="s">
        <v>791</v>
      </c>
      <c r="C3257" s="549" t="s">
        <v>797</v>
      </c>
      <c r="D3257" s="549" t="s">
        <v>798</v>
      </c>
      <c r="E3257" s="549" t="s">
        <v>977</v>
      </c>
      <c r="F3257" s="549" t="s">
        <v>1212</v>
      </c>
      <c r="G3257" s="549">
        <v>2792</v>
      </c>
      <c r="H3257" s="549" t="s">
        <v>797</v>
      </c>
      <c r="I3257" s="549" t="s">
        <v>976</v>
      </c>
      <c r="J3257" s="549" t="s">
        <v>976</v>
      </c>
      <c r="K3257" s="549" t="s">
        <v>976</v>
      </c>
      <c r="L3257" s="549">
        <v>109092.24</v>
      </c>
      <c r="M3257" s="549">
        <v>8236.4599999999991</v>
      </c>
      <c r="N3257" s="549">
        <v>2410.94</v>
      </c>
      <c r="O3257" s="549">
        <v>892.8</v>
      </c>
      <c r="P3257" s="549">
        <v>100</v>
      </c>
      <c r="Q3257" s="549">
        <v>11540.2</v>
      </c>
    </row>
    <row r="3258" spans="1:17" x14ac:dyDescent="0.25">
      <c r="A3258" s="549" t="s">
        <v>1151</v>
      </c>
      <c r="B3258" s="549" t="s">
        <v>791</v>
      </c>
      <c r="C3258" s="549" t="s">
        <v>797</v>
      </c>
      <c r="D3258" s="549" t="s">
        <v>798</v>
      </c>
      <c r="E3258" s="549" t="s">
        <v>977</v>
      </c>
      <c r="F3258" s="549" t="s">
        <v>1212</v>
      </c>
      <c r="G3258" s="549">
        <v>2818</v>
      </c>
      <c r="H3258" s="549" t="s">
        <v>797</v>
      </c>
      <c r="I3258" s="549" t="s">
        <v>976</v>
      </c>
      <c r="J3258" s="549" t="s">
        <v>976</v>
      </c>
      <c r="K3258" s="549" t="s">
        <v>976</v>
      </c>
      <c r="L3258" s="549">
        <v>105387.56</v>
      </c>
      <c r="M3258" s="549">
        <v>7956.76</v>
      </c>
      <c r="N3258" s="549">
        <v>2329.0700000000002</v>
      </c>
      <c r="O3258" s="549">
        <v>992</v>
      </c>
      <c r="P3258" s="549">
        <v>100</v>
      </c>
      <c r="Q3258" s="549">
        <v>11277.83</v>
      </c>
    </row>
    <row r="3259" spans="1:17" x14ac:dyDescent="0.25">
      <c r="A3259" s="549" t="s">
        <v>1151</v>
      </c>
      <c r="B3259" s="549" t="s">
        <v>791</v>
      </c>
      <c r="C3259" s="549" t="s">
        <v>797</v>
      </c>
      <c r="D3259" s="549" t="s">
        <v>798</v>
      </c>
      <c r="E3259" s="549" t="s">
        <v>977</v>
      </c>
      <c r="F3259" s="549" t="s">
        <v>1212</v>
      </c>
      <c r="G3259" s="549">
        <v>2822</v>
      </c>
      <c r="H3259" s="549" t="s">
        <v>797</v>
      </c>
      <c r="I3259" s="549" t="s">
        <v>976</v>
      </c>
      <c r="J3259" s="549" t="s">
        <v>976</v>
      </c>
      <c r="K3259" s="549" t="s">
        <v>976</v>
      </c>
      <c r="L3259" s="549">
        <v>109092.24</v>
      </c>
      <c r="M3259" s="549">
        <v>8236.4599999999991</v>
      </c>
      <c r="N3259" s="549">
        <v>2410.94</v>
      </c>
      <c r="O3259" s="549">
        <v>892.8</v>
      </c>
      <c r="P3259" s="549">
        <v>100</v>
      </c>
      <c r="Q3259" s="549">
        <v>11540.2</v>
      </c>
    </row>
    <row r="3260" spans="1:17" x14ac:dyDescent="0.25">
      <c r="A3260" s="549" t="s">
        <v>1151</v>
      </c>
      <c r="B3260" s="549" t="s">
        <v>791</v>
      </c>
      <c r="C3260" s="549" t="s">
        <v>797</v>
      </c>
      <c r="D3260" s="549" t="s">
        <v>798</v>
      </c>
      <c r="E3260" s="549" t="s">
        <v>977</v>
      </c>
      <c r="F3260" s="549" t="s">
        <v>1212</v>
      </c>
      <c r="G3260" s="549">
        <v>2832</v>
      </c>
      <c r="H3260" s="549" t="s">
        <v>797</v>
      </c>
      <c r="I3260" s="549" t="s">
        <v>976</v>
      </c>
      <c r="J3260" s="549" t="s">
        <v>976</v>
      </c>
      <c r="K3260" s="549" t="s">
        <v>976</v>
      </c>
      <c r="L3260" s="549">
        <v>109092.24</v>
      </c>
      <c r="M3260" s="549">
        <v>8236.4599999999991</v>
      </c>
      <c r="N3260" s="549">
        <v>2410.94</v>
      </c>
      <c r="O3260" s="549">
        <v>892.8</v>
      </c>
      <c r="P3260" s="549">
        <v>100</v>
      </c>
      <c r="Q3260" s="549">
        <v>11540.2</v>
      </c>
    </row>
    <row r="3261" spans="1:17" x14ac:dyDescent="0.25">
      <c r="A3261" s="549" t="s">
        <v>1151</v>
      </c>
      <c r="B3261" s="549" t="s">
        <v>791</v>
      </c>
      <c r="C3261" s="549" t="s">
        <v>797</v>
      </c>
      <c r="D3261" s="549" t="s">
        <v>798</v>
      </c>
      <c r="E3261" s="549" t="s">
        <v>977</v>
      </c>
      <c r="F3261" s="549" t="s">
        <v>1212</v>
      </c>
      <c r="G3261" s="549">
        <v>2842</v>
      </c>
      <c r="H3261" s="549" t="s">
        <v>797</v>
      </c>
      <c r="I3261" s="549" t="s">
        <v>976</v>
      </c>
      <c r="J3261" s="549" t="s">
        <v>976</v>
      </c>
      <c r="K3261" s="549" t="s">
        <v>976</v>
      </c>
      <c r="L3261" s="549">
        <v>109092.24</v>
      </c>
      <c r="M3261" s="549">
        <v>8236.4599999999991</v>
      </c>
      <c r="N3261" s="549">
        <v>2410.94</v>
      </c>
      <c r="O3261" s="549">
        <v>892.8</v>
      </c>
      <c r="P3261" s="549">
        <v>100</v>
      </c>
      <c r="Q3261" s="549">
        <v>11540.2</v>
      </c>
    </row>
    <row r="3262" spans="1:17" x14ac:dyDescent="0.25">
      <c r="A3262" s="549" t="s">
        <v>1094</v>
      </c>
      <c r="B3262" s="549" t="s">
        <v>580</v>
      </c>
      <c r="C3262" s="549" t="s">
        <v>709</v>
      </c>
      <c r="D3262" s="549" t="s">
        <v>710</v>
      </c>
      <c r="E3262" s="549" t="s">
        <v>977</v>
      </c>
      <c r="F3262" s="549" t="s">
        <v>1212</v>
      </c>
      <c r="G3262" s="549" t="s">
        <v>1417</v>
      </c>
      <c r="H3262" s="549" t="s">
        <v>709</v>
      </c>
      <c r="I3262" s="549" t="s">
        <v>976</v>
      </c>
      <c r="J3262" s="549" t="s">
        <v>976</v>
      </c>
      <c r="K3262" s="549" t="s">
        <v>976</v>
      </c>
      <c r="L3262" s="549">
        <v>107061.02</v>
      </c>
      <c r="M3262" s="549">
        <v>8083.11</v>
      </c>
      <c r="N3262" s="549">
        <v>2366.0500000000002</v>
      </c>
      <c r="O3262" s="549">
        <v>1984</v>
      </c>
      <c r="P3262" s="549">
        <v>100</v>
      </c>
      <c r="Q3262" s="549">
        <v>12433.16</v>
      </c>
    </row>
    <row r="3263" spans="1:17" x14ac:dyDescent="0.25">
      <c r="A3263" s="549" t="s">
        <v>1151</v>
      </c>
      <c r="B3263" s="549" t="s">
        <v>791</v>
      </c>
      <c r="C3263" s="549" t="s">
        <v>797</v>
      </c>
      <c r="D3263" s="549" t="s">
        <v>798</v>
      </c>
      <c r="E3263" s="549" t="s">
        <v>977</v>
      </c>
      <c r="F3263" s="549" t="s">
        <v>1212</v>
      </c>
      <c r="G3263" s="549">
        <v>2862</v>
      </c>
      <c r="H3263" s="549" t="s">
        <v>797</v>
      </c>
      <c r="I3263" s="549" t="s">
        <v>976</v>
      </c>
      <c r="J3263" s="549" t="s">
        <v>976</v>
      </c>
      <c r="K3263" s="549" t="s">
        <v>976</v>
      </c>
      <c r="L3263" s="549">
        <v>109092.24</v>
      </c>
      <c r="M3263" s="549">
        <v>8236.4599999999991</v>
      </c>
      <c r="N3263" s="549">
        <v>2410.94</v>
      </c>
      <c r="O3263" s="549">
        <v>892.8</v>
      </c>
      <c r="P3263" s="549">
        <v>100</v>
      </c>
      <c r="Q3263" s="549">
        <v>11540.2</v>
      </c>
    </row>
    <row r="3264" spans="1:17" x14ac:dyDescent="0.25">
      <c r="A3264" s="549" t="s">
        <v>1151</v>
      </c>
      <c r="B3264" s="549" t="s">
        <v>791</v>
      </c>
      <c r="C3264" s="549" t="s">
        <v>797</v>
      </c>
      <c r="D3264" s="549" t="s">
        <v>798</v>
      </c>
      <c r="E3264" s="549" t="s">
        <v>977</v>
      </c>
      <c r="F3264" s="549" t="s">
        <v>1212</v>
      </c>
      <c r="G3264" s="549">
        <v>2872</v>
      </c>
      <c r="H3264" s="549" t="s">
        <v>797</v>
      </c>
      <c r="I3264" s="549" t="s">
        <v>976</v>
      </c>
      <c r="J3264" s="549" t="s">
        <v>976</v>
      </c>
      <c r="K3264" s="549" t="s">
        <v>976</v>
      </c>
      <c r="L3264" s="549">
        <v>109092.24</v>
      </c>
      <c r="M3264" s="549">
        <v>8236.4599999999991</v>
      </c>
      <c r="N3264" s="549">
        <v>2410.94</v>
      </c>
      <c r="O3264" s="549">
        <v>892.8</v>
      </c>
      <c r="P3264" s="549">
        <v>100</v>
      </c>
      <c r="Q3264" s="549">
        <v>11540.2</v>
      </c>
    </row>
    <row r="3265" spans="1:17" x14ac:dyDescent="0.25">
      <c r="A3265" s="549" t="s">
        <v>1151</v>
      </c>
      <c r="B3265" s="549" t="s">
        <v>791</v>
      </c>
      <c r="C3265" s="549" t="s">
        <v>797</v>
      </c>
      <c r="D3265" s="549" t="s">
        <v>798</v>
      </c>
      <c r="E3265" s="549" t="s">
        <v>977</v>
      </c>
      <c r="F3265" s="549" t="s">
        <v>1212</v>
      </c>
      <c r="G3265" s="549" t="s">
        <v>1464</v>
      </c>
      <c r="H3265" s="549" t="s">
        <v>797</v>
      </c>
      <c r="I3265" s="549" t="s">
        <v>976</v>
      </c>
      <c r="J3265" s="549" t="s">
        <v>976</v>
      </c>
      <c r="K3265" s="549" t="s">
        <v>976</v>
      </c>
      <c r="L3265" s="549">
        <v>31999.97</v>
      </c>
      <c r="M3265" s="549">
        <v>2416</v>
      </c>
      <c r="N3265" s="549">
        <v>707.2</v>
      </c>
      <c r="O3265" s="549">
        <v>0</v>
      </c>
      <c r="P3265" s="549">
        <v>100</v>
      </c>
      <c r="Q3265" s="549">
        <v>3123.2</v>
      </c>
    </row>
    <row r="3266" spans="1:17" x14ac:dyDescent="0.25">
      <c r="A3266" s="549" t="s">
        <v>1151</v>
      </c>
      <c r="B3266" s="549" t="s">
        <v>791</v>
      </c>
      <c r="C3266" s="549" t="s">
        <v>797</v>
      </c>
      <c r="D3266" s="549" t="s">
        <v>798</v>
      </c>
      <c r="E3266" s="549" t="s">
        <v>977</v>
      </c>
      <c r="F3266" s="549" t="s">
        <v>1212</v>
      </c>
      <c r="G3266" s="549" t="s">
        <v>1273</v>
      </c>
      <c r="H3266" s="549" t="s">
        <v>797</v>
      </c>
      <c r="I3266" s="549" t="s">
        <v>976</v>
      </c>
      <c r="J3266" s="549" t="s">
        <v>976</v>
      </c>
      <c r="K3266" s="549" t="s">
        <v>976</v>
      </c>
      <c r="L3266" s="549">
        <v>31999.97</v>
      </c>
      <c r="M3266" s="549">
        <v>2416</v>
      </c>
      <c r="N3266" s="549">
        <v>707.2</v>
      </c>
      <c r="O3266" s="549">
        <v>0</v>
      </c>
      <c r="P3266" s="549">
        <v>100</v>
      </c>
      <c r="Q3266" s="549">
        <v>3123.2</v>
      </c>
    </row>
    <row r="3267" spans="1:17" x14ac:dyDescent="0.25">
      <c r="A3267" s="549" t="s">
        <v>1151</v>
      </c>
      <c r="B3267" s="549" t="s">
        <v>791</v>
      </c>
      <c r="C3267" s="549" t="s">
        <v>792</v>
      </c>
      <c r="D3267" s="549" t="s">
        <v>793</v>
      </c>
      <c r="E3267" s="549" t="s">
        <v>973</v>
      </c>
      <c r="F3267" s="549" t="s">
        <v>1212</v>
      </c>
      <c r="G3267" s="549">
        <v>672</v>
      </c>
      <c r="H3267" s="549" t="s">
        <v>792</v>
      </c>
      <c r="I3267" s="549" t="s">
        <v>976</v>
      </c>
      <c r="J3267" s="549" t="s">
        <v>976</v>
      </c>
      <c r="K3267" s="549" t="s">
        <v>976</v>
      </c>
      <c r="L3267" s="549">
        <v>633521.49</v>
      </c>
      <c r="M3267" s="549">
        <v>47830.87</v>
      </c>
      <c r="N3267" s="549">
        <v>36364.129999999997</v>
      </c>
      <c r="O3267" s="549">
        <v>2976</v>
      </c>
      <c r="P3267" s="549">
        <v>44.51</v>
      </c>
      <c r="Q3267" s="549">
        <v>38799.81</v>
      </c>
    </row>
    <row r="3268" spans="1:17" x14ac:dyDescent="0.25">
      <c r="A3268" s="549" t="s">
        <v>1151</v>
      </c>
      <c r="B3268" s="549" t="s">
        <v>791</v>
      </c>
      <c r="C3268" s="549" t="s">
        <v>792</v>
      </c>
      <c r="D3268" s="549" t="s">
        <v>793</v>
      </c>
      <c r="E3268" s="549" t="s">
        <v>973</v>
      </c>
      <c r="F3268" s="549" t="s">
        <v>1212</v>
      </c>
      <c r="G3268" s="549">
        <v>722</v>
      </c>
      <c r="H3268" s="549" t="s">
        <v>792</v>
      </c>
      <c r="I3268" s="549" t="s">
        <v>976</v>
      </c>
      <c r="J3268" s="549" t="s">
        <v>976</v>
      </c>
      <c r="K3268" s="549" t="s">
        <v>976</v>
      </c>
      <c r="L3268" s="549">
        <v>633521.49</v>
      </c>
      <c r="M3268" s="549">
        <v>47830.87</v>
      </c>
      <c r="N3268" s="549">
        <v>36364.129999999997</v>
      </c>
      <c r="O3268" s="549">
        <v>2976</v>
      </c>
      <c r="P3268" s="549">
        <v>44.51</v>
      </c>
      <c r="Q3268" s="549">
        <v>38799.81</v>
      </c>
    </row>
    <row r="3269" spans="1:17" x14ac:dyDescent="0.25">
      <c r="A3269" s="549" t="s">
        <v>1151</v>
      </c>
      <c r="B3269" s="549" t="s">
        <v>791</v>
      </c>
      <c r="C3269" s="549" t="s">
        <v>792</v>
      </c>
      <c r="D3269" s="549" t="s">
        <v>793</v>
      </c>
      <c r="E3269" s="549" t="s">
        <v>973</v>
      </c>
      <c r="F3269" s="549" t="s">
        <v>1212</v>
      </c>
      <c r="G3269" s="549">
        <v>1062</v>
      </c>
      <c r="H3269" s="549" t="s">
        <v>792</v>
      </c>
      <c r="I3269" s="549" t="s">
        <v>976</v>
      </c>
      <c r="J3269" s="549" t="s">
        <v>976</v>
      </c>
      <c r="K3269" s="549" t="s">
        <v>976</v>
      </c>
      <c r="L3269" s="549">
        <v>84021.97</v>
      </c>
      <c r="M3269" s="549">
        <v>6343.66</v>
      </c>
      <c r="N3269" s="549">
        <v>4822.8599999999997</v>
      </c>
      <c r="O3269" s="549">
        <v>892.8</v>
      </c>
      <c r="P3269" s="549">
        <v>44.51</v>
      </c>
      <c r="Q3269" s="549">
        <v>5367.6</v>
      </c>
    </row>
    <row r="3270" spans="1:17" x14ac:dyDescent="0.25">
      <c r="A3270" s="549" t="s">
        <v>1151</v>
      </c>
      <c r="B3270" s="549" t="s">
        <v>791</v>
      </c>
      <c r="C3270" s="549" t="s">
        <v>792</v>
      </c>
      <c r="D3270" s="549" t="s">
        <v>793</v>
      </c>
      <c r="E3270" s="549" t="s">
        <v>973</v>
      </c>
      <c r="F3270" s="549" t="s">
        <v>1212</v>
      </c>
      <c r="G3270" s="549">
        <v>1072</v>
      </c>
      <c r="H3270" s="549" t="s">
        <v>792</v>
      </c>
      <c r="I3270" s="549" t="s">
        <v>976</v>
      </c>
      <c r="J3270" s="549" t="s">
        <v>976</v>
      </c>
      <c r="K3270" s="549" t="s">
        <v>976</v>
      </c>
      <c r="L3270" s="549">
        <v>84021.97</v>
      </c>
      <c r="M3270" s="549">
        <v>6343.66</v>
      </c>
      <c r="N3270" s="549">
        <v>4822.8599999999997</v>
      </c>
      <c r="O3270" s="549">
        <v>892.8</v>
      </c>
      <c r="P3270" s="549">
        <v>44.51</v>
      </c>
      <c r="Q3270" s="549">
        <v>5367.6</v>
      </c>
    </row>
    <row r="3271" spans="1:17" x14ac:dyDescent="0.25">
      <c r="A3271" s="549" t="s">
        <v>1151</v>
      </c>
      <c r="B3271" s="549" t="s">
        <v>791</v>
      </c>
      <c r="C3271" s="549" t="s">
        <v>792</v>
      </c>
      <c r="D3271" s="549" t="s">
        <v>793</v>
      </c>
      <c r="E3271" s="549" t="s">
        <v>973</v>
      </c>
      <c r="F3271" s="549" t="s">
        <v>1212</v>
      </c>
      <c r="G3271" s="549">
        <v>1082</v>
      </c>
      <c r="H3271" s="549" t="s">
        <v>792</v>
      </c>
      <c r="I3271" s="549" t="s">
        <v>976</v>
      </c>
      <c r="J3271" s="549" t="s">
        <v>976</v>
      </c>
      <c r="K3271" s="549" t="s">
        <v>976</v>
      </c>
      <c r="L3271" s="549">
        <v>84021.97</v>
      </c>
      <c r="M3271" s="549">
        <v>6343.66</v>
      </c>
      <c r="N3271" s="549">
        <v>4822.8599999999997</v>
      </c>
      <c r="O3271" s="549">
        <v>892.8</v>
      </c>
      <c r="P3271" s="549">
        <v>44.51</v>
      </c>
      <c r="Q3271" s="549">
        <v>5367.6</v>
      </c>
    </row>
    <row r="3272" spans="1:17" x14ac:dyDescent="0.25">
      <c r="A3272" s="549" t="s">
        <v>1151</v>
      </c>
      <c r="B3272" s="549" t="s">
        <v>791</v>
      </c>
      <c r="C3272" s="549" t="s">
        <v>792</v>
      </c>
      <c r="D3272" s="549" t="s">
        <v>793</v>
      </c>
      <c r="E3272" s="549" t="s">
        <v>973</v>
      </c>
      <c r="F3272" s="549" t="s">
        <v>1212</v>
      </c>
      <c r="G3272" s="549">
        <v>1092</v>
      </c>
      <c r="H3272" s="549" t="s">
        <v>792</v>
      </c>
      <c r="I3272" s="549" t="s">
        <v>976</v>
      </c>
      <c r="J3272" s="549" t="s">
        <v>976</v>
      </c>
      <c r="K3272" s="549" t="s">
        <v>976</v>
      </c>
      <c r="L3272" s="549">
        <v>239044.95</v>
      </c>
      <c r="M3272" s="549">
        <v>18047.89</v>
      </c>
      <c r="N3272" s="549">
        <v>13721.18</v>
      </c>
      <c r="O3272" s="549">
        <v>1984</v>
      </c>
      <c r="P3272" s="549">
        <v>44.51</v>
      </c>
      <c r="Q3272" s="549">
        <v>15023.49</v>
      </c>
    </row>
    <row r="3273" spans="1:17" x14ac:dyDescent="0.25">
      <c r="A3273" s="549" t="s">
        <v>1151</v>
      </c>
      <c r="B3273" s="549" t="s">
        <v>791</v>
      </c>
      <c r="C3273" s="549" t="s">
        <v>792</v>
      </c>
      <c r="D3273" s="549" t="s">
        <v>793</v>
      </c>
      <c r="E3273" s="549" t="s">
        <v>973</v>
      </c>
      <c r="F3273" s="549" t="s">
        <v>1212</v>
      </c>
      <c r="G3273" s="549">
        <v>1122</v>
      </c>
      <c r="H3273" s="549" t="s">
        <v>792</v>
      </c>
      <c r="I3273" s="549" t="s">
        <v>976</v>
      </c>
      <c r="J3273" s="549" t="s">
        <v>976</v>
      </c>
      <c r="K3273" s="549" t="s">
        <v>976</v>
      </c>
      <c r="L3273" s="549">
        <v>84021.97</v>
      </c>
      <c r="M3273" s="549">
        <v>6343.66</v>
      </c>
      <c r="N3273" s="549">
        <v>4822.8599999999997</v>
      </c>
      <c r="O3273" s="549">
        <v>892.8</v>
      </c>
      <c r="P3273" s="549">
        <v>44.51</v>
      </c>
      <c r="Q3273" s="549">
        <v>5367.6</v>
      </c>
    </row>
    <row r="3274" spans="1:17" x14ac:dyDescent="0.25">
      <c r="A3274" s="549" t="s">
        <v>1151</v>
      </c>
      <c r="B3274" s="549" t="s">
        <v>791</v>
      </c>
      <c r="C3274" s="549" t="s">
        <v>792</v>
      </c>
      <c r="D3274" s="549" t="s">
        <v>793</v>
      </c>
      <c r="E3274" s="549" t="s">
        <v>973</v>
      </c>
      <c r="F3274" s="549" t="s">
        <v>1212</v>
      </c>
      <c r="G3274" s="549">
        <v>1132</v>
      </c>
      <c r="H3274" s="549" t="s">
        <v>792</v>
      </c>
      <c r="I3274" s="549" t="s">
        <v>976</v>
      </c>
      <c r="J3274" s="549" t="s">
        <v>976</v>
      </c>
      <c r="K3274" s="549" t="s">
        <v>976</v>
      </c>
      <c r="L3274" s="549">
        <v>239044.95</v>
      </c>
      <c r="M3274" s="549">
        <v>18047.89</v>
      </c>
      <c r="N3274" s="549">
        <v>13721.18</v>
      </c>
      <c r="O3274" s="549">
        <v>1984</v>
      </c>
      <c r="P3274" s="549">
        <v>44.51</v>
      </c>
      <c r="Q3274" s="549">
        <v>15023.49</v>
      </c>
    </row>
    <row r="3275" spans="1:17" x14ac:dyDescent="0.25">
      <c r="A3275" s="549" t="s">
        <v>1151</v>
      </c>
      <c r="B3275" s="549" t="s">
        <v>791</v>
      </c>
      <c r="C3275" s="549" t="s">
        <v>792</v>
      </c>
      <c r="D3275" s="549" t="s">
        <v>793</v>
      </c>
      <c r="E3275" s="549" t="s">
        <v>973</v>
      </c>
      <c r="F3275" s="549" t="s">
        <v>1212</v>
      </c>
      <c r="G3275" s="549">
        <v>1142</v>
      </c>
      <c r="H3275" s="549" t="s">
        <v>792</v>
      </c>
      <c r="I3275" s="549" t="s">
        <v>976</v>
      </c>
      <c r="J3275" s="549" t="s">
        <v>976</v>
      </c>
      <c r="K3275" s="549" t="s">
        <v>976</v>
      </c>
      <c r="L3275" s="549">
        <v>84021.97</v>
      </c>
      <c r="M3275" s="549">
        <v>6343.66</v>
      </c>
      <c r="N3275" s="549">
        <v>4822.8599999999997</v>
      </c>
      <c r="O3275" s="549">
        <v>892.8</v>
      </c>
      <c r="P3275" s="549">
        <v>44.51</v>
      </c>
      <c r="Q3275" s="549">
        <v>5367.6</v>
      </c>
    </row>
    <row r="3276" spans="1:17" x14ac:dyDescent="0.25">
      <c r="A3276" s="549" t="s">
        <v>1151</v>
      </c>
      <c r="B3276" s="549" t="s">
        <v>791</v>
      </c>
      <c r="C3276" s="549" t="s">
        <v>792</v>
      </c>
      <c r="D3276" s="549" t="s">
        <v>793</v>
      </c>
      <c r="E3276" s="549" t="s">
        <v>973</v>
      </c>
      <c r="F3276" s="549" t="s">
        <v>1212</v>
      </c>
      <c r="G3276" s="549">
        <v>1152</v>
      </c>
      <c r="H3276" s="549" t="s">
        <v>792</v>
      </c>
      <c r="I3276" s="549" t="s">
        <v>976</v>
      </c>
      <c r="J3276" s="549" t="s">
        <v>976</v>
      </c>
      <c r="K3276" s="549" t="s">
        <v>976</v>
      </c>
      <c r="L3276" s="549">
        <v>84021.97</v>
      </c>
      <c r="M3276" s="549">
        <v>6343.66</v>
      </c>
      <c r="N3276" s="549">
        <v>4822.8599999999997</v>
      </c>
      <c r="O3276" s="549">
        <v>892.8</v>
      </c>
      <c r="P3276" s="549">
        <v>44.51</v>
      </c>
      <c r="Q3276" s="549">
        <v>5367.6</v>
      </c>
    </row>
    <row r="3277" spans="1:17" x14ac:dyDescent="0.25">
      <c r="A3277" s="549" t="s">
        <v>1151</v>
      </c>
      <c r="B3277" s="549" t="s">
        <v>791</v>
      </c>
      <c r="C3277" s="549" t="s">
        <v>792</v>
      </c>
      <c r="D3277" s="549" t="s">
        <v>793</v>
      </c>
      <c r="E3277" s="549" t="s">
        <v>973</v>
      </c>
      <c r="F3277" s="549" t="s">
        <v>1212</v>
      </c>
      <c r="G3277" s="549" t="s">
        <v>1465</v>
      </c>
      <c r="H3277" s="549" t="s">
        <v>792</v>
      </c>
      <c r="I3277" s="549" t="s">
        <v>976</v>
      </c>
      <c r="J3277" s="549" t="s">
        <v>976</v>
      </c>
      <c r="K3277" s="549" t="s">
        <v>976</v>
      </c>
      <c r="L3277" s="549">
        <v>61764.51</v>
      </c>
      <c r="M3277" s="549">
        <v>4663.22</v>
      </c>
      <c r="N3277" s="549">
        <v>3545.28</v>
      </c>
      <c r="O3277" s="549">
        <v>1984</v>
      </c>
      <c r="P3277" s="549">
        <v>44.51</v>
      </c>
      <c r="Q3277" s="549">
        <v>4536.68</v>
      </c>
    </row>
    <row r="3278" spans="1:17" x14ac:dyDescent="0.25">
      <c r="A3278" s="549" t="s">
        <v>1151</v>
      </c>
      <c r="B3278" s="549" t="s">
        <v>791</v>
      </c>
      <c r="C3278" s="549" t="s">
        <v>792</v>
      </c>
      <c r="D3278" s="549" t="s">
        <v>793</v>
      </c>
      <c r="E3278" s="549" t="s">
        <v>973</v>
      </c>
      <c r="F3278" s="549" t="s">
        <v>1212</v>
      </c>
      <c r="G3278" s="549" t="s">
        <v>1296</v>
      </c>
      <c r="H3278" s="549" t="s">
        <v>792</v>
      </c>
      <c r="I3278" s="549" t="s">
        <v>976</v>
      </c>
      <c r="J3278" s="549" t="s">
        <v>976</v>
      </c>
      <c r="K3278" s="549" t="s">
        <v>976</v>
      </c>
      <c r="L3278" s="549">
        <v>32316.799999999999</v>
      </c>
      <c r="M3278" s="549">
        <v>2439.92</v>
      </c>
      <c r="N3278" s="549">
        <v>1854.98</v>
      </c>
      <c r="O3278" s="549">
        <v>0</v>
      </c>
      <c r="P3278" s="549">
        <v>44.51</v>
      </c>
      <c r="Q3278" s="549">
        <v>1911.66</v>
      </c>
    </row>
    <row r="3279" spans="1:17" x14ac:dyDescent="0.25">
      <c r="A3279" s="549" t="s">
        <v>1151</v>
      </c>
      <c r="B3279" s="549" t="s">
        <v>791</v>
      </c>
      <c r="C3279" s="549" t="s">
        <v>792</v>
      </c>
      <c r="D3279" s="549" t="s">
        <v>793</v>
      </c>
      <c r="E3279" s="549" t="s">
        <v>973</v>
      </c>
      <c r="F3279" s="549" t="s">
        <v>1212</v>
      </c>
      <c r="G3279" s="549" t="s">
        <v>1416</v>
      </c>
      <c r="H3279" s="549" t="s">
        <v>792</v>
      </c>
      <c r="I3279" s="549" t="s">
        <v>976</v>
      </c>
      <c r="J3279" s="549" t="s">
        <v>976</v>
      </c>
      <c r="K3279" s="549" t="s">
        <v>976</v>
      </c>
      <c r="L3279" s="549">
        <v>32316.799999999999</v>
      </c>
      <c r="M3279" s="549">
        <v>2439.92</v>
      </c>
      <c r="N3279" s="549">
        <v>1854.98</v>
      </c>
      <c r="O3279" s="549">
        <v>0</v>
      </c>
      <c r="P3279" s="549">
        <v>44.51</v>
      </c>
      <c r="Q3279" s="549">
        <v>1911.66</v>
      </c>
    </row>
    <row r="3280" spans="1:17" x14ac:dyDescent="0.25">
      <c r="A3280" s="549" t="s">
        <v>1151</v>
      </c>
      <c r="B3280" s="549" t="s">
        <v>791</v>
      </c>
      <c r="C3280" s="549" t="s">
        <v>792</v>
      </c>
      <c r="D3280" s="549" t="s">
        <v>793</v>
      </c>
      <c r="E3280" s="549" t="s">
        <v>977</v>
      </c>
      <c r="F3280" s="549" t="s">
        <v>1212</v>
      </c>
      <c r="G3280" s="549">
        <v>672</v>
      </c>
      <c r="H3280" s="549" t="s">
        <v>792</v>
      </c>
      <c r="I3280" s="549" t="s">
        <v>976</v>
      </c>
      <c r="J3280" s="549" t="s">
        <v>976</v>
      </c>
      <c r="K3280" s="549" t="s">
        <v>976</v>
      </c>
      <c r="L3280" s="549">
        <v>633521.49</v>
      </c>
      <c r="M3280" s="549">
        <v>47830.87</v>
      </c>
      <c r="N3280" s="549">
        <v>14000.82</v>
      </c>
      <c r="O3280" s="549">
        <v>2976</v>
      </c>
      <c r="P3280" s="549">
        <v>55.49</v>
      </c>
      <c r="Q3280" s="549">
        <v>35961.79</v>
      </c>
    </row>
    <row r="3281" spans="1:17" x14ac:dyDescent="0.25">
      <c r="A3281" s="549" t="s">
        <v>1151</v>
      </c>
      <c r="B3281" s="549" t="s">
        <v>791</v>
      </c>
      <c r="C3281" s="549" t="s">
        <v>792</v>
      </c>
      <c r="D3281" s="549" t="s">
        <v>793</v>
      </c>
      <c r="E3281" s="549" t="s">
        <v>977</v>
      </c>
      <c r="F3281" s="549" t="s">
        <v>1212</v>
      </c>
      <c r="G3281" s="549">
        <v>722</v>
      </c>
      <c r="H3281" s="549" t="s">
        <v>792</v>
      </c>
      <c r="I3281" s="549" t="s">
        <v>976</v>
      </c>
      <c r="J3281" s="549" t="s">
        <v>976</v>
      </c>
      <c r="K3281" s="549" t="s">
        <v>976</v>
      </c>
      <c r="L3281" s="549">
        <v>633521.49</v>
      </c>
      <c r="M3281" s="549">
        <v>47830.87</v>
      </c>
      <c r="N3281" s="549">
        <v>14000.82</v>
      </c>
      <c r="O3281" s="549">
        <v>2976</v>
      </c>
      <c r="P3281" s="549">
        <v>55.49</v>
      </c>
      <c r="Q3281" s="549">
        <v>35961.79</v>
      </c>
    </row>
    <row r="3282" spans="1:17" x14ac:dyDescent="0.25">
      <c r="A3282" s="549" t="s">
        <v>1151</v>
      </c>
      <c r="B3282" s="549" t="s">
        <v>791</v>
      </c>
      <c r="C3282" s="549" t="s">
        <v>792</v>
      </c>
      <c r="D3282" s="549" t="s">
        <v>793</v>
      </c>
      <c r="E3282" s="549" t="s">
        <v>977</v>
      </c>
      <c r="F3282" s="549" t="s">
        <v>1212</v>
      </c>
      <c r="G3282" s="549">
        <v>1062</v>
      </c>
      <c r="H3282" s="549" t="s">
        <v>792</v>
      </c>
      <c r="I3282" s="549" t="s">
        <v>976</v>
      </c>
      <c r="J3282" s="549" t="s">
        <v>976</v>
      </c>
      <c r="K3282" s="549" t="s">
        <v>976</v>
      </c>
      <c r="L3282" s="549">
        <v>84021.97</v>
      </c>
      <c r="M3282" s="549">
        <v>6343.66</v>
      </c>
      <c r="N3282" s="549">
        <v>1856.89</v>
      </c>
      <c r="O3282" s="549">
        <v>892.8</v>
      </c>
      <c r="P3282" s="549">
        <v>55.49</v>
      </c>
      <c r="Q3282" s="549">
        <v>5045.8999999999996</v>
      </c>
    </row>
    <row r="3283" spans="1:17" x14ac:dyDescent="0.25">
      <c r="A3283" s="549" t="s">
        <v>1151</v>
      </c>
      <c r="B3283" s="549" t="s">
        <v>791</v>
      </c>
      <c r="C3283" s="549" t="s">
        <v>792</v>
      </c>
      <c r="D3283" s="549" t="s">
        <v>793</v>
      </c>
      <c r="E3283" s="549" t="s">
        <v>977</v>
      </c>
      <c r="F3283" s="549" t="s">
        <v>1212</v>
      </c>
      <c r="G3283" s="549">
        <v>1072</v>
      </c>
      <c r="H3283" s="549" t="s">
        <v>792</v>
      </c>
      <c r="I3283" s="549" t="s">
        <v>976</v>
      </c>
      <c r="J3283" s="549" t="s">
        <v>976</v>
      </c>
      <c r="K3283" s="549" t="s">
        <v>976</v>
      </c>
      <c r="L3283" s="549">
        <v>84021.97</v>
      </c>
      <c r="M3283" s="549">
        <v>6343.66</v>
      </c>
      <c r="N3283" s="549">
        <v>1856.89</v>
      </c>
      <c r="O3283" s="549">
        <v>892.8</v>
      </c>
      <c r="P3283" s="549">
        <v>55.49</v>
      </c>
      <c r="Q3283" s="549">
        <v>5045.8999999999996</v>
      </c>
    </row>
    <row r="3284" spans="1:17" x14ac:dyDescent="0.25">
      <c r="A3284" s="549" t="s">
        <v>1151</v>
      </c>
      <c r="B3284" s="549" t="s">
        <v>791</v>
      </c>
      <c r="C3284" s="549" t="s">
        <v>792</v>
      </c>
      <c r="D3284" s="549" t="s">
        <v>793</v>
      </c>
      <c r="E3284" s="549" t="s">
        <v>977</v>
      </c>
      <c r="F3284" s="549" t="s">
        <v>1212</v>
      </c>
      <c r="G3284" s="549">
        <v>1082</v>
      </c>
      <c r="H3284" s="549" t="s">
        <v>792</v>
      </c>
      <c r="I3284" s="549" t="s">
        <v>976</v>
      </c>
      <c r="J3284" s="549" t="s">
        <v>976</v>
      </c>
      <c r="K3284" s="549" t="s">
        <v>976</v>
      </c>
      <c r="L3284" s="549">
        <v>84021.97</v>
      </c>
      <c r="M3284" s="549">
        <v>6343.66</v>
      </c>
      <c r="N3284" s="549">
        <v>1856.89</v>
      </c>
      <c r="O3284" s="549">
        <v>892.8</v>
      </c>
      <c r="P3284" s="549">
        <v>55.49</v>
      </c>
      <c r="Q3284" s="549">
        <v>5045.8999999999996</v>
      </c>
    </row>
    <row r="3285" spans="1:17" x14ac:dyDescent="0.25">
      <c r="A3285" s="549" t="s">
        <v>1151</v>
      </c>
      <c r="B3285" s="549" t="s">
        <v>791</v>
      </c>
      <c r="C3285" s="549" t="s">
        <v>792</v>
      </c>
      <c r="D3285" s="549" t="s">
        <v>793</v>
      </c>
      <c r="E3285" s="549" t="s">
        <v>977</v>
      </c>
      <c r="F3285" s="549" t="s">
        <v>1212</v>
      </c>
      <c r="G3285" s="549">
        <v>1092</v>
      </c>
      <c r="H3285" s="549" t="s">
        <v>792</v>
      </c>
      <c r="I3285" s="549" t="s">
        <v>976</v>
      </c>
      <c r="J3285" s="549" t="s">
        <v>976</v>
      </c>
      <c r="K3285" s="549" t="s">
        <v>976</v>
      </c>
      <c r="L3285" s="549">
        <v>239044.95</v>
      </c>
      <c r="M3285" s="549">
        <v>18047.89</v>
      </c>
      <c r="N3285" s="549">
        <v>5282.89</v>
      </c>
      <c r="O3285" s="549">
        <v>1984</v>
      </c>
      <c r="P3285" s="549">
        <v>55.49</v>
      </c>
      <c r="Q3285" s="549">
        <v>14047.17</v>
      </c>
    </row>
    <row r="3286" spans="1:17" x14ac:dyDescent="0.25">
      <c r="A3286" s="549" t="s">
        <v>1151</v>
      </c>
      <c r="B3286" s="549" t="s">
        <v>791</v>
      </c>
      <c r="C3286" s="549" t="s">
        <v>792</v>
      </c>
      <c r="D3286" s="549" t="s">
        <v>793</v>
      </c>
      <c r="E3286" s="549" t="s">
        <v>977</v>
      </c>
      <c r="F3286" s="549" t="s">
        <v>1212</v>
      </c>
      <c r="G3286" s="549">
        <v>1122</v>
      </c>
      <c r="H3286" s="549" t="s">
        <v>792</v>
      </c>
      <c r="I3286" s="549" t="s">
        <v>976</v>
      </c>
      <c r="J3286" s="549" t="s">
        <v>976</v>
      </c>
      <c r="K3286" s="549" t="s">
        <v>976</v>
      </c>
      <c r="L3286" s="549">
        <v>84021.97</v>
      </c>
      <c r="M3286" s="549">
        <v>6343.66</v>
      </c>
      <c r="N3286" s="549">
        <v>1856.89</v>
      </c>
      <c r="O3286" s="549">
        <v>892.8</v>
      </c>
      <c r="P3286" s="549">
        <v>55.49</v>
      </c>
      <c r="Q3286" s="549">
        <v>5045.8999999999996</v>
      </c>
    </row>
    <row r="3287" spans="1:17" x14ac:dyDescent="0.25">
      <c r="A3287" s="549" t="s">
        <v>1151</v>
      </c>
      <c r="B3287" s="549" t="s">
        <v>791</v>
      </c>
      <c r="C3287" s="549" t="s">
        <v>792</v>
      </c>
      <c r="D3287" s="549" t="s">
        <v>793</v>
      </c>
      <c r="E3287" s="549" t="s">
        <v>977</v>
      </c>
      <c r="F3287" s="549" t="s">
        <v>1212</v>
      </c>
      <c r="G3287" s="549">
        <v>1132</v>
      </c>
      <c r="H3287" s="549" t="s">
        <v>792</v>
      </c>
      <c r="I3287" s="549" t="s">
        <v>976</v>
      </c>
      <c r="J3287" s="549" t="s">
        <v>976</v>
      </c>
      <c r="K3287" s="549" t="s">
        <v>976</v>
      </c>
      <c r="L3287" s="549">
        <v>239044.95</v>
      </c>
      <c r="M3287" s="549">
        <v>18047.89</v>
      </c>
      <c r="N3287" s="549">
        <v>5282.89</v>
      </c>
      <c r="O3287" s="549">
        <v>1984</v>
      </c>
      <c r="P3287" s="549">
        <v>55.49</v>
      </c>
      <c r="Q3287" s="549">
        <v>14047.17</v>
      </c>
    </row>
    <row r="3288" spans="1:17" x14ac:dyDescent="0.25">
      <c r="A3288" s="549" t="s">
        <v>1151</v>
      </c>
      <c r="B3288" s="549" t="s">
        <v>791</v>
      </c>
      <c r="C3288" s="549" t="s">
        <v>792</v>
      </c>
      <c r="D3288" s="549" t="s">
        <v>793</v>
      </c>
      <c r="E3288" s="549" t="s">
        <v>977</v>
      </c>
      <c r="F3288" s="549" t="s">
        <v>1212</v>
      </c>
      <c r="G3288" s="549">
        <v>1142</v>
      </c>
      <c r="H3288" s="549" t="s">
        <v>792</v>
      </c>
      <c r="I3288" s="549" t="s">
        <v>976</v>
      </c>
      <c r="J3288" s="549" t="s">
        <v>976</v>
      </c>
      <c r="K3288" s="549" t="s">
        <v>976</v>
      </c>
      <c r="L3288" s="549">
        <v>84021.97</v>
      </c>
      <c r="M3288" s="549">
        <v>6343.66</v>
      </c>
      <c r="N3288" s="549">
        <v>1856.89</v>
      </c>
      <c r="O3288" s="549">
        <v>892.8</v>
      </c>
      <c r="P3288" s="549">
        <v>55.49</v>
      </c>
      <c r="Q3288" s="549">
        <v>5045.8999999999996</v>
      </c>
    </row>
    <row r="3289" spans="1:17" x14ac:dyDescent="0.25">
      <c r="A3289" s="549" t="s">
        <v>1151</v>
      </c>
      <c r="B3289" s="549" t="s">
        <v>791</v>
      </c>
      <c r="C3289" s="549" t="s">
        <v>792</v>
      </c>
      <c r="D3289" s="549" t="s">
        <v>793</v>
      </c>
      <c r="E3289" s="549" t="s">
        <v>977</v>
      </c>
      <c r="F3289" s="549" t="s">
        <v>1212</v>
      </c>
      <c r="G3289" s="549">
        <v>1152</v>
      </c>
      <c r="H3289" s="549" t="s">
        <v>792</v>
      </c>
      <c r="I3289" s="549" t="s">
        <v>976</v>
      </c>
      <c r="J3289" s="549" t="s">
        <v>976</v>
      </c>
      <c r="K3289" s="549" t="s">
        <v>976</v>
      </c>
      <c r="L3289" s="549">
        <v>84021.97</v>
      </c>
      <c r="M3289" s="549">
        <v>6343.66</v>
      </c>
      <c r="N3289" s="549">
        <v>1856.89</v>
      </c>
      <c r="O3289" s="549">
        <v>892.8</v>
      </c>
      <c r="P3289" s="549">
        <v>55.49</v>
      </c>
      <c r="Q3289" s="549">
        <v>5045.8999999999996</v>
      </c>
    </row>
    <row r="3290" spans="1:17" x14ac:dyDescent="0.25">
      <c r="A3290" s="549" t="s">
        <v>1151</v>
      </c>
      <c r="B3290" s="549" t="s">
        <v>791</v>
      </c>
      <c r="C3290" s="549" t="s">
        <v>792</v>
      </c>
      <c r="D3290" s="549" t="s">
        <v>793</v>
      </c>
      <c r="E3290" s="549" t="s">
        <v>977</v>
      </c>
      <c r="F3290" s="549" t="s">
        <v>1212</v>
      </c>
      <c r="G3290" s="549" t="s">
        <v>1465</v>
      </c>
      <c r="H3290" s="549" t="s">
        <v>792</v>
      </c>
      <c r="I3290" s="549" t="s">
        <v>976</v>
      </c>
      <c r="J3290" s="549" t="s">
        <v>976</v>
      </c>
      <c r="K3290" s="549" t="s">
        <v>976</v>
      </c>
      <c r="L3290" s="549">
        <v>61764.51</v>
      </c>
      <c r="M3290" s="549">
        <v>4663.22</v>
      </c>
      <c r="N3290" s="549">
        <v>1365</v>
      </c>
      <c r="O3290" s="549">
        <v>1984</v>
      </c>
      <c r="P3290" s="549">
        <v>55.49</v>
      </c>
      <c r="Q3290" s="549">
        <v>4445.9799999999996</v>
      </c>
    </row>
    <row r="3291" spans="1:17" x14ac:dyDescent="0.25">
      <c r="A3291" s="549" t="s">
        <v>1151</v>
      </c>
      <c r="B3291" s="549" t="s">
        <v>791</v>
      </c>
      <c r="C3291" s="549" t="s">
        <v>792</v>
      </c>
      <c r="D3291" s="549" t="s">
        <v>793</v>
      </c>
      <c r="E3291" s="549" t="s">
        <v>977</v>
      </c>
      <c r="F3291" s="549" t="s">
        <v>1212</v>
      </c>
      <c r="G3291" s="549" t="s">
        <v>1296</v>
      </c>
      <c r="H3291" s="549" t="s">
        <v>792</v>
      </c>
      <c r="I3291" s="549" t="s">
        <v>976</v>
      </c>
      <c r="J3291" s="549" t="s">
        <v>976</v>
      </c>
      <c r="K3291" s="549" t="s">
        <v>976</v>
      </c>
      <c r="L3291" s="549">
        <v>32316.799999999999</v>
      </c>
      <c r="M3291" s="549">
        <v>2439.92</v>
      </c>
      <c r="N3291" s="549">
        <v>714.2</v>
      </c>
      <c r="O3291" s="549">
        <v>0</v>
      </c>
      <c r="P3291" s="549">
        <v>55.49</v>
      </c>
      <c r="Q3291" s="549">
        <v>1750.22</v>
      </c>
    </row>
    <row r="3292" spans="1:17" x14ac:dyDescent="0.25">
      <c r="A3292" s="549" t="s">
        <v>1151</v>
      </c>
      <c r="B3292" s="549" t="s">
        <v>791</v>
      </c>
      <c r="C3292" s="549" t="s">
        <v>792</v>
      </c>
      <c r="D3292" s="549" t="s">
        <v>793</v>
      </c>
      <c r="E3292" s="549" t="s">
        <v>977</v>
      </c>
      <c r="F3292" s="549" t="s">
        <v>1212</v>
      </c>
      <c r="G3292" s="549" t="s">
        <v>1416</v>
      </c>
      <c r="H3292" s="549" t="s">
        <v>792</v>
      </c>
      <c r="I3292" s="549" t="s">
        <v>976</v>
      </c>
      <c r="J3292" s="549" t="s">
        <v>976</v>
      </c>
      <c r="K3292" s="549" t="s">
        <v>976</v>
      </c>
      <c r="L3292" s="549">
        <v>32316.799999999999</v>
      </c>
      <c r="M3292" s="549">
        <v>2439.92</v>
      </c>
      <c r="N3292" s="549">
        <v>714.2</v>
      </c>
      <c r="O3292" s="549">
        <v>0</v>
      </c>
      <c r="P3292" s="549">
        <v>55.49</v>
      </c>
      <c r="Q3292" s="549">
        <v>1750.22</v>
      </c>
    </row>
    <row r="3293" spans="1:17" x14ac:dyDescent="0.25">
      <c r="A3293" s="549" t="s">
        <v>1094</v>
      </c>
      <c r="B3293" s="549" t="s">
        <v>580</v>
      </c>
      <c r="C3293" s="549" t="s">
        <v>709</v>
      </c>
      <c r="D3293" s="549" t="s">
        <v>710</v>
      </c>
      <c r="E3293" s="549" t="s">
        <v>977</v>
      </c>
      <c r="F3293" s="549" t="s">
        <v>1212</v>
      </c>
      <c r="G3293" s="549">
        <v>312</v>
      </c>
      <c r="H3293" s="549" t="s">
        <v>709</v>
      </c>
      <c r="I3293" s="549" t="s">
        <v>976</v>
      </c>
      <c r="J3293" s="549" t="s">
        <v>976</v>
      </c>
      <c r="K3293" s="549" t="s">
        <v>976</v>
      </c>
      <c r="L3293" s="549">
        <v>128589.87</v>
      </c>
      <c r="M3293" s="549">
        <v>9708.5400000000009</v>
      </c>
      <c r="N3293" s="549">
        <v>2841.84</v>
      </c>
      <c r="O3293" s="549">
        <v>1984</v>
      </c>
      <c r="P3293" s="549">
        <v>100</v>
      </c>
      <c r="Q3293" s="549">
        <v>14534.38</v>
      </c>
    </row>
    <row r="3294" spans="1:17" x14ac:dyDescent="0.25">
      <c r="A3294" s="549" t="s">
        <v>1094</v>
      </c>
      <c r="B3294" s="549" t="s">
        <v>580</v>
      </c>
      <c r="C3294" s="549" t="s">
        <v>709</v>
      </c>
      <c r="D3294" s="549" t="s">
        <v>710</v>
      </c>
      <c r="E3294" s="549" t="s">
        <v>977</v>
      </c>
      <c r="F3294" s="549" t="s">
        <v>1212</v>
      </c>
      <c r="G3294" s="549">
        <v>252</v>
      </c>
      <c r="H3294" s="549" t="s">
        <v>709</v>
      </c>
      <c r="I3294" s="549" t="s">
        <v>976</v>
      </c>
      <c r="J3294" s="549" t="s">
        <v>976</v>
      </c>
      <c r="K3294" s="549" t="s">
        <v>976</v>
      </c>
      <c r="L3294" s="549">
        <v>128589.87</v>
      </c>
      <c r="M3294" s="549">
        <v>9708.5400000000009</v>
      </c>
      <c r="N3294" s="549">
        <v>2841.84</v>
      </c>
      <c r="O3294" s="549">
        <v>1984</v>
      </c>
      <c r="P3294" s="549">
        <v>100</v>
      </c>
      <c r="Q3294" s="549">
        <v>14534.38</v>
      </c>
    </row>
    <row r="3295" spans="1:17" x14ac:dyDescent="0.25">
      <c r="A3295" s="549" t="s">
        <v>1094</v>
      </c>
      <c r="B3295" s="549" t="s">
        <v>580</v>
      </c>
      <c r="C3295" s="549" t="s">
        <v>709</v>
      </c>
      <c r="D3295" s="549" t="s">
        <v>710</v>
      </c>
      <c r="E3295" s="549" t="s">
        <v>977</v>
      </c>
      <c r="F3295" s="549" t="s">
        <v>1212</v>
      </c>
      <c r="G3295" s="549">
        <v>82</v>
      </c>
      <c r="H3295" s="549" t="s">
        <v>709</v>
      </c>
      <c r="I3295" s="549" t="s">
        <v>976</v>
      </c>
      <c r="J3295" s="549" t="s">
        <v>976</v>
      </c>
      <c r="K3295" s="549" t="s">
        <v>976</v>
      </c>
      <c r="L3295" s="549">
        <v>344086.71</v>
      </c>
      <c r="M3295" s="549">
        <v>25978.55</v>
      </c>
      <c r="N3295" s="549">
        <v>7604.32</v>
      </c>
      <c r="O3295" s="549">
        <v>1984</v>
      </c>
      <c r="P3295" s="549">
        <v>100</v>
      </c>
      <c r="Q3295" s="549">
        <v>35566.870000000003</v>
      </c>
    </row>
    <row r="3296" spans="1:17" x14ac:dyDescent="0.25">
      <c r="A3296" s="549" t="s">
        <v>1094</v>
      </c>
      <c r="B3296" s="549" t="s">
        <v>580</v>
      </c>
      <c r="C3296" s="549" t="s">
        <v>709</v>
      </c>
      <c r="D3296" s="549" t="s">
        <v>710</v>
      </c>
      <c r="E3296" s="549" t="s">
        <v>977</v>
      </c>
      <c r="F3296" s="549" t="s">
        <v>1212</v>
      </c>
      <c r="G3296" s="549">
        <v>62</v>
      </c>
      <c r="H3296" s="549" t="s">
        <v>709</v>
      </c>
      <c r="I3296" s="549" t="s">
        <v>976</v>
      </c>
      <c r="J3296" s="549" t="s">
        <v>976</v>
      </c>
      <c r="K3296" s="549" t="s">
        <v>976</v>
      </c>
      <c r="L3296" s="549">
        <v>344086.71</v>
      </c>
      <c r="M3296" s="549">
        <v>25978.55</v>
      </c>
      <c r="N3296" s="549">
        <v>7604.32</v>
      </c>
      <c r="O3296" s="549">
        <v>1984</v>
      </c>
      <c r="P3296" s="549">
        <v>100</v>
      </c>
      <c r="Q3296" s="549">
        <v>35566.870000000003</v>
      </c>
    </row>
    <row r="3297" spans="1:17" x14ac:dyDescent="0.25">
      <c r="A3297" s="549" t="s">
        <v>1094</v>
      </c>
      <c r="B3297" s="549" t="s">
        <v>580</v>
      </c>
      <c r="C3297" s="549" t="s">
        <v>707</v>
      </c>
      <c r="D3297" s="549" t="s">
        <v>708</v>
      </c>
      <c r="E3297" s="549" t="s">
        <v>977</v>
      </c>
      <c r="F3297" s="549" t="s">
        <v>1212</v>
      </c>
      <c r="G3297" s="549" t="s">
        <v>1386</v>
      </c>
      <c r="H3297" s="549" t="s">
        <v>707</v>
      </c>
      <c r="I3297" s="549" t="s">
        <v>1096</v>
      </c>
      <c r="J3297" s="549" t="s">
        <v>1096</v>
      </c>
      <c r="K3297" s="549" t="s">
        <v>1096</v>
      </c>
      <c r="L3297" s="549">
        <v>0</v>
      </c>
      <c r="M3297" s="549">
        <v>0</v>
      </c>
      <c r="N3297" s="549">
        <v>0</v>
      </c>
      <c r="O3297" s="549">
        <v>0</v>
      </c>
      <c r="P3297" s="549">
        <v>100</v>
      </c>
      <c r="Q3297" s="549">
        <v>0</v>
      </c>
    </row>
    <row r="3298" spans="1:17" x14ac:dyDescent="0.25">
      <c r="A3298" s="549" t="s">
        <v>1094</v>
      </c>
      <c r="B3298" s="549" t="s">
        <v>580</v>
      </c>
      <c r="C3298" s="549" t="s">
        <v>707</v>
      </c>
      <c r="D3298" s="549" t="s">
        <v>708</v>
      </c>
      <c r="E3298" s="549" t="s">
        <v>977</v>
      </c>
      <c r="F3298" s="549" t="s">
        <v>1212</v>
      </c>
      <c r="G3298" s="549">
        <v>142</v>
      </c>
      <c r="H3298" s="549" t="s">
        <v>707</v>
      </c>
      <c r="I3298" s="549" t="s">
        <v>1096</v>
      </c>
      <c r="J3298" s="549" t="s">
        <v>1096</v>
      </c>
      <c r="K3298" s="549" t="s">
        <v>1096</v>
      </c>
      <c r="L3298" s="549">
        <v>0</v>
      </c>
      <c r="M3298" s="549">
        <v>0</v>
      </c>
      <c r="N3298" s="549">
        <v>0</v>
      </c>
      <c r="O3298" s="549">
        <v>0</v>
      </c>
      <c r="P3298" s="549">
        <v>100</v>
      </c>
      <c r="Q3298" s="549">
        <v>0</v>
      </c>
    </row>
    <row r="3299" spans="1:17" x14ac:dyDescent="0.25">
      <c r="A3299" s="549" t="s">
        <v>1116</v>
      </c>
      <c r="B3299" s="549" t="s">
        <v>589</v>
      </c>
      <c r="C3299" s="549" t="s">
        <v>851</v>
      </c>
      <c r="D3299" s="549" t="s">
        <v>852</v>
      </c>
      <c r="E3299" s="549" t="s">
        <v>977</v>
      </c>
      <c r="F3299" s="549" t="s">
        <v>1212</v>
      </c>
      <c r="G3299" s="549" t="s">
        <v>1238</v>
      </c>
      <c r="H3299" s="549" t="s">
        <v>851</v>
      </c>
      <c r="I3299" s="549" t="s">
        <v>976</v>
      </c>
      <c r="J3299" s="549" t="s">
        <v>976</v>
      </c>
      <c r="K3299" s="549" t="s">
        <v>976</v>
      </c>
      <c r="L3299" s="549">
        <v>31102.38</v>
      </c>
      <c r="M3299" s="549">
        <v>2348.23</v>
      </c>
      <c r="N3299" s="549">
        <v>687.36</v>
      </c>
      <c r="O3299" s="549">
        <v>0</v>
      </c>
      <c r="P3299" s="549">
        <v>100</v>
      </c>
      <c r="Q3299" s="549">
        <v>3035.59</v>
      </c>
    </row>
    <row r="3300" spans="1:17" x14ac:dyDescent="0.25">
      <c r="A3300" s="549" t="s">
        <v>1116</v>
      </c>
      <c r="B3300" s="549" t="s">
        <v>589</v>
      </c>
      <c r="C3300" s="549" t="s">
        <v>851</v>
      </c>
      <c r="D3300" s="549" t="s">
        <v>852</v>
      </c>
      <c r="E3300" s="549" t="s">
        <v>977</v>
      </c>
      <c r="F3300" s="549" t="s">
        <v>1212</v>
      </c>
      <c r="G3300" s="549" t="s">
        <v>1309</v>
      </c>
      <c r="H3300" s="549" t="s">
        <v>851</v>
      </c>
      <c r="I3300" s="549" t="s">
        <v>976</v>
      </c>
      <c r="J3300" s="549" t="s">
        <v>976</v>
      </c>
      <c r="K3300" s="549" t="s">
        <v>976</v>
      </c>
      <c r="L3300" s="549">
        <v>31102.38</v>
      </c>
      <c r="M3300" s="549">
        <v>2348.23</v>
      </c>
      <c r="N3300" s="549">
        <v>687.36</v>
      </c>
      <c r="O3300" s="549">
        <v>0</v>
      </c>
      <c r="P3300" s="549">
        <v>100</v>
      </c>
      <c r="Q3300" s="549">
        <v>3035.59</v>
      </c>
    </row>
    <row r="3301" spans="1:17" x14ac:dyDescent="0.25">
      <c r="A3301" s="549" t="s">
        <v>1116</v>
      </c>
      <c r="B3301" s="549" t="s">
        <v>589</v>
      </c>
      <c r="C3301" s="549" t="s">
        <v>851</v>
      </c>
      <c r="D3301" s="549" t="s">
        <v>852</v>
      </c>
      <c r="E3301" s="549" t="s">
        <v>977</v>
      </c>
      <c r="F3301" s="549" t="s">
        <v>1212</v>
      </c>
      <c r="G3301" s="549" t="s">
        <v>1217</v>
      </c>
      <c r="H3301" s="549" t="s">
        <v>851</v>
      </c>
      <c r="I3301" s="549" t="s">
        <v>976</v>
      </c>
      <c r="J3301" s="549" t="s">
        <v>976</v>
      </c>
      <c r="K3301" s="549" t="s">
        <v>976</v>
      </c>
      <c r="L3301" s="549">
        <v>28843.58</v>
      </c>
      <c r="M3301" s="549">
        <v>2177.69</v>
      </c>
      <c r="N3301" s="549">
        <v>637.44000000000005</v>
      </c>
      <c r="O3301" s="549">
        <v>0</v>
      </c>
      <c r="P3301" s="549">
        <v>100</v>
      </c>
      <c r="Q3301" s="549">
        <v>2815.13</v>
      </c>
    </row>
    <row r="3302" spans="1:17" x14ac:dyDescent="0.25">
      <c r="A3302" s="549" t="s">
        <v>1116</v>
      </c>
      <c r="B3302" s="549" t="s">
        <v>589</v>
      </c>
      <c r="C3302" s="549" t="s">
        <v>851</v>
      </c>
      <c r="D3302" s="549" t="s">
        <v>852</v>
      </c>
      <c r="E3302" s="549" t="s">
        <v>977</v>
      </c>
      <c r="F3302" s="549" t="s">
        <v>1212</v>
      </c>
      <c r="G3302" s="549" t="s">
        <v>1216</v>
      </c>
      <c r="H3302" s="549" t="s">
        <v>851</v>
      </c>
      <c r="I3302" s="549" t="s">
        <v>976</v>
      </c>
      <c r="J3302" s="549" t="s">
        <v>976</v>
      </c>
      <c r="K3302" s="549" t="s">
        <v>976</v>
      </c>
      <c r="L3302" s="549">
        <v>28843.58</v>
      </c>
      <c r="M3302" s="549">
        <v>2177.69</v>
      </c>
      <c r="N3302" s="549">
        <v>637.44000000000005</v>
      </c>
      <c r="O3302" s="549">
        <v>0</v>
      </c>
      <c r="P3302" s="549">
        <v>100</v>
      </c>
      <c r="Q3302" s="549">
        <v>2815.13</v>
      </c>
    </row>
    <row r="3303" spans="1:17" x14ac:dyDescent="0.25">
      <c r="A3303" s="549" t="s">
        <v>1116</v>
      </c>
      <c r="B3303" s="549" t="s">
        <v>589</v>
      </c>
      <c r="C3303" s="549" t="s">
        <v>851</v>
      </c>
      <c r="D3303" s="549" t="s">
        <v>852</v>
      </c>
      <c r="E3303" s="549" t="s">
        <v>977</v>
      </c>
      <c r="F3303" s="549" t="s">
        <v>1212</v>
      </c>
      <c r="G3303" s="549" t="s">
        <v>1235</v>
      </c>
      <c r="H3303" s="549" t="s">
        <v>851</v>
      </c>
      <c r="I3303" s="549" t="s">
        <v>976</v>
      </c>
      <c r="J3303" s="549" t="s">
        <v>976</v>
      </c>
      <c r="K3303" s="549" t="s">
        <v>976</v>
      </c>
      <c r="L3303" s="549">
        <v>271431.39</v>
      </c>
      <c r="M3303" s="549">
        <v>20493.07</v>
      </c>
      <c r="N3303" s="549">
        <v>5998.63</v>
      </c>
      <c r="O3303" s="549">
        <v>992</v>
      </c>
      <c r="P3303" s="549">
        <v>100</v>
      </c>
      <c r="Q3303" s="549">
        <v>27483.7</v>
      </c>
    </row>
    <row r="3304" spans="1:17" x14ac:dyDescent="0.25">
      <c r="A3304" s="549" t="s">
        <v>1116</v>
      </c>
      <c r="B3304" s="549" t="s">
        <v>589</v>
      </c>
      <c r="C3304" s="549" t="s">
        <v>851</v>
      </c>
      <c r="D3304" s="549" t="s">
        <v>852</v>
      </c>
      <c r="E3304" s="549" t="s">
        <v>977</v>
      </c>
      <c r="F3304" s="549" t="s">
        <v>1212</v>
      </c>
      <c r="G3304" s="549" t="s">
        <v>1466</v>
      </c>
      <c r="H3304" s="549" t="s">
        <v>851</v>
      </c>
      <c r="I3304" s="549" t="s">
        <v>976</v>
      </c>
      <c r="J3304" s="549" t="s">
        <v>976</v>
      </c>
      <c r="K3304" s="549" t="s">
        <v>976</v>
      </c>
      <c r="L3304" s="549">
        <v>0.02</v>
      </c>
      <c r="M3304" s="549">
        <v>0</v>
      </c>
      <c r="N3304" s="549">
        <v>0</v>
      </c>
      <c r="O3304" s="549">
        <v>1984</v>
      </c>
      <c r="P3304" s="549">
        <v>100</v>
      </c>
      <c r="Q3304" s="549">
        <v>1984</v>
      </c>
    </row>
    <row r="3305" spans="1:17" x14ac:dyDescent="0.25">
      <c r="A3305" s="549" t="s">
        <v>1116</v>
      </c>
      <c r="B3305" s="549" t="s">
        <v>589</v>
      </c>
      <c r="C3305" s="549" t="s">
        <v>851</v>
      </c>
      <c r="D3305" s="549" t="s">
        <v>852</v>
      </c>
      <c r="E3305" s="549" t="s">
        <v>977</v>
      </c>
      <c r="F3305" s="549" t="s">
        <v>1212</v>
      </c>
      <c r="G3305" s="549">
        <v>2822</v>
      </c>
      <c r="H3305" s="549" t="s">
        <v>851</v>
      </c>
      <c r="I3305" s="549" t="s">
        <v>976</v>
      </c>
      <c r="J3305" s="549" t="s">
        <v>976</v>
      </c>
      <c r="K3305" s="549" t="s">
        <v>976</v>
      </c>
      <c r="L3305" s="549">
        <v>73527.31</v>
      </c>
      <c r="M3305" s="549">
        <v>5551.31</v>
      </c>
      <c r="N3305" s="549">
        <v>1624.95</v>
      </c>
      <c r="O3305" s="549">
        <v>992</v>
      </c>
      <c r="P3305" s="549">
        <v>100</v>
      </c>
      <c r="Q3305" s="549">
        <v>8168.26</v>
      </c>
    </row>
    <row r="3306" spans="1:17" x14ac:dyDescent="0.25">
      <c r="A3306" s="549" t="s">
        <v>1116</v>
      </c>
      <c r="B3306" s="549" t="s">
        <v>589</v>
      </c>
      <c r="C3306" s="549" t="s">
        <v>851</v>
      </c>
      <c r="D3306" s="549" t="s">
        <v>852</v>
      </c>
      <c r="E3306" s="549" t="s">
        <v>977</v>
      </c>
      <c r="F3306" s="549" t="s">
        <v>1212</v>
      </c>
      <c r="G3306" s="549">
        <v>2812</v>
      </c>
      <c r="H3306" s="549" t="s">
        <v>851</v>
      </c>
      <c r="I3306" s="549" t="s">
        <v>976</v>
      </c>
      <c r="J3306" s="549" t="s">
        <v>976</v>
      </c>
      <c r="K3306" s="549" t="s">
        <v>976</v>
      </c>
      <c r="L3306" s="549">
        <v>77761.23</v>
      </c>
      <c r="M3306" s="549">
        <v>5870.97</v>
      </c>
      <c r="N3306" s="549">
        <v>1718.52</v>
      </c>
      <c r="O3306" s="549">
        <v>992</v>
      </c>
      <c r="P3306" s="549">
        <v>100</v>
      </c>
      <c r="Q3306" s="549">
        <v>8581.49</v>
      </c>
    </row>
    <row r="3307" spans="1:17" x14ac:dyDescent="0.25">
      <c r="A3307" s="549" t="s">
        <v>1116</v>
      </c>
      <c r="B3307" s="549" t="s">
        <v>589</v>
      </c>
      <c r="C3307" s="549" t="s">
        <v>851</v>
      </c>
      <c r="D3307" s="549" t="s">
        <v>852</v>
      </c>
      <c r="E3307" s="549" t="s">
        <v>977</v>
      </c>
      <c r="F3307" s="549" t="s">
        <v>1212</v>
      </c>
      <c r="G3307" s="549">
        <v>2802</v>
      </c>
      <c r="H3307" s="549" t="s">
        <v>851</v>
      </c>
      <c r="I3307" s="549" t="s">
        <v>976</v>
      </c>
      <c r="J3307" s="549" t="s">
        <v>976</v>
      </c>
      <c r="K3307" s="549" t="s">
        <v>976</v>
      </c>
      <c r="L3307" s="549">
        <v>73527.31</v>
      </c>
      <c r="M3307" s="549">
        <v>5551.31</v>
      </c>
      <c r="N3307" s="549">
        <v>1624.95</v>
      </c>
      <c r="O3307" s="549">
        <v>992</v>
      </c>
      <c r="P3307" s="549">
        <v>100</v>
      </c>
      <c r="Q3307" s="549">
        <v>8168.26</v>
      </c>
    </row>
    <row r="3308" spans="1:17" x14ac:dyDescent="0.25">
      <c r="A3308" s="549" t="s">
        <v>1116</v>
      </c>
      <c r="B3308" s="549" t="s">
        <v>589</v>
      </c>
      <c r="C3308" s="549" t="s">
        <v>851</v>
      </c>
      <c r="D3308" s="549" t="s">
        <v>852</v>
      </c>
      <c r="E3308" s="549" t="s">
        <v>977</v>
      </c>
      <c r="F3308" s="549" t="s">
        <v>1212</v>
      </c>
      <c r="G3308" s="549">
        <v>2798</v>
      </c>
      <c r="H3308" s="549" t="s">
        <v>851</v>
      </c>
      <c r="I3308" s="549" t="s">
        <v>976</v>
      </c>
      <c r="J3308" s="549" t="s">
        <v>976</v>
      </c>
      <c r="K3308" s="549" t="s">
        <v>976</v>
      </c>
      <c r="L3308" s="549">
        <v>75220.88</v>
      </c>
      <c r="M3308" s="549">
        <v>5679.18</v>
      </c>
      <c r="N3308" s="549">
        <v>1662.38</v>
      </c>
      <c r="O3308" s="549">
        <v>992</v>
      </c>
      <c r="P3308" s="549">
        <v>100</v>
      </c>
      <c r="Q3308" s="549">
        <v>8333.56</v>
      </c>
    </row>
    <row r="3309" spans="1:17" x14ac:dyDescent="0.25">
      <c r="A3309" s="549" t="s">
        <v>1116</v>
      </c>
      <c r="B3309" s="549" t="s">
        <v>589</v>
      </c>
      <c r="C3309" s="549" t="s">
        <v>851</v>
      </c>
      <c r="D3309" s="549" t="s">
        <v>852</v>
      </c>
      <c r="E3309" s="549" t="s">
        <v>977</v>
      </c>
      <c r="F3309" s="549" t="s">
        <v>1212</v>
      </c>
      <c r="G3309" s="549">
        <v>2782</v>
      </c>
      <c r="H3309" s="549" t="s">
        <v>851</v>
      </c>
      <c r="I3309" s="549" t="s">
        <v>976</v>
      </c>
      <c r="J3309" s="549" t="s">
        <v>976</v>
      </c>
      <c r="K3309" s="549" t="s">
        <v>976</v>
      </c>
      <c r="L3309" s="549">
        <v>73527.31</v>
      </c>
      <c r="M3309" s="549">
        <v>5551.31</v>
      </c>
      <c r="N3309" s="549">
        <v>1624.95</v>
      </c>
      <c r="O3309" s="549">
        <v>992</v>
      </c>
      <c r="P3309" s="549">
        <v>100</v>
      </c>
      <c r="Q3309" s="549">
        <v>8168.26</v>
      </c>
    </row>
    <row r="3310" spans="1:17" x14ac:dyDescent="0.25">
      <c r="A3310" s="549" t="s">
        <v>1116</v>
      </c>
      <c r="B3310" s="549" t="s">
        <v>589</v>
      </c>
      <c r="C3310" s="549" t="s">
        <v>851</v>
      </c>
      <c r="D3310" s="549" t="s">
        <v>852</v>
      </c>
      <c r="E3310" s="549" t="s">
        <v>977</v>
      </c>
      <c r="F3310" s="549" t="s">
        <v>1212</v>
      </c>
      <c r="G3310" s="549">
        <v>2772</v>
      </c>
      <c r="H3310" s="549" t="s">
        <v>851</v>
      </c>
      <c r="I3310" s="549" t="s">
        <v>976</v>
      </c>
      <c r="J3310" s="549" t="s">
        <v>976</v>
      </c>
      <c r="K3310" s="549" t="s">
        <v>976</v>
      </c>
      <c r="L3310" s="549">
        <v>77761.23</v>
      </c>
      <c r="M3310" s="549">
        <v>5870.97</v>
      </c>
      <c r="N3310" s="549">
        <v>1718.52</v>
      </c>
      <c r="O3310" s="549">
        <v>992</v>
      </c>
      <c r="P3310" s="549">
        <v>100</v>
      </c>
      <c r="Q3310" s="549">
        <v>8581.49</v>
      </c>
    </row>
    <row r="3311" spans="1:17" x14ac:dyDescent="0.25">
      <c r="A3311" s="549" t="s">
        <v>1116</v>
      </c>
      <c r="B3311" s="549" t="s">
        <v>589</v>
      </c>
      <c r="C3311" s="549" t="s">
        <v>851</v>
      </c>
      <c r="D3311" s="549" t="s">
        <v>852</v>
      </c>
      <c r="E3311" s="549" t="s">
        <v>977</v>
      </c>
      <c r="F3311" s="549" t="s">
        <v>1212</v>
      </c>
      <c r="G3311" s="549">
        <v>2762</v>
      </c>
      <c r="H3311" s="549" t="s">
        <v>851</v>
      </c>
      <c r="I3311" s="549" t="s">
        <v>976</v>
      </c>
      <c r="J3311" s="549" t="s">
        <v>976</v>
      </c>
      <c r="K3311" s="549" t="s">
        <v>976</v>
      </c>
      <c r="L3311" s="549">
        <v>73527.31</v>
      </c>
      <c r="M3311" s="549">
        <v>5551.31</v>
      </c>
      <c r="N3311" s="549">
        <v>1624.95</v>
      </c>
      <c r="O3311" s="549">
        <v>992</v>
      </c>
      <c r="P3311" s="549">
        <v>100</v>
      </c>
      <c r="Q3311" s="549">
        <v>8168.26</v>
      </c>
    </row>
    <row r="3312" spans="1:17" x14ac:dyDescent="0.25">
      <c r="A3312" s="549" t="s">
        <v>1116</v>
      </c>
      <c r="B3312" s="549" t="s">
        <v>589</v>
      </c>
      <c r="C3312" s="549" t="s">
        <v>851</v>
      </c>
      <c r="D3312" s="549" t="s">
        <v>852</v>
      </c>
      <c r="E3312" s="549" t="s">
        <v>977</v>
      </c>
      <c r="F3312" s="549" t="s">
        <v>1212</v>
      </c>
      <c r="G3312" s="549">
        <v>52</v>
      </c>
      <c r="H3312" s="549" t="s">
        <v>851</v>
      </c>
      <c r="I3312" s="549" t="s">
        <v>976</v>
      </c>
      <c r="J3312" s="549" t="s">
        <v>976</v>
      </c>
      <c r="K3312" s="549" t="s">
        <v>976</v>
      </c>
      <c r="L3312" s="549">
        <v>344086.71</v>
      </c>
      <c r="M3312" s="549">
        <v>25978.55</v>
      </c>
      <c r="N3312" s="549">
        <v>7604.32</v>
      </c>
      <c r="O3312" s="549">
        <v>1984</v>
      </c>
      <c r="P3312" s="549">
        <v>100</v>
      </c>
      <c r="Q3312" s="549">
        <v>35566.870000000003</v>
      </c>
    </row>
    <row r="3313" spans="1:17" x14ac:dyDescent="0.25">
      <c r="A3313" s="549" t="s">
        <v>1153</v>
      </c>
      <c r="B3313" s="549" t="s">
        <v>585</v>
      </c>
      <c r="C3313" s="549" t="s">
        <v>801</v>
      </c>
      <c r="D3313" s="549" t="s">
        <v>802</v>
      </c>
      <c r="E3313" s="549" t="s">
        <v>977</v>
      </c>
      <c r="F3313" s="549" t="s">
        <v>1212</v>
      </c>
      <c r="G3313" s="549">
        <v>72</v>
      </c>
      <c r="H3313" s="549" t="s">
        <v>801</v>
      </c>
      <c r="I3313" s="549" t="s">
        <v>976</v>
      </c>
      <c r="J3313" s="549" t="s">
        <v>976</v>
      </c>
      <c r="K3313" s="549" t="s">
        <v>976</v>
      </c>
      <c r="L3313" s="549">
        <v>347493.52</v>
      </c>
      <c r="M3313" s="549">
        <v>26235.759999999998</v>
      </c>
      <c r="N3313" s="549">
        <v>7679.61</v>
      </c>
      <c r="O3313" s="549">
        <v>1984</v>
      </c>
      <c r="P3313" s="549">
        <v>100</v>
      </c>
      <c r="Q3313" s="549">
        <v>35899.370000000003</v>
      </c>
    </row>
    <row r="3314" spans="1:17" x14ac:dyDescent="0.25">
      <c r="A3314" s="549" t="s">
        <v>1153</v>
      </c>
      <c r="B3314" s="549" t="s">
        <v>585</v>
      </c>
      <c r="C3314" s="549" t="s">
        <v>801</v>
      </c>
      <c r="D3314" s="549" t="s">
        <v>802</v>
      </c>
      <c r="E3314" s="549" t="s">
        <v>977</v>
      </c>
      <c r="F3314" s="549" t="s">
        <v>1212</v>
      </c>
      <c r="G3314" s="549">
        <v>82</v>
      </c>
      <c r="H3314" s="549" t="s">
        <v>801</v>
      </c>
      <c r="I3314" s="549" t="s">
        <v>976</v>
      </c>
      <c r="J3314" s="549" t="s">
        <v>976</v>
      </c>
      <c r="K3314" s="549" t="s">
        <v>976</v>
      </c>
      <c r="L3314" s="549">
        <v>347493.52</v>
      </c>
      <c r="M3314" s="549">
        <v>26235.759999999998</v>
      </c>
      <c r="N3314" s="549">
        <v>7679.61</v>
      </c>
      <c r="O3314" s="549">
        <v>1984</v>
      </c>
      <c r="P3314" s="549">
        <v>100</v>
      </c>
      <c r="Q3314" s="549">
        <v>35899.370000000003</v>
      </c>
    </row>
    <row r="3315" spans="1:17" x14ac:dyDescent="0.25">
      <c r="A3315" s="549" t="s">
        <v>1153</v>
      </c>
      <c r="B3315" s="549" t="s">
        <v>585</v>
      </c>
      <c r="C3315" s="549" t="s">
        <v>801</v>
      </c>
      <c r="D3315" s="549" t="s">
        <v>802</v>
      </c>
      <c r="E3315" s="549" t="s">
        <v>977</v>
      </c>
      <c r="F3315" s="549" t="s">
        <v>1212</v>
      </c>
      <c r="G3315" s="549">
        <v>2622</v>
      </c>
      <c r="H3315" s="549" t="s">
        <v>801</v>
      </c>
      <c r="I3315" s="549" t="s">
        <v>976</v>
      </c>
      <c r="J3315" s="549" t="s">
        <v>976</v>
      </c>
      <c r="K3315" s="549" t="s">
        <v>976</v>
      </c>
      <c r="L3315" s="549">
        <v>74255.3</v>
      </c>
      <c r="M3315" s="549">
        <v>5606.28</v>
      </c>
      <c r="N3315" s="549">
        <v>1641.04</v>
      </c>
      <c r="O3315" s="549">
        <v>892.8</v>
      </c>
      <c r="P3315" s="549">
        <v>100</v>
      </c>
      <c r="Q3315" s="549">
        <v>8140.12</v>
      </c>
    </row>
    <row r="3316" spans="1:17" x14ac:dyDescent="0.25">
      <c r="A3316" s="549" t="s">
        <v>1153</v>
      </c>
      <c r="B3316" s="549" t="s">
        <v>585</v>
      </c>
      <c r="C3316" s="549" t="s">
        <v>801</v>
      </c>
      <c r="D3316" s="549" t="s">
        <v>802</v>
      </c>
      <c r="E3316" s="549" t="s">
        <v>977</v>
      </c>
      <c r="F3316" s="549" t="s">
        <v>1212</v>
      </c>
      <c r="G3316" s="549">
        <v>2642</v>
      </c>
      <c r="H3316" s="549" t="s">
        <v>801</v>
      </c>
      <c r="I3316" s="549" t="s">
        <v>976</v>
      </c>
      <c r="J3316" s="549" t="s">
        <v>976</v>
      </c>
      <c r="K3316" s="549" t="s">
        <v>976</v>
      </c>
      <c r="L3316" s="549">
        <v>74255.3</v>
      </c>
      <c r="M3316" s="549">
        <v>5606.28</v>
      </c>
      <c r="N3316" s="549">
        <v>1641.04</v>
      </c>
      <c r="O3316" s="549">
        <v>892.8</v>
      </c>
      <c r="P3316" s="549">
        <v>100</v>
      </c>
      <c r="Q3316" s="549">
        <v>8140.12</v>
      </c>
    </row>
    <row r="3317" spans="1:17" x14ac:dyDescent="0.25">
      <c r="A3317" s="549" t="s">
        <v>1153</v>
      </c>
      <c r="B3317" s="549" t="s">
        <v>585</v>
      </c>
      <c r="C3317" s="549" t="s">
        <v>801</v>
      </c>
      <c r="D3317" s="549" t="s">
        <v>802</v>
      </c>
      <c r="E3317" s="549" t="s">
        <v>977</v>
      </c>
      <c r="F3317" s="549" t="s">
        <v>1212</v>
      </c>
      <c r="G3317" s="549">
        <v>2662</v>
      </c>
      <c r="H3317" s="549" t="s">
        <v>801</v>
      </c>
      <c r="I3317" s="549" t="s">
        <v>976</v>
      </c>
      <c r="J3317" s="549" t="s">
        <v>976</v>
      </c>
      <c r="K3317" s="549" t="s">
        <v>976</v>
      </c>
      <c r="L3317" s="549">
        <v>74255.3</v>
      </c>
      <c r="M3317" s="549">
        <v>5606.28</v>
      </c>
      <c r="N3317" s="549">
        <v>1641.04</v>
      </c>
      <c r="O3317" s="549">
        <v>892.8</v>
      </c>
      <c r="P3317" s="549">
        <v>100</v>
      </c>
      <c r="Q3317" s="549">
        <v>8140.12</v>
      </c>
    </row>
    <row r="3318" spans="1:17" x14ac:dyDescent="0.25">
      <c r="A3318" s="549" t="s">
        <v>1153</v>
      </c>
      <c r="B3318" s="549" t="s">
        <v>585</v>
      </c>
      <c r="C3318" s="549" t="s">
        <v>801</v>
      </c>
      <c r="D3318" s="549" t="s">
        <v>802</v>
      </c>
      <c r="E3318" s="549" t="s">
        <v>977</v>
      </c>
      <c r="F3318" s="549" t="s">
        <v>1212</v>
      </c>
      <c r="G3318" s="549">
        <v>2672</v>
      </c>
      <c r="H3318" s="549" t="s">
        <v>801</v>
      </c>
      <c r="I3318" s="549" t="s">
        <v>976</v>
      </c>
      <c r="J3318" s="549" t="s">
        <v>976</v>
      </c>
      <c r="K3318" s="549" t="s">
        <v>976</v>
      </c>
      <c r="L3318" s="549">
        <v>78531.14</v>
      </c>
      <c r="M3318" s="549">
        <v>5929.1</v>
      </c>
      <c r="N3318" s="549">
        <v>1735.54</v>
      </c>
      <c r="O3318" s="549">
        <v>992</v>
      </c>
      <c r="P3318" s="549">
        <v>100</v>
      </c>
      <c r="Q3318" s="549">
        <v>8656.64</v>
      </c>
    </row>
    <row r="3319" spans="1:17" x14ac:dyDescent="0.25">
      <c r="A3319" s="549" t="s">
        <v>1153</v>
      </c>
      <c r="B3319" s="549" t="s">
        <v>585</v>
      </c>
      <c r="C3319" s="549" t="s">
        <v>801</v>
      </c>
      <c r="D3319" s="549" t="s">
        <v>802</v>
      </c>
      <c r="E3319" s="549" t="s">
        <v>977</v>
      </c>
      <c r="F3319" s="549" t="s">
        <v>1212</v>
      </c>
      <c r="G3319" s="549">
        <v>2682</v>
      </c>
      <c r="H3319" s="549" t="s">
        <v>801</v>
      </c>
      <c r="I3319" s="549" t="s">
        <v>976</v>
      </c>
      <c r="J3319" s="549" t="s">
        <v>976</v>
      </c>
      <c r="K3319" s="549" t="s">
        <v>976</v>
      </c>
      <c r="L3319" s="549">
        <v>74255.3</v>
      </c>
      <c r="M3319" s="549">
        <v>5606.28</v>
      </c>
      <c r="N3319" s="549">
        <v>1641.04</v>
      </c>
      <c r="O3319" s="549">
        <v>892.8</v>
      </c>
      <c r="P3319" s="549">
        <v>100</v>
      </c>
      <c r="Q3319" s="549">
        <v>8140.12</v>
      </c>
    </row>
    <row r="3320" spans="1:17" x14ac:dyDescent="0.25">
      <c r="A3320" s="549" t="s">
        <v>1153</v>
      </c>
      <c r="B3320" s="549" t="s">
        <v>585</v>
      </c>
      <c r="C3320" s="549" t="s">
        <v>801</v>
      </c>
      <c r="D3320" s="549" t="s">
        <v>802</v>
      </c>
      <c r="E3320" s="549" t="s">
        <v>977</v>
      </c>
      <c r="F3320" s="549" t="s">
        <v>1212</v>
      </c>
      <c r="G3320" s="549">
        <v>2698</v>
      </c>
      <c r="H3320" s="549" t="s">
        <v>801</v>
      </c>
      <c r="I3320" s="549" t="s">
        <v>976</v>
      </c>
      <c r="J3320" s="549" t="s">
        <v>976</v>
      </c>
      <c r="K3320" s="549" t="s">
        <v>976</v>
      </c>
      <c r="L3320" s="549">
        <v>75965.64</v>
      </c>
      <c r="M3320" s="549">
        <v>5735.41</v>
      </c>
      <c r="N3320" s="549">
        <v>1678.84</v>
      </c>
      <c r="O3320" s="549">
        <v>992</v>
      </c>
      <c r="P3320" s="549">
        <v>100</v>
      </c>
      <c r="Q3320" s="549">
        <v>8406.25</v>
      </c>
    </row>
    <row r="3321" spans="1:17" x14ac:dyDescent="0.25">
      <c r="A3321" s="549" t="s">
        <v>1153</v>
      </c>
      <c r="B3321" s="549" t="s">
        <v>585</v>
      </c>
      <c r="C3321" s="549" t="s">
        <v>801</v>
      </c>
      <c r="D3321" s="549" t="s">
        <v>802</v>
      </c>
      <c r="E3321" s="549" t="s">
        <v>977</v>
      </c>
      <c r="F3321" s="549" t="s">
        <v>1212</v>
      </c>
      <c r="G3321" s="549">
        <v>2702</v>
      </c>
      <c r="H3321" s="549" t="s">
        <v>801</v>
      </c>
      <c r="I3321" s="549" t="s">
        <v>976</v>
      </c>
      <c r="J3321" s="549" t="s">
        <v>976</v>
      </c>
      <c r="K3321" s="549" t="s">
        <v>976</v>
      </c>
      <c r="L3321" s="549">
        <v>74255.3</v>
      </c>
      <c r="M3321" s="549">
        <v>5606.28</v>
      </c>
      <c r="N3321" s="549">
        <v>1641.04</v>
      </c>
      <c r="O3321" s="549">
        <v>892.8</v>
      </c>
      <c r="P3321" s="549">
        <v>100</v>
      </c>
      <c r="Q3321" s="549">
        <v>8140.12</v>
      </c>
    </row>
    <row r="3322" spans="1:17" x14ac:dyDescent="0.25">
      <c r="A3322" s="549" t="s">
        <v>1153</v>
      </c>
      <c r="B3322" s="549" t="s">
        <v>585</v>
      </c>
      <c r="C3322" s="549" t="s">
        <v>801</v>
      </c>
      <c r="D3322" s="549" t="s">
        <v>802</v>
      </c>
      <c r="E3322" s="549" t="s">
        <v>977</v>
      </c>
      <c r="F3322" s="549" t="s">
        <v>1212</v>
      </c>
      <c r="G3322" s="549">
        <v>2712</v>
      </c>
      <c r="H3322" s="549" t="s">
        <v>801</v>
      </c>
      <c r="I3322" s="549" t="s">
        <v>976</v>
      </c>
      <c r="J3322" s="549" t="s">
        <v>976</v>
      </c>
      <c r="K3322" s="549" t="s">
        <v>976</v>
      </c>
      <c r="L3322" s="549">
        <v>78531.14</v>
      </c>
      <c r="M3322" s="549">
        <v>5929.1</v>
      </c>
      <c r="N3322" s="549">
        <v>1735.54</v>
      </c>
      <c r="O3322" s="549">
        <v>992</v>
      </c>
      <c r="P3322" s="549">
        <v>100</v>
      </c>
      <c r="Q3322" s="549">
        <v>8656.64</v>
      </c>
    </row>
    <row r="3323" spans="1:17" x14ac:dyDescent="0.25">
      <c r="A3323" s="549" t="s">
        <v>1153</v>
      </c>
      <c r="B3323" s="549" t="s">
        <v>585</v>
      </c>
      <c r="C3323" s="549" t="s">
        <v>801</v>
      </c>
      <c r="D3323" s="549" t="s">
        <v>802</v>
      </c>
      <c r="E3323" s="549" t="s">
        <v>977</v>
      </c>
      <c r="F3323" s="549" t="s">
        <v>1212</v>
      </c>
      <c r="G3323" s="549">
        <v>2722</v>
      </c>
      <c r="H3323" s="549" t="s">
        <v>801</v>
      </c>
      <c r="I3323" s="549" t="s">
        <v>976</v>
      </c>
      <c r="J3323" s="549" t="s">
        <v>976</v>
      </c>
      <c r="K3323" s="549" t="s">
        <v>976</v>
      </c>
      <c r="L3323" s="549">
        <v>74255.3</v>
      </c>
      <c r="M3323" s="549">
        <v>5606.28</v>
      </c>
      <c r="N3323" s="549">
        <v>1641.04</v>
      </c>
      <c r="O3323" s="549">
        <v>892.8</v>
      </c>
      <c r="P3323" s="549">
        <v>100</v>
      </c>
      <c r="Q3323" s="549">
        <v>8140.12</v>
      </c>
    </row>
    <row r="3324" spans="1:17" x14ac:dyDescent="0.25">
      <c r="A3324" s="549" t="s">
        <v>1153</v>
      </c>
      <c r="B3324" s="549" t="s">
        <v>585</v>
      </c>
      <c r="C3324" s="549" t="s">
        <v>801</v>
      </c>
      <c r="D3324" s="549" t="s">
        <v>802</v>
      </c>
      <c r="E3324" s="549" t="s">
        <v>977</v>
      </c>
      <c r="F3324" s="549" t="s">
        <v>1212</v>
      </c>
      <c r="G3324" s="549">
        <v>2742</v>
      </c>
      <c r="H3324" s="549" t="s">
        <v>801</v>
      </c>
      <c r="I3324" s="549" t="s">
        <v>976</v>
      </c>
      <c r="J3324" s="549" t="s">
        <v>976</v>
      </c>
      <c r="K3324" s="549" t="s">
        <v>976</v>
      </c>
      <c r="L3324" s="549">
        <v>74255.3</v>
      </c>
      <c r="M3324" s="549">
        <v>5606.28</v>
      </c>
      <c r="N3324" s="549">
        <v>1641.04</v>
      </c>
      <c r="O3324" s="549">
        <v>892.8</v>
      </c>
      <c r="P3324" s="549">
        <v>100</v>
      </c>
      <c r="Q3324" s="549">
        <v>8140.12</v>
      </c>
    </row>
    <row r="3325" spans="1:17" x14ac:dyDescent="0.25">
      <c r="A3325" s="549" t="s">
        <v>1116</v>
      </c>
      <c r="B3325" s="549" t="s">
        <v>589</v>
      </c>
      <c r="C3325" s="549" t="s">
        <v>851</v>
      </c>
      <c r="D3325" s="549" t="s">
        <v>852</v>
      </c>
      <c r="E3325" s="549" t="s">
        <v>977</v>
      </c>
      <c r="F3325" s="549" t="s">
        <v>1212</v>
      </c>
      <c r="G3325" s="549">
        <v>42</v>
      </c>
      <c r="H3325" s="549" t="s">
        <v>851</v>
      </c>
      <c r="I3325" s="549" t="s">
        <v>976</v>
      </c>
      <c r="J3325" s="549" t="s">
        <v>976</v>
      </c>
      <c r="K3325" s="549" t="s">
        <v>976</v>
      </c>
      <c r="L3325" s="549">
        <v>344086.71</v>
      </c>
      <c r="M3325" s="549">
        <v>25978.55</v>
      </c>
      <c r="N3325" s="549">
        <v>7604.32</v>
      </c>
      <c r="O3325" s="549">
        <v>1984</v>
      </c>
      <c r="P3325" s="549">
        <v>100</v>
      </c>
      <c r="Q3325" s="549">
        <v>35566.870000000003</v>
      </c>
    </row>
    <row r="3326" spans="1:17" x14ac:dyDescent="0.25">
      <c r="A3326" s="549" t="s">
        <v>1153</v>
      </c>
      <c r="B3326" s="549" t="s">
        <v>585</v>
      </c>
      <c r="C3326" s="549" t="s">
        <v>801</v>
      </c>
      <c r="D3326" s="549" t="s">
        <v>802</v>
      </c>
      <c r="E3326" s="549" t="s">
        <v>977</v>
      </c>
      <c r="F3326" s="549" t="s">
        <v>1212</v>
      </c>
      <c r="G3326" s="549" t="s">
        <v>1271</v>
      </c>
      <c r="H3326" s="549" t="s">
        <v>801</v>
      </c>
      <c r="I3326" s="549" t="s">
        <v>976</v>
      </c>
      <c r="J3326" s="549" t="s">
        <v>976</v>
      </c>
      <c r="K3326" s="549" t="s">
        <v>976</v>
      </c>
      <c r="L3326" s="549">
        <v>31410.32</v>
      </c>
      <c r="M3326" s="549">
        <v>2371.48</v>
      </c>
      <c r="N3326" s="549">
        <v>694.17</v>
      </c>
      <c r="O3326" s="549">
        <v>0</v>
      </c>
      <c r="P3326" s="549">
        <v>100</v>
      </c>
      <c r="Q3326" s="549">
        <v>3065.65</v>
      </c>
    </row>
    <row r="3327" spans="1:17" x14ac:dyDescent="0.25">
      <c r="A3327" s="549" t="s">
        <v>1153</v>
      </c>
      <c r="B3327" s="549" t="s">
        <v>585</v>
      </c>
      <c r="C3327" s="549" t="s">
        <v>801</v>
      </c>
      <c r="D3327" s="549" t="s">
        <v>802</v>
      </c>
      <c r="E3327" s="549" t="s">
        <v>977</v>
      </c>
      <c r="F3327" s="549" t="s">
        <v>1212</v>
      </c>
      <c r="G3327" s="549" t="s">
        <v>1213</v>
      </c>
      <c r="H3327" s="549" t="s">
        <v>801</v>
      </c>
      <c r="I3327" s="549" t="s">
        <v>976</v>
      </c>
      <c r="J3327" s="549" t="s">
        <v>976</v>
      </c>
      <c r="K3327" s="549" t="s">
        <v>976</v>
      </c>
      <c r="L3327" s="549">
        <v>29129.16</v>
      </c>
      <c r="M3327" s="549">
        <v>2199.25</v>
      </c>
      <c r="N3327" s="549">
        <v>643.75</v>
      </c>
      <c r="O3327" s="549">
        <v>0</v>
      </c>
      <c r="P3327" s="549">
        <v>100</v>
      </c>
      <c r="Q3327" s="549">
        <v>2843</v>
      </c>
    </row>
    <row r="3328" spans="1:17" x14ac:dyDescent="0.25">
      <c r="A3328" s="549" t="s">
        <v>1116</v>
      </c>
      <c r="B3328" s="549" t="s">
        <v>589</v>
      </c>
      <c r="C3328" s="549" t="s">
        <v>851</v>
      </c>
      <c r="D3328" s="549" t="s">
        <v>852</v>
      </c>
      <c r="E3328" s="549" t="s">
        <v>977</v>
      </c>
      <c r="F3328" s="549" t="s">
        <v>1212</v>
      </c>
      <c r="G3328" s="549">
        <v>39</v>
      </c>
      <c r="H3328" s="549" t="s">
        <v>851</v>
      </c>
      <c r="I3328" s="549" t="s">
        <v>976</v>
      </c>
      <c r="J3328" s="549" t="s">
        <v>976</v>
      </c>
      <c r="K3328" s="549" t="s">
        <v>976</v>
      </c>
      <c r="L3328" s="549">
        <v>77761.23</v>
      </c>
      <c r="M3328" s="549">
        <v>5870.97</v>
      </c>
      <c r="N3328" s="549">
        <v>1718.52</v>
      </c>
      <c r="O3328" s="549">
        <v>992</v>
      </c>
      <c r="P3328" s="549">
        <v>100</v>
      </c>
      <c r="Q3328" s="549">
        <v>8581.49</v>
      </c>
    </row>
    <row r="3329" spans="1:17" x14ac:dyDescent="0.25">
      <c r="A3329" s="549" t="s">
        <v>1153</v>
      </c>
      <c r="B3329" s="549" t="s">
        <v>585</v>
      </c>
      <c r="C3329" s="549" t="s">
        <v>799</v>
      </c>
      <c r="D3329" s="549" t="s">
        <v>800</v>
      </c>
      <c r="E3329" s="549" t="s">
        <v>977</v>
      </c>
      <c r="F3329" s="549" t="s">
        <v>1212</v>
      </c>
      <c r="G3329" s="549">
        <v>92</v>
      </c>
      <c r="H3329" s="549" t="s">
        <v>799</v>
      </c>
      <c r="I3329" s="549" t="s">
        <v>976</v>
      </c>
      <c r="J3329" s="549" t="s">
        <v>976</v>
      </c>
      <c r="K3329" s="549" t="s">
        <v>976</v>
      </c>
      <c r="L3329" s="549">
        <v>347493.52</v>
      </c>
      <c r="M3329" s="549">
        <v>26235.759999999998</v>
      </c>
      <c r="N3329" s="549">
        <v>7679.61</v>
      </c>
      <c r="O3329" s="549">
        <v>1984</v>
      </c>
      <c r="P3329" s="549">
        <v>100</v>
      </c>
      <c r="Q3329" s="549">
        <v>35899.370000000003</v>
      </c>
    </row>
    <row r="3330" spans="1:17" x14ac:dyDescent="0.25">
      <c r="A3330" s="549" t="s">
        <v>1153</v>
      </c>
      <c r="B3330" s="549" t="s">
        <v>585</v>
      </c>
      <c r="C3330" s="549" t="s">
        <v>799</v>
      </c>
      <c r="D3330" s="549" t="s">
        <v>800</v>
      </c>
      <c r="E3330" s="549" t="s">
        <v>977</v>
      </c>
      <c r="F3330" s="549" t="s">
        <v>1212</v>
      </c>
      <c r="G3330" s="549">
        <v>2572</v>
      </c>
      <c r="H3330" s="549" t="s">
        <v>799</v>
      </c>
      <c r="I3330" s="549" t="s">
        <v>976</v>
      </c>
      <c r="J3330" s="549" t="s">
        <v>976</v>
      </c>
      <c r="K3330" s="549" t="s">
        <v>976</v>
      </c>
      <c r="L3330" s="549">
        <v>78531.14</v>
      </c>
      <c r="M3330" s="549">
        <v>5929.1</v>
      </c>
      <c r="N3330" s="549">
        <v>1735.54</v>
      </c>
      <c r="O3330" s="549">
        <v>992</v>
      </c>
      <c r="P3330" s="549">
        <v>100</v>
      </c>
      <c r="Q3330" s="549">
        <v>8656.64</v>
      </c>
    </row>
    <row r="3331" spans="1:17" x14ac:dyDescent="0.25">
      <c r="A3331" s="549" t="s">
        <v>1153</v>
      </c>
      <c r="B3331" s="549" t="s">
        <v>585</v>
      </c>
      <c r="C3331" s="549" t="s">
        <v>799</v>
      </c>
      <c r="D3331" s="549" t="s">
        <v>800</v>
      </c>
      <c r="E3331" s="549" t="s">
        <v>977</v>
      </c>
      <c r="F3331" s="549" t="s">
        <v>1212</v>
      </c>
      <c r="G3331" s="549">
        <v>2582</v>
      </c>
      <c r="H3331" s="549" t="s">
        <v>799</v>
      </c>
      <c r="I3331" s="549" t="s">
        <v>976</v>
      </c>
      <c r="J3331" s="549" t="s">
        <v>976</v>
      </c>
      <c r="K3331" s="549" t="s">
        <v>976</v>
      </c>
      <c r="L3331" s="549">
        <v>74255.3</v>
      </c>
      <c r="M3331" s="549">
        <v>5606.28</v>
      </c>
      <c r="N3331" s="549">
        <v>1641.04</v>
      </c>
      <c r="O3331" s="549">
        <v>992</v>
      </c>
      <c r="P3331" s="549">
        <v>100</v>
      </c>
      <c r="Q3331" s="549">
        <v>8239.32</v>
      </c>
    </row>
    <row r="3332" spans="1:17" x14ac:dyDescent="0.25">
      <c r="A3332" s="549" t="s">
        <v>1153</v>
      </c>
      <c r="B3332" s="549" t="s">
        <v>585</v>
      </c>
      <c r="C3332" s="549" t="s">
        <v>799</v>
      </c>
      <c r="D3332" s="549" t="s">
        <v>800</v>
      </c>
      <c r="E3332" s="549" t="s">
        <v>977</v>
      </c>
      <c r="F3332" s="549" t="s">
        <v>1212</v>
      </c>
      <c r="G3332" s="549">
        <v>2598</v>
      </c>
      <c r="H3332" s="549" t="s">
        <v>799</v>
      </c>
      <c r="I3332" s="549" t="s">
        <v>976</v>
      </c>
      <c r="J3332" s="549" t="s">
        <v>976</v>
      </c>
      <c r="K3332" s="549" t="s">
        <v>976</v>
      </c>
      <c r="L3332" s="549">
        <v>115196.47</v>
      </c>
      <c r="M3332" s="549">
        <v>8697.33</v>
      </c>
      <c r="N3332" s="549">
        <v>2545.84</v>
      </c>
      <c r="O3332" s="549">
        <v>0</v>
      </c>
      <c r="P3332" s="549">
        <v>100</v>
      </c>
      <c r="Q3332" s="549">
        <v>11243.17</v>
      </c>
    </row>
    <row r="3333" spans="1:17" x14ac:dyDescent="0.25">
      <c r="A3333" s="549" t="s">
        <v>1153</v>
      </c>
      <c r="B3333" s="549" t="s">
        <v>585</v>
      </c>
      <c r="C3333" s="549" t="s">
        <v>799</v>
      </c>
      <c r="D3333" s="549" t="s">
        <v>800</v>
      </c>
      <c r="E3333" s="549" t="s">
        <v>977</v>
      </c>
      <c r="F3333" s="549" t="s">
        <v>1212</v>
      </c>
      <c r="G3333" s="549">
        <v>2612</v>
      </c>
      <c r="H3333" s="549" t="s">
        <v>799</v>
      </c>
      <c r="I3333" s="549" t="s">
        <v>976</v>
      </c>
      <c r="J3333" s="549" t="s">
        <v>976</v>
      </c>
      <c r="K3333" s="549" t="s">
        <v>976</v>
      </c>
      <c r="L3333" s="549">
        <v>74255.3</v>
      </c>
      <c r="M3333" s="549">
        <v>5606.28</v>
      </c>
      <c r="N3333" s="549">
        <v>1641.04</v>
      </c>
      <c r="O3333" s="549">
        <v>992</v>
      </c>
      <c r="P3333" s="549">
        <v>100</v>
      </c>
      <c r="Q3333" s="549">
        <v>8239.32</v>
      </c>
    </row>
    <row r="3334" spans="1:17" x14ac:dyDescent="0.25">
      <c r="A3334" s="549" t="s">
        <v>1153</v>
      </c>
      <c r="B3334" s="549" t="s">
        <v>585</v>
      </c>
      <c r="C3334" s="549" t="s">
        <v>799</v>
      </c>
      <c r="D3334" s="549" t="s">
        <v>800</v>
      </c>
      <c r="E3334" s="549" t="s">
        <v>977</v>
      </c>
      <c r="F3334" s="549" t="s">
        <v>1212</v>
      </c>
      <c r="G3334" s="549">
        <v>2622</v>
      </c>
      <c r="H3334" s="549" t="s">
        <v>799</v>
      </c>
      <c r="I3334" s="549" t="s">
        <v>976</v>
      </c>
      <c r="J3334" s="549" t="s">
        <v>976</v>
      </c>
      <c r="K3334" s="549" t="s">
        <v>976</v>
      </c>
      <c r="L3334" s="549">
        <v>74255.3</v>
      </c>
      <c r="M3334" s="549">
        <v>5606.28</v>
      </c>
      <c r="N3334" s="549">
        <v>1641.04</v>
      </c>
      <c r="O3334" s="549">
        <v>992</v>
      </c>
      <c r="P3334" s="549">
        <v>100</v>
      </c>
      <c r="Q3334" s="549">
        <v>8239.32</v>
      </c>
    </row>
    <row r="3335" spans="1:17" x14ac:dyDescent="0.25">
      <c r="A3335" s="549" t="s">
        <v>1153</v>
      </c>
      <c r="B3335" s="549" t="s">
        <v>585</v>
      </c>
      <c r="C3335" s="549" t="s">
        <v>799</v>
      </c>
      <c r="D3335" s="549" t="s">
        <v>800</v>
      </c>
      <c r="E3335" s="549" t="s">
        <v>977</v>
      </c>
      <c r="F3335" s="549" t="s">
        <v>1212</v>
      </c>
      <c r="G3335" s="549">
        <v>2632</v>
      </c>
      <c r="H3335" s="549" t="s">
        <v>799</v>
      </c>
      <c r="I3335" s="549" t="s">
        <v>976</v>
      </c>
      <c r="J3335" s="549" t="s">
        <v>976</v>
      </c>
      <c r="K3335" s="549" t="s">
        <v>976</v>
      </c>
      <c r="L3335" s="549">
        <v>78531.14</v>
      </c>
      <c r="M3335" s="549">
        <v>5929.1</v>
      </c>
      <c r="N3335" s="549">
        <v>1735.54</v>
      </c>
      <c r="O3335" s="549">
        <v>992</v>
      </c>
      <c r="P3335" s="549">
        <v>100</v>
      </c>
      <c r="Q3335" s="549">
        <v>8656.64</v>
      </c>
    </row>
    <row r="3336" spans="1:17" x14ac:dyDescent="0.25">
      <c r="A3336" s="549" t="s">
        <v>1153</v>
      </c>
      <c r="B3336" s="549" t="s">
        <v>585</v>
      </c>
      <c r="C3336" s="549" t="s">
        <v>799</v>
      </c>
      <c r="D3336" s="549" t="s">
        <v>800</v>
      </c>
      <c r="E3336" s="549" t="s">
        <v>977</v>
      </c>
      <c r="F3336" s="549" t="s">
        <v>1212</v>
      </c>
      <c r="G3336" s="549" t="s">
        <v>1467</v>
      </c>
      <c r="H3336" s="549" t="s">
        <v>799</v>
      </c>
      <c r="I3336" s="549" t="s">
        <v>976</v>
      </c>
      <c r="J3336" s="549" t="s">
        <v>976</v>
      </c>
      <c r="K3336" s="549" t="s">
        <v>976</v>
      </c>
      <c r="L3336" s="549">
        <v>31410.32</v>
      </c>
      <c r="M3336" s="549">
        <v>2371.48</v>
      </c>
      <c r="N3336" s="549">
        <v>694.17</v>
      </c>
      <c r="O3336" s="549">
        <v>0</v>
      </c>
      <c r="P3336" s="549">
        <v>100</v>
      </c>
      <c r="Q3336" s="549">
        <v>3065.65</v>
      </c>
    </row>
    <row r="3337" spans="1:17" x14ac:dyDescent="0.25">
      <c r="A3337" s="549" t="s">
        <v>1153</v>
      </c>
      <c r="B3337" s="549" t="s">
        <v>585</v>
      </c>
      <c r="C3337" s="549" t="s">
        <v>799</v>
      </c>
      <c r="D3337" s="549" t="s">
        <v>800</v>
      </c>
      <c r="E3337" s="549" t="s">
        <v>977</v>
      </c>
      <c r="F3337" s="549" t="s">
        <v>1212</v>
      </c>
      <c r="G3337" s="549" t="s">
        <v>1358</v>
      </c>
      <c r="H3337" s="549" t="s">
        <v>799</v>
      </c>
      <c r="I3337" s="549" t="s">
        <v>976</v>
      </c>
      <c r="J3337" s="549" t="s">
        <v>976</v>
      </c>
      <c r="K3337" s="549" t="s">
        <v>976</v>
      </c>
      <c r="L3337" s="549">
        <v>31410.32</v>
      </c>
      <c r="M3337" s="549">
        <v>2371.48</v>
      </c>
      <c r="N3337" s="549">
        <v>694.17</v>
      </c>
      <c r="O3337" s="549">
        <v>0</v>
      </c>
      <c r="P3337" s="549">
        <v>100</v>
      </c>
      <c r="Q3337" s="549">
        <v>3065.65</v>
      </c>
    </row>
    <row r="3338" spans="1:17" x14ac:dyDescent="0.25">
      <c r="A3338" s="549" t="s">
        <v>1116</v>
      </c>
      <c r="B3338" s="549" t="s">
        <v>589</v>
      </c>
      <c r="C3338" s="549" t="s">
        <v>851</v>
      </c>
      <c r="D3338" s="549" t="s">
        <v>852</v>
      </c>
      <c r="E3338" s="549" t="s">
        <v>977</v>
      </c>
      <c r="F3338" s="549" t="s">
        <v>1212</v>
      </c>
      <c r="G3338" s="549">
        <v>38</v>
      </c>
      <c r="H3338" s="549" t="s">
        <v>851</v>
      </c>
      <c r="I3338" s="549" t="s">
        <v>976</v>
      </c>
      <c r="J3338" s="549" t="s">
        <v>976</v>
      </c>
      <c r="K3338" s="549" t="s">
        <v>976</v>
      </c>
      <c r="L3338" s="549">
        <v>75220.88</v>
      </c>
      <c r="M3338" s="549">
        <v>5679.18</v>
      </c>
      <c r="N3338" s="549">
        <v>1662.38</v>
      </c>
      <c r="O3338" s="549">
        <v>992</v>
      </c>
      <c r="P3338" s="549">
        <v>100</v>
      </c>
      <c r="Q3338" s="549">
        <v>8333.56</v>
      </c>
    </row>
    <row r="3339" spans="1:17" x14ac:dyDescent="0.25">
      <c r="A3339" s="549" t="s">
        <v>1116</v>
      </c>
      <c r="B3339" s="549" t="s">
        <v>589</v>
      </c>
      <c r="C3339" s="549" t="s">
        <v>851</v>
      </c>
      <c r="D3339" s="549" t="s">
        <v>852</v>
      </c>
      <c r="E3339" s="549" t="s">
        <v>977</v>
      </c>
      <c r="F3339" s="549" t="s">
        <v>1212</v>
      </c>
      <c r="G3339" s="549">
        <v>37</v>
      </c>
      <c r="H3339" s="549" t="s">
        <v>851</v>
      </c>
      <c r="I3339" s="549" t="s">
        <v>976</v>
      </c>
      <c r="J3339" s="549" t="s">
        <v>976</v>
      </c>
      <c r="K3339" s="549" t="s">
        <v>976</v>
      </c>
      <c r="L3339" s="549">
        <v>77761.23</v>
      </c>
      <c r="M3339" s="549">
        <v>5870.97</v>
      </c>
      <c r="N3339" s="549">
        <v>1718.52</v>
      </c>
      <c r="O3339" s="549">
        <v>992</v>
      </c>
      <c r="P3339" s="549">
        <v>100</v>
      </c>
      <c r="Q3339" s="549">
        <v>8581.49</v>
      </c>
    </row>
    <row r="3340" spans="1:17" x14ac:dyDescent="0.25">
      <c r="A3340" s="549" t="s">
        <v>1116</v>
      </c>
      <c r="B3340" s="549" t="s">
        <v>589</v>
      </c>
      <c r="C3340" s="549" t="s">
        <v>851</v>
      </c>
      <c r="D3340" s="549" t="s">
        <v>852</v>
      </c>
      <c r="E3340" s="549" t="s">
        <v>977</v>
      </c>
      <c r="F3340" s="549" t="s">
        <v>1212</v>
      </c>
      <c r="G3340" s="549">
        <v>28</v>
      </c>
      <c r="H3340" s="549" t="s">
        <v>851</v>
      </c>
      <c r="I3340" s="549" t="s">
        <v>976</v>
      </c>
      <c r="J3340" s="549" t="s">
        <v>976</v>
      </c>
      <c r="K3340" s="549" t="s">
        <v>976</v>
      </c>
      <c r="L3340" s="549">
        <v>73527.31</v>
      </c>
      <c r="M3340" s="549">
        <v>5551.31</v>
      </c>
      <c r="N3340" s="549">
        <v>1624.95</v>
      </c>
      <c r="O3340" s="549">
        <v>992</v>
      </c>
      <c r="P3340" s="549">
        <v>100</v>
      </c>
      <c r="Q3340" s="549">
        <v>8168.26</v>
      </c>
    </row>
    <row r="3341" spans="1:17" x14ac:dyDescent="0.25">
      <c r="A3341" s="549" t="s">
        <v>1154</v>
      </c>
      <c r="B3341" s="549" t="s">
        <v>1155</v>
      </c>
      <c r="C3341" s="549" t="s">
        <v>537</v>
      </c>
      <c r="D3341" s="549" t="s">
        <v>1156</v>
      </c>
      <c r="E3341" s="549" t="s">
        <v>973</v>
      </c>
      <c r="F3341" s="549" t="s">
        <v>1212</v>
      </c>
      <c r="G3341" s="549">
        <v>202</v>
      </c>
      <c r="H3341" s="549" t="s">
        <v>537</v>
      </c>
      <c r="I3341" s="549" t="s">
        <v>1096</v>
      </c>
      <c r="J3341" s="549" t="s">
        <v>1096</v>
      </c>
      <c r="K3341" s="549" t="s">
        <v>1096</v>
      </c>
      <c r="L3341" s="549">
        <v>875463.14</v>
      </c>
      <c r="M3341" s="549">
        <v>0</v>
      </c>
      <c r="N3341" s="549">
        <v>0</v>
      </c>
      <c r="O3341" s="549">
        <v>0</v>
      </c>
      <c r="P3341" s="549">
        <v>98.19</v>
      </c>
      <c r="Q3341" s="549">
        <v>0</v>
      </c>
    </row>
    <row r="3342" spans="1:17" x14ac:dyDescent="0.25">
      <c r="A3342" s="549" t="s">
        <v>1154</v>
      </c>
      <c r="B3342" s="549" t="s">
        <v>1155</v>
      </c>
      <c r="C3342" s="549" t="s">
        <v>537</v>
      </c>
      <c r="D3342" s="549" t="s">
        <v>1156</v>
      </c>
      <c r="E3342" s="549" t="s">
        <v>973</v>
      </c>
      <c r="F3342" s="549" t="s">
        <v>1212</v>
      </c>
      <c r="G3342" s="549">
        <v>212</v>
      </c>
      <c r="H3342" s="549" t="s">
        <v>537</v>
      </c>
      <c r="I3342" s="549" t="s">
        <v>1096</v>
      </c>
      <c r="J3342" s="549" t="s">
        <v>1096</v>
      </c>
      <c r="K3342" s="549" t="s">
        <v>1096</v>
      </c>
      <c r="L3342" s="549">
        <v>156401.94</v>
      </c>
      <c r="M3342" s="549">
        <v>0</v>
      </c>
      <c r="N3342" s="549">
        <v>0</v>
      </c>
      <c r="O3342" s="549">
        <v>0</v>
      </c>
      <c r="P3342" s="549">
        <v>98.19</v>
      </c>
      <c r="Q3342" s="549">
        <v>0</v>
      </c>
    </row>
    <row r="3343" spans="1:17" x14ac:dyDescent="0.25">
      <c r="A3343" s="549" t="s">
        <v>1154</v>
      </c>
      <c r="B3343" s="549" t="s">
        <v>1155</v>
      </c>
      <c r="C3343" s="549" t="s">
        <v>537</v>
      </c>
      <c r="D3343" s="549" t="s">
        <v>1156</v>
      </c>
      <c r="E3343" s="549" t="s">
        <v>973</v>
      </c>
      <c r="F3343" s="549" t="s">
        <v>1212</v>
      </c>
      <c r="G3343" s="549">
        <v>222</v>
      </c>
      <c r="H3343" s="549" t="s">
        <v>537</v>
      </c>
      <c r="I3343" s="549" t="s">
        <v>1096</v>
      </c>
      <c r="J3343" s="549" t="s">
        <v>1096</v>
      </c>
      <c r="K3343" s="549" t="s">
        <v>1096</v>
      </c>
      <c r="L3343" s="549">
        <v>875463.14</v>
      </c>
      <c r="M3343" s="549">
        <v>0</v>
      </c>
      <c r="N3343" s="549">
        <v>0</v>
      </c>
      <c r="O3343" s="549">
        <v>0</v>
      </c>
      <c r="P3343" s="549">
        <v>98.19</v>
      </c>
      <c r="Q3343" s="549">
        <v>0</v>
      </c>
    </row>
    <row r="3344" spans="1:17" x14ac:dyDescent="0.25">
      <c r="A3344" s="549" t="s">
        <v>1154</v>
      </c>
      <c r="B3344" s="549" t="s">
        <v>1155</v>
      </c>
      <c r="C3344" s="549" t="s">
        <v>537</v>
      </c>
      <c r="D3344" s="549" t="s">
        <v>1156</v>
      </c>
      <c r="E3344" s="549" t="s">
        <v>973</v>
      </c>
      <c r="F3344" s="549" t="s">
        <v>1212</v>
      </c>
      <c r="G3344" s="549">
        <v>232</v>
      </c>
      <c r="H3344" s="549" t="s">
        <v>537</v>
      </c>
      <c r="I3344" s="549" t="s">
        <v>1096</v>
      </c>
      <c r="J3344" s="549" t="s">
        <v>1096</v>
      </c>
      <c r="K3344" s="549" t="s">
        <v>1096</v>
      </c>
      <c r="L3344" s="549">
        <v>156401.94</v>
      </c>
      <c r="M3344" s="549">
        <v>0</v>
      </c>
      <c r="N3344" s="549">
        <v>0</v>
      </c>
      <c r="O3344" s="549">
        <v>0</v>
      </c>
      <c r="P3344" s="549">
        <v>98.19</v>
      </c>
      <c r="Q3344" s="549">
        <v>0</v>
      </c>
    </row>
    <row r="3345" spans="1:17" x14ac:dyDescent="0.25">
      <c r="A3345" s="549" t="s">
        <v>1154</v>
      </c>
      <c r="B3345" s="549" t="s">
        <v>1155</v>
      </c>
      <c r="C3345" s="549" t="s">
        <v>537</v>
      </c>
      <c r="D3345" s="549" t="s">
        <v>1156</v>
      </c>
      <c r="E3345" s="549" t="s">
        <v>977</v>
      </c>
      <c r="F3345" s="549" t="s">
        <v>1212</v>
      </c>
      <c r="G3345" s="549">
        <v>202</v>
      </c>
      <c r="H3345" s="549" t="s">
        <v>537</v>
      </c>
      <c r="I3345" s="549" t="s">
        <v>1096</v>
      </c>
      <c r="J3345" s="549" t="s">
        <v>1096</v>
      </c>
      <c r="K3345" s="549" t="s">
        <v>1096</v>
      </c>
      <c r="L3345" s="549">
        <v>875463.14</v>
      </c>
      <c r="M3345" s="549">
        <v>0</v>
      </c>
      <c r="N3345" s="549">
        <v>0</v>
      </c>
      <c r="O3345" s="549">
        <v>0</v>
      </c>
      <c r="P3345" s="549">
        <v>1.81</v>
      </c>
      <c r="Q3345" s="549">
        <v>0</v>
      </c>
    </row>
    <row r="3346" spans="1:17" x14ac:dyDescent="0.25">
      <c r="A3346" s="549" t="s">
        <v>1154</v>
      </c>
      <c r="B3346" s="549" t="s">
        <v>1155</v>
      </c>
      <c r="C3346" s="549" t="s">
        <v>537</v>
      </c>
      <c r="D3346" s="549" t="s">
        <v>1156</v>
      </c>
      <c r="E3346" s="549" t="s">
        <v>977</v>
      </c>
      <c r="F3346" s="549" t="s">
        <v>1212</v>
      </c>
      <c r="G3346" s="549">
        <v>212</v>
      </c>
      <c r="H3346" s="549" t="s">
        <v>537</v>
      </c>
      <c r="I3346" s="549" t="s">
        <v>1096</v>
      </c>
      <c r="J3346" s="549" t="s">
        <v>1096</v>
      </c>
      <c r="K3346" s="549" t="s">
        <v>1096</v>
      </c>
      <c r="L3346" s="549">
        <v>156401.94</v>
      </c>
      <c r="M3346" s="549">
        <v>0</v>
      </c>
      <c r="N3346" s="549">
        <v>0</v>
      </c>
      <c r="O3346" s="549">
        <v>0</v>
      </c>
      <c r="P3346" s="549">
        <v>1.81</v>
      </c>
      <c r="Q3346" s="549">
        <v>0</v>
      </c>
    </row>
    <row r="3347" spans="1:17" x14ac:dyDescent="0.25">
      <c r="A3347" s="549" t="s">
        <v>1154</v>
      </c>
      <c r="B3347" s="549" t="s">
        <v>1155</v>
      </c>
      <c r="C3347" s="549" t="s">
        <v>537</v>
      </c>
      <c r="D3347" s="549" t="s">
        <v>1156</v>
      </c>
      <c r="E3347" s="549" t="s">
        <v>977</v>
      </c>
      <c r="F3347" s="549" t="s">
        <v>1212</v>
      </c>
      <c r="G3347" s="549">
        <v>222</v>
      </c>
      <c r="H3347" s="549" t="s">
        <v>537</v>
      </c>
      <c r="I3347" s="549" t="s">
        <v>1096</v>
      </c>
      <c r="J3347" s="549" t="s">
        <v>1096</v>
      </c>
      <c r="K3347" s="549" t="s">
        <v>1096</v>
      </c>
      <c r="L3347" s="549">
        <v>875463.14</v>
      </c>
      <c r="M3347" s="549">
        <v>0</v>
      </c>
      <c r="N3347" s="549">
        <v>0</v>
      </c>
      <c r="O3347" s="549">
        <v>0</v>
      </c>
      <c r="P3347" s="549">
        <v>1.81</v>
      </c>
      <c r="Q3347" s="549">
        <v>0</v>
      </c>
    </row>
    <row r="3348" spans="1:17" x14ac:dyDescent="0.25">
      <c r="A3348" s="549" t="s">
        <v>1154</v>
      </c>
      <c r="B3348" s="549" t="s">
        <v>1155</v>
      </c>
      <c r="C3348" s="549" t="s">
        <v>537</v>
      </c>
      <c r="D3348" s="549" t="s">
        <v>1156</v>
      </c>
      <c r="E3348" s="549" t="s">
        <v>977</v>
      </c>
      <c r="F3348" s="549" t="s">
        <v>1212</v>
      </c>
      <c r="G3348" s="549">
        <v>232</v>
      </c>
      <c r="H3348" s="549" t="s">
        <v>537</v>
      </c>
      <c r="I3348" s="549" t="s">
        <v>1096</v>
      </c>
      <c r="J3348" s="549" t="s">
        <v>1096</v>
      </c>
      <c r="K3348" s="549" t="s">
        <v>1096</v>
      </c>
      <c r="L3348" s="549">
        <v>156401.94</v>
      </c>
      <c r="M3348" s="549">
        <v>0</v>
      </c>
      <c r="N3348" s="549">
        <v>0</v>
      </c>
      <c r="O3348" s="549">
        <v>0</v>
      </c>
      <c r="P3348" s="549">
        <v>1.81</v>
      </c>
      <c r="Q3348" s="549">
        <v>0</v>
      </c>
    </row>
    <row r="3349" spans="1:17" x14ac:dyDescent="0.25">
      <c r="A3349" s="549" t="s">
        <v>1116</v>
      </c>
      <c r="B3349" s="549" t="s">
        <v>589</v>
      </c>
      <c r="C3349" s="549" t="s">
        <v>851</v>
      </c>
      <c r="D3349" s="549" t="s">
        <v>852</v>
      </c>
      <c r="E3349" s="549" t="s">
        <v>977</v>
      </c>
      <c r="F3349" s="549" t="s">
        <v>1212</v>
      </c>
      <c r="G3349" s="549">
        <v>27</v>
      </c>
      <c r="H3349" s="549" t="s">
        <v>851</v>
      </c>
      <c r="I3349" s="549" t="s">
        <v>976</v>
      </c>
      <c r="J3349" s="549" t="s">
        <v>976</v>
      </c>
      <c r="K3349" s="549" t="s">
        <v>976</v>
      </c>
      <c r="L3349" s="549">
        <v>73527.31</v>
      </c>
      <c r="M3349" s="549">
        <v>5551.31</v>
      </c>
      <c r="N3349" s="549">
        <v>1624.95</v>
      </c>
      <c r="O3349" s="549">
        <v>992</v>
      </c>
      <c r="P3349" s="549">
        <v>100</v>
      </c>
      <c r="Q3349" s="549">
        <v>8168.26</v>
      </c>
    </row>
    <row r="3350" spans="1:17" x14ac:dyDescent="0.25">
      <c r="A3350" s="549" t="s">
        <v>1116</v>
      </c>
      <c r="B3350" s="549" t="s">
        <v>589</v>
      </c>
      <c r="C3350" s="549" t="s">
        <v>851</v>
      </c>
      <c r="D3350" s="549" t="s">
        <v>852</v>
      </c>
      <c r="E3350" s="549" t="s">
        <v>977</v>
      </c>
      <c r="F3350" s="549" t="s">
        <v>1212</v>
      </c>
      <c r="G3350" s="549">
        <v>26</v>
      </c>
      <c r="H3350" s="549" t="s">
        <v>851</v>
      </c>
      <c r="I3350" s="549" t="s">
        <v>976</v>
      </c>
      <c r="J3350" s="549" t="s">
        <v>976</v>
      </c>
      <c r="K3350" s="549" t="s">
        <v>976</v>
      </c>
      <c r="L3350" s="549">
        <v>73527.31</v>
      </c>
      <c r="M3350" s="549">
        <v>5551.31</v>
      </c>
      <c r="N3350" s="549">
        <v>1624.95</v>
      </c>
      <c r="O3350" s="549">
        <v>992</v>
      </c>
      <c r="P3350" s="549">
        <v>100</v>
      </c>
      <c r="Q3350" s="549">
        <v>8168.26</v>
      </c>
    </row>
    <row r="3351" spans="1:17" x14ac:dyDescent="0.25">
      <c r="A3351" s="549" t="s">
        <v>1116</v>
      </c>
      <c r="B3351" s="549" t="s">
        <v>589</v>
      </c>
      <c r="C3351" s="549" t="s">
        <v>851</v>
      </c>
      <c r="D3351" s="549" t="s">
        <v>852</v>
      </c>
      <c r="E3351" s="549" t="s">
        <v>977</v>
      </c>
      <c r="F3351" s="549" t="s">
        <v>1212</v>
      </c>
      <c r="G3351" s="549">
        <v>25</v>
      </c>
      <c r="H3351" s="549" t="s">
        <v>851</v>
      </c>
      <c r="I3351" s="549" t="s">
        <v>976</v>
      </c>
      <c r="J3351" s="549" t="s">
        <v>976</v>
      </c>
      <c r="K3351" s="549" t="s">
        <v>976</v>
      </c>
      <c r="L3351" s="549">
        <v>73527.31</v>
      </c>
      <c r="M3351" s="549">
        <v>5551.31</v>
      </c>
      <c r="N3351" s="549">
        <v>1624.95</v>
      </c>
      <c r="O3351" s="549">
        <v>992</v>
      </c>
      <c r="P3351" s="549">
        <v>100</v>
      </c>
      <c r="Q3351" s="549">
        <v>8168.26</v>
      </c>
    </row>
    <row r="3352" spans="1:17" x14ac:dyDescent="0.25">
      <c r="A3352" s="549" t="s">
        <v>1116</v>
      </c>
      <c r="B3352" s="549" t="s">
        <v>589</v>
      </c>
      <c r="C3352" s="549" t="s">
        <v>851</v>
      </c>
      <c r="D3352" s="549" t="s">
        <v>852</v>
      </c>
      <c r="E3352" s="549" t="s">
        <v>977</v>
      </c>
      <c r="F3352" s="549" t="s">
        <v>1212</v>
      </c>
      <c r="G3352" s="549">
        <v>24</v>
      </c>
      <c r="H3352" s="549" t="s">
        <v>851</v>
      </c>
      <c r="I3352" s="549" t="s">
        <v>976</v>
      </c>
      <c r="J3352" s="549" t="s">
        <v>976</v>
      </c>
      <c r="K3352" s="549" t="s">
        <v>976</v>
      </c>
      <c r="L3352" s="549">
        <v>73527.31</v>
      </c>
      <c r="M3352" s="549">
        <v>5551.31</v>
      </c>
      <c r="N3352" s="549">
        <v>1624.95</v>
      </c>
      <c r="O3352" s="549">
        <v>992</v>
      </c>
      <c r="P3352" s="549">
        <v>100</v>
      </c>
      <c r="Q3352" s="549">
        <v>8168.26</v>
      </c>
    </row>
    <row r="3353" spans="1:17" x14ac:dyDescent="0.25">
      <c r="A3353" s="549" t="s">
        <v>1116</v>
      </c>
      <c r="B3353" s="549" t="s">
        <v>589</v>
      </c>
      <c r="C3353" s="549" t="s">
        <v>851</v>
      </c>
      <c r="D3353" s="549" t="s">
        <v>852</v>
      </c>
      <c r="E3353" s="549" t="s">
        <v>977</v>
      </c>
      <c r="F3353" s="549" t="s">
        <v>1212</v>
      </c>
      <c r="G3353" s="549">
        <v>23</v>
      </c>
      <c r="H3353" s="549" t="s">
        <v>851</v>
      </c>
      <c r="I3353" s="549" t="s">
        <v>976</v>
      </c>
      <c r="J3353" s="549" t="s">
        <v>976</v>
      </c>
      <c r="K3353" s="549" t="s">
        <v>976</v>
      </c>
      <c r="L3353" s="549">
        <v>73527.31</v>
      </c>
      <c r="M3353" s="549">
        <v>5551.31</v>
      </c>
      <c r="N3353" s="549">
        <v>1624.95</v>
      </c>
      <c r="O3353" s="549">
        <v>992</v>
      </c>
      <c r="P3353" s="549">
        <v>100</v>
      </c>
      <c r="Q3353" s="549">
        <v>8168.26</v>
      </c>
    </row>
    <row r="3354" spans="1:17" x14ac:dyDescent="0.25">
      <c r="A3354" s="549" t="s">
        <v>1116</v>
      </c>
      <c r="B3354" s="549" t="s">
        <v>589</v>
      </c>
      <c r="C3354" s="549" t="s">
        <v>851</v>
      </c>
      <c r="D3354" s="549" t="s">
        <v>852</v>
      </c>
      <c r="E3354" s="549" t="s">
        <v>977</v>
      </c>
      <c r="F3354" s="549" t="s">
        <v>1212</v>
      </c>
      <c r="G3354" s="549">
        <v>22</v>
      </c>
      <c r="H3354" s="549" t="s">
        <v>851</v>
      </c>
      <c r="I3354" s="549" t="s">
        <v>976</v>
      </c>
      <c r="J3354" s="549" t="s">
        <v>976</v>
      </c>
      <c r="K3354" s="549" t="s">
        <v>976</v>
      </c>
      <c r="L3354" s="549">
        <v>73527.31</v>
      </c>
      <c r="M3354" s="549">
        <v>5551.31</v>
      </c>
      <c r="N3354" s="549">
        <v>1624.95</v>
      </c>
      <c r="O3354" s="549">
        <v>992</v>
      </c>
      <c r="P3354" s="549">
        <v>100</v>
      </c>
      <c r="Q3354" s="549">
        <v>8168.26</v>
      </c>
    </row>
    <row r="3355" spans="1:17" x14ac:dyDescent="0.25">
      <c r="A3355" s="549" t="s">
        <v>1116</v>
      </c>
      <c r="B3355" s="549" t="s">
        <v>589</v>
      </c>
      <c r="C3355" s="549" t="s">
        <v>851</v>
      </c>
      <c r="D3355" s="549" t="s">
        <v>852</v>
      </c>
      <c r="E3355" s="549" t="s">
        <v>977</v>
      </c>
      <c r="F3355" s="549" t="s">
        <v>1212</v>
      </c>
      <c r="G3355" s="549" t="s">
        <v>1250</v>
      </c>
      <c r="H3355" s="549" t="s">
        <v>523</v>
      </c>
      <c r="I3355" s="549" t="s">
        <v>976</v>
      </c>
      <c r="J3355" s="549" t="s">
        <v>976</v>
      </c>
      <c r="K3355" s="549" t="s">
        <v>976</v>
      </c>
      <c r="L3355" s="549">
        <v>48805.45</v>
      </c>
      <c r="M3355" s="549">
        <v>3684.81</v>
      </c>
      <c r="N3355" s="549">
        <v>1078.5999999999999</v>
      </c>
      <c r="O3355" s="549">
        <v>0</v>
      </c>
      <c r="P3355" s="549">
        <v>20.170000000000002</v>
      </c>
      <c r="Q3355" s="549">
        <v>960.78</v>
      </c>
    </row>
    <row r="3356" spans="1:17" x14ac:dyDescent="0.25">
      <c r="A3356" s="549" t="s">
        <v>1116</v>
      </c>
      <c r="B3356" s="549" t="s">
        <v>589</v>
      </c>
      <c r="C3356" s="549" t="s">
        <v>851</v>
      </c>
      <c r="D3356" s="549" t="s">
        <v>852</v>
      </c>
      <c r="E3356" s="549" t="s">
        <v>977</v>
      </c>
      <c r="F3356" s="549" t="s">
        <v>1212</v>
      </c>
      <c r="G3356" s="549" t="s">
        <v>1249</v>
      </c>
      <c r="H3356" s="549" t="s">
        <v>523</v>
      </c>
      <c r="I3356" s="549" t="s">
        <v>976</v>
      </c>
      <c r="J3356" s="549" t="s">
        <v>976</v>
      </c>
      <c r="K3356" s="549" t="s">
        <v>976</v>
      </c>
      <c r="L3356" s="549">
        <v>48805.45</v>
      </c>
      <c r="M3356" s="549">
        <v>3684.81</v>
      </c>
      <c r="N3356" s="549">
        <v>1078.5999999999999</v>
      </c>
      <c r="O3356" s="549">
        <v>0</v>
      </c>
      <c r="P3356" s="549">
        <v>20.170000000000002</v>
      </c>
      <c r="Q3356" s="549">
        <v>960.78</v>
      </c>
    </row>
    <row r="3357" spans="1:17" x14ac:dyDescent="0.25">
      <c r="A3357" s="549" t="s">
        <v>1116</v>
      </c>
      <c r="B3357" s="549" t="s">
        <v>589</v>
      </c>
      <c r="C3357" s="549" t="s">
        <v>851</v>
      </c>
      <c r="D3357" s="549" t="s">
        <v>852</v>
      </c>
      <c r="E3357" s="549" t="s">
        <v>977</v>
      </c>
      <c r="F3357" s="549" t="s">
        <v>1212</v>
      </c>
      <c r="G3357" s="549">
        <v>112</v>
      </c>
      <c r="H3357" s="549" t="s">
        <v>523</v>
      </c>
      <c r="I3357" s="549" t="s">
        <v>976</v>
      </c>
      <c r="J3357" s="549" t="s">
        <v>976</v>
      </c>
      <c r="K3357" s="549" t="s">
        <v>976</v>
      </c>
      <c r="L3357" s="549">
        <v>504629.39</v>
      </c>
      <c r="M3357" s="549">
        <v>38099.519999999997</v>
      </c>
      <c r="N3357" s="549">
        <v>11152.31</v>
      </c>
      <c r="O3357" s="549">
        <v>3968</v>
      </c>
      <c r="P3357" s="549">
        <v>100</v>
      </c>
      <c r="Q3357" s="549">
        <v>53219.83</v>
      </c>
    </row>
    <row r="3358" spans="1:17" x14ac:dyDescent="0.25">
      <c r="A3358" s="549" t="s">
        <v>1116</v>
      </c>
      <c r="B3358" s="549" t="s">
        <v>589</v>
      </c>
      <c r="C3358" s="549" t="s">
        <v>851</v>
      </c>
      <c r="D3358" s="549" t="s">
        <v>852</v>
      </c>
      <c r="E3358" s="549" t="s">
        <v>977</v>
      </c>
      <c r="F3358" s="549" t="s">
        <v>1212</v>
      </c>
      <c r="G3358" s="549">
        <v>92</v>
      </c>
      <c r="H3358" s="549" t="s">
        <v>523</v>
      </c>
      <c r="I3358" s="549" t="s">
        <v>976</v>
      </c>
      <c r="J3358" s="549" t="s">
        <v>976</v>
      </c>
      <c r="K3358" s="549" t="s">
        <v>976</v>
      </c>
      <c r="L3358" s="549">
        <v>504629.39</v>
      </c>
      <c r="M3358" s="549">
        <v>38099.519999999997</v>
      </c>
      <c r="N3358" s="549">
        <v>11152.31</v>
      </c>
      <c r="O3358" s="549">
        <v>3968</v>
      </c>
      <c r="P3358" s="549">
        <v>20.170000000000002</v>
      </c>
      <c r="Q3358" s="549">
        <v>10734.44</v>
      </c>
    </row>
    <row r="3359" spans="1:17" x14ac:dyDescent="0.25">
      <c r="A3359" s="549" t="s">
        <v>1116</v>
      </c>
      <c r="B3359" s="549" t="s">
        <v>589</v>
      </c>
      <c r="C3359" s="549" t="s">
        <v>851</v>
      </c>
      <c r="D3359" s="549" t="s">
        <v>852</v>
      </c>
      <c r="E3359" s="549" t="s">
        <v>977</v>
      </c>
      <c r="F3359" s="549" t="s">
        <v>1212</v>
      </c>
      <c r="G3359" s="549">
        <v>72</v>
      </c>
      <c r="H3359" s="549" t="s">
        <v>523</v>
      </c>
      <c r="I3359" s="549" t="s">
        <v>976</v>
      </c>
      <c r="J3359" s="549" t="s">
        <v>976</v>
      </c>
      <c r="K3359" s="549" t="s">
        <v>976</v>
      </c>
      <c r="L3359" s="549">
        <v>504629.39</v>
      </c>
      <c r="M3359" s="549">
        <v>38099.519999999997</v>
      </c>
      <c r="N3359" s="549">
        <v>11152.31</v>
      </c>
      <c r="O3359" s="549">
        <v>3968</v>
      </c>
      <c r="P3359" s="549">
        <v>20.170000000000002</v>
      </c>
      <c r="Q3359" s="549">
        <v>10734.44</v>
      </c>
    </row>
    <row r="3360" spans="1:17" x14ac:dyDescent="0.25">
      <c r="A3360" s="549" t="s">
        <v>1116</v>
      </c>
      <c r="B3360" s="549" t="s">
        <v>589</v>
      </c>
      <c r="C3360" s="549" t="s">
        <v>851</v>
      </c>
      <c r="D3360" s="549" t="s">
        <v>852</v>
      </c>
      <c r="E3360" s="549" t="s">
        <v>977</v>
      </c>
      <c r="F3360" s="549" t="s">
        <v>1212</v>
      </c>
      <c r="G3360" s="549">
        <v>132</v>
      </c>
      <c r="H3360" s="549" t="s">
        <v>855</v>
      </c>
      <c r="I3360" s="549" t="s">
        <v>976</v>
      </c>
      <c r="J3360" s="549" t="s">
        <v>976</v>
      </c>
      <c r="K3360" s="549" t="s">
        <v>976</v>
      </c>
      <c r="L3360" s="549">
        <v>509800.94</v>
      </c>
      <c r="M3360" s="549">
        <v>38489.97</v>
      </c>
      <c r="N3360" s="549">
        <v>11266.6</v>
      </c>
      <c r="O3360" s="549">
        <v>3968</v>
      </c>
      <c r="P3360" s="549">
        <v>16.82</v>
      </c>
      <c r="Q3360" s="549">
        <v>9036.4699999999993</v>
      </c>
    </row>
    <row r="3361" spans="1:17" x14ac:dyDescent="0.25">
      <c r="A3361" s="549" t="s">
        <v>1116</v>
      </c>
      <c r="B3361" s="549" t="s">
        <v>589</v>
      </c>
      <c r="C3361" s="549" t="s">
        <v>851</v>
      </c>
      <c r="D3361" s="549" t="s">
        <v>852</v>
      </c>
      <c r="E3361" s="549" t="s">
        <v>977</v>
      </c>
      <c r="F3361" s="549" t="s">
        <v>1212</v>
      </c>
      <c r="G3361" s="549">
        <v>112</v>
      </c>
      <c r="H3361" s="549" t="s">
        <v>855</v>
      </c>
      <c r="I3361" s="549" t="s">
        <v>976</v>
      </c>
      <c r="J3361" s="549" t="s">
        <v>976</v>
      </c>
      <c r="K3361" s="549" t="s">
        <v>976</v>
      </c>
      <c r="L3361" s="549">
        <v>509800.94</v>
      </c>
      <c r="M3361" s="549">
        <v>38489.97</v>
      </c>
      <c r="N3361" s="549">
        <v>11266.6</v>
      </c>
      <c r="O3361" s="549">
        <v>3968</v>
      </c>
      <c r="P3361" s="549">
        <v>16.82</v>
      </c>
      <c r="Q3361" s="549">
        <v>9036.4699999999993</v>
      </c>
    </row>
    <row r="3362" spans="1:17" x14ac:dyDescent="0.25">
      <c r="A3362" s="549" t="s">
        <v>1116</v>
      </c>
      <c r="B3362" s="549" t="s">
        <v>589</v>
      </c>
      <c r="C3362" s="549" t="s">
        <v>851</v>
      </c>
      <c r="D3362" s="549" t="s">
        <v>852</v>
      </c>
      <c r="E3362" s="549" t="s">
        <v>977</v>
      </c>
      <c r="F3362" s="549" t="s">
        <v>1212</v>
      </c>
      <c r="G3362" s="549" t="s">
        <v>1248</v>
      </c>
      <c r="H3362" s="549" t="s">
        <v>849</v>
      </c>
      <c r="I3362" s="549" t="s">
        <v>976</v>
      </c>
      <c r="J3362" s="549" t="s">
        <v>976</v>
      </c>
      <c r="K3362" s="549" t="s">
        <v>976</v>
      </c>
      <c r="L3362" s="549">
        <v>268770.3</v>
      </c>
      <c r="M3362" s="549">
        <v>20292.16</v>
      </c>
      <c r="N3362" s="549">
        <v>5939.82</v>
      </c>
      <c r="O3362" s="549">
        <v>992</v>
      </c>
      <c r="P3362" s="549">
        <v>20.170000000000002</v>
      </c>
      <c r="Q3362" s="549">
        <v>5491.08</v>
      </c>
    </row>
    <row r="3363" spans="1:17" x14ac:dyDescent="0.25">
      <c r="A3363" s="549" t="s">
        <v>1116</v>
      </c>
      <c r="B3363" s="549" t="s">
        <v>589</v>
      </c>
      <c r="C3363" s="549" t="s">
        <v>851</v>
      </c>
      <c r="D3363" s="549" t="s">
        <v>852</v>
      </c>
      <c r="E3363" s="549" t="s">
        <v>977</v>
      </c>
      <c r="F3363" s="549" t="s">
        <v>1212</v>
      </c>
      <c r="G3363" s="549" t="s">
        <v>1247</v>
      </c>
      <c r="H3363" s="549" t="s">
        <v>849</v>
      </c>
      <c r="I3363" s="549" t="s">
        <v>976</v>
      </c>
      <c r="J3363" s="549" t="s">
        <v>976</v>
      </c>
      <c r="K3363" s="549" t="s">
        <v>976</v>
      </c>
      <c r="L3363" s="549">
        <v>311322.25</v>
      </c>
      <c r="M3363" s="549">
        <v>23504.83</v>
      </c>
      <c r="N3363" s="549">
        <v>6880.22</v>
      </c>
      <c r="O3363" s="549">
        <v>992</v>
      </c>
      <c r="P3363" s="549">
        <v>16.82</v>
      </c>
      <c r="Q3363" s="549">
        <v>5277.62</v>
      </c>
    </row>
    <row r="3364" spans="1:17" x14ac:dyDescent="0.25">
      <c r="A3364" s="549" t="s">
        <v>1116</v>
      </c>
      <c r="B3364" s="549" t="s">
        <v>589</v>
      </c>
      <c r="C3364" s="549" t="s">
        <v>851</v>
      </c>
      <c r="D3364" s="549" t="s">
        <v>852</v>
      </c>
      <c r="E3364" s="549" t="s">
        <v>977</v>
      </c>
      <c r="F3364" s="549" t="s">
        <v>1212</v>
      </c>
      <c r="G3364" s="549" t="s">
        <v>1236</v>
      </c>
      <c r="H3364" s="549" t="s">
        <v>849</v>
      </c>
      <c r="I3364" s="549" t="s">
        <v>976</v>
      </c>
      <c r="J3364" s="549" t="s">
        <v>976</v>
      </c>
      <c r="K3364" s="549" t="s">
        <v>976</v>
      </c>
      <c r="L3364" s="549">
        <v>268770.3</v>
      </c>
      <c r="M3364" s="549">
        <v>20292.16</v>
      </c>
      <c r="N3364" s="549">
        <v>5939.82</v>
      </c>
      <c r="O3364" s="549">
        <v>992</v>
      </c>
      <c r="P3364" s="549">
        <v>20.170000000000002</v>
      </c>
      <c r="Q3364" s="549">
        <v>5491.08</v>
      </c>
    </row>
    <row r="3365" spans="1:17" x14ac:dyDescent="0.25">
      <c r="A3365" s="549" t="s">
        <v>1116</v>
      </c>
      <c r="B3365" s="549" t="s">
        <v>589</v>
      </c>
      <c r="C3365" s="549" t="s">
        <v>851</v>
      </c>
      <c r="D3365" s="549" t="s">
        <v>852</v>
      </c>
      <c r="E3365" s="549" t="s">
        <v>977</v>
      </c>
      <c r="F3365" s="549" t="s">
        <v>1212</v>
      </c>
      <c r="G3365" s="549" t="s">
        <v>1235</v>
      </c>
      <c r="H3365" s="549" t="s">
        <v>849</v>
      </c>
      <c r="I3365" s="549" t="s">
        <v>976</v>
      </c>
      <c r="J3365" s="549" t="s">
        <v>976</v>
      </c>
      <c r="K3365" s="549" t="s">
        <v>976</v>
      </c>
      <c r="L3365" s="549">
        <v>311322.25</v>
      </c>
      <c r="M3365" s="549">
        <v>23504.83</v>
      </c>
      <c r="N3365" s="549">
        <v>6880.22</v>
      </c>
      <c r="O3365" s="549">
        <v>992</v>
      </c>
      <c r="P3365" s="549">
        <v>16.82</v>
      </c>
      <c r="Q3365" s="549">
        <v>5277.62</v>
      </c>
    </row>
    <row r="3366" spans="1:17" x14ac:dyDescent="0.25">
      <c r="A3366" s="549" t="s">
        <v>1116</v>
      </c>
      <c r="B3366" s="549" t="s">
        <v>589</v>
      </c>
      <c r="C3366" s="549" t="s">
        <v>851</v>
      </c>
      <c r="D3366" s="549" t="s">
        <v>852</v>
      </c>
      <c r="E3366" s="549" t="s">
        <v>973</v>
      </c>
      <c r="F3366" s="549" t="s">
        <v>1212</v>
      </c>
      <c r="G3366" s="549" t="s">
        <v>1238</v>
      </c>
      <c r="H3366" s="549" t="s">
        <v>851</v>
      </c>
      <c r="I3366" s="549" t="s">
        <v>976</v>
      </c>
      <c r="J3366" s="549" t="s">
        <v>976</v>
      </c>
      <c r="K3366" s="549" t="s">
        <v>976</v>
      </c>
      <c r="L3366" s="549">
        <v>31102.38</v>
      </c>
      <c r="M3366" s="549">
        <v>2348.23</v>
      </c>
      <c r="N3366" s="549">
        <v>1785.28</v>
      </c>
      <c r="O3366" s="549">
        <v>0</v>
      </c>
      <c r="P3366" s="549">
        <v>0</v>
      </c>
      <c r="Q3366" s="549">
        <v>0</v>
      </c>
    </row>
    <row r="3367" spans="1:17" x14ac:dyDescent="0.25">
      <c r="A3367" s="549" t="s">
        <v>1116</v>
      </c>
      <c r="B3367" s="549" t="s">
        <v>589</v>
      </c>
      <c r="C3367" s="549" t="s">
        <v>851</v>
      </c>
      <c r="D3367" s="549" t="s">
        <v>852</v>
      </c>
      <c r="E3367" s="549" t="s">
        <v>973</v>
      </c>
      <c r="F3367" s="549" t="s">
        <v>1212</v>
      </c>
      <c r="G3367" s="549" t="s">
        <v>1309</v>
      </c>
      <c r="H3367" s="549" t="s">
        <v>851</v>
      </c>
      <c r="I3367" s="549" t="s">
        <v>976</v>
      </c>
      <c r="J3367" s="549" t="s">
        <v>976</v>
      </c>
      <c r="K3367" s="549" t="s">
        <v>976</v>
      </c>
      <c r="L3367" s="549">
        <v>31102.38</v>
      </c>
      <c r="M3367" s="549">
        <v>2348.23</v>
      </c>
      <c r="N3367" s="549">
        <v>1785.28</v>
      </c>
      <c r="O3367" s="549">
        <v>0</v>
      </c>
      <c r="P3367" s="549">
        <v>0</v>
      </c>
      <c r="Q3367" s="549">
        <v>0</v>
      </c>
    </row>
    <row r="3368" spans="1:17" x14ac:dyDescent="0.25">
      <c r="A3368" s="549" t="s">
        <v>1116</v>
      </c>
      <c r="B3368" s="549" t="s">
        <v>589</v>
      </c>
      <c r="C3368" s="549" t="s">
        <v>851</v>
      </c>
      <c r="D3368" s="549" t="s">
        <v>852</v>
      </c>
      <c r="E3368" s="549" t="s">
        <v>973</v>
      </c>
      <c r="F3368" s="549" t="s">
        <v>1212</v>
      </c>
      <c r="G3368" s="549" t="s">
        <v>1217</v>
      </c>
      <c r="H3368" s="549" t="s">
        <v>851</v>
      </c>
      <c r="I3368" s="549" t="s">
        <v>976</v>
      </c>
      <c r="J3368" s="549" t="s">
        <v>976</v>
      </c>
      <c r="K3368" s="549" t="s">
        <v>976</v>
      </c>
      <c r="L3368" s="549">
        <v>28843.58</v>
      </c>
      <c r="M3368" s="549">
        <v>2177.69</v>
      </c>
      <c r="N3368" s="549">
        <v>1655.62</v>
      </c>
      <c r="O3368" s="549">
        <v>0</v>
      </c>
      <c r="P3368" s="549">
        <v>0</v>
      </c>
      <c r="Q3368" s="549">
        <v>0</v>
      </c>
    </row>
    <row r="3369" spans="1:17" x14ac:dyDescent="0.25">
      <c r="A3369" s="549" t="s">
        <v>1116</v>
      </c>
      <c r="B3369" s="549" t="s">
        <v>589</v>
      </c>
      <c r="C3369" s="549" t="s">
        <v>851</v>
      </c>
      <c r="D3369" s="549" t="s">
        <v>852</v>
      </c>
      <c r="E3369" s="549" t="s">
        <v>973</v>
      </c>
      <c r="F3369" s="549" t="s">
        <v>1212</v>
      </c>
      <c r="G3369" s="549" t="s">
        <v>1216</v>
      </c>
      <c r="H3369" s="549" t="s">
        <v>851</v>
      </c>
      <c r="I3369" s="549" t="s">
        <v>976</v>
      </c>
      <c r="J3369" s="549" t="s">
        <v>976</v>
      </c>
      <c r="K3369" s="549" t="s">
        <v>976</v>
      </c>
      <c r="L3369" s="549">
        <v>28843.58</v>
      </c>
      <c r="M3369" s="549">
        <v>2177.69</v>
      </c>
      <c r="N3369" s="549">
        <v>1655.62</v>
      </c>
      <c r="O3369" s="549">
        <v>0</v>
      </c>
      <c r="P3369" s="549">
        <v>0</v>
      </c>
      <c r="Q3369" s="549">
        <v>0</v>
      </c>
    </row>
    <row r="3370" spans="1:17" x14ac:dyDescent="0.25">
      <c r="A3370" s="549" t="s">
        <v>1116</v>
      </c>
      <c r="B3370" s="549" t="s">
        <v>589</v>
      </c>
      <c r="C3370" s="549" t="s">
        <v>851</v>
      </c>
      <c r="D3370" s="549" t="s">
        <v>852</v>
      </c>
      <c r="E3370" s="549" t="s">
        <v>973</v>
      </c>
      <c r="F3370" s="549" t="s">
        <v>1212</v>
      </c>
      <c r="G3370" s="549" t="s">
        <v>1235</v>
      </c>
      <c r="H3370" s="549" t="s">
        <v>851</v>
      </c>
      <c r="I3370" s="549" t="s">
        <v>976</v>
      </c>
      <c r="J3370" s="549" t="s">
        <v>976</v>
      </c>
      <c r="K3370" s="549" t="s">
        <v>976</v>
      </c>
      <c r="L3370" s="549">
        <v>271431.39</v>
      </c>
      <c r="M3370" s="549">
        <v>20493.07</v>
      </c>
      <c r="N3370" s="549">
        <v>15580.16</v>
      </c>
      <c r="O3370" s="549">
        <v>992</v>
      </c>
      <c r="P3370" s="549">
        <v>0</v>
      </c>
      <c r="Q3370" s="549">
        <v>0</v>
      </c>
    </row>
    <row r="3371" spans="1:17" x14ac:dyDescent="0.25">
      <c r="A3371" s="549" t="s">
        <v>1116</v>
      </c>
      <c r="B3371" s="549" t="s">
        <v>589</v>
      </c>
      <c r="C3371" s="549" t="s">
        <v>851</v>
      </c>
      <c r="D3371" s="549" t="s">
        <v>852</v>
      </c>
      <c r="E3371" s="549" t="s">
        <v>973</v>
      </c>
      <c r="F3371" s="549" t="s">
        <v>1212</v>
      </c>
      <c r="G3371" s="549" t="s">
        <v>1466</v>
      </c>
      <c r="H3371" s="549" t="s">
        <v>851</v>
      </c>
      <c r="I3371" s="549" t="s">
        <v>976</v>
      </c>
      <c r="J3371" s="549" t="s">
        <v>976</v>
      </c>
      <c r="K3371" s="549" t="s">
        <v>976</v>
      </c>
      <c r="L3371" s="549">
        <v>0.02</v>
      </c>
      <c r="M3371" s="549">
        <v>0</v>
      </c>
      <c r="N3371" s="549">
        <v>0</v>
      </c>
      <c r="O3371" s="549">
        <v>1984</v>
      </c>
      <c r="P3371" s="549">
        <v>0</v>
      </c>
      <c r="Q3371" s="549">
        <v>0</v>
      </c>
    </row>
    <row r="3372" spans="1:17" x14ac:dyDescent="0.25">
      <c r="A3372" s="549" t="s">
        <v>1116</v>
      </c>
      <c r="B3372" s="549" t="s">
        <v>589</v>
      </c>
      <c r="C3372" s="549" t="s">
        <v>851</v>
      </c>
      <c r="D3372" s="549" t="s">
        <v>852</v>
      </c>
      <c r="E3372" s="549" t="s">
        <v>973</v>
      </c>
      <c r="F3372" s="549" t="s">
        <v>1212</v>
      </c>
      <c r="G3372" s="549">
        <v>2812</v>
      </c>
      <c r="H3372" s="549" t="s">
        <v>851</v>
      </c>
      <c r="I3372" s="549" t="s">
        <v>976</v>
      </c>
      <c r="J3372" s="549" t="s">
        <v>976</v>
      </c>
      <c r="K3372" s="549" t="s">
        <v>976</v>
      </c>
      <c r="L3372" s="549">
        <v>77761.23</v>
      </c>
      <c r="M3372" s="549">
        <v>5870.97</v>
      </c>
      <c r="N3372" s="549">
        <v>4463.49</v>
      </c>
      <c r="O3372" s="549">
        <v>992</v>
      </c>
      <c r="P3372" s="549">
        <v>0</v>
      </c>
      <c r="Q3372" s="549">
        <v>0</v>
      </c>
    </row>
    <row r="3373" spans="1:17" x14ac:dyDescent="0.25">
      <c r="A3373" s="549" t="s">
        <v>1116</v>
      </c>
      <c r="B3373" s="549" t="s">
        <v>589</v>
      </c>
      <c r="C3373" s="549" t="s">
        <v>851</v>
      </c>
      <c r="D3373" s="549" t="s">
        <v>852</v>
      </c>
      <c r="E3373" s="549" t="s">
        <v>973</v>
      </c>
      <c r="F3373" s="549" t="s">
        <v>1212</v>
      </c>
      <c r="G3373" s="549">
        <v>2798</v>
      </c>
      <c r="H3373" s="549" t="s">
        <v>851</v>
      </c>
      <c r="I3373" s="549" t="s">
        <v>976</v>
      </c>
      <c r="J3373" s="549" t="s">
        <v>976</v>
      </c>
      <c r="K3373" s="549" t="s">
        <v>976</v>
      </c>
      <c r="L3373" s="549">
        <v>75220.88</v>
      </c>
      <c r="M3373" s="549">
        <v>5679.18</v>
      </c>
      <c r="N3373" s="549">
        <v>4317.68</v>
      </c>
      <c r="O3373" s="549">
        <v>992</v>
      </c>
      <c r="P3373" s="549">
        <v>0</v>
      </c>
      <c r="Q3373" s="549">
        <v>0</v>
      </c>
    </row>
    <row r="3374" spans="1:17" x14ac:dyDescent="0.25">
      <c r="A3374" s="549" t="s">
        <v>1116</v>
      </c>
      <c r="B3374" s="549" t="s">
        <v>589</v>
      </c>
      <c r="C3374" s="549" t="s">
        <v>851</v>
      </c>
      <c r="D3374" s="549" t="s">
        <v>852</v>
      </c>
      <c r="E3374" s="549" t="s">
        <v>973</v>
      </c>
      <c r="F3374" s="549" t="s">
        <v>1212</v>
      </c>
      <c r="G3374" s="549">
        <v>2772</v>
      </c>
      <c r="H3374" s="549" t="s">
        <v>851</v>
      </c>
      <c r="I3374" s="549" t="s">
        <v>976</v>
      </c>
      <c r="J3374" s="549" t="s">
        <v>976</v>
      </c>
      <c r="K3374" s="549" t="s">
        <v>976</v>
      </c>
      <c r="L3374" s="549">
        <v>77761.23</v>
      </c>
      <c r="M3374" s="549">
        <v>5870.97</v>
      </c>
      <c r="N3374" s="549">
        <v>4463.49</v>
      </c>
      <c r="O3374" s="549">
        <v>992</v>
      </c>
      <c r="P3374" s="549">
        <v>0</v>
      </c>
      <c r="Q3374" s="549">
        <v>0</v>
      </c>
    </row>
    <row r="3375" spans="1:17" x14ac:dyDescent="0.25">
      <c r="A3375" s="549" t="s">
        <v>1116</v>
      </c>
      <c r="B3375" s="549" t="s">
        <v>589</v>
      </c>
      <c r="C3375" s="549" t="s">
        <v>851</v>
      </c>
      <c r="D3375" s="549" t="s">
        <v>852</v>
      </c>
      <c r="E3375" s="549" t="s">
        <v>973</v>
      </c>
      <c r="F3375" s="549" t="s">
        <v>1212</v>
      </c>
      <c r="G3375" s="549">
        <v>52</v>
      </c>
      <c r="H3375" s="549" t="s">
        <v>851</v>
      </c>
      <c r="I3375" s="549" t="s">
        <v>976</v>
      </c>
      <c r="J3375" s="549" t="s">
        <v>976</v>
      </c>
      <c r="K3375" s="549" t="s">
        <v>976</v>
      </c>
      <c r="L3375" s="549">
        <v>344086.71</v>
      </c>
      <c r="M3375" s="549">
        <v>25978.55</v>
      </c>
      <c r="N3375" s="549">
        <v>19750.580000000002</v>
      </c>
      <c r="O3375" s="549">
        <v>1984</v>
      </c>
      <c r="P3375" s="549">
        <v>0</v>
      </c>
      <c r="Q3375" s="549">
        <v>0</v>
      </c>
    </row>
    <row r="3376" spans="1:17" x14ac:dyDescent="0.25">
      <c r="A3376" s="549" t="s">
        <v>1116</v>
      </c>
      <c r="B3376" s="549" t="s">
        <v>589</v>
      </c>
      <c r="C3376" s="549" t="s">
        <v>851</v>
      </c>
      <c r="D3376" s="549" t="s">
        <v>852</v>
      </c>
      <c r="E3376" s="549" t="s">
        <v>973</v>
      </c>
      <c r="F3376" s="549" t="s">
        <v>1212</v>
      </c>
      <c r="G3376" s="549">
        <v>42</v>
      </c>
      <c r="H3376" s="549" t="s">
        <v>851</v>
      </c>
      <c r="I3376" s="549" t="s">
        <v>976</v>
      </c>
      <c r="J3376" s="549" t="s">
        <v>976</v>
      </c>
      <c r="K3376" s="549" t="s">
        <v>976</v>
      </c>
      <c r="L3376" s="549">
        <v>344086.71</v>
      </c>
      <c r="M3376" s="549">
        <v>25978.55</v>
      </c>
      <c r="N3376" s="549">
        <v>19750.580000000002</v>
      </c>
      <c r="O3376" s="549">
        <v>1984</v>
      </c>
      <c r="P3376" s="549">
        <v>0</v>
      </c>
      <c r="Q3376" s="549">
        <v>0</v>
      </c>
    </row>
    <row r="3377" spans="1:17" x14ac:dyDescent="0.25">
      <c r="A3377" s="549" t="s">
        <v>1202</v>
      </c>
      <c r="B3377" s="549" t="s">
        <v>1203</v>
      </c>
      <c r="C3377" s="549" t="s">
        <v>843</v>
      </c>
      <c r="D3377" s="549" t="s">
        <v>844</v>
      </c>
      <c r="E3377" s="549" t="s">
        <v>977</v>
      </c>
      <c r="F3377" s="549" t="s">
        <v>1212</v>
      </c>
      <c r="G3377" s="549">
        <v>722</v>
      </c>
      <c r="H3377" s="549" t="s">
        <v>843</v>
      </c>
      <c r="I3377" s="549" t="s">
        <v>976</v>
      </c>
      <c r="J3377" s="549" t="s">
        <v>976</v>
      </c>
      <c r="K3377" s="549" t="s">
        <v>976</v>
      </c>
      <c r="L3377" s="549">
        <v>464050.19</v>
      </c>
      <c r="M3377" s="549">
        <v>35035.79</v>
      </c>
      <c r="N3377" s="549">
        <v>10255.51</v>
      </c>
      <c r="O3377" s="549">
        <v>1984</v>
      </c>
      <c r="P3377" s="549">
        <v>0.03</v>
      </c>
      <c r="Q3377" s="549">
        <v>14.18</v>
      </c>
    </row>
    <row r="3378" spans="1:17" x14ac:dyDescent="0.25">
      <c r="A3378" s="549" t="s">
        <v>1202</v>
      </c>
      <c r="B3378" s="549" t="s">
        <v>1203</v>
      </c>
      <c r="C3378" s="549" t="s">
        <v>843</v>
      </c>
      <c r="D3378" s="549" t="s">
        <v>844</v>
      </c>
      <c r="E3378" s="549" t="s">
        <v>977</v>
      </c>
      <c r="F3378" s="549" t="s">
        <v>1212</v>
      </c>
      <c r="G3378" s="549">
        <v>762</v>
      </c>
      <c r="H3378" s="549" t="s">
        <v>843</v>
      </c>
      <c r="I3378" s="549" t="s">
        <v>976</v>
      </c>
      <c r="J3378" s="549" t="s">
        <v>976</v>
      </c>
      <c r="K3378" s="549" t="s">
        <v>976</v>
      </c>
      <c r="L3378" s="549">
        <v>482336.95</v>
      </c>
      <c r="M3378" s="549">
        <v>36416.44</v>
      </c>
      <c r="N3378" s="549">
        <v>10659.65</v>
      </c>
      <c r="O3378" s="549">
        <v>1984</v>
      </c>
      <c r="P3378" s="549">
        <v>0.03</v>
      </c>
      <c r="Q3378" s="549">
        <v>14.72</v>
      </c>
    </row>
    <row r="3379" spans="1:17" x14ac:dyDescent="0.25">
      <c r="A3379" s="549" t="s">
        <v>1116</v>
      </c>
      <c r="B3379" s="549" t="s">
        <v>589</v>
      </c>
      <c r="C3379" s="549" t="s">
        <v>851</v>
      </c>
      <c r="D3379" s="549" t="s">
        <v>852</v>
      </c>
      <c r="E3379" s="549" t="s">
        <v>973</v>
      </c>
      <c r="F3379" s="549" t="s">
        <v>1212</v>
      </c>
      <c r="G3379" s="549">
        <v>39</v>
      </c>
      <c r="H3379" s="549" t="s">
        <v>851</v>
      </c>
      <c r="I3379" s="549" t="s">
        <v>976</v>
      </c>
      <c r="J3379" s="549" t="s">
        <v>976</v>
      </c>
      <c r="K3379" s="549" t="s">
        <v>976</v>
      </c>
      <c r="L3379" s="549">
        <v>77761.23</v>
      </c>
      <c r="M3379" s="549">
        <v>5870.97</v>
      </c>
      <c r="N3379" s="549">
        <v>4463.49</v>
      </c>
      <c r="O3379" s="549">
        <v>992</v>
      </c>
      <c r="P3379" s="549">
        <v>0</v>
      </c>
      <c r="Q3379" s="549">
        <v>0</v>
      </c>
    </row>
    <row r="3380" spans="1:17" x14ac:dyDescent="0.25">
      <c r="A3380" s="549" t="s">
        <v>1116</v>
      </c>
      <c r="B3380" s="549" t="s">
        <v>589</v>
      </c>
      <c r="C3380" s="549" t="s">
        <v>851</v>
      </c>
      <c r="D3380" s="549" t="s">
        <v>852</v>
      </c>
      <c r="E3380" s="549" t="s">
        <v>973</v>
      </c>
      <c r="F3380" s="549" t="s">
        <v>1212</v>
      </c>
      <c r="G3380" s="549">
        <v>38</v>
      </c>
      <c r="H3380" s="549" t="s">
        <v>851</v>
      </c>
      <c r="I3380" s="549" t="s">
        <v>976</v>
      </c>
      <c r="J3380" s="549" t="s">
        <v>976</v>
      </c>
      <c r="K3380" s="549" t="s">
        <v>976</v>
      </c>
      <c r="L3380" s="549">
        <v>75220.88</v>
      </c>
      <c r="M3380" s="549">
        <v>5679.18</v>
      </c>
      <c r="N3380" s="549">
        <v>4317.68</v>
      </c>
      <c r="O3380" s="549">
        <v>992</v>
      </c>
      <c r="P3380" s="549">
        <v>0</v>
      </c>
      <c r="Q3380" s="549">
        <v>0</v>
      </c>
    </row>
    <row r="3381" spans="1:17" x14ac:dyDescent="0.25">
      <c r="A3381" s="549" t="s">
        <v>1202</v>
      </c>
      <c r="B3381" s="549" t="s">
        <v>1203</v>
      </c>
      <c r="C3381" s="549" t="s">
        <v>843</v>
      </c>
      <c r="D3381" s="549" t="s">
        <v>844</v>
      </c>
      <c r="E3381" s="549" t="s">
        <v>977</v>
      </c>
      <c r="F3381" s="549" t="s">
        <v>1212</v>
      </c>
      <c r="G3381" s="549">
        <v>1407</v>
      </c>
      <c r="H3381" s="549" t="s">
        <v>843</v>
      </c>
      <c r="I3381" s="549" t="s">
        <v>976</v>
      </c>
      <c r="J3381" s="549" t="s">
        <v>976</v>
      </c>
      <c r="K3381" s="549" t="s">
        <v>976</v>
      </c>
      <c r="L3381" s="549">
        <v>22970.62</v>
      </c>
      <c r="M3381" s="549">
        <v>1734.28</v>
      </c>
      <c r="N3381" s="549">
        <v>507.65</v>
      </c>
      <c r="O3381" s="549">
        <v>992</v>
      </c>
      <c r="P3381" s="549">
        <v>0.03</v>
      </c>
      <c r="Q3381" s="549">
        <v>0.97</v>
      </c>
    </row>
    <row r="3382" spans="1:17" x14ac:dyDescent="0.25">
      <c r="A3382" s="549" t="s">
        <v>1116</v>
      </c>
      <c r="B3382" s="549" t="s">
        <v>589</v>
      </c>
      <c r="C3382" s="549" t="s">
        <v>851</v>
      </c>
      <c r="D3382" s="549" t="s">
        <v>852</v>
      </c>
      <c r="E3382" s="549" t="s">
        <v>973</v>
      </c>
      <c r="F3382" s="549" t="s">
        <v>1212</v>
      </c>
      <c r="G3382" s="549">
        <v>37</v>
      </c>
      <c r="H3382" s="549" t="s">
        <v>851</v>
      </c>
      <c r="I3382" s="549" t="s">
        <v>976</v>
      </c>
      <c r="J3382" s="549" t="s">
        <v>976</v>
      </c>
      <c r="K3382" s="549" t="s">
        <v>976</v>
      </c>
      <c r="L3382" s="549">
        <v>77761.23</v>
      </c>
      <c r="M3382" s="549">
        <v>5870.97</v>
      </c>
      <c r="N3382" s="549">
        <v>4463.49</v>
      </c>
      <c r="O3382" s="549">
        <v>992</v>
      </c>
      <c r="P3382" s="549">
        <v>0</v>
      </c>
      <c r="Q3382" s="549">
        <v>0</v>
      </c>
    </row>
    <row r="3383" spans="1:17" x14ac:dyDescent="0.25">
      <c r="A3383" s="549" t="s">
        <v>1202</v>
      </c>
      <c r="B3383" s="549" t="s">
        <v>1203</v>
      </c>
      <c r="C3383" s="549" t="s">
        <v>843</v>
      </c>
      <c r="D3383" s="549" t="s">
        <v>844</v>
      </c>
      <c r="E3383" s="549" t="s">
        <v>977</v>
      </c>
      <c r="F3383" s="549" t="s">
        <v>1212</v>
      </c>
      <c r="G3383" s="549">
        <v>1527</v>
      </c>
      <c r="H3383" s="549" t="s">
        <v>843</v>
      </c>
      <c r="I3383" s="549" t="s">
        <v>976</v>
      </c>
      <c r="J3383" s="549" t="s">
        <v>976</v>
      </c>
      <c r="K3383" s="549" t="s">
        <v>976</v>
      </c>
      <c r="L3383" s="549">
        <v>22970.62</v>
      </c>
      <c r="M3383" s="549">
        <v>1734.28</v>
      </c>
      <c r="N3383" s="549">
        <v>507.65</v>
      </c>
      <c r="O3383" s="549">
        <v>992</v>
      </c>
      <c r="P3383" s="549">
        <v>0.03</v>
      </c>
      <c r="Q3383" s="549">
        <v>0.97</v>
      </c>
    </row>
    <row r="3384" spans="1:17" x14ac:dyDescent="0.25">
      <c r="A3384" s="549" t="s">
        <v>1116</v>
      </c>
      <c r="B3384" s="549" t="s">
        <v>589</v>
      </c>
      <c r="C3384" s="549" t="s">
        <v>851</v>
      </c>
      <c r="D3384" s="549" t="s">
        <v>852</v>
      </c>
      <c r="E3384" s="549" t="s">
        <v>973</v>
      </c>
      <c r="F3384" s="549" t="s">
        <v>1212</v>
      </c>
      <c r="G3384" s="549" t="s">
        <v>1250</v>
      </c>
      <c r="H3384" s="549" t="s">
        <v>523</v>
      </c>
      <c r="I3384" s="549" t="s">
        <v>976</v>
      </c>
      <c r="J3384" s="549" t="s">
        <v>976</v>
      </c>
      <c r="K3384" s="549" t="s">
        <v>976</v>
      </c>
      <c r="L3384" s="549">
        <v>48805.45</v>
      </c>
      <c r="M3384" s="549">
        <v>3684.81</v>
      </c>
      <c r="N3384" s="549">
        <v>2801.43</v>
      </c>
      <c r="O3384" s="549">
        <v>0</v>
      </c>
      <c r="P3384" s="549">
        <v>0</v>
      </c>
      <c r="Q3384" s="549">
        <v>0</v>
      </c>
    </row>
    <row r="3385" spans="1:17" x14ac:dyDescent="0.25">
      <c r="A3385" s="549" t="s">
        <v>1202</v>
      </c>
      <c r="B3385" s="549" t="s">
        <v>1203</v>
      </c>
      <c r="C3385" s="549" t="s">
        <v>843</v>
      </c>
      <c r="D3385" s="549" t="s">
        <v>844</v>
      </c>
      <c r="E3385" s="549" t="s">
        <v>977</v>
      </c>
      <c r="F3385" s="549" t="s">
        <v>1212</v>
      </c>
      <c r="G3385" s="549">
        <v>1572</v>
      </c>
      <c r="H3385" s="549" t="s">
        <v>843</v>
      </c>
      <c r="I3385" s="549" t="s">
        <v>976</v>
      </c>
      <c r="J3385" s="549" t="s">
        <v>976</v>
      </c>
      <c r="K3385" s="549" t="s">
        <v>976</v>
      </c>
      <c r="L3385" s="549">
        <v>152241.45000000001</v>
      </c>
      <c r="M3385" s="549">
        <v>11494.23</v>
      </c>
      <c r="N3385" s="549">
        <v>3364.54</v>
      </c>
      <c r="O3385" s="549">
        <v>1984</v>
      </c>
      <c r="P3385" s="549">
        <v>0.03</v>
      </c>
      <c r="Q3385" s="549">
        <v>5.05</v>
      </c>
    </row>
    <row r="3386" spans="1:17" x14ac:dyDescent="0.25">
      <c r="A3386" s="549" t="s">
        <v>1202</v>
      </c>
      <c r="B3386" s="549" t="s">
        <v>1203</v>
      </c>
      <c r="C3386" s="549" t="s">
        <v>843</v>
      </c>
      <c r="D3386" s="549" t="s">
        <v>844</v>
      </c>
      <c r="E3386" s="549" t="s">
        <v>977</v>
      </c>
      <c r="F3386" s="549" t="s">
        <v>1212</v>
      </c>
      <c r="G3386" s="549">
        <v>1592</v>
      </c>
      <c r="H3386" s="549" t="s">
        <v>843</v>
      </c>
      <c r="I3386" s="549" t="s">
        <v>976</v>
      </c>
      <c r="J3386" s="549" t="s">
        <v>976</v>
      </c>
      <c r="K3386" s="549" t="s">
        <v>976</v>
      </c>
      <c r="L3386" s="549">
        <v>152241.45000000001</v>
      </c>
      <c r="M3386" s="549">
        <v>11494.23</v>
      </c>
      <c r="N3386" s="549">
        <v>3364.54</v>
      </c>
      <c r="O3386" s="549">
        <v>1984</v>
      </c>
      <c r="P3386" s="549">
        <v>0.03</v>
      </c>
      <c r="Q3386" s="549">
        <v>5.05</v>
      </c>
    </row>
    <row r="3387" spans="1:17" x14ac:dyDescent="0.25">
      <c r="A3387" s="549" t="s">
        <v>1202</v>
      </c>
      <c r="B3387" s="549" t="s">
        <v>1203</v>
      </c>
      <c r="C3387" s="549" t="s">
        <v>843</v>
      </c>
      <c r="D3387" s="549" t="s">
        <v>844</v>
      </c>
      <c r="E3387" s="549" t="s">
        <v>977</v>
      </c>
      <c r="F3387" s="549" t="s">
        <v>1212</v>
      </c>
      <c r="G3387" s="549">
        <v>1607</v>
      </c>
      <c r="H3387" s="549" t="s">
        <v>843</v>
      </c>
      <c r="I3387" s="549" t="s">
        <v>976</v>
      </c>
      <c r="J3387" s="549" t="s">
        <v>976</v>
      </c>
      <c r="K3387" s="549" t="s">
        <v>976</v>
      </c>
      <c r="L3387" s="549">
        <v>22970.62</v>
      </c>
      <c r="M3387" s="549">
        <v>1734.28</v>
      </c>
      <c r="N3387" s="549">
        <v>507.65</v>
      </c>
      <c r="O3387" s="549">
        <v>992</v>
      </c>
      <c r="P3387" s="549">
        <v>0.03</v>
      </c>
      <c r="Q3387" s="549">
        <v>0.97</v>
      </c>
    </row>
    <row r="3388" spans="1:17" x14ac:dyDescent="0.25">
      <c r="A3388" s="549" t="s">
        <v>1202</v>
      </c>
      <c r="B3388" s="549" t="s">
        <v>1203</v>
      </c>
      <c r="C3388" s="549" t="s">
        <v>843</v>
      </c>
      <c r="D3388" s="549" t="s">
        <v>844</v>
      </c>
      <c r="E3388" s="549" t="s">
        <v>977</v>
      </c>
      <c r="F3388" s="549" t="s">
        <v>1212</v>
      </c>
      <c r="G3388" s="549">
        <v>1647</v>
      </c>
      <c r="H3388" s="549" t="s">
        <v>843</v>
      </c>
      <c r="I3388" s="549" t="s">
        <v>976</v>
      </c>
      <c r="J3388" s="549" t="s">
        <v>976</v>
      </c>
      <c r="K3388" s="549" t="s">
        <v>976</v>
      </c>
      <c r="L3388" s="549">
        <v>22970.62</v>
      </c>
      <c r="M3388" s="549">
        <v>1734.28</v>
      </c>
      <c r="N3388" s="549">
        <v>507.65</v>
      </c>
      <c r="O3388" s="549">
        <v>992</v>
      </c>
      <c r="P3388" s="549">
        <v>0.03</v>
      </c>
      <c r="Q3388" s="549">
        <v>0.97</v>
      </c>
    </row>
    <row r="3389" spans="1:17" x14ac:dyDescent="0.25">
      <c r="A3389" s="549" t="s">
        <v>1116</v>
      </c>
      <c r="B3389" s="549" t="s">
        <v>589</v>
      </c>
      <c r="C3389" s="549" t="s">
        <v>851</v>
      </c>
      <c r="D3389" s="549" t="s">
        <v>852</v>
      </c>
      <c r="E3389" s="549" t="s">
        <v>973</v>
      </c>
      <c r="F3389" s="549" t="s">
        <v>1212</v>
      </c>
      <c r="G3389" s="549" t="s">
        <v>1249</v>
      </c>
      <c r="H3389" s="549" t="s">
        <v>523</v>
      </c>
      <c r="I3389" s="549" t="s">
        <v>976</v>
      </c>
      <c r="J3389" s="549" t="s">
        <v>976</v>
      </c>
      <c r="K3389" s="549" t="s">
        <v>976</v>
      </c>
      <c r="L3389" s="549">
        <v>48805.45</v>
      </c>
      <c r="M3389" s="549">
        <v>3684.81</v>
      </c>
      <c r="N3389" s="549">
        <v>2801.43</v>
      </c>
      <c r="O3389" s="549">
        <v>0</v>
      </c>
      <c r="P3389" s="549">
        <v>0</v>
      </c>
      <c r="Q3389" s="549">
        <v>0</v>
      </c>
    </row>
    <row r="3390" spans="1:17" x14ac:dyDescent="0.25">
      <c r="A3390" s="549" t="s">
        <v>1116</v>
      </c>
      <c r="B3390" s="549" t="s">
        <v>589</v>
      </c>
      <c r="C3390" s="549" t="s">
        <v>851</v>
      </c>
      <c r="D3390" s="549" t="s">
        <v>852</v>
      </c>
      <c r="E3390" s="549" t="s">
        <v>973</v>
      </c>
      <c r="F3390" s="549" t="s">
        <v>1212</v>
      </c>
      <c r="G3390" s="549">
        <v>112</v>
      </c>
      <c r="H3390" s="549" t="s">
        <v>523</v>
      </c>
      <c r="I3390" s="549" t="s">
        <v>976</v>
      </c>
      <c r="J3390" s="549" t="s">
        <v>976</v>
      </c>
      <c r="K3390" s="549" t="s">
        <v>976</v>
      </c>
      <c r="L3390" s="549">
        <v>504629.39</v>
      </c>
      <c r="M3390" s="549">
        <v>38099.519999999997</v>
      </c>
      <c r="N3390" s="549">
        <v>28965.73</v>
      </c>
      <c r="O3390" s="549">
        <v>3968</v>
      </c>
      <c r="P3390" s="549">
        <v>0</v>
      </c>
      <c r="Q3390" s="549">
        <v>0</v>
      </c>
    </row>
    <row r="3391" spans="1:17" x14ac:dyDescent="0.25">
      <c r="A3391" s="549" t="s">
        <v>1116</v>
      </c>
      <c r="B3391" s="549" t="s">
        <v>589</v>
      </c>
      <c r="C3391" s="549" t="s">
        <v>851</v>
      </c>
      <c r="D3391" s="549" t="s">
        <v>852</v>
      </c>
      <c r="E3391" s="549" t="s">
        <v>973</v>
      </c>
      <c r="F3391" s="549" t="s">
        <v>1212</v>
      </c>
      <c r="G3391" s="549">
        <v>92</v>
      </c>
      <c r="H3391" s="549" t="s">
        <v>523</v>
      </c>
      <c r="I3391" s="549" t="s">
        <v>976</v>
      </c>
      <c r="J3391" s="549" t="s">
        <v>976</v>
      </c>
      <c r="K3391" s="549" t="s">
        <v>976</v>
      </c>
      <c r="L3391" s="549">
        <v>504629.39</v>
      </c>
      <c r="M3391" s="549">
        <v>38099.519999999997</v>
      </c>
      <c r="N3391" s="549">
        <v>28965.73</v>
      </c>
      <c r="O3391" s="549">
        <v>3968</v>
      </c>
      <c r="P3391" s="549">
        <v>0</v>
      </c>
      <c r="Q3391" s="549">
        <v>0</v>
      </c>
    </row>
    <row r="3392" spans="1:17" x14ac:dyDescent="0.25">
      <c r="A3392" s="549" t="s">
        <v>1116</v>
      </c>
      <c r="B3392" s="549" t="s">
        <v>589</v>
      </c>
      <c r="C3392" s="549" t="s">
        <v>851</v>
      </c>
      <c r="D3392" s="549" t="s">
        <v>852</v>
      </c>
      <c r="E3392" s="549" t="s">
        <v>973</v>
      </c>
      <c r="F3392" s="549" t="s">
        <v>1212</v>
      </c>
      <c r="G3392" s="549">
        <v>72</v>
      </c>
      <c r="H3392" s="549" t="s">
        <v>523</v>
      </c>
      <c r="I3392" s="549" t="s">
        <v>976</v>
      </c>
      <c r="J3392" s="549" t="s">
        <v>976</v>
      </c>
      <c r="K3392" s="549" t="s">
        <v>976</v>
      </c>
      <c r="L3392" s="549">
        <v>504629.39</v>
      </c>
      <c r="M3392" s="549">
        <v>38099.519999999997</v>
      </c>
      <c r="N3392" s="549">
        <v>28965.73</v>
      </c>
      <c r="O3392" s="549">
        <v>3968</v>
      </c>
      <c r="P3392" s="549">
        <v>0</v>
      </c>
      <c r="Q3392" s="549">
        <v>0</v>
      </c>
    </row>
    <row r="3393" spans="1:17" x14ac:dyDescent="0.25">
      <c r="A3393" s="549" t="s">
        <v>1116</v>
      </c>
      <c r="B3393" s="549" t="s">
        <v>589</v>
      </c>
      <c r="C3393" s="549" t="s">
        <v>851</v>
      </c>
      <c r="D3393" s="549" t="s">
        <v>852</v>
      </c>
      <c r="E3393" s="549" t="s">
        <v>973</v>
      </c>
      <c r="F3393" s="549" t="s">
        <v>1212</v>
      </c>
      <c r="G3393" s="549">
        <v>132</v>
      </c>
      <c r="H3393" s="549" t="s">
        <v>855</v>
      </c>
      <c r="I3393" s="549" t="s">
        <v>976</v>
      </c>
      <c r="J3393" s="549" t="s">
        <v>976</v>
      </c>
      <c r="K3393" s="549" t="s">
        <v>976</v>
      </c>
      <c r="L3393" s="549">
        <v>509800.94</v>
      </c>
      <c r="M3393" s="549">
        <v>38489.97</v>
      </c>
      <c r="N3393" s="549">
        <v>29262.57</v>
      </c>
      <c r="O3393" s="549">
        <v>3968</v>
      </c>
      <c r="P3393" s="549">
        <v>0</v>
      </c>
      <c r="Q3393" s="549">
        <v>0</v>
      </c>
    </row>
    <row r="3394" spans="1:17" x14ac:dyDescent="0.25">
      <c r="A3394" s="549" t="s">
        <v>1116</v>
      </c>
      <c r="B3394" s="549" t="s">
        <v>589</v>
      </c>
      <c r="C3394" s="549" t="s">
        <v>851</v>
      </c>
      <c r="D3394" s="549" t="s">
        <v>852</v>
      </c>
      <c r="E3394" s="549" t="s">
        <v>973</v>
      </c>
      <c r="F3394" s="549" t="s">
        <v>1212</v>
      </c>
      <c r="G3394" s="549">
        <v>112</v>
      </c>
      <c r="H3394" s="549" t="s">
        <v>855</v>
      </c>
      <c r="I3394" s="549" t="s">
        <v>976</v>
      </c>
      <c r="J3394" s="549" t="s">
        <v>976</v>
      </c>
      <c r="K3394" s="549" t="s">
        <v>976</v>
      </c>
      <c r="L3394" s="549">
        <v>509800.94</v>
      </c>
      <c r="M3394" s="549">
        <v>38489.97</v>
      </c>
      <c r="N3394" s="549">
        <v>29262.57</v>
      </c>
      <c r="O3394" s="549">
        <v>3968</v>
      </c>
      <c r="P3394" s="549">
        <v>0</v>
      </c>
      <c r="Q3394" s="549">
        <v>0</v>
      </c>
    </row>
    <row r="3395" spans="1:17" x14ac:dyDescent="0.25">
      <c r="A3395" s="549" t="s">
        <v>1202</v>
      </c>
      <c r="B3395" s="549" t="s">
        <v>1203</v>
      </c>
      <c r="C3395" s="549" t="s">
        <v>843</v>
      </c>
      <c r="D3395" s="549" t="s">
        <v>844</v>
      </c>
      <c r="E3395" s="549" t="s">
        <v>977</v>
      </c>
      <c r="F3395" s="549" t="s">
        <v>1212</v>
      </c>
      <c r="G3395" s="549">
        <v>2032</v>
      </c>
      <c r="H3395" s="549" t="s">
        <v>843</v>
      </c>
      <c r="I3395" s="549" t="s">
        <v>1310</v>
      </c>
      <c r="J3395" s="549" t="s">
        <v>1310</v>
      </c>
      <c r="K3395" s="549" t="s">
        <v>1310</v>
      </c>
      <c r="L3395" s="549">
        <v>0.02</v>
      </c>
      <c r="M3395" s="549">
        <v>0</v>
      </c>
      <c r="N3395" s="549">
        <v>0</v>
      </c>
      <c r="O3395" s="549">
        <v>0</v>
      </c>
      <c r="P3395" s="549">
        <v>0.03</v>
      </c>
      <c r="Q3395" s="549">
        <v>0</v>
      </c>
    </row>
    <row r="3396" spans="1:17" x14ac:dyDescent="0.25">
      <c r="A3396" s="549" t="s">
        <v>1202</v>
      </c>
      <c r="B3396" s="549" t="s">
        <v>1203</v>
      </c>
      <c r="C3396" s="549" t="s">
        <v>843</v>
      </c>
      <c r="D3396" s="549" t="s">
        <v>844</v>
      </c>
      <c r="E3396" s="549" t="s">
        <v>977</v>
      </c>
      <c r="F3396" s="549" t="s">
        <v>1212</v>
      </c>
      <c r="G3396" s="549">
        <v>7002</v>
      </c>
      <c r="H3396" s="549" t="s">
        <v>843</v>
      </c>
      <c r="I3396" s="549" t="s">
        <v>976</v>
      </c>
      <c r="J3396" s="549" t="s">
        <v>976</v>
      </c>
      <c r="K3396" s="549" t="s">
        <v>976</v>
      </c>
      <c r="L3396" s="549">
        <v>234357.8</v>
      </c>
      <c r="M3396" s="549">
        <v>17694.009999999998</v>
      </c>
      <c r="N3396" s="549">
        <v>5179.3100000000004</v>
      </c>
      <c r="O3396" s="549">
        <v>1984</v>
      </c>
      <c r="P3396" s="549">
        <v>0.03</v>
      </c>
      <c r="Q3396" s="549">
        <v>7.46</v>
      </c>
    </row>
    <row r="3397" spans="1:17" x14ac:dyDescent="0.25">
      <c r="A3397" s="549" t="s">
        <v>1202</v>
      </c>
      <c r="B3397" s="549" t="s">
        <v>1203</v>
      </c>
      <c r="C3397" s="549" t="s">
        <v>843</v>
      </c>
      <c r="D3397" s="549" t="s">
        <v>844</v>
      </c>
      <c r="E3397" s="549" t="s">
        <v>977</v>
      </c>
      <c r="F3397" s="549" t="s">
        <v>1212</v>
      </c>
      <c r="G3397" s="549" t="s">
        <v>1468</v>
      </c>
      <c r="H3397" s="549" t="s">
        <v>843</v>
      </c>
      <c r="I3397" s="549" t="s">
        <v>976</v>
      </c>
      <c r="J3397" s="549" t="s">
        <v>976</v>
      </c>
      <c r="K3397" s="549" t="s">
        <v>976</v>
      </c>
      <c r="L3397" s="549">
        <v>39103.699999999997</v>
      </c>
      <c r="M3397" s="549">
        <v>2952.33</v>
      </c>
      <c r="N3397" s="549">
        <v>864.19</v>
      </c>
      <c r="O3397" s="549">
        <v>1984</v>
      </c>
      <c r="P3397" s="549">
        <v>0.03</v>
      </c>
      <c r="Q3397" s="549">
        <v>1.74</v>
      </c>
    </row>
    <row r="3398" spans="1:17" x14ac:dyDescent="0.25">
      <c r="A3398" s="549" t="s">
        <v>1202</v>
      </c>
      <c r="B3398" s="549" t="s">
        <v>1203</v>
      </c>
      <c r="C3398" s="549" t="s">
        <v>843</v>
      </c>
      <c r="D3398" s="549" t="s">
        <v>844</v>
      </c>
      <c r="E3398" s="549" t="s">
        <v>977</v>
      </c>
      <c r="F3398" s="549" t="s">
        <v>1212</v>
      </c>
      <c r="G3398" s="549" t="s">
        <v>1469</v>
      </c>
      <c r="H3398" s="549" t="s">
        <v>843</v>
      </c>
      <c r="I3398" s="549" t="s">
        <v>976</v>
      </c>
      <c r="J3398" s="549" t="s">
        <v>976</v>
      </c>
      <c r="K3398" s="549" t="s">
        <v>976</v>
      </c>
      <c r="L3398" s="549">
        <v>39103.699999999997</v>
      </c>
      <c r="M3398" s="549">
        <v>2952.33</v>
      </c>
      <c r="N3398" s="549">
        <v>864.19</v>
      </c>
      <c r="O3398" s="549">
        <v>1984</v>
      </c>
      <c r="P3398" s="549">
        <v>0.03</v>
      </c>
      <c r="Q3398" s="549">
        <v>1.74</v>
      </c>
    </row>
    <row r="3399" spans="1:17" x14ac:dyDescent="0.25">
      <c r="A3399" s="549" t="s">
        <v>1202</v>
      </c>
      <c r="B3399" s="549" t="s">
        <v>1203</v>
      </c>
      <c r="C3399" s="549" t="s">
        <v>843</v>
      </c>
      <c r="D3399" s="549" t="s">
        <v>844</v>
      </c>
      <c r="E3399" s="549" t="s">
        <v>977</v>
      </c>
      <c r="F3399" s="549" t="s">
        <v>1212</v>
      </c>
      <c r="G3399" s="549" t="s">
        <v>1470</v>
      </c>
      <c r="H3399" s="549" t="s">
        <v>843</v>
      </c>
      <c r="I3399" s="549" t="s">
        <v>976</v>
      </c>
      <c r="J3399" s="549" t="s">
        <v>976</v>
      </c>
      <c r="K3399" s="549" t="s">
        <v>976</v>
      </c>
      <c r="L3399" s="549">
        <v>30588.13</v>
      </c>
      <c r="M3399" s="549">
        <v>2309.4</v>
      </c>
      <c r="N3399" s="549">
        <v>676</v>
      </c>
      <c r="O3399" s="549">
        <v>0</v>
      </c>
      <c r="P3399" s="549">
        <v>100</v>
      </c>
      <c r="Q3399" s="549">
        <v>2985.4</v>
      </c>
    </row>
    <row r="3400" spans="1:17" x14ac:dyDescent="0.25">
      <c r="A3400" s="549" t="s">
        <v>1202</v>
      </c>
      <c r="B3400" s="549" t="s">
        <v>1203</v>
      </c>
      <c r="C3400" s="549" t="s">
        <v>843</v>
      </c>
      <c r="D3400" s="549" t="s">
        <v>844</v>
      </c>
      <c r="E3400" s="549" t="s">
        <v>977</v>
      </c>
      <c r="F3400" s="549" t="s">
        <v>1212</v>
      </c>
      <c r="G3400" s="549" t="s">
        <v>1471</v>
      </c>
      <c r="H3400" s="549" t="s">
        <v>843</v>
      </c>
      <c r="I3400" s="549" t="s">
        <v>976</v>
      </c>
      <c r="J3400" s="549" t="s">
        <v>976</v>
      </c>
      <c r="K3400" s="549" t="s">
        <v>976</v>
      </c>
      <c r="L3400" s="549">
        <v>30588.13</v>
      </c>
      <c r="M3400" s="549">
        <v>2309.4</v>
      </c>
      <c r="N3400" s="549">
        <v>676</v>
      </c>
      <c r="O3400" s="549">
        <v>0</v>
      </c>
      <c r="P3400" s="549">
        <v>100</v>
      </c>
      <c r="Q3400" s="549">
        <v>2985.4</v>
      </c>
    </row>
    <row r="3401" spans="1:17" x14ac:dyDescent="0.25">
      <c r="A3401" s="549" t="s">
        <v>1202</v>
      </c>
      <c r="B3401" s="549" t="s">
        <v>1203</v>
      </c>
      <c r="C3401" s="549" t="s">
        <v>843</v>
      </c>
      <c r="D3401" s="549" t="s">
        <v>844</v>
      </c>
      <c r="E3401" s="549" t="s">
        <v>977</v>
      </c>
      <c r="F3401" s="549" t="s">
        <v>1212</v>
      </c>
      <c r="G3401" s="549" t="s">
        <v>1261</v>
      </c>
      <c r="H3401" s="549" t="s">
        <v>843</v>
      </c>
      <c r="I3401" s="549" t="s">
        <v>976</v>
      </c>
      <c r="J3401" s="549" t="s">
        <v>976</v>
      </c>
      <c r="K3401" s="549" t="s">
        <v>976</v>
      </c>
      <c r="L3401" s="549">
        <v>30588.13</v>
      </c>
      <c r="M3401" s="549">
        <v>2309.4</v>
      </c>
      <c r="N3401" s="549">
        <v>676</v>
      </c>
      <c r="O3401" s="549">
        <v>0</v>
      </c>
      <c r="P3401" s="549">
        <v>0</v>
      </c>
      <c r="Q3401" s="549">
        <v>0</v>
      </c>
    </row>
    <row r="3402" spans="1:17" x14ac:dyDescent="0.25">
      <c r="A3402" s="549" t="s">
        <v>1202</v>
      </c>
      <c r="B3402" s="549" t="s">
        <v>1203</v>
      </c>
      <c r="C3402" s="549" t="s">
        <v>843</v>
      </c>
      <c r="D3402" s="549" t="s">
        <v>844</v>
      </c>
      <c r="E3402" s="549" t="s">
        <v>977</v>
      </c>
      <c r="F3402" s="549" t="s">
        <v>1212</v>
      </c>
      <c r="G3402" s="549" t="s">
        <v>1472</v>
      </c>
      <c r="H3402" s="549" t="s">
        <v>843</v>
      </c>
      <c r="I3402" s="549" t="s">
        <v>976</v>
      </c>
      <c r="J3402" s="549" t="s">
        <v>976</v>
      </c>
      <c r="K3402" s="549" t="s">
        <v>976</v>
      </c>
      <c r="L3402" s="549">
        <v>30588.13</v>
      </c>
      <c r="M3402" s="549">
        <v>2309.4</v>
      </c>
      <c r="N3402" s="549">
        <v>676</v>
      </c>
      <c r="O3402" s="549">
        <v>0</v>
      </c>
      <c r="P3402" s="549">
        <v>0</v>
      </c>
      <c r="Q3402" s="549">
        <v>0</v>
      </c>
    </row>
    <row r="3403" spans="1:17" x14ac:dyDescent="0.25">
      <c r="A3403" s="549" t="s">
        <v>1202</v>
      </c>
      <c r="B3403" s="549" t="s">
        <v>1203</v>
      </c>
      <c r="C3403" s="549" t="s">
        <v>843</v>
      </c>
      <c r="D3403" s="549" t="s">
        <v>844</v>
      </c>
      <c r="E3403" s="549" t="s">
        <v>977</v>
      </c>
      <c r="F3403" s="549" t="s">
        <v>1212</v>
      </c>
      <c r="G3403" s="549" t="s">
        <v>1473</v>
      </c>
      <c r="H3403" s="549" t="s">
        <v>843</v>
      </c>
      <c r="I3403" s="549" t="s">
        <v>976</v>
      </c>
      <c r="J3403" s="549" t="s">
        <v>976</v>
      </c>
      <c r="K3403" s="549" t="s">
        <v>976</v>
      </c>
      <c r="L3403" s="549">
        <v>30010.81</v>
      </c>
      <c r="M3403" s="549">
        <v>2265.8200000000002</v>
      </c>
      <c r="N3403" s="549">
        <v>663.24</v>
      </c>
      <c r="O3403" s="549">
        <v>0</v>
      </c>
      <c r="P3403" s="549">
        <v>0</v>
      </c>
      <c r="Q3403" s="549">
        <v>0</v>
      </c>
    </row>
    <row r="3404" spans="1:17" x14ac:dyDescent="0.25">
      <c r="A3404" s="549" t="s">
        <v>1202</v>
      </c>
      <c r="B3404" s="549" t="s">
        <v>1203</v>
      </c>
      <c r="C3404" s="549" t="s">
        <v>843</v>
      </c>
      <c r="D3404" s="549" t="s">
        <v>844</v>
      </c>
      <c r="E3404" s="549" t="s">
        <v>977</v>
      </c>
      <c r="F3404" s="549" t="s">
        <v>1212</v>
      </c>
      <c r="G3404" s="549" t="s">
        <v>1474</v>
      </c>
      <c r="H3404" s="549" t="s">
        <v>843</v>
      </c>
      <c r="I3404" s="549" t="s">
        <v>976</v>
      </c>
      <c r="J3404" s="549" t="s">
        <v>976</v>
      </c>
      <c r="K3404" s="549" t="s">
        <v>976</v>
      </c>
      <c r="L3404" s="549">
        <v>30010.81</v>
      </c>
      <c r="M3404" s="549">
        <v>2265.8200000000002</v>
      </c>
      <c r="N3404" s="549">
        <v>663.24</v>
      </c>
      <c r="O3404" s="549">
        <v>0</v>
      </c>
      <c r="P3404" s="549">
        <v>0</v>
      </c>
      <c r="Q3404" s="549">
        <v>0</v>
      </c>
    </row>
    <row r="3405" spans="1:17" x14ac:dyDescent="0.25">
      <c r="A3405" s="549" t="s">
        <v>1202</v>
      </c>
      <c r="B3405" s="549" t="s">
        <v>1203</v>
      </c>
      <c r="C3405" s="549" t="s">
        <v>843</v>
      </c>
      <c r="D3405" s="549" t="s">
        <v>844</v>
      </c>
      <c r="E3405" s="549" t="s">
        <v>977</v>
      </c>
      <c r="F3405" s="549" t="s">
        <v>1212</v>
      </c>
      <c r="G3405" s="549" t="s">
        <v>1475</v>
      </c>
      <c r="H3405" s="549" t="s">
        <v>843</v>
      </c>
      <c r="I3405" s="549" t="s">
        <v>976</v>
      </c>
      <c r="J3405" s="549" t="s">
        <v>976</v>
      </c>
      <c r="K3405" s="549" t="s">
        <v>976</v>
      </c>
      <c r="L3405" s="549">
        <v>31683.14</v>
      </c>
      <c r="M3405" s="549">
        <v>2392.08</v>
      </c>
      <c r="N3405" s="549">
        <v>700.2</v>
      </c>
      <c r="O3405" s="549">
        <v>0</v>
      </c>
      <c r="P3405" s="549">
        <v>0.03</v>
      </c>
      <c r="Q3405" s="549">
        <v>0.93</v>
      </c>
    </row>
    <row r="3406" spans="1:17" x14ac:dyDescent="0.25">
      <c r="A3406" s="549" t="s">
        <v>1116</v>
      </c>
      <c r="B3406" s="549" t="s">
        <v>589</v>
      </c>
      <c r="C3406" s="549" t="s">
        <v>851</v>
      </c>
      <c r="D3406" s="549" t="s">
        <v>852</v>
      </c>
      <c r="E3406" s="549" t="s">
        <v>973</v>
      </c>
      <c r="F3406" s="549" t="s">
        <v>1212</v>
      </c>
      <c r="G3406" s="549" t="s">
        <v>1248</v>
      </c>
      <c r="H3406" s="549" t="s">
        <v>849</v>
      </c>
      <c r="I3406" s="549" t="s">
        <v>976</v>
      </c>
      <c r="J3406" s="549" t="s">
        <v>976</v>
      </c>
      <c r="K3406" s="549" t="s">
        <v>976</v>
      </c>
      <c r="L3406" s="549">
        <v>268770.3</v>
      </c>
      <c r="M3406" s="549">
        <v>20292.16</v>
      </c>
      <c r="N3406" s="549">
        <v>15427.42</v>
      </c>
      <c r="O3406" s="549">
        <v>992</v>
      </c>
      <c r="P3406" s="549">
        <v>0</v>
      </c>
      <c r="Q3406" s="549">
        <v>0</v>
      </c>
    </row>
    <row r="3407" spans="1:17" x14ac:dyDescent="0.25">
      <c r="A3407" s="549" t="s">
        <v>1116</v>
      </c>
      <c r="B3407" s="549" t="s">
        <v>589</v>
      </c>
      <c r="C3407" s="549" t="s">
        <v>851</v>
      </c>
      <c r="D3407" s="549" t="s">
        <v>852</v>
      </c>
      <c r="E3407" s="549" t="s">
        <v>973</v>
      </c>
      <c r="F3407" s="549" t="s">
        <v>1212</v>
      </c>
      <c r="G3407" s="549" t="s">
        <v>1247</v>
      </c>
      <c r="H3407" s="549" t="s">
        <v>849</v>
      </c>
      <c r="I3407" s="549" t="s">
        <v>976</v>
      </c>
      <c r="J3407" s="549" t="s">
        <v>976</v>
      </c>
      <c r="K3407" s="549" t="s">
        <v>976</v>
      </c>
      <c r="L3407" s="549">
        <v>311322.25</v>
      </c>
      <c r="M3407" s="549">
        <v>23504.83</v>
      </c>
      <c r="N3407" s="549">
        <v>17869.900000000001</v>
      </c>
      <c r="O3407" s="549">
        <v>992</v>
      </c>
      <c r="P3407" s="549">
        <v>0</v>
      </c>
      <c r="Q3407" s="549">
        <v>0</v>
      </c>
    </row>
    <row r="3408" spans="1:17" x14ac:dyDescent="0.25">
      <c r="A3408" s="549" t="s">
        <v>1116</v>
      </c>
      <c r="B3408" s="549" t="s">
        <v>589</v>
      </c>
      <c r="C3408" s="549" t="s">
        <v>851</v>
      </c>
      <c r="D3408" s="549" t="s">
        <v>852</v>
      </c>
      <c r="E3408" s="549" t="s">
        <v>973</v>
      </c>
      <c r="F3408" s="549" t="s">
        <v>1212</v>
      </c>
      <c r="G3408" s="549" t="s">
        <v>1236</v>
      </c>
      <c r="H3408" s="549" t="s">
        <v>849</v>
      </c>
      <c r="I3408" s="549" t="s">
        <v>976</v>
      </c>
      <c r="J3408" s="549" t="s">
        <v>976</v>
      </c>
      <c r="K3408" s="549" t="s">
        <v>976</v>
      </c>
      <c r="L3408" s="549">
        <v>268770.3</v>
      </c>
      <c r="M3408" s="549">
        <v>20292.16</v>
      </c>
      <c r="N3408" s="549">
        <v>15427.42</v>
      </c>
      <c r="O3408" s="549">
        <v>992</v>
      </c>
      <c r="P3408" s="549">
        <v>0</v>
      </c>
      <c r="Q3408" s="549">
        <v>0</v>
      </c>
    </row>
    <row r="3409" spans="1:17" x14ac:dyDescent="0.25">
      <c r="A3409" s="549" t="s">
        <v>1116</v>
      </c>
      <c r="B3409" s="549" t="s">
        <v>589</v>
      </c>
      <c r="C3409" s="549" t="s">
        <v>851</v>
      </c>
      <c r="D3409" s="549" t="s">
        <v>852</v>
      </c>
      <c r="E3409" s="549" t="s">
        <v>973</v>
      </c>
      <c r="F3409" s="549" t="s">
        <v>1212</v>
      </c>
      <c r="G3409" s="549" t="s">
        <v>1235</v>
      </c>
      <c r="H3409" s="549" t="s">
        <v>849</v>
      </c>
      <c r="I3409" s="549" t="s">
        <v>976</v>
      </c>
      <c r="J3409" s="549" t="s">
        <v>976</v>
      </c>
      <c r="K3409" s="549" t="s">
        <v>976</v>
      </c>
      <c r="L3409" s="549">
        <v>311322.25</v>
      </c>
      <c r="M3409" s="549">
        <v>23504.83</v>
      </c>
      <c r="N3409" s="549">
        <v>17869.900000000001</v>
      </c>
      <c r="O3409" s="549">
        <v>992</v>
      </c>
      <c r="P3409" s="549">
        <v>0</v>
      </c>
      <c r="Q3409" s="549">
        <v>0</v>
      </c>
    </row>
    <row r="3410" spans="1:17" x14ac:dyDescent="0.25">
      <c r="A3410" s="549" t="s">
        <v>1116</v>
      </c>
      <c r="B3410" s="549" t="s">
        <v>589</v>
      </c>
      <c r="C3410" s="549" t="s">
        <v>849</v>
      </c>
      <c r="D3410" s="549" t="s">
        <v>850</v>
      </c>
      <c r="E3410" s="549" t="s">
        <v>977</v>
      </c>
      <c r="F3410" s="549" t="s">
        <v>1212</v>
      </c>
      <c r="G3410" s="549">
        <v>132</v>
      </c>
      <c r="H3410" s="549" t="s">
        <v>855</v>
      </c>
      <c r="I3410" s="549" t="s">
        <v>976</v>
      </c>
      <c r="J3410" s="549" t="s">
        <v>976</v>
      </c>
      <c r="K3410" s="549" t="s">
        <v>976</v>
      </c>
      <c r="L3410" s="549">
        <v>509800.94</v>
      </c>
      <c r="M3410" s="549">
        <v>38489.97</v>
      </c>
      <c r="N3410" s="549">
        <v>11266.6</v>
      </c>
      <c r="O3410" s="549">
        <v>3968</v>
      </c>
      <c r="P3410" s="549">
        <v>16.600000000000001</v>
      </c>
      <c r="Q3410" s="549">
        <v>8918.2800000000007</v>
      </c>
    </row>
    <row r="3411" spans="1:17" x14ac:dyDescent="0.25">
      <c r="A3411" s="549" t="s">
        <v>1204</v>
      </c>
      <c r="B3411" s="549" t="s">
        <v>1205</v>
      </c>
      <c r="C3411" s="549" t="s">
        <v>228</v>
      </c>
      <c r="D3411" s="549" t="s">
        <v>683</v>
      </c>
      <c r="E3411" s="549" t="s">
        <v>973</v>
      </c>
      <c r="F3411" s="549" t="s">
        <v>1212</v>
      </c>
      <c r="G3411" s="549">
        <v>62</v>
      </c>
      <c r="H3411" s="549" t="s">
        <v>228</v>
      </c>
      <c r="I3411" s="549" t="s">
        <v>976</v>
      </c>
      <c r="J3411" s="549" t="s">
        <v>976</v>
      </c>
      <c r="K3411" s="549" t="s">
        <v>976</v>
      </c>
      <c r="L3411" s="549">
        <v>347493.52</v>
      </c>
      <c r="M3411" s="549">
        <v>26235.759999999998</v>
      </c>
      <c r="N3411" s="549">
        <v>19946.13</v>
      </c>
      <c r="O3411" s="549">
        <v>1984</v>
      </c>
      <c r="P3411" s="549">
        <v>42.08</v>
      </c>
      <c r="Q3411" s="549">
        <v>20268.21</v>
      </c>
    </row>
    <row r="3412" spans="1:17" x14ac:dyDescent="0.25">
      <c r="A3412" s="549" t="s">
        <v>1116</v>
      </c>
      <c r="B3412" s="549" t="s">
        <v>589</v>
      </c>
      <c r="C3412" s="549" t="s">
        <v>849</v>
      </c>
      <c r="D3412" s="549" t="s">
        <v>850</v>
      </c>
      <c r="E3412" s="549" t="s">
        <v>977</v>
      </c>
      <c r="F3412" s="549" t="s">
        <v>1212</v>
      </c>
      <c r="G3412" s="549">
        <v>112</v>
      </c>
      <c r="H3412" s="549" t="s">
        <v>855</v>
      </c>
      <c r="I3412" s="549" t="s">
        <v>976</v>
      </c>
      <c r="J3412" s="549" t="s">
        <v>976</v>
      </c>
      <c r="K3412" s="549" t="s">
        <v>976</v>
      </c>
      <c r="L3412" s="549">
        <v>509800.94</v>
      </c>
      <c r="M3412" s="549">
        <v>38489.97</v>
      </c>
      <c r="N3412" s="549">
        <v>11266.6</v>
      </c>
      <c r="O3412" s="549">
        <v>3968</v>
      </c>
      <c r="P3412" s="549">
        <v>16.600000000000001</v>
      </c>
      <c r="Q3412" s="549">
        <v>8918.2800000000007</v>
      </c>
    </row>
    <row r="3413" spans="1:17" x14ac:dyDescent="0.25">
      <c r="A3413" s="549" t="s">
        <v>1204</v>
      </c>
      <c r="B3413" s="549" t="s">
        <v>1205</v>
      </c>
      <c r="C3413" s="549" t="s">
        <v>228</v>
      </c>
      <c r="D3413" s="549" t="s">
        <v>683</v>
      </c>
      <c r="E3413" s="549" t="s">
        <v>973</v>
      </c>
      <c r="F3413" s="549" t="s">
        <v>1212</v>
      </c>
      <c r="G3413" s="549">
        <v>92</v>
      </c>
      <c r="H3413" s="549" t="s">
        <v>228</v>
      </c>
      <c r="I3413" s="549" t="s">
        <v>976</v>
      </c>
      <c r="J3413" s="549" t="s">
        <v>976</v>
      </c>
      <c r="K3413" s="549" t="s">
        <v>976</v>
      </c>
      <c r="L3413" s="549">
        <v>347493.52</v>
      </c>
      <c r="M3413" s="549">
        <v>26235.759999999998</v>
      </c>
      <c r="N3413" s="549">
        <v>19946.13</v>
      </c>
      <c r="O3413" s="549">
        <v>1984</v>
      </c>
      <c r="P3413" s="549">
        <v>42.08</v>
      </c>
      <c r="Q3413" s="549">
        <v>20268.21</v>
      </c>
    </row>
    <row r="3414" spans="1:17" x14ac:dyDescent="0.25">
      <c r="A3414" s="549" t="s">
        <v>1204</v>
      </c>
      <c r="B3414" s="549" t="s">
        <v>1205</v>
      </c>
      <c r="C3414" s="549" t="s">
        <v>228</v>
      </c>
      <c r="D3414" s="549" t="s">
        <v>683</v>
      </c>
      <c r="E3414" s="549" t="s">
        <v>973</v>
      </c>
      <c r="F3414" s="549" t="s">
        <v>1212</v>
      </c>
      <c r="G3414" s="549">
        <v>102</v>
      </c>
      <c r="H3414" s="549" t="s">
        <v>228</v>
      </c>
      <c r="I3414" s="549" t="s">
        <v>976</v>
      </c>
      <c r="J3414" s="549" t="s">
        <v>976</v>
      </c>
      <c r="K3414" s="549" t="s">
        <v>976</v>
      </c>
      <c r="L3414" s="549">
        <v>347493.52</v>
      </c>
      <c r="M3414" s="549">
        <v>26235.759999999998</v>
      </c>
      <c r="N3414" s="549">
        <v>19946.13</v>
      </c>
      <c r="O3414" s="549">
        <v>1984</v>
      </c>
      <c r="P3414" s="549">
        <v>42.08</v>
      </c>
      <c r="Q3414" s="549">
        <v>20268.21</v>
      </c>
    </row>
    <row r="3415" spans="1:17" x14ac:dyDescent="0.25">
      <c r="A3415" s="549" t="s">
        <v>1116</v>
      </c>
      <c r="B3415" s="549" t="s">
        <v>589</v>
      </c>
      <c r="C3415" s="549" t="s">
        <v>849</v>
      </c>
      <c r="D3415" s="549" t="s">
        <v>850</v>
      </c>
      <c r="E3415" s="549" t="s">
        <v>977</v>
      </c>
      <c r="F3415" s="549" t="s">
        <v>1212</v>
      </c>
      <c r="G3415" s="549" t="s">
        <v>1476</v>
      </c>
      <c r="H3415" s="549" t="s">
        <v>849</v>
      </c>
      <c r="I3415" s="549" t="s">
        <v>976</v>
      </c>
      <c r="J3415" s="549" t="s">
        <v>976</v>
      </c>
      <c r="K3415" s="549" t="s">
        <v>976</v>
      </c>
      <c r="L3415" s="549">
        <v>48805.45</v>
      </c>
      <c r="M3415" s="549">
        <v>3684.81</v>
      </c>
      <c r="N3415" s="549">
        <v>1078.5999999999999</v>
      </c>
      <c r="O3415" s="549">
        <v>0</v>
      </c>
      <c r="P3415" s="549">
        <v>100</v>
      </c>
      <c r="Q3415" s="549">
        <v>4763.41</v>
      </c>
    </row>
    <row r="3416" spans="1:17" x14ac:dyDescent="0.25">
      <c r="A3416" s="549" t="s">
        <v>1116</v>
      </c>
      <c r="B3416" s="549" t="s">
        <v>589</v>
      </c>
      <c r="C3416" s="549" t="s">
        <v>849</v>
      </c>
      <c r="D3416" s="549" t="s">
        <v>850</v>
      </c>
      <c r="E3416" s="549" t="s">
        <v>977</v>
      </c>
      <c r="F3416" s="549" t="s">
        <v>1212</v>
      </c>
      <c r="G3416" s="549" t="s">
        <v>1347</v>
      </c>
      <c r="H3416" s="549" t="s">
        <v>849</v>
      </c>
      <c r="I3416" s="549" t="s">
        <v>976</v>
      </c>
      <c r="J3416" s="549" t="s">
        <v>976</v>
      </c>
      <c r="K3416" s="549" t="s">
        <v>976</v>
      </c>
      <c r="L3416" s="549">
        <v>48805.45</v>
      </c>
      <c r="M3416" s="549">
        <v>3684.81</v>
      </c>
      <c r="N3416" s="549">
        <v>1078.5999999999999</v>
      </c>
      <c r="O3416" s="549">
        <v>0</v>
      </c>
      <c r="P3416" s="549">
        <v>100</v>
      </c>
      <c r="Q3416" s="549">
        <v>4763.41</v>
      </c>
    </row>
    <row r="3417" spans="1:17" x14ac:dyDescent="0.25">
      <c r="A3417" s="549" t="s">
        <v>1116</v>
      </c>
      <c r="B3417" s="549" t="s">
        <v>589</v>
      </c>
      <c r="C3417" s="549" t="s">
        <v>849</v>
      </c>
      <c r="D3417" s="549" t="s">
        <v>850</v>
      </c>
      <c r="E3417" s="549" t="s">
        <v>977</v>
      </c>
      <c r="F3417" s="549" t="s">
        <v>1212</v>
      </c>
      <c r="G3417" s="549" t="s">
        <v>1238</v>
      </c>
      <c r="H3417" s="549" t="s">
        <v>849</v>
      </c>
      <c r="I3417" s="549" t="s">
        <v>976</v>
      </c>
      <c r="J3417" s="549" t="s">
        <v>976</v>
      </c>
      <c r="K3417" s="549" t="s">
        <v>976</v>
      </c>
      <c r="L3417" s="549">
        <v>22318.22</v>
      </c>
      <c r="M3417" s="549">
        <v>1685.03</v>
      </c>
      <c r="N3417" s="549">
        <v>493.23</v>
      </c>
      <c r="O3417" s="549">
        <v>0</v>
      </c>
      <c r="P3417" s="549">
        <v>100</v>
      </c>
      <c r="Q3417" s="549">
        <v>2178.2600000000002</v>
      </c>
    </row>
    <row r="3418" spans="1:17" x14ac:dyDescent="0.25">
      <c r="A3418" s="549" t="s">
        <v>1204</v>
      </c>
      <c r="B3418" s="549" t="s">
        <v>1205</v>
      </c>
      <c r="C3418" s="549" t="s">
        <v>228</v>
      </c>
      <c r="D3418" s="549" t="s">
        <v>683</v>
      </c>
      <c r="E3418" s="549" t="s">
        <v>973</v>
      </c>
      <c r="F3418" s="549" t="s">
        <v>1212</v>
      </c>
      <c r="G3418" s="549">
        <v>1098</v>
      </c>
      <c r="H3418" s="549" t="s">
        <v>228</v>
      </c>
      <c r="I3418" s="549" t="s">
        <v>976</v>
      </c>
      <c r="J3418" s="549" t="s">
        <v>976</v>
      </c>
      <c r="K3418" s="549" t="s">
        <v>976</v>
      </c>
      <c r="L3418" s="549">
        <v>96257.71</v>
      </c>
      <c r="M3418" s="549">
        <v>7267.46</v>
      </c>
      <c r="N3418" s="549">
        <v>5525.19</v>
      </c>
      <c r="O3418" s="549">
        <v>2976</v>
      </c>
      <c r="P3418" s="549">
        <v>42.08</v>
      </c>
      <c r="Q3418" s="549">
        <v>6635.45</v>
      </c>
    </row>
    <row r="3419" spans="1:17" x14ac:dyDescent="0.25">
      <c r="A3419" s="549" t="s">
        <v>1204</v>
      </c>
      <c r="B3419" s="549" t="s">
        <v>1205</v>
      </c>
      <c r="C3419" s="549" t="s">
        <v>228</v>
      </c>
      <c r="D3419" s="549" t="s">
        <v>683</v>
      </c>
      <c r="E3419" s="549" t="s">
        <v>973</v>
      </c>
      <c r="F3419" s="549" t="s">
        <v>1212</v>
      </c>
      <c r="G3419" s="549" t="s">
        <v>1477</v>
      </c>
      <c r="H3419" s="549" t="s">
        <v>228</v>
      </c>
      <c r="I3419" s="549" t="s">
        <v>976</v>
      </c>
      <c r="J3419" s="549" t="s">
        <v>976</v>
      </c>
      <c r="K3419" s="549" t="s">
        <v>976</v>
      </c>
      <c r="L3419" s="549">
        <v>31410.32</v>
      </c>
      <c r="M3419" s="549">
        <v>2371.48</v>
      </c>
      <c r="N3419" s="549">
        <v>1802.95</v>
      </c>
      <c r="O3419" s="549">
        <v>0</v>
      </c>
      <c r="P3419" s="549">
        <v>42.08</v>
      </c>
      <c r="Q3419" s="549">
        <v>1756.6</v>
      </c>
    </row>
    <row r="3420" spans="1:17" x14ac:dyDescent="0.25">
      <c r="A3420" s="549" t="s">
        <v>1204</v>
      </c>
      <c r="B3420" s="549" t="s">
        <v>1205</v>
      </c>
      <c r="C3420" s="549" t="s">
        <v>228</v>
      </c>
      <c r="D3420" s="549" t="s">
        <v>683</v>
      </c>
      <c r="E3420" s="549" t="s">
        <v>973</v>
      </c>
      <c r="F3420" s="549" t="s">
        <v>1212</v>
      </c>
      <c r="G3420" s="549" t="s">
        <v>1478</v>
      </c>
      <c r="H3420" s="549" t="s">
        <v>228</v>
      </c>
      <c r="I3420" s="549" t="s">
        <v>976</v>
      </c>
      <c r="J3420" s="549" t="s">
        <v>976</v>
      </c>
      <c r="K3420" s="549" t="s">
        <v>976</v>
      </c>
      <c r="L3420" s="549">
        <v>0</v>
      </c>
      <c r="M3420" s="549">
        <v>0</v>
      </c>
      <c r="N3420" s="549">
        <v>0</v>
      </c>
      <c r="O3420" s="549">
        <v>0</v>
      </c>
      <c r="P3420" s="549">
        <v>42.08</v>
      </c>
      <c r="Q3420" s="549">
        <v>0</v>
      </c>
    </row>
    <row r="3421" spans="1:17" x14ac:dyDescent="0.25">
      <c r="A3421" s="549" t="s">
        <v>1204</v>
      </c>
      <c r="B3421" s="549" t="s">
        <v>1205</v>
      </c>
      <c r="C3421" s="549" t="s">
        <v>228</v>
      </c>
      <c r="D3421" s="549" t="s">
        <v>683</v>
      </c>
      <c r="E3421" s="549" t="s">
        <v>973</v>
      </c>
      <c r="F3421" s="549" t="s">
        <v>1212</v>
      </c>
      <c r="G3421" s="549" t="s">
        <v>1479</v>
      </c>
      <c r="H3421" s="549" t="s">
        <v>228</v>
      </c>
      <c r="I3421" s="549" t="s">
        <v>976</v>
      </c>
      <c r="J3421" s="549" t="s">
        <v>976</v>
      </c>
      <c r="K3421" s="549" t="s">
        <v>976</v>
      </c>
      <c r="L3421" s="549">
        <v>0</v>
      </c>
      <c r="M3421" s="549">
        <v>0</v>
      </c>
      <c r="N3421" s="549">
        <v>0</v>
      </c>
      <c r="O3421" s="549">
        <v>0</v>
      </c>
      <c r="P3421" s="549">
        <v>42.08</v>
      </c>
      <c r="Q3421" s="549">
        <v>0</v>
      </c>
    </row>
    <row r="3422" spans="1:17" x14ac:dyDescent="0.25">
      <c r="A3422" s="549" t="s">
        <v>1204</v>
      </c>
      <c r="B3422" s="549" t="s">
        <v>1205</v>
      </c>
      <c r="C3422" s="549" t="s">
        <v>228</v>
      </c>
      <c r="D3422" s="549" t="s">
        <v>683</v>
      </c>
      <c r="E3422" s="549" t="s">
        <v>973</v>
      </c>
      <c r="F3422" s="549" t="s">
        <v>1212</v>
      </c>
      <c r="G3422" s="549" t="s">
        <v>1480</v>
      </c>
      <c r="H3422" s="549" t="s">
        <v>228</v>
      </c>
      <c r="I3422" s="549" t="s">
        <v>976</v>
      </c>
      <c r="J3422" s="549" t="s">
        <v>976</v>
      </c>
      <c r="K3422" s="549" t="s">
        <v>976</v>
      </c>
      <c r="L3422" s="549">
        <v>0</v>
      </c>
      <c r="M3422" s="549">
        <v>0</v>
      </c>
      <c r="N3422" s="549">
        <v>0</v>
      </c>
      <c r="O3422" s="549">
        <v>0</v>
      </c>
      <c r="P3422" s="549">
        <v>42.08</v>
      </c>
      <c r="Q3422" s="549">
        <v>0</v>
      </c>
    </row>
    <row r="3423" spans="1:17" x14ac:dyDescent="0.25">
      <c r="A3423" s="549" t="s">
        <v>1204</v>
      </c>
      <c r="B3423" s="549" t="s">
        <v>1205</v>
      </c>
      <c r="C3423" s="549" t="s">
        <v>228</v>
      </c>
      <c r="D3423" s="549" t="s">
        <v>683</v>
      </c>
      <c r="E3423" s="549" t="s">
        <v>973</v>
      </c>
      <c r="F3423" s="549" t="s">
        <v>1212</v>
      </c>
      <c r="G3423" s="549" t="s">
        <v>1481</v>
      </c>
      <c r="H3423" s="549" t="s">
        <v>228</v>
      </c>
      <c r="I3423" s="549" t="s">
        <v>976</v>
      </c>
      <c r="J3423" s="549" t="s">
        <v>976</v>
      </c>
      <c r="K3423" s="549" t="s">
        <v>976</v>
      </c>
      <c r="L3423" s="549">
        <v>0</v>
      </c>
      <c r="M3423" s="549">
        <v>0</v>
      </c>
      <c r="N3423" s="549">
        <v>0</v>
      </c>
      <c r="O3423" s="549">
        <v>0</v>
      </c>
      <c r="P3423" s="549">
        <v>42.08</v>
      </c>
      <c r="Q3423" s="549">
        <v>0</v>
      </c>
    </row>
    <row r="3424" spans="1:17" x14ac:dyDescent="0.25">
      <c r="A3424" s="549" t="s">
        <v>1204</v>
      </c>
      <c r="B3424" s="549" t="s">
        <v>1205</v>
      </c>
      <c r="C3424" s="549" t="s">
        <v>228</v>
      </c>
      <c r="D3424" s="549" t="s">
        <v>683</v>
      </c>
      <c r="E3424" s="549" t="s">
        <v>973</v>
      </c>
      <c r="F3424" s="549" t="s">
        <v>1212</v>
      </c>
      <c r="G3424" s="549" t="s">
        <v>1482</v>
      </c>
      <c r="H3424" s="549" t="s">
        <v>228</v>
      </c>
      <c r="I3424" s="549" t="s">
        <v>976</v>
      </c>
      <c r="J3424" s="549" t="s">
        <v>976</v>
      </c>
      <c r="K3424" s="549" t="s">
        <v>976</v>
      </c>
      <c r="L3424" s="549">
        <v>0</v>
      </c>
      <c r="M3424" s="549">
        <v>0</v>
      </c>
      <c r="N3424" s="549">
        <v>0</v>
      </c>
      <c r="O3424" s="549">
        <v>0</v>
      </c>
      <c r="P3424" s="549">
        <v>42.08</v>
      </c>
      <c r="Q3424" s="549">
        <v>0</v>
      </c>
    </row>
    <row r="3425" spans="1:17" x14ac:dyDescent="0.25">
      <c r="A3425" s="549" t="s">
        <v>1116</v>
      </c>
      <c r="B3425" s="549" t="s">
        <v>589</v>
      </c>
      <c r="C3425" s="549" t="s">
        <v>849</v>
      </c>
      <c r="D3425" s="549" t="s">
        <v>850</v>
      </c>
      <c r="E3425" s="549" t="s">
        <v>977</v>
      </c>
      <c r="F3425" s="549" t="s">
        <v>1212</v>
      </c>
      <c r="G3425" s="549" t="s">
        <v>1237</v>
      </c>
      <c r="H3425" s="549" t="s">
        <v>849</v>
      </c>
      <c r="I3425" s="549" t="s">
        <v>976</v>
      </c>
      <c r="J3425" s="549" t="s">
        <v>976</v>
      </c>
      <c r="K3425" s="549" t="s">
        <v>976</v>
      </c>
      <c r="L3425" s="549">
        <v>22318.22</v>
      </c>
      <c r="M3425" s="549">
        <v>1685.03</v>
      </c>
      <c r="N3425" s="549">
        <v>493.23</v>
      </c>
      <c r="O3425" s="549">
        <v>0</v>
      </c>
      <c r="P3425" s="549">
        <v>100</v>
      </c>
      <c r="Q3425" s="549">
        <v>2178.2600000000002</v>
      </c>
    </row>
    <row r="3426" spans="1:17" x14ac:dyDescent="0.25">
      <c r="A3426" s="549" t="s">
        <v>1116</v>
      </c>
      <c r="B3426" s="549" t="s">
        <v>589</v>
      </c>
      <c r="C3426" s="549" t="s">
        <v>849</v>
      </c>
      <c r="D3426" s="549" t="s">
        <v>850</v>
      </c>
      <c r="E3426" s="549" t="s">
        <v>977</v>
      </c>
      <c r="F3426" s="549" t="s">
        <v>1212</v>
      </c>
      <c r="G3426" s="549" t="s">
        <v>1247</v>
      </c>
      <c r="H3426" s="549" t="s">
        <v>849</v>
      </c>
      <c r="I3426" s="549" t="s">
        <v>976</v>
      </c>
      <c r="J3426" s="549" t="s">
        <v>976</v>
      </c>
      <c r="K3426" s="549" t="s">
        <v>976</v>
      </c>
      <c r="L3426" s="549">
        <v>311322.25</v>
      </c>
      <c r="M3426" s="549">
        <v>23504.83</v>
      </c>
      <c r="N3426" s="549">
        <v>6880.22</v>
      </c>
      <c r="O3426" s="549">
        <v>992</v>
      </c>
      <c r="P3426" s="549">
        <v>16.600000000000001</v>
      </c>
      <c r="Q3426" s="549">
        <v>5208.59</v>
      </c>
    </row>
    <row r="3427" spans="1:17" x14ac:dyDescent="0.25">
      <c r="A3427" s="549" t="s">
        <v>1116</v>
      </c>
      <c r="B3427" s="549" t="s">
        <v>589</v>
      </c>
      <c r="C3427" s="549" t="s">
        <v>849</v>
      </c>
      <c r="D3427" s="549" t="s">
        <v>850</v>
      </c>
      <c r="E3427" s="549" t="s">
        <v>977</v>
      </c>
      <c r="F3427" s="549" t="s">
        <v>1212</v>
      </c>
      <c r="G3427" s="549" t="s">
        <v>1235</v>
      </c>
      <c r="H3427" s="549" t="s">
        <v>849</v>
      </c>
      <c r="I3427" s="549" t="s">
        <v>976</v>
      </c>
      <c r="J3427" s="549" t="s">
        <v>976</v>
      </c>
      <c r="K3427" s="549" t="s">
        <v>976</v>
      </c>
      <c r="L3427" s="549">
        <v>311322.25</v>
      </c>
      <c r="M3427" s="549">
        <v>23504.83</v>
      </c>
      <c r="N3427" s="549">
        <v>6880.22</v>
      </c>
      <c r="O3427" s="549">
        <v>992</v>
      </c>
      <c r="P3427" s="549">
        <v>16.600000000000001</v>
      </c>
      <c r="Q3427" s="549">
        <v>5208.59</v>
      </c>
    </row>
    <row r="3428" spans="1:17" x14ac:dyDescent="0.25">
      <c r="A3428" s="549" t="s">
        <v>1116</v>
      </c>
      <c r="B3428" s="549" t="s">
        <v>589</v>
      </c>
      <c r="C3428" s="549" t="s">
        <v>849</v>
      </c>
      <c r="D3428" s="549" t="s">
        <v>850</v>
      </c>
      <c r="E3428" s="549" t="s">
        <v>977</v>
      </c>
      <c r="F3428" s="549" t="s">
        <v>1212</v>
      </c>
      <c r="G3428" s="549">
        <v>242</v>
      </c>
      <c r="H3428" s="549" t="s">
        <v>849</v>
      </c>
      <c r="I3428" s="549" t="s">
        <v>976</v>
      </c>
      <c r="J3428" s="549" t="s">
        <v>976</v>
      </c>
      <c r="K3428" s="549" t="s">
        <v>976</v>
      </c>
      <c r="L3428" s="549">
        <v>344086.71</v>
      </c>
      <c r="M3428" s="549">
        <v>25978.55</v>
      </c>
      <c r="N3428" s="549">
        <v>7604.32</v>
      </c>
      <c r="O3428" s="549">
        <v>1984</v>
      </c>
      <c r="P3428" s="549">
        <v>100</v>
      </c>
      <c r="Q3428" s="549">
        <v>35566.870000000003</v>
      </c>
    </row>
    <row r="3429" spans="1:17" x14ac:dyDescent="0.25">
      <c r="A3429" s="549" t="s">
        <v>1204</v>
      </c>
      <c r="B3429" s="549" t="s">
        <v>1205</v>
      </c>
      <c r="C3429" s="549" t="s">
        <v>228</v>
      </c>
      <c r="D3429" s="549" t="s">
        <v>683</v>
      </c>
      <c r="E3429" s="549" t="s">
        <v>977</v>
      </c>
      <c r="F3429" s="549" t="s">
        <v>1212</v>
      </c>
      <c r="G3429" s="549">
        <v>62</v>
      </c>
      <c r="H3429" s="549" t="s">
        <v>228</v>
      </c>
      <c r="I3429" s="549" t="s">
        <v>976</v>
      </c>
      <c r="J3429" s="549" t="s">
        <v>976</v>
      </c>
      <c r="K3429" s="549" t="s">
        <v>976</v>
      </c>
      <c r="L3429" s="549">
        <v>347493.52</v>
      </c>
      <c r="M3429" s="549">
        <v>26235.759999999998</v>
      </c>
      <c r="N3429" s="549">
        <v>7679.61</v>
      </c>
      <c r="O3429" s="549">
        <v>1984</v>
      </c>
      <c r="P3429" s="549">
        <v>57.92</v>
      </c>
      <c r="Q3429" s="549">
        <v>20792.919999999998</v>
      </c>
    </row>
    <row r="3430" spans="1:17" x14ac:dyDescent="0.25">
      <c r="A3430" s="549" t="s">
        <v>1116</v>
      </c>
      <c r="B3430" s="549" t="s">
        <v>589</v>
      </c>
      <c r="C3430" s="549" t="s">
        <v>849</v>
      </c>
      <c r="D3430" s="549" t="s">
        <v>850</v>
      </c>
      <c r="E3430" s="549" t="s">
        <v>977</v>
      </c>
      <c r="F3430" s="549" t="s">
        <v>1212</v>
      </c>
      <c r="G3430" s="549">
        <v>222</v>
      </c>
      <c r="H3430" s="549" t="s">
        <v>849</v>
      </c>
      <c r="I3430" s="549" t="s">
        <v>976</v>
      </c>
      <c r="J3430" s="549" t="s">
        <v>976</v>
      </c>
      <c r="K3430" s="549" t="s">
        <v>976</v>
      </c>
      <c r="L3430" s="549">
        <v>344086.71</v>
      </c>
      <c r="M3430" s="549">
        <v>25978.55</v>
      </c>
      <c r="N3430" s="549">
        <v>7604.32</v>
      </c>
      <c r="O3430" s="549">
        <v>1984</v>
      </c>
      <c r="P3430" s="549">
        <v>100</v>
      </c>
      <c r="Q3430" s="549">
        <v>35566.870000000003</v>
      </c>
    </row>
    <row r="3431" spans="1:17" x14ac:dyDescent="0.25">
      <c r="A3431" s="549" t="s">
        <v>1204</v>
      </c>
      <c r="B3431" s="549" t="s">
        <v>1205</v>
      </c>
      <c r="C3431" s="549" t="s">
        <v>228</v>
      </c>
      <c r="D3431" s="549" t="s">
        <v>683</v>
      </c>
      <c r="E3431" s="549" t="s">
        <v>977</v>
      </c>
      <c r="F3431" s="549" t="s">
        <v>1212</v>
      </c>
      <c r="G3431" s="549">
        <v>92</v>
      </c>
      <c r="H3431" s="549" t="s">
        <v>228</v>
      </c>
      <c r="I3431" s="549" t="s">
        <v>976</v>
      </c>
      <c r="J3431" s="549" t="s">
        <v>976</v>
      </c>
      <c r="K3431" s="549" t="s">
        <v>976</v>
      </c>
      <c r="L3431" s="549">
        <v>347493.52</v>
      </c>
      <c r="M3431" s="549">
        <v>26235.759999999998</v>
      </c>
      <c r="N3431" s="549">
        <v>7679.61</v>
      </c>
      <c r="O3431" s="549">
        <v>1984</v>
      </c>
      <c r="P3431" s="549">
        <v>57.92</v>
      </c>
      <c r="Q3431" s="549">
        <v>20792.919999999998</v>
      </c>
    </row>
    <row r="3432" spans="1:17" x14ac:dyDescent="0.25">
      <c r="A3432" s="549" t="s">
        <v>1204</v>
      </c>
      <c r="B3432" s="549" t="s">
        <v>1205</v>
      </c>
      <c r="C3432" s="549" t="s">
        <v>228</v>
      </c>
      <c r="D3432" s="549" t="s">
        <v>683</v>
      </c>
      <c r="E3432" s="549" t="s">
        <v>977</v>
      </c>
      <c r="F3432" s="549" t="s">
        <v>1212</v>
      </c>
      <c r="G3432" s="549">
        <v>102</v>
      </c>
      <c r="H3432" s="549" t="s">
        <v>228</v>
      </c>
      <c r="I3432" s="549" t="s">
        <v>976</v>
      </c>
      <c r="J3432" s="549" t="s">
        <v>976</v>
      </c>
      <c r="K3432" s="549" t="s">
        <v>976</v>
      </c>
      <c r="L3432" s="549">
        <v>347493.52</v>
      </c>
      <c r="M3432" s="549">
        <v>26235.759999999998</v>
      </c>
      <c r="N3432" s="549">
        <v>7679.61</v>
      </c>
      <c r="O3432" s="549">
        <v>1984</v>
      </c>
      <c r="P3432" s="549">
        <v>57.92</v>
      </c>
      <c r="Q3432" s="549">
        <v>20792.919999999998</v>
      </c>
    </row>
    <row r="3433" spans="1:17" x14ac:dyDescent="0.25">
      <c r="A3433" s="549" t="s">
        <v>1116</v>
      </c>
      <c r="B3433" s="549" t="s">
        <v>589</v>
      </c>
      <c r="C3433" s="549" t="s">
        <v>849</v>
      </c>
      <c r="D3433" s="549" t="s">
        <v>850</v>
      </c>
      <c r="E3433" s="549" t="s">
        <v>977</v>
      </c>
      <c r="F3433" s="549" t="s">
        <v>1212</v>
      </c>
      <c r="G3433" s="549">
        <v>39</v>
      </c>
      <c r="H3433" s="549" t="s">
        <v>849</v>
      </c>
      <c r="I3433" s="549" t="s">
        <v>976</v>
      </c>
      <c r="J3433" s="549" t="s">
        <v>976</v>
      </c>
      <c r="K3433" s="549" t="s">
        <v>976</v>
      </c>
      <c r="L3433" s="549">
        <v>84054.13</v>
      </c>
      <c r="M3433" s="549">
        <v>6346.09</v>
      </c>
      <c r="N3433" s="549">
        <v>1857.6</v>
      </c>
      <c r="O3433" s="549">
        <v>992</v>
      </c>
      <c r="P3433" s="549">
        <v>100</v>
      </c>
      <c r="Q3433" s="549">
        <v>9195.69</v>
      </c>
    </row>
    <row r="3434" spans="1:17" x14ac:dyDescent="0.25">
      <c r="A3434" s="549" t="s">
        <v>1116</v>
      </c>
      <c r="B3434" s="549" t="s">
        <v>589</v>
      </c>
      <c r="C3434" s="549" t="s">
        <v>849</v>
      </c>
      <c r="D3434" s="549" t="s">
        <v>850</v>
      </c>
      <c r="E3434" s="549" t="s">
        <v>977</v>
      </c>
      <c r="F3434" s="549" t="s">
        <v>1212</v>
      </c>
      <c r="G3434" s="549">
        <v>38</v>
      </c>
      <c r="H3434" s="549" t="s">
        <v>849</v>
      </c>
      <c r="I3434" s="549" t="s">
        <v>976</v>
      </c>
      <c r="J3434" s="549" t="s">
        <v>976</v>
      </c>
      <c r="K3434" s="549" t="s">
        <v>976</v>
      </c>
      <c r="L3434" s="549">
        <v>84054.13</v>
      </c>
      <c r="M3434" s="549">
        <v>6346.09</v>
      </c>
      <c r="N3434" s="549">
        <v>1857.6</v>
      </c>
      <c r="O3434" s="549">
        <v>992</v>
      </c>
      <c r="P3434" s="549">
        <v>100</v>
      </c>
      <c r="Q3434" s="549">
        <v>9195.69</v>
      </c>
    </row>
    <row r="3435" spans="1:17" x14ac:dyDescent="0.25">
      <c r="A3435" s="549" t="s">
        <v>1116</v>
      </c>
      <c r="B3435" s="549" t="s">
        <v>589</v>
      </c>
      <c r="C3435" s="549" t="s">
        <v>849</v>
      </c>
      <c r="D3435" s="549" t="s">
        <v>850</v>
      </c>
      <c r="E3435" s="549" t="s">
        <v>977</v>
      </c>
      <c r="F3435" s="549" t="s">
        <v>1212</v>
      </c>
      <c r="G3435" s="549">
        <v>37</v>
      </c>
      <c r="H3435" s="549" t="s">
        <v>849</v>
      </c>
      <c r="I3435" s="549" t="s">
        <v>1291</v>
      </c>
      <c r="J3435" s="549" t="s">
        <v>1291</v>
      </c>
      <c r="K3435" s="549" t="s">
        <v>1291</v>
      </c>
      <c r="L3435" s="549">
        <v>0.02</v>
      </c>
      <c r="M3435" s="549">
        <v>0</v>
      </c>
      <c r="N3435" s="549">
        <v>0</v>
      </c>
      <c r="O3435" s="549">
        <v>0</v>
      </c>
      <c r="P3435" s="549">
        <v>100</v>
      </c>
      <c r="Q3435" s="549">
        <v>0</v>
      </c>
    </row>
    <row r="3436" spans="1:17" x14ac:dyDescent="0.25">
      <c r="A3436" s="549" t="s">
        <v>1116</v>
      </c>
      <c r="B3436" s="549" t="s">
        <v>589</v>
      </c>
      <c r="C3436" s="549" t="s">
        <v>849</v>
      </c>
      <c r="D3436" s="549" t="s">
        <v>850</v>
      </c>
      <c r="E3436" s="549" t="s">
        <v>977</v>
      </c>
      <c r="F3436" s="549" t="s">
        <v>1212</v>
      </c>
      <c r="G3436" s="549">
        <v>17</v>
      </c>
      <c r="H3436" s="549" t="s">
        <v>849</v>
      </c>
      <c r="I3436" s="549" t="s">
        <v>976</v>
      </c>
      <c r="J3436" s="549" t="s">
        <v>976</v>
      </c>
      <c r="K3436" s="549" t="s">
        <v>976</v>
      </c>
      <c r="L3436" s="549">
        <v>81547.649999999994</v>
      </c>
      <c r="M3436" s="549">
        <v>6156.85</v>
      </c>
      <c r="N3436" s="549">
        <v>1802.2</v>
      </c>
      <c r="O3436" s="549">
        <v>992</v>
      </c>
      <c r="P3436" s="549">
        <v>100</v>
      </c>
      <c r="Q3436" s="549">
        <v>8951.0499999999993</v>
      </c>
    </row>
    <row r="3437" spans="1:17" x14ac:dyDescent="0.25">
      <c r="A3437" s="549" t="s">
        <v>1204</v>
      </c>
      <c r="B3437" s="549" t="s">
        <v>1205</v>
      </c>
      <c r="C3437" s="549" t="s">
        <v>228</v>
      </c>
      <c r="D3437" s="549" t="s">
        <v>683</v>
      </c>
      <c r="E3437" s="549" t="s">
        <v>977</v>
      </c>
      <c r="F3437" s="549" t="s">
        <v>1212</v>
      </c>
      <c r="G3437" s="549">
        <v>1098</v>
      </c>
      <c r="H3437" s="549" t="s">
        <v>228</v>
      </c>
      <c r="I3437" s="549" t="s">
        <v>976</v>
      </c>
      <c r="J3437" s="549" t="s">
        <v>976</v>
      </c>
      <c r="K3437" s="549" t="s">
        <v>976</v>
      </c>
      <c r="L3437" s="549">
        <v>96257.71</v>
      </c>
      <c r="M3437" s="549">
        <v>7267.46</v>
      </c>
      <c r="N3437" s="549">
        <v>2127.3000000000002</v>
      </c>
      <c r="O3437" s="549">
        <v>2976</v>
      </c>
      <c r="P3437" s="549">
        <v>57.92</v>
      </c>
      <c r="Q3437" s="549">
        <v>7165.14</v>
      </c>
    </row>
    <row r="3438" spans="1:17" x14ac:dyDescent="0.25">
      <c r="A3438" s="549" t="s">
        <v>1204</v>
      </c>
      <c r="B3438" s="549" t="s">
        <v>1205</v>
      </c>
      <c r="C3438" s="549" t="s">
        <v>228</v>
      </c>
      <c r="D3438" s="549" t="s">
        <v>683</v>
      </c>
      <c r="E3438" s="549" t="s">
        <v>977</v>
      </c>
      <c r="F3438" s="549" t="s">
        <v>1212</v>
      </c>
      <c r="G3438" s="549" t="s">
        <v>1477</v>
      </c>
      <c r="H3438" s="549" t="s">
        <v>228</v>
      </c>
      <c r="I3438" s="549" t="s">
        <v>976</v>
      </c>
      <c r="J3438" s="549" t="s">
        <v>976</v>
      </c>
      <c r="K3438" s="549" t="s">
        <v>976</v>
      </c>
      <c r="L3438" s="549">
        <v>31410.32</v>
      </c>
      <c r="M3438" s="549">
        <v>2371.48</v>
      </c>
      <c r="N3438" s="549">
        <v>694.17</v>
      </c>
      <c r="O3438" s="549">
        <v>0</v>
      </c>
      <c r="P3438" s="549">
        <v>57.92</v>
      </c>
      <c r="Q3438" s="549">
        <v>1775.62</v>
      </c>
    </row>
    <row r="3439" spans="1:17" x14ac:dyDescent="0.25">
      <c r="A3439" s="549" t="s">
        <v>1204</v>
      </c>
      <c r="B3439" s="549" t="s">
        <v>1205</v>
      </c>
      <c r="C3439" s="549" t="s">
        <v>228</v>
      </c>
      <c r="D3439" s="549" t="s">
        <v>683</v>
      </c>
      <c r="E3439" s="549" t="s">
        <v>977</v>
      </c>
      <c r="F3439" s="549" t="s">
        <v>1212</v>
      </c>
      <c r="G3439" s="549" t="s">
        <v>1478</v>
      </c>
      <c r="H3439" s="549" t="s">
        <v>228</v>
      </c>
      <c r="I3439" s="549" t="s">
        <v>976</v>
      </c>
      <c r="J3439" s="549" t="s">
        <v>976</v>
      </c>
      <c r="K3439" s="549" t="s">
        <v>976</v>
      </c>
      <c r="L3439" s="549">
        <v>0</v>
      </c>
      <c r="M3439" s="549">
        <v>0</v>
      </c>
      <c r="N3439" s="549">
        <v>0</v>
      </c>
      <c r="O3439" s="549">
        <v>0</v>
      </c>
      <c r="P3439" s="549">
        <v>57.92</v>
      </c>
      <c r="Q3439" s="549">
        <v>0</v>
      </c>
    </row>
    <row r="3440" spans="1:17" x14ac:dyDescent="0.25">
      <c r="A3440" s="549" t="s">
        <v>1204</v>
      </c>
      <c r="B3440" s="549" t="s">
        <v>1205</v>
      </c>
      <c r="C3440" s="549" t="s">
        <v>228</v>
      </c>
      <c r="D3440" s="549" t="s">
        <v>683</v>
      </c>
      <c r="E3440" s="549" t="s">
        <v>977</v>
      </c>
      <c r="F3440" s="549" t="s">
        <v>1212</v>
      </c>
      <c r="G3440" s="549" t="s">
        <v>1479</v>
      </c>
      <c r="H3440" s="549" t="s">
        <v>228</v>
      </c>
      <c r="I3440" s="549" t="s">
        <v>976</v>
      </c>
      <c r="J3440" s="549" t="s">
        <v>976</v>
      </c>
      <c r="K3440" s="549" t="s">
        <v>976</v>
      </c>
      <c r="L3440" s="549">
        <v>0</v>
      </c>
      <c r="M3440" s="549">
        <v>0</v>
      </c>
      <c r="N3440" s="549">
        <v>0</v>
      </c>
      <c r="O3440" s="549">
        <v>0</v>
      </c>
      <c r="P3440" s="549">
        <v>57.92</v>
      </c>
      <c r="Q3440" s="549">
        <v>0</v>
      </c>
    </row>
    <row r="3441" spans="1:17" x14ac:dyDescent="0.25">
      <c r="A3441" s="549" t="s">
        <v>1204</v>
      </c>
      <c r="B3441" s="549" t="s">
        <v>1205</v>
      </c>
      <c r="C3441" s="549" t="s">
        <v>228</v>
      </c>
      <c r="D3441" s="549" t="s">
        <v>683</v>
      </c>
      <c r="E3441" s="549" t="s">
        <v>977</v>
      </c>
      <c r="F3441" s="549" t="s">
        <v>1212</v>
      </c>
      <c r="G3441" s="549" t="s">
        <v>1480</v>
      </c>
      <c r="H3441" s="549" t="s">
        <v>228</v>
      </c>
      <c r="I3441" s="549" t="s">
        <v>976</v>
      </c>
      <c r="J3441" s="549" t="s">
        <v>976</v>
      </c>
      <c r="K3441" s="549" t="s">
        <v>976</v>
      </c>
      <c r="L3441" s="549">
        <v>0</v>
      </c>
      <c r="M3441" s="549">
        <v>0</v>
      </c>
      <c r="N3441" s="549">
        <v>0</v>
      </c>
      <c r="O3441" s="549">
        <v>0</v>
      </c>
      <c r="P3441" s="549">
        <v>57.92</v>
      </c>
      <c r="Q3441" s="549">
        <v>0</v>
      </c>
    </row>
    <row r="3442" spans="1:17" x14ac:dyDescent="0.25">
      <c r="A3442" s="549" t="s">
        <v>1204</v>
      </c>
      <c r="B3442" s="549" t="s">
        <v>1205</v>
      </c>
      <c r="C3442" s="549" t="s">
        <v>228</v>
      </c>
      <c r="D3442" s="549" t="s">
        <v>683</v>
      </c>
      <c r="E3442" s="549" t="s">
        <v>977</v>
      </c>
      <c r="F3442" s="549" t="s">
        <v>1212</v>
      </c>
      <c r="G3442" s="549" t="s">
        <v>1481</v>
      </c>
      <c r="H3442" s="549" t="s">
        <v>228</v>
      </c>
      <c r="I3442" s="549" t="s">
        <v>976</v>
      </c>
      <c r="J3442" s="549" t="s">
        <v>976</v>
      </c>
      <c r="K3442" s="549" t="s">
        <v>976</v>
      </c>
      <c r="L3442" s="549">
        <v>0</v>
      </c>
      <c r="M3442" s="549">
        <v>0</v>
      </c>
      <c r="N3442" s="549">
        <v>0</v>
      </c>
      <c r="O3442" s="549">
        <v>0</v>
      </c>
      <c r="P3442" s="549">
        <v>57.92</v>
      </c>
      <c r="Q3442" s="549">
        <v>0</v>
      </c>
    </row>
    <row r="3443" spans="1:17" x14ac:dyDescent="0.25">
      <c r="A3443" s="549" t="s">
        <v>1204</v>
      </c>
      <c r="B3443" s="549" t="s">
        <v>1205</v>
      </c>
      <c r="C3443" s="549" t="s">
        <v>228</v>
      </c>
      <c r="D3443" s="549" t="s">
        <v>683</v>
      </c>
      <c r="E3443" s="549" t="s">
        <v>977</v>
      </c>
      <c r="F3443" s="549" t="s">
        <v>1212</v>
      </c>
      <c r="G3443" s="549" t="s">
        <v>1482</v>
      </c>
      <c r="H3443" s="549" t="s">
        <v>228</v>
      </c>
      <c r="I3443" s="549" t="s">
        <v>976</v>
      </c>
      <c r="J3443" s="549" t="s">
        <v>976</v>
      </c>
      <c r="K3443" s="549" t="s">
        <v>976</v>
      </c>
      <c r="L3443" s="549">
        <v>0</v>
      </c>
      <c r="M3443" s="549">
        <v>0</v>
      </c>
      <c r="N3443" s="549">
        <v>0</v>
      </c>
      <c r="O3443" s="549">
        <v>0</v>
      </c>
      <c r="P3443" s="549">
        <v>57.92</v>
      </c>
      <c r="Q3443" s="549">
        <v>0</v>
      </c>
    </row>
    <row r="3444" spans="1:17" x14ac:dyDescent="0.25">
      <c r="A3444" s="549" t="s">
        <v>1116</v>
      </c>
      <c r="B3444" s="549" t="s">
        <v>589</v>
      </c>
      <c r="C3444" s="549" t="s">
        <v>849</v>
      </c>
      <c r="D3444" s="549" t="s">
        <v>850</v>
      </c>
      <c r="E3444" s="549" t="s">
        <v>977</v>
      </c>
      <c r="F3444" s="549" t="s">
        <v>1212</v>
      </c>
      <c r="G3444" s="549">
        <v>16</v>
      </c>
      <c r="H3444" s="549" t="s">
        <v>849</v>
      </c>
      <c r="I3444" s="549" t="s">
        <v>976</v>
      </c>
      <c r="J3444" s="549" t="s">
        <v>976</v>
      </c>
      <c r="K3444" s="549" t="s">
        <v>976</v>
      </c>
      <c r="L3444" s="549">
        <v>81547.649999999994</v>
      </c>
      <c r="M3444" s="549">
        <v>6156.85</v>
      </c>
      <c r="N3444" s="549">
        <v>1802.2</v>
      </c>
      <c r="O3444" s="549">
        <v>992</v>
      </c>
      <c r="P3444" s="549">
        <v>100</v>
      </c>
      <c r="Q3444" s="549">
        <v>8951.0499999999993</v>
      </c>
    </row>
    <row r="3445" spans="1:17" x14ac:dyDescent="0.25">
      <c r="A3445" s="549" t="s">
        <v>1116</v>
      </c>
      <c r="B3445" s="549" t="s">
        <v>589</v>
      </c>
      <c r="C3445" s="549" t="s">
        <v>849</v>
      </c>
      <c r="D3445" s="549" t="s">
        <v>850</v>
      </c>
      <c r="E3445" s="549" t="s">
        <v>977</v>
      </c>
      <c r="F3445" s="549" t="s">
        <v>1212</v>
      </c>
      <c r="G3445" s="549">
        <v>15</v>
      </c>
      <c r="H3445" s="549" t="s">
        <v>849</v>
      </c>
      <c r="I3445" s="549" t="s">
        <v>976</v>
      </c>
      <c r="J3445" s="549" t="s">
        <v>976</v>
      </c>
      <c r="K3445" s="549" t="s">
        <v>976</v>
      </c>
      <c r="L3445" s="549">
        <v>81547.649999999994</v>
      </c>
      <c r="M3445" s="549">
        <v>6156.85</v>
      </c>
      <c r="N3445" s="549">
        <v>1802.2</v>
      </c>
      <c r="O3445" s="549">
        <v>992</v>
      </c>
      <c r="P3445" s="549">
        <v>100</v>
      </c>
      <c r="Q3445" s="549">
        <v>8951.0499999999993</v>
      </c>
    </row>
    <row r="3446" spans="1:17" x14ac:dyDescent="0.25">
      <c r="A3446" s="549" t="s">
        <v>1116</v>
      </c>
      <c r="B3446" s="549" t="s">
        <v>589</v>
      </c>
      <c r="C3446" s="549" t="s">
        <v>849</v>
      </c>
      <c r="D3446" s="549" t="s">
        <v>850</v>
      </c>
      <c r="E3446" s="549" t="s">
        <v>977</v>
      </c>
      <c r="F3446" s="549" t="s">
        <v>1212</v>
      </c>
      <c r="G3446" s="549">
        <v>14</v>
      </c>
      <c r="H3446" s="549" t="s">
        <v>849</v>
      </c>
      <c r="I3446" s="549" t="s">
        <v>976</v>
      </c>
      <c r="J3446" s="549" t="s">
        <v>976</v>
      </c>
      <c r="K3446" s="549" t="s">
        <v>976</v>
      </c>
      <c r="L3446" s="549">
        <v>81547.649999999994</v>
      </c>
      <c r="M3446" s="549">
        <v>6156.85</v>
      </c>
      <c r="N3446" s="549">
        <v>1802.2</v>
      </c>
      <c r="O3446" s="549">
        <v>992</v>
      </c>
      <c r="P3446" s="549">
        <v>100</v>
      </c>
      <c r="Q3446" s="549">
        <v>8951.0499999999993</v>
      </c>
    </row>
    <row r="3447" spans="1:17" x14ac:dyDescent="0.25">
      <c r="A3447" s="549" t="s">
        <v>1116</v>
      </c>
      <c r="B3447" s="549" t="s">
        <v>589</v>
      </c>
      <c r="C3447" s="549" t="s">
        <v>849</v>
      </c>
      <c r="D3447" s="549" t="s">
        <v>850</v>
      </c>
      <c r="E3447" s="549" t="s">
        <v>977</v>
      </c>
      <c r="F3447" s="549" t="s">
        <v>1212</v>
      </c>
      <c r="G3447" s="549">
        <v>13</v>
      </c>
      <c r="H3447" s="549" t="s">
        <v>849</v>
      </c>
      <c r="I3447" s="549" t="s">
        <v>976</v>
      </c>
      <c r="J3447" s="549" t="s">
        <v>976</v>
      </c>
      <c r="K3447" s="549" t="s">
        <v>976</v>
      </c>
      <c r="L3447" s="549">
        <v>81547.649999999994</v>
      </c>
      <c r="M3447" s="549">
        <v>6156.85</v>
      </c>
      <c r="N3447" s="549">
        <v>1802.2</v>
      </c>
      <c r="O3447" s="549">
        <v>992</v>
      </c>
      <c r="P3447" s="549">
        <v>100</v>
      </c>
      <c r="Q3447" s="549">
        <v>8951.0499999999993</v>
      </c>
    </row>
    <row r="3448" spans="1:17" x14ac:dyDescent="0.25">
      <c r="A3448" s="549" t="s">
        <v>1116</v>
      </c>
      <c r="B3448" s="549" t="s">
        <v>589</v>
      </c>
      <c r="C3448" s="549" t="s">
        <v>849</v>
      </c>
      <c r="D3448" s="549" t="s">
        <v>850</v>
      </c>
      <c r="E3448" s="549" t="s">
        <v>977</v>
      </c>
      <c r="F3448" s="549" t="s">
        <v>1212</v>
      </c>
      <c r="G3448" s="549">
        <v>12</v>
      </c>
      <c r="H3448" s="549" t="s">
        <v>849</v>
      </c>
      <c r="I3448" s="549" t="s">
        <v>976</v>
      </c>
      <c r="J3448" s="549" t="s">
        <v>976</v>
      </c>
      <c r="K3448" s="549" t="s">
        <v>976</v>
      </c>
      <c r="L3448" s="549">
        <v>81547.649999999994</v>
      </c>
      <c r="M3448" s="549">
        <v>6156.85</v>
      </c>
      <c r="N3448" s="549">
        <v>1802.2</v>
      </c>
      <c r="O3448" s="549">
        <v>992</v>
      </c>
      <c r="P3448" s="549">
        <v>100</v>
      </c>
      <c r="Q3448" s="549">
        <v>8951.0499999999993</v>
      </c>
    </row>
    <row r="3449" spans="1:17" x14ac:dyDescent="0.25">
      <c r="A3449" s="549" t="s">
        <v>1116</v>
      </c>
      <c r="B3449" s="549" t="s">
        <v>589</v>
      </c>
      <c r="C3449" s="549" t="s">
        <v>849</v>
      </c>
      <c r="D3449" s="549" t="s">
        <v>850</v>
      </c>
      <c r="E3449" s="549" t="s">
        <v>977</v>
      </c>
      <c r="F3449" s="549" t="s">
        <v>1212</v>
      </c>
      <c r="G3449" s="549">
        <v>11</v>
      </c>
      <c r="H3449" s="549" t="s">
        <v>849</v>
      </c>
      <c r="I3449" s="549" t="s">
        <v>976</v>
      </c>
      <c r="J3449" s="549" t="s">
        <v>976</v>
      </c>
      <c r="K3449" s="549" t="s">
        <v>976</v>
      </c>
      <c r="L3449" s="549">
        <v>81547.649999999994</v>
      </c>
      <c r="M3449" s="549">
        <v>6156.85</v>
      </c>
      <c r="N3449" s="549">
        <v>1802.2</v>
      </c>
      <c r="O3449" s="549">
        <v>992</v>
      </c>
      <c r="P3449" s="549">
        <v>100</v>
      </c>
      <c r="Q3449" s="549">
        <v>8951.0499999999993</v>
      </c>
    </row>
    <row r="3450" spans="1:17" x14ac:dyDescent="0.25">
      <c r="A3450" s="549" t="s">
        <v>1116</v>
      </c>
      <c r="B3450" s="549" t="s">
        <v>589</v>
      </c>
      <c r="C3450" s="549" t="s">
        <v>849</v>
      </c>
      <c r="D3450" s="549" t="s">
        <v>850</v>
      </c>
      <c r="E3450" s="549" t="s">
        <v>977</v>
      </c>
      <c r="F3450" s="549" t="s">
        <v>1212</v>
      </c>
      <c r="G3450" s="549">
        <v>10</v>
      </c>
      <c r="H3450" s="549" t="s">
        <v>849</v>
      </c>
      <c r="I3450" s="549" t="s">
        <v>976</v>
      </c>
      <c r="J3450" s="549" t="s">
        <v>976</v>
      </c>
      <c r="K3450" s="549" t="s">
        <v>976</v>
      </c>
      <c r="L3450" s="549">
        <v>81547.649999999994</v>
      </c>
      <c r="M3450" s="549">
        <v>6156.85</v>
      </c>
      <c r="N3450" s="549">
        <v>1802.2</v>
      </c>
      <c r="O3450" s="549">
        <v>992</v>
      </c>
      <c r="P3450" s="549">
        <v>100</v>
      </c>
      <c r="Q3450" s="549">
        <v>8951.0499999999993</v>
      </c>
    </row>
    <row r="3451" spans="1:17" x14ac:dyDescent="0.25">
      <c r="A3451" s="549" t="s">
        <v>1116</v>
      </c>
      <c r="B3451" s="549" t="s">
        <v>589</v>
      </c>
      <c r="C3451" s="549" t="s">
        <v>849</v>
      </c>
      <c r="D3451" s="549" t="s">
        <v>850</v>
      </c>
      <c r="E3451" s="549" t="s">
        <v>977</v>
      </c>
      <c r="F3451" s="549" t="s">
        <v>1212</v>
      </c>
      <c r="G3451" s="549">
        <v>9</v>
      </c>
      <c r="H3451" s="549" t="s">
        <v>849</v>
      </c>
      <c r="I3451" s="549" t="s">
        <v>976</v>
      </c>
      <c r="J3451" s="549" t="s">
        <v>976</v>
      </c>
      <c r="K3451" s="549" t="s">
        <v>976</v>
      </c>
      <c r="L3451" s="549">
        <v>81547.649999999994</v>
      </c>
      <c r="M3451" s="549">
        <v>6156.85</v>
      </c>
      <c r="N3451" s="549">
        <v>1802.2</v>
      </c>
      <c r="O3451" s="549">
        <v>992</v>
      </c>
      <c r="P3451" s="549">
        <v>100</v>
      </c>
      <c r="Q3451" s="549">
        <v>8951.0499999999993</v>
      </c>
    </row>
    <row r="3452" spans="1:17" x14ac:dyDescent="0.25">
      <c r="A3452" s="549" t="s">
        <v>1116</v>
      </c>
      <c r="B3452" s="549" t="s">
        <v>589</v>
      </c>
      <c r="C3452" s="549" t="s">
        <v>849</v>
      </c>
      <c r="D3452" s="549" t="s">
        <v>850</v>
      </c>
      <c r="E3452" s="549" t="s">
        <v>977</v>
      </c>
      <c r="F3452" s="549" t="s">
        <v>1212</v>
      </c>
      <c r="G3452" s="549">
        <v>8</v>
      </c>
      <c r="H3452" s="549" t="s">
        <v>849</v>
      </c>
      <c r="I3452" s="549" t="s">
        <v>976</v>
      </c>
      <c r="J3452" s="549" t="s">
        <v>976</v>
      </c>
      <c r="K3452" s="549" t="s">
        <v>976</v>
      </c>
      <c r="L3452" s="549">
        <v>81547.649999999994</v>
      </c>
      <c r="M3452" s="549">
        <v>6156.85</v>
      </c>
      <c r="N3452" s="549">
        <v>1802.2</v>
      </c>
      <c r="O3452" s="549">
        <v>992</v>
      </c>
      <c r="P3452" s="549">
        <v>100</v>
      </c>
      <c r="Q3452" s="549">
        <v>8951.0499999999993</v>
      </c>
    </row>
    <row r="3453" spans="1:17" x14ac:dyDescent="0.25">
      <c r="A3453" s="549" t="s">
        <v>1097</v>
      </c>
      <c r="B3453" s="549" t="s">
        <v>579</v>
      </c>
      <c r="C3453" s="549" t="s">
        <v>705</v>
      </c>
      <c r="D3453" s="549" t="s">
        <v>706</v>
      </c>
      <c r="E3453" s="549" t="s">
        <v>977</v>
      </c>
      <c r="F3453" s="549" t="s">
        <v>1212</v>
      </c>
      <c r="G3453" s="549">
        <v>37</v>
      </c>
      <c r="H3453" s="549" t="s">
        <v>705</v>
      </c>
      <c r="I3453" s="549" t="s">
        <v>976</v>
      </c>
      <c r="J3453" s="549" t="s">
        <v>976</v>
      </c>
      <c r="K3453" s="549" t="s">
        <v>976</v>
      </c>
      <c r="L3453" s="549">
        <v>102545.33</v>
      </c>
      <c r="M3453" s="549">
        <v>7742.17</v>
      </c>
      <c r="N3453" s="549">
        <v>2266.25</v>
      </c>
      <c r="O3453" s="549">
        <v>1984</v>
      </c>
      <c r="P3453" s="549">
        <v>100</v>
      </c>
      <c r="Q3453" s="549">
        <v>11992.42</v>
      </c>
    </row>
    <row r="3454" spans="1:17" x14ac:dyDescent="0.25">
      <c r="A3454" s="549" t="s">
        <v>1097</v>
      </c>
      <c r="B3454" s="549" t="s">
        <v>579</v>
      </c>
      <c r="C3454" s="549" t="s">
        <v>705</v>
      </c>
      <c r="D3454" s="549" t="s">
        <v>706</v>
      </c>
      <c r="E3454" s="549" t="s">
        <v>977</v>
      </c>
      <c r="F3454" s="549" t="s">
        <v>1212</v>
      </c>
      <c r="G3454" s="549">
        <v>112</v>
      </c>
      <c r="H3454" s="549" t="s">
        <v>705</v>
      </c>
      <c r="I3454" s="549" t="s">
        <v>976</v>
      </c>
      <c r="J3454" s="549" t="s">
        <v>976</v>
      </c>
      <c r="K3454" s="549" t="s">
        <v>976</v>
      </c>
      <c r="L3454" s="549">
        <v>347353.92</v>
      </c>
      <c r="M3454" s="549">
        <v>26225.22</v>
      </c>
      <c r="N3454" s="549">
        <v>7676.52</v>
      </c>
      <c r="O3454" s="549">
        <v>1984</v>
      </c>
      <c r="P3454" s="549">
        <v>1.76</v>
      </c>
      <c r="Q3454" s="549">
        <v>631.59</v>
      </c>
    </row>
    <row r="3455" spans="1:17" x14ac:dyDescent="0.25">
      <c r="A3455" s="549" t="s">
        <v>1097</v>
      </c>
      <c r="B3455" s="549" t="s">
        <v>579</v>
      </c>
      <c r="C3455" s="549" t="s">
        <v>705</v>
      </c>
      <c r="D3455" s="549" t="s">
        <v>706</v>
      </c>
      <c r="E3455" s="549" t="s">
        <v>977</v>
      </c>
      <c r="F3455" s="549" t="s">
        <v>1212</v>
      </c>
      <c r="G3455" s="549">
        <v>132</v>
      </c>
      <c r="H3455" s="549" t="s">
        <v>705</v>
      </c>
      <c r="I3455" s="549" t="s">
        <v>976</v>
      </c>
      <c r="J3455" s="549" t="s">
        <v>976</v>
      </c>
      <c r="K3455" s="549" t="s">
        <v>976</v>
      </c>
      <c r="L3455" s="549">
        <v>347493.52</v>
      </c>
      <c r="M3455" s="549">
        <v>26235.759999999998</v>
      </c>
      <c r="N3455" s="549">
        <v>7679.61</v>
      </c>
      <c r="O3455" s="549">
        <v>1984</v>
      </c>
      <c r="P3455" s="549">
        <v>5.28</v>
      </c>
      <c r="Q3455" s="549">
        <v>1895.49</v>
      </c>
    </row>
    <row r="3456" spans="1:17" x14ac:dyDescent="0.25">
      <c r="A3456" s="549" t="s">
        <v>1097</v>
      </c>
      <c r="B3456" s="549" t="s">
        <v>579</v>
      </c>
      <c r="C3456" s="549" t="s">
        <v>705</v>
      </c>
      <c r="D3456" s="549" t="s">
        <v>706</v>
      </c>
      <c r="E3456" s="549" t="s">
        <v>977</v>
      </c>
      <c r="F3456" s="549" t="s">
        <v>1212</v>
      </c>
      <c r="G3456" s="549">
        <v>372</v>
      </c>
      <c r="H3456" s="549" t="s">
        <v>705</v>
      </c>
      <c r="I3456" s="549" t="s">
        <v>976</v>
      </c>
      <c r="J3456" s="549" t="s">
        <v>976</v>
      </c>
      <c r="K3456" s="549" t="s">
        <v>976</v>
      </c>
      <c r="L3456" s="549">
        <v>633381.9</v>
      </c>
      <c r="M3456" s="549">
        <v>47820.33</v>
      </c>
      <c r="N3456" s="549">
        <v>13997.74</v>
      </c>
      <c r="O3456" s="549">
        <v>2976</v>
      </c>
      <c r="P3456" s="549">
        <v>1.76</v>
      </c>
      <c r="Q3456" s="549">
        <v>1140.3800000000001</v>
      </c>
    </row>
    <row r="3457" spans="1:17" x14ac:dyDescent="0.25">
      <c r="A3457" s="549" t="s">
        <v>1097</v>
      </c>
      <c r="B3457" s="549" t="s">
        <v>579</v>
      </c>
      <c r="C3457" s="549" t="s">
        <v>705</v>
      </c>
      <c r="D3457" s="549" t="s">
        <v>706</v>
      </c>
      <c r="E3457" s="549" t="s">
        <v>977</v>
      </c>
      <c r="F3457" s="549" t="s">
        <v>1212</v>
      </c>
      <c r="G3457" s="549">
        <v>382</v>
      </c>
      <c r="H3457" s="549" t="s">
        <v>705</v>
      </c>
      <c r="I3457" s="549" t="s">
        <v>976</v>
      </c>
      <c r="J3457" s="549" t="s">
        <v>976</v>
      </c>
      <c r="K3457" s="549" t="s">
        <v>976</v>
      </c>
      <c r="L3457" s="549">
        <v>633521.49</v>
      </c>
      <c r="M3457" s="549">
        <v>47830.87</v>
      </c>
      <c r="N3457" s="549">
        <v>14000.82</v>
      </c>
      <c r="O3457" s="549">
        <v>2976</v>
      </c>
      <c r="P3457" s="549">
        <v>5.28</v>
      </c>
      <c r="Q3457" s="549">
        <v>3421.85</v>
      </c>
    </row>
    <row r="3458" spans="1:17" x14ac:dyDescent="0.25">
      <c r="A3458" s="549" t="s">
        <v>1097</v>
      </c>
      <c r="B3458" s="549" t="s">
        <v>579</v>
      </c>
      <c r="C3458" s="549" t="s">
        <v>705</v>
      </c>
      <c r="D3458" s="549" t="s">
        <v>706</v>
      </c>
      <c r="E3458" s="549" t="s">
        <v>977</v>
      </c>
      <c r="F3458" s="549" t="s">
        <v>1212</v>
      </c>
      <c r="G3458" s="549" t="s">
        <v>1309</v>
      </c>
      <c r="H3458" s="549" t="s">
        <v>705</v>
      </c>
      <c r="I3458" s="549" t="s">
        <v>976</v>
      </c>
      <c r="J3458" s="549" t="s">
        <v>976</v>
      </c>
      <c r="K3458" s="549" t="s">
        <v>976</v>
      </c>
      <c r="L3458" s="549">
        <v>31410.32</v>
      </c>
      <c r="M3458" s="549">
        <v>2371.48</v>
      </c>
      <c r="N3458" s="549">
        <v>694.17</v>
      </c>
      <c r="O3458" s="549">
        <v>0</v>
      </c>
      <c r="P3458" s="549">
        <v>5.28</v>
      </c>
      <c r="Q3458" s="549">
        <v>161.87</v>
      </c>
    </row>
    <row r="3459" spans="1:17" x14ac:dyDescent="0.25">
      <c r="A3459" s="549" t="s">
        <v>1097</v>
      </c>
      <c r="B3459" s="549" t="s">
        <v>579</v>
      </c>
      <c r="C3459" s="549" t="s">
        <v>701</v>
      </c>
      <c r="D3459" s="549" t="s">
        <v>702</v>
      </c>
      <c r="E3459" s="549" t="s">
        <v>977</v>
      </c>
      <c r="F3459" s="549" t="s">
        <v>1212</v>
      </c>
      <c r="G3459" s="549">
        <v>47</v>
      </c>
      <c r="H3459" s="549" t="s">
        <v>511</v>
      </c>
      <c r="I3459" s="549" t="s">
        <v>976</v>
      </c>
      <c r="J3459" s="549" t="s">
        <v>976</v>
      </c>
      <c r="K3459" s="549" t="s">
        <v>976</v>
      </c>
      <c r="L3459" s="549">
        <v>63595.63</v>
      </c>
      <c r="M3459" s="549">
        <v>4801.47</v>
      </c>
      <c r="N3459" s="549">
        <v>1405.46</v>
      </c>
      <c r="O3459" s="549">
        <v>992</v>
      </c>
      <c r="P3459" s="549">
        <v>32.04</v>
      </c>
      <c r="Q3459" s="549">
        <v>2306.54</v>
      </c>
    </row>
    <row r="3460" spans="1:17" x14ac:dyDescent="0.25">
      <c r="A3460" s="549" t="s">
        <v>1097</v>
      </c>
      <c r="B3460" s="549" t="s">
        <v>579</v>
      </c>
      <c r="C3460" s="549" t="s">
        <v>701</v>
      </c>
      <c r="D3460" s="549" t="s">
        <v>702</v>
      </c>
      <c r="E3460" s="549" t="s">
        <v>977</v>
      </c>
      <c r="F3460" s="549" t="s">
        <v>1212</v>
      </c>
      <c r="G3460" s="549">
        <v>72</v>
      </c>
      <c r="H3460" s="549" t="s">
        <v>511</v>
      </c>
      <c r="I3460" s="549" t="s">
        <v>976</v>
      </c>
      <c r="J3460" s="549" t="s">
        <v>976</v>
      </c>
      <c r="K3460" s="549" t="s">
        <v>976</v>
      </c>
      <c r="L3460" s="549">
        <v>485426.5</v>
      </c>
      <c r="M3460" s="549">
        <v>36649.699999999997</v>
      </c>
      <c r="N3460" s="549">
        <v>10727.93</v>
      </c>
      <c r="O3460" s="549">
        <v>3968</v>
      </c>
      <c r="P3460" s="549">
        <v>32.04</v>
      </c>
      <c r="Q3460" s="549">
        <v>16451.14</v>
      </c>
    </row>
    <row r="3461" spans="1:17" x14ac:dyDescent="0.25">
      <c r="A3461" s="549" t="s">
        <v>1097</v>
      </c>
      <c r="B3461" s="549" t="s">
        <v>579</v>
      </c>
      <c r="C3461" s="549" t="s">
        <v>701</v>
      </c>
      <c r="D3461" s="549" t="s">
        <v>702</v>
      </c>
      <c r="E3461" s="549" t="s">
        <v>977</v>
      </c>
      <c r="F3461" s="549" t="s">
        <v>1212</v>
      </c>
      <c r="G3461" s="549">
        <v>82</v>
      </c>
      <c r="H3461" s="549" t="s">
        <v>511</v>
      </c>
      <c r="I3461" s="549" t="s">
        <v>976</v>
      </c>
      <c r="J3461" s="549" t="s">
        <v>976</v>
      </c>
      <c r="K3461" s="549" t="s">
        <v>976</v>
      </c>
      <c r="L3461" s="549">
        <v>485426.5</v>
      </c>
      <c r="M3461" s="549">
        <v>36649.699999999997</v>
      </c>
      <c r="N3461" s="549">
        <v>10727.93</v>
      </c>
      <c r="O3461" s="549">
        <v>3968</v>
      </c>
      <c r="P3461" s="549">
        <v>32.04</v>
      </c>
      <c r="Q3461" s="549">
        <v>16451.14</v>
      </c>
    </row>
    <row r="3462" spans="1:17" x14ac:dyDescent="0.25">
      <c r="A3462" s="549" t="s">
        <v>1097</v>
      </c>
      <c r="B3462" s="549" t="s">
        <v>579</v>
      </c>
      <c r="C3462" s="549" t="s">
        <v>701</v>
      </c>
      <c r="D3462" s="549" t="s">
        <v>702</v>
      </c>
      <c r="E3462" s="549" t="s">
        <v>977</v>
      </c>
      <c r="F3462" s="549" t="s">
        <v>1212</v>
      </c>
      <c r="G3462" s="549" t="s">
        <v>1245</v>
      </c>
      <c r="H3462" s="549" t="s">
        <v>511</v>
      </c>
      <c r="I3462" s="549" t="s">
        <v>976</v>
      </c>
      <c r="J3462" s="549" t="s">
        <v>976</v>
      </c>
      <c r="K3462" s="549" t="s">
        <v>976</v>
      </c>
      <c r="L3462" s="549">
        <v>41641.339999999997</v>
      </c>
      <c r="M3462" s="549">
        <v>3143.92</v>
      </c>
      <c r="N3462" s="549">
        <v>920.27</v>
      </c>
      <c r="O3462" s="549">
        <v>0</v>
      </c>
      <c r="P3462" s="549">
        <v>32.04</v>
      </c>
      <c r="Q3462" s="549">
        <v>1302.17</v>
      </c>
    </row>
    <row r="3463" spans="1:17" x14ac:dyDescent="0.25">
      <c r="A3463" s="549" t="s">
        <v>1116</v>
      </c>
      <c r="B3463" s="549" t="s">
        <v>589</v>
      </c>
      <c r="C3463" s="549" t="s">
        <v>849</v>
      </c>
      <c r="D3463" s="549" t="s">
        <v>850</v>
      </c>
      <c r="E3463" s="549" t="s">
        <v>973</v>
      </c>
      <c r="F3463" s="549" t="s">
        <v>1212</v>
      </c>
      <c r="G3463" s="549">
        <v>132</v>
      </c>
      <c r="H3463" s="549" t="s">
        <v>855</v>
      </c>
      <c r="I3463" s="549" t="s">
        <v>976</v>
      </c>
      <c r="J3463" s="549" t="s">
        <v>976</v>
      </c>
      <c r="K3463" s="549" t="s">
        <v>976</v>
      </c>
      <c r="L3463" s="549">
        <v>509800.94</v>
      </c>
      <c r="M3463" s="549">
        <v>38489.97</v>
      </c>
      <c r="N3463" s="549">
        <v>29262.57</v>
      </c>
      <c r="O3463" s="549">
        <v>3968</v>
      </c>
      <c r="P3463" s="549">
        <v>0</v>
      </c>
      <c r="Q3463" s="549">
        <v>0</v>
      </c>
    </row>
    <row r="3464" spans="1:17" x14ac:dyDescent="0.25">
      <c r="A3464" s="549" t="s">
        <v>1097</v>
      </c>
      <c r="B3464" s="549" t="s">
        <v>579</v>
      </c>
      <c r="C3464" s="549" t="s">
        <v>701</v>
      </c>
      <c r="D3464" s="549" t="s">
        <v>702</v>
      </c>
      <c r="E3464" s="549" t="s">
        <v>977</v>
      </c>
      <c r="F3464" s="549" t="s">
        <v>1212</v>
      </c>
      <c r="G3464" s="549">
        <v>4</v>
      </c>
      <c r="H3464" s="549" t="s">
        <v>701</v>
      </c>
      <c r="I3464" s="549" t="s">
        <v>976</v>
      </c>
      <c r="J3464" s="549" t="s">
        <v>976</v>
      </c>
      <c r="K3464" s="549" t="s">
        <v>976</v>
      </c>
      <c r="L3464" s="549">
        <v>74255.3</v>
      </c>
      <c r="M3464" s="549">
        <v>5606.28</v>
      </c>
      <c r="N3464" s="549">
        <v>1641.04</v>
      </c>
      <c r="O3464" s="549">
        <v>892.8</v>
      </c>
      <c r="P3464" s="549">
        <v>100</v>
      </c>
      <c r="Q3464" s="549">
        <v>8140.12</v>
      </c>
    </row>
    <row r="3465" spans="1:17" x14ac:dyDescent="0.25">
      <c r="A3465" s="549" t="s">
        <v>1097</v>
      </c>
      <c r="B3465" s="549" t="s">
        <v>579</v>
      </c>
      <c r="C3465" s="549" t="s">
        <v>701</v>
      </c>
      <c r="D3465" s="549" t="s">
        <v>702</v>
      </c>
      <c r="E3465" s="549" t="s">
        <v>977</v>
      </c>
      <c r="F3465" s="549" t="s">
        <v>1212</v>
      </c>
      <c r="G3465" s="549">
        <v>5</v>
      </c>
      <c r="H3465" s="549" t="s">
        <v>701</v>
      </c>
      <c r="I3465" s="549" t="s">
        <v>976</v>
      </c>
      <c r="J3465" s="549" t="s">
        <v>976</v>
      </c>
      <c r="K3465" s="549" t="s">
        <v>976</v>
      </c>
      <c r="L3465" s="549">
        <v>74255.3</v>
      </c>
      <c r="M3465" s="549">
        <v>5606.28</v>
      </c>
      <c r="N3465" s="549">
        <v>1641.04</v>
      </c>
      <c r="O3465" s="549">
        <v>892.8</v>
      </c>
      <c r="P3465" s="549">
        <v>100</v>
      </c>
      <c r="Q3465" s="549">
        <v>8140.12</v>
      </c>
    </row>
    <row r="3466" spans="1:17" x14ac:dyDescent="0.25">
      <c r="A3466" s="549" t="s">
        <v>1097</v>
      </c>
      <c r="B3466" s="549" t="s">
        <v>579</v>
      </c>
      <c r="C3466" s="549" t="s">
        <v>701</v>
      </c>
      <c r="D3466" s="549" t="s">
        <v>702</v>
      </c>
      <c r="E3466" s="549" t="s">
        <v>977</v>
      </c>
      <c r="F3466" s="549" t="s">
        <v>1212</v>
      </c>
      <c r="G3466" s="549">
        <v>6</v>
      </c>
      <c r="H3466" s="549" t="s">
        <v>701</v>
      </c>
      <c r="I3466" s="549" t="s">
        <v>976</v>
      </c>
      <c r="J3466" s="549" t="s">
        <v>976</v>
      </c>
      <c r="K3466" s="549" t="s">
        <v>976</v>
      </c>
      <c r="L3466" s="549">
        <v>74255.3</v>
      </c>
      <c r="M3466" s="549">
        <v>5606.28</v>
      </c>
      <c r="N3466" s="549">
        <v>1641.04</v>
      </c>
      <c r="O3466" s="549">
        <v>892.8</v>
      </c>
      <c r="P3466" s="549">
        <v>100</v>
      </c>
      <c r="Q3466" s="549">
        <v>8140.12</v>
      </c>
    </row>
    <row r="3467" spans="1:17" x14ac:dyDescent="0.25">
      <c r="A3467" s="549" t="s">
        <v>1097</v>
      </c>
      <c r="B3467" s="549" t="s">
        <v>579</v>
      </c>
      <c r="C3467" s="549" t="s">
        <v>701</v>
      </c>
      <c r="D3467" s="549" t="s">
        <v>702</v>
      </c>
      <c r="E3467" s="549" t="s">
        <v>977</v>
      </c>
      <c r="F3467" s="549" t="s">
        <v>1212</v>
      </c>
      <c r="G3467" s="549">
        <v>7</v>
      </c>
      <c r="H3467" s="549" t="s">
        <v>701</v>
      </c>
      <c r="I3467" s="549" t="s">
        <v>976</v>
      </c>
      <c r="J3467" s="549" t="s">
        <v>976</v>
      </c>
      <c r="K3467" s="549" t="s">
        <v>976</v>
      </c>
      <c r="L3467" s="549">
        <v>74255.3</v>
      </c>
      <c r="M3467" s="549">
        <v>5606.28</v>
      </c>
      <c r="N3467" s="549">
        <v>1641.04</v>
      </c>
      <c r="O3467" s="549">
        <v>892.8</v>
      </c>
      <c r="P3467" s="549">
        <v>100</v>
      </c>
      <c r="Q3467" s="549">
        <v>8140.12</v>
      </c>
    </row>
    <row r="3468" spans="1:17" x14ac:dyDescent="0.25">
      <c r="A3468" s="549" t="s">
        <v>1097</v>
      </c>
      <c r="B3468" s="549" t="s">
        <v>579</v>
      </c>
      <c r="C3468" s="549" t="s">
        <v>701</v>
      </c>
      <c r="D3468" s="549" t="s">
        <v>702</v>
      </c>
      <c r="E3468" s="549" t="s">
        <v>977</v>
      </c>
      <c r="F3468" s="549" t="s">
        <v>1212</v>
      </c>
      <c r="G3468" s="549">
        <v>8</v>
      </c>
      <c r="H3468" s="549" t="s">
        <v>701</v>
      </c>
      <c r="I3468" s="549" t="s">
        <v>976</v>
      </c>
      <c r="J3468" s="549" t="s">
        <v>976</v>
      </c>
      <c r="K3468" s="549" t="s">
        <v>976</v>
      </c>
      <c r="L3468" s="549">
        <v>74255.3</v>
      </c>
      <c r="M3468" s="549">
        <v>5606.28</v>
      </c>
      <c r="N3468" s="549">
        <v>1641.04</v>
      </c>
      <c r="O3468" s="549">
        <v>892.8</v>
      </c>
      <c r="P3468" s="549">
        <v>100</v>
      </c>
      <c r="Q3468" s="549">
        <v>8140.12</v>
      </c>
    </row>
    <row r="3469" spans="1:17" x14ac:dyDescent="0.25">
      <c r="A3469" s="549" t="s">
        <v>1097</v>
      </c>
      <c r="B3469" s="549" t="s">
        <v>579</v>
      </c>
      <c r="C3469" s="549" t="s">
        <v>701</v>
      </c>
      <c r="D3469" s="549" t="s">
        <v>702</v>
      </c>
      <c r="E3469" s="549" t="s">
        <v>977</v>
      </c>
      <c r="F3469" s="549" t="s">
        <v>1212</v>
      </c>
      <c r="G3469" s="549">
        <v>9</v>
      </c>
      <c r="H3469" s="549" t="s">
        <v>701</v>
      </c>
      <c r="I3469" s="549" t="s">
        <v>976</v>
      </c>
      <c r="J3469" s="549" t="s">
        <v>976</v>
      </c>
      <c r="K3469" s="549" t="s">
        <v>976</v>
      </c>
      <c r="L3469" s="549">
        <v>74255.3</v>
      </c>
      <c r="M3469" s="549">
        <v>5606.28</v>
      </c>
      <c r="N3469" s="549">
        <v>1641.04</v>
      </c>
      <c r="O3469" s="549">
        <v>892.8</v>
      </c>
      <c r="P3469" s="549">
        <v>100</v>
      </c>
      <c r="Q3469" s="549">
        <v>8140.12</v>
      </c>
    </row>
    <row r="3470" spans="1:17" x14ac:dyDescent="0.25">
      <c r="A3470" s="549" t="s">
        <v>1116</v>
      </c>
      <c r="B3470" s="549" t="s">
        <v>589</v>
      </c>
      <c r="C3470" s="549" t="s">
        <v>849</v>
      </c>
      <c r="D3470" s="549" t="s">
        <v>850</v>
      </c>
      <c r="E3470" s="549" t="s">
        <v>973</v>
      </c>
      <c r="F3470" s="549" t="s">
        <v>1212</v>
      </c>
      <c r="G3470" s="549">
        <v>112</v>
      </c>
      <c r="H3470" s="549" t="s">
        <v>855</v>
      </c>
      <c r="I3470" s="549" t="s">
        <v>976</v>
      </c>
      <c r="J3470" s="549" t="s">
        <v>976</v>
      </c>
      <c r="K3470" s="549" t="s">
        <v>976</v>
      </c>
      <c r="L3470" s="549">
        <v>509800.94</v>
      </c>
      <c r="M3470" s="549">
        <v>38489.97</v>
      </c>
      <c r="N3470" s="549">
        <v>29262.57</v>
      </c>
      <c r="O3470" s="549">
        <v>3968</v>
      </c>
      <c r="P3470" s="549">
        <v>0</v>
      </c>
      <c r="Q3470" s="549">
        <v>0</v>
      </c>
    </row>
    <row r="3471" spans="1:17" x14ac:dyDescent="0.25">
      <c r="A3471" s="549" t="s">
        <v>1097</v>
      </c>
      <c r="B3471" s="549" t="s">
        <v>579</v>
      </c>
      <c r="C3471" s="549" t="s">
        <v>701</v>
      </c>
      <c r="D3471" s="549" t="s">
        <v>702</v>
      </c>
      <c r="E3471" s="549" t="s">
        <v>977</v>
      </c>
      <c r="F3471" s="549" t="s">
        <v>1212</v>
      </c>
      <c r="G3471" s="549">
        <v>37</v>
      </c>
      <c r="H3471" s="549" t="s">
        <v>701</v>
      </c>
      <c r="I3471" s="549" t="s">
        <v>976</v>
      </c>
      <c r="J3471" s="549" t="s">
        <v>976</v>
      </c>
      <c r="K3471" s="549" t="s">
        <v>976</v>
      </c>
      <c r="L3471" s="549">
        <v>78531.14</v>
      </c>
      <c r="M3471" s="549">
        <v>5929.1</v>
      </c>
      <c r="N3471" s="549">
        <v>1735.54</v>
      </c>
      <c r="O3471" s="549">
        <v>992</v>
      </c>
      <c r="P3471" s="549">
        <v>100</v>
      </c>
      <c r="Q3471" s="549">
        <v>8656.64</v>
      </c>
    </row>
    <row r="3472" spans="1:17" x14ac:dyDescent="0.25">
      <c r="A3472" s="549" t="s">
        <v>1097</v>
      </c>
      <c r="B3472" s="549" t="s">
        <v>579</v>
      </c>
      <c r="C3472" s="549" t="s">
        <v>701</v>
      </c>
      <c r="D3472" s="549" t="s">
        <v>702</v>
      </c>
      <c r="E3472" s="549" t="s">
        <v>977</v>
      </c>
      <c r="F3472" s="549" t="s">
        <v>1212</v>
      </c>
      <c r="G3472" s="549">
        <v>38</v>
      </c>
      <c r="H3472" s="549" t="s">
        <v>701</v>
      </c>
      <c r="I3472" s="549" t="s">
        <v>976</v>
      </c>
      <c r="J3472" s="549" t="s">
        <v>976</v>
      </c>
      <c r="K3472" s="549" t="s">
        <v>976</v>
      </c>
      <c r="L3472" s="549">
        <v>75965.64</v>
      </c>
      <c r="M3472" s="549">
        <v>5735.41</v>
      </c>
      <c r="N3472" s="549">
        <v>1678.84</v>
      </c>
      <c r="O3472" s="549">
        <v>992</v>
      </c>
      <c r="P3472" s="549">
        <v>100</v>
      </c>
      <c r="Q3472" s="549">
        <v>8406.25</v>
      </c>
    </row>
    <row r="3473" spans="1:17" x14ac:dyDescent="0.25">
      <c r="A3473" s="549" t="s">
        <v>1097</v>
      </c>
      <c r="B3473" s="549" t="s">
        <v>579</v>
      </c>
      <c r="C3473" s="549" t="s">
        <v>701</v>
      </c>
      <c r="D3473" s="549" t="s">
        <v>702</v>
      </c>
      <c r="E3473" s="549" t="s">
        <v>977</v>
      </c>
      <c r="F3473" s="549" t="s">
        <v>1212</v>
      </c>
      <c r="G3473" s="549">
        <v>39</v>
      </c>
      <c r="H3473" s="549" t="s">
        <v>701</v>
      </c>
      <c r="I3473" s="549" t="s">
        <v>976</v>
      </c>
      <c r="J3473" s="549" t="s">
        <v>976</v>
      </c>
      <c r="K3473" s="549" t="s">
        <v>976</v>
      </c>
      <c r="L3473" s="549">
        <v>78531.14</v>
      </c>
      <c r="M3473" s="549">
        <v>5929.1</v>
      </c>
      <c r="N3473" s="549">
        <v>1735.54</v>
      </c>
      <c r="O3473" s="549">
        <v>992</v>
      </c>
      <c r="P3473" s="549">
        <v>100</v>
      </c>
      <c r="Q3473" s="549">
        <v>8656.64</v>
      </c>
    </row>
    <row r="3474" spans="1:17" x14ac:dyDescent="0.25">
      <c r="A3474" s="549" t="s">
        <v>1097</v>
      </c>
      <c r="B3474" s="549" t="s">
        <v>579</v>
      </c>
      <c r="C3474" s="549" t="s">
        <v>701</v>
      </c>
      <c r="D3474" s="549" t="s">
        <v>702</v>
      </c>
      <c r="E3474" s="549" t="s">
        <v>977</v>
      </c>
      <c r="F3474" s="549" t="s">
        <v>1212</v>
      </c>
      <c r="G3474" s="549">
        <v>47</v>
      </c>
      <c r="H3474" s="549" t="s">
        <v>701</v>
      </c>
      <c r="I3474" s="549" t="s">
        <v>976</v>
      </c>
      <c r="J3474" s="549" t="s">
        <v>976</v>
      </c>
      <c r="K3474" s="549" t="s">
        <v>976</v>
      </c>
      <c r="L3474" s="549">
        <v>30332.1</v>
      </c>
      <c r="M3474" s="549">
        <v>2290.0700000000002</v>
      </c>
      <c r="N3474" s="549">
        <v>670.34</v>
      </c>
      <c r="O3474" s="549">
        <v>992</v>
      </c>
      <c r="P3474" s="549">
        <v>32.04</v>
      </c>
      <c r="Q3474" s="549">
        <v>1266.3499999999999</v>
      </c>
    </row>
    <row r="3475" spans="1:17" x14ac:dyDescent="0.25">
      <c r="A3475" s="549" t="s">
        <v>1097</v>
      </c>
      <c r="B3475" s="549" t="s">
        <v>579</v>
      </c>
      <c r="C3475" s="549" t="s">
        <v>701</v>
      </c>
      <c r="D3475" s="549" t="s">
        <v>702</v>
      </c>
      <c r="E3475" s="549" t="s">
        <v>977</v>
      </c>
      <c r="F3475" s="549" t="s">
        <v>1212</v>
      </c>
      <c r="G3475" s="549">
        <v>62</v>
      </c>
      <c r="H3475" s="549" t="s">
        <v>701</v>
      </c>
      <c r="I3475" s="549" t="s">
        <v>976</v>
      </c>
      <c r="J3475" s="549" t="s">
        <v>976</v>
      </c>
      <c r="K3475" s="549" t="s">
        <v>976</v>
      </c>
      <c r="L3475" s="549">
        <v>331166.81</v>
      </c>
      <c r="M3475" s="549">
        <v>25003.09</v>
      </c>
      <c r="N3475" s="549">
        <v>7318.79</v>
      </c>
      <c r="O3475" s="549">
        <v>1984</v>
      </c>
      <c r="P3475" s="549">
        <v>100</v>
      </c>
      <c r="Q3475" s="549">
        <v>34305.879999999997</v>
      </c>
    </row>
    <row r="3476" spans="1:17" x14ac:dyDescent="0.25">
      <c r="A3476" s="549" t="s">
        <v>1097</v>
      </c>
      <c r="B3476" s="549" t="s">
        <v>579</v>
      </c>
      <c r="C3476" s="549" t="s">
        <v>701</v>
      </c>
      <c r="D3476" s="549" t="s">
        <v>702</v>
      </c>
      <c r="E3476" s="549" t="s">
        <v>977</v>
      </c>
      <c r="F3476" s="549" t="s">
        <v>1212</v>
      </c>
      <c r="G3476" s="549">
        <v>82</v>
      </c>
      <c r="H3476" s="549" t="s">
        <v>701</v>
      </c>
      <c r="I3476" s="549" t="s">
        <v>976</v>
      </c>
      <c r="J3476" s="549" t="s">
        <v>976</v>
      </c>
      <c r="K3476" s="549" t="s">
        <v>976</v>
      </c>
      <c r="L3476" s="549">
        <v>331166.81</v>
      </c>
      <c r="M3476" s="549">
        <v>25003.09</v>
      </c>
      <c r="N3476" s="549">
        <v>7318.79</v>
      </c>
      <c r="O3476" s="549">
        <v>1984</v>
      </c>
      <c r="P3476" s="549">
        <v>100</v>
      </c>
      <c r="Q3476" s="549">
        <v>34305.879999999997</v>
      </c>
    </row>
    <row r="3477" spans="1:17" x14ac:dyDescent="0.25">
      <c r="A3477" s="549" t="s">
        <v>1097</v>
      </c>
      <c r="B3477" s="549" t="s">
        <v>579</v>
      </c>
      <c r="C3477" s="549" t="s">
        <v>701</v>
      </c>
      <c r="D3477" s="549" t="s">
        <v>702</v>
      </c>
      <c r="E3477" s="549" t="s">
        <v>977</v>
      </c>
      <c r="F3477" s="549" t="s">
        <v>1212</v>
      </c>
      <c r="G3477" s="549">
        <v>107</v>
      </c>
      <c r="H3477" s="549" t="s">
        <v>701</v>
      </c>
      <c r="I3477" s="549" t="s">
        <v>976</v>
      </c>
      <c r="J3477" s="549" t="s">
        <v>976</v>
      </c>
      <c r="K3477" s="549" t="s">
        <v>976</v>
      </c>
      <c r="L3477" s="549">
        <v>30332.1</v>
      </c>
      <c r="M3477" s="549">
        <v>2290.0700000000002</v>
      </c>
      <c r="N3477" s="549">
        <v>670.34</v>
      </c>
      <c r="O3477" s="549">
        <v>992</v>
      </c>
      <c r="P3477" s="549">
        <v>32.04</v>
      </c>
      <c r="Q3477" s="549">
        <v>1266.3499999999999</v>
      </c>
    </row>
    <row r="3478" spans="1:17" x14ac:dyDescent="0.25">
      <c r="A3478" s="549" t="s">
        <v>1097</v>
      </c>
      <c r="B3478" s="549" t="s">
        <v>579</v>
      </c>
      <c r="C3478" s="549" t="s">
        <v>701</v>
      </c>
      <c r="D3478" s="549" t="s">
        <v>702</v>
      </c>
      <c r="E3478" s="549" t="s">
        <v>977</v>
      </c>
      <c r="F3478" s="549" t="s">
        <v>1212</v>
      </c>
      <c r="G3478" s="549" t="s">
        <v>1246</v>
      </c>
      <c r="H3478" s="549" t="s">
        <v>701</v>
      </c>
      <c r="I3478" s="549" t="s">
        <v>976</v>
      </c>
      <c r="J3478" s="549" t="s">
        <v>976</v>
      </c>
      <c r="K3478" s="549" t="s">
        <v>976</v>
      </c>
      <c r="L3478" s="549">
        <v>55317.97</v>
      </c>
      <c r="M3478" s="549">
        <v>4176.51</v>
      </c>
      <c r="N3478" s="549">
        <v>1222.53</v>
      </c>
      <c r="O3478" s="549">
        <v>1984</v>
      </c>
      <c r="P3478" s="549">
        <v>32.04</v>
      </c>
      <c r="Q3478" s="549">
        <v>2365.5300000000002</v>
      </c>
    </row>
    <row r="3479" spans="1:17" x14ac:dyDescent="0.25">
      <c r="A3479" s="549" t="s">
        <v>1097</v>
      </c>
      <c r="B3479" s="549" t="s">
        <v>579</v>
      </c>
      <c r="C3479" s="549" t="s">
        <v>701</v>
      </c>
      <c r="D3479" s="549" t="s">
        <v>702</v>
      </c>
      <c r="E3479" s="549" t="s">
        <v>977</v>
      </c>
      <c r="F3479" s="549" t="s">
        <v>1212</v>
      </c>
      <c r="G3479" s="549" t="s">
        <v>1235</v>
      </c>
      <c r="H3479" s="549" t="s">
        <v>701</v>
      </c>
      <c r="I3479" s="549" t="s">
        <v>976</v>
      </c>
      <c r="J3479" s="549" t="s">
        <v>976</v>
      </c>
      <c r="K3479" s="549" t="s">
        <v>976</v>
      </c>
      <c r="L3479" s="549">
        <v>300918.65999999997</v>
      </c>
      <c r="M3479" s="549">
        <v>22719.360000000001</v>
      </c>
      <c r="N3479" s="549">
        <v>6650.3</v>
      </c>
      <c r="O3479" s="549">
        <v>992</v>
      </c>
      <c r="P3479" s="549">
        <v>32.04</v>
      </c>
      <c r="Q3479" s="549">
        <v>9727.8799999999992</v>
      </c>
    </row>
    <row r="3480" spans="1:17" x14ac:dyDescent="0.25">
      <c r="A3480" s="549" t="s">
        <v>1097</v>
      </c>
      <c r="B3480" s="549" t="s">
        <v>579</v>
      </c>
      <c r="C3480" s="549" t="s">
        <v>701</v>
      </c>
      <c r="D3480" s="549" t="s">
        <v>702</v>
      </c>
      <c r="E3480" s="549" t="s">
        <v>977</v>
      </c>
      <c r="F3480" s="549" t="s">
        <v>1212</v>
      </c>
      <c r="G3480" s="549" t="s">
        <v>1236</v>
      </c>
      <c r="H3480" s="549" t="s">
        <v>701</v>
      </c>
      <c r="I3480" s="549" t="s">
        <v>976</v>
      </c>
      <c r="J3480" s="549" t="s">
        <v>976</v>
      </c>
      <c r="K3480" s="549" t="s">
        <v>976</v>
      </c>
      <c r="L3480" s="549">
        <v>260986.59</v>
      </c>
      <c r="M3480" s="549">
        <v>19704.490000000002</v>
      </c>
      <c r="N3480" s="549">
        <v>5767.8</v>
      </c>
      <c r="O3480" s="549">
        <v>992</v>
      </c>
      <c r="P3480" s="549">
        <v>32.04</v>
      </c>
      <c r="Q3480" s="549">
        <v>8479.16</v>
      </c>
    </row>
    <row r="3481" spans="1:17" x14ac:dyDescent="0.25">
      <c r="A3481" s="549" t="s">
        <v>1097</v>
      </c>
      <c r="B3481" s="549" t="s">
        <v>579</v>
      </c>
      <c r="C3481" s="549" t="s">
        <v>701</v>
      </c>
      <c r="D3481" s="549" t="s">
        <v>702</v>
      </c>
      <c r="E3481" s="549" t="s">
        <v>977</v>
      </c>
      <c r="F3481" s="549" t="s">
        <v>1212</v>
      </c>
      <c r="G3481" s="549" t="s">
        <v>1247</v>
      </c>
      <c r="H3481" s="549" t="s">
        <v>701</v>
      </c>
      <c r="I3481" s="549" t="s">
        <v>976</v>
      </c>
      <c r="J3481" s="549" t="s">
        <v>976</v>
      </c>
      <c r="K3481" s="549" t="s">
        <v>976</v>
      </c>
      <c r="L3481" s="549">
        <v>300918.65999999997</v>
      </c>
      <c r="M3481" s="549">
        <v>22719.360000000001</v>
      </c>
      <c r="N3481" s="549">
        <v>6650.3</v>
      </c>
      <c r="O3481" s="549">
        <v>992</v>
      </c>
      <c r="P3481" s="549">
        <v>32.04</v>
      </c>
      <c r="Q3481" s="549">
        <v>9727.8799999999992</v>
      </c>
    </row>
    <row r="3482" spans="1:17" x14ac:dyDescent="0.25">
      <c r="A3482" s="549" t="s">
        <v>1097</v>
      </c>
      <c r="B3482" s="549" t="s">
        <v>579</v>
      </c>
      <c r="C3482" s="549" t="s">
        <v>701</v>
      </c>
      <c r="D3482" s="549" t="s">
        <v>702</v>
      </c>
      <c r="E3482" s="549" t="s">
        <v>977</v>
      </c>
      <c r="F3482" s="549" t="s">
        <v>1212</v>
      </c>
      <c r="G3482" s="549" t="s">
        <v>1248</v>
      </c>
      <c r="H3482" s="549" t="s">
        <v>701</v>
      </c>
      <c r="I3482" s="549" t="s">
        <v>976</v>
      </c>
      <c r="J3482" s="549" t="s">
        <v>976</v>
      </c>
      <c r="K3482" s="549" t="s">
        <v>976</v>
      </c>
      <c r="L3482" s="549">
        <v>260986.59</v>
      </c>
      <c r="M3482" s="549">
        <v>19704.490000000002</v>
      </c>
      <c r="N3482" s="549">
        <v>5767.8</v>
      </c>
      <c r="O3482" s="549">
        <v>992</v>
      </c>
      <c r="P3482" s="549">
        <v>32.04</v>
      </c>
      <c r="Q3482" s="549">
        <v>8479.16</v>
      </c>
    </row>
    <row r="3483" spans="1:17" x14ac:dyDescent="0.25">
      <c r="A3483" s="549" t="s">
        <v>1097</v>
      </c>
      <c r="B3483" s="549" t="s">
        <v>579</v>
      </c>
      <c r="C3483" s="549" t="s">
        <v>701</v>
      </c>
      <c r="D3483" s="549" t="s">
        <v>702</v>
      </c>
      <c r="E3483" s="549" t="s">
        <v>977</v>
      </c>
      <c r="F3483" s="549" t="s">
        <v>1212</v>
      </c>
      <c r="G3483" s="549" t="s">
        <v>1309</v>
      </c>
      <c r="H3483" s="549" t="s">
        <v>701</v>
      </c>
      <c r="I3483" s="549" t="s">
        <v>976</v>
      </c>
      <c r="J3483" s="549" t="s">
        <v>976</v>
      </c>
      <c r="K3483" s="549" t="s">
        <v>976</v>
      </c>
      <c r="L3483" s="549">
        <v>31410.32</v>
      </c>
      <c r="M3483" s="549">
        <v>2371.48</v>
      </c>
      <c r="N3483" s="549">
        <v>694.17</v>
      </c>
      <c r="O3483" s="549">
        <v>0</v>
      </c>
      <c r="P3483" s="549">
        <v>100</v>
      </c>
      <c r="Q3483" s="549">
        <v>3065.65</v>
      </c>
    </row>
    <row r="3484" spans="1:17" x14ac:dyDescent="0.25">
      <c r="A3484" s="549" t="s">
        <v>1097</v>
      </c>
      <c r="B3484" s="549" t="s">
        <v>579</v>
      </c>
      <c r="C3484" s="549" t="s">
        <v>701</v>
      </c>
      <c r="D3484" s="549" t="s">
        <v>702</v>
      </c>
      <c r="E3484" s="549" t="s">
        <v>977</v>
      </c>
      <c r="F3484" s="549" t="s">
        <v>1212</v>
      </c>
      <c r="G3484" s="549" t="s">
        <v>1238</v>
      </c>
      <c r="H3484" s="549" t="s">
        <v>701</v>
      </c>
      <c r="I3484" s="549" t="s">
        <v>976</v>
      </c>
      <c r="J3484" s="549" t="s">
        <v>976</v>
      </c>
      <c r="K3484" s="549" t="s">
        <v>976</v>
      </c>
      <c r="L3484" s="549">
        <v>31410.32</v>
      </c>
      <c r="M3484" s="549">
        <v>2371.48</v>
      </c>
      <c r="N3484" s="549">
        <v>694.17</v>
      </c>
      <c r="O3484" s="549">
        <v>0</v>
      </c>
      <c r="P3484" s="549">
        <v>100</v>
      </c>
      <c r="Q3484" s="549">
        <v>3065.65</v>
      </c>
    </row>
    <row r="3485" spans="1:17" x14ac:dyDescent="0.25">
      <c r="A3485" s="549" t="s">
        <v>1097</v>
      </c>
      <c r="B3485" s="549" t="s">
        <v>579</v>
      </c>
      <c r="C3485" s="549" t="s">
        <v>701</v>
      </c>
      <c r="D3485" s="549" t="s">
        <v>702</v>
      </c>
      <c r="E3485" s="549" t="s">
        <v>977</v>
      </c>
      <c r="F3485" s="549" t="s">
        <v>1212</v>
      </c>
      <c r="G3485" s="549" t="s">
        <v>1249</v>
      </c>
      <c r="H3485" s="549" t="s">
        <v>701</v>
      </c>
      <c r="I3485" s="549" t="s">
        <v>976</v>
      </c>
      <c r="J3485" s="549" t="s">
        <v>976</v>
      </c>
      <c r="K3485" s="549" t="s">
        <v>976</v>
      </c>
      <c r="L3485" s="549">
        <v>41641.339999999997</v>
      </c>
      <c r="M3485" s="549">
        <v>3143.92</v>
      </c>
      <c r="N3485" s="549">
        <v>920.27</v>
      </c>
      <c r="O3485" s="549">
        <v>0</v>
      </c>
      <c r="P3485" s="549">
        <v>32.04</v>
      </c>
      <c r="Q3485" s="549">
        <v>1302.17</v>
      </c>
    </row>
    <row r="3486" spans="1:17" x14ac:dyDescent="0.25">
      <c r="A3486" s="549" t="s">
        <v>1097</v>
      </c>
      <c r="B3486" s="549" t="s">
        <v>579</v>
      </c>
      <c r="C3486" s="549" t="s">
        <v>701</v>
      </c>
      <c r="D3486" s="549" t="s">
        <v>702</v>
      </c>
      <c r="E3486" s="549" t="s">
        <v>977</v>
      </c>
      <c r="F3486" s="549" t="s">
        <v>1212</v>
      </c>
      <c r="G3486" s="549" t="s">
        <v>1250</v>
      </c>
      <c r="H3486" s="549" t="s">
        <v>701</v>
      </c>
      <c r="I3486" s="549" t="s">
        <v>976</v>
      </c>
      <c r="J3486" s="549" t="s">
        <v>976</v>
      </c>
      <c r="K3486" s="549" t="s">
        <v>976</v>
      </c>
      <c r="L3486" s="549">
        <v>41641.339999999997</v>
      </c>
      <c r="M3486" s="549">
        <v>3143.92</v>
      </c>
      <c r="N3486" s="549">
        <v>920.27</v>
      </c>
      <c r="O3486" s="549">
        <v>0</v>
      </c>
      <c r="P3486" s="549">
        <v>32.04</v>
      </c>
      <c r="Q3486" s="549">
        <v>1302.17</v>
      </c>
    </row>
    <row r="3487" spans="1:17" x14ac:dyDescent="0.25">
      <c r="A3487" s="549" t="s">
        <v>1097</v>
      </c>
      <c r="B3487" s="549" t="s">
        <v>579</v>
      </c>
      <c r="C3487" s="549" t="s">
        <v>701</v>
      </c>
      <c r="D3487" s="549" t="s">
        <v>702</v>
      </c>
      <c r="E3487" s="549" t="s">
        <v>977</v>
      </c>
      <c r="F3487" s="549" t="s">
        <v>1212</v>
      </c>
      <c r="G3487" s="549">
        <v>67</v>
      </c>
      <c r="H3487" s="549" t="s">
        <v>697</v>
      </c>
      <c r="I3487" s="549" t="s">
        <v>976</v>
      </c>
      <c r="J3487" s="549" t="s">
        <v>976</v>
      </c>
      <c r="K3487" s="549" t="s">
        <v>976</v>
      </c>
      <c r="L3487" s="549">
        <v>63595.63</v>
      </c>
      <c r="M3487" s="549">
        <v>4801.47</v>
      </c>
      <c r="N3487" s="549">
        <v>1405.46</v>
      </c>
      <c r="O3487" s="549">
        <v>992</v>
      </c>
      <c r="P3487" s="549">
        <v>32.04</v>
      </c>
      <c r="Q3487" s="549">
        <v>2306.54</v>
      </c>
    </row>
    <row r="3488" spans="1:17" x14ac:dyDescent="0.25">
      <c r="A3488" s="549" t="s">
        <v>1097</v>
      </c>
      <c r="B3488" s="549" t="s">
        <v>579</v>
      </c>
      <c r="C3488" s="549" t="s">
        <v>701</v>
      </c>
      <c r="D3488" s="549" t="s">
        <v>702</v>
      </c>
      <c r="E3488" s="549" t="s">
        <v>977</v>
      </c>
      <c r="F3488" s="549" t="s">
        <v>1212</v>
      </c>
      <c r="G3488" s="549">
        <v>92</v>
      </c>
      <c r="H3488" s="549" t="s">
        <v>697</v>
      </c>
      <c r="I3488" s="549" t="s">
        <v>976</v>
      </c>
      <c r="J3488" s="549" t="s">
        <v>976</v>
      </c>
      <c r="K3488" s="549" t="s">
        <v>976</v>
      </c>
      <c r="L3488" s="549">
        <v>485426.5</v>
      </c>
      <c r="M3488" s="549">
        <v>36649.699999999997</v>
      </c>
      <c r="N3488" s="549">
        <v>10727.93</v>
      </c>
      <c r="O3488" s="549">
        <v>3968</v>
      </c>
      <c r="P3488" s="549">
        <v>32.04</v>
      </c>
      <c r="Q3488" s="549">
        <v>16451.14</v>
      </c>
    </row>
    <row r="3489" spans="1:17" x14ac:dyDescent="0.25">
      <c r="A3489" s="549" t="s">
        <v>1097</v>
      </c>
      <c r="B3489" s="549" t="s">
        <v>579</v>
      </c>
      <c r="C3489" s="549" t="s">
        <v>701</v>
      </c>
      <c r="D3489" s="549" t="s">
        <v>702</v>
      </c>
      <c r="E3489" s="549" t="s">
        <v>977</v>
      </c>
      <c r="F3489" s="549" t="s">
        <v>1212</v>
      </c>
      <c r="G3489" s="549">
        <v>102</v>
      </c>
      <c r="H3489" s="549" t="s">
        <v>697</v>
      </c>
      <c r="I3489" s="549" t="s">
        <v>976</v>
      </c>
      <c r="J3489" s="549" t="s">
        <v>976</v>
      </c>
      <c r="K3489" s="549" t="s">
        <v>976</v>
      </c>
      <c r="L3489" s="549">
        <v>485426.5</v>
      </c>
      <c r="M3489" s="549">
        <v>36649.699999999997</v>
      </c>
      <c r="N3489" s="549">
        <v>10727.93</v>
      </c>
      <c r="O3489" s="549">
        <v>3968</v>
      </c>
      <c r="P3489" s="549">
        <v>32.04</v>
      </c>
      <c r="Q3489" s="549">
        <v>16451.14</v>
      </c>
    </row>
    <row r="3490" spans="1:17" x14ac:dyDescent="0.25">
      <c r="A3490" s="549" t="s">
        <v>1097</v>
      </c>
      <c r="B3490" s="549" t="s">
        <v>579</v>
      </c>
      <c r="C3490" s="549" t="s">
        <v>701</v>
      </c>
      <c r="D3490" s="549" t="s">
        <v>702</v>
      </c>
      <c r="E3490" s="549" t="s">
        <v>977</v>
      </c>
      <c r="F3490" s="549" t="s">
        <v>1212</v>
      </c>
      <c r="G3490" s="549">
        <v>212</v>
      </c>
      <c r="H3490" s="549" t="s">
        <v>697</v>
      </c>
      <c r="I3490" s="549" t="s">
        <v>976</v>
      </c>
      <c r="J3490" s="549" t="s">
        <v>976</v>
      </c>
      <c r="K3490" s="549" t="s">
        <v>976</v>
      </c>
      <c r="L3490" s="549">
        <v>347493.52</v>
      </c>
      <c r="M3490" s="549">
        <v>26235.759999999998</v>
      </c>
      <c r="N3490" s="549">
        <v>7679.61</v>
      </c>
      <c r="O3490" s="549">
        <v>1984</v>
      </c>
      <c r="P3490" s="549">
        <v>32.04</v>
      </c>
      <c r="Q3490" s="549">
        <v>11502.16</v>
      </c>
    </row>
    <row r="3491" spans="1:17" x14ac:dyDescent="0.25">
      <c r="A3491" s="549" t="s">
        <v>1097</v>
      </c>
      <c r="B3491" s="549" t="s">
        <v>579</v>
      </c>
      <c r="C3491" s="549" t="s">
        <v>701</v>
      </c>
      <c r="D3491" s="549" t="s">
        <v>702</v>
      </c>
      <c r="E3491" s="549" t="s">
        <v>977</v>
      </c>
      <c r="F3491" s="549" t="s">
        <v>1212</v>
      </c>
      <c r="G3491" s="549" t="s">
        <v>1251</v>
      </c>
      <c r="H3491" s="549" t="s">
        <v>697</v>
      </c>
      <c r="I3491" s="549" t="s">
        <v>976</v>
      </c>
      <c r="J3491" s="549" t="s">
        <v>976</v>
      </c>
      <c r="K3491" s="549" t="s">
        <v>976</v>
      </c>
      <c r="L3491" s="549">
        <v>196605.25</v>
      </c>
      <c r="M3491" s="549">
        <v>14843.7</v>
      </c>
      <c r="N3491" s="549">
        <v>4344.9799999999996</v>
      </c>
      <c r="O3491" s="549">
        <v>0</v>
      </c>
      <c r="P3491" s="549">
        <v>32.04</v>
      </c>
      <c r="Q3491" s="549">
        <v>6148.05</v>
      </c>
    </row>
    <row r="3492" spans="1:17" x14ac:dyDescent="0.25">
      <c r="A3492" s="549" t="s">
        <v>1097</v>
      </c>
      <c r="B3492" s="549" t="s">
        <v>579</v>
      </c>
      <c r="C3492" s="549" t="s">
        <v>701</v>
      </c>
      <c r="D3492" s="549" t="s">
        <v>702</v>
      </c>
      <c r="E3492" s="549" t="s">
        <v>977</v>
      </c>
      <c r="F3492" s="549" t="s">
        <v>1212</v>
      </c>
      <c r="G3492" s="549" t="s">
        <v>1252</v>
      </c>
      <c r="H3492" s="549" t="s">
        <v>697</v>
      </c>
      <c r="I3492" s="549" t="s">
        <v>976</v>
      </c>
      <c r="J3492" s="549" t="s">
        <v>976</v>
      </c>
      <c r="K3492" s="549" t="s">
        <v>976</v>
      </c>
      <c r="L3492" s="549">
        <v>0.01</v>
      </c>
      <c r="M3492" s="549">
        <v>0</v>
      </c>
      <c r="N3492" s="549">
        <v>0</v>
      </c>
      <c r="O3492" s="549">
        <v>0</v>
      </c>
      <c r="P3492" s="549">
        <v>32.04</v>
      </c>
      <c r="Q3492" s="549">
        <v>0</v>
      </c>
    </row>
    <row r="3493" spans="1:17" x14ac:dyDescent="0.25">
      <c r="A3493" s="549" t="s">
        <v>1097</v>
      </c>
      <c r="B3493" s="549" t="s">
        <v>579</v>
      </c>
      <c r="C3493" s="549" t="s">
        <v>701</v>
      </c>
      <c r="D3493" s="549" t="s">
        <v>702</v>
      </c>
      <c r="E3493" s="549" t="s">
        <v>977</v>
      </c>
      <c r="F3493" s="549" t="s">
        <v>1212</v>
      </c>
      <c r="G3493" s="549" t="s">
        <v>1253</v>
      </c>
      <c r="H3493" s="549" t="s">
        <v>697</v>
      </c>
      <c r="I3493" s="549" t="s">
        <v>976</v>
      </c>
      <c r="J3493" s="549" t="s">
        <v>976</v>
      </c>
      <c r="K3493" s="549" t="s">
        <v>976</v>
      </c>
      <c r="L3493" s="549">
        <v>0.01</v>
      </c>
      <c r="M3493" s="549">
        <v>0</v>
      </c>
      <c r="N3493" s="549">
        <v>0</v>
      </c>
      <c r="O3493" s="549">
        <v>0</v>
      </c>
      <c r="P3493" s="549">
        <v>32.04</v>
      </c>
      <c r="Q3493" s="549">
        <v>0</v>
      </c>
    </row>
    <row r="3494" spans="1:17" x14ac:dyDescent="0.25">
      <c r="A3494" s="549" t="s">
        <v>1097</v>
      </c>
      <c r="B3494" s="549" t="s">
        <v>579</v>
      </c>
      <c r="C3494" s="549" t="s">
        <v>701</v>
      </c>
      <c r="D3494" s="549" t="s">
        <v>702</v>
      </c>
      <c r="E3494" s="549" t="s">
        <v>977</v>
      </c>
      <c r="F3494" s="549" t="s">
        <v>1212</v>
      </c>
      <c r="G3494" s="549">
        <v>192</v>
      </c>
      <c r="H3494" s="549" t="s">
        <v>1167</v>
      </c>
      <c r="I3494" s="549" t="s">
        <v>976</v>
      </c>
      <c r="J3494" s="549" t="s">
        <v>976</v>
      </c>
      <c r="K3494" s="549" t="s">
        <v>976</v>
      </c>
      <c r="L3494" s="549">
        <v>485426.5</v>
      </c>
      <c r="M3494" s="549">
        <v>36649.699999999997</v>
      </c>
      <c r="N3494" s="549">
        <v>10727.93</v>
      </c>
      <c r="O3494" s="549">
        <v>3968</v>
      </c>
      <c r="P3494" s="549">
        <v>32.04</v>
      </c>
      <c r="Q3494" s="549">
        <v>16451.14</v>
      </c>
    </row>
    <row r="3495" spans="1:17" x14ac:dyDescent="0.25">
      <c r="A3495" s="549" t="s">
        <v>1097</v>
      </c>
      <c r="B3495" s="549" t="s">
        <v>579</v>
      </c>
      <c r="C3495" s="549" t="s">
        <v>701</v>
      </c>
      <c r="D3495" s="549" t="s">
        <v>702</v>
      </c>
      <c r="E3495" s="549" t="s">
        <v>977</v>
      </c>
      <c r="F3495" s="549" t="s">
        <v>1212</v>
      </c>
      <c r="G3495" s="549">
        <v>202</v>
      </c>
      <c r="H3495" s="549" t="s">
        <v>1167</v>
      </c>
      <c r="I3495" s="549" t="s">
        <v>976</v>
      </c>
      <c r="J3495" s="549" t="s">
        <v>976</v>
      </c>
      <c r="K3495" s="549" t="s">
        <v>976</v>
      </c>
      <c r="L3495" s="549">
        <v>485426.5</v>
      </c>
      <c r="M3495" s="549">
        <v>36649.699999999997</v>
      </c>
      <c r="N3495" s="549">
        <v>10727.93</v>
      </c>
      <c r="O3495" s="549">
        <v>3968</v>
      </c>
      <c r="P3495" s="549">
        <v>32.04</v>
      </c>
      <c r="Q3495" s="549">
        <v>16451.14</v>
      </c>
    </row>
    <row r="3496" spans="1:17" x14ac:dyDescent="0.25">
      <c r="A3496" s="549" t="s">
        <v>1097</v>
      </c>
      <c r="B3496" s="549" t="s">
        <v>579</v>
      </c>
      <c r="C3496" s="549" t="s">
        <v>701</v>
      </c>
      <c r="D3496" s="549" t="s">
        <v>702</v>
      </c>
      <c r="E3496" s="549" t="s">
        <v>977</v>
      </c>
      <c r="F3496" s="549" t="s">
        <v>1212</v>
      </c>
      <c r="G3496" s="549">
        <v>207</v>
      </c>
      <c r="H3496" s="549" t="s">
        <v>1167</v>
      </c>
      <c r="I3496" s="549" t="s">
        <v>976</v>
      </c>
      <c r="J3496" s="549" t="s">
        <v>976</v>
      </c>
      <c r="K3496" s="549" t="s">
        <v>976</v>
      </c>
      <c r="L3496" s="549">
        <v>63595.63</v>
      </c>
      <c r="M3496" s="549">
        <v>4801.47</v>
      </c>
      <c r="N3496" s="549">
        <v>1405.46</v>
      </c>
      <c r="O3496" s="549">
        <v>992</v>
      </c>
      <c r="P3496" s="549">
        <v>32.04</v>
      </c>
      <c r="Q3496" s="549">
        <v>2306.54</v>
      </c>
    </row>
    <row r="3497" spans="1:17" x14ac:dyDescent="0.25">
      <c r="A3497" s="549" t="s">
        <v>1097</v>
      </c>
      <c r="B3497" s="549" t="s">
        <v>579</v>
      </c>
      <c r="C3497" s="549" t="s">
        <v>701</v>
      </c>
      <c r="D3497" s="549" t="s">
        <v>702</v>
      </c>
      <c r="E3497" s="549" t="s">
        <v>977</v>
      </c>
      <c r="F3497" s="549" t="s">
        <v>1212</v>
      </c>
      <c r="G3497" s="549" t="s">
        <v>1250</v>
      </c>
      <c r="H3497" s="549" t="s">
        <v>1167</v>
      </c>
      <c r="I3497" s="549" t="s">
        <v>976</v>
      </c>
      <c r="J3497" s="549" t="s">
        <v>976</v>
      </c>
      <c r="K3497" s="549" t="s">
        <v>976</v>
      </c>
      <c r="L3497" s="549">
        <v>41641.339999999997</v>
      </c>
      <c r="M3497" s="549">
        <v>3143.92</v>
      </c>
      <c r="N3497" s="549">
        <v>920.27</v>
      </c>
      <c r="O3497" s="549">
        <v>0</v>
      </c>
      <c r="P3497" s="549">
        <v>32.04</v>
      </c>
      <c r="Q3497" s="549">
        <v>1302.17</v>
      </c>
    </row>
    <row r="3498" spans="1:17" x14ac:dyDescent="0.25">
      <c r="A3498" s="549" t="s">
        <v>1097</v>
      </c>
      <c r="B3498" s="549" t="s">
        <v>579</v>
      </c>
      <c r="C3498" s="549" t="s">
        <v>703</v>
      </c>
      <c r="D3498" s="549" t="s">
        <v>704</v>
      </c>
      <c r="E3498" s="549" t="s">
        <v>977</v>
      </c>
      <c r="F3498" s="549" t="s">
        <v>1212</v>
      </c>
      <c r="G3498" s="549">
        <v>47</v>
      </c>
      <c r="H3498" s="549" t="s">
        <v>511</v>
      </c>
      <c r="I3498" s="549" t="s">
        <v>976</v>
      </c>
      <c r="J3498" s="549" t="s">
        <v>976</v>
      </c>
      <c r="K3498" s="549" t="s">
        <v>976</v>
      </c>
      <c r="L3498" s="549">
        <v>63595.63</v>
      </c>
      <c r="M3498" s="549">
        <v>4801.47</v>
      </c>
      <c r="N3498" s="549">
        <v>1405.46</v>
      </c>
      <c r="O3498" s="549">
        <v>992</v>
      </c>
      <c r="P3498" s="549">
        <v>11.63</v>
      </c>
      <c r="Q3498" s="549">
        <v>837.24</v>
      </c>
    </row>
    <row r="3499" spans="1:17" x14ac:dyDescent="0.25">
      <c r="A3499" s="549" t="s">
        <v>1097</v>
      </c>
      <c r="B3499" s="549" t="s">
        <v>579</v>
      </c>
      <c r="C3499" s="549" t="s">
        <v>703</v>
      </c>
      <c r="D3499" s="549" t="s">
        <v>704</v>
      </c>
      <c r="E3499" s="549" t="s">
        <v>977</v>
      </c>
      <c r="F3499" s="549" t="s">
        <v>1212</v>
      </c>
      <c r="G3499" s="549">
        <v>72</v>
      </c>
      <c r="H3499" s="549" t="s">
        <v>511</v>
      </c>
      <c r="I3499" s="549" t="s">
        <v>976</v>
      </c>
      <c r="J3499" s="549" t="s">
        <v>976</v>
      </c>
      <c r="K3499" s="549" t="s">
        <v>976</v>
      </c>
      <c r="L3499" s="549">
        <v>485426.5</v>
      </c>
      <c r="M3499" s="549">
        <v>36649.699999999997</v>
      </c>
      <c r="N3499" s="549">
        <v>10727.93</v>
      </c>
      <c r="O3499" s="549">
        <v>3968</v>
      </c>
      <c r="P3499" s="549">
        <v>11.63</v>
      </c>
      <c r="Q3499" s="549">
        <v>5971.5</v>
      </c>
    </row>
    <row r="3500" spans="1:17" x14ac:dyDescent="0.25">
      <c r="A3500" s="549" t="s">
        <v>1097</v>
      </c>
      <c r="B3500" s="549" t="s">
        <v>579</v>
      </c>
      <c r="C3500" s="549" t="s">
        <v>703</v>
      </c>
      <c r="D3500" s="549" t="s">
        <v>704</v>
      </c>
      <c r="E3500" s="549" t="s">
        <v>977</v>
      </c>
      <c r="F3500" s="549" t="s">
        <v>1212</v>
      </c>
      <c r="G3500" s="549">
        <v>82</v>
      </c>
      <c r="H3500" s="549" t="s">
        <v>511</v>
      </c>
      <c r="I3500" s="549" t="s">
        <v>976</v>
      </c>
      <c r="J3500" s="549" t="s">
        <v>976</v>
      </c>
      <c r="K3500" s="549" t="s">
        <v>976</v>
      </c>
      <c r="L3500" s="549">
        <v>485426.5</v>
      </c>
      <c r="M3500" s="549">
        <v>36649.699999999997</v>
      </c>
      <c r="N3500" s="549">
        <v>10727.93</v>
      </c>
      <c r="O3500" s="549">
        <v>3968</v>
      </c>
      <c r="P3500" s="549">
        <v>11.63</v>
      </c>
      <c r="Q3500" s="549">
        <v>5971.5</v>
      </c>
    </row>
    <row r="3501" spans="1:17" x14ac:dyDescent="0.25">
      <c r="A3501" s="549" t="s">
        <v>1097</v>
      </c>
      <c r="B3501" s="549" t="s">
        <v>579</v>
      </c>
      <c r="C3501" s="549" t="s">
        <v>703</v>
      </c>
      <c r="D3501" s="549" t="s">
        <v>704</v>
      </c>
      <c r="E3501" s="549" t="s">
        <v>977</v>
      </c>
      <c r="F3501" s="549" t="s">
        <v>1212</v>
      </c>
      <c r="G3501" s="549" t="s">
        <v>1245</v>
      </c>
      <c r="H3501" s="549" t="s">
        <v>511</v>
      </c>
      <c r="I3501" s="549" t="s">
        <v>976</v>
      </c>
      <c r="J3501" s="549" t="s">
        <v>976</v>
      </c>
      <c r="K3501" s="549" t="s">
        <v>976</v>
      </c>
      <c r="L3501" s="549">
        <v>41641.339999999997</v>
      </c>
      <c r="M3501" s="549">
        <v>3143.92</v>
      </c>
      <c r="N3501" s="549">
        <v>920.27</v>
      </c>
      <c r="O3501" s="549">
        <v>0</v>
      </c>
      <c r="P3501" s="549">
        <v>11.63</v>
      </c>
      <c r="Q3501" s="549">
        <v>472.67</v>
      </c>
    </row>
    <row r="3502" spans="1:17" x14ac:dyDescent="0.25">
      <c r="A3502" s="549" t="s">
        <v>1097</v>
      </c>
      <c r="B3502" s="549" t="s">
        <v>579</v>
      </c>
      <c r="C3502" s="549" t="s">
        <v>703</v>
      </c>
      <c r="D3502" s="549" t="s">
        <v>704</v>
      </c>
      <c r="E3502" s="549" t="s">
        <v>977</v>
      </c>
      <c r="F3502" s="549" t="s">
        <v>1212</v>
      </c>
      <c r="G3502" s="549">
        <v>47</v>
      </c>
      <c r="H3502" s="549" t="s">
        <v>701</v>
      </c>
      <c r="I3502" s="549" t="s">
        <v>976</v>
      </c>
      <c r="J3502" s="549" t="s">
        <v>976</v>
      </c>
      <c r="K3502" s="549" t="s">
        <v>976</v>
      </c>
      <c r="L3502" s="549">
        <v>30332.1</v>
      </c>
      <c r="M3502" s="549">
        <v>2290.0700000000002</v>
      </c>
      <c r="N3502" s="549">
        <v>670.34</v>
      </c>
      <c r="O3502" s="549">
        <v>992</v>
      </c>
      <c r="P3502" s="549">
        <v>11.63</v>
      </c>
      <c r="Q3502" s="549">
        <v>459.67</v>
      </c>
    </row>
    <row r="3503" spans="1:17" x14ac:dyDescent="0.25">
      <c r="A3503" s="549" t="s">
        <v>1097</v>
      </c>
      <c r="B3503" s="549" t="s">
        <v>579</v>
      </c>
      <c r="C3503" s="549" t="s">
        <v>703</v>
      </c>
      <c r="D3503" s="549" t="s">
        <v>704</v>
      </c>
      <c r="E3503" s="549" t="s">
        <v>977</v>
      </c>
      <c r="F3503" s="549" t="s">
        <v>1212</v>
      </c>
      <c r="G3503" s="549">
        <v>107</v>
      </c>
      <c r="H3503" s="549" t="s">
        <v>701</v>
      </c>
      <c r="I3503" s="549" t="s">
        <v>976</v>
      </c>
      <c r="J3503" s="549" t="s">
        <v>976</v>
      </c>
      <c r="K3503" s="549" t="s">
        <v>976</v>
      </c>
      <c r="L3503" s="549">
        <v>30332.1</v>
      </c>
      <c r="M3503" s="549">
        <v>2290.0700000000002</v>
      </c>
      <c r="N3503" s="549">
        <v>670.34</v>
      </c>
      <c r="O3503" s="549">
        <v>992</v>
      </c>
      <c r="P3503" s="549">
        <v>11.63</v>
      </c>
      <c r="Q3503" s="549">
        <v>459.67</v>
      </c>
    </row>
    <row r="3504" spans="1:17" x14ac:dyDescent="0.25">
      <c r="A3504" s="549" t="s">
        <v>1097</v>
      </c>
      <c r="B3504" s="549" t="s">
        <v>579</v>
      </c>
      <c r="C3504" s="549" t="s">
        <v>703</v>
      </c>
      <c r="D3504" s="549" t="s">
        <v>704</v>
      </c>
      <c r="E3504" s="549" t="s">
        <v>977</v>
      </c>
      <c r="F3504" s="549" t="s">
        <v>1212</v>
      </c>
      <c r="G3504" s="549" t="s">
        <v>1246</v>
      </c>
      <c r="H3504" s="549" t="s">
        <v>701</v>
      </c>
      <c r="I3504" s="549" t="s">
        <v>976</v>
      </c>
      <c r="J3504" s="549" t="s">
        <v>976</v>
      </c>
      <c r="K3504" s="549" t="s">
        <v>976</v>
      </c>
      <c r="L3504" s="549">
        <v>55317.97</v>
      </c>
      <c r="M3504" s="549">
        <v>4176.51</v>
      </c>
      <c r="N3504" s="549">
        <v>1222.53</v>
      </c>
      <c r="O3504" s="549">
        <v>1984</v>
      </c>
      <c r="P3504" s="549">
        <v>11.63</v>
      </c>
      <c r="Q3504" s="549">
        <v>858.65</v>
      </c>
    </row>
    <row r="3505" spans="1:17" x14ac:dyDescent="0.25">
      <c r="A3505" s="549" t="s">
        <v>1097</v>
      </c>
      <c r="B3505" s="549" t="s">
        <v>579</v>
      </c>
      <c r="C3505" s="549" t="s">
        <v>703</v>
      </c>
      <c r="D3505" s="549" t="s">
        <v>704</v>
      </c>
      <c r="E3505" s="549" t="s">
        <v>977</v>
      </c>
      <c r="F3505" s="549" t="s">
        <v>1212</v>
      </c>
      <c r="G3505" s="549" t="s">
        <v>1235</v>
      </c>
      <c r="H3505" s="549" t="s">
        <v>701</v>
      </c>
      <c r="I3505" s="549" t="s">
        <v>976</v>
      </c>
      <c r="J3505" s="549" t="s">
        <v>976</v>
      </c>
      <c r="K3505" s="549" t="s">
        <v>976</v>
      </c>
      <c r="L3505" s="549">
        <v>300918.65999999997</v>
      </c>
      <c r="M3505" s="549">
        <v>22719.360000000001</v>
      </c>
      <c r="N3505" s="549">
        <v>6650.3</v>
      </c>
      <c r="O3505" s="549">
        <v>992</v>
      </c>
      <c r="P3505" s="549">
        <v>11.63</v>
      </c>
      <c r="Q3505" s="549">
        <v>3531.06</v>
      </c>
    </row>
    <row r="3506" spans="1:17" x14ac:dyDescent="0.25">
      <c r="A3506" s="549" t="s">
        <v>1097</v>
      </c>
      <c r="B3506" s="549" t="s">
        <v>579</v>
      </c>
      <c r="C3506" s="549" t="s">
        <v>703</v>
      </c>
      <c r="D3506" s="549" t="s">
        <v>704</v>
      </c>
      <c r="E3506" s="549" t="s">
        <v>977</v>
      </c>
      <c r="F3506" s="549" t="s">
        <v>1212</v>
      </c>
      <c r="G3506" s="549" t="s">
        <v>1236</v>
      </c>
      <c r="H3506" s="549" t="s">
        <v>701</v>
      </c>
      <c r="I3506" s="549" t="s">
        <v>976</v>
      </c>
      <c r="J3506" s="549" t="s">
        <v>976</v>
      </c>
      <c r="K3506" s="549" t="s">
        <v>976</v>
      </c>
      <c r="L3506" s="549">
        <v>260986.59</v>
      </c>
      <c r="M3506" s="549">
        <v>19704.490000000002</v>
      </c>
      <c r="N3506" s="549">
        <v>5767.8</v>
      </c>
      <c r="O3506" s="549">
        <v>992</v>
      </c>
      <c r="P3506" s="549">
        <v>11.63</v>
      </c>
      <c r="Q3506" s="549">
        <v>3077.8</v>
      </c>
    </row>
    <row r="3507" spans="1:17" x14ac:dyDescent="0.25">
      <c r="A3507" s="549" t="s">
        <v>1097</v>
      </c>
      <c r="B3507" s="549" t="s">
        <v>579</v>
      </c>
      <c r="C3507" s="549" t="s">
        <v>703</v>
      </c>
      <c r="D3507" s="549" t="s">
        <v>704</v>
      </c>
      <c r="E3507" s="549" t="s">
        <v>977</v>
      </c>
      <c r="F3507" s="549" t="s">
        <v>1212</v>
      </c>
      <c r="G3507" s="549" t="s">
        <v>1247</v>
      </c>
      <c r="H3507" s="549" t="s">
        <v>701</v>
      </c>
      <c r="I3507" s="549" t="s">
        <v>976</v>
      </c>
      <c r="J3507" s="549" t="s">
        <v>976</v>
      </c>
      <c r="K3507" s="549" t="s">
        <v>976</v>
      </c>
      <c r="L3507" s="549">
        <v>300918.65999999997</v>
      </c>
      <c r="M3507" s="549">
        <v>22719.360000000001</v>
      </c>
      <c r="N3507" s="549">
        <v>6650.3</v>
      </c>
      <c r="O3507" s="549">
        <v>992</v>
      </c>
      <c r="P3507" s="549">
        <v>11.63</v>
      </c>
      <c r="Q3507" s="549">
        <v>3531.06</v>
      </c>
    </row>
    <row r="3508" spans="1:17" x14ac:dyDescent="0.25">
      <c r="A3508" s="549" t="s">
        <v>1097</v>
      </c>
      <c r="B3508" s="549" t="s">
        <v>579</v>
      </c>
      <c r="C3508" s="549" t="s">
        <v>703</v>
      </c>
      <c r="D3508" s="549" t="s">
        <v>704</v>
      </c>
      <c r="E3508" s="549" t="s">
        <v>977</v>
      </c>
      <c r="F3508" s="549" t="s">
        <v>1212</v>
      </c>
      <c r="G3508" s="549" t="s">
        <v>1248</v>
      </c>
      <c r="H3508" s="549" t="s">
        <v>701</v>
      </c>
      <c r="I3508" s="549" t="s">
        <v>976</v>
      </c>
      <c r="J3508" s="549" t="s">
        <v>976</v>
      </c>
      <c r="K3508" s="549" t="s">
        <v>976</v>
      </c>
      <c r="L3508" s="549">
        <v>260986.59</v>
      </c>
      <c r="M3508" s="549">
        <v>19704.490000000002</v>
      </c>
      <c r="N3508" s="549">
        <v>5767.8</v>
      </c>
      <c r="O3508" s="549">
        <v>992</v>
      </c>
      <c r="P3508" s="549">
        <v>11.63</v>
      </c>
      <c r="Q3508" s="549">
        <v>3077.8</v>
      </c>
    </row>
    <row r="3509" spans="1:17" x14ac:dyDescent="0.25">
      <c r="A3509" s="549" t="s">
        <v>1097</v>
      </c>
      <c r="B3509" s="549" t="s">
        <v>579</v>
      </c>
      <c r="C3509" s="549" t="s">
        <v>703</v>
      </c>
      <c r="D3509" s="549" t="s">
        <v>704</v>
      </c>
      <c r="E3509" s="549" t="s">
        <v>977</v>
      </c>
      <c r="F3509" s="549" t="s">
        <v>1212</v>
      </c>
      <c r="G3509" s="549" t="s">
        <v>1249</v>
      </c>
      <c r="H3509" s="549" t="s">
        <v>701</v>
      </c>
      <c r="I3509" s="549" t="s">
        <v>976</v>
      </c>
      <c r="J3509" s="549" t="s">
        <v>976</v>
      </c>
      <c r="K3509" s="549" t="s">
        <v>976</v>
      </c>
      <c r="L3509" s="549">
        <v>41641.339999999997</v>
      </c>
      <c r="M3509" s="549">
        <v>3143.92</v>
      </c>
      <c r="N3509" s="549">
        <v>920.27</v>
      </c>
      <c r="O3509" s="549">
        <v>0</v>
      </c>
      <c r="P3509" s="549">
        <v>11.63</v>
      </c>
      <c r="Q3509" s="549">
        <v>472.67</v>
      </c>
    </row>
    <row r="3510" spans="1:17" x14ac:dyDescent="0.25">
      <c r="A3510" s="549" t="s">
        <v>1097</v>
      </c>
      <c r="B3510" s="549" t="s">
        <v>579</v>
      </c>
      <c r="C3510" s="549" t="s">
        <v>703</v>
      </c>
      <c r="D3510" s="549" t="s">
        <v>704</v>
      </c>
      <c r="E3510" s="549" t="s">
        <v>977</v>
      </c>
      <c r="F3510" s="549" t="s">
        <v>1212</v>
      </c>
      <c r="G3510" s="549" t="s">
        <v>1250</v>
      </c>
      <c r="H3510" s="549" t="s">
        <v>701</v>
      </c>
      <c r="I3510" s="549" t="s">
        <v>976</v>
      </c>
      <c r="J3510" s="549" t="s">
        <v>976</v>
      </c>
      <c r="K3510" s="549" t="s">
        <v>976</v>
      </c>
      <c r="L3510" s="549">
        <v>41641.339999999997</v>
      </c>
      <c r="M3510" s="549">
        <v>3143.92</v>
      </c>
      <c r="N3510" s="549">
        <v>920.27</v>
      </c>
      <c r="O3510" s="549">
        <v>0</v>
      </c>
      <c r="P3510" s="549">
        <v>11.63</v>
      </c>
      <c r="Q3510" s="549">
        <v>472.67</v>
      </c>
    </row>
    <row r="3511" spans="1:17" x14ac:dyDescent="0.25">
      <c r="A3511" s="549" t="s">
        <v>1097</v>
      </c>
      <c r="B3511" s="549" t="s">
        <v>579</v>
      </c>
      <c r="C3511" s="549" t="s">
        <v>703</v>
      </c>
      <c r="D3511" s="549" t="s">
        <v>704</v>
      </c>
      <c r="E3511" s="549" t="s">
        <v>977</v>
      </c>
      <c r="F3511" s="549" t="s">
        <v>1212</v>
      </c>
      <c r="G3511" s="549" t="s">
        <v>1483</v>
      </c>
      <c r="H3511" s="549" t="s">
        <v>703</v>
      </c>
      <c r="I3511" s="549" t="s">
        <v>976</v>
      </c>
      <c r="J3511" s="549" t="s">
        <v>976</v>
      </c>
      <c r="K3511" s="549" t="s">
        <v>976</v>
      </c>
      <c r="L3511" s="549">
        <v>31410.32</v>
      </c>
      <c r="M3511" s="549">
        <v>2371.48</v>
      </c>
      <c r="N3511" s="549">
        <v>694.17</v>
      </c>
      <c r="O3511" s="549">
        <v>0</v>
      </c>
      <c r="P3511" s="549">
        <v>100</v>
      </c>
      <c r="Q3511" s="549">
        <v>3065.65</v>
      </c>
    </row>
    <row r="3512" spans="1:17" x14ac:dyDescent="0.25">
      <c r="A3512" s="549" t="s">
        <v>1097</v>
      </c>
      <c r="B3512" s="549" t="s">
        <v>579</v>
      </c>
      <c r="C3512" s="549" t="s">
        <v>703</v>
      </c>
      <c r="D3512" s="549" t="s">
        <v>704</v>
      </c>
      <c r="E3512" s="549" t="s">
        <v>977</v>
      </c>
      <c r="F3512" s="549" t="s">
        <v>1212</v>
      </c>
      <c r="G3512" s="549">
        <v>67</v>
      </c>
      <c r="H3512" s="549" t="s">
        <v>697</v>
      </c>
      <c r="I3512" s="549" t="s">
        <v>976</v>
      </c>
      <c r="J3512" s="549" t="s">
        <v>976</v>
      </c>
      <c r="K3512" s="549" t="s">
        <v>976</v>
      </c>
      <c r="L3512" s="549">
        <v>63595.63</v>
      </c>
      <c r="M3512" s="549">
        <v>4801.47</v>
      </c>
      <c r="N3512" s="549">
        <v>1405.46</v>
      </c>
      <c r="O3512" s="549">
        <v>992</v>
      </c>
      <c r="P3512" s="549">
        <v>11.63</v>
      </c>
      <c r="Q3512" s="549">
        <v>837.24</v>
      </c>
    </row>
    <row r="3513" spans="1:17" x14ac:dyDescent="0.25">
      <c r="A3513" s="549" t="s">
        <v>1097</v>
      </c>
      <c r="B3513" s="549" t="s">
        <v>579</v>
      </c>
      <c r="C3513" s="549" t="s">
        <v>703</v>
      </c>
      <c r="D3513" s="549" t="s">
        <v>704</v>
      </c>
      <c r="E3513" s="549" t="s">
        <v>977</v>
      </c>
      <c r="F3513" s="549" t="s">
        <v>1212</v>
      </c>
      <c r="G3513" s="549">
        <v>92</v>
      </c>
      <c r="H3513" s="549" t="s">
        <v>697</v>
      </c>
      <c r="I3513" s="549" t="s">
        <v>976</v>
      </c>
      <c r="J3513" s="549" t="s">
        <v>976</v>
      </c>
      <c r="K3513" s="549" t="s">
        <v>976</v>
      </c>
      <c r="L3513" s="549">
        <v>485426.5</v>
      </c>
      <c r="M3513" s="549">
        <v>36649.699999999997</v>
      </c>
      <c r="N3513" s="549">
        <v>10727.93</v>
      </c>
      <c r="O3513" s="549">
        <v>3968</v>
      </c>
      <c r="P3513" s="549">
        <v>11.63</v>
      </c>
      <c r="Q3513" s="549">
        <v>5971.5</v>
      </c>
    </row>
    <row r="3514" spans="1:17" x14ac:dyDescent="0.25">
      <c r="A3514" s="549" t="s">
        <v>1097</v>
      </c>
      <c r="B3514" s="549" t="s">
        <v>579</v>
      </c>
      <c r="C3514" s="549" t="s">
        <v>703</v>
      </c>
      <c r="D3514" s="549" t="s">
        <v>704</v>
      </c>
      <c r="E3514" s="549" t="s">
        <v>977</v>
      </c>
      <c r="F3514" s="549" t="s">
        <v>1212</v>
      </c>
      <c r="G3514" s="549">
        <v>102</v>
      </c>
      <c r="H3514" s="549" t="s">
        <v>697</v>
      </c>
      <c r="I3514" s="549" t="s">
        <v>976</v>
      </c>
      <c r="J3514" s="549" t="s">
        <v>976</v>
      </c>
      <c r="K3514" s="549" t="s">
        <v>976</v>
      </c>
      <c r="L3514" s="549">
        <v>485426.5</v>
      </c>
      <c r="M3514" s="549">
        <v>36649.699999999997</v>
      </c>
      <c r="N3514" s="549">
        <v>10727.93</v>
      </c>
      <c r="O3514" s="549">
        <v>3968</v>
      </c>
      <c r="P3514" s="549">
        <v>11.63</v>
      </c>
      <c r="Q3514" s="549">
        <v>5971.5</v>
      </c>
    </row>
    <row r="3515" spans="1:17" x14ac:dyDescent="0.25">
      <c r="A3515" s="549" t="s">
        <v>1097</v>
      </c>
      <c r="B3515" s="549" t="s">
        <v>579</v>
      </c>
      <c r="C3515" s="549" t="s">
        <v>703</v>
      </c>
      <c r="D3515" s="549" t="s">
        <v>704</v>
      </c>
      <c r="E3515" s="549" t="s">
        <v>977</v>
      </c>
      <c r="F3515" s="549" t="s">
        <v>1212</v>
      </c>
      <c r="G3515" s="549">
        <v>212</v>
      </c>
      <c r="H3515" s="549" t="s">
        <v>697</v>
      </c>
      <c r="I3515" s="549" t="s">
        <v>976</v>
      </c>
      <c r="J3515" s="549" t="s">
        <v>976</v>
      </c>
      <c r="K3515" s="549" t="s">
        <v>976</v>
      </c>
      <c r="L3515" s="549">
        <v>347493.52</v>
      </c>
      <c r="M3515" s="549">
        <v>26235.759999999998</v>
      </c>
      <c r="N3515" s="549">
        <v>7679.61</v>
      </c>
      <c r="O3515" s="549">
        <v>1984</v>
      </c>
      <c r="P3515" s="549">
        <v>11.63</v>
      </c>
      <c r="Q3515" s="549">
        <v>4175.1000000000004</v>
      </c>
    </row>
    <row r="3516" spans="1:17" x14ac:dyDescent="0.25">
      <c r="A3516" s="549" t="s">
        <v>1097</v>
      </c>
      <c r="B3516" s="549" t="s">
        <v>579</v>
      </c>
      <c r="C3516" s="549" t="s">
        <v>703</v>
      </c>
      <c r="D3516" s="549" t="s">
        <v>704</v>
      </c>
      <c r="E3516" s="549" t="s">
        <v>977</v>
      </c>
      <c r="F3516" s="549" t="s">
        <v>1212</v>
      </c>
      <c r="G3516" s="549" t="s">
        <v>1251</v>
      </c>
      <c r="H3516" s="549" t="s">
        <v>697</v>
      </c>
      <c r="I3516" s="549" t="s">
        <v>976</v>
      </c>
      <c r="J3516" s="549" t="s">
        <v>976</v>
      </c>
      <c r="K3516" s="549" t="s">
        <v>976</v>
      </c>
      <c r="L3516" s="549">
        <v>196605.25</v>
      </c>
      <c r="M3516" s="549">
        <v>14843.7</v>
      </c>
      <c r="N3516" s="549">
        <v>4344.9799999999996</v>
      </c>
      <c r="O3516" s="549">
        <v>0</v>
      </c>
      <c r="P3516" s="549">
        <v>11.63</v>
      </c>
      <c r="Q3516" s="549">
        <v>2231.64</v>
      </c>
    </row>
    <row r="3517" spans="1:17" x14ac:dyDescent="0.25">
      <c r="A3517" s="549" t="s">
        <v>1097</v>
      </c>
      <c r="B3517" s="549" t="s">
        <v>579</v>
      </c>
      <c r="C3517" s="549" t="s">
        <v>703</v>
      </c>
      <c r="D3517" s="549" t="s">
        <v>704</v>
      </c>
      <c r="E3517" s="549" t="s">
        <v>977</v>
      </c>
      <c r="F3517" s="549" t="s">
        <v>1212</v>
      </c>
      <c r="G3517" s="549" t="s">
        <v>1252</v>
      </c>
      <c r="H3517" s="549" t="s">
        <v>697</v>
      </c>
      <c r="I3517" s="549" t="s">
        <v>976</v>
      </c>
      <c r="J3517" s="549" t="s">
        <v>976</v>
      </c>
      <c r="K3517" s="549" t="s">
        <v>976</v>
      </c>
      <c r="L3517" s="549">
        <v>0.01</v>
      </c>
      <c r="M3517" s="549">
        <v>0</v>
      </c>
      <c r="N3517" s="549">
        <v>0</v>
      </c>
      <c r="O3517" s="549">
        <v>0</v>
      </c>
      <c r="P3517" s="549">
        <v>11.63</v>
      </c>
      <c r="Q3517" s="549">
        <v>0</v>
      </c>
    </row>
    <row r="3518" spans="1:17" x14ac:dyDescent="0.25">
      <c r="A3518" s="549" t="s">
        <v>1097</v>
      </c>
      <c r="B3518" s="549" t="s">
        <v>579</v>
      </c>
      <c r="C3518" s="549" t="s">
        <v>703</v>
      </c>
      <c r="D3518" s="549" t="s">
        <v>704</v>
      </c>
      <c r="E3518" s="549" t="s">
        <v>977</v>
      </c>
      <c r="F3518" s="549" t="s">
        <v>1212</v>
      </c>
      <c r="G3518" s="549" t="s">
        <v>1253</v>
      </c>
      <c r="H3518" s="549" t="s">
        <v>697</v>
      </c>
      <c r="I3518" s="549" t="s">
        <v>976</v>
      </c>
      <c r="J3518" s="549" t="s">
        <v>976</v>
      </c>
      <c r="K3518" s="549" t="s">
        <v>976</v>
      </c>
      <c r="L3518" s="549">
        <v>0.01</v>
      </c>
      <c r="M3518" s="549">
        <v>0</v>
      </c>
      <c r="N3518" s="549">
        <v>0</v>
      </c>
      <c r="O3518" s="549">
        <v>0</v>
      </c>
      <c r="P3518" s="549">
        <v>11.63</v>
      </c>
      <c r="Q3518" s="549">
        <v>0</v>
      </c>
    </row>
    <row r="3519" spans="1:17" x14ac:dyDescent="0.25">
      <c r="A3519" s="549" t="s">
        <v>1097</v>
      </c>
      <c r="B3519" s="549" t="s">
        <v>579</v>
      </c>
      <c r="C3519" s="549" t="s">
        <v>703</v>
      </c>
      <c r="D3519" s="549" t="s">
        <v>704</v>
      </c>
      <c r="E3519" s="549" t="s">
        <v>977</v>
      </c>
      <c r="F3519" s="549" t="s">
        <v>1212</v>
      </c>
      <c r="G3519" s="549">
        <v>171</v>
      </c>
      <c r="H3519" s="549" t="s">
        <v>1167</v>
      </c>
      <c r="I3519" s="549" t="s">
        <v>976</v>
      </c>
      <c r="J3519" s="549" t="s">
        <v>976</v>
      </c>
      <c r="K3519" s="549" t="s">
        <v>976</v>
      </c>
      <c r="L3519" s="549">
        <v>56229.07</v>
      </c>
      <c r="M3519" s="549">
        <v>4245.29</v>
      </c>
      <c r="N3519" s="549">
        <v>1242.6600000000001</v>
      </c>
      <c r="O3519" s="549">
        <v>992</v>
      </c>
      <c r="P3519" s="549">
        <v>100</v>
      </c>
      <c r="Q3519" s="549">
        <v>6479.95</v>
      </c>
    </row>
    <row r="3520" spans="1:17" x14ac:dyDescent="0.25">
      <c r="A3520" s="549" t="s">
        <v>1097</v>
      </c>
      <c r="B3520" s="549" t="s">
        <v>579</v>
      </c>
      <c r="C3520" s="549" t="s">
        <v>703</v>
      </c>
      <c r="D3520" s="549" t="s">
        <v>704</v>
      </c>
      <c r="E3520" s="549" t="s">
        <v>977</v>
      </c>
      <c r="F3520" s="549" t="s">
        <v>1212</v>
      </c>
      <c r="G3520" s="549">
        <v>172</v>
      </c>
      <c r="H3520" s="549" t="s">
        <v>1167</v>
      </c>
      <c r="I3520" s="549" t="s">
        <v>976</v>
      </c>
      <c r="J3520" s="549" t="s">
        <v>976</v>
      </c>
      <c r="K3520" s="549" t="s">
        <v>976</v>
      </c>
      <c r="L3520" s="549">
        <v>436690.54</v>
      </c>
      <c r="M3520" s="549">
        <v>32970.14</v>
      </c>
      <c r="N3520" s="549">
        <v>9650.86</v>
      </c>
      <c r="O3520" s="549">
        <v>3968</v>
      </c>
      <c r="P3520" s="549">
        <v>100</v>
      </c>
      <c r="Q3520" s="549">
        <v>46589</v>
      </c>
    </row>
    <row r="3521" spans="1:17" x14ac:dyDescent="0.25">
      <c r="A3521" s="549" t="s">
        <v>1097</v>
      </c>
      <c r="B3521" s="549" t="s">
        <v>579</v>
      </c>
      <c r="C3521" s="549" t="s">
        <v>703</v>
      </c>
      <c r="D3521" s="549" t="s">
        <v>704</v>
      </c>
      <c r="E3521" s="549" t="s">
        <v>977</v>
      </c>
      <c r="F3521" s="549" t="s">
        <v>1212</v>
      </c>
      <c r="G3521" s="549">
        <v>192</v>
      </c>
      <c r="H3521" s="549" t="s">
        <v>1167</v>
      </c>
      <c r="I3521" s="549" t="s">
        <v>976</v>
      </c>
      <c r="J3521" s="549" t="s">
        <v>976</v>
      </c>
      <c r="K3521" s="549" t="s">
        <v>976</v>
      </c>
      <c r="L3521" s="549">
        <v>485426.5</v>
      </c>
      <c r="M3521" s="549">
        <v>36649.699999999997</v>
      </c>
      <c r="N3521" s="549">
        <v>10727.93</v>
      </c>
      <c r="O3521" s="549">
        <v>3968</v>
      </c>
      <c r="P3521" s="549">
        <v>11.63</v>
      </c>
      <c r="Q3521" s="549">
        <v>5971.5</v>
      </c>
    </row>
    <row r="3522" spans="1:17" x14ac:dyDescent="0.25">
      <c r="A3522" s="549" t="s">
        <v>1097</v>
      </c>
      <c r="B3522" s="549" t="s">
        <v>579</v>
      </c>
      <c r="C3522" s="549" t="s">
        <v>703</v>
      </c>
      <c r="D3522" s="549" t="s">
        <v>704</v>
      </c>
      <c r="E3522" s="549" t="s">
        <v>977</v>
      </c>
      <c r="F3522" s="549" t="s">
        <v>1212</v>
      </c>
      <c r="G3522" s="549">
        <v>202</v>
      </c>
      <c r="H3522" s="549" t="s">
        <v>1167</v>
      </c>
      <c r="I3522" s="549" t="s">
        <v>976</v>
      </c>
      <c r="J3522" s="549" t="s">
        <v>976</v>
      </c>
      <c r="K3522" s="549" t="s">
        <v>976</v>
      </c>
      <c r="L3522" s="549">
        <v>485426.5</v>
      </c>
      <c r="M3522" s="549">
        <v>36649.699999999997</v>
      </c>
      <c r="N3522" s="549">
        <v>10727.93</v>
      </c>
      <c r="O3522" s="549">
        <v>3968</v>
      </c>
      <c r="P3522" s="549">
        <v>11.63</v>
      </c>
      <c r="Q3522" s="549">
        <v>5971.5</v>
      </c>
    </row>
    <row r="3523" spans="1:17" x14ac:dyDescent="0.25">
      <c r="A3523" s="549" t="s">
        <v>1097</v>
      </c>
      <c r="B3523" s="549" t="s">
        <v>579</v>
      </c>
      <c r="C3523" s="549" t="s">
        <v>703</v>
      </c>
      <c r="D3523" s="549" t="s">
        <v>704</v>
      </c>
      <c r="E3523" s="549" t="s">
        <v>977</v>
      </c>
      <c r="F3523" s="549" t="s">
        <v>1212</v>
      </c>
      <c r="G3523" s="549">
        <v>207</v>
      </c>
      <c r="H3523" s="549" t="s">
        <v>1167</v>
      </c>
      <c r="I3523" s="549" t="s">
        <v>976</v>
      </c>
      <c r="J3523" s="549" t="s">
        <v>976</v>
      </c>
      <c r="K3523" s="549" t="s">
        <v>976</v>
      </c>
      <c r="L3523" s="549">
        <v>63595.63</v>
      </c>
      <c r="M3523" s="549">
        <v>4801.47</v>
      </c>
      <c r="N3523" s="549">
        <v>1405.46</v>
      </c>
      <c r="O3523" s="549">
        <v>992</v>
      </c>
      <c r="P3523" s="549">
        <v>11.63</v>
      </c>
      <c r="Q3523" s="549">
        <v>837.24</v>
      </c>
    </row>
    <row r="3524" spans="1:17" x14ac:dyDescent="0.25">
      <c r="A3524" s="549" t="s">
        <v>1097</v>
      </c>
      <c r="B3524" s="549" t="s">
        <v>579</v>
      </c>
      <c r="C3524" s="549" t="s">
        <v>703</v>
      </c>
      <c r="D3524" s="549" t="s">
        <v>704</v>
      </c>
      <c r="E3524" s="549" t="s">
        <v>977</v>
      </c>
      <c r="F3524" s="549" t="s">
        <v>1212</v>
      </c>
      <c r="G3524" s="549" t="s">
        <v>1250</v>
      </c>
      <c r="H3524" s="549" t="s">
        <v>1167</v>
      </c>
      <c r="I3524" s="549" t="s">
        <v>976</v>
      </c>
      <c r="J3524" s="549" t="s">
        <v>976</v>
      </c>
      <c r="K3524" s="549" t="s">
        <v>976</v>
      </c>
      <c r="L3524" s="549">
        <v>41641.339999999997</v>
      </c>
      <c r="M3524" s="549">
        <v>3143.92</v>
      </c>
      <c r="N3524" s="549">
        <v>920.27</v>
      </c>
      <c r="O3524" s="549">
        <v>0</v>
      </c>
      <c r="P3524" s="549">
        <v>11.63</v>
      </c>
      <c r="Q3524" s="549">
        <v>472.67</v>
      </c>
    </row>
    <row r="3525" spans="1:17" x14ac:dyDescent="0.25">
      <c r="A3525" s="549" t="s">
        <v>1097</v>
      </c>
      <c r="B3525" s="549" t="s">
        <v>579</v>
      </c>
      <c r="C3525" s="549" t="s">
        <v>699</v>
      </c>
      <c r="D3525" s="549" t="s">
        <v>700</v>
      </c>
      <c r="E3525" s="549" t="s">
        <v>977</v>
      </c>
      <c r="F3525" s="549" t="s">
        <v>1212</v>
      </c>
      <c r="G3525" s="549">
        <v>37</v>
      </c>
      <c r="H3525" s="549" t="s">
        <v>699</v>
      </c>
      <c r="I3525" s="549" t="s">
        <v>976</v>
      </c>
      <c r="J3525" s="549" t="s">
        <v>976</v>
      </c>
      <c r="K3525" s="549" t="s">
        <v>976</v>
      </c>
      <c r="L3525" s="549">
        <v>78531.14</v>
      </c>
      <c r="M3525" s="549">
        <v>5929.1</v>
      </c>
      <c r="N3525" s="549">
        <v>1735.54</v>
      </c>
      <c r="O3525" s="549">
        <v>992</v>
      </c>
      <c r="P3525" s="549">
        <v>100</v>
      </c>
      <c r="Q3525" s="549">
        <v>8656.64</v>
      </c>
    </row>
    <row r="3526" spans="1:17" x14ac:dyDescent="0.25">
      <c r="A3526" s="549" t="s">
        <v>1097</v>
      </c>
      <c r="B3526" s="549" t="s">
        <v>579</v>
      </c>
      <c r="C3526" s="549" t="s">
        <v>699</v>
      </c>
      <c r="D3526" s="549" t="s">
        <v>700</v>
      </c>
      <c r="E3526" s="549" t="s">
        <v>977</v>
      </c>
      <c r="F3526" s="549" t="s">
        <v>1212</v>
      </c>
      <c r="G3526" s="549">
        <v>62</v>
      </c>
      <c r="H3526" s="549" t="s">
        <v>699</v>
      </c>
      <c r="I3526" s="549" t="s">
        <v>976</v>
      </c>
      <c r="J3526" s="549" t="s">
        <v>976</v>
      </c>
      <c r="K3526" s="549" t="s">
        <v>976</v>
      </c>
      <c r="L3526" s="549">
        <v>347493.52</v>
      </c>
      <c r="M3526" s="549">
        <v>26235.759999999998</v>
      </c>
      <c r="N3526" s="549">
        <v>7679.61</v>
      </c>
      <c r="O3526" s="549">
        <v>3968</v>
      </c>
      <c r="P3526" s="549">
        <v>100</v>
      </c>
      <c r="Q3526" s="549">
        <v>37883.370000000003</v>
      </c>
    </row>
    <row r="3527" spans="1:17" x14ac:dyDescent="0.25">
      <c r="A3527" s="549" t="s">
        <v>1097</v>
      </c>
      <c r="B3527" s="549" t="s">
        <v>579</v>
      </c>
      <c r="C3527" s="549" t="s">
        <v>699</v>
      </c>
      <c r="D3527" s="549" t="s">
        <v>700</v>
      </c>
      <c r="E3527" s="549" t="s">
        <v>977</v>
      </c>
      <c r="F3527" s="549" t="s">
        <v>1212</v>
      </c>
      <c r="G3527" s="549" t="s">
        <v>1309</v>
      </c>
      <c r="H3527" s="549" t="s">
        <v>699</v>
      </c>
      <c r="I3527" s="549" t="s">
        <v>976</v>
      </c>
      <c r="J3527" s="549" t="s">
        <v>976</v>
      </c>
      <c r="K3527" s="549" t="s">
        <v>976</v>
      </c>
      <c r="L3527" s="549">
        <v>31410.32</v>
      </c>
      <c r="M3527" s="549">
        <v>2371.48</v>
      </c>
      <c r="N3527" s="549">
        <v>694.17</v>
      </c>
      <c r="O3527" s="549">
        <v>0</v>
      </c>
      <c r="P3527" s="549">
        <v>100</v>
      </c>
      <c r="Q3527" s="549">
        <v>3065.65</v>
      </c>
    </row>
    <row r="3528" spans="1:17" x14ac:dyDescent="0.25">
      <c r="A3528" s="549" t="s">
        <v>1097</v>
      </c>
      <c r="B3528" s="549" t="s">
        <v>579</v>
      </c>
      <c r="C3528" s="549" t="s">
        <v>697</v>
      </c>
      <c r="D3528" s="549" t="s">
        <v>698</v>
      </c>
      <c r="E3528" s="549" t="s">
        <v>977</v>
      </c>
      <c r="F3528" s="549" t="s">
        <v>1212</v>
      </c>
      <c r="G3528" s="549">
        <v>422</v>
      </c>
      <c r="H3528" s="549" t="s">
        <v>697</v>
      </c>
      <c r="I3528" s="549" t="s">
        <v>976</v>
      </c>
      <c r="J3528" s="549" t="s">
        <v>976</v>
      </c>
      <c r="K3528" s="549" t="s">
        <v>976</v>
      </c>
      <c r="L3528" s="549">
        <v>198596.73</v>
      </c>
      <c r="M3528" s="549">
        <v>14994.05</v>
      </c>
      <c r="N3528" s="549">
        <v>4388.99</v>
      </c>
      <c r="O3528" s="549">
        <v>4960</v>
      </c>
      <c r="P3528" s="549">
        <v>100</v>
      </c>
      <c r="Q3528" s="549">
        <v>24343.040000000001</v>
      </c>
    </row>
    <row r="3529" spans="1:17" x14ac:dyDescent="0.25">
      <c r="A3529" s="549" t="s">
        <v>1097</v>
      </c>
      <c r="B3529" s="549" t="s">
        <v>579</v>
      </c>
      <c r="C3529" s="549" t="s">
        <v>697</v>
      </c>
      <c r="D3529" s="549" t="s">
        <v>698</v>
      </c>
      <c r="E3529" s="549" t="s">
        <v>977</v>
      </c>
      <c r="F3529" s="549" t="s">
        <v>1212</v>
      </c>
      <c r="G3529" s="549">
        <v>427</v>
      </c>
      <c r="H3529" s="549" t="s">
        <v>697</v>
      </c>
      <c r="I3529" s="549" t="s">
        <v>976</v>
      </c>
      <c r="J3529" s="549" t="s">
        <v>976</v>
      </c>
      <c r="K3529" s="549" t="s">
        <v>976</v>
      </c>
      <c r="L3529" s="549">
        <v>23632.23</v>
      </c>
      <c r="M3529" s="549">
        <v>1784.23</v>
      </c>
      <c r="N3529" s="549">
        <v>522.27</v>
      </c>
      <c r="O3529" s="549">
        <v>992</v>
      </c>
      <c r="P3529" s="549">
        <v>100</v>
      </c>
      <c r="Q3529" s="549">
        <v>3298.5</v>
      </c>
    </row>
    <row r="3530" spans="1:17" x14ac:dyDescent="0.25">
      <c r="A3530" s="549" t="s">
        <v>1097</v>
      </c>
      <c r="B3530" s="549" t="s">
        <v>579</v>
      </c>
      <c r="C3530" s="549" t="s">
        <v>697</v>
      </c>
      <c r="D3530" s="549" t="s">
        <v>698</v>
      </c>
      <c r="E3530" s="549" t="s">
        <v>977</v>
      </c>
      <c r="F3530" s="549" t="s">
        <v>1212</v>
      </c>
      <c r="G3530" s="549">
        <v>432</v>
      </c>
      <c r="H3530" s="549" t="s">
        <v>697</v>
      </c>
      <c r="I3530" s="549" t="s">
        <v>976</v>
      </c>
      <c r="J3530" s="549" t="s">
        <v>976</v>
      </c>
      <c r="K3530" s="549" t="s">
        <v>976</v>
      </c>
      <c r="L3530" s="549">
        <v>183342</v>
      </c>
      <c r="M3530" s="549">
        <v>13842.32</v>
      </c>
      <c r="N3530" s="549">
        <v>4051.86</v>
      </c>
      <c r="O3530" s="549">
        <v>2976</v>
      </c>
      <c r="P3530" s="549">
        <v>100</v>
      </c>
      <c r="Q3530" s="549">
        <v>20870.18</v>
      </c>
    </row>
    <row r="3531" spans="1:17" x14ac:dyDescent="0.25">
      <c r="A3531" s="549" t="s">
        <v>1097</v>
      </c>
      <c r="B3531" s="549" t="s">
        <v>579</v>
      </c>
      <c r="C3531" s="549" t="s">
        <v>697</v>
      </c>
      <c r="D3531" s="549" t="s">
        <v>698</v>
      </c>
      <c r="E3531" s="549" t="s">
        <v>977</v>
      </c>
      <c r="F3531" s="549" t="s">
        <v>1212</v>
      </c>
      <c r="G3531" s="549">
        <v>437</v>
      </c>
      <c r="H3531" s="549" t="s">
        <v>697</v>
      </c>
      <c r="I3531" s="549" t="s">
        <v>976</v>
      </c>
      <c r="J3531" s="549" t="s">
        <v>976</v>
      </c>
      <c r="K3531" s="549" t="s">
        <v>976</v>
      </c>
      <c r="L3531" s="549">
        <v>23632.23</v>
      </c>
      <c r="M3531" s="549">
        <v>1784.23</v>
      </c>
      <c r="N3531" s="549">
        <v>522.27</v>
      </c>
      <c r="O3531" s="549">
        <v>992</v>
      </c>
      <c r="P3531" s="549">
        <v>100</v>
      </c>
      <c r="Q3531" s="549">
        <v>3298.5</v>
      </c>
    </row>
    <row r="3532" spans="1:17" x14ac:dyDescent="0.25">
      <c r="A3532" s="549" t="s">
        <v>1097</v>
      </c>
      <c r="B3532" s="549" t="s">
        <v>579</v>
      </c>
      <c r="C3532" s="549" t="s">
        <v>697</v>
      </c>
      <c r="D3532" s="549" t="s">
        <v>698</v>
      </c>
      <c r="E3532" s="549" t="s">
        <v>977</v>
      </c>
      <c r="F3532" s="549" t="s">
        <v>1212</v>
      </c>
      <c r="G3532" s="549">
        <v>442</v>
      </c>
      <c r="H3532" s="549" t="s">
        <v>697</v>
      </c>
      <c r="I3532" s="549" t="s">
        <v>976</v>
      </c>
      <c r="J3532" s="549" t="s">
        <v>976</v>
      </c>
      <c r="K3532" s="549" t="s">
        <v>976</v>
      </c>
      <c r="L3532" s="549">
        <v>198596.73</v>
      </c>
      <c r="M3532" s="549">
        <v>14994.05</v>
      </c>
      <c r="N3532" s="549">
        <v>4388.99</v>
      </c>
      <c r="O3532" s="549">
        <v>4960</v>
      </c>
      <c r="P3532" s="549">
        <v>100</v>
      </c>
      <c r="Q3532" s="549">
        <v>24343.040000000001</v>
      </c>
    </row>
    <row r="3533" spans="1:17" x14ac:dyDescent="0.25">
      <c r="A3533" s="549" t="s">
        <v>1097</v>
      </c>
      <c r="B3533" s="549" t="s">
        <v>579</v>
      </c>
      <c r="C3533" s="549" t="s">
        <v>697</v>
      </c>
      <c r="D3533" s="549" t="s">
        <v>698</v>
      </c>
      <c r="E3533" s="549" t="s">
        <v>977</v>
      </c>
      <c r="F3533" s="549" t="s">
        <v>1212</v>
      </c>
      <c r="G3533" s="549">
        <v>462</v>
      </c>
      <c r="H3533" s="549" t="s">
        <v>697</v>
      </c>
      <c r="I3533" s="549" t="s">
        <v>976</v>
      </c>
      <c r="J3533" s="549" t="s">
        <v>976</v>
      </c>
      <c r="K3533" s="549" t="s">
        <v>976</v>
      </c>
      <c r="L3533" s="549">
        <v>198596.73</v>
      </c>
      <c r="M3533" s="549">
        <v>14994.05</v>
      </c>
      <c r="N3533" s="549">
        <v>4388.99</v>
      </c>
      <c r="O3533" s="549">
        <v>4960</v>
      </c>
      <c r="P3533" s="549">
        <v>100</v>
      </c>
      <c r="Q3533" s="549">
        <v>24343.040000000001</v>
      </c>
    </row>
    <row r="3534" spans="1:17" x14ac:dyDescent="0.25">
      <c r="A3534" s="549" t="s">
        <v>1097</v>
      </c>
      <c r="B3534" s="549" t="s">
        <v>579</v>
      </c>
      <c r="C3534" s="549" t="s">
        <v>697</v>
      </c>
      <c r="D3534" s="549" t="s">
        <v>698</v>
      </c>
      <c r="E3534" s="549" t="s">
        <v>977</v>
      </c>
      <c r="F3534" s="549" t="s">
        <v>1212</v>
      </c>
      <c r="G3534" s="549">
        <v>482</v>
      </c>
      <c r="H3534" s="549" t="s">
        <v>697</v>
      </c>
      <c r="I3534" s="549" t="s">
        <v>976</v>
      </c>
      <c r="J3534" s="549" t="s">
        <v>976</v>
      </c>
      <c r="K3534" s="549" t="s">
        <v>976</v>
      </c>
      <c r="L3534" s="549">
        <v>198596.73</v>
      </c>
      <c r="M3534" s="549">
        <v>14994.05</v>
      </c>
      <c r="N3534" s="549">
        <v>4388.99</v>
      </c>
      <c r="O3534" s="549">
        <v>4960</v>
      </c>
      <c r="P3534" s="549">
        <v>100</v>
      </c>
      <c r="Q3534" s="549">
        <v>24343.040000000001</v>
      </c>
    </row>
    <row r="3535" spans="1:17" x14ac:dyDescent="0.25">
      <c r="A3535" s="549" t="s">
        <v>1097</v>
      </c>
      <c r="B3535" s="549" t="s">
        <v>579</v>
      </c>
      <c r="C3535" s="549" t="s">
        <v>697</v>
      </c>
      <c r="D3535" s="549" t="s">
        <v>698</v>
      </c>
      <c r="E3535" s="549" t="s">
        <v>977</v>
      </c>
      <c r="F3535" s="549" t="s">
        <v>1212</v>
      </c>
      <c r="G3535" s="549">
        <v>492</v>
      </c>
      <c r="H3535" s="549" t="s">
        <v>697</v>
      </c>
      <c r="I3535" s="549" t="s">
        <v>976</v>
      </c>
      <c r="J3535" s="549" t="s">
        <v>976</v>
      </c>
      <c r="K3535" s="549" t="s">
        <v>976</v>
      </c>
      <c r="L3535" s="549">
        <v>198596.73</v>
      </c>
      <c r="M3535" s="549">
        <v>14994.05</v>
      </c>
      <c r="N3535" s="549">
        <v>4388.99</v>
      </c>
      <c r="O3535" s="549">
        <v>4960</v>
      </c>
      <c r="P3535" s="549">
        <v>100</v>
      </c>
      <c r="Q3535" s="549">
        <v>24343.040000000001</v>
      </c>
    </row>
    <row r="3536" spans="1:17" x14ac:dyDescent="0.25">
      <c r="A3536" s="549" t="s">
        <v>1097</v>
      </c>
      <c r="B3536" s="549" t="s">
        <v>579</v>
      </c>
      <c r="C3536" s="549" t="s">
        <v>697</v>
      </c>
      <c r="D3536" s="549" t="s">
        <v>698</v>
      </c>
      <c r="E3536" s="549" t="s">
        <v>977</v>
      </c>
      <c r="F3536" s="549" t="s">
        <v>1212</v>
      </c>
      <c r="G3536" s="549">
        <v>497</v>
      </c>
      <c r="H3536" s="549" t="s">
        <v>697</v>
      </c>
      <c r="I3536" s="549" t="s">
        <v>976</v>
      </c>
      <c r="J3536" s="549" t="s">
        <v>976</v>
      </c>
      <c r="K3536" s="549" t="s">
        <v>976</v>
      </c>
      <c r="L3536" s="549">
        <v>23632.23</v>
      </c>
      <c r="M3536" s="549">
        <v>1784.23</v>
      </c>
      <c r="N3536" s="549">
        <v>522.27</v>
      </c>
      <c r="O3536" s="549">
        <v>992</v>
      </c>
      <c r="P3536" s="549">
        <v>100</v>
      </c>
      <c r="Q3536" s="549">
        <v>3298.5</v>
      </c>
    </row>
    <row r="3537" spans="1:17" x14ac:dyDescent="0.25">
      <c r="A3537" s="549" t="s">
        <v>1097</v>
      </c>
      <c r="B3537" s="549" t="s">
        <v>579</v>
      </c>
      <c r="C3537" s="549" t="s">
        <v>697</v>
      </c>
      <c r="D3537" s="549" t="s">
        <v>698</v>
      </c>
      <c r="E3537" s="549" t="s">
        <v>977</v>
      </c>
      <c r="F3537" s="549" t="s">
        <v>1212</v>
      </c>
      <c r="G3537" s="549">
        <v>502</v>
      </c>
      <c r="H3537" s="549" t="s">
        <v>697</v>
      </c>
      <c r="I3537" s="549" t="s">
        <v>976</v>
      </c>
      <c r="J3537" s="549" t="s">
        <v>976</v>
      </c>
      <c r="K3537" s="549" t="s">
        <v>976</v>
      </c>
      <c r="L3537" s="549">
        <v>198596.73</v>
      </c>
      <c r="M3537" s="549">
        <v>14994.05</v>
      </c>
      <c r="N3537" s="549">
        <v>4388.99</v>
      </c>
      <c r="O3537" s="549">
        <v>4960</v>
      </c>
      <c r="P3537" s="549">
        <v>100</v>
      </c>
      <c r="Q3537" s="549">
        <v>24343.040000000001</v>
      </c>
    </row>
    <row r="3538" spans="1:17" x14ac:dyDescent="0.25">
      <c r="A3538" s="549" t="s">
        <v>1097</v>
      </c>
      <c r="B3538" s="549" t="s">
        <v>579</v>
      </c>
      <c r="C3538" s="549" t="s">
        <v>697</v>
      </c>
      <c r="D3538" s="549" t="s">
        <v>698</v>
      </c>
      <c r="E3538" s="549" t="s">
        <v>977</v>
      </c>
      <c r="F3538" s="549" t="s">
        <v>1212</v>
      </c>
      <c r="G3538" s="549">
        <v>512</v>
      </c>
      <c r="H3538" s="549" t="s">
        <v>697</v>
      </c>
      <c r="I3538" s="549" t="s">
        <v>976</v>
      </c>
      <c r="J3538" s="549" t="s">
        <v>976</v>
      </c>
      <c r="K3538" s="549" t="s">
        <v>976</v>
      </c>
      <c r="L3538" s="549">
        <v>183342</v>
      </c>
      <c r="M3538" s="549">
        <v>13842.32</v>
      </c>
      <c r="N3538" s="549">
        <v>4051.86</v>
      </c>
      <c r="O3538" s="549">
        <v>2976</v>
      </c>
      <c r="P3538" s="549">
        <v>100</v>
      </c>
      <c r="Q3538" s="549">
        <v>20870.18</v>
      </c>
    </row>
    <row r="3539" spans="1:17" x14ac:dyDescent="0.25">
      <c r="A3539" s="549" t="s">
        <v>1097</v>
      </c>
      <c r="B3539" s="549" t="s">
        <v>579</v>
      </c>
      <c r="C3539" s="549" t="s">
        <v>697</v>
      </c>
      <c r="D3539" s="549" t="s">
        <v>698</v>
      </c>
      <c r="E3539" s="549" t="s">
        <v>977</v>
      </c>
      <c r="F3539" s="549" t="s">
        <v>1212</v>
      </c>
      <c r="G3539" s="549">
        <v>522</v>
      </c>
      <c r="H3539" s="549" t="s">
        <v>697</v>
      </c>
      <c r="I3539" s="549" t="s">
        <v>976</v>
      </c>
      <c r="J3539" s="549" t="s">
        <v>976</v>
      </c>
      <c r="K3539" s="549" t="s">
        <v>976</v>
      </c>
      <c r="L3539" s="549">
        <v>198596.73</v>
      </c>
      <c r="M3539" s="549">
        <v>14994.05</v>
      </c>
      <c r="N3539" s="549">
        <v>4388.99</v>
      </c>
      <c r="O3539" s="549">
        <v>4960</v>
      </c>
      <c r="P3539" s="549">
        <v>100</v>
      </c>
      <c r="Q3539" s="549">
        <v>24343.040000000001</v>
      </c>
    </row>
    <row r="3540" spans="1:17" x14ac:dyDescent="0.25">
      <c r="A3540" s="549" t="s">
        <v>1097</v>
      </c>
      <c r="B3540" s="549" t="s">
        <v>579</v>
      </c>
      <c r="C3540" s="549" t="s">
        <v>697</v>
      </c>
      <c r="D3540" s="549" t="s">
        <v>698</v>
      </c>
      <c r="E3540" s="549" t="s">
        <v>977</v>
      </c>
      <c r="F3540" s="549" t="s">
        <v>1212</v>
      </c>
      <c r="G3540" s="549">
        <v>762</v>
      </c>
      <c r="H3540" s="549" t="s">
        <v>697</v>
      </c>
      <c r="I3540" s="549" t="s">
        <v>976</v>
      </c>
      <c r="J3540" s="549" t="s">
        <v>976</v>
      </c>
      <c r="K3540" s="549" t="s">
        <v>976</v>
      </c>
      <c r="L3540" s="549">
        <v>473331.21</v>
      </c>
      <c r="M3540" s="549">
        <v>35736.51</v>
      </c>
      <c r="N3540" s="549">
        <v>10460.620000000001</v>
      </c>
      <c r="O3540" s="549">
        <v>1984</v>
      </c>
      <c r="P3540" s="549">
        <v>100</v>
      </c>
      <c r="Q3540" s="549">
        <v>48181.13</v>
      </c>
    </row>
    <row r="3541" spans="1:17" x14ac:dyDescent="0.25">
      <c r="A3541" s="549" t="s">
        <v>1097</v>
      </c>
      <c r="B3541" s="549" t="s">
        <v>579</v>
      </c>
      <c r="C3541" s="549" t="s">
        <v>697</v>
      </c>
      <c r="D3541" s="549" t="s">
        <v>698</v>
      </c>
      <c r="E3541" s="549" t="s">
        <v>977</v>
      </c>
      <c r="F3541" s="549" t="s">
        <v>1212</v>
      </c>
      <c r="G3541" s="549">
        <v>802</v>
      </c>
      <c r="H3541" s="549" t="s">
        <v>697</v>
      </c>
      <c r="I3541" s="549" t="s">
        <v>976</v>
      </c>
      <c r="J3541" s="549" t="s">
        <v>976</v>
      </c>
      <c r="K3541" s="549" t="s">
        <v>976</v>
      </c>
      <c r="L3541" s="549">
        <v>473331.21</v>
      </c>
      <c r="M3541" s="549">
        <v>35736.51</v>
      </c>
      <c r="N3541" s="549">
        <v>10460.620000000001</v>
      </c>
      <c r="O3541" s="549">
        <v>1984</v>
      </c>
      <c r="P3541" s="549">
        <v>100</v>
      </c>
      <c r="Q3541" s="549">
        <v>48181.13</v>
      </c>
    </row>
    <row r="3542" spans="1:17" x14ac:dyDescent="0.25">
      <c r="A3542" s="549" t="s">
        <v>1116</v>
      </c>
      <c r="B3542" s="549" t="s">
        <v>589</v>
      </c>
      <c r="C3542" s="549" t="s">
        <v>849</v>
      </c>
      <c r="D3542" s="549" t="s">
        <v>850</v>
      </c>
      <c r="E3542" s="549" t="s">
        <v>973</v>
      </c>
      <c r="F3542" s="549" t="s">
        <v>1212</v>
      </c>
      <c r="G3542" s="549" t="s">
        <v>1476</v>
      </c>
      <c r="H3542" s="549" t="s">
        <v>849</v>
      </c>
      <c r="I3542" s="549" t="s">
        <v>976</v>
      </c>
      <c r="J3542" s="549" t="s">
        <v>976</v>
      </c>
      <c r="K3542" s="549" t="s">
        <v>976</v>
      </c>
      <c r="L3542" s="549">
        <v>48805.45</v>
      </c>
      <c r="M3542" s="549">
        <v>3684.81</v>
      </c>
      <c r="N3542" s="549">
        <v>2801.43</v>
      </c>
      <c r="O3542" s="549">
        <v>0</v>
      </c>
      <c r="P3542" s="549">
        <v>0</v>
      </c>
      <c r="Q3542" s="549">
        <v>0</v>
      </c>
    </row>
    <row r="3543" spans="1:17" x14ac:dyDescent="0.25">
      <c r="A3543" s="549" t="s">
        <v>1116</v>
      </c>
      <c r="B3543" s="549" t="s">
        <v>589</v>
      </c>
      <c r="C3543" s="549" t="s">
        <v>849</v>
      </c>
      <c r="D3543" s="549" t="s">
        <v>850</v>
      </c>
      <c r="E3543" s="549" t="s">
        <v>973</v>
      </c>
      <c r="F3543" s="549" t="s">
        <v>1212</v>
      </c>
      <c r="G3543" s="549" t="s">
        <v>1347</v>
      </c>
      <c r="H3543" s="549" t="s">
        <v>849</v>
      </c>
      <c r="I3543" s="549" t="s">
        <v>976</v>
      </c>
      <c r="J3543" s="549" t="s">
        <v>976</v>
      </c>
      <c r="K3543" s="549" t="s">
        <v>976</v>
      </c>
      <c r="L3543" s="549">
        <v>48805.45</v>
      </c>
      <c r="M3543" s="549">
        <v>3684.81</v>
      </c>
      <c r="N3543" s="549">
        <v>2801.43</v>
      </c>
      <c r="O3543" s="549">
        <v>0</v>
      </c>
      <c r="P3543" s="549">
        <v>0</v>
      </c>
      <c r="Q3543" s="549">
        <v>0</v>
      </c>
    </row>
    <row r="3544" spans="1:17" x14ac:dyDescent="0.25">
      <c r="A3544" s="549" t="s">
        <v>1116</v>
      </c>
      <c r="B3544" s="549" t="s">
        <v>589</v>
      </c>
      <c r="C3544" s="549" t="s">
        <v>849</v>
      </c>
      <c r="D3544" s="549" t="s">
        <v>850</v>
      </c>
      <c r="E3544" s="549" t="s">
        <v>973</v>
      </c>
      <c r="F3544" s="549" t="s">
        <v>1212</v>
      </c>
      <c r="G3544" s="549" t="s">
        <v>1238</v>
      </c>
      <c r="H3544" s="549" t="s">
        <v>849</v>
      </c>
      <c r="I3544" s="549" t="s">
        <v>976</v>
      </c>
      <c r="J3544" s="549" t="s">
        <v>976</v>
      </c>
      <c r="K3544" s="549" t="s">
        <v>976</v>
      </c>
      <c r="L3544" s="549">
        <v>22318.22</v>
      </c>
      <c r="M3544" s="549">
        <v>1685.03</v>
      </c>
      <c r="N3544" s="549">
        <v>1281.07</v>
      </c>
      <c r="O3544" s="549">
        <v>0</v>
      </c>
      <c r="P3544" s="549">
        <v>0</v>
      </c>
      <c r="Q3544" s="549">
        <v>0</v>
      </c>
    </row>
    <row r="3545" spans="1:17" x14ac:dyDescent="0.25">
      <c r="A3545" s="549" t="s">
        <v>1116</v>
      </c>
      <c r="B3545" s="549" t="s">
        <v>589</v>
      </c>
      <c r="C3545" s="549" t="s">
        <v>849</v>
      </c>
      <c r="D3545" s="549" t="s">
        <v>850</v>
      </c>
      <c r="E3545" s="549" t="s">
        <v>973</v>
      </c>
      <c r="F3545" s="549" t="s">
        <v>1212</v>
      </c>
      <c r="G3545" s="549" t="s">
        <v>1237</v>
      </c>
      <c r="H3545" s="549" t="s">
        <v>849</v>
      </c>
      <c r="I3545" s="549" t="s">
        <v>976</v>
      </c>
      <c r="J3545" s="549" t="s">
        <v>976</v>
      </c>
      <c r="K3545" s="549" t="s">
        <v>976</v>
      </c>
      <c r="L3545" s="549">
        <v>22318.22</v>
      </c>
      <c r="M3545" s="549">
        <v>1685.03</v>
      </c>
      <c r="N3545" s="549">
        <v>1281.07</v>
      </c>
      <c r="O3545" s="549">
        <v>0</v>
      </c>
      <c r="P3545" s="549">
        <v>0</v>
      </c>
      <c r="Q3545" s="549">
        <v>0</v>
      </c>
    </row>
    <row r="3546" spans="1:17" x14ac:dyDescent="0.25">
      <c r="A3546" s="549" t="s">
        <v>1116</v>
      </c>
      <c r="B3546" s="549" t="s">
        <v>589</v>
      </c>
      <c r="C3546" s="549" t="s">
        <v>849</v>
      </c>
      <c r="D3546" s="549" t="s">
        <v>850</v>
      </c>
      <c r="E3546" s="549" t="s">
        <v>973</v>
      </c>
      <c r="F3546" s="549" t="s">
        <v>1212</v>
      </c>
      <c r="G3546" s="549" t="s">
        <v>1247</v>
      </c>
      <c r="H3546" s="549" t="s">
        <v>849</v>
      </c>
      <c r="I3546" s="549" t="s">
        <v>976</v>
      </c>
      <c r="J3546" s="549" t="s">
        <v>976</v>
      </c>
      <c r="K3546" s="549" t="s">
        <v>976</v>
      </c>
      <c r="L3546" s="549">
        <v>311322.25</v>
      </c>
      <c r="M3546" s="549">
        <v>23504.83</v>
      </c>
      <c r="N3546" s="549">
        <v>17869.900000000001</v>
      </c>
      <c r="O3546" s="549">
        <v>992</v>
      </c>
      <c r="P3546" s="549">
        <v>0</v>
      </c>
      <c r="Q3546" s="549">
        <v>0</v>
      </c>
    </row>
    <row r="3547" spans="1:17" x14ac:dyDescent="0.25">
      <c r="A3547" s="549" t="s">
        <v>1116</v>
      </c>
      <c r="B3547" s="549" t="s">
        <v>589</v>
      </c>
      <c r="C3547" s="549" t="s">
        <v>849</v>
      </c>
      <c r="D3547" s="549" t="s">
        <v>850</v>
      </c>
      <c r="E3547" s="549" t="s">
        <v>973</v>
      </c>
      <c r="F3547" s="549" t="s">
        <v>1212</v>
      </c>
      <c r="G3547" s="549" t="s">
        <v>1235</v>
      </c>
      <c r="H3547" s="549" t="s">
        <v>849</v>
      </c>
      <c r="I3547" s="549" t="s">
        <v>976</v>
      </c>
      <c r="J3547" s="549" t="s">
        <v>976</v>
      </c>
      <c r="K3547" s="549" t="s">
        <v>976</v>
      </c>
      <c r="L3547" s="549">
        <v>311322.25</v>
      </c>
      <c r="M3547" s="549">
        <v>23504.83</v>
      </c>
      <c r="N3547" s="549">
        <v>17869.900000000001</v>
      </c>
      <c r="O3547" s="549">
        <v>992</v>
      </c>
      <c r="P3547" s="549">
        <v>0</v>
      </c>
      <c r="Q3547" s="549">
        <v>0</v>
      </c>
    </row>
    <row r="3548" spans="1:17" x14ac:dyDescent="0.25">
      <c r="A3548" s="549" t="s">
        <v>1116</v>
      </c>
      <c r="B3548" s="549" t="s">
        <v>589</v>
      </c>
      <c r="C3548" s="549" t="s">
        <v>849</v>
      </c>
      <c r="D3548" s="549" t="s">
        <v>850</v>
      </c>
      <c r="E3548" s="549" t="s">
        <v>973</v>
      </c>
      <c r="F3548" s="549" t="s">
        <v>1212</v>
      </c>
      <c r="G3548" s="549">
        <v>242</v>
      </c>
      <c r="H3548" s="549" t="s">
        <v>849</v>
      </c>
      <c r="I3548" s="549" t="s">
        <v>976</v>
      </c>
      <c r="J3548" s="549" t="s">
        <v>976</v>
      </c>
      <c r="K3548" s="549" t="s">
        <v>976</v>
      </c>
      <c r="L3548" s="549">
        <v>344086.71</v>
      </c>
      <c r="M3548" s="549">
        <v>25978.55</v>
      </c>
      <c r="N3548" s="549">
        <v>19750.580000000002</v>
      </c>
      <c r="O3548" s="549">
        <v>1984</v>
      </c>
      <c r="P3548" s="549">
        <v>0</v>
      </c>
      <c r="Q3548" s="549">
        <v>0</v>
      </c>
    </row>
    <row r="3549" spans="1:17" x14ac:dyDescent="0.25">
      <c r="A3549" s="549" t="s">
        <v>1116</v>
      </c>
      <c r="B3549" s="549" t="s">
        <v>589</v>
      </c>
      <c r="C3549" s="549" t="s">
        <v>849</v>
      </c>
      <c r="D3549" s="549" t="s">
        <v>850</v>
      </c>
      <c r="E3549" s="549" t="s">
        <v>973</v>
      </c>
      <c r="F3549" s="549" t="s">
        <v>1212</v>
      </c>
      <c r="G3549" s="549">
        <v>222</v>
      </c>
      <c r="H3549" s="549" t="s">
        <v>849</v>
      </c>
      <c r="I3549" s="549" t="s">
        <v>976</v>
      </c>
      <c r="J3549" s="549" t="s">
        <v>976</v>
      </c>
      <c r="K3549" s="549" t="s">
        <v>976</v>
      </c>
      <c r="L3549" s="549">
        <v>344086.71</v>
      </c>
      <c r="M3549" s="549">
        <v>25978.55</v>
      </c>
      <c r="N3549" s="549">
        <v>19750.580000000002</v>
      </c>
      <c r="O3549" s="549">
        <v>1984</v>
      </c>
      <c r="P3549" s="549">
        <v>0</v>
      </c>
      <c r="Q3549" s="549">
        <v>0</v>
      </c>
    </row>
    <row r="3550" spans="1:17" x14ac:dyDescent="0.25">
      <c r="A3550" s="549" t="s">
        <v>1097</v>
      </c>
      <c r="B3550" s="549" t="s">
        <v>579</v>
      </c>
      <c r="C3550" s="549" t="s">
        <v>697</v>
      </c>
      <c r="D3550" s="549" t="s">
        <v>698</v>
      </c>
      <c r="E3550" s="549" t="s">
        <v>977</v>
      </c>
      <c r="F3550" s="549" t="s">
        <v>1212</v>
      </c>
      <c r="G3550" s="549" t="s">
        <v>1484</v>
      </c>
      <c r="H3550" s="549" t="s">
        <v>697</v>
      </c>
      <c r="I3550" s="549" t="s">
        <v>976</v>
      </c>
      <c r="J3550" s="549" t="s">
        <v>976</v>
      </c>
      <c r="K3550" s="549" t="s">
        <v>976</v>
      </c>
      <c r="L3550" s="549">
        <v>40470.559999999998</v>
      </c>
      <c r="M3550" s="549">
        <v>3055.53</v>
      </c>
      <c r="N3550" s="549">
        <v>894.4</v>
      </c>
      <c r="O3550" s="549">
        <v>1984</v>
      </c>
      <c r="P3550" s="549">
        <v>100</v>
      </c>
      <c r="Q3550" s="549">
        <v>5933.93</v>
      </c>
    </row>
    <row r="3551" spans="1:17" x14ac:dyDescent="0.25">
      <c r="A3551" s="549" t="s">
        <v>1097</v>
      </c>
      <c r="B3551" s="549" t="s">
        <v>579</v>
      </c>
      <c r="C3551" s="549" t="s">
        <v>697</v>
      </c>
      <c r="D3551" s="549" t="s">
        <v>698</v>
      </c>
      <c r="E3551" s="549" t="s">
        <v>977</v>
      </c>
      <c r="F3551" s="549" t="s">
        <v>1212</v>
      </c>
      <c r="G3551" s="549" t="s">
        <v>1333</v>
      </c>
      <c r="H3551" s="549" t="s">
        <v>697</v>
      </c>
      <c r="I3551" s="549" t="s">
        <v>976</v>
      </c>
      <c r="J3551" s="549" t="s">
        <v>976</v>
      </c>
      <c r="K3551" s="549" t="s">
        <v>976</v>
      </c>
      <c r="L3551" s="549">
        <v>30623.82</v>
      </c>
      <c r="M3551" s="549">
        <v>2312.1</v>
      </c>
      <c r="N3551" s="549">
        <v>676.79</v>
      </c>
      <c r="O3551" s="549">
        <v>0</v>
      </c>
      <c r="P3551" s="549">
        <v>100</v>
      </c>
      <c r="Q3551" s="549">
        <v>2988.89</v>
      </c>
    </row>
    <row r="3552" spans="1:17" x14ac:dyDescent="0.25">
      <c r="A3552" s="549" t="s">
        <v>1097</v>
      </c>
      <c r="B3552" s="549" t="s">
        <v>579</v>
      </c>
      <c r="C3552" s="549" t="s">
        <v>697</v>
      </c>
      <c r="D3552" s="549" t="s">
        <v>698</v>
      </c>
      <c r="E3552" s="549" t="s">
        <v>977</v>
      </c>
      <c r="F3552" s="549" t="s">
        <v>1212</v>
      </c>
      <c r="G3552" s="549" t="s">
        <v>1485</v>
      </c>
      <c r="H3552" s="549" t="s">
        <v>697</v>
      </c>
      <c r="I3552" s="549" t="s">
        <v>976</v>
      </c>
      <c r="J3552" s="549" t="s">
        <v>976</v>
      </c>
      <c r="K3552" s="549" t="s">
        <v>976</v>
      </c>
      <c r="L3552" s="549">
        <v>31217.759999999998</v>
      </c>
      <c r="M3552" s="549">
        <v>2356.94</v>
      </c>
      <c r="N3552" s="549">
        <v>689.91</v>
      </c>
      <c r="O3552" s="549">
        <v>0</v>
      </c>
      <c r="P3552" s="549">
        <v>100</v>
      </c>
      <c r="Q3552" s="549">
        <v>3046.85</v>
      </c>
    </row>
    <row r="3553" spans="1:17" x14ac:dyDescent="0.25">
      <c r="A3553" s="549" t="s">
        <v>1097</v>
      </c>
      <c r="B3553" s="549" t="s">
        <v>579</v>
      </c>
      <c r="C3553" s="549" t="s">
        <v>697</v>
      </c>
      <c r="D3553" s="549" t="s">
        <v>698</v>
      </c>
      <c r="E3553" s="549" t="s">
        <v>977</v>
      </c>
      <c r="F3553" s="549" t="s">
        <v>1212</v>
      </c>
      <c r="G3553" s="549" t="s">
        <v>1486</v>
      </c>
      <c r="H3553" s="549" t="s">
        <v>697</v>
      </c>
      <c r="I3553" s="549" t="s">
        <v>976</v>
      </c>
      <c r="J3553" s="549" t="s">
        <v>976</v>
      </c>
      <c r="K3553" s="549" t="s">
        <v>976</v>
      </c>
      <c r="L3553" s="549">
        <v>31217.759999999998</v>
      </c>
      <c r="M3553" s="549">
        <v>2356.94</v>
      </c>
      <c r="N3553" s="549">
        <v>689.91</v>
      </c>
      <c r="O3553" s="549">
        <v>0</v>
      </c>
      <c r="P3553" s="549">
        <v>100</v>
      </c>
      <c r="Q3553" s="549">
        <v>3046.85</v>
      </c>
    </row>
    <row r="3554" spans="1:17" x14ac:dyDescent="0.25">
      <c r="A3554" s="549" t="s">
        <v>1099</v>
      </c>
      <c r="B3554" s="549" t="s">
        <v>1100</v>
      </c>
      <c r="C3554" s="549" t="s">
        <v>1101</v>
      </c>
      <c r="D3554" s="549" t="s">
        <v>1102</v>
      </c>
      <c r="E3554" s="549" t="s">
        <v>973</v>
      </c>
      <c r="F3554" s="549" t="s">
        <v>1212</v>
      </c>
      <c r="G3554" s="549">
        <v>999</v>
      </c>
      <c r="H3554" s="549" t="s">
        <v>1101</v>
      </c>
      <c r="I3554" s="549" t="s">
        <v>1291</v>
      </c>
      <c r="J3554" s="549" t="s">
        <v>1291</v>
      </c>
      <c r="K3554" s="549" t="s">
        <v>1291</v>
      </c>
      <c r="L3554" s="549">
        <v>0</v>
      </c>
      <c r="M3554" s="549">
        <v>0</v>
      </c>
      <c r="N3554" s="549">
        <v>0</v>
      </c>
      <c r="O3554" s="549">
        <v>0</v>
      </c>
      <c r="P3554" s="549">
        <v>0</v>
      </c>
      <c r="Q3554" s="549">
        <v>0</v>
      </c>
    </row>
    <row r="3555" spans="1:17" x14ac:dyDescent="0.25">
      <c r="A3555" s="549" t="s">
        <v>1099</v>
      </c>
      <c r="B3555" s="549" t="s">
        <v>1100</v>
      </c>
      <c r="C3555" s="549" t="s">
        <v>1101</v>
      </c>
      <c r="D3555" s="549" t="s">
        <v>1102</v>
      </c>
      <c r="E3555" s="549" t="s">
        <v>973</v>
      </c>
      <c r="F3555" s="549" t="s">
        <v>1212</v>
      </c>
      <c r="G3555" s="549">
        <v>102</v>
      </c>
      <c r="H3555" s="549" t="s">
        <v>538</v>
      </c>
      <c r="I3555" s="549" t="s">
        <v>976</v>
      </c>
      <c r="J3555" s="549" t="s">
        <v>976</v>
      </c>
      <c r="K3555" s="549" t="s">
        <v>976</v>
      </c>
      <c r="L3555" s="549">
        <v>504629.39</v>
      </c>
      <c r="M3555" s="549">
        <v>38099.519999999997</v>
      </c>
      <c r="N3555" s="549">
        <v>28965.73</v>
      </c>
      <c r="O3555" s="549">
        <v>3968</v>
      </c>
      <c r="P3555" s="549">
        <v>66.3</v>
      </c>
      <c r="Q3555" s="549">
        <v>47095.040000000001</v>
      </c>
    </row>
    <row r="3556" spans="1:17" x14ac:dyDescent="0.25">
      <c r="A3556" s="549" t="s">
        <v>1099</v>
      </c>
      <c r="B3556" s="549" t="s">
        <v>1100</v>
      </c>
      <c r="C3556" s="549" t="s">
        <v>1101</v>
      </c>
      <c r="D3556" s="549" t="s">
        <v>1102</v>
      </c>
      <c r="E3556" s="549" t="s">
        <v>973</v>
      </c>
      <c r="F3556" s="549" t="s">
        <v>1212</v>
      </c>
      <c r="G3556" s="549">
        <v>162</v>
      </c>
      <c r="H3556" s="549" t="s">
        <v>538</v>
      </c>
      <c r="I3556" s="549" t="s">
        <v>976</v>
      </c>
      <c r="J3556" s="549" t="s">
        <v>976</v>
      </c>
      <c r="K3556" s="549" t="s">
        <v>976</v>
      </c>
      <c r="L3556" s="549">
        <v>504629.39</v>
      </c>
      <c r="M3556" s="549">
        <v>38099.519999999997</v>
      </c>
      <c r="N3556" s="549">
        <v>28965.73</v>
      </c>
      <c r="O3556" s="549">
        <v>3968</v>
      </c>
      <c r="P3556" s="549">
        <v>0</v>
      </c>
      <c r="Q3556" s="549">
        <v>0</v>
      </c>
    </row>
    <row r="3557" spans="1:17" x14ac:dyDescent="0.25">
      <c r="A3557" s="549" t="s">
        <v>1099</v>
      </c>
      <c r="B3557" s="549" t="s">
        <v>1100</v>
      </c>
      <c r="C3557" s="549" t="s">
        <v>1101</v>
      </c>
      <c r="D3557" s="549" t="s">
        <v>1102</v>
      </c>
      <c r="E3557" s="549" t="s">
        <v>977</v>
      </c>
      <c r="F3557" s="549" t="s">
        <v>1212</v>
      </c>
      <c r="G3557" s="549">
        <v>999</v>
      </c>
      <c r="H3557" s="549" t="s">
        <v>1101</v>
      </c>
      <c r="I3557" s="549" t="s">
        <v>1291</v>
      </c>
      <c r="J3557" s="549" t="s">
        <v>1291</v>
      </c>
      <c r="K3557" s="549" t="s">
        <v>1291</v>
      </c>
      <c r="L3557" s="549">
        <v>0</v>
      </c>
      <c r="M3557" s="549">
        <v>0</v>
      </c>
      <c r="N3557" s="549">
        <v>0</v>
      </c>
      <c r="O3557" s="549">
        <v>0</v>
      </c>
      <c r="P3557" s="549">
        <v>0</v>
      </c>
      <c r="Q3557" s="549">
        <v>0</v>
      </c>
    </row>
    <row r="3558" spans="1:17" x14ac:dyDescent="0.25">
      <c r="A3558" s="549" t="s">
        <v>1099</v>
      </c>
      <c r="B3558" s="549" t="s">
        <v>1100</v>
      </c>
      <c r="C3558" s="549" t="s">
        <v>1101</v>
      </c>
      <c r="D3558" s="549" t="s">
        <v>1102</v>
      </c>
      <c r="E3558" s="549" t="s">
        <v>977</v>
      </c>
      <c r="F3558" s="549" t="s">
        <v>1212</v>
      </c>
      <c r="G3558" s="549">
        <v>102</v>
      </c>
      <c r="H3558" s="549" t="s">
        <v>538</v>
      </c>
      <c r="I3558" s="549" t="s">
        <v>976</v>
      </c>
      <c r="J3558" s="549" t="s">
        <v>976</v>
      </c>
      <c r="K3558" s="549" t="s">
        <v>976</v>
      </c>
      <c r="L3558" s="549">
        <v>504629.39</v>
      </c>
      <c r="M3558" s="549">
        <v>38099.519999999997</v>
      </c>
      <c r="N3558" s="549">
        <v>11152.31</v>
      </c>
      <c r="O3558" s="549">
        <v>3968</v>
      </c>
      <c r="P3558" s="549">
        <v>0.02</v>
      </c>
      <c r="Q3558" s="549">
        <v>10.64</v>
      </c>
    </row>
    <row r="3559" spans="1:17" x14ac:dyDescent="0.25">
      <c r="A3559" s="549" t="s">
        <v>1099</v>
      </c>
      <c r="B3559" s="549" t="s">
        <v>1100</v>
      </c>
      <c r="C3559" s="549" t="s">
        <v>1101</v>
      </c>
      <c r="D3559" s="549" t="s">
        <v>1102</v>
      </c>
      <c r="E3559" s="549" t="s">
        <v>977</v>
      </c>
      <c r="F3559" s="549" t="s">
        <v>1212</v>
      </c>
      <c r="G3559" s="549">
        <v>162</v>
      </c>
      <c r="H3559" s="549" t="s">
        <v>538</v>
      </c>
      <c r="I3559" s="549" t="s">
        <v>976</v>
      </c>
      <c r="J3559" s="549" t="s">
        <v>976</v>
      </c>
      <c r="K3559" s="549" t="s">
        <v>976</v>
      </c>
      <c r="L3559" s="549">
        <v>504629.39</v>
      </c>
      <c r="M3559" s="549">
        <v>38099.519999999997</v>
      </c>
      <c r="N3559" s="549">
        <v>11152.31</v>
      </c>
      <c r="O3559" s="549">
        <v>3968</v>
      </c>
      <c r="P3559" s="549">
        <v>0</v>
      </c>
      <c r="Q3559" s="549">
        <v>0</v>
      </c>
    </row>
    <row r="3560" spans="1:17" x14ac:dyDescent="0.25">
      <c r="A3560" s="549" t="s">
        <v>1099</v>
      </c>
      <c r="B3560" s="549" t="s">
        <v>1100</v>
      </c>
      <c r="C3560" s="549" t="s">
        <v>516</v>
      </c>
      <c r="D3560" s="549" t="s">
        <v>1103</v>
      </c>
      <c r="E3560" s="549" t="s">
        <v>973</v>
      </c>
      <c r="F3560" s="549" t="s">
        <v>1212</v>
      </c>
      <c r="G3560" s="549">
        <v>132</v>
      </c>
      <c r="H3560" s="549" t="s">
        <v>228</v>
      </c>
      <c r="I3560" s="549" t="s">
        <v>1096</v>
      </c>
      <c r="J3560" s="549" t="s">
        <v>1096</v>
      </c>
      <c r="K3560" s="549" t="s">
        <v>1096</v>
      </c>
      <c r="L3560" s="549">
        <v>509625.72</v>
      </c>
      <c r="M3560" s="549">
        <v>0</v>
      </c>
      <c r="N3560" s="549">
        <v>0</v>
      </c>
      <c r="O3560" s="549">
        <v>0</v>
      </c>
      <c r="P3560" s="549">
        <v>14.34</v>
      </c>
      <c r="Q3560" s="549">
        <v>0</v>
      </c>
    </row>
    <row r="3561" spans="1:17" x14ac:dyDescent="0.25">
      <c r="A3561" s="549" t="s">
        <v>1099</v>
      </c>
      <c r="B3561" s="549" t="s">
        <v>1100</v>
      </c>
      <c r="C3561" s="549" t="s">
        <v>516</v>
      </c>
      <c r="D3561" s="549" t="s">
        <v>1103</v>
      </c>
      <c r="E3561" s="549" t="s">
        <v>973</v>
      </c>
      <c r="F3561" s="549" t="s">
        <v>1212</v>
      </c>
      <c r="G3561" s="549">
        <v>142</v>
      </c>
      <c r="H3561" s="549" t="s">
        <v>228</v>
      </c>
      <c r="I3561" s="549" t="s">
        <v>1096</v>
      </c>
      <c r="J3561" s="549" t="s">
        <v>1096</v>
      </c>
      <c r="K3561" s="549" t="s">
        <v>1096</v>
      </c>
      <c r="L3561" s="549">
        <v>509625.72</v>
      </c>
      <c r="M3561" s="549">
        <v>0</v>
      </c>
      <c r="N3561" s="549">
        <v>0</v>
      </c>
      <c r="O3561" s="549">
        <v>0</v>
      </c>
      <c r="P3561" s="549">
        <v>14.34</v>
      </c>
      <c r="Q3561" s="549">
        <v>0</v>
      </c>
    </row>
    <row r="3562" spans="1:17" x14ac:dyDescent="0.25">
      <c r="A3562" s="549" t="s">
        <v>1099</v>
      </c>
      <c r="B3562" s="549" t="s">
        <v>1100</v>
      </c>
      <c r="C3562" s="549" t="s">
        <v>516</v>
      </c>
      <c r="D3562" s="549" t="s">
        <v>1103</v>
      </c>
      <c r="E3562" s="549" t="s">
        <v>973</v>
      </c>
      <c r="F3562" s="549" t="s">
        <v>1212</v>
      </c>
      <c r="G3562" s="549">
        <v>62</v>
      </c>
      <c r="H3562" s="549" t="s">
        <v>516</v>
      </c>
      <c r="I3562" s="549" t="s">
        <v>1096</v>
      </c>
      <c r="J3562" s="549" t="s">
        <v>1096</v>
      </c>
      <c r="K3562" s="549" t="s">
        <v>1096</v>
      </c>
      <c r="L3562" s="549">
        <v>509625.72</v>
      </c>
      <c r="M3562" s="549">
        <v>0</v>
      </c>
      <c r="N3562" s="549">
        <v>0</v>
      </c>
      <c r="O3562" s="549">
        <v>0</v>
      </c>
      <c r="P3562" s="549">
        <v>14.34</v>
      </c>
      <c r="Q3562" s="549">
        <v>0</v>
      </c>
    </row>
    <row r="3563" spans="1:17" x14ac:dyDescent="0.25">
      <c r="A3563" s="549" t="s">
        <v>1099</v>
      </c>
      <c r="B3563" s="549" t="s">
        <v>1100</v>
      </c>
      <c r="C3563" s="549" t="s">
        <v>516</v>
      </c>
      <c r="D3563" s="549" t="s">
        <v>1103</v>
      </c>
      <c r="E3563" s="549" t="s">
        <v>973</v>
      </c>
      <c r="F3563" s="549" t="s">
        <v>1212</v>
      </c>
      <c r="G3563" s="549">
        <v>72</v>
      </c>
      <c r="H3563" s="549" t="s">
        <v>516</v>
      </c>
      <c r="I3563" s="549" t="s">
        <v>1096</v>
      </c>
      <c r="J3563" s="549" t="s">
        <v>1096</v>
      </c>
      <c r="K3563" s="549" t="s">
        <v>1096</v>
      </c>
      <c r="L3563" s="549">
        <v>509625.72</v>
      </c>
      <c r="M3563" s="549">
        <v>0</v>
      </c>
      <c r="N3563" s="549">
        <v>0</v>
      </c>
      <c r="O3563" s="549">
        <v>0</v>
      </c>
      <c r="P3563" s="549">
        <v>14.34</v>
      </c>
      <c r="Q3563" s="549">
        <v>0</v>
      </c>
    </row>
    <row r="3564" spans="1:17" x14ac:dyDescent="0.25">
      <c r="A3564" s="549" t="s">
        <v>1099</v>
      </c>
      <c r="B3564" s="549" t="s">
        <v>1100</v>
      </c>
      <c r="C3564" s="549" t="s">
        <v>516</v>
      </c>
      <c r="D3564" s="549" t="s">
        <v>1103</v>
      </c>
      <c r="E3564" s="549" t="s">
        <v>973</v>
      </c>
      <c r="F3564" s="549" t="s">
        <v>1212</v>
      </c>
      <c r="G3564" s="549">
        <v>92</v>
      </c>
      <c r="H3564" s="549" t="s">
        <v>516</v>
      </c>
      <c r="I3564" s="549" t="s">
        <v>1096</v>
      </c>
      <c r="J3564" s="549" t="s">
        <v>1096</v>
      </c>
      <c r="K3564" s="549" t="s">
        <v>1096</v>
      </c>
      <c r="L3564" s="549">
        <v>509625.72</v>
      </c>
      <c r="M3564" s="549">
        <v>0</v>
      </c>
      <c r="N3564" s="549">
        <v>0</v>
      </c>
      <c r="O3564" s="549">
        <v>0</v>
      </c>
      <c r="P3564" s="549">
        <v>100</v>
      </c>
      <c r="Q3564" s="549">
        <v>0</v>
      </c>
    </row>
    <row r="3565" spans="1:17" x14ac:dyDescent="0.25">
      <c r="A3565" s="549" t="s">
        <v>1099</v>
      </c>
      <c r="B3565" s="549" t="s">
        <v>1100</v>
      </c>
      <c r="C3565" s="549" t="s">
        <v>516</v>
      </c>
      <c r="D3565" s="549" t="s">
        <v>1103</v>
      </c>
      <c r="E3565" s="549" t="s">
        <v>973</v>
      </c>
      <c r="F3565" s="549" t="s">
        <v>1212</v>
      </c>
      <c r="G3565" s="549" t="s">
        <v>1466</v>
      </c>
      <c r="H3565" s="549" t="s">
        <v>516</v>
      </c>
      <c r="I3565" s="549" t="s">
        <v>1096</v>
      </c>
      <c r="J3565" s="549" t="s">
        <v>1096</v>
      </c>
      <c r="K3565" s="549" t="s">
        <v>1096</v>
      </c>
      <c r="L3565" s="549">
        <v>108121.03</v>
      </c>
      <c r="M3565" s="549">
        <v>0</v>
      </c>
      <c r="N3565" s="549">
        <v>0</v>
      </c>
      <c r="O3565" s="549">
        <v>0</v>
      </c>
      <c r="P3565" s="549">
        <v>14.34</v>
      </c>
      <c r="Q3565" s="549">
        <v>0</v>
      </c>
    </row>
    <row r="3566" spans="1:17" x14ac:dyDescent="0.25">
      <c r="A3566" s="549" t="s">
        <v>1099</v>
      </c>
      <c r="B3566" s="549" t="s">
        <v>1100</v>
      </c>
      <c r="C3566" s="549" t="s">
        <v>516</v>
      </c>
      <c r="D3566" s="549" t="s">
        <v>1103</v>
      </c>
      <c r="E3566" s="549" t="s">
        <v>973</v>
      </c>
      <c r="F3566" s="549" t="s">
        <v>1212</v>
      </c>
      <c r="G3566" s="549" t="s">
        <v>1487</v>
      </c>
      <c r="H3566" s="549" t="s">
        <v>516</v>
      </c>
      <c r="I3566" s="549" t="s">
        <v>1096</v>
      </c>
      <c r="J3566" s="549" t="s">
        <v>1096</v>
      </c>
      <c r="K3566" s="549" t="s">
        <v>1096</v>
      </c>
      <c r="L3566" s="549">
        <v>108121.03</v>
      </c>
      <c r="M3566" s="549">
        <v>0</v>
      </c>
      <c r="N3566" s="549">
        <v>0</v>
      </c>
      <c r="O3566" s="549">
        <v>0</v>
      </c>
      <c r="P3566" s="549">
        <v>100</v>
      </c>
      <c r="Q3566" s="549">
        <v>0</v>
      </c>
    </row>
    <row r="3567" spans="1:17" x14ac:dyDescent="0.25">
      <c r="A3567" s="549" t="s">
        <v>1099</v>
      </c>
      <c r="B3567" s="549" t="s">
        <v>1100</v>
      </c>
      <c r="C3567" s="549" t="s">
        <v>516</v>
      </c>
      <c r="D3567" s="549" t="s">
        <v>1103</v>
      </c>
      <c r="E3567" s="549" t="s">
        <v>973</v>
      </c>
      <c r="F3567" s="549" t="s">
        <v>1212</v>
      </c>
      <c r="G3567" s="549" t="s">
        <v>1488</v>
      </c>
      <c r="H3567" s="549" t="s">
        <v>516</v>
      </c>
      <c r="I3567" s="549" t="s">
        <v>1096</v>
      </c>
      <c r="J3567" s="549" t="s">
        <v>1096</v>
      </c>
      <c r="K3567" s="549" t="s">
        <v>1096</v>
      </c>
      <c r="L3567" s="549">
        <v>47121.89</v>
      </c>
      <c r="M3567" s="549">
        <v>0</v>
      </c>
      <c r="N3567" s="549">
        <v>0</v>
      </c>
      <c r="O3567" s="549">
        <v>0</v>
      </c>
      <c r="P3567" s="549">
        <v>100</v>
      </c>
      <c r="Q3567" s="549">
        <v>0</v>
      </c>
    </row>
    <row r="3568" spans="1:17" x14ac:dyDescent="0.25">
      <c r="A3568" s="549" t="s">
        <v>1099</v>
      </c>
      <c r="B3568" s="549" t="s">
        <v>1100</v>
      </c>
      <c r="C3568" s="549" t="s">
        <v>516</v>
      </c>
      <c r="D3568" s="549" t="s">
        <v>1103</v>
      </c>
      <c r="E3568" s="549" t="s">
        <v>973</v>
      </c>
      <c r="F3568" s="549" t="s">
        <v>1212</v>
      </c>
      <c r="G3568" s="549" t="s">
        <v>1249</v>
      </c>
      <c r="H3568" s="549" t="s">
        <v>516</v>
      </c>
      <c r="I3568" s="549" t="s">
        <v>1096</v>
      </c>
      <c r="J3568" s="549" t="s">
        <v>1096</v>
      </c>
      <c r="K3568" s="549" t="s">
        <v>1096</v>
      </c>
      <c r="L3568" s="549">
        <v>49288.68</v>
      </c>
      <c r="M3568" s="549">
        <v>0</v>
      </c>
      <c r="N3568" s="549">
        <v>0</v>
      </c>
      <c r="O3568" s="549">
        <v>0</v>
      </c>
      <c r="P3568" s="549">
        <v>14.34</v>
      </c>
      <c r="Q3568" s="549">
        <v>0</v>
      </c>
    </row>
    <row r="3569" spans="1:17" x14ac:dyDescent="0.25">
      <c r="A3569" s="549" t="s">
        <v>1099</v>
      </c>
      <c r="B3569" s="549" t="s">
        <v>1100</v>
      </c>
      <c r="C3569" s="549" t="s">
        <v>516</v>
      </c>
      <c r="D3569" s="549" t="s">
        <v>1103</v>
      </c>
      <c r="E3569" s="549" t="s">
        <v>973</v>
      </c>
      <c r="F3569" s="549" t="s">
        <v>1212</v>
      </c>
      <c r="G3569" s="549" t="s">
        <v>1250</v>
      </c>
      <c r="H3569" s="549" t="s">
        <v>516</v>
      </c>
      <c r="I3569" s="549" t="s">
        <v>1096</v>
      </c>
      <c r="J3569" s="549" t="s">
        <v>1096</v>
      </c>
      <c r="K3569" s="549" t="s">
        <v>1096</v>
      </c>
      <c r="L3569" s="549">
        <v>49288.68</v>
      </c>
      <c r="M3569" s="549">
        <v>0</v>
      </c>
      <c r="N3569" s="549">
        <v>0</v>
      </c>
      <c r="O3569" s="549">
        <v>0</v>
      </c>
      <c r="P3569" s="549">
        <v>14.34</v>
      </c>
      <c r="Q3569" s="549">
        <v>0</v>
      </c>
    </row>
    <row r="3570" spans="1:17" x14ac:dyDescent="0.25">
      <c r="A3570" s="549" t="s">
        <v>1099</v>
      </c>
      <c r="B3570" s="549" t="s">
        <v>1100</v>
      </c>
      <c r="C3570" s="549" t="s">
        <v>516</v>
      </c>
      <c r="D3570" s="549" t="s">
        <v>1103</v>
      </c>
      <c r="E3570" s="549" t="s">
        <v>973</v>
      </c>
      <c r="F3570" s="549" t="s">
        <v>1212</v>
      </c>
      <c r="G3570" s="549" t="s">
        <v>1215</v>
      </c>
      <c r="H3570" s="549" t="s">
        <v>516</v>
      </c>
      <c r="I3570" s="549" t="s">
        <v>1096</v>
      </c>
      <c r="J3570" s="549" t="s">
        <v>1096</v>
      </c>
      <c r="K3570" s="549" t="s">
        <v>1096</v>
      </c>
      <c r="L3570" s="549">
        <v>49288.68</v>
      </c>
      <c r="M3570" s="549">
        <v>0</v>
      </c>
      <c r="N3570" s="549">
        <v>0</v>
      </c>
      <c r="O3570" s="549">
        <v>0</v>
      </c>
      <c r="P3570" s="549">
        <v>14.34</v>
      </c>
      <c r="Q3570" s="549">
        <v>0</v>
      </c>
    </row>
    <row r="3571" spans="1:17" x14ac:dyDescent="0.25">
      <c r="A3571" s="549" t="s">
        <v>1099</v>
      </c>
      <c r="B3571" s="549" t="s">
        <v>1100</v>
      </c>
      <c r="C3571" s="549" t="s">
        <v>516</v>
      </c>
      <c r="D3571" s="549" t="s">
        <v>1103</v>
      </c>
      <c r="E3571" s="549" t="s">
        <v>977</v>
      </c>
      <c r="F3571" s="549" t="s">
        <v>1212</v>
      </c>
      <c r="G3571" s="549">
        <v>132</v>
      </c>
      <c r="H3571" s="549" t="s">
        <v>228</v>
      </c>
      <c r="I3571" s="549" t="s">
        <v>1096</v>
      </c>
      <c r="J3571" s="549" t="s">
        <v>1096</v>
      </c>
      <c r="K3571" s="549" t="s">
        <v>1096</v>
      </c>
      <c r="L3571" s="549">
        <v>509625.72</v>
      </c>
      <c r="M3571" s="549">
        <v>0</v>
      </c>
      <c r="N3571" s="549">
        <v>0</v>
      </c>
      <c r="O3571" s="549">
        <v>0</v>
      </c>
      <c r="P3571" s="549">
        <v>0</v>
      </c>
      <c r="Q3571" s="549">
        <v>0</v>
      </c>
    </row>
    <row r="3572" spans="1:17" x14ac:dyDescent="0.25">
      <c r="A3572" s="549" t="s">
        <v>1099</v>
      </c>
      <c r="B3572" s="549" t="s">
        <v>1100</v>
      </c>
      <c r="C3572" s="549" t="s">
        <v>516</v>
      </c>
      <c r="D3572" s="549" t="s">
        <v>1103</v>
      </c>
      <c r="E3572" s="549" t="s">
        <v>977</v>
      </c>
      <c r="F3572" s="549" t="s">
        <v>1212</v>
      </c>
      <c r="G3572" s="549">
        <v>142</v>
      </c>
      <c r="H3572" s="549" t="s">
        <v>228</v>
      </c>
      <c r="I3572" s="549" t="s">
        <v>1096</v>
      </c>
      <c r="J3572" s="549" t="s">
        <v>1096</v>
      </c>
      <c r="K3572" s="549" t="s">
        <v>1096</v>
      </c>
      <c r="L3572" s="549">
        <v>509625.72</v>
      </c>
      <c r="M3572" s="549">
        <v>0</v>
      </c>
      <c r="N3572" s="549">
        <v>0</v>
      </c>
      <c r="O3572" s="549">
        <v>0</v>
      </c>
      <c r="P3572" s="549">
        <v>0</v>
      </c>
      <c r="Q3572" s="549">
        <v>0</v>
      </c>
    </row>
    <row r="3573" spans="1:17" x14ac:dyDescent="0.25">
      <c r="A3573" s="549" t="s">
        <v>1099</v>
      </c>
      <c r="B3573" s="549" t="s">
        <v>1100</v>
      </c>
      <c r="C3573" s="549" t="s">
        <v>516</v>
      </c>
      <c r="D3573" s="549" t="s">
        <v>1103</v>
      </c>
      <c r="E3573" s="549" t="s">
        <v>977</v>
      </c>
      <c r="F3573" s="549" t="s">
        <v>1212</v>
      </c>
      <c r="G3573" s="549">
        <v>62</v>
      </c>
      <c r="H3573" s="549" t="s">
        <v>516</v>
      </c>
      <c r="I3573" s="549" t="s">
        <v>1096</v>
      </c>
      <c r="J3573" s="549" t="s">
        <v>1096</v>
      </c>
      <c r="K3573" s="549" t="s">
        <v>1096</v>
      </c>
      <c r="L3573" s="549">
        <v>509625.72</v>
      </c>
      <c r="M3573" s="549">
        <v>0</v>
      </c>
      <c r="N3573" s="549">
        <v>0</v>
      </c>
      <c r="O3573" s="549">
        <v>0</v>
      </c>
      <c r="P3573" s="549">
        <v>0</v>
      </c>
      <c r="Q3573" s="549">
        <v>0</v>
      </c>
    </row>
    <row r="3574" spans="1:17" x14ac:dyDescent="0.25">
      <c r="A3574" s="549" t="s">
        <v>1099</v>
      </c>
      <c r="B3574" s="549" t="s">
        <v>1100</v>
      </c>
      <c r="C3574" s="549" t="s">
        <v>516</v>
      </c>
      <c r="D3574" s="549" t="s">
        <v>1103</v>
      </c>
      <c r="E3574" s="549" t="s">
        <v>977</v>
      </c>
      <c r="F3574" s="549" t="s">
        <v>1212</v>
      </c>
      <c r="G3574" s="549">
        <v>72</v>
      </c>
      <c r="H3574" s="549" t="s">
        <v>516</v>
      </c>
      <c r="I3574" s="549" t="s">
        <v>1096</v>
      </c>
      <c r="J3574" s="549" t="s">
        <v>1096</v>
      </c>
      <c r="K3574" s="549" t="s">
        <v>1096</v>
      </c>
      <c r="L3574" s="549">
        <v>509625.72</v>
      </c>
      <c r="M3574" s="549">
        <v>0</v>
      </c>
      <c r="N3574" s="549">
        <v>0</v>
      </c>
      <c r="O3574" s="549">
        <v>0</v>
      </c>
      <c r="P3574" s="549">
        <v>0</v>
      </c>
      <c r="Q3574" s="549">
        <v>0</v>
      </c>
    </row>
    <row r="3575" spans="1:17" x14ac:dyDescent="0.25">
      <c r="A3575" s="549" t="s">
        <v>1099</v>
      </c>
      <c r="B3575" s="549" t="s">
        <v>1100</v>
      </c>
      <c r="C3575" s="549" t="s">
        <v>516</v>
      </c>
      <c r="D3575" s="549" t="s">
        <v>1103</v>
      </c>
      <c r="E3575" s="549" t="s">
        <v>977</v>
      </c>
      <c r="F3575" s="549" t="s">
        <v>1212</v>
      </c>
      <c r="G3575" s="549">
        <v>92</v>
      </c>
      <c r="H3575" s="549" t="s">
        <v>516</v>
      </c>
      <c r="I3575" s="549" t="s">
        <v>1096</v>
      </c>
      <c r="J3575" s="549" t="s">
        <v>1096</v>
      </c>
      <c r="K3575" s="549" t="s">
        <v>1096</v>
      </c>
      <c r="L3575" s="549">
        <v>509625.72</v>
      </c>
      <c r="M3575" s="549">
        <v>0</v>
      </c>
      <c r="N3575" s="549">
        <v>0</v>
      </c>
      <c r="O3575" s="549">
        <v>0</v>
      </c>
      <c r="P3575" s="549">
        <v>0</v>
      </c>
      <c r="Q3575" s="549">
        <v>0</v>
      </c>
    </row>
    <row r="3576" spans="1:17" x14ac:dyDescent="0.25">
      <c r="A3576" s="549" t="s">
        <v>1099</v>
      </c>
      <c r="B3576" s="549" t="s">
        <v>1100</v>
      </c>
      <c r="C3576" s="549" t="s">
        <v>516</v>
      </c>
      <c r="D3576" s="549" t="s">
        <v>1103</v>
      </c>
      <c r="E3576" s="549" t="s">
        <v>977</v>
      </c>
      <c r="F3576" s="549" t="s">
        <v>1212</v>
      </c>
      <c r="G3576" s="549" t="s">
        <v>1466</v>
      </c>
      <c r="H3576" s="549" t="s">
        <v>516</v>
      </c>
      <c r="I3576" s="549" t="s">
        <v>1096</v>
      </c>
      <c r="J3576" s="549" t="s">
        <v>1096</v>
      </c>
      <c r="K3576" s="549" t="s">
        <v>1096</v>
      </c>
      <c r="L3576" s="549">
        <v>108121.03</v>
      </c>
      <c r="M3576" s="549">
        <v>0</v>
      </c>
      <c r="N3576" s="549">
        <v>0</v>
      </c>
      <c r="O3576" s="549">
        <v>0</v>
      </c>
      <c r="P3576" s="549">
        <v>0</v>
      </c>
      <c r="Q3576" s="549">
        <v>0</v>
      </c>
    </row>
    <row r="3577" spans="1:17" x14ac:dyDescent="0.25">
      <c r="A3577" s="549" t="s">
        <v>1099</v>
      </c>
      <c r="B3577" s="549" t="s">
        <v>1100</v>
      </c>
      <c r="C3577" s="549" t="s">
        <v>516</v>
      </c>
      <c r="D3577" s="549" t="s">
        <v>1103</v>
      </c>
      <c r="E3577" s="549" t="s">
        <v>977</v>
      </c>
      <c r="F3577" s="549" t="s">
        <v>1212</v>
      </c>
      <c r="G3577" s="549" t="s">
        <v>1487</v>
      </c>
      <c r="H3577" s="549" t="s">
        <v>516</v>
      </c>
      <c r="I3577" s="549" t="s">
        <v>1096</v>
      </c>
      <c r="J3577" s="549" t="s">
        <v>1096</v>
      </c>
      <c r="K3577" s="549" t="s">
        <v>1096</v>
      </c>
      <c r="L3577" s="549">
        <v>108121.03</v>
      </c>
      <c r="M3577" s="549">
        <v>0</v>
      </c>
      <c r="N3577" s="549">
        <v>0</v>
      </c>
      <c r="O3577" s="549">
        <v>0</v>
      </c>
      <c r="P3577" s="549">
        <v>0</v>
      </c>
      <c r="Q3577" s="549">
        <v>0</v>
      </c>
    </row>
    <row r="3578" spans="1:17" x14ac:dyDescent="0.25">
      <c r="A3578" s="549" t="s">
        <v>1099</v>
      </c>
      <c r="B3578" s="549" t="s">
        <v>1100</v>
      </c>
      <c r="C3578" s="549" t="s">
        <v>516</v>
      </c>
      <c r="D3578" s="549" t="s">
        <v>1103</v>
      </c>
      <c r="E3578" s="549" t="s">
        <v>977</v>
      </c>
      <c r="F3578" s="549" t="s">
        <v>1212</v>
      </c>
      <c r="G3578" s="549" t="s">
        <v>1488</v>
      </c>
      <c r="H3578" s="549" t="s">
        <v>516</v>
      </c>
      <c r="I3578" s="549" t="s">
        <v>1096</v>
      </c>
      <c r="J3578" s="549" t="s">
        <v>1096</v>
      </c>
      <c r="K3578" s="549" t="s">
        <v>1096</v>
      </c>
      <c r="L3578" s="549">
        <v>47121.89</v>
      </c>
      <c r="M3578" s="549">
        <v>0</v>
      </c>
      <c r="N3578" s="549">
        <v>0</v>
      </c>
      <c r="O3578" s="549">
        <v>0</v>
      </c>
      <c r="P3578" s="549">
        <v>0</v>
      </c>
      <c r="Q3578" s="549">
        <v>0</v>
      </c>
    </row>
    <row r="3579" spans="1:17" x14ac:dyDescent="0.25">
      <c r="A3579" s="549" t="s">
        <v>1099</v>
      </c>
      <c r="B3579" s="549" t="s">
        <v>1100</v>
      </c>
      <c r="C3579" s="549" t="s">
        <v>516</v>
      </c>
      <c r="D3579" s="549" t="s">
        <v>1103</v>
      </c>
      <c r="E3579" s="549" t="s">
        <v>977</v>
      </c>
      <c r="F3579" s="549" t="s">
        <v>1212</v>
      </c>
      <c r="G3579" s="549" t="s">
        <v>1249</v>
      </c>
      <c r="H3579" s="549" t="s">
        <v>516</v>
      </c>
      <c r="I3579" s="549" t="s">
        <v>1096</v>
      </c>
      <c r="J3579" s="549" t="s">
        <v>1096</v>
      </c>
      <c r="K3579" s="549" t="s">
        <v>1096</v>
      </c>
      <c r="L3579" s="549">
        <v>49288.68</v>
      </c>
      <c r="M3579" s="549">
        <v>0</v>
      </c>
      <c r="N3579" s="549">
        <v>0</v>
      </c>
      <c r="O3579" s="549">
        <v>0</v>
      </c>
      <c r="P3579" s="549">
        <v>0</v>
      </c>
      <c r="Q3579" s="549">
        <v>0</v>
      </c>
    </row>
    <row r="3580" spans="1:17" x14ac:dyDescent="0.25">
      <c r="A3580" s="549" t="s">
        <v>1099</v>
      </c>
      <c r="B3580" s="549" t="s">
        <v>1100</v>
      </c>
      <c r="C3580" s="549" t="s">
        <v>516</v>
      </c>
      <c r="D3580" s="549" t="s">
        <v>1103</v>
      </c>
      <c r="E3580" s="549" t="s">
        <v>977</v>
      </c>
      <c r="F3580" s="549" t="s">
        <v>1212</v>
      </c>
      <c r="G3580" s="549" t="s">
        <v>1250</v>
      </c>
      <c r="H3580" s="549" t="s">
        <v>516</v>
      </c>
      <c r="I3580" s="549" t="s">
        <v>1096</v>
      </c>
      <c r="J3580" s="549" t="s">
        <v>1096</v>
      </c>
      <c r="K3580" s="549" t="s">
        <v>1096</v>
      </c>
      <c r="L3580" s="549">
        <v>49288.68</v>
      </c>
      <c r="M3580" s="549">
        <v>0</v>
      </c>
      <c r="N3580" s="549">
        <v>0</v>
      </c>
      <c r="O3580" s="549">
        <v>0</v>
      </c>
      <c r="P3580" s="549">
        <v>0</v>
      </c>
      <c r="Q3580" s="549">
        <v>0</v>
      </c>
    </row>
    <row r="3581" spans="1:17" x14ac:dyDescent="0.25">
      <c r="A3581" s="549" t="s">
        <v>1099</v>
      </c>
      <c r="B3581" s="549" t="s">
        <v>1100</v>
      </c>
      <c r="C3581" s="549" t="s">
        <v>516</v>
      </c>
      <c r="D3581" s="549" t="s">
        <v>1103</v>
      </c>
      <c r="E3581" s="549" t="s">
        <v>977</v>
      </c>
      <c r="F3581" s="549" t="s">
        <v>1212</v>
      </c>
      <c r="G3581" s="549" t="s">
        <v>1215</v>
      </c>
      <c r="H3581" s="549" t="s">
        <v>516</v>
      </c>
      <c r="I3581" s="549" t="s">
        <v>1096</v>
      </c>
      <c r="J3581" s="549" t="s">
        <v>1096</v>
      </c>
      <c r="K3581" s="549" t="s">
        <v>1096</v>
      </c>
      <c r="L3581" s="549">
        <v>49288.68</v>
      </c>
      <c r="M3581" s="549">
        <v>0</v>
      </c>
      <c r="N3581" s="549">
        <v>0</v>
      </c>
      <c r="O3581" s="549">
        <v>0</v>
      </c>
      <c r="P3581" s="549">
        <v>0</v>
      </c>
      <c r="Q3581" s="549">
        <v>0</v>
      </c>
    </row>
    <row r="3582" spans="1:17" x14ac:dyDescent="0.25">
      <c r="A3582" s="549" t="s">
        <v>1105</v>
      </c>
      <c r="B3582" s="549" t="s">
        <v>586</v>
      </c>
      <c r="C3582" s="549" t="s">
        <v>809</v>
      </c>
      <c r="D3582" s="549" t="s">
        <v>810</v>
      </c>
      <c r="E3582" s="549" t="s">
        <v>973</v>
      </c>
      <c r="F3582" s="549" t="s">
        <v>1212</v>
      </c>
      <c r="G3582" s="549">
        <v>102</v>
      </c>
      <c r="H3582" s="549" t="s">
        <v>809</v>
      </c>
      <c r="I3582" s="549" t="s">
        <v>976</v>
      </c>
      <c r="J3582" s="549" t="s">
        <v>976</v>
      </c>
      <c r="K3582" s="549" t="s">
        <v>976</v>
      </c>
      <c r="L3582" s="549">
        <v>367654.23</v>
      </c>
      <c r="M3582" s="549">
        <v>27757.89</v>
      </c>
      <c r="N3582" s="549">
        <v>21103.35</v>
      </c>
      <c r="O3582" s="549">
        <v>3968</v>
      </c>
      <c r="P3582" s="549">
        <v>4.67</v>
      </c>
      <c r="Q3582" s="549">
        <v>2467.13</v>
      </c>
    </row>
    <row r="3583" spans="1:17" x14ac:dyDescent="0.25">
      <c r="A3583" s="549" t="s">
        <v>1105</v>
      </c>
      <c r="B3583" s="549" t="s">
        <v>586</v>
      </c>
      <c r="C3583" s="549" t="s">
        <v>809</v>
      </c>
      <c r="D3583" s="549" t="s">
        <v>810</v>
      </c>
      <c r="E3583" s="549" t="s">
        <v>973</v>
      </c>
      <c r="F3583" s="549" t="s">
        <v>1212</v>
      </c>
      <c r="G3583" s="549">
        <v>162</v>
      </c>
      <c r="H3583" s="549" t="s">
        <v>809</v>
      </c>
      <c r="I3583" s="549" t="s">
        <v>976</v>
      </c>
      <c r="J3583" s="549" t="s">
        <v>976</v>
      </c>
      <c r="K3583" s="549" t="s">
        <v>976</v>
      </c>
      <c r="L3583" s="549">
        <v>367654.23</v>
      </c>
      <c r="M3583" s="549">
        <v>27757.89</v>
      </c>
      <c r="N3583" s="549">
        <v>21103.35</v>
      </c>
      <c r="O3583" s="549">
        <v>3968</v>
      </c>
      <c r="P3583" s="549">
        <v>4.67</v>
      </c>
      <c r="Q3583" s="549">
        <v>2467.13</v>
      </c>
    </row>
    <row r="3584" spans="1:17" x14ac:dyDescent="0.25">
      <c r="A3584" s="549" t="s">
        <v>1105</v>
      </c>
      <c r="B3584" s="549" t="s">
        <v>586</v>
      </c>
      <c r="C3584" s="549" t="s">
        <v>809</v>
      </c>
      <c r="D3584" s="549" t="s">
        <v>810</v>
      </c>
      <c r="E3584" s="549" t="s">
        <v>973</v>
      </c>
      <c r="F3584" s="549" t="s">
        <v>1212</v>
      </c>
      <c r="G3584" s="549">
        <v>222</v>
      </c>
      <c r="H3584" s="549" t="s">
        <v>712</v>
      </c>
      <c r="I3584" s="549" t="s">
        <v>976</v>
      </c>
      <c r="J3584" s="549" t="s">
        <v>976</v>
      </c>
      <c r="K3584" s="549" t="s">
        <v>976</v>
      </c>
      <c r="L3584" s="549">
        <v>499633.06</v>
      </c>
      <c r="M3584" s="549">
        <v>37722.300000000003</v>
      </c>
      <c r="N3584" s="549">
        <v>28678.94</v>
      </c>
      <c r="O3584" s="549">
        <v>3968</v>
      </c>
      <c r="P3584" s="549">
        <v>4.67</v>
      </c>
      <c r="Q3584" s="549">
        <v>3286.24</v>
      </c>
    </row>
    <row r="3585" spans="1:17" x14ac:dyDescent="0.25">
      <c r="A3585" s="549" t="s">
        <v>1105</v>
      </c>
      <c r="B3585" s="549" t="s">
        <v>586</v>
      </c>
      <c r="C3585" s="549" t="s">
        <v>809</v>
      </c>
      <c r="D3585" s="549" t="s">
        <v>810</v>
      </c>
      <c r="E3585" s="549" t="s">
        <v>973</v>
      </c>
      <c r="F3585" s="549" t="s">
        <v>1212</v>
      </c>
      <c r="G3585" s="549">
        <v>322</v>
      </c>
      <c r="H3585" s="549" t="s">
        <v>712</v>
      </c>
      <c r="I3585" s="549" t="s">
        <v>976</v>
      </c>
      <c r="J3585" s="549" t="s">
        <v>976</v>
      </c>
      <c r="K3585" s="549" t="s">
        <v>976</v>
      </c>
      <c r="L3585" s="549">
        <v>499633.06</v>
      </c>
      <c r="M3585" s="549">
        <v>37722.300000000003</v>
      </c>
      <c r="N3585" s="549">
        <v>28678.94</v>
      </c>
      <c r="O3585" s="549">
        <v>3968</v>
      </c>
      <c r="P3585" s="549">
        <v>4.67</v>
      </c>
      <c r="Q3585" s="549">
        <v>3286.24</v>
      </c>
    </row>
    <row r="3586" spans="1:17" x14ac:dyDescent="0.25">
      <c r="A3586" s="549" t="s">
        <v>1105</v>
      </c>
      <c r="B3586" s="549" t="s">
        <v>586</v>
      </c>
      <c r="C3586" s="549" t="s">
        <v>809</v>
      </c>
      <c r="D3586" s="549" t="s">
        <v>810</v>
      </c>
      <c r="E3586" s="549" t="s">
        <v>973</v>
      </c>
      <c r="F3586" s="549" t="s">
        <v>1212</v>
      </c>
      <c r="G3586" s="549" t="s">
        <v>1277</v>
      </c>
      <c r="H3586" s="549" t="s">
        <v>712</v>
      </c>
      <c r="I3586" s="549" t="s">
        <v>976</v>
      </c>
      <c r="J3586" s="549" t="s">
        <v>976</v>
      </c>
      <c r="K3586" s="549" t="s">
        <v>976</v>
      </c>
      <c r="L3586" s="549">
        <v>46197.94</v>
      </c>
      <c r="M3586" s="549">
        <v>3487.94</v>
      </c>
      <c r="N3586" s="549">
        <v>2651.76</v>
      </c>
      <c r="O3586" s="549">
        <v>0</v>
      </c>
      <c r="P3586" s="549">
        <v>4.67</v>
      </c>
      <c r="Q3586" s="549">
        <v>286.72000000000003</v>
      </c>
    </row>
    <row r="3587" spans="1:17" x14ac:dyDescent="0.25">
      <c r="A3587" s="549" t="s">
        <v>1105</v>
      </c>
      <c r="B3587" s="549" t="s">
        <v>586</v>
      </c>
      <c r="C3587" s="549" t="s">
        <v>809</v>
      </c>
      <c r="D3587" s="549" t="s">
        <v>810</v>
      </c>
      <c r="E3587" s="549" t="s">
        <v>973</v>
      </c>
      <c r="F3587" s="549" t="s">
        <v>1212</v>
      </c>
      <c r="G3587" s="549" t="s">
        <v>1283</v>
      </c>
      <c r="H3587" s="549" t="s">
        <v>712</v>
      </c>
      <c r="I3587" s="549" t="s">
        <v>976</v>
      </c>
      <c r="J3587" s="549" t="s">
        <v>976</v>
      </c>
      <c r="K3587" s="549" t="s">
        <v>976</v>
      </c>
      <c r="L3587" s="549">
        <v>46197.94</v>
      </c>
      <c r="M3587" s="549">
        <v>3487.94</v>
      </c>
      <c r="N3587" s="549">
        <v>2651.76</v>
      </c>
      <c r="O3587" s="549">
        <v>0</v>
      </c>
      <c r="P3587" s="549">
        <v>4.67</v>
      </c>
      <c r="Q3587" s="549">
        <v>286.72000000000003</v>
      </c>
    </row>
    <row r="3588" spans="1:17" x14ac:dyDescent="0.25">
      <c r="A3588" s="549" t="s">
        <v>1105</v>
      </c>
      <c r="B3588" s="549" t="s">
        <v>586</v>
      </c>
      <c r="C3588" s="549" t="s">
        <v>809</v>
      </c>
      <c r="D3588" s="549" t="s">
        <v>810</v>
      </c>
      <c r="E3588" s="549" t="s">
        <v>977</v>
      </c>
      <c r="F3588" s="549" t="s">
        <v>1212</v>
      </c>
      <c r="G3588" s="549">
        <v>102</v>
      </c>
      <c r="H3588" s="549" t="s">
        <v>809</v>
      </c>
      <c r="I3588" s="549" t="s">
        <v>976</v>
      </c>
      <c r="J3588" s="549" t="s">
        <v>976</v>
      </c>
      <c r="K3588" s="549" t="s">
        <v>976</v>
      </c>
      <c r="L3588" s="549">
        <v>367654.23</v>
      </c>
      <c r="M3588" s="549">
        <v>27757.89</v>
      </c>
      <c r="N3588" s="549">
        <v>8125.16</v>
      </c>
      <c r="O3588" s="549">
        <v>3968</v>
      </c>
      <c r="P3588" s="549">
        <v>95.33</v>
      </c>
      <c r="Q3588" s="549">
        <v>37990.01</v>
      </c>
    </row>
    <row r="3589" spans="1:17" x14ac:dyDescent="0.25">
      <c r="A3589" s="549" t="s">
        <v>1105</v>
      </c>
      <c r="B3589" s="549" t="s">
        <v>586</v>
      </c>
      <c r="C3589" s="549" t="s">
        <v>809</v>
      </c>
      <c r="D3589" s="549" t="s">
        <v>810</v>
      </c>
      <c r="E3589" s="549" t="s">
        <v>977</v>
      </c>
      <c r="F3589" s="549" t="s">
        <v>1212</v>
      </c>
      <c r="G3589" s="549">
        <v>162</v>
      </c>
      <c r="H3589" s="549" t="s">
        <v>809</v>
      </c>
      <c r="I3589" s="549" t="s">
        <v>976</v>
      </c>
      <c r="J3589" s="549" t="s">
        <v>976</v>
      </c>
      <c r="K3589" s="549" t="s">
        <v>976</v>
      </c>
      <c r="L3589" s="549">
        <v>367654.23</v>
      </c>
      <c r="M3589" s="549">
        <v>27757.89</v>
      </c>
      <c r="N3589" s="549">
        <v>8125.16</v>
      </c>
      <c r="O3589" s="549">
        <v>3968</v>
      </c>
      <c r="P3589" s="549">
        <v>95.33</v>
      </c>
      <c r="Q3589" s="549">
        <v>37990.01</v>
      </c>
    </row>
    <row r="3590" spans="1:17" x14ac:dyDescent="0.25">
      <c r="A3590" s="549" t="s">
        <v>1105</v>
      </c>
      <c r="B3590" s="549" t="s">
        <v>586</v>
      </c>
      <c r="C3590" s="549" t="s">
        <v>809</v>
      </c>
      <c r="D3590" s="549" t="s">
        <v>810</v>
      </c>
      <c r="E3590" s="549" t="s">
        <v>977</v>
      </c>
      <c r="F3590" s="549" t="s">
        <v>1212</v>
      </c>
      <c r="G3590" s="549">
        <v>222</v>
      </c>
      <c r="H3590" s="549" t="s">
        <v>712</v>
      </c>
      <c r="I3590" s="549" t="s">
        <v>976</v>
      </c>
      <c r="J3590" s="549" t="s">
        <v>976</v>
      </c>
      <c r="K3590" s="549" t="s">
        <v>976</v>
      </c>
      <c r="L3590" s="549">
        <v>499633.06</v>
      </c>
      <c r="M3590" s="549">
        <v>37722.300000000003</v>
      </c>
      <c r="N3590" s="549">
        <v>11041.89</v>
      </c>
      <c r="O3590" s="549">
        <v>3968</v>
      </c>
      <c r="P3590" s="549">
        <v>95.33</v>
      </c>
      <c r="Q3590" s="549">
        <v>50269.599999999999</v>
      </c>
    </row>
    <row r="3591" spans="1:17" x14ac:dyDescent="0.25">
      <c r="A3591" s="549" t="s">
        <v>1105</v>
      </c>
      <c r="B3591" s="549" t="s">
        <v>586</v>
      </c>
      <c r="C3591" s="549" t="s">
        <v>809</v>
      </c>
      <c r="D3591" s="549" t="s">
        <v>810</v>
      </c>
      <c r="E3591" s="549" t="s">
        <v>977</v>
      </c>
      <c r="F3591" s="549" t="s">
        <v>1212</v>
      </c>
      <c r="G3591" s="549">
        <v>322</v>
      </c>
      <c r="H3591" s="549" t="s">
        <v>712</v>
      </c>
      <c r="I3591" s="549" t="s">
        <v>976</v>
      </c>
      <c r="J3591" s="549" t="s">
        <v>976</v>
      </c>
      <c r="K3591" s="549" t="s">
        <v>976</v>
      </c>
      <c r="L3591" s="549">
        <v>499633.06</v>
      </c>
      <c r="M3591" s="549">
        <v>37722.300000000003</v>
      </c>
      <c r="N3591" s="549">
        <v>11041.89</v>
      </c>
      <c r="O3591" s="549">
        <v>3968</v>
      </c>
      <c r="P3591" s="549">
        <v>95.33</v>
      </c>
      <c r="Q3591" s="549">
        <v>50269.599999999999</v>
      </c>
    </row>
    <row r="3592" spans="1:17" x14ac:dyDescent="0.25">
      <c r="A3592" s="549" t="s">
        <v>1105</v>
      </c>
      <c r="B3592" s="549" t="s">
        <v>586</v>
      </c>
      <c r="C3592" s="549" t="s">
        <v>809</v>
      </c>
      <c r="D3592" s="549" t="s">
        <v>810</v>
      </c>
      <c r="E3592" s="549" t="s">
        <v>977</v>
      </c>
      <c r="F3592" s="549" t="s">
        <v>1212</v>
      </c>
      <c r="G3592" s="549" t="s">
        <v>1277</v>
      </c>
      <c r="H3592" s="549" t="s">
        <v>712</v>
      </c>
      <c r="I3592" s="549" t="s">
        <v>976</v>
      </c>
      <c r="J3592" s="549" t="s">
        <v>976</v>
      </c>
      <c r="K3592" s="549" t="s">
        <v>976</v>
      </c>
      <c r="L3592" s="549">
        <v>46197.94</v>
      </c>
      <c r="M3592" s="549">
        <v>3487.94</v>
      </c>
      <c r="N3592" s="549">
        <v>1020.97</v>
      </c>
      <c r="O3592" s="549">
        <v>0</v>
      </c>
      <c r="P3592" s="549">
        <v>95.33</v>
      </c>
      <c r="Q3592" s="549">
        <v>4298.34</v>
      </c>
    </row>
    <row r="3593" spans="1:17" x14ac:dyDescent="0.25">
      <c r="A3593" s="549" t="s">
        <v>1105</v>
      </c>
      <c r="B3593" s="549" t="s">
        <v>586</v>
      </c>
      <c r="C3593" s="549" t="s">
        <v>809</v>
      </c>
      <c r="D3593" s="549" t="s">
        <v>810</v>
      </c>
      <c r="E3593" s="549" t="s">
        <v>977</v>
      </c>
      <c r="F3593" s="549" t="s">
        <v>1212</v>
      </c>
      <c r="G3593" s="549" t="s">
        <v>1283</v>
      </c>
      <c r="H3593" s="549" t="s">
        <v>712</v>
      </c>
      <c r="I3593" s="549" t="s">
        <v>976</v>
      </c>
      <c r="J3593" s="549" t="s">
        <v>976</v>
      </c>
      <c r="K3593" s="549" t="s">
        <v>976</v>
      </c>
      <c r="L3593" s="549">
        <v>46197.94</v>
      </c>
      <c r="M3593" s="549">
        <v>3487.94</v>
      </c>
      <c r="N3593" s="549">
        <v>1020.97</v>
      </c>
      <c r="O3593" s="549">
        <v>0</v>
      </c>
      <c r="P3593" s="549">
        <v>95.33</v>
      </c>
      <c r="Q3593" s="549">
        <v>4298.34</v>
      </c>
    </row>
    <row r="3594" spans="1:17" x14ac:dyDescent="0.25">
      <c r="A3594" s="549" t="s">
        <v>1108</v>
      </c>
      <c r="B3594" s="549" t="s">
        <v>1109</v>
      </c>
      <c r="C3594" s="549" t="s">
        <v>770</v>
      </c>
      <c r="D3594" s="549" t="s">
        <v>771</v>
      </c>
      <c r="E3594" s="549" t="s">
        <v>973</v>
      </c>
      <c r="F3594" s="549" t="s">
        <v>1212</v>
      </c>
      <c r="G3594" s="549">
        <v>622</v>
      </c>
      <c r="H3594" s="549" t="s">
        <v>770</v>
      </c>
      <c r="I3594" s="549" t="s">
        <v>976</v>
      </c>
      <c r="J3594" s="549" t="s">
        <v>976</v>
      </c>
      <c r="K3594" s="549" t="s">
        <v>976</v>
      </c>
      <c r="L3594" s="549">
        <v>556879.91</v>
      </c>
      <c r="M3594" s="549">
        <v>42044.43</v>
      </c>
      <c r="N3594" s="549">
        <v>31964.91</v>
      </c>
      <c r="O3594" s="549">
        <v>1984</v>
      </c>
      <c r="P3594" s="549">
        <v>0.12</v>
      </c>
      <c r="Q3594" s="549">
        <v>91.19</v>
      </c>
    </row>
    <row r="3595" spans="1:17" x14ac:dyDescent="0.25">
      <c r="A3595" s="549" t="s">
        <v>1108</v>
      </c>
      <c r="B3595" s="549" t="s">
        <v>1109</v>
      </c>
      <c r="C3595" s="549" t="s">
        <v>770</v>
      </c>
      <c r="D3595" s="549" t="s">
        <v>771</v>
      </c>
      <c r="E3595" s="549" t="s">
        <v>973</v>
      </c>
      <c r="F3595" s="549" t="s">
        <v>1212</v>
      </c>
      <c r="G3595" s="549">
        <v>722</v>
      </c>
      <c r="H3595" s="549" t="s">
        <v>770</v>
      </c>
      <c r="I3595" s="549" t="s">
        <v>976</v>
      </c>
      <c r="J3595" s="549" t="s">
        <v>976</v>
      </c>
      <c r="K3595" s="549" t="s">
        <v>976</v>
      </c>
      <c r="L3595" s="549">
        <v>556879.91</v>
      </c>
      <c r="M3595" s="549">
        <v>42044.43</v>
      </c>
      <c r="N3595" s="549">
        <v>31964.91</v>
      </c>
      <c r="O3595" s="549">
        <v>1984</v>
      </c>
      <c r="P3595" s="549">
        <v>0.12</v>
      </c>
      <c r="Q3595" s="549">
        <v>91.19</v>
      </c>
    </row>
    <row r="3596" spans="1:17" x14ac:dyDescent="0.25">
      <c r="A3596" s="549" t="s">
        <v>1108</v>
      </c>
      <c r="B3596" s="549" t="s">
        <v>1109</v>
      </c>
      <c r="C3596" s="549" t="s">
        <v>770</v>
      </c>
      <c r="D3596" s="549" t="s">
        <v>771</v>
      </c>
      <c r="E3596" s="549" t="s">
        <v>973</v>
      </c>
      <c r="F3596" s="549" t="s">
        <v>1212</v>
      </c>
      <c r="G3596" s="549">
        <v>1582</v>
      </c>
      <c r="H3596" s="549" t="s">
        <v>770</v>
      </c>
      <c r="I3596" s="549" t="s">
        <v>976</v>
      </c>
      <c r="J3596" s="549" t="s">
        <v>976</v>
      </c>
      <c r="K3596" s="549" t="s">
        <v>976</v>
      </c>
      <c r="L3596" s="549">
        <v>498126.81</v>
      </c>
      <c r="M3596" s="549">
        <v>37608.57</v>
      </c>
      <c r="N3596" s="549">
        <v>28592.48</v>
      </c>
      <c r="O3596" s="549">
        <v>2976</v>
      </c>
      <c r="P3596" s="549">
        <v>0.12</v>
      </c>
      <c r="Q3596" s="549">
        <v>83.01</v>
      </c>
    </row>
    <row r="3597" spans="1:17" x14ac:dyDescent="0.25">
      <c r="A3597" s="549" t="s">
        <v>1108</v>
      </c>
      <c r="B3597" s="549" t="s">
        <v>1109</v>
      </c>
      <c r="C3597" s="549" t="s">
        <v>770</v>
      </c>
      <c r="D3597" s="549" t="s">
        <v>771</v>
      </c>
      <c r="E3597" s="549" t="s">
        <v>973</v>
      </c>
      <c r="F3597" s="549" t="s">
        <v>1212</v>
      </c>
      <c r="G3597" s="549">
        <v>1592</v>
      </c>
      <c r="H3597" s="549" t="s">
        <v>770</v>
      </c>
      <c r="I3597" s="549" t="s">
        <v>976</v>
      </c>
      <c r="J3597" s="549" t="s">
        <v>976</v>
      </c>
      <c r="K3597" s="549" t="s">
        <v>976</v>
      </c>
      <c r="L3597" s="549">
        <v>498126.81</v>
      </c>
      <c r="M3597" s="549">
        <v>37608.57</v>
      </c>
      <c r="N3597" s="549">
        <v>28592.48</v>
      </c>
      <c r="O3597" s="549">
        <v>2976</v>
      </c>
      <c r="P3597" s="549">
        <v>0.12</v>
      </c>
      <c r="Q3597" s="549">
        <v>83.01</v>
      </c>
    </row>
    <row r="3598" spans="1:17" x14ac:dyDescent="0.25">
      <c r="A3598" s="549" t="s">
        <v>1108</v>
      </c>
      <c r="B3598" s="549" t="s">
        <v>1109</v>
      </c>
      <c r="C3598" s="549" t="s">
        <v>770</v>
      </c>
      <c r="D3598" s="549" t="s">
        <v>771</v>
      </c>
      <c r="E3598" s="549" t="s">
        <v>973</v>
      </c>
      <c r="F3598" s="549" t="s">
        <v>1212</v>
      </c>
      <c r="G3598" s="549" t="s">
        <v>1489</v>
      </c>
      <c r="H3598" s="549" t="s">
        <v>770</v>
      </c>
      <c r="I3598" s="549" t="s">
        <v>976</v>
      </c>
      <c r="J3598" s="549" t="s">
        <v>976</v>
      </c>
      <c r="K3598" s="549" t="s">
        <v>976</v>
      </c>
      <c r="L3598" s="549">
        <v>45358.11</v>
      </c>
      <c r="M3598" s="549">
        <v>3424.54</v>
      </c>
      <c r="N3598" s="549">
        <v>2603.56</v>
      </c>
      <c r="O3598" s="549">
        <v>0</v>
      </c>
      <c r="P3598" s="549">
        <v>0.12</v>
      </c>
      <c r="Q3598" s="549">
        <v>7.23</v>
      </c>
    </row>
    <row r="3599" spans="1:17" x14ac:dyDescent="0.25">
      <c r="A3599" s="549" t="s">
        <v>1108</v>
      </c>
      <c r="B3599" s="549" t="s">
        <v>1109</v>
      </c>
      <c r="C3599" s="549" t="s">
        <v>770</v>
      </c>
      <c r="D3599" s="549" t="s">
        <v>771</v>
      </c>
      <c r="E3599" s="549" t="s">
        <v>973</v>
      </c>
      <c r="F3599" s="549" t="s">
        <v>1212</v>
      </c>
      <c r="G3599" s="549" t="s">
        <v>1472</v>
      </c>
      <c r="H3599" s="549" t="s">
        <v>770</v>
      </c>
      <c r="I3599" s="549" t="s">
        <v>976</v>
      </c>
      <c r="J3599" s="549" t="s">
        <v>976</v>
      </c>
      <c r="K3599" s="549" t="s">
        <v>976</v>
      </c>
      <c r="L3599" s="549">
        <v>45358.11</v>
      </c>
      <c r="M3599" s="549">
        <v>3424.54</v>
      </c>
      <c r="N3599" s="549">
        <v>2603.56</v>
      </c>
      <c r="O3599" s="549">
        <v>0</v>
      </c>
      <c r="P3599" s="549">
        <v>0.12</v>
      </c>
      <c r="Q3599" s="549">
        <v>7.23</v>
      </c>
    </row>
    <row r="3600" spans="1:17" x14ac:dyDescent="0.25">
      <c r="A3600" s="549" t="s">
        <v>1108</v>
      </c>
      <c r="B3600" s="549" t="s">
        <v>1109</v>
      </c>
      <c r="C3600" s="549" t="s">
        <v>770</v>
      </c>
      <c r="D3600" s="549" t="s">
        <v>771</v>
      </c>
      <c r="E3600" s="549" t="s">
        <v>977</v>
      </c>
      <c r="F3600" s="549" t="s">
        <v>1212</v>
      </c>
      <c r="G3600" s="549">
        <v>622</v>
      </c>
      <c r="H3600" s="549" t="s">
        <v>770</v>
      </c>
      <c r="I3600" s="549" t="s">
        <v>976</v>
      </c>
      <c r="J3600" s="549" t="s">
        <v>976</v>
      </c>
      <c r="K3600" s="549" t="s">
        <v>976</v>
      </c>
      <c r="L3600" s="549">
        <v>556879.91</v>
      </c>
      <c r="M3600" s="549">
        <v>42044.43</v>
      </c>
      <c r="N3600" s="549">
        <v>12307.05</v>
      </c>
      <c r="O3600" s="549">
        <v>1984</v>
      </c>
      <c r="P3600" s="549">
        <v>99.88</v>
      </c>
      <c r="Q3600" s="549">
        <v>56267.88</v>
      </c>
    </row>
    <row r="3601" spans="1:17" x14ac:dyDescent="0.25">
      <c r="A3601" s="549" t="s">
        <v>1108</v>
      </c>
      <c r="B3601" s="549" t="s">
        <v>1109</v>
      </c>
      <c r="C3601" s="549" t="s">
        <v>770</v>
      </c>
      <c r="D3601" s="549" t="s">
        <v>771</v>
      </c>
      <c r="E3601" s="549" t="s">
        <v>977</v>
      </c>
      <c r="F3601" s="549" t="s">
        <v>1212</v>
      </c>
      <c r="G3601" s="549">
        <v>722</v>
      </c>
      <c r="H3601" s="549" t="s">
        <v>770</v>
      </c>
      <c r="I3601" s="549" t="s">
        <v>976</v>
      </c>
      <c r="J3601" s="549" t="s">
        <v>976</v>
      </c>
      <c r="K3601" s="549" t="s">
        <v>976</v>
      </c>
      <c r="L3601" s="549">
        <v>556879.91</v>
      </c>
      <c r="M3601" s="549">
        <v>42044.43</v>
      </c>
      <c r="N3601" s="549">
        <v>12307.05</v>
      </c>
      <c r="O3601" s="549">
        <v>1984</v>
      </c>
      <c r="P3601" s="549">
        <v>99.88</v>
      </c>
      <c r="Q3601" s="549">
        <v>56267.88</v>
      </c>
    </row>
    <row r="3602" spans="1:17" x14ac:dyDescent="0.25">
      <c r="A3602" s="549" t="s">
        <v>1108</v>
      </c>
      <c r="B3602" s="549" t="s">
        <v>1109</v>
      </c>
      <c r="C3602" s="549" t="s">
        <v>770</v>
      </c>
      <c r="D3602" s="549" t="s">
        <v>771</v>
      </c>
      <c r="E3602" s="549" t="s">
        <v>977</v>
      </c>
      <c r="F3602" s="549" t="s">
        <v>1212</v>
      </c>
      <c r="G3602" s="549">
        <v>1582</v>
      </c>
      <c r="H3602" s="549" t="s">
        <v>770</v>
      </c>
      <c r="I3602" s="549" t="s">
        <v>976</v>
      </c>
      <c r="J3602" s="549" t="s">
        <v>976</v>
      </c>
      <c r="K3602" s="549" t="s">
        <v>976</v>
      </c>
      <c r="L3602" s="549">
        <v>498126.81</v>
      </c>
      <c r="M3602" s="549">
        <v>37608.57</v>
      </c>
      <c r="N3602" s="549">
        <v>11008.6</v>
      </c>
      <c r="O3602" s="549">
        <v>2976</v>
      </c>
      <c r="P3602" s="549">
        <v>99.88</v>
      </c>
      <c r="Q3602" s="549">
        <v>51531.26</v>
      </c>
    </row>
    <row r="3603" spans="1:17" x14ac:dyDescent="0.25">
      <c r="A3603" s="549" t="s">
        <v>1108</v>
      </c>
      <c r="B3603" s="549" t="s">
        <v>1109</v>
      </c>
      <c r="C3603" s="549" t="s">
        <v>770</v>
      </c>
      <c r="D3603" s="549" t="s">
        <v>771</v>
      </c>
      <c r="E3603" s="549" t="s">
        <v>977</v>
      </c>
      <c r="F3603" s="549" t="s">
        <v>1212</v>
      </c>
      <c r="G3603" s="549">
        <v>1592</v>
      </c>
      <c r="H3603" s="549" t="s">
        <v>770</v>
      </c>
      <c r="I3603" s="549" t="s">
        <v>976</v>
      </c>
      <c r="J3603" s="549" t="s">
        <v>976</v>
      </c>
      <c r="K3603" s="549" t="s">
        <v>976</v>
      </c>
      <c r="L3603" s="549">
        <v>498126.81</v>
      </c>
      <c r="M3603" s="549">
        <v>37608.57</v>
      </c>
      <c r="N3603" s="549">
        <v>11008.6</v>
      </c>
      <c r="O3603" s="549">
        <v>2976</v>
      </c>
      <c r="P3603" s="549">
        <v>99.88</v>
      </c>
      <c r="Q3603" s="549">
        <v>51531.26</v>
      </c>
    </row>
    <row r="3604" spans="1:17" x14ac:dyDescent="0.25">
      <c r="A3604" s="549" t="s">
        <v>1108</v>
      </c>
      <c r="B3604" s="549" t="s">
        <v>1109</v>
      </c>
      <c r="C3604" s="549" t="s">
        <v>770</v>
      </c>
      <c r="D3604" s="549" t="s">
        <v>771</v>
      </c>
      <c r="E3604" s="549" t="s">
        <v>977</v>
      </c>
      <c r="F3604" s="549" t="s">
        <v>1212</v>
      </c>
      <c r="G3604" s="549" t="s">
        <v>1489</v>
      </c>
      <c r="H3604" s="549" t="s">
        <v>770</v>
      </c>
      <c r="I3604" s="549" t="s">
        <v>976</v>
      </c>
      <c r="J3604" s="549" t="s">
        <v>976</v>
      </c>
      <c r="K3604" s="549" t="s">
        <v>976</v>
      </c>
      <c r="L3604" s="549">
        <v>45358.11</v>
      </c>
      <c r="M3604" s="549">
        <v>3424.54</v>
      </c>
      <c r="N3604" s="549">
        <v>1002.41</v>
      </c>
      <c r="O3604" s="549">
        <v>0</v>
      </c>
      <c r="P3604" s="549">
        <v>99.88</v>
      </c>
      <c r="Q3604" s="549">
        <v>4421.6400000000003</v>
      </c>
    </row>
    <row r="3605" spans="1:17" x14ac:dyDescent="0.25">
      <c r="A3605" s="549" t="s">
        <v>1108</v>
      </c>
      <c r="B3605" s="549" t="s">
        <v>1109</v>
      </c>
      <c r="C3605" s="549" t="s">
        <v>770</v>
      </c>
      <c r="D3605" s="549" t="s">
        <v>771</v>
      </c>
      <c r="E3605" s="549" t="s">
        <v>977</v>
      </c>
      <c r="F3605" s="549" t="s">
        <v>1212</v>
      </c>
      <c r="G3605" s="549" t="s">
        <v>1472</v>
      </c>
      <c r="H3605" s="549" t="s">
        <v>770</v>
      </c>
      <c r="I3605" s="549" t="s">
        <v>976</v>
      </c>
      <c r="J3605" s="549" t="s">
        <v>976</v>
      </c>
      <c r="K3605" s="549" t="s">
        <v>976</v>
      </c>
      <c r="L3605" s="549">
        <v>45358.11</v>
      </c>
      <c r="M3605" s="549">
        <v>3424.54</v>
      </c>
      <c r="N3605" s="549">
        <v>1002.41</v>
      </c>
      <c r="O3605" s="549">
        <v>0</v>
      </c>
      <c r="P3605" s="549">
        <v>99.88</v>
      </c>
      <c r="Q3605" s="549">
        <v>4421.6400000000003</v>
      </c>
    </row>
    <row r="3606" spans="1:17" x14ac:dyDescent="0.25">
      <c r="A3606" s="549" t="s">
        <v>1108</v>
      </c>
      <c r="B3606" s="549" t="s">
        <v>1109</v>
      </c>
      <c r="C3606" s="549" t="s">
        <v>855</v>
      </c>
      <c r="D3606" s="549" t="s">
        <v>856</v>
      </c>
      <c r="E3606" s="549" t="s">
        <v>973</v>
      </c>
      <c r="F3606" s="549" t="s">
        <v>1212</v>
      </c>
      <c r="G3606" s="549">
        <v>322</v>
      </c>
      <c r="H3606" s="549" t="s">
        <v>855</v>
      </c>
      <c r="I3606" s="549" t="s">
        <v>976</v>
      </c>
      <c r="J3606" s="549" t="s">
        <v>976</v>
      </c>
      <c r="K3606" s="549" t="s">
        <v>976</v>
      </c>
      <c r="L3606" s="549">
        <v>510571.97</v>
      </c>
      <c r="M3606" s="549">
        <v>38548.18</v>
      </c>
      <c r="N3606" s="549">
        <v>29306.83</v>
      </c>
      <c r="O3606" s="549">
        <v>1984</v>
      </c>
      <c r="P3606" s="549">
        <v>6.4</v>
      </c>
      <c r="Q3606" s="549">
        <v>4469.7</v>
      </c>
    </row>
    <row r="3607" spans="1:17" x14ac:dyDescent="0.25">
      <c r="A3607" s="549" t="s">
        <v>1108</v>
      </c>
      <c r="B3607" s="549" t="s">
        <v>1109</v>
      </c>
      <c r="C3607" s="549" t="s">
        <v>855</v>
      </c>
      <c r="D3607" s="549" t="s">
        <v>856</v>
      </c>
      <c r="E3607" s="549" t="s">
        <v>973</v>
      </c>
      <c r="F3607" s="549" t="s">
        <v>1212</v>
      </c>
      <c r="G3607" s="549">
        <v>362</v>
      </c>
      <c r="H3607" s="549" t="s">
        <v>855</v>
      </c>
      <c r="I3607" s="549" t="s">
        <v>976</v>
      </c>
      <c r="J3607" s="549" t="s">
        <v>976</v>
      </c>
      <c r="K3607" s="549" t="s">
        <v>976</v>
      </c>
      <c r="L3607" s="549">
        <v>510571.97</v>
      </c>
      <c r="M3607" s="549">
        <v>38548.18</v>
      </c>
      <c r="N3607" s="549">
        <v>29306.83</v>
      </c>
      <c r="O3607" s="549">
        <v>1984</v>
      </c>
      <c r="P3607" s="549">
        <v>6.4</v>
      </c>
      <c r="Q3607" s="549">
        <v>4469.7</v>
      </c>
    </row>
    <row r="3608" spans="1:17" x14ac:dyDescent="0.25">
      <c r="A3608" s="549" t="s">
        <v>1108</v>
      </c>
      <c r="B3608" s="549" t="s">
        <v>1109</v>
      </c>
      <c r="C3608" s="549" t="s">
        <v>855</v>
      </c>
      <c r="D3608" s="549" t="s">
        <v>856</v>
      </c>
      <c r="E3608" s="549" t="s">
        <v>973</v>
      </c>
      <c r="F3608" s="549" t="s">
        <v>1212</v>
      </c>
      <c r="G3608" s="549">
        <v>1522</v>
      </c>
      <c r="H3608" s="549" t="s">
        <v>855</v>
      </c>
      <c r="I3608" s="549" t="s">
        <v>976</v>
      </c>
      <c r="J3608" s="549" t="s">
        <v>976</v>
      </c>
      <c r="K3608" s="549" t="s">
        <v>976</v>
      </c>
      <c r="L3608" s="549">
        <v>493243.22</v>
      </c>
      <c r="M3608" s="549">
        <v>37239.86</v>
      </c>
      <c r="N3608" s="549">
        <v>28312.16</v>
      </c>
      <c r="O3608" s="549">
        <v>2976</v>
      </c>
      <c r="P3608" s="549">
        <v>6.4</v>
      </c>
      <c r="Q3608" s="549">
        <v>4385.79</v>
      </c>
    </row>
    <row r="3609" spans="1:17" x14ac:dyDescent="0.25">
      <c r="A3609" s="549" t="s">
        <v>1108</v>
      </c>
      <c r="B3609" s="549" t="s">
        <v>1109</v>
      </c>
      <c r="C3609" s="549" t="s">
        <v>855</v>
      </c>
      <c r="D3609" s="549" t="s">
        <v>856</v>
      </c>
      <c r="E3609" s="549" t="s">
        <v>973</v>
      </c>
      <c r="F3609" s="549" t="s">
        <v>1212</v>
      </c>
      <c r="G3609" s="549">
        <v>1532</v>
      </c>
      <c r="H3609" s="549" t="s">
        <v>855</v>
      </c>
      <c r="I3609" s="549" t="s">
        <v>976</v>
      </c>
      <c r="J3609" s="549" t="s">
        <v>976</v>
      </c>
      <c r="K3609" s="549" t="s">
        <v>976</v>
      </c>
      <c r="L3609" s="549">
        <v>493243.22</v>
      </c>
      <c r="M3609" s="549">
        <v>37239.86</v>
      </c>
      <c r="N3609" s="549">
        <v>28312.16</v>
      </c>
      <c r="O3609" s="549">
        <v>2976</v>
      </c>
      <c r="P3609" s="549">
        <v>6.4</v>
      </c>
      <c r="Q3609" s="549">
        <v>4385.79</v>
      </c>
    </row>
    <row r="3610" spans="1:17" x14ac:dyDescent="0.25">
      <c r="A3610" s="549" t="s">
        <v>1108</v>
      </c>
      <c r="B3610" s="549" t="s">
        <v>1109</v>
      </c>
      <c r="C3610" s="549" t="s">
        <v>855</v>
      </c>
      <c r="D3610" s="549" t="s">
        <v>856</v>
      </c>
      <c r="E3610" s="549" t="s">
        <v>973</v>
      </c>
      <c r="F3610" s="549" t="s">
        <v>1212</v>
      </c>
      <c r="G3610" s="549" t="s">
        <v>1490</v>
      </c>
      <c r="H3610" s="549" t="s">
        <v>855</v>
      </c>
      <c r="I3610" s="549" t="s">
        <v>976</v>
      </c>
      <c r="J3610" s="549" t="s">
        <v>976</v>
      </c>
      <c r="K3610" s="549" t="s">
        <v>976</v>
      </c>
      <c r="L3610" s="549">
        <v>44913.42</v>
      </c>
      <c r="M3610" s="549">
        <v>3390.96</v>
      </c>
      <c r="N3610" s="549">
        <v>2578.0300000000002</v>
      </c>
      <c r="O3610" s="549">
        <v>0</v>
      </c>
      <c r="P3610" s="549">
        <v>6.4</v>
      </c>
      <c r="Q3610" s="549">
        <v>382.02</v>
      </c>
    </row>
    <row r="3611" spans="1:17" x14ac:dyDescent="0.25">
      <c r="A3611" s="549" t="s">
        <v>1108</v>
      </c>
      <c r="B3611" s="549" t="s">
        <v>1109</v>
      </c>
      <c r="C3611" s="549" t="s">
        <v>855</v>
      </c>
      <c r="D3611" s="549" t="s">
        <v>856</v>
      </c>
      <c r="E3611" s="549" t="s">
        <v>973</v>
      </c>
      <c r="F3611" s="549" t="s">
        <v>1212</v>
      </c>
      <c r="G3611" s="549" t="s">
        <v>1491</v>
      </c>
      <c r="H3611" s="549" t="s">
        <v>855</v>
      </c>
      <c r="I3611" s="549" t="s">
        <v>976</v>
      </c>
      <c r="J3611" s="549" t="s">
        <v>976</v>
      </c>
      <c r="K3611" s="549" t="s">
        <v>976</v>
      </c>
      <c r="L3611" s="549">
        <v>44913.42</v>
      </c>
      <c r="M3611" s="549">
        <v>3390.96</v>
      </c>
      <c r="N3611" s="549">
        <v>2578.0300000000002</v>
      </c>
      <c r="O3611" s="549">
        <v>0</v>
      </c>
      <c r="P3611" s="549">
        <v>6.4</v>
      </c>
      <c r="Q3611" s="549">
        <v>382.02</v>
      </c>
    </row>
    <row r="3612" spans="1:17" x14ac:dyDescent="0.25">
      <c r="A3612" s="549" t="s">
        <v>1108</v>
      </c>
      <c r="B3612" s="549" t="s">
        <v>1109</v>
      </c>
      <c r="C3612" s="549" t="s">
        <v>855</v>
      </c>
      <c r="D3612" s="549" t="s">
        <v>856</v>
      </c>
      <c r="E3612" s="549" t="s">
        <v>977</v>
      </c>
      <c r="F3612" s="549" t="s">
        <v>1212</v>
      </c>
      <c r="G3612" s="549">
        <v>322</v>
      </c>
      <c r="H3612" s="549" t="s">
        <v>855</v>
      </c>
      <c r="I3612" s="549" t="s">
        <v>976</v>
      </c>
      <c r="J3612" s="549" t="s">
        <v>976</v>
      </c>
      <c r="K3612" s="549" t="s">
        <v>976</v>
      </c>
      <c r="L3612" s="549">
        <v>510571.97</v>
      </c>
      <c r="M3612" s="549">
        <v>38548.18</v>
      </c>
      <c r="N3612" s="549">
        <v>11283.64</v>
      </c>
      <c r="O3612" s="549">
        <v>1984</v>
      </c>
      <c r="P3612" s="549">
        <v>93.6</v>
      </c>
      <c r="Q3612" s="549">
        <v>48499.61</v>
      </c>
    </row>
    <row r="3613" spans="1:17" x14ac:dyDescent="0.25">
      <c r="A3613" s="549" t="s">
        <v>1108</v>
      </c>
      <c r="B3613" s="549" t="s">
        <v>1109</v>
      </c>
      <c r="C3613" s="549" t="s">
        <v>855</v>
      </c>
      <c r="D3613" s="549" t="s">
        <v>856</v>
      </c>
      <c r="E3613" s="549" t="s">
        <v>977</v>
      </c>
      <c r="F3613" s="549" t="s">
        <v>1212</v>
      </c>
      <c r="G3613" s="549">
        <v>362</v>
      </c>
      <c r="H3613" s="549" t="s">
        <v>855</v>
      </c>
      <c r="I3613" s="549" t="s">
        <v>976</v>
      </c>
      <c r="J3613" s="549" t="s">
        <v>976</v>
      </c>
      <c r="K3613" s="549" t="s">
        <v>976</v>
      </c>
      <c r="L3613" s="549">
        <v>510571.97</v>
      </c>
      <c r="M3613" s="549">
        <v>38548.18</v>
      </c>
      <c r="N3613" s="549">
        <v>11283.64</v>
      </c>
      <c r="O3613" s="549">
        <v>1984</v>
      </c>
      <c r="P3613" s="549">
        <v>93.6</v>
      </c>
      <c r="Q3613" s="549">
        <v>48499.61</v>
      </c>
    </row>
    <row r="3614" spans="1:17" x14ac:dyDescent="0.25">
      <c r="A3614" s="549" t="s">
        <v>1108</v>
      </c>
      <c r="B3614" s="549" t="s">
        <v>1109</v>
      </c>
      <c r="C3614" s="549" t="s">
        <v>855</v>
      </c>
      <c r="D3614" s="549" t="s">
        <v>856</v>
      </c>
      <c r="E3614" s="549" t="s">
        <v>977</v>
      </c>
      <c r="F3614" s="549" t="s">
        <v>1212</v>
      </c>
      <c r="G3614" s="549">
        <v>1522</v>
      </c>
      <c r="H3614" s="549" t="s">
        <v>855</v>
      </c>
      <c r="I3614" s="549" t="s">
        <v>976</v>
      </c>
      <c r="J3614" s="549" t="s">
        <v>976</v>
      </c>
      <c r="K3614" s="549" t="s">
        <v>976</v>
      </c>
      <c r="L3614" s="549">
        <v>493243.22</v>
      </c>
      <c r="M3614" s="549">
        <v>37239.86</v>
      </c>
      <c r="N3614" s="549">
        <v>10900.68</v>
      </c>
      <c r="O3614" s="549">
        <v>2976</v>
      </c>
      <c r="P3614" s="549">
        <v>93.6</v>
      </c>
      <c r="Q3614" s="549">
        <v>47845.08</v>
      </c>
    </row>
    <row r="3615" spans="1:17" x14ac:dyDescent="0.25">
      <c r="A3615" s="549" t="s">
        <v>1108</v>
      </c>
      <c r="B3615" s="549" t="s">
        <v>1109</v>
      </c>
      <c r="C3615" s="549" t="s">
        <v>855</v>
      </c>
      <c r="D3615" s="549" t="s">
        <v>856</v>
      </c>
      <c r="E3615" s="549" t="s">
        <v>977</v>
      </c>
      <c r="F3615" s="549" t="s">
        <v>1212</v>
      </c>
      <c r="G3615" s="549">
        <v>1532</v>
      </c>
      <c r="H3615" s="549" t="s">
        <v>855</v>
      </c>
      <c r="I3615" s="549" t="s">
        <v>976</v>
      </c>
      <c r="J3615" s="549" t="s">
        <v>976</v>
      </c>
      <c r="K3615" s="549" t="s">
        <v>976</v>
      </c>
      <c r="L3615" s="549">
        <v>493243.22</v>
      </c>
      <c r="M3615" s="549">
        <v>37239.86</v>
      </c>
      <c r="N3615" s="549">
        <v>10900.68</v>
      </c>
      <c r="O3615" s="549">
        <v>2976</v>
      </c>
      <c r="P3615" s="549">
        <v>93.6</v>
      </c>
      <c r="Q3615" s="549">
        <v>47845.08</v>
      </c>
    </row>
    <row r="3616" spans="1:17" x14ac:dyDescent="0.25">
      <c r="A3616" s="549" t="s">
        <v>1108</v>
      </c>
      <c r="B3616" s="549" t="s">
        <v>1109</v>
      </c>
      <c r="C3616" s="549" t="s">
        <v>855</v>
      </c>
      <c r="D3616" s="549" t="s">
        <v>856</v>
      </c>
      <c r="E3616" s="549" t="s">
        <v>977</v>
      </c>
      <c r="F3616" s="549" t="s">
        <v>1212</v>
      </c>
      <c r="G3616" s="549" t="s">
        <v>1490</v>
      </c>
      <c r="H3616" s="549" t="s">
        <v>855</v>
      </c>
      <c r="I3616" s="549" t="s">
        <v>976</v>
      </c>
      <c r="J3616" s="549" t="s">
        <v>976</v>
      </c>
      <c r="K3616" s="549" t="s">
        <v>976</v>
      </c>
      <c r="L3616" s="549">
        <v>44913.42</v>
      </c>
      <c r="M3616" s="549">
        <v>3390.96</v>
      </c>
      <c r="N3616" s="549">
        <v>992.59</v>
      </c>
      <c r="O3616" s="549">
        <v>0</v>
      </c>
      <c r="P3616" s="549">
        <v>93.6</v>
      </c>
      <c r="Q3616" s="549">
        <v>4103</v>
      </c>
    </row>
    <row r="3617" spans="1:17" x14ac:dyDescent="0.25">
      <c r="A3617" s="549" t="s">
        <v>1108</v>
      </c>
      <c r="B3617" s="549" t="s">
        <v>1109</v>
      </c>
      <c r="C3617" s="549" t="s">
        <v>855</v>
      </c>
      <c r="D3617" s="549" t="s">
        <v>856</v>
      </c>
      <c r="E3617" s="549" t="s">
        <v>977</v>
      </c>
      <c r="F3617" s="549" t="s">
        <v>1212</v>
      </c>
      <c r="G3617" s="549" t="s">
        <v>1491</v>
      </c>
      <c r="H3617" s="549" t="s">
        <v>855</v>
      </c>
      <c r="I3617" s="549" t="s">
        <v>976</v>
      </c>
      <c r="J3617" s="549" t="s">
        <v>976</v>
      </c>
      <c r="K3617" s="549" t="s">
        <v>976</v>
      </c>
      <c r="L3617" s="549">
        <v>44913.42</v>
      </c>
      <c r="M3617" s="549">
        <v>3390.96</v>
      </c>
      <c r="N3617" s="549">
        <v>992.59</v>
      </c>
      <c r="O3617" s="549">
        <v>0</v>
      </c>
      <c r="P3617" s="549">
        <v>93.6</v>
      </c>
      <c r="Q3617" s="549">
        <v>4103</v>
      </c>
    </row>
    <row r="3618" spans="1:17" x14ac:dyDescent="0.25">
      <c r="A3618" s="549" t="s">
        <v>1116</v>
      </c>
      <c r="B3618" s="549" t="s">
        <v>589</v>
      </c>
      <c r="C3618" s="549" t="s">
        <v>849</v>
      </c>
      <c r="D3618" s="549" t="s">
        <v>850</v>
      </c>
      <c r="E3618" s="549" t="s">
        <v>973</v>
      </c>
      <c r="F3618" s="549" t="s">
        <v>1212</v>
      </c>
      <c r="G3618" s="549">
        <v>39</v>
      </c>
      <c r="H3618" s="549" t="s">
        <v>849</v>
      </c>
      <c r="I3618" s="549" t="s">
        <v>976</v>
      </c>
      <c r="J3618" s="549" t="s">
        <v>976</v>
      </c>
      <c r="K3618" s="549" t="s">
        <v>976</v>
      </c>
      <c r="L3618" s="549">
        <v>84054.13</v>
      </c>
      <c r="M3618" s="549">
        <v>6346.09</v>
      </c>
      <c r="N3618" s="549">
        <v>4824.71</v>
      </c>
      <c r="O3618" s="549">
        <v>992</v>
      </c>
      <c r="P3618" s="549">
        <v>0</v>
      </c>
      <c r="Q3618" s="549">
        <v>0</v>
      </c>
    </row>
    <row r="3619" spans="1:17" x14ac:dyDescent="0.25">
      <c r="A3619" s="549" t="s">
        <v>1116</v>
      </c>
      <c r="B3619" s="549" t="s">
        <v>589</v>
      </c>
      <c r="C3619" s="549" t="s">
        <v>849</v>
      </c>
      <c r="D3619" s="549" t="s">
        <v>850</v>
      </c>
      <c r="E3619" s="549" t="s">
        <v>973</v>
      </c>
      <c r="F3619" s="549" t="s">
        <v>1212</v>
      </c>
      <c r="G3619" s="549">
        <v>38</v>
      </c>
      <c r="H3619" s="549" t="s">
        <v>849</v>
      </c>
      <c r="I3619" s="549" t="s">
        <v>976</v>
      </c>
      <c r="J3619" s="549" t="s">
        <v>976</v>
      </c>
      <c r="K3619" s="549" t="s">
        <v>976</v>
      </c>
      <c r="L3619" s="549">
        <v>84054.13</v>
      </c>
      <c r="M3619" s="549">
        <v>6346.09</v>
      </c>
      <c r="N3619" s="549">
        <v>4824.71</v>
      </c>
      <c r="O3619" s="549">
        <v>992</v>
      </c>
      <c r="P3619" s="549">
        <v>0</v>
      </c>
      <c r="Q3619" s="549">
        <v>0</v>
      </c>
    </row>
    <row r="3620" spans="1:17" x14ac:dyDescent="0.25">
      <c r="A3620" s="549" t="s">
        <v>1116</v>
      </c>
      <c r="B3620" s="549" t="s">
        <v>589</v>
      </c>
      <c r="C3620" s="549" t="s">
        <v>849</v>
      </c>
      <c r="D3620" s="549" t="s">
        <v>850</v>
      </c>
      <c r="E3620" s="549" t="s">
        <v>973</v>
      </c>
      <c r="F3620" s="549" t="s">
        <v>1212</v>
      </c>
      <c r="G3620" s="549">
        <v>37</v>
      </c>
      <c r="H3620" s="549" t="s">
        <v>849</v>
      </c>
      <c r="I3620" s="549" t="s">
        <v>1291</v>
      </c>
      <c r="J3620" s="549" t="s">
        <v>1291</v>
      </c>
      <c r="K3620" s="549" t="s">
        <v>1291</v>
      </c>
      <c r="L3620" s="549">
        <v>0.02</v>
      </c>
      <c r="M3620" s="549">
        <v>0</v>
      </c>
      <c r="N3620" s="549">
        <v>0</v>
      </c>
      <c r="O3620" s="549">
        <v>0</v>
      </c>
      <c r="P3620" s="549">
        <v>0</v>
      </c>
      <c r="Q3620" s="549">
        <v>0</v>
      </c>
    </row>
    <row r="3621" spans="1:17" x14ac:dyDescent="0.25">
      <c r="A3621" s="549" t="s">
        <v>1116</v>
      </c>
      <c r="B3621" s="549" t="s">
        <v>589</v>
      </c>
      <c r="C3621" s="549" t="s">
        <v>849</v>
      </c>
      <c r="D3621" s="549" t="s">
        <v>850</v>
      </c>
      <c r="E3621" s="549" t="s">
        <v>973</v>
      </c>
      <c r="F3621" s="549" t="s">
        <v>1212</v>
      </c>
      <c r="G3621" s="549">
        <v>17</v>
      </c>
      <c r="H3621" s="549" t="s">
        <v>849</v>
      </c>
      <c r="I3621" s="549" t="s">
        <v>976</v>
      </c>
      <c r="J3621" s="549" t="s">
        <v>976</v>
      </c>
      <c r="K3621" s="549" t="s">
        <v>976</v>
      </c>
      <c r="L3621" s="549">
        <v>81547.649999999994</v>
      </c>
      <c r="M3621" s="549">
        <v>6156.85</v>
      </c>
      <c r="N3621" s="549">
        <v>4680.84</v>
      </c>
      <c r="O3621" s="549">
        <v>992</v>
      </c>
      <c r="P3621" s="549">
        <v>0</v>
      </c>
      <c r="Q3621" s="549">
        <v>0</v>
      </c>
    </row>
    <row r="3622" spans="1:17" x14ac:dyDescent="0.25">
      <c r="A3622" s="549" t="s">
        <v>1108</v>
      </c>
      <c r="B3622" s="549" t="s">
        <v>1109</v>
      </c>
      <c r="C3622" s="549" t="s">
        <v>1047</v>
      </c>
      <c r="D3622" s="549" t="s">
        <v>494</v>
      </c>
      <c r="E3622" s="549" t="s">
        <v>973</v>
      </c>
      <c r="F3622" s="549" t="s">
        <v>1212</v>
      </c>
      <c r="G3622" s="549">
        <v>222</v>
      </c>
      <c r="H3622" s="549" t="s">
        <v>1047</v>
      </c>
      <c r="I3622" s="549" t="s">
        <v>976</v>
      </c>
      <c r="J3622" s="549" t="s">
        <v>976</v>
      </c>
      <c r="K3622" s="549" t="s">
        <v>976</v>
      </c>
      <c r="L3622" s="549">
        <v>554638.28</v>
      </c>
      <c r="M3622" s="549">
        <v>41875.19</v>
      </c>
      <c r="N3622" s="549">
        <v>31836.240000000002</v>
      </c>
      <c r="O3622" s="549">
        <v>1984</v>
      </c>
      <c r="P3622" s="549">
        <v>11.47</v>
      </c>
      <c r="Q3622" s="549">
        <v>8682.27</v>
      </c>
    </row>
    <row r="3623" spans="1:17" x14ac:dyDescent="0.25">
      <c r="A3623" s="549" t="s">
        <v>1108</v>
      </c>
      <c r="B3623" s="549" t="s">
        <v>1109</v>
      </c>
      <c r="C3623" s="549" t="s">
        <v>1047</v>
      </c>
      <c r="D3623" s="549" t="s">
        <v>494</v>
      </c>
      <c r="E3623" s="549" t="s">
        <v>973</v>
      </c>
      <c r="F3623" s="549" t="s">
        <v>1212</v>
      </c>
      <c r="G3623" s="549">
        <v>288</v>
      </c>
      <c r="H3623" s="549" t="s">
        <v>1047</v>
      </c>
      <c r="I3623" s="549" t="s">
        <v>976</v>
      </c>
      <c r="J3623" s="549" t="s">
        <v>976</v>
      </c>
      <c r="K3623" s="549" t="s">
        <v>976</v>
      </c>
      <c r="L3623" s="549">
        <v>146406.91</v>
      </c>
      <c r="M3623" s="549">
        <v>11053.72</v>
      </c>
      <c r="N3623" s="549">
        <v>8403.76</v>
      </c>
      <c r="O3623" s="549">
        <v>2976</v>
      </c>
      <c r="P3623" s="549">
        <v>1.97</v>
      </c>
      <c r="Q3623" s="549">
        <v>441.94</v>
      </c>
    </row>
    <row r="3624" spans="1:17" x14ac:dyDescent="0.25">
      <c r="A3624" s="549" t="s">
        <v>1108</v>
      </c>
      <c r="B3624" s="549" t="s">
        <v>1109</v>
      </c>
      <c r="C3624" s="549" t="s">
        <v>1047</v>
      </c>
      <c r="D3624" s="549" t="s">
        <v>494</v>
      </c>
      <c r="E3624" s="549" t="s">
        <v>973</v>
      </c>
      <c r="F3624" s="549" t="s">
        <v>1212</v>
      </c>
      <c r="G3624" s="549">
        <v>312</v>
      </c>
      <c r="H3624" s="549" t="s">
        <v>1047</v>
      </c>
      <c r="I3624" s="549" t="s">
        <v>976</v>
      </c>
      <c r="J3624" s="549" t="s">
        <v>976</v>
      </c>
      <c r="K3624" s="549" t="s">
        <v>976</v>
      </c>
      <c r="L3624" s="549">
        <v>1053162.69</v>
      </c>
      <c r="M3624" s="549">
        <v>79513.78</v>
      </c>
      <c r="N3624" s="549">
        <v>60451.54</v>
      </c>
      <c r="O3624" s="549">
        <v>4960</v>
      </c>
      <c r="P3624" s="549">
        <v>1.97</v>
      </c>
      <c r="Q3624" s="549">
        <v>2855.03</v>
      </c>
    </row>
    <row r="3625" spans="1:17" x14ac:dyDescent="0.25">
      <c r="A3625" s="549" t="s">
        <v>1108</v>
      </c>
      <c r="B3625" s="549" t="s">
        <v>1109</v>
      </c>
      <c r="C3625" s="549" t="s">
        <v>1047</v>
      </c>
      <c r="D3625" s="549" t="s">
        <v>494</v>
      </c>
      <c r="E3625" s="549" t="s">
        <v>973</v>
      </c>
      <c r="F3625" s="549" t="s">
        <v>1212</v>
      </c>
      <c r="G3625" s="549">
        <v>332</v>
      </c>
      <c r="H3625" s="549" t="s">
        <v>1047</v>
      </c>
      <c r="I3625" s="549" t="s">
        <v>976</v>
      </c>
      <c r="J3625" s="549" t="s">
        <v>976</v>
      </c>
      <c r="K3625" s="549" t="s">
        <v>976</v>
      </c>
      <c r="L3625" s="549">
        <v>1053162.69</v>
      </c>
      <c r="M3625" s="549">
        <v>79513.78</v>
      </c>
      <c r="N3625" s="549">
        <v>60451.54</v>
      </c>
      <c r="O3625" s="549">
        <v>4960</v>
      </c>
      <c r="P3625" s="549">
        <v>1.97</v>
      </c>
      <c r="Q3625" s="549">
        <v>2855.03</v>
      </c>
    </row>
    <row r="3626" spans="1:17" x14ac:dyDescent="0.25">
      <c r="A3626" s="549" t="s">
        <v>1108</v>
      </c>
      <c r="B3626" s="549" t="s">
        <v>1109</v>
      </c>
      <c r="C3626" s="549" t="s">
        <v>1047</v>
      </c>
      <c r="D3626" s="549" t="s">
        <v>494</v>
      </c>
      <c r="E3626" s="549" t="s">
        <v>973</v>
      </c>
      <c r="F3626" s="549" t="s">
        <v>1212</v>
      </c>
      <c r="G3626" s="549">
        <v>342</v>
      </c>
      <c r="H3626" s="549" t="s">
        <v>1047</v>
      </c>
      <c r="I3626" s="549" t="s">
        <v>976</v>
      </c>
      <c r="J3626" s="549" t="s">
        <v>976</v>
      </c>
      <c r="K3626" s="549" t="s">
        <v>976</v>
      </c>
      <c r="L3626" s="549">
        <v>554638.28</v>
      </c>
      <c r="M3626" s="549">
        <v>41875.19</v>
      </c>
      <c r="N3626" s="549">
        <v>31836.240000000002</v>
      </c>
      <c r="O3626" s="549">
        <v>1984</v>
      </c>
      <c r="P3626" s="549">
        <v>11.47</v>
      </c>
      <c r="Q3626" s="549">
        <v>8682.27</v>
      </c>
    </row>
    <row r="3627" spans="1:17" x14ac:dyDescent="0.25">
      <c r="A3627" s="549" t="s">
        <v>1108</v>
      </c>
      <c r="B3627" s="549" t="s">
        <v>1109</v>
      </c>
      <c r="C3627" s="549" t="s">
        <v>1047</v>
      </c>
      <c r="D3627" s="549" t="s">
        <v>494</v>
      </c>
      <c r="E3627" s="549" t="s">
        <v>973</v>
      </c>
      <c r="F3627" s="549" t="s">
        <v>1212</v>
      </c>
      <c r="G3627" s="549">
        <v>1562</v>
      </c>
      <c r="H3627" s="549" t="s">
        <v>1047</v>
      </c>
      <c r="I3627" s="549" t="s">
        <v>976</v>
      </c>
      <c r="J3627" s="549" t="s">
        <v>976</v>
      </c>
      <c r="K3627" s="549" t="s">
        <v>976</v>
      </c>
      <c r="L3627" s="549">
        <v>498126.81</v>
      </c>
      <c r="M3627" s="549">
        <v>37608.57</v>
      </c>
      <c r="N3627" s="549">
        <v>28592.48</v>
      </c>
      <c r="O3627" s="549">
        <v>2976</v>
      </c>
      <c r="P3627" s="549">
        <v>11.47</v>
      </c>
      <c r="Q3627" s="549">
        <v>7934.61</v>
      </c>
    </row>
    <row r="3628" spans="1:17" x14ac:dyDescent="0.25">
      <c r="A3628" s="549" t="s">
        <v>1108</v>
      </c>
      <c r="B3628" s="549" t="s">
        <v>1109</v>
      </c>
      <c r="C3628" s="549" t="s">
        <v>1047</v>
      </c>
      <c r="D3628" s="549" t="s">
        <v>494</v>
      </c>
      <c r="E3628" s="549" t="s">
        <v>973</v>
      </c>
      <c r="F3628" s="549" t="s">
        <v>1212</v>
      </c>
      <c r="G3628" s="549">
        <v>1572</v>
      </c>
      <c r="H3628" s="549" t="s">
        <v>1047</v>
      </c>
      <c r="I3628" s="549" t="s">
        <v>976</v>
      </c>
      <c r="J3628" s="549" t="s">
        <v>976</v>
      </c>
      <c r="K3628" s="549" t="s">
        <v>976</v>
      </c>
      <c r="L3628" s="549">
        <v>498126.81</v>
      </c>
      <c r="M3628" s="549">
        <v>37608.57</v>
      </c>
      <c r="N3628" s="549">
        <v>28592.48</v>
      </c>
      <c r="O3628" s="549">
        <v>2976</v>
      </c>
      <c r="P3628" s="549">
        <v>11.47</v>
      </c>
      <c r="Q3628" s="549">
        <v>7934.61</v>
      </c>
    </row>
    <row r="3629" spans="1:17" x14ac:dyDescent="0.25">
      <c r="A3629" s="549" t="s">
        <v>1108</v>
      </c>
      <c r="B3629" s="549" t="s">
        <v>1109</v>
      </c>
      <c r="C3629" s="549" t="s">
        <v>1047</v>
      </c>
      <c r="D3629" s="549" t="s">
        <v>494</v>
      </c>
      <c r="E3629" s="549" t="s">
        <v>973</v>
      </c>
      <c r="F3629" s="549" t="s">
        <v>1212</v>
      </c>
      <c r="G3629" s="549" t="s">
        <v>1260</v>
      </c>
      <c r="H3629" s="549" t="s">
        <v>1047</v>
      </c>
      <c r="I3629" s="549" t="s">
        <v>976</v>
      </c>
      <c r="J3629" s="549" t="s">
        <v>976</v>
      </c>
      <c r="K3629" s="549" t="s">
        <v>976</v>
      </c>
      <c r="L3629" s="549">
        <v>45358.11</v>
      </c>
      <c r="M3629" s="549">
        <v>3424.54</v>
      </c>
      <c r="N3629" s="549">
        <v>2603.56</v>
      </c>
      <c r="O3629" s="549">
        <v>0</v>
      </c>
      <c r="P3629" s="549">
        <v>11.47</v>
      </c>
      <c r="Q3629" s="549">
        <v>691.42</v>
      </c>
    </row>
    <row r="3630" spans="1:17" x14ac:dyDescent="0.25">
      <c r="A3630" s="549" t="s">
        <v>1108</v>
      </c>
      <c r="B3630" s="549" t="s">
        <v>1109</v>
      </c>
      <c r="C3630" s="549" t="s">
        <v>1047</v>
      </c>
      <c r="D3630" s="549" t="s">
        <v>494</v>
      </c>
      <c r="E3630" s="549" t="s">
        <v>973</v>
      </c>
      <c r="F3630" s="549" t="s">
        <v>1212</v>
      </c>
      <c r="G3630" s="549" t="s">
        <v>1261</v>
      </c>
      <c r="H3630" s="549" t="s">
        <v>1047</v>
      </c>
      <c r="I3630" s="549" t="s">
        <v>976</v>
      </c>
      <c r="J3630" s="549" t="s">
        <v>976</v>
      </c>
      <c r="K3630" s="549" t="s">
        <v>976</v>
      </c>
      <c r="L3630" s="549">
        <v>45358.11</v>
      </c>
      <c r="M3630" s="549">
        <v>3424.54</v>
      </c>
      <c r="N3630" s="549">
        <v>2603.56</v>
      </c>
      <c r="O3630" s="549">
        <v>0</v>
      </c>
      <c r="P3630" s="549">
        <v>11.47</v>
      </c>
      <c r="Q3630" s="549">
        <v>691.42</v>
      </c>
    </row>
    <row r="3631" spans="1:17" x14ac:dyDescent="0.25">
      <c r="A3631" s="549" t="s">
        <v>1108</v>
      </c>
      <c r="B3631" s="549" t="s">
        <v>1109</v>
      </c>
      <c r="C3631" s="549" t="s">
        <v>1047</v>
      </c>
      <c r="D3631" s="549" t="s">
        <v>494</v>
      </c>
      <c r="E3631" s="549" t="s">
        <v>973</v>
      </c>
      <c r="F3631" s="549" t="s">
        <v>1212</v>
      </c>
      <c r="G3631" s="549" t="s">
        <v>1250</v>
      </c>
      <c r="H3631" s="549" t="s">
        <v>1047</v>
      </c>
      <c r="I3631" s="549" t="s">
        <v>976</v>
      </c>
      <c r="J3631" s="549" t="s">
        <v>976</v>
      </c>
      <c r="K3631" s="549" t="s">
        <v>976</v>
      </c>
      <c r="L3631" s="549">
        <v>39881.519999999997</v>
      </c>
      <c r="M3631" s="549">
        <v>3011.05</v>
      </c>
      <c r="N3631" s="549">
        <v>2289.1999999999998</v>
      </c>
      <c r="O3631" s="549">
        <v>0</v>
      </c>
      <c r="P3631" s="549">
        <v>11.47</v>
      </c>
      <c r="Q3631" s="549">
        <v>607.94000000000005</v>
      </c>
    </row>
    <row r="3632" spans="1:17" x14ac:dyDescent="0.25">
      <c r="A3632" s="549" t="s">
        <v>1108</v>
      </c>
      <c r="B3632" s="549" t="s">
        <v>1109</v>
      </c>
      <c r="C3632" s="549" t="s">
        <v>1047</v>
      </c>
      <c r="D3632" s="549" t="s">
        <v>494</v>
      </c>
      <c r="E3632" s="549" t="s">
        <v>973</v>
      </c>
      <c r="F3632" s="549" t="s">
        <v>1212</v>
      </c>
      <c r="G3632" s="549" t="s">
        <v>1215</v>
      </c>
      <c r="H3632" s="549" t="s">
        <v>1047</v>
      </c>
      <c r="I3632" s="549" t="s">
        <v>976</v>
      </c>
      <c r="J3632" s="549" t="s">
        <v>976</v>
      </c>
      <c r="K3632" s="549" t="s">
        <v>976</v>
      </c>
      <c r="L3632" s="549">
        <v>39881.519999999997</v>
      </c>
      <c r="M3632" s="549">
        <v>3011.05</v>
      </c>
      <c r="N3632" s="549">
        <v>2289.1999999999998</v>
      </c>
      <c r="O3632" s="549">
        <v>0</v>
      </c>
      <c r="P3632" s="549">
        <v>11.47</v>
      </c>
      <c r="Q3632" s="549">
        <v>607.94000000000005</v>
      </c>
    </row>
    <row r="3633" spans="1:17" x14ac:dyDescent="0.25">
      <c r="A3633" s="549" t="s">
        <v>1108</v>
      </c>
      <c r="B3633" s="549" t="s">
        <v>1109</v>
      </c>
      <c r="C3633" s="549" t="s">
        <v>1047</v>
      </c>
      <c r="D3633" s="549" t="s">
        <v>494</v>
      </c>
      <c r="E3633" s="549" t="s">
        <v>977</v>
      </c>
      <c r="F3633" s="549" t="s">
        <v>1212</v>
      </c>
      <c r="G3633" s="549">
        <v>222</v>
      </c>
      <c r="H3633" s="549" t="s">
        <v>1047</v>
      </c>
      <c r="I3633" s="549" t="s">
        <v>976</v>
      </c>
      <c r="J3633" s="549" t="s">
        <v>976</v>
      </c>
      <c r="K3633" s="549" t="s">
        <v>976</v>
      </c>
      <c r="L3633" s="549">
        <v>554638.28</v>
      </c>
      <c r="M3633" s="549">
        <v>41875.19</v>
      </c>
      <c r="N3633" s="549">
        <v>12257.51</v>
      </c>
      <c r="O3633" s="549">
        <v>1984</v>
      </c>
      <c r="P3633" s="549">
        <v>88.53</v>
      </c>
      <c r="Q3633" s="549">
        <v>49680.11</v>
      </c>
    </row>
    <row r="3634" spans="1:17" x14ac:dyDescent="0.25">
      <c r="A3634" s="549" t="s">
        <v>1108</v>
      </c>
      <c r="B3634" s="549" t="s">
        <v>1109</v>
      </c>
      <c r="C3634" s="549" t="s">
        <v>1047</v>
      </c>
      <c r="D3634" s="549" t="s">
        <v>494</v>
      </c>
      <c r="E3634" s="549" t="s">
        <v>977</v>
      </c>
      <c r="F3634" s="549" t="s">
        <v>1212</v>
      </c>
      <c r="G3634" s="549">
        <v>288</v>
      </c>
      <c r="H3634" s="549" t="s">
        <v>1047</v>
      </c>
      <c r="I3634" s="549" t="s">
        <v>976</v>
      </c>
      <c r="J3634" s="549" t="s">
        <v>976</v>
      </c>
      <c r="K3634" s="549" t="s">
        <v>976</v>
      </c>
      <c r="L3634" s="549">
        <v>146406.91</v>
      </c>
      <c r="M3634" s="549">
        <v>11053.72</v>
      </c>
      <c r="N3634" s="549">
        <v>3235.59</v>
      </c>
      <c r="O3634" s="549">
        <v>2976</v>
      </c>
      <c r="P3634" s="549">
        <v>15.23</v>
      </c>
      <c r="Q3634" s="549">
        <v>2629.51</v>
      </c>
    </row>
    <row r="3635" spans="1:17" x14ac:dyDescent="0.25">
      <c r="A3635" s="549" t="s">
        <v>1108</v>
      </c>
      <c r="B3635" s="549" t="s">
        <v>1109</v>
      </c>
      <c r="C3635" s="549" t="s">
        <v>1047</v>
      </c>
      <c r="D3635" s="549" t="s">
        <v>494</v>
      </c>
      <c r="E3635" s="549" t="s">
        <v>977</v>
      </c>
      <c r="F3635" s="549" t="s">
        <v>1212</v>
      </c>
      <c r="G3635" s="549">
        <v>312</v>
      </c>
      <c r="H3635" s="549" t="s">
        <v>1047</v>
      </c>
      <c r="I3635" s="549" t="s">
        <v>976</v>
      </c>
      <c r="J3635" s="549" t="s">
        <v>976</v>
      </c>
      <c r="K3635" s="549" t="s">
        <v>976</v>
      </c>
      <c r="L3635" s="549">
        <v>1053162.69</v>
      </c>
      <c r="M3635" s="549">
        <v>79513.78</v>
      </c>
      <c r="N3635" s="549">
        <v>23274.9</v>
      </c>
      <c r="O3635" s="549">
        <v>4960</v>
      </c>
      <c r="P3635" s="549">
        <v>15.23</v>
      </c>
      <c r="Q3635" s="549">
        <v>16410.12</v>
      </c>
    </row>
    <row r="3636" spans="1:17" x14ac:dyDescent="0.25">
      <c r="A3636" s="549" t="s">
        <v>1108</v>
      </c>
      <c r="B3636" s="549" t="s">
        <v>1109</v>
      </c>
      <c r="C3636" s="549" t="s">
        <v>1047</v>
      </c>
      <c r="D3636" s="549" t="s">
        <v>494</v>
      </c>
      <c r="E3636" s="549" t="s">
        <v>977</v>
      </c>
      <c r="F3636" s="549" t="s">
        <v>1212</v>
      </c>
      <c r="G3636" s="549">
        <v>332</v>
      </c>
      <c r="H3636" s="549" t="s">
        <v>1047</v>
      </c>
      <c r="I3636" s="549" t="s">
        <v>976</v>
      </c>
      <c r="J3636" s="549" t="s">
        <v>976</v>
      </c>
      <c r="K3636" s="549" t="s">
        <v>976</v>
      </c>
      <c r="L3636" s="549">
        <v>1053162.69</v>
      </c>
      <c r="M3636" s="549">
        <v>79513.78</v>
      </c>
      <c r="N3636" s="549">
        <v>23274.9</v>
      </c>
      <c r="O3636" s="549">
        <v>4960</v>
      </c>
      <c r="P3636" s="549">
        <v>15.23</v>
      </c>
      <c r="Q3636" s="549">
        <v>16410.12</v>
      </c>
    </row>
    <row r="3637" spans="1:17" x14ac:dyDescent="0.25">
      <c r="A3637" s="549" t="s">
        <v>1108</v>
      </c>
      <c r="B3637" s="549" t="s">
        <v>1109</v>
      </c>
      <c r="C3637" s="549" t="s">
        <v>1047</v>
      </c>
      <c r="D3637" s="549" t="s">
        <v>494</v>
      </c>
      <c r="E3637" s="549" t="s">
        <v>977</v>
      </c>
      <c r="F3637" s="549" t="s">
        <v>1212</v>
      </c>
      <c r="G3637" s="549">
        <v>342</v>
      </c>
      <c r="H3637" s="549" t="s">
        <v>1047</v>
      </c>
      <c r="I3637" s="549" t="s">
        <v>976</v>
      </c>
      <c r="J3637" s="549" t="s">
        <v>976</v>
      </c>
      <c r="K3637" s="549" t="s">
        <v>976</v>
      </c>
      <c r="L3637" s="549">
        <v>554638.28</v>
      </c>
      <c r="M3637" s="549">
        <v>41875.19</v>
      </c>
      <c r="N3637" s="549">
        <v>12257.51</v>
      </c>
      <c r="O3637" s="549">
        <v>1984</v>
      </c>
      <c r="P3637" s="549">
        <v>88.53</v>
      </c>
      <c r="Q3637" s="549">
        <v>49680.11</v>
      </c>
    </row>
    <row r="3638" spans="1:17" x14ac:dyDescent="0.25">
      <c r="A3638" s="549" t="s">
        <v>1108</v>
      </c>
      <c r="B3638" s="549" t="s">
        <v>1109</v>
      </c>
      <c r="C3638" s="549" t="s">
        <v>1047</v>
      </c>
      <c r="D3638" s="549" t="s">
        <v>494</v>
      </c>
      <c r="E3638" s="549" t="s">
        <v>977</v>
      </c>
      <c r="F3638" s="549" t="s">
        <v>1212</v>
      </c>
      <c r="G3638" s="549">
        <v>1562</v>
      </c>
      <c r="H3638" s="549" t="s">
        <v>1047</v>
      </c>
      <c r="I3638" s="549" t="s">
        <v>976</v>
      </c>
      <c r="J3638" s="549" t="s">
        <v>976</v>
      </c>
      <c r="K3638" s="549" t="s">
        <v>976</v>
      </c>
      <c r="L3638" s="549">
        <v>498126.81</v>
      </c>
      <c r="M3638" s="549">
        <v>37608.57</v>
      </c>
      <c r="N3638" s="549">
        <v>11008.6</v>
      </c>
      <c r="O3638" s="549">
        <v>2976</v>
      </c>
      <c r="P3638" s="549">
        <v>88.53</v>
      </c>
      <c r="Q3638" s="549">
        <v>45675.43</v>
      </c>
    </row>
    <row r="3639" spans="1:17" x14ac:dyDescent="0.25">
      <c r="A3639" s="549" t="s">
        <v>1108</v>
      </c>
      <c r="B3639" s="549" t="s">
        <v>1109</v>
      </c>
      <c r="C3639" s="549" t="s">
        <v>1047</v>
      </c>
      <c r="D3639" s="549" t="s">
        <v>494</v>
      </c>
      <c r="E3639" s="549" t="s">
        <v>977</v>
      </c>
      <c r="F3639" s="549" t="s">
        <v>1212</v>
      </c>
      <c r="G3639" s="549">
        <v>1572</v>
      </c>
      <c r="H3639" s="549" t="s">
        <v>1047</v>
      </c>
      <c r="I3639" s="549" t="s">
        <v>976</v>
      </c>
      <c r="J3639" s="549" t="s">
        <v>976</v>
      </c>
      <c r="K3639" s="549" t="s">
        <v>976</v>
      </c>
      <c r="L3639" s="549">
        <v>498126.81</v>
      </c>
      <c r="M3639" s="549">
        <v>37608.57</v>
      </c>
      <c r="N3639" s="549">
        <v>11008.6</v>
      </c>
      <c r="O3639" s="549">
        <v>2976</v>
      </c>
      <c r="P3639" s="549">
        <v>88.53</v>
      </c>
      <c r="Q3639" s="549">
        <v>45675.43</v>
      </c>
    </row>
    <row r="3640" spans="1:17" x14ac:dyDescent="0.25">
      <c r="A3640" s="549" t="s">
        <v>1108</v>
      </c>
      <c r="B3640" s="549" t="s">
        <v>1109</v>
      </c>
      <c r="C3640" s="549" t="s">
        <v>1047</v>
      </c>
      <c r="D3640" s="549" t="s">
        <v>494</v>
      </c>
      <c r="E3640" s="549" t="s">
        <v>977</v>
      </c>
      <c r="F3640" s="549" t="s">
        <v>1212</v>
      </c>
      <c r="G3640" s="549" t="s">
        <v>1260</v>
      </c>
      <c r="H3640" s="549" t="s">
        <v>1047</v>
      </c>
      <c r="I3640" s="549" t="s">
        <v>976</v>
      </c>
      <c r="J3640" s="549" t="s">
        <v>976</v>
      </c>
      <c r="K3640" s="549" t="s">
        <v>976</v>
      </c>
      <c r="L3640" s="549">
        <v>45358.11</v>
      </c>
      <c r="M3640" s="549">
        <v>3424.54</v>
      </c>
      <c r="N3640" s="549">
        <v>1002.41</v>
      </c>
      <c r="O3640" s="549">
        <v>0</v>
      </c>
      <c r="P3640" s="549">
        <v>88.53</v>
      </c>
      <c r="Q3640" s="549">
        <v>3919.18</v>
      </c>
    </row>
    <row r="3641" spans="1:17" x14ac:dyDescent="0.25">
      <c r="A3641" s="549" t="s">
        <v>1108</v>
      </c>
      <c r="B3641" s="549" t="s">
        <v>1109</v>
      </c>
      <c r="C3641" s="549" t="s">
        <v>1047</v>
      </c>
      <c r="D3641" s="549" t="s">
        <v>494</v>
      </c>
      <c r="E3641" s="549" t="s">
        <v>977</v>
      </c>
      <c r="F3641" s="549" t="s">
        <v>1212</v>
      </c>
      <c r="G3641" s="549" t="s">
        <v>1261</v>
      </c>
      <c r="H3641" s="549" t="s">
        <v>1047</v>
      </c>
      <c r="I3641" s="549" t="s">
        <v>976</v>
      </c>
      <c r="J3641" s="549" t="s">
        <v>976</v>
      </c>
      <c r="K3641" s="549" t="s">
        <v>976</v>
      </c>
      <c r="L3641" s="549">
        <v>45358.11</v>
      </c>
      <c r="M3641" s="549">
        <v>3424.54</v>
      </c>
      <c r="N3641" s="549">
        <v>1002.41</v>
      </c>
      <c r="O3641" s="549">
        <v>0</v>
      </c>
      <c r="P3641" s="549">
        <v>88.53</v>
      </c>
      <c r="Q3641" s="549">
        <v>3919.18</v>
      </c>
    </row>
    <row r="3642" spans="1:17" x14ac:dyDescent="0.25">
      <c r="A3642" s="549" t="s">
        <v>1108</v>
      </c>
      <c r="B3642" s="549" t="s">
        <v>1109</v>
      </c>
      <c r="C3642" s="549" t="s">
        <v>1047</v>
      </c>
      <c r="D3642" s="549" t="s">
        <v>494</v>
      </c>
      <c r="E3642" s="549" t="s">
        <v>977</v>
      </c>
      <c r="F3642" s="549" t="s">
        <v>1212</v>
      </c>
      <c r="G3642" s="549" t="s">
        <v>1250</v>
      </c>
      <c r="H3642" s="549" t="s">
        <v>1047</v>
      </c>
      <c r="I3642" s="549" t="s">
        <v>976</v>
      </c>
      <c r="J3642" s="549" t="s">
        <v>976</v>
      </c>
      <c r="K3642" s="549" t="s">
        <v>976</v>
      </c>
      <c r="L3642" s="549">
        <v>39881.519999999997</v>
      </c>
      <c r="M3642" s="549">
        <v>3011.05</v>
      </c>
      <c r="N3642" s="549">
        <v>881.38</v>
      </c>
      <c r="O3642" s="549">
        <v>0</v>
      </c>
      <c r="P3642" s="549">
        <v>88.53</v>
      </c>
      <c r="Q3642" s="549">
        <v>3445.97</v>
      </c>
    </row>
    <row r="3643" spans="1:17" x14ac:dyDescent="0.25">
      <c r="A3643" s="549" t="s">
        <v>1108</v>
      </c>
      <c r="B3643" s="549" t="s">
        <v>1109</v>
      </c>
      <c r="C3643" s="549" t="s">
        <v>1047</v>
      </c>
      <c r="D3643" s="549" t="s">
        <v>494</v>
      </c>
      <c r="E3643" s="549" t="s">
        <v>977</v>
      </c>
      <c r="F3643" s="549" t="s">
        <v>1212</v>
      </c>
      <c r="G3643" s="549" t="s">
        <v>1215</v>
      </c>
      <c r="H3643" s="549" t="s">
        <v>1047</v>
      </c>
      <c r="I3643" s="549" t="s">
        <v>976</v>
      </c>
      <c r="J3643" s="549" t="s">
        <v>976</v>
      </c>
      <c r="K3643" s="549" t="s">
        <v>976</v>
      </c>
      <c r="L3643" s="549">
        <v>39881.519999999997</v>
      </c>
      <c r="M3643" s="549">
        <v>3011.05</v>
      </c>
      <c r="N3643" s="549">
        <v>881.38</v>
      </c>
      <c r="O3643" s="549">
        <v>0</v>
      </c>
      <c r="P3643" s="549">
        <v>88.53</v>
      </c>
      <c r="Q3643" s="549">
        <v>3445.97</v>
      </c>
    </row>
    <row r="3644" spans="1:17" x14ac:dyDescent="0.25">
      <c r="A3644" s="549" t="s">
        <v>1108</v>
      </c>
      <c r="B3644" s="549" t="s">
        <v>1109</v>
      </c>
      <c r="C3644" s="549" t="s">
        <v>1206</v>
      </c>
      <c r="D3644" s="549" t="s">
        <v>1207</v>
      </c>
      <c r="E3644" s="549" t="s">
        <v>973</v>
      </c>
      <c r="F3644" s="549" t="s">
        <v>1212</v>
      </c>
      <c r="G3644" s="549">
        <v>412</v>
      </c>
      <c r="H3644" s="549" t="s">
        <v>1206</v>
      </c>
      <c r="I3644" s="549" t="s">
        <v>976</v>
      </c>
      <c r="J3644" s="549" t="s">
        <v>976</v>
      </c>
      <c r="K3644" s="549" t="s">
        <v>976</v>
      </c>
      <c r="L3644" s="549">
        <v>549200.65</v>
      </c>
      <c r="M3644" s="549">
        <v>41464.65</v>
      </c>
      <c r="N3644" s="549">
        <v>31524.12</v>
      </c>
      <c r="O3644" s="549">
        <v>1984</v>
      </c>
      <c r="P3644" s="549">
        <v>14.17</v>
      </c>
      <c r="Q3644" s="549">
        <v>10623.64</v>
      </c>
    </row>
    <row r="3645" spans="1:17" x14ac:dyDescent="0.25">
      <c r="A3645" s="549" t="s">
        <v>1108</v>
      </c>
      <c r="B3645" s="549" t="s">
        <v>1109</v>
      </c>
      <c r="C3645" s="549" t="s">
        <v>1206</v>
      </c>
      <c r="D3645" s="549" t="s">
        <v>1207</v>
      </c>
      <c r="E3645" s="549" t="s">
        <v>973</v>
      </c>
      <c r="F3645" s="549" t="s">
        <v>1212</v>
      </c>
      <c r="G3645" s="549">
        <v>492</v>
      </c>
      <c r="H3645" s="549" t="s">
        <v>1206</v>
      </c>
      <c r="I3645" s="549" t="s">
        <v>976</v>
      </c>
      <c r="J3645" s="549" t="s">
        <v>976</v>
      </c>
      <c r="K3645" s="549" t="s">
        <v>976</v>
      </c>
      <c r="L3645" s="549">
        <v>549200.65</v>
      </c>
      <c r="M3645" s="549">
        <v>41464.65</v>
      </c>
      <c r="N3645" s="549">
        <v>31524.12</v>
      </c>
      <c r="O3645" s="549">
        <v>1984</v>
      </c>
      <c r="P3645" s="549">
        <v>14.17</v>
      </c>
      <c r="Q3645" s="549">
        <v>10623.64</v>
      </c>
    </row>
    <row r="3646" spans="1:17" x14ac:dyDescent="0.25">
      <c r="A3646" s="549" t="s">
        <v>1108</v>
      </c>
      <c r="B3646" s="549" t="s">
        <v>1109</v>
      </c>
      <c r="C3646" s="549" t="s">
        <v>1206</v>
      </c>
      <c r="D3646" s="549" t="s">
        <v>1207</v>
      </c>
      <c r="E3646" s="549" t="s">
        <v>973</v>
      </c>
      <c r="F3646" s="549" t="s">
        <v>1212</v>
      </c>
      <c r="G3646" s="549">
        <v>1542</v>
      </c>
      <c r="H3646" s="549" t="s">
        <v>1206</v>
      </c>
      <c r="I3646" s="549" t="s">
        <v>976</v>
      </c>
      <c r="J3646" s="549" t="s">
        <v>976</v>
      </c>
      <c r="K3646" s="549" t="s">
        <v>976</v>
      </c>
      <c r="L3646" s="549">
        <v>493243.22</v>
      </c>
      <c r="M3646" s="549">
        <v>37239.86</v>
      </c>
      <c r="N3646" s="549">
        <v>28312.16</v>
      </c>
      <c r="O3646" s="549">
        <v>2976</v>
      </c>
      <c r="P3646" s="549">
        <v>14.17</v>
      </c>
      <c r="Q3646" s="549">
        <v>9710.42</v>
      </c>
    </row>
    <row r="3647" spans="1:17" x14ac:dyDescent="0.25">
      <c r="A3647" s="549" t="s">
        <v>1108</v>
      </c>
      <c r="B3647" s="549" t="s">
        <v>1109</v>
      </c>
      <c r="C3647" s="549" t="s">
        <v>1206</v>
      </c>
      <c r="D3647" s="549" t="s">
        <v>1207</v>
      </c>
      <c r="E3647" s="549" t="s">
        <v>973</v>
      </c>
      <c r="F3647" s="549" t="s">
        <v>1212</v>
      </c>
      <c r="G3647" s="549">
        <v>1552</v>
      </c>
      <c r="H3647" s="549" t="s">
        <v>1206</v>
      </c>
      <c r="I3647" s="549" t="s">
        <v>976</v>
      </c>
      <c r="J3647" s="549" t="s">
        <v>976</v>
      </c>
      <c r="K3647" s="549" t="s">
        <v>976</v>
      </c>
      <c r="L3647" s="549">
        <v>493243.22</v>
      </c>
      <c r="M3647" s="549">
        <v>37239.86</v>
      </c>
      <c r="N3647" s="549">
        <v>28312.16</v>
      </c>
      <c r="O3647" s="549">
        <v>2976</v>
      </c>
      <c r="P3647" s="549">
        <v>14.17</v>
      </c>
      <c r="Q3647" s="549">
        <v>9710.42</v>
      </c>
    </row>
    <row r="3648" spans="1:17" x14ac:dyDescent="0.25">
      <c r="A3648" s="549" t="s">
        <v>1108</v>
      </c>
      <c r="B3648" s="549" t="s">
        <v>1109</v>
      </c>
      <c r="C3648" s="549" t="s">
        <v>1206</v>
      </c>
      <c r="D3648" s="549" t="s">
        <v>1207</v>
      </c>
      <c r="E3648" s="549" t="s">
        <v>973</v>
      </c>
      <c r="F3648" s="549" t="s">
        <v>1212</v>
      </c>
      <c r="G3648" s="549" t="s">
        <v>1492</v>
      </c>
      <c r="H3648" s="549" t="s">
        <v>1206</v>
      </c>
      <c r="I3648" s="549" t="s">
        <v>976</v>
      </c>
      <c r="J3648" s="549" t="s">
        <v>976</v>
      </c>
      <c r="K3648" s="549" t="s">
        <v>976</v>
      </c>
      <c r="L3648" s="549">
        <v>44913.42</v>
      </c>
      <c r="M3648" s="549">
        <v>3390.96</v>
      </c>
      <c r="N3648" s="549">
        <v>2578.0300000000002</v>
      </c>
      <c r="O3648" s="549">
        <v>0</v>
      </c>
      <c r="P3648" s="549">
        <v>14.17</v>
      </c>
      <c r="Q3648" s="549">
        <v>845.81</v>
      </c>
    </row>
    <row r="3649" spans="1:17" x14ac:dyDescent="0.25">
      <c r="A3649" s="549" t="s">
        <v>1108</v>
      </c>
      <c r="B3649" s="549" t="s">
        <v>1109</v>
      </c>
      <c r="C3649" s="549" t="s">
        <v>1206</v>
      </c>
      <c r="D3649" s="549" t="s">
        <v>1207</v>
      </c>
      <c r="E3649" s="549" t="s">
        <v>973</v>
      </c>
      <c r="F3649" s="549" t="s">
        <v>1212</v>
      </c>
      <c r="G3649" s="549" t="s">
        <v>1493</v>
      </c>
      <c r="H3649" s="549" t="s">
        <v>1206</v>
      </c>
      <c r="I3649" s="549" t="s">
        <v>976</v>
      </c>
      <c r="J3649" s="549" t="s">
        <v>976</v>
      </c>
      <c r="K3649" s="549" t="s">
        <v>976</v>
      </c>
      <c r="L3649" s="549">
        <v>44913.42</v>
      </c>
      <c r="M3649" s="549">
        <v>3390.96</v>
      </c>
      <c r="N3649" s="549">
        <v>2578.0300000000002</v>
      </c>
      <c r="O3649" s="549">
        <v>0</v>
      </c>
      <c r="P3649" s="549">
        <v>14.17</v>
      </c>
      <c r="Q3649" s="549">
        <v>845.81</v>
      </c>
    </row>
    <row r="3650" spans="1:17" x14ac:dyDescent="0.25">
      <c r="A3650" s="549" t="s">
        <v>1108</v>
      </c>
      <c r="B3650" s="549" t="s">
        <v>1109</v>
      </c>
      <c r="C3650" s="549" t="s">
        <v>1206</v>
      </c>
      <c r="D3650" s="549" t="s">
        <v>1207</v>
      </c>
      <c r="E3650" s="549" t="s">
        <v>973</v>
      </c>
      <c r="F3650" s="549" t="s">
        <v>1212</v>
      </c>
      <c r="G3650" s="549" t="s">
        <v>1494</v>
      </c>
      <c r="H3650" s="549" t="s">
        <v>1206</v>
      </c>
      <c r="I3650" s="549" t="s">
        <v>976</v>
      </c>
      <c r="J3650" s="549" t="s">
        <v>976</v>
      </c>
      <c r="K3650" s="549" t="s">
        <v>976</v>
      </c>
      <c r="L3650" s="549">
        <v>0.02</v>
      </c>
      <c r="M3650" s="549">
        <v>0</v>
      </c>
      <c r="N3650" s="549">
        <v>0</v>
      </c>
      <c r="O3650" s="549">
        <v>0</v>
      </c>
      <c r="P3650" s="549">
        <v>14.17</v>
      </c>
      <c r="Q3650" s="549">
        <v>0</v>
      </c>
    </row>
    <row r="3651" spans="1:17" x14ac:dyDescent="0.25">
      <c r="A3651" s="549" t="s">
        <v>1108</v>
      </c>
      <c r="B3651" s="549" t="s">
        <v>1109</v>
      </c>
      <c r="C3651" s="549" t="s">
        <v>1206</v>
      </c>
      <c r="D3651" s="549" t="s">
        <v>1207</v>
      </c>
      <c r="E3651" s="549" t="s">
        <v>973</v>
      </c>
      <c r="F3651" s="549" t="s">
        <v>1212</v>
      </c>
      <c r="G3651" s="549" t="s">
        <v>1298</v>
      </c>
      <c r="H3651" s="549" t="s">
        <v>1206</v>
      </c>
      <c r="I3651" s="549" t="s">
        <v>976</v>
      </c>
      <c r="J3651" s="549" t="s">
        <v>976</v>
      </c>
      <c r="K3651" s="549" t="s">
        <v>976</v>
      </c>
      <c r="L3651" s="549">
        <v>0.02</v>
      </c>
      <c r="M3651" s="549">
        <v>0</v>
      </c>
      <c r="N3651" s="549">
        <v>0</v>
      </c>
      <c r="O3651" s="549">
        <v>0</v>
      </c>
      <c r="P3651" s="549">
        <v>14.17</v>
      </c>
      <c r="Q3651" s="549">
        <v>0</v>
      </c>
    </row>
    <row r="3652" spans="1:17" x14ac:dyDescent="0.25">
      <c r="A3652" s="549" t="s">
        <v>1108</v>
      </c>
      <c r="B3652" s="549" t="s">
        <v>1109</v>
      </c>
      <c r="C3652" s="549" t="s">
        <v>1206</v>
      </c>
      <c r="D3652" s="549" t="s">
        <v>1207</v>
      </c>
      <c r="E3652" s="549" t="s">
        <v>977</v>
      </c>
      <c r="F3652" s="549" t="s">
        <v>1212</v>
      </c>
      <c r="G3652" s="549">
        <v>412</v>
      </c>
      <c r="H3652" s="549" t="s">
        <v>1206</v>
      </c>
      <c r="I3652" s="549" t="s">
        <v>976</v>
      </c>
      <c r="J3652" s="549" t="s">
        <v>976</v>
      </c>
      <c r="K3652" s="549" t="s">
        <v>976</v>
      </c>
      <c r="L3652" s="549">
        <v>549200.65</v>
      </c>
      <c r="M3652" s="549">
        <v>41464.65</v>
      </c>
      <c r="N3652" s="549">
        <v>12137.33</v>
      </c>
      <c r="O3652" s="549">
        <v>1984</v>
      </c>
      <c r="P3652" s="549">
        <v>85.83</v>
      </c>
      <c r="Q3652" s="549">
        <v>47709.45</v>
      </c>
    </row>
    <row r="3653" spans="1:17" x14ac:dyDescent="0.25">
      <c r="A3653" s="549" t="s">
        <v>1108</v>
      </c>
      <c r="B3653" s="549" t="s">
        <v>1109</v>
      </c>
      <c r="C3653" s="549" t="s">
        <v>1206</v>
      </c>
      <c r="D3653" s="549" t="s">
        <v>1207</v>
      </c>
      <c r="E3653" s="549" t="s">
        <v>977</v>
      </c>
      <c r="F3653" s="549" t="s">
        <v>1212</v>
      </c>
      <c r="G3653" s="549">
        <v>492</v>
      </c>
      <c r="H3653" s="549" t="s">
        <v>1206</v>
      </c>
      <c r="I3653" s="549" t="s">
        <v>976</v>
      </c>
      <c r="J3653" s="549" t="s">
        <v>976</v>
      </c>
      <c r="K3653" s="549" t="s">
        <v>976</v>
      </c>
      <c r="L3653" s="549">
        <v>549200.65</v>
      </c>
      <c r="M3653" s="549">
        <v>41464.65</v>
      </c>
      <c r="N3653" s="549">
        <v>12137.33</v>
      </c>
      <c r="O3653" s="549">
        <v>1984</v>
      </c>
      <c r="P3653" s="549">
        <v>85.83</v>
      </c>
      <c r="Q3653" s="549">
        <v>47709.45</v>
      </c>
    </row>
    <row r="3654" spans="1:17" x14ac:dyDescent="0.25">
      <c r="A3654" s="549" t="s">
        <v>1108</v>
      </c>
      <c r="B3654" s="549" t="s">
        <v>1109</v>
      </c>
      <c r="C3654" s="549" t="s">
        <v>1206</v>
      </c>
      <c r="D3654" s="549" t="s">
        <v>1207</v>
      </c>
      <c r="E3654" s="549" t="s">
        <v>977</v>
      </c>
      <c r="F3654" s="549" t="s">
        <v>1212</v>
      </c>
      <c r="G3654" s="549">
        <v>1542</v>
      </c>
      <c r="H3654" s="549" t="s">
        <v>1206</v>
      </c>
      <c r="I3654" s="549" t="s">
        <v>976</v>
      </c>
      <c r="J3654" s="549" t="s">
        <v>976</v>
      </c>
      <c r="K3654" s="549" t="s">
        <v>976</v>
      </c>
      <c r="L3654" s="549">
        <v>493243.22</v>
      </c>
      <c r="M3654" s="549">
        <v>37239.86</v>
      </c>
      <c r="N3654" s="549">
        <v>10900.68</v>
      </c>
      <c r="O3654" s="549">
        <v>2976</v>
      </c>
      <c r="P3654" s="549">
        <v>85.83</v>
      </c>
      <c r="Q3654" s="549">
        <v>43873.33</v>
      </c>
    </row>
    <row r="3655" spans="1:17" x14ac:dyDescent="0.25">
      <c r="A3655" s="549" t="s">
        <v>1108</v>
      </c>
      <c r="B3655" s="549" t="s">
        <v>1109</v>
      </c>
      <c r="C3655" s="549" t="s">
        <v>1206</v>
      </c>
      <c r="D3655" s="549" t="s">
        <v>1207</v>
      </c>
      <c r="E3655" s="549" t="s">
        <v>977</v>
      </c>
      <c r="F3655" s="549" t="s">
        <v>1212</v>
      </c>
      <c r="G3655" s="549">
        <v>1552</v>
      </c>
      <c r="H3655" s="549" t="s">
        <v>1206</v>
      </c>
      <c r="I3655" s="549" t="s">
        <v>976</v>
      </c>
      <c r="J3655" s="549" t="s">
        <v>976</v>
      </c>
      <c r="K3655" s="549" t="s">
        <v>976</v>
      </c>
      <c r="L3655" s="549">
        <v>493243.22</v>
      </c>
      <c r="M3655" s="549">
        <v>37239.86</v>
      </c>
      <c r="N3655" s="549">
        <v>10900.68</v>
      </c>
      <c r="O3655" s="549">
        <v>2976</v>
      </c>
      <c r="P3655" s="549">
        <v>85.83</v>
      </c>
      <c r="Q3655" s="549">
        <v>43873.33</v>
      </c>
    </row>
    <row r="3656" spans="1:17" x14ac:dyDescent="0.25">
      <c r="A3656" s="549" t="s">
        <v>1108</v>
      </c>
      <c r="B3656" s="549" t="s">
        <v>1109</v>
      </c>
      <c r="C3656" s="549" t="s">
        <v>1206</v>
      </c>
      <c r="D3656" s="549" t="s">
        <v>1207</v>
      </c>
      <c r="E3656" s="549" t="s">
        <v>977</v>
      </c>
      <c r="F3656" s="549" t="s">
        <v>1212</v>
      </c>
      <c r="G3656" s="549" t="s">
        <v>1492</v>
      </c>
      <c r="H3656" s="549" t="s">
        <v>1206</v>
      </c>
      <c r="I3656" s="549" t="s">
        <v>976</v>
      </c>
      <c r="J3656" s="549" t="s">
        <v>976</v>
      </c>
      <c r="K3656" s="549" t="s">
        <v>976</v>
      </c>
      <c r="L3656" s="549">
        <v>44913.42</v>
      </c>
      <c r="M3656" s="549">
        <v>3390.96</v>
      </c>
      <c r="N3656" s="549">
        <v>992.59</v>
      </c>
      <c r="O3656" s="549">
        <v>0</v>
      </c>
      <c r="P3656" s="549">
        <v>85.83</v>
      </c>
      <c r="Q3656" s="549">
        <v>3762.4</v>
      </c>
    </row>
    <row r="3657" spans="1:17" x14ac:dyDescent="0.25">
      <c r="A3657" s="549" t="s">
        <v>1108</v>
      </c>
      <c r="B3657" s="549" t="s">
        <v>1109</v>
      </c>
      <c r="C3657" s="549" t="s">
        <v>1206</v>
      </c>
      <c r="D3657" s="549" t="s">
        <v>1207</v>
      </c>
      <c r="E3657" s="549" t="s">
        <v>977</v>
      </c>
      <c r="F3657" s="549" t="s">
        <v>1212</v>
      </c>
      <c r="G3657" s="549" t="s">
        <v>1493</v>
      </c>
      <c r="H3657" s="549" t="s">
        <v>1206</v>
      </c>
      <c r="I3657" s="549" t="s">
        <v>976</v>
      </c>
      <c r="J3657" s="549" t="s">
        <v>976</v>
      </c>
      <c r="K3657" s="549" t="s">
        <v>976</v>
      </c>
      <c r="L3657" s="549">
        <v>44913.42</v>
      </c>
      <c r="M3657" s="549">
        <v>3390.96</v>
      </c>
      <c r="N3657" s="549">
        <v>992.59</v>
      </c>
      <c r="O3657" s="549">
        <v>0</v>
      </c>
      <c r="P3657" s="549">
        <v>85.83</v>
      </c>
      <c r="Q3657" s="549">
        <v>3762.4</v>
      </c>
    </row>
    <row r="3658" spans="1:17" x14ac:dyDescent="0.25">
      <c r="A3658" s="549" t="s">
        <v>1108</v>
      </c>
      <c r="B3658" s="549" t="s">
        <v>1109</v>
      </c>
      <c r="C3658" s="549" t="s">
        <v>1206</v>
      </c>
      <c r="D3658" s="549" t="s">
        <v>1207</v>
      </c>
      <c r="E3658" s="549" t="s">
        <v>977</v>
      </c>
      <c r="F3658" s="549" t="s">
        <v>1212</v>
      </c>
      <c r="G3658" s="549" t="s">
        <v>1494</v>
      </c>
      <c r="H3658" s="549" t="s">
        <v>1206</v>
      </c>
      <c r="I3658" s="549" t="s">
        <v>976</v>
      </c>
      <c r="J3658" s="549" t="s">
        <v>976</v>
      </c>
      <c r="K3658" s="549" t="s">
        <v>976</v>
      </c>
      <c r="L3658" s="549">
        <v>0.02</v>
      </c>
      <c r="M3658" s="549">
        <v>0</v>
      </c>
      <c r="N3658" s="549">
        <v>0</v>
      </c>
      <c r="O3658" s="549">
        <v>0</v>
      </c>
      <c r="P3658" s="549">
        <v>85.83</v>
      </c>
      <c r="Q3658" s="549">
        <v>0</v>
      </c>
    </row>
    <row r="3659" spans="1:17" x14ac:dyDescent="0.25">
      <c r="A3659" s="549" t="s">
        <v>1108</v>
      </c>
      <c r="B3659" s="549" t="s">
        <v>1109</v>
      </c>
      <c r="C3659" s="549" t="s">
        <v>1206</v>
      </c>
      <c r="D3659" s="549" t="s">
        <v>1207</v>
      </c>
      <c r="E3659" s="549" t="s">
        <v>977</v>
      </c>
      <c r="F3659" s="549" t="s">
        <v>1212</v>
      </c>
      <c r="G3659" s="549" t="s">
        <v>1298</v>
      </c>
      <c r="H3659" s="549" t="s">
        <v>1206</v>
      </c>
      <c r="I3659" s="549" t="s">
        <v>976</v>
      </c>
      <c r="J3659" s="549" t="s">
        <v>976</v>
      </c>
      <c r="K3659" s="549" t="s">
        <v>976</v>
      </c>
      <c r="L3659" s="549">
        <v>0.02</v>
      </c>
      <c r="M3659" s="549">
        <v>0</v>
      </c>
      <c r="N3659" s="549">
        <v>0</v>
      </c>
      <c r="O3659" s="549">
        <v>0</v>
      </c>
      <c r="P3659" s="549">
        <v>85.83</v>
      </c>
      <c r="Q3659" s="549">
        <v>0</v>
      </c>
    </row>
    <row r="3660" spans="1:17" x14ac:dyDescent="0.25">
      <c r="A3660" s="549" t="s">
        <v>1116</v>
      </c>
      <c r="B3660" s="549" t="s">
        <v>589</v>
      </c>
      <c r="C3660" s="549" t="s">
        <v>849</v>
      </c>
      <c r="D3660" s="549" t="s">
        <v>850</v>
      </c>
      <c r="E3660" s="549" t="s">
        <v>973</v>
      </c>
      <c r="F3660" s="549" t="s">
        <v>1212</v>
      </c>
      <c r="G3660" s="549">
        <v>16</v>
      </c>
      <c r="H3660" s="549" t="s">
        <v>849</v>
      </c>
      <c r="I3660" s="549" t="s">
        <v>976</v>
      </c>
      <c r="J3660" s="549" t="s">
        <v>976</v>
      </c>
      <c r="K3660" s="549" t="s">
        <v>976</v>
      </c>
      <c r="L3660" s="549">
        <v>81547.649999999994</v>
      </c>
      <c r="M3660" s="549">
        <v>6156.85</v>
      </c>
      <c r="N3660" s="549">
        <v>4680.84</v>
      </c>
      <c r="O3660" s="549">
        <v>992</v>
      </c>
      <c r="P3660" s="549">
        <v>0</v>
      </c>
      <c r="Q3660" s="549">
        <v>0</v>
      </c>
    </row>
    <row r="3661" spans="1:17" x14ac:dyDescent="0.25">
      <c r="A3661" s="549" t="s">
        <v>1116</v>
      </c>
      <c r="B3661" s="549" t="s">
        <v>589</v>
      </c>
      <c r="C3661" s="549" t="s">
        <v>849</v>
      </c>
      <c r="D3661" s="549" t="s">
        <v>850</v>
      </c>
      <c r="E3661" s="549" t="s">
        <v>973</v>
      </c>
      <c r="F3661" s="549" t="s">
        <v>1212</v>
      </c>
      <c r="G3661" s="549">
        <v>15</v>
      </c>
      <c r="H3661" s="549" t="s">
        <v>849</v>
      </c>
      <c r="I3661" s="549" t="s">
        <v>976</v>
      </c>
      <c r="J3661" s="549" t="s">
        <v>976</v>
      </c>
      <c r="K3661" s="549" t="s">
        <v>976</v>
      </c>
      <c r="L3661" s="549">
        <v>81547.649999999994</v>
      </c>
      <c r="M3661" s="549">
        <v>6156.85</v>
      </c>
      <c r="N3661" s="549">
        <v>4680.84</v>
      </c>
      <c r="O3661" s="549">
        <v>992</v>
      </c>
      <c r="P3661" s="549">
        <v>0</v>
      </c>
      <c r="Q3661" s="549">
        <v>0</v>
      </c>
    </row>
    <row r="3662" spans="1:17" x14ac:dyDescent="0.25">
      <c r="A3662" s="549" t="s">
        <v>1116</v>
      </c>
      <c r="B3662" s="549" t="s">
        <v>589</v>
      </c>
      <c r="C3662" s="549" t="s">
        <v>849</v>
      </c>
      <c r="D3662" s="549" t="s">
        <v>850</v>
      </c>
      <c r="E3662" s="549" t="s">
        <v>973</v>
      </c>
      <c r="F3662" s="549" t="s">
        <v>1212</v>
      </c>
      <c r="G3662" s="549">
        <v>14</v>
      </c>
      <c r="H3662" s="549" t="s">
        <v>849</v>
      </c>
      <c r="I3662" s="549" t="s">
        <v>976</v>
      </c>
      <c r="J3662" s="549" t="s">
        <v>976</v>
      </c>
      <c r="K3662" s="549" t="s">
        <v>976</v>
      </c>
      <c r="L3662" s="549">
        <v>81547.649999999994</v>
      </c>
      <c r="M3662" s="549">
        <v>6156.85</v>
      </c>
      <c r="N3662" s="549">
        <v>4680.84</v>
      </c>
      <c r="O3662" s="549">
        <v>992</v>
      </c>
      <c r="P3662" s="549">
        <v>0</v>
      </c>
      <c r="Q3662" s="549">
        <v>0</v>
      </c>
    </row>
    <row r="3663" spans="1:17" x14ac:dyDescent="0.25">
      <c r="A3663" s="549" t="s">
        <v>1116</v>
      </c>
      <c r="B3663" s="549" t="s">
        <v>589</v>
      </c>
      <c r="C3663" s="549" t="s">
        <v>849</v>
      </c>
      <c r="D3663" s="549" t="s">
        <v>850</v>
      </c>
      <c r="E3663" s="549" t="s">
        <v>973</v>
      </c>
      <c r="F3663" s="549" t="s">
        <v>1212</v>
      </c>
      <c r="G3663" s="549">
        <v>13</v>
      </c>
      <c r="H3663" s="549" t="s">
        <v>849</v>
      </c>
      <c r="I3663" s="549" t="s">
        <v>976</v>
      </c>
      <c r="J3663" s="549" t="s">
        <v>976</v>
      </c>
      <c r="K3663" s="549" t="s">
        <v>976</v>
      </c>
      <c r="L3663" s="549">
        <v>81547.649999999994</v>
      </c>
      <c r="M3663" s="549">
        <v>6156.85</v>
      </c>
      <c r="N3663" s="549">
        <v>4680.84</v>
      </c>
      <c r="O3663" s="549">
        <v>992</v>
      </c>
      <c r="P3663" s="549">
        <v>0</v>
      </c>
      <c r="Q3663" s="549">
        <v>0</v>
      </c>
    </row>
    <row r="3664" spans="1:17" x14ac:dyDescent="0.25">
      <c r="A3664" s="549" t="s">
        <v>1116</v>
      </c>
      <c r="B3664" s="549" t="s">
        <v>589</v>
      </c>
      <c r="C3664" s="549" t="s">
        <v>849</v>
      </c>
      <c r="D3664" s="549" t="s">
        <v>850</v>
      </c>
      <c r="E3664" s="549" t="s">
        <v>973</v>
      </c>
      <c r="F3664" s="549" t="s">
        <v>1212</v>
      </c>
      <c r="G3664" s="549">
        <v>12</v>
      </c>
      <c r="H3664" s="549" t="s">
        <v>849</v>
      </c>
      <c r="I3664" s="549" t="s">
        <v>976</v>
      </c>
      <c r="J3664" s="549" t="s">
        <v>976</v>
      </c>
      <c r="K3664" s="549" t="s">
        <v>976</v>
      </c>
      <c r="L3664" s="549">
        <v>81547.649999999994</v>
      </c>
      <c r="M3664" s="549">
        <v>6156.85</v>
      </c>
      <c r="N3664" s="549">
        <v>4680.84</v>
      </c>
      <c r="O3664" s="549">
        <v>992</v>
      </c>
      <c r="P3664" s="549">
        <v>0</v>
      </c>
      <c r="Q3664" s="549">
        <v>0</v>
      </c>
    </row>
    <row r="3665" spans="1:17" x14ac:dyDescent="0.25">
      <c r="A3665" s="549" t="s">
        <v>1116</v>
      </c>
      <c r="B3665" s="549" t="s">
        <v>589</v>
      </c>
      <c r="C3665" s="549" t="s">
        <v>849</v>
      </c>
      <c r="D3665" s="549" t="s">
        <v>850</v>
      </c>
      <c r="E3665" s="549" t="s">
        <v>973</v>
      </c>
      <c r="F3665" s="549" t="s">
        <v>1212</v>
      </c>
      <c r="G3665" s="549">
        <v>11</v>
      </c>
      <c r="H3665" s="549" t="s">
        <v>849</v>
      </c>
      <c r="I3665" s="549" t="s">
        <v>976</v>
      </c>
      <c r="J3665" s="549" t="s">
        <v>976</v>
      </c>
      <c r="K3665" s="549" t="s">
        <v>976</v>
      </c>
      <c r="L3665" s="549">
        <v>81547.649999999994</v>
      </c>
      <c r="M3665" s="549">
        <v>6156.85</v>
      </c>
      <c r="N3665" s="549">
        <v>4680.84</v>
      </c>
      <c r="O3665" s="549">
        <v>992</v>
      </c>
      <c r="P3665" s="549">
        <v>0</v>
      </c>
      <c r="Q3665" s="549">
        <v>0</v>
      </c>
    </row>
    <row r="3666" spans="1:17" x14ac:dyDescent="0.25">
      <c r="A3666" s="549" t="s">
        <v>1116</v>
      </c>
      <c r="B3666" s="549" t="s">
        <v>589</v>
      </c>
      <c r="C3666" s="549" t="s">
        <v>849</v>
      </c>
      <c r="D3666" s="549" t="s">
        <v>850</v>
      </c>
      <c r="E3666" s="549" t="s">
        <v>973</v>
      </c>
      <c r="F3666" s="549" t="s">
        <v>1212</v>
      </c>
      <c r="G3666" s="549">
        <v>10</v>
      </c>
      <c r="H3666" s="549" t="s">
        <v>849</v>
      </c>
      <c r="I3666" s="549" t="s">
        <v>976</v>
      </c>
      <c r="J3666" s="549" t="s">
        <v>976</v>
      </c>
      <c r="K3666" s="549" t="s">
        <v>976</v>
      </c>
      <c r="L3666" s="549">
        <v>81547.649999999994</v>
      </c>
      <c r="M3666" s="549">
        <v>6156.85</v>
      </c>
      <c r="N3666" s="549">
        <v>4680.84</v>
      </c>
      <c r="O3666" s="549">
        <v>992</v>
      </c>
      <c r="P3666" s="549">
        <v>0</v>
      </c>
      <c r="Q3666" s="549">
        <v>0</v>
      </c>
    </row>
    <row r="3667" spans="1:17" x14ac:dyDescent="0.25">
      <c r="A3667" s="549" t="s">
        <v>1116</v>
      </c>
      <c r="B3667" s="549" t="s">
        <v>589</v>
      </c>
      <c r="C3667" s="549" t="s">
        <v>849</v>
      </c>
      <c r="D3667" s="549" t="s">
        <v>850</v>
      </c>
      <c r="E3667" s="549" t="s">
        <v>973</v>
      </c>
      <c r="F3667" s="549" t="s">
        <v>1212</v>
      </c>
      <c r="G3667" s="549">
        <v>9</v>
      </c>
      <c r="H3667" s="549" t="s">
        <v>849</v>
      </c>
      <c r="I3667" s="549" t="s">
        <v>976</v>
      </c>
      <c r="J3667" s="549" t="s">
        <v>976</v>
      </c>
      <c r="K3667" s="549" t="s">
        <v>976</v>
      </c>
      <c r="L3667" s="549">
        <v>81547.649999999994</v>
      </c>
      <c r="M3667" s="549">
        <v>6156.85</v>
      </c>
      <c r="N3667" s="549">
        <v>4680.84</v>
      </c>
      <c r="O3667" s="549">
        <v>992</v>
      </c>
      <c r="P3667" s="549">
        <v>0</v>
      </c>
      <c r="Q3667" s="549">
        <v>0</v>
      </c>
    </row>
    <row r="3668" spans="1:17" x14ac:dyDescent="0.25">
      <c r="A3668" s="549" t="s">
        <v>1116</v>
      </c>
      <c r="B3668" s="549" t="s">
        <v>589</v>
      </c>
      <c r="C3668" s="549" t="s">
        <v>849</v>
      </c>
      <c r="D3668" s="549" t="s">
        <v>850</v>
      </c>
      <c r="E3668" s="549" t="s">
        <v>973</v>
      </c>
      <c r="F3668" s="549" t="s">
        <v>1212</v>
      </c>
      <c r="G3668" s="549">
        <v>8</v>
      </c>
      <c r="H3668" s="549" t="s">
        <v>849</v>
      </c>
      <c r="I3668" s="549" t="s">
        <v>976</v>
      </c>
      <c r="J3668" s="549" t="s">
        <v>976</v>
      </c>
      <c r="K3668" s="549" t="s">
        <v>976</v>
      </c>
      <c r="L3668" s="549">
        <v>81547.649999999994</v>
      </c>
      <c r="M3668" s="549">
        <v>6156.85</v>
      </c>
      <c r="N3668" s="549">
        <v>4680.84</v>
      </c>
      <c r="O3668" s="549">
        <v>992</v>
      </c>
      <c r="P3668" s="549">
        <v>0</v>
      </c>
      <c r="Q3668" s="549">
        <v>0</v>
      </c>
    </row>
    <row r="3669" spans="1:17" x14ac:dyDescent="0.25">
      <c r="A3669" s="549" t="s">
        <v>508</v>
      </c>
      <c r="B3669" s="549" t="s">
        <v>1110</v>
      </c>
      <c r="C3669" s="549" t="s">
        <v>1208</v>
      </c>
      <c r="D3669" s="549" t="s">
        <v>1209</v>
      </c>
      <c r="E3669" s="549" t="s">
        <v>973</v>
      </c>
      <c r="F3669" s="549" t="s">
        <v>1212</v>
      </c>
      <c r="G3669" s="549">
        <v>182</v>
      </c>
      <c r="H3669" s="549" t="s">
        <v>1208</v>
      </c>
      <c r="I3669" s="549" t="s">
        <v>976</v>
      </c>
      <c r="J3669" s="549" t="s">
        <v>976</v>
      </c>
      <c r="K3669" s="549" t="s">
        <v>976</v>
      </c>
      <c r="L3669" s="549">
        <v>312081.81</v>
      </c>
      <c r="M3669" s="549">
        <v>23562.18</v>
      </c>
      <c r="N3669" s="549">
        <v>17913.5</v>
      </c>
      <c r="O3669" s="549">
        <v>992</v>
      </c>
      <c r="P3669" s="549">
        <v>97.81</v>
      </c>
      <c r="Q3669" s="549">
        <v>41537.64</v>
      </c>
    </row>
    <row r="3670" spans="1:17" x14ac:dyDescent="0.25">
      <c r="A3670" s="549" t="s">
        <v>508</v>
      </c>
      <c r="B3670" s="549" t="s">
        <v>1110</v>
      </c>
      <c r="C3670" s="549" t="s">
        <v>1208</v>
      </c>
      <c r="D3670" s="549" t="s">
        <v>1209</v>
      </c>
      <c r="E3670" s="549" t="s">
        <v>973</v>
      </c>
      <c r="F3670" s="549" t="s">
        <v>1212</v>
      </c>
      <c r="G3670" s="549" t="s">
        <v>1495</v>
      </c>
      <c r="H3670" s="549" t="s">
        <v>1208</v>
      </c>
      <c r="I3670" s="549" t="s">
        <v>976</v>
      </c>
      <c r="J3670" s="549" t="s">
        <v>976</v>
      </c>
      <c r="K3670" s="549" t="s">
        <v>976</v>
      </c>
      <c r="L3670" s="549">
        <v>47121.89</v>
      </c>
      <c r="M3670" s="549">
        <v>3557.7</v>
      </c>
      <c r="N3670" s="549">
        <v>2704.8</v>
      </c>
      <c r="O3670" s="549">
        <v>0</v>
      </c>
      <c r="P3670" s="549">
        <v>97.81</v>
      </c>
      <c r="Q3670" s="549">
        <v>6125.35</v>
      </c>
    </row>
    <row r="3671" spans="1:17" x14ac:dyDescent="0.25">
      <c r="A3671" s="549" t="s">
        <v>508</v>
      </c>
      <c r="B3671" s="549" t="s">
        <v>1110</v>
      </c>
      <c r="C3671" s="549" t="s">
        <v>1208</v>
      </c>
      <c r="D3671" s="549" t="s">
        <v>1209</v>
      </c>
      <c r="E3671" s="549" t="s">
        <v>977</v>
      </c>
      <c r="F3671" s="549" t="s">
        <v>1212</v>
      </c>
      <c r="G3671" s="549">
        <v>182</v>
      </c>
      <c r="H3671" s="549" t="s">
        <v>1208</v>
      </c>
      <c r="I3671" s="549" t="s">
        <v>976</v>
      </c>
      <c r="J3671" s="549" t="s">
        <v>976</v>
      </c>
      <c r="K3671" s="549" t="s">
        <v>976</v>
      </c>
      <c r="L3671" s="549">
        <v>312081.81</v>
      </c>
      <c r="M3671" s="549">
        <v>23562.18</v>
      </c>
      <c r="N3671" s="549">
        <v>6897.01</v>
      </c>
      <c r="O3671" s="549">
        <v>992</v>
      </c>
      <c r="P3671" s="549">
        <v>2.19</v>
      </c>
      <c r="Q3671" s="549">
        <v>688.78</v>
      </c>
    </row>
    <row r="3672" spans="1:17" x14ac:dyDescent="0.25">
      <c r="A3672" s="549" t="s">
        <v>508</v>
      </c>
      <c r="B3672" s="549" t="s">
        <v>1110</v>
      </c>
      <c r="C3672" s="549" t="s">
        <v>1208</v>
      </c>
      <c r="D3672" s="549" t="s">
        <v>1209</v>
      </c>
      <c r="E3672" s="549" t="s">
        <v>977</v>
      </c>
      <c r="F3672" s="549" t="s">
        <v>1212</v>
      </c>
      <c r="G3672" s="549" t="s">
        <v>1495</v>
      </c>
      <c r="H3672" s="549" t="s">
        <v>1208</v>
      </c>
      <c r="I3672" s="549" t="s">
        <v>976</v>
      </c>
      <c r="J3672" s="549" t="s">
        <v>976</v>
      </c>
      <c r="K3672" s="549" t="s">
        <v>976</v>
      </c>
      <c r="L3672" s="549">
        <v>47121.89</v>
      </c>
      <c r="M3672" s="549">
        <v>3557.7</v>
      </c>
      <c r="N3672" s="549">
        <v>1041.3900000000001</v>
      </c>
      <c r="O3672" s="549">
        <v>0</v>
      </c>
      <c r="P3672" s="549">
        <v>2.19</v>
      </c>
      <c r="Q3672" s="549">
        <v>100.72</v>
      </c>
    </row>
    <row r="3673" spans="1:17" x14ac:dyDescent="0.25">
      <c r="A3673" s="549" t="s">
        <v>508</v>
      </c>
      <c r="B3673" s="549" t="s">
        <v>1110</v>
      </c>
      <c r="C3673" s="549" t="s">
        <v>1210</v>
      </c>
      <c r="D3673" s="549" t="s">
        <v>1211</v>
      </c>
      <c r="E3673" s="549" t="s">
        <v>973</v>
      </c>
      <c r="F3673" s="549" t="s">
        <v>1212</v>
      </c>
      <c r="G3673" s="549" t="s">
        <v>1274</v>
      </c>
      <c r="H3673" s="549" t="s">
        <v>1210</v>
      </c>
      <c r="I3673" s="549" t="s">
        <v>1096</v>
      </c>
      <c r="J3673" s="549" t="s">
        <v>1096</v>
      </c>
      <c r="K3673" s="549" t="s">
        <v>1096</v>
      </c>
      <c r="L3673" s="549">
        <v>0.03</v>
      </c>
      <c r="M3673" s="549">
        <v>0</v>
      </c>
      <c r="N3673" s="549">
        <v>0</v>
      </c>
      <c r="O3673" s="549">
        <v>0</v>
      </c>
      <c r="P3673" s="549">
        <v>99.62</v>
      </c>
      <c r="Q3673" s="549">
        <v>0</v>
      </c>
    </row>
    <row r="3674" spans="1:17" x14ac:dyDescent="0.25">
      <c r="A3674" s="549" t="s">
        <v>508</v>
      </c>
      <c r="B3674" s="549" t="s">
        <v>1110</v>
      </c>
      <c r="C3674" s="549" t="s">
        <v>1210</v>
      </c>
      <c r="D3674" s="549" t="s">
        <v>1211</v>
      </c>
      <c r="E3674" s="549" t="s">
        <v>977</v>
      </c>
      <c r="F3674" s="549" t="s">
        <v>1212</v>
      </c>
      <c r="G3674" s="549" t="s">
        <v>1274</v>
      </c>
      <c r="H3674" s="549" t="s">
        <v>1210</v>
      </c>
      <c r="I3674" s="549" t="s">
        <v>1096</v>
      </c>
      <c r="J3674" s="549" t="s">
        <v>1096</v>
      </c>
      <c r="K3674" s="549" t="s">
        <v>1096</v>
      </c>
      <c r="L3674" s="549">
        <v>0.03</v>
      </c>
      <c r="M3674" s="549">
        <v>0</v>
      </c>
      <c r="N3674" s="549">
        <v>0</v>
      </c>
      <c r="O3674" s="549">
        <v>0</v>
      </c>
      <c r="P3674" s="549">
        <v>0.38</v>
      </c>
      <c r="Q3674" s="549">
        <v>0</v>
      </c>
    </row>
    <row r="3675" spans="1:17" x14ac:dyDescent="0.25">
      <c r="A3675" s="549" t="s">
        <v>508</v>
      </c>
      <c r="B3675" s="549" t="s">
        <v>1110</v>
      </c>
      <c r="C3675" s="549" t="s">
        <v>512</v>
      </c>
      <c r="D3675" s="549" t="s">
        <v>722</v>
      </c>
      <c r="E3675" s="549" t="s">
        <v>973</v>
      </c>
      <c r="F3675" s="549" t="s">
        <v>1212</v>
      </c>
      <c r="G3675" s="549">
        <v>262</v>
      </c>
      <c r="H3675" s="549" t="s">
        <v>512</v>
      </c>
      <c r="I3675" s="549" t="s">
        <v>976</v>
      </c>
      <c r="J3675" s="549" t="s">
        <v>976</v>
      </c>
      <c r="K3675" s="549" t="s">
        <v>976</v>
      </c>
      <c r="L3675" s="549">
        <v>120068.26</v>
      </c>
      <c r="M3675" s="549">
        <v>9065.15</v>
      </c>
      <c r="N3675" s="549">
        <v>6891.92</v>
      </c>
      <c r="O3675" s="549">
        <v>892.8</v>
      </c>
      <c r="P3675" s="549">
        <v>99.79</v>
      </c>
      <c r="Q3675" s="549">
        <v>16814.490000000002</v>
      </c>
    </row>
    <row r="3676" spans="1:17" x14ac:dyDescent="0.25">
      <c r="A3676" s="549" t="s">
        <v>508</v>
      </c>
      <c r="B3676" s="549" t="s">
        <v>1110</v>
      </c>
      <c r="C3676" s="549" t="s">
        <v>512</v>
      </c>
      <c r="D3676" s="549" t="s">
        <v>722</v>
      </c>
      <c r="E3676" s="549" t="s">
        <v>973</v>
      </c>
      <c r="F3676" s="549" t="s">
        <v>1212</v>
      </c>
      <c r="G3676" s="549">
        <v>322</v>
      </c>
      <c r="H3676" s="549" t="s">
        <v>512</v>
      </c>
      <c r="I3676" s="549" t="s">
        <v>976</v>
      </c>
      <c r="J3676" s="549" t="s">
        <v>976</v>
      </c>
      <c r="K3676" s="549" t="s">
        <v>976</v>
      </c>
      <c r="L3676" s="549">
        <v>120068.26</v>
      </c>
      <c r="M3676" s="549">
        <v>9065.15</v>
      </c>
      <c r="N3676" s="549">
        <v>6891.92</v>
      </c>
      <c r="O3676" s="549">
        <v>892.8</v>
      </c>
      <c r="P3676" s="549">
        <v>99.79</v>
      </c>
      <c r="Q3676" s="549">
        <v>16814.490000000002</v>
      </c>
    </row>
    <row r="3677" spans="1:17" x14ac:dyDescent="0.25">
      <c r="A3677" s="549" t="s">
        <v>508</v>
      </c>
      <c r="B3677" s="549" t="s">
        <v>1110</v>
      </c>
      <c r="C3677" s="549" t="s">
        <v>512</v>
      </c>
      <c r="D3677" s="549" t="s">
        <v>722</v>
      </c>
      <c r="E3677" s="549" t="s">
        <v>977</v>
      </c>
      <c r="F3677" s="549" t="s">
        <v>1212</v>
      </c>
      <c r="G3677" s="549">
        <v>262</v>
      </c>
      <c r="H3677" s="549" t="s">
        <v>512</v>
      </c>
      <c r="I3677" s="549" t="s">
        <v>976</v>
      </c>
      <c r="J3677" s="549" t="s">
        <v>976</v>
      </c>
      <c r="K3677" s="549" t="s">
        <v>976</v>
      </c>
      <c r="L3677" s="549">
        <v>120068.26</v>
      </c>
      <c r="M3677" s="549">
        <v>9065.15</v>
      </c>
      <c r="N3677" s="549">
        <v>2653.51</v>
      </c>
      <c r="O3677" s="549">
        <v>892.8</v>
      </c>
      <c r="P3677" s="549">
        <v>0.21</v>
      </c>
      <c r="Q3677" s="549">
        <v>26.48</v>
      </c>
    </row>
    <row r="3678" spans="1:17" x14ac:dyDescent="0.25">
      <c r="A3678" s="549" t="s">
        <v>508</v>
      </c>
      <c r="B3678" s="549" t="s">
        <v>1110</v>
      </c>
      <c r="C3678" s="549" t="s">
        <v>512</v>
      </c>
      <c r="D3678" s="549" t="s">
        <v>722</v>
      </c>
      <c r="E3678" s="549" t="s">
        <v>977</v>
      </c>
      <c r="F3678" s="549" t="s">
        <v>1212</v>
      </c>
      <c r="G3678" s="549">
        <v>322</v>
      </c>
      <c r="H3678" s="549" t="s">
        <v>512</v>
      </c>
      <c r="I3678" s="549" t="s">
        <v>976</v>
      </c>
      <c r="J3678" s="549" t="s">
        <v>976</v>
      </c>
      <c r="K3678" s="549" t="s">
        <v>976</v>
      </c>
      <c r="L3678" s="549">
        <v>120068.26</v>
      </c>
      <c r="M3678" s="549">
        <v>9065.15</v>
      </c>
      <c r="N3678" s="549">
        <v>2653.51</v>
      </c>
      <c r="O3678" s="549">
        <v>892.8</v>
      </c>
      <c r="P3678" s="549">
        <v>0.21</v>
      </c>
      <c r="Q3678" s="549">
        <v>26.48</v>
      </c>
    </row>
    <row r="3679" spans="1:17" x14ac:dyDescent="0.25">
      <c r="A3679" s="549" t="s">
        <v>508</v>
      </c>
      <c r="B3679" s="549" t="s">
        <v>1110</v>
      </c>
      <c r="C3679" s="549" t="s">
        <v>787</v>
      </c>
      <c r="D3679" s="549" t="s">
        <v>788</v>
      </c>
      <c r="E3679" s="549" t="s">
        <v>973</v>
      </c>
      <c r="F3679" s="549" t="s">
        <v>1212</v>
      </c>
      <c r="G3679" s="549">
        <v>122</v>
      </c>
      <c r="H3679" s="549" t="s">
        <v>787</v>
      </c>
      <c r="I3679" s="549" t="s">
        <v>1096</v>
      </c>
      <c r="J3679" s="549" t="s">
        <v>1096</v>
      </c>
      <c r="K3679" s="549" t="s">
        <v>1096</v>
      </c>
      <c r="L3679" s="549">
        <v>504629.39</v>
      </c>
      <c r="M3679" s="549">
        <v>0</v>
      </c>
      <c r="N3679" s="549">
        <v>0</v>
      </c>
      <c r="O3679" s="549">
        <v>0</v>
      </c>
      <c r="P3679" s="549">
        <v>97.76</v>
      </c>
      <c r="Q3679" s="549">
        <v>0</v>
      </c>
    </row>
    <row r="3680" spans="1:17" x14ac:dyDescent="0.25">
      <c r="A3680" s="549" t="s">
        <v>508</v>
      </c>
      <c r="B3680" s="549" t="s">
        <v>1110</v>
      </c>
      <c r="C3680" s="549" t="s">
        <v>787</v>
      </c>
      <c r="D3680" s="549" t="s">
        <v>788</v>
      </c>
      <c r="E3680" s="549" t="s">
        <v>973</v>
      </c>
      <c r="F3680" s="549" t="s">
        <v>1212</v>
      </c>
      <c r="G3680" s="549" t="s">
        <v>1304</v>
      </c>
      <c r="H3680" s="549" t="s">
        <v>787</v>
      </c>
      <c r="I3680" s="549" t="s">
        <v>1096</v>
      </c>
      <c r="J3680" s="549" t="s">
        <v>1096</v>
      </c>
      <c r="K3680" s="549" t="s">
        <v>1096</v>
      </c>
      <c r="L3680" s="549">
        <v>46659.92</v>
      </c>
      <c r="M3680" s="549">
        <v>0</v>
      </c>
      <c r="N3680" s="549">
        <v>0</v>
      </c>
      <c r="O3680" s="549">
        <v>0</v>
      </c>
      <c r="P3680" s="549">
        <v>97.76</v>
      </c>
      <c r="Q3680" s="549">
        <v>0</v>
      </c>
    </row>
    <row r="3681" spans="1:17" x14ac:dyDescent="0.25">
      <c r="A3681" s="549" t="s">
        <v>508</v>
      </c>
      <c r="B3681" s="549" t="s">
        <v>1110</v>
      </c>
      <c r="C3681" s="549" t="s">
        <v>787</v>
      </c>
      <c r="D3681" s="549" t="s">
        <v>788</v>
      </c>
      <c r="E3681" s="549" t="s">
        <v>973</v>
      </c>
      <c r="F3681" s="549" t="s">
        <v>1212</v>
      </c>
      <c r="G3681" s="549" t="s">
        <v>1359</v>
      </c>
      <c r="H3681" s="549" t="s">
        <v>787</v>
      </c>
      <c r="I3681" s="549" t="s">
        <v>1096</v>
      </c>
      <c r="J3681" s="549" t="s">
        <v>1096</v>
      </c>
      <c r="K3681" s="549" t="s">
        <v>1096</v>
      </c>
      <c r="L3681" s="549">
        <v>48805.45</v>
      </c>
      <c r="M3681" s="549">
        <v>0</v>
      </c>
      <c r="N3681" s="549">
        <v>0</v>
      </c>
      <c r="O3681" s="549">
        <v>0</v>
      </c>
      <c r="P3681" s="549">
        <v>97.76</v>
      </c>
      <c r="Q3681" s="549">
        <v>0</v>
      </c>
    </row>
    <row r="3682" spans="1:17" x14ac:dyDescent="0.25">
      <c r="A3682" s="549" t="s">
        <v>508</v>
      </c>
      <c r="B3682" s="549" t="s">
        <v>1110</v>
      </c>
      <c r="C3682" s="549" t="s">
        <v>787</v>
      </c>
      <c r="D3682" s="549" t="s">
        <v>788</v>
      </c>
      <c r="E3682" s="549" t="s">
        <v>977</v>
      </c>
      <c r="F3682" s="549" t="s">
        <v>1212</v>
      </c>
      <c r="G3682" s="549">
        <v>122</v>
      </c>
      <c r="H3682" s="549" t="s">
        <v>787</v>
      </c>
      <c r="I3682" s="549" t="s">
        <v>1096</v>
      </c>
      <c r="J3682" s="549" t="s">
        <v>1096</v>
      </c>
      <c r="K3682" s="549" t="s">
        <v>1096</v>
      </c>
      <c r="L3682" s="549">
        <v>504629.39</v>
      </c>
      <c r="M3682" s="549">
        <v>0</v>
      </c>
      <c r="N3682" s="549">
        <v>0</v>
      </c>
      <c r="O3682" s="549">
        <v>0</v>
      </c>
      <c r="P3682" s="549">
        <v>2.2400000000000002</v>
      </c>
      <c r="Q3682" s="549">
        <v>0</v>
      </c>
    </row>
    <row r="3683" spans="1:17" x14ac:dyDescent="0.25">
      <c r="A3683" s="549" t="s">
        <v>508</v>
      </c>
      <c r="B3683" s="549" t="s">
        <v>1110</v>
      </c>
      <c r="C3683" s="549" t="s">
        <v>787</v>
      </c>
      <c r="D3683" s="549" t="s">
        <v>788</v>
      </c>
      <c r="E3683" s="549" t="s">
        <v>977</v>
      </c>
      <c r="F3683" s="549" t="s">
        <v>1212</v>
      </c>
      <c r="G3683" s="549" t="s">
        <v>1304</v>
      </c>
      <c r="H3683" s="549" t="s">
        <v>787</v>
      </c>
      <c r="I3683" s="549" t="s">
        <v>1096</v>
      </c>
      <c r="J3683" s="549" t="s">
        <v>1096</v>
      </c>
      <c r="K3683" s="549" t="s">
        <v>1096</v>
      </c>
      <c r="L3683" s="549">
        <v>46659.92</v>
      </c>
      <c r="M3683" s="549">
        <v>0</v>
      </c>
      <c r="N3683" s="549">
        <v>0</v>
      </c>
      <c r="O3683" s="549">
        <v>0</v>
      </c>
      <c r="P3683" s="549">
        <v>2.2400000000000002</v>
      </c>
      <c r="Q3683" s="549">
        <v>0</v>
      </c>
    </row>
    <row r="3684" spans="1:17" x14ac:dyDescent="0.25">
      <c r="A3684" s="549" t="s">
        <v>508</v>
      </c>
      <c r="B3684" s="549" t="s">
        <v>1110</v>
      </c>
      <c r="C3684" s="549" t="s">
        <v>787</v>
      </c>
      <c r="D3684" s="549" t="s">
        <v>788</v>
      </c>
      <c r="E3684" s="549" t="s">
        <v>977</v>
      </c>
      <c r="F3684" s="549" t="s">
        <v>1212</v>
      </c>
      <c r="G3684" s="549" t="s">
        <v>1359</v>
      </c>
      <c r="H3684" s="549" t="s">
        <v>787</v>
      </c>
      <c r="I3684" s="549" t="s">
        <v>1096</v>
      </c>
      <c r="J3684" s="549" t="s">
        <v>1096</v>
      </c>
      <c r="K3684" s="549" t="s">
        <v>1096</v>
      </c>
      <c r="L3684" s="549">
        <v>48805.45</v>
      </c>
      <c r="M3684" s="549">
        <v>0</v>
      </c>
      <c r="N3684" s="549">
        <v>0</v>
      </c>
      <c r="O3684" s="549">
        <v>0</v>
      </c>
      <c r="P3684" s="549">
        <v>2.2400000000000002</v>
      </c>
      <c r="Q3684" s="549">
        <v>0</v>
      </c>
    </row>
    <row r="3685" spans="1:17" x14ac:dyDescent="0.25">
      <c r="A3685" s="549" t="s">
        <v>508</v>
      </c>
      <c r="B3685" s="549" t="s">
        <v>1110</v>
      </c>
      <c r="C3685" s="549" t="s">
        <v>516</v>
      </c>
      <c r="D3685" s="549" t="s">
        <v>1103</v>
      </c>
      <c r="E3685" s="549" t="s">
        <v>973</v>
      </c>
      <c r="F3685" s="549" t="s">
        <v>1212</v>
      </c>
      <c r="G3685" s="549">
        <v>132</v>
      </c>
      <c r="H3685" s="549" t="s">
        <v>228</v>
      </c>
      <c r="I3685" s="549" t="s">
        <v>1096</v>
      </c>
      <c r="J3685" s="549" t="s">
        <v>1096</v>
      </c>
      <c r="K3685" s="549" t="s">
        <v>1096</v>
      </c>
      <c r="L3685" s="549">
        <v>509625.72</v>
      </c>
      <c r="M3685" s="549">
        <v>0</v>
      </c>
      <c r="N3685" s="549">
        <v>0</v>
      </c>
      <c r="O3685" s="549">
        <v>0</v>
      </c>
      <c r="P3685" s="549">
        <v>85.66</v>
      </c>
      <c r="Q3685" s="549">
        <v>0</v>
      </c>
    </row>
    <row r="3686" spans="1:17" x14ac:dyDescent="0.25">
      <c r="A3686" s="549" t="s">
        <v>508</v>
      </c>
      <c r="B3686" s="549" t="s">
        <v>1110</v>
      </c>
      <c r="C3686" s="549" t="s">
        <v>516</v>
      </c>
      <c r="D3686" s="549" t="s">
        <v>1103</v>
      </c>
      <c r="E3686" s="549" t="s">
        <v>973</v>
      </c>
      <c r="F3686" s="549" t="s">
        <v>1212</v>
      </c>
      <c r="G3686" s="549">
        <v>142</v>
      </c>
      <c r="H3686" s="549" t="s">
        <v>228</v>
      </c>
      <c r="I3686" s="549" t="s">
        <v>1096</v>
      </c>
      <c r="J3686" s="549" t="s">
        <v>1096</v>
      </c>
      <c r="K3686" s="549" t="s">
        <v>1096</v>
      </c>
      <c r="L3686" s="549">
        <v>509625.72</v>
      </c>
      <c r="M3686" s="549">
        <v>0</v>
      </c>
      <c r="N3686" s="549">
        <v>0</v>
      </c>
      <c r="O3686" s="549">
        <v>0</v>
      </c>
      <c r="P3686" s="549">
        <v>85.66</v>
      </c>
      <c r="Q3686" s="549">
        <v>0</v>
      </c>
    </row>
    <row r="3687" spans="1:17" x14ac:dyDescent="0.25">
      <c r="A3687" s="549" t="s">
        <v>508</v>
      </c>
      <c r="B3687" s="549" t="s">
        <v>1110</v>
      </c>
      <c r="C3687" s="549" t="s">
        <v>516</v>
      </c>
      <c r="D3687" s="549" t="s">
        <v>1103</v>
      </c>
      <c r="E3687" s="549" t="s">
        <v>973</v>
      </c>
      <c r="F3687" s="549" t="s">
        <v>1212</v>
      </c>
      <c r="G3687" s="549">
        <v>42</v>
      </c>
      <c r="H3687" s="549" t="s">
        <v>516</v>
      </c>
      <c r="I3687" s="549" t="s">
        <v>1096</v>
      </c>
      <c r="J3687" s="549" t="s">
        <v>1096</v>
      </c>
      <c r="K3687" s="549" t="s">
        <v>1096</v>
      </c>
      <c r="L3687" s="549">
        <v>132564.41</v>
      </c>
      <c r="M3687" s="549">
        <v>0</v>
      </c>
      <c r="N3687" s="549">
        <v>0</v>
      </c>
      <c r="O3687" s="549">
        <v>0</v>
      </c>
      <c r="P3687" s="549">
        <v>100</v>
      </c>
      <c r="Q3687" s="549">
        <v>0</v>
      </c>
    </row>
    <row r="3688" spans="1:17" x14ac:dyDescent="0.25">
      <c r="A3688" s="549" t="s">
        <v>508</v>
      </c>
      <c r="B3688" s="549" t="s">
        <v>1110</v>
      </c>
      <c r="C3688" s="549" t="s">
        <v>516</v>
      </c>
      <c r="D3688" s="549" t="s">
        <v>1103</v>
      </c>
      <c r="E3688" s="549" t="s">
        <v>973</v>
      </c>
      <c r="F3688" s="549" t="s">
        <v>1212</v>
      </c>
      <c r="G3688" s="549">
        <v>52</v>
      </c>
      <c r="H3688" s="549" t="s">
        <v>516</v>
      </c>
      <c r="I3688" s="549" t="s">
        <v>1096</v>
      </c>
      <c r="J3688" s="549" t="s">
        <v>1096</v>
      </c>
      <c r="K3688" s="549" t="s">
        <v>1096</v>
      </c>
      <c r="L3688" s="549">
        <v>132564.41</v>
      </c>
      <c r="M3688" s="549">
        <v>0</v>
      </c>
      <c r="N3688" s="549">
        <v>0</v>
      </c>
      <c r="O3688" s="549">
        <v>0</v>
      </c>
      <c r="P3688" s="549">
        <v>100</v>
      </c>
      <c r="Q3688" s="549">
        <v>0</v>
      </c>
    </row>
    <row r="3689" spans="1:17" x14ac:dyDescent="0.25">
      <c r="A3689" s="549" t="s">
        <v>508</v>
      </c>
      <c r="B3689" s="549" t="s">
        <v>1110</v>
      </c>
      <c r="C3689" s="549" t="s">
        <v>516</v>
      </c>
      <c r="D3689" s="549" t="s">
        <v>1103</v>
      </c>
      <c r="E3689" s="549" t="s">
        <v>973</v>
      </c>
      <c r="F3689" s="549" t="s">
        <v>1212</v>
      </c>
      <c r="G3689" s="549">
        <v>62</v>
      </c>
      <c r="H3689" s="549" t="s">
        <v>516</v>
      </c>
      <c r="I3689" s="549" t="s">
        <v>1096</v>
      </c>
      <c r="J3689" s="549" t="s">
        <v>1096</v>
      </c>
      <c r="K3689" s="549" t="s">
        <v>1096</v>
      </c>
      <c r="L3689" s="549">
        <v>509625.72</v>
      </c>
      <c r="M3689" s="549">
        <v>0</v>
      </c>
      <c r="N3689" s="549">
        <v>0</v>
      </c>
      <c r="O3689" s="549">
        <v>0</v>
      </c>
      <c r="P3689" s="549">
        <v>85.66</v>
      </c>
      <c r="Q3689" s="549">
        <v>0</v>
      </c>
    </row>
    <row r="3690" spans="1:17" x14ac:dyDescent="0.25">
      <c r="A3690" s="549" t="s">
        <v>508</v>
      </c>
      <c r="B3690" s="549" t="s">
        <v>1110</v>
      </c>
      <c r="C3690" s="549" t="s">
        <v>516</v>
      </c>
      <c r="D3690" s="549" t="s">
        <v>1103</v>
      </c>
      <c r="E3690" s="549" t="s">
        <v>973</v>
      </c>
      <c r="F3690" s="549" t="s">
        <v>1212</v>
      </c>
      <c r="G3690" s="549">
        <v>72</v>
      </c>
      <c r="H3690" s="549" t="s">
        <v>516</v>
      </c>
      <c r="I3690" s="549" t="s">
        <v>1096</v>
      </c>
      <c r="J3690" s="549" t="s">
        <v>1096</v>
      </c>
      <c r="K3690" s="549" t="s">
        <v>1096</v>
      </c>
      <c r="L3690" s="549">
        <v>509625.72</v>
      </c>
      <c r="M3690" s="549">
        <v>0</v>
      </c>
      <c r="N3690" s="549">
        <v>0</v>
      </c>
      <c r="O3690" s="549">
        <v>0</v>
      </c>
      <c r="P3690" s="549">
        <v>85.66</v>
      </c>
      <c r="Q3690" s="549">
        <v>0</v>
      </c>
    </row>
    <row r="3691" spans="1:17" x14ac:dyDescent="0.25">
      <c r="A3691" s="549" t="s">
        <v>508</v>
      </c>
      <c r="B3691" s="549" t="s">
        <v>1110</v>
      </c>
      <c r="C3691" s="549" t="s">
        <v>516</v>
      </c>
      <c r="D3691" s="549" t="s">
        <v>1103</v>
      </c>
      <c r="E3691" s="549" t="s">
        <v>973</v>
      </c>
      <c r="F3691" s="549" t="s">
        <v>1212</v>
      </c>
      <c r="G3691" s="549" t="s">
        <v>1466</v>
      </c>
      <c r="H3691" s="549" t="s">
        <v>516</v>
      </c>
      <c r="I3691" s="549" t="s">
        <v>1096</v>
      </c>
      <c r="J3691" s="549" t="s">
        <v>1096</v>
      </c>
      <c r="K3691" s="549" t="s">
        <v>1096</v>
      </c>
      <c r="L3691" s="549">
        <v>108121.03</v>
      </c>
      <c r="M3691" s="549">
        <v>0</v>
      </c>
      <c r="N3691" s="549">
        <v>0</v>
      </c>
      <c r="O3691" s="549">
        <v>0</v>
      </c>
      <c r="P3691" s="549">
        <v>85.66</v>
      </c>
      <c r="Q3691" s="549">
        <v>0</v>
      </c>
    </row>
    <row r="3692" spans="1:17" x14ac:dyDescent="0.25">
      <c r="A3692" s="549" t="s">
        <v>508</v>
      </c>
      <c r="B3692" s="549" t="s">
        <v>1110</v>
      </c>
      <c r="C3692" s="549" t="s">
        <v>516</v>
      </c>
      <c r="D3692" s="549" t="s">
        <v>1103</v>
      </c>
      <c r="E3692" s="549" t="s">
        <v>973</v>
      </c>
      <c r="F3692" s="549" t="s">
        <v>1212</v>
      </c>
      <c r="G3692" s="549" t="s">
        <v>1249</v>
      </c>
      <c r="H3692" s="549" t="s">
        <v>516</v>
      </c>
      <c r="I3692" s="549" t="s">
        <v>1096</v>
      </c>
      <c r="J3692" s="549" t="s">
        <v>1096</v>
      </c>
      <c r="K3692" s="549" t="s">
        <v>1096</v>
      </c>
      <c r="L3692" s="549">
        <v>49288.68</v>
      </c>
      <c r="M3692" s="549">
        <v>0</v>
      </c>
      <c r="N3692" s="549">
        <v>0</v>
      </c>
      <c r="O3692" s="549">
        <v>0</v>
      </c>
      <c r="P3692" s="549">
        <v>85.66</v>
      </c>
      <c r="Q3692" s="549">
        <v>0</v>
      </c>
    </row>
    <row r="3693" spans="1:17" x14ac:dyDescent="0.25">
      <c r="A3693" s="549" t="s">
        <v>508</v>
      </c>
      <c r="B3693" s="549" t="s">
        <v>1110</v>
      </c>
      <c r="C3693" s="549" t="s">
        <v>516</v>
      </c>
      <c r="D3693" s="549" t="s">
        <v>1103</v>
      </c>
      <c r="E3693" s="549" t="s">
        <v>973</v>
      </c>
      <c r="F3693" s="549" t="s">
        <v>1212</v>
      </c>
      <c r="G3693" s="549" t="s">
        <v>1250</v>
      </c>
      <c r="H3693" s="549" t="s">
        <v>516</v>
      </c>
      <c r="I3693" s="549" t="s">
        <v>1096</v>
      </c>
      <c r="J3693" s="549" t="s">
        <v>1096</v>
      </c>
      <c r="K3693" s="549" t="s">
        <v>1096</v>
      </c>
      <c r="L3693" s="549">
        <v>49288.68</v>
      </c>
      <c r="M3693" s="549">
        <v>0</v>
      </c>
      <c r="N3693" s="549">
        <v>0</v>
      </c>
      <c r="O3693" s="549">
        <v>0</v>
      </c>
      <c r="P3693" s="549">
        <v>85.66</v>
      </c>
      <c r="Q3693" s="549">
        <v>0</v>
      </c>
    </row>
    <row r="3694" spans="1:17" x14ac:dyDescent="0.25">
      <c r="A3694" s="549" t="s">
        <v>508</v>
      </c>
      <c r="B3694" s="549" t="s">
        <v>1110</v>
      </c>
      <c r="C3694" s="549" t="s">
        <v>516</v>
      </c>
      <c r="D3694" s="549" t="s">
        <v>1103</v>
      </c>
      <c r="E3694" s="549" t="s">
        <v>973</v>
      </c>
      <c r="F3694" s="549" t="s">
        <v>1212</v>
      </c>
      <c r="G3694" s="549" t="s">
        <v>1215</v>
      </c>
      <c r="H3694" s="549" t="s">
        <v>516</v>
      </c>
      <c r="I3694" s="549" t="s">
        <v>1096</v>
      </c>
      <c r="J3694" s="549" t="s">
        <v>1096</v>
      </c>
      <c r="K3694" s="549" t="s">
        <v>1096</v>
      </c>
      <c r="L3694" s="549">
        <v>49288.68</v>
      </c>
      <c r="M3694" s="549">
        <v>0</v>
      </c>
      <c r="N3694" s="549">
        <v>0</v>
      </c>
      <c r="O3694" s="549">
        <v>0</v>
      </c>
      <c r="P3694" s="549">
        <v>85.66</v>
      </c>
      <c r="Q3694" s="549">
        <v>0</v>
      </c>
    </row>
    <row r="3695" spans="1:17" x14ac:dyDescent="0.25">
      <c r="A3695" s="549" t="s">
        <v>508</v>
      </c>
      <c r="B3695" s="549" t="s">
        <v>1110</v>
      </c>
      <c r="C3695" s="549" t="s">
        <v>516</v>
      </c>
      <c r="D3695" s="549" t="s">
        <v>1103</v>
      </c>
      <c r="E3695" s="549" t="s">
        <v>977</v>
      </c>
      <c r="F3695" s="549" t="s">
        <v>1212</v>
      </c>
      <c r="G3695" s="549">
        <v>132</v>
      </c>
      <c r="H3695" s="549" t="s">
        <v>228</v>
      </c>
      <c r="I3695" s="549" t="s">
        <v>1096</v>
      </c>
      <c r="J3695" s="549" t="s">
        <v>1096</v>
      </c>
      <c r="K3695" s="549" t="s">
        <v>1096</v>
      </c>
      <c r="L3695" s="549">
        <v>509625.72</v>
      </c>
      <c r="M3695" s="549">
        <v>0</v>
      </c>
      <c r="N3695" s="549">
        <v>0</v>
      </c>
      <c r="O3695" s="549">
        <v>0</v>
      </c>
      <c r="P3695" s="549">
        <v>0</v>
      </c>
      <c r="Q3695" s="549">
        <v>0</v>
      </c>
    </row>
    <row r="3696" spans="1:17" x14ac:dyDescent="0.25">
      <c r="A3696" s="549" t="s">
        <v>508</v>
      </c>
      <c r="B3696" s="549" t="s">
        <v>1110</v>
      </c>
      <c r="C3696" s="549" t="s">
        <v>516</v>
      </c>
      <c r="D3696" s="549" t="s">
        <v>1103</v>
      </c>
      <c r="E3696" s="549" t="s">
        <v>977</v>
      </c>
      <c r="F3696" s="549" t="s">
        <v>1212</v>
      </c>
      <c r="G3696" s="549">
        <v>142</v>
      </c>
      <c r="H3696" s="549" t="s">
        <v>228</v>
      </c>
      <c r="I3696" s="549" t="s">
        <v>1096</v>
      </c>
      <c r="J3696" s="549" t="s">
        <v>1096</v>
      </c>
      <c r="K3696" s="549" t="s">
        <v>1096</v>
      </c>
      <c r="L3696" s="549">
        <v>509625.72</v>
      </c>
      <c r="M3696" s="549">
        <v>0</v>
      </c>
      <c r="N3696" s="549">
        <v>0</v>
      </c>
      <c r="O3696" s="549">
        <v>0</v>
      </c>
      <c r="P3696" s="549">
        <v>0</v>
      </c>
      <c r="Q3696" s="549">
        <v>0</v>
      </c>
    </row>
    <row r="3697" spans="1:17" x14ac:dyDescent="0.25">
      <c r="A3697" s="549" t="s">
        <v>508</v>
      </c>
      <c r="B3697" s="549" t="s">
        <v>1110</v>
      </c>
      <c r="C3697" s="549" t="s">
        <v>516</v>
      </c>
      <c r="D3697" s="549" t="s">
        <v>1103</v>
      </c>
      <c r="E3697" s="549" t="s">
        <v>977</v>
      </c>
      <c r="F3697" s="549" t="s">
        <v>1212</v>
      </c>
      <c r="G3697" s="549">
        <v>42</v>
      </c>
      <c r="H3697" s="549" t="s">
        <v>516</v>
      </c>
      <c r="I3697" s="549" t="s">
        <v>1096</v>
      </c>
      <c r="J3697" s="549" t="s">
        <v>1096</v>
      </c>
      <c r="K3697" s="549" t="s">
        <v>1096</v>
      </c>
      <c r="L3697" s="549">
        <v>132564.41</v>
      </c>
      <c r="M3697" s="549">
        <v>0</v>
      </c>
      <c r="N3697" s="549">
        <v>0</v>
      </c>
      <c r="O3697" s="549">
        <v>0</v>
      </c>
      <c r="P3697" s="549">
        <v>0</v>
      </c>
      <c r="Q3697" s="549">
        <v>0</v>
      </c>
    </row>
    <row r="3698" spans="1:17" x14ac:dyDescent="0.25">
      <c r="A3698" s="549" t="s">
        <v>508</v>
      </c>
      <c r="B3698" s="549" t="s">
        <v>1110</v>
      </c>
      <c r="C3698" s="549" t="s">
        <v>516</v>
      </c>
      <c r="D3698" s="549" t="s">
        <v>1103</v>
      </c>
      <c r="E3698" s="549" t="s">
        <v>977</v>
      </c>
      <c r="F3698" s="549" t="s">
        <v>1212</v>
      </c>
      <c r="G3698" s="549">
        <v>52</v>
      </c>
      <c r="H3698" s="549" t="s">
        <v>516</v>
      </c>
      <c r="I3698" s="549" t="s">
        <v>1096</v>
      </c>
      <c r="J3698" s="549" t="s">
        <v>1096</v>
      </c>
      <c r="K3698" s="549" t="s">
        <v>1096</v>
      </c>
      <c r="L3698" s="549">
        <v>132564.41</v>
      </c>
      <c r="M3698" s="549">
        <v>0</v>
      </c>
      <c r="N3698" s="549">
        <v>0</v>
      </c>
      <c r="O3698" s="549">
        <v>0</v>
      </c>
      <c r="P3698" s="549">
        <v>0</v>
      </c>
      <c r="Q3698" s="549">
        <v>0</v>
      </c>
    </row>
    <row r="3699" spans="1:17" x14ac:dyDescent="0.25">
      <c r="A3699" s="549" t="s">
        <v>508</v>
      </c>
      <c r="B3699" s="549" t="s">
        <v>1110</v>
      </c>
      <c r="C3699" s="549" t="s">
        <v>516</v>
      </c>
      <c r="D3699" s="549" t="s">
        <v>1103</v>
      </c>
      <c r="E3699" s="549" t="s">
        <v>977</v>
      </c>
      <c r="F3699" s="549" t="s">
        <v>1212</v>
      </c>
      <c r="G3699" s="549">
        <v>62</v>
      </c>
      <c r="H3699" s="549" t="s">
        <v>516</v>
      </c>
      <c r="I3699" s="549" t="s">
        <v>1096</v>
      </c>
      <c r="J3699" s="549" t="s">
        <v>1096</v>
      </c>
      <c r="K3699" s="549" t="s">
        <v>1096</v>
      </c>
      <c r="L3699" s="549">
        <v>509625.72</v>
      </c>
      <c r="M3699" s="549">
        <v>0</v>
      </c>
      <c r="N3699" s="549">
        <v>0</v>
      </c>
      <c r="O3699" s="549">
        <v>0</v>
      </c>
      <c r="P3699" s="549">
        <v>0</v>
      </c>
      <c r="Q3699" s="549">
        <v>0</v>
      </c>
    </row>
    <row r="3700" spans="1:17" x14ac:dyDescent="0.25">
      <c r="A3700" s="549" t="s">
        <v>508</v>
      </c>
      <c r="B3700" s="549" t="s">
        <v>1110</v>
      </c>
      <c r="C3700" s="549" t="s">
        <v>516</v>
      </c>
      <c r="D3700" s="549" t="s">
        <v>1103</v>
      </c>
      <c r="E3700" s="549" t="s">
        <v>977</v>
      </c>
      <c r="F3700" s="549" t="s">
        <v>1212</v>
      </c>
      <c r="G3700" s="549">
        <v>72</v>
      </c>
      <c r="H3700" s="549" t="s">
        <v>516</v>
      </c>
      <c r="I3700" s="549" t="s">
        <v>1096</v>
      </c>
      <c r="J3700" s="549" t="s">
        <v>1096</v>
      </c>
      <c r="K3700" s="549" t="s">
        <v>1096</v>
      </c>
      <c r="L3700" s="549">
        <v>509625.72</v>
      </c>
      <c r="M3700" s="549">
        <v>0</v>
      </c>
      <c r="N3700" s="549">
        <v>0</v>
      </c>
      <c r="O3700" s="549">
        <v>0</v>
      </c>
      <c r="P3700" s="549">
        <v>0</v>
      </c>
      <c r="Q3700" s="549">
        <v>0</v>
      </c>
    </row>
    <row r="3701" spans="1:17" x14ac:dyDescent="0.25">
      <c r="A3701" s="549" t="s">
        <v>508</v>
      </c>
      <c r="B3701" s="549" t="s">
        <v>1110</v>
      </c>
      <c r="C3701" s="549" t="s">
        <v>516</v>
      </c>
      <c r="D3701" s="549" t="s">
        <v>1103</v>
      </c>
      <c r="E3701" s="549" t="s">
        <v>977</v>
      </c>
      <c r="F3701" s="549" t="s">
        <v>1212</v>
      </c>
      <c r="G3701" s="549" t="s">
        <v>1466</v>
      </c>
      <c r="H3701" s="549" t="s">
        <v>516</v>
      </c>
      <c r="I3701" s="549" t="s">
        <v>1096</v>
      </c>
      <c r="J3701" s="549" t="s">
        <v>1096</v>
      </c>
      <c r="K3701" s="549" t="s">
        <v>1096</v>
      </c>
      <c r="L3701" s="549">
        <v>108121.03</v>
      </c>
      <c r="M3701" s="549">
        <v>0</v>
      </c>
      <c r="N3701" s="549">
        <v>0</v>
      </c>
      <c r="O3701" s="549">
        <v>0</v>
      </c>
      <c r="P3701" s="549">
        <v>0</v>
      </c>
      <c r="Q3701" s="549">
        <v>0</v>
      </c>
    </row>
    <row r="3702" spans="1:17" x14ac:dyDescent="0.25">
      <c r="A3702" s="549" t="s">
        <v>508</v>
      </c>
      <c r="B3702" s="549" t="s">
        <v>1110</v>
      </c>
      <c r="C3702" s="549" t="s">
        <v>516</v>
      </c>
      <c r="D3702" s="549" t="s">
        <v>1103</v>
      </c>
      <c r="E3702" s="549" t="s">
        <v>977</v>
      </c>
      <c r="F3702" s="549" t="s">
        <v>1212</v>
      </c>
      <c r="G3702" s="549" t="s">
        <v>1249</v>
      </c>
      <c r="H3702" s="549" t="s">
        <v>516</v>
      </c>
      <c r="I3702" s="549" t="s">
        <v>1096</v>
      </c>
      <c r="J3702" s="549" t="s">
        <v>1096</v>
      </c>
      <c r="K3702" s="549" t="s">
        <v>1096</v>
      </c>
      <c r="L3702" s="549">
        <v>49288.68</v>
      </c>
      <c r="M3702" s="549">
        <v>0</v>
      </c>
      <c r="N3702" s="549">
        <v>0</v>
      </c>
      <c r="O3702" s="549">
        <v>0</v>
      </c>
      <c r="P3702" s="549">
        <v>0</v>
      </c>
      <c r="Q3702" s="549">
        <v>0</v>
      </c>
    </row>
    <row r="3703" spans="1:17" x14ac:dyDescent="0.25">
      <c r="A3703" s="549" t="s">
        <v>508</v>
      </c>
      <c r="B3703" s="549" t="s">
        <v>1110</v>
      </c>
      <c r="C3703" s="549" t="s">
        <v>516</v>
      </c>
      <c r="D3703" s="549" t="s">
        <v>1103</v>
      </c>
      <c r="E3703" s="549" t="s">
        <v>977</v>
      </c>
      <c r="F3703" s="549" t="s">
        <v>1212</v>
      </c>
      <c r="G3703" s="549" t="s">
        <v>1250</v>
      </c>
      <c r="H3703" s="549" t="s">
        <v>516</v>
      </c>
      <c r="I3703" s="549" t="s">
        <v>1096</v>
      </c>
      <c r="J3703" s="549" t="s">
        <v>1096</v>
      </c>
      <c r="K3703" s="549" t="s">
        <v>1096</v>
      </c>
      <c r="L3703" s="549">
        <v>49288.68</v>
      </c>
      <c r="M3703" s="549">
        <v>0</v>
      </c>
      <c r="N3703" s="549">
        <v>0</v>
      </c>
      <c r="O3703" s="549">
        <v>0</v>
      </c>
      <c r="P3703" s="549">
        <v>0</v>
      </c>
      <c r="Q3703" s="549">
        <v>0</v>
      </c>
    </row>
    <row r="3704" spans="1:17" x14ac:dyDescent="0.25">
      <c r="A3704" s="549" t="s">
        <v>508</v>
      </c>
      <c r="B3704" s="549" t="s">
        <v>1110</v>
      </c>
      <c r="C3704" s="549" t="s">
        <v>516</v>
      </c>
      <c r="D3704" s="549" t="s">
        <v>1103</v>
      </c>
      <c r="E3704" s="549" t="s">
        <v>977</v>
      </c>
      <c r="F3704" s="549" t="s">
        <v>1212</v>
      </c>
      <c r="G3704" s="549" t="s">
        <v>1215</v>
      </c>
      <c r="H3704" s="549" t="s">
        <v>516</v>
      </c>
      <c r="I3704" s="549" t="s">
        <v>1096</v>
      </c>
      <c r="J3704" s="549" t="s">
        <v>1096</v>
      </c>
      <c r="K3704" s="549" t="s">
        <v>1096</v>
      </c>
      <c r="L3704" s="549">
        <v>49288.68</v>
      </c>
      <c r="M3704" s="549">
        <v>0</v>
      </c>
      <c r="N3704" s="549">
        <v>0</v>
      </c>
      <c r="O3704" s="549">
        <v>0</v>
      </c>
      <c r="P3704" s="549">
        <v>0</v>
      </c>
      <c r="Q3704" s="549">
        <v>0</v>
      </c>
    </row>
    <row r="3705" spans="1:17" x14ac:dyDescent="0.25">
      <c r="A3705" s="549" t="s">
        <v>1111</v>
      </c>
      <c r="B3705" s="549" t="s">
        <v>1112</v>
      </c>
      <c r="C3705" s="549" t="s">
        <v>827</v>
      </c>
      <c r="D3705" s="549" t="s">
        <v>828</v>
      </c>
      <c r="E3705" s="549" t="s">
        <v>977</v>
      </c>
      <c r="F3705" s="549" t="s">
        <v>1212</v>
      </c>
      <c r="G3705" s="549">
        <v>262</v>
      </c>
      <c r="H3705" s="549" t="s">
        <v>827</v>
      </c>
      <c r="I3705" s="549" t="s">
        <v>976</v>
      </c>
      <c r="J3705" s="549" t="s">
        <v>976</v>
      </c>
      <c r="K3705" s="549" t="s">
        <v>976</v>
      </c>
      <c r="L3705" s="549">
        <v>499633.06</v>
      </c>
      <c r="M3705" s="549">
        <v>37722.300000000003</v>
      </c>
      <c r="N3705" s="549">
        <v>11041.89</v>
      </c>
      <c r="O3705" s="549">
        <v>3571.2</v>
      </c>
      <c r="P3705" s="549">
        <v>100</v>
      </c>
      <c r="Q3705" s="549">
        <v>52335.39</v>
      </c>
    </row>
    <row r="3706" spans="1:17" x14ac:dyDescent="0.25">
      <c r="A3706" s="549" t="s">
        <v>1111</v>
      </c>
      <c r="B3706" s="549" t="s">
        <v>1112</v>
      </c>
      <c r="C3706" s="549" t="s">
        <v>827</v>
      </c>
      <c r="D3706" s="549" t="s">
        <v>828</v>
      </c>
      <c r="E3706" s="549" t="s">
        <v>977</v>
      </c>
      <c r="F3706" s="549" t="s">
        <v>1212</v>
      </c>
      <c r="G3706" s="549">
        <v>277</v>
      </c>
      <c r="H3706" s="549" t="s">
        <v>827</v>
      </c>
      <c r="I3706" s="549" t="s">
        <v>976</v>
      </c>
      <c r="J3706" s="549" t="s">
        <v>976</v>
      </c>
      <c r="K3706" s="549" t="s">
        <v>976</v>
      </c>
      <c r="L3706" s="549">
        <v>34387.599999999999</v>
      </c>
      <c r="M3706" s="549">
        <v>2596.2600000000002</v>
      </c>
      <c r="N3706" s="549">
        <v>759.97</v>
      </c>
      <c r="O3706" s="549">
        <v>992</v>
      </c>
      <c r="P3706" s="549">
        <v>100</v>
      </c>
      <c r="Q3706" s="549">
        <v>4348.2299999999996</v>
      </c>
    </row>
    <row r="3707" spans="1:17" x14ac:dyDescent="0.25">
      <c r="A3707" s="549" t="s">
        <v>1111</v>
      </c>
      <c r="B3707" s="549" t="s">
        <v>1112</v>
      </c>
      <c r="C3707" s="549" t="s">
        <v>827</v>
      </c>
      <c r="D3707" s="549" t="s">
        <v>828</v>
      </c>
      <c r="E3707" s="549" t="s">
        <v>977</v>
      </c>
      <c r="F3707" s="549" t="s">
        <v>1212</v>
      </c>
      <c r="G3707" s="549">
        <v>302</v>
      </c>
      <c r="H3707" s="549" t="s">
        <v>827</v>
      </c>
      <c r="I3707" s="549" t="s">
        <v>976</v>
      </c>
      <c r="J3707" s="549" t="s">
        <v>976</v>
      </c>
      <c r="K3707" s="549" t="s">
        <v>976</v>
      </c>
      <c r="L3707" s="549">
        <v>499633.06</v>
      </c>
      <c r="M3707" s="549">
        <v>37722.300000000003</v>
      </c>
      <c r="N3707" s="549">
        <v>11041.89</v>
      </c>
      <c r="O3707" s="549">
        <v>3571.2</v>
      </c>
      <c r="P3707" s="549">
        <v>100</v>
      </c>
      <c r="Q3707" s="549">
        <v>52335.39</v>
      </c>
    </row>
    <row r="3708" spans="1:17" x14ac:dyDescent="0.25">
      <c r="A3708" s="549" t="s">
        <v>1111</v>
      </c>
      <c r="B3708" s="549" t="s">
        <v>1112</v>
      </c>
      <c r="C3708" s="549" t="s">
        <v>827</v>
      </c>
      <c r="D3708" s="549" t="s">
        <v>828</v>
      </c>
      <c r="E3708" s="549" t="s">
        <v>977</v>
      </c>
      <c r="F3708" s="549" t="s">
        <v>1212</v>
      </c>
      <c r="G3708" s="549">
        <v>322</v>
      </c>
      <c r="H3708" s="549" t="s">
        <v>827</v>
      </c>
      <c r="I3708" s="549" t="s">
        <v>976</v>
      </c>
      <c r="J3708" s="549" t="s">
        <v>976</v>
      </c>
      <c r="K3708" s="549" t="s">
        <v>976</v>
      </c>
      <c r="L3708" s="549">
        <v>499633.06</v>
      </c>
      <c r="M3708" s="549">
        <v>37722.300000000003</v>
      </c>
      <c r="N3708" s="549">
        <v>11041.89</v>
      </c>
      <c r="O3708" s="549">
        <v>3571.2</v>
      </c>
      <c r="P3708" s="549">
        <v>100</v>
      </c>
      <c r="Q3708" s="549">
        <v>52335.39</v>
      </c>
    </row>
    <row r="3709" spans="1:17" x14ac:dyDescent="0.25">
      <c r="A3709" s="549" t="s">
        <v>1111</v>
      </c>
      <c r="B3709" s="549" t="s">
        <v>1112</v>
      </c>
      <c r="C3709" s="549" t="s">
        <v>827</v>
      </c>
      <c r="D3709" s="549" t="s">
        <v>828</v>
      </c>
      <c r="E3709" s="549" t="s">
        <v>977</v>
      </c>
      <c r="F3709" s="549" t="s">
        <v>1212</v>
      </c>
      <c r="G3709" s="549">
        <v>582</v>
      </c>
      <c r="H3709" s="549" t="s">
        <v>827</v>
      </c>
      <c r="I3709" s="549" t="s">
        <v>976</v>
      </c>
      <c r="J3709" s="549" t="s">
        <v>976</v>
      </c>
      <c r="K3709" s="549" t="s">
        <v>976</v>
      </c>
      <c r="L3709" s="549">
        <v>441713.05</v>
      </c>
      <c r="M3709" s="549">
        <v>33349.339999999997</v>
      </c>
      <c r="N3709" s="549">
        <v>9761.86</v>
      </c>
      <c r="O3709" s="549">
        <v>1984</v>
      </c>
      <c r="P3709" s="549">
        <v>100</v>
      </c>
      <c r="Q3709" s="549">
        <v>45095.199999999997</v>
      </c>
    </row>
    <row r="3710" spans="1:17" x14ac:dyDescent="0.25">
      <c r="A3710" s="549" t="s">
        <v>1111</v>
      </c>
      <c r="B3710" s="549" t="s">
        <v>1112</v>
      </c>
      <c r="C3710" s="549" t="s">
        <v>827</v>
      </c>
      <c r="D3710" s="549" t="s">
        <v>828</v>
      </c>
      <c r="E3710" s="549" t="s">
        <v>977</v>
      </c>
      <c r="F3710" s="549" t="s">
        <v>1212</v>
      </c>
      <c r="G3710" s="549">
        <v>702</v>
      </c>
      <c r="H3710" s="549" t="s">
        <v>827</v>
      </c>
      <c r="I3710" s="549" t="s">
        <v>976</v>
      </c>
      <c r="J3710" s="549" t="s">
        <v>976</v>
      </c>
      <c r="K3710" s="549" t="s">
        <v>976</v>
      </c>
      <c r="L3710" s="549">
        <v>464050.19</v>
      </c>
      <c r="M3710" s="549">
        <v>35035.79</v>
      </c>
      <c r="N3710" s="549">
        <v>10255.51</v>
      </c>
      <c r="O3710" s="549">
        <v>1984</v>
      </c>
      <c r="P3710" s="549">
        <v>100</v>
      </c>
      <c r="Q3710" s="549">
        <v>47275.3</v>
      </c>
    </row>
    <row r="3711" spans="1:17" x14ac:dyDescent="0.25">
      <c r="A3711" s="549" t="s">
        <v>1111</v>
      </c>
      <c r="B3711" s="549" t="s">
        <v>1112</v>
      </c>
      <c r="C3711" s="549" t="s">
        <v>827</v>
      </c>
      <c r="D3711" s="549" t="s">
        <v>828</v>
      </c>
      <c r="E3711" s="549" t="s">
        <v>977</v>
      </c>
      <c r="F3711" s="549" t="s">
        <v>1212</v>
      </c>
      <c r="G3711" s="549">
        <v>1142</v>
      </c>
      <c r="H3711" s="549" t="s">
        <v>827</v>
      </c>
      <c r="I3711" s="549" t="s">
        <v>976</v>
      </c>
      <c r="J3711" s="549" t="s">
        <v>976</v>
      </c>
      <c r="K3711" s="549" t="s">
        <v>976</v>
      </c>
      <c r="L3711" s="549">
        <v>82374.48</v>
      </c>
      <c r="M3711" s="549">
        <v>6219.27</v>
      </c>
      <c r="N3711" s="549">
        <v>1820.48</v>
      </c>
      <c r="O3711" s="549">
        <v>892.8</v>
      </c>
      <c r="P3711" s="549">
        <v>100</v>
      </c>
      <c r="Q3711" s="549">
        <v>8932.5499999999993</v>
      </c>
    </row>
    <row r="3712" spans="1:17" x14ac:dyDescent="0.25">
      <c r="A3712" s="549" t="s">
        <v>1111</v>
      </c>
      <c r="B3712" s="549" t="s">
        <v>1112</v>
      </c>
      <c r="C3712" s="549" t="s">
        <v>827</v>
      </c>
      <c r="D3712" s="549" t="s">
        <v>828</v>
      </c>
      <c r="E3712" s="549" t="s">
        <v>977</v>
      </c>
      <c r="F3712" s="549" t="s">
        <v>1212</v>
      </c>
      <c r="G3712" s="549">
        <v>1152</v>
      </c>
      <c r="H3712" s="549" t="s">
        <v>827</v>
      </c>
      <c r="I3712" s="549" t="s">
        <v>976</v>
      </c>
      <c r="J3712" s="549" t="s">
        <v>976</v>
      </c>
      <c r="K3712" s="549" t="s">
        <v>976</v>
      </c>
      <c r="L3712" s="549">
        <v>82374.48</v>
      </c>
      <c r="M3712" s="549">
        <v>6219.27</v>
      </c>
      <c r="N3712" s="549">
        <v>1820.48</v>
      </c>
      <c r="O3712" s="549">
        <v>892.8</v>
      </c>
      <c r="P3712" s="549">
        <v>100</v>
      </c>
      <c r="Q3712" s="549">
        <v>8932.5499999999993</v>
      </c>
    </row>
    <row r="3713" spans="1:17" x14ac:dyDescent="0.25">
      <c r="A3713" s="549" t="s">
        <v>1111</v>
      </c>
      <c r="B3713" s="549" t="s">
        <v>1112</v>
      </c>
      <c r="C3713" s="549" t="s">
        <v>827</v>
      </c>
      <c r="D3713" s="549" t="s">
        <v>828</v>
      </c>
      <c r="E3713" s="549" t="s">
        <v>977</v>
      </c>
      <c r="F3713" s="549" t="s">
        <v>1212</v>
      </c>
      <c r="G3713" s="549">
        <v>1162</v>
      </c>
      <c r="H3713" s="549" t="s">
        <v>827</v>
      </c>
      <c r="I3713" s="549" t="s">
        <v>976</v>
      </c>
      <c r="J3713" s="549" t="s">
        <v>976</v>
      </c>
      <c r="K3713" s="549" t="s">
        <v>976</v>
      </c>
      <c r="L3713" s="549">
        <v>234357.8</v>
      </c>
      <c r="M3713" s="549">
        <v>17694.009999999998</v>
      </c>
      <c r="N3713" s="549">
        <v>5179.3100000000004</v>
      </c>
      <c r="O3713" s="549">
        <v>1984</v>
      </c>
      <c r="P3713" s="549">
        <v>100</v>
      </c>
      <c r="Q3713" s="549">
        <v>24857.32</v>
      </c>
    </row>
    <row r="3714" spans="1:17" x14ac:dyDescent="0.25">
      <c r="A3714" s="549" t="s">
        <v>1111</v>
      </c>
      <c r="B3714" s="549" t="s">
        <v>1112</v>
      </c>
      <c r="C3714" s="549" t="s">
        <v>827</v>
      </c>
      <c r="D3714" s="549" t="s">
        <v>828</v>
      </c>
      <c r="E3714" s="549" t="s">
        <v>977</v>
      </c>
      <c r="F3714" s="549" t="s">
        <v>1212</v>
      </c>
      <c r="G3714" s="549">
        <v>1172</v>
      </c>
      <c r="H3714" s="549" t="s">
        <v>827</v>
      </c>
      <c r="I3714" s="549" t="s">
        <v>976</v>
      </c>
      <c r="J3714" s="549" t="s">
        <v>976</v>
      </c>
      <c r="K3714" s="549" t="s">
        <v>976</v>
      </c>
      <c r="L3714" s="549">
        <v>82374.48</v>
      </c>
      <c r="M3714" s="549">
        <v>6219.27</v>
      </c>
      <c r="N3714" s="549">
        <v>1820.48</v>
      </c>
      <c r="O3714" s="549">
        <v>892.8</v>
      </c>
      <c r="P3714" s="549">
        <v>100</v>
      </c>
      <c r="Q3714" s="549">
        <v>8932.5499999999993</v>
      </c>
    </row>
    <row r="3715" spans="1:17" x14ac:dyDescent="0.25">
      <c r="A3715" s="549" t="s">
        <v>1111</v>
      </c>
      <c r="B3715" s="549" t="s">
        <v>1112</v>
      </c>
      <c r="C3715" s="549" t="s">
        <v>827</v>
      </c>
      <c r="D3715" s="549" t="s">
        <v>828</v>
      </c>
      <c r="E3715" s="549" t="s">
        <v>977</v>
      </c>
      <c r="F3715" s="549" t="s">
        <v>1212</v>
      </c>
      <c r="G3715" s="549">
        <v>1182</v>
      </c>
      <c r="H3715" s="549" t="s">
        <v>827</v>
      </c>
      <c r="I3715" s="549" t="s">
        <v>976</v>
      </c>
      <c r="J3715" s="549" t="s">
        <v>976</v>
      </c>
      <c r="K3715" s="549" t="s">
        <v>976</v>
      </c>
      <c r="L3715" s="549">
        <v>82374.48</v>
      </c>
      <c r="M3715" s="549">
        <v>6219.27</v>
      </c>
      <c r="N3715" s="549">
        <v>1820.48</v>
      </c>
      <c r="O3715" s="549">
        <v>892.8</v>
      </c>
      <c r="P3715" s="549">
        <v>100</v>
      </c>
      <c r="Q3715" s="549">
        <v>8932.5499999999993</v>
      </c>
    </row>
    <row r="3716" spans="1:17" x14ac:dyDescent="0.25">
      <c r="A3716" s="549" t="s">
        <v>1111</v>
      </c>
      <c r="B3716" s="549" t="s">
        <v>1112</v>
      </c>
      <c r="C3716" s="549" t="s">
        <v>827</v>
      </c>
      <c r="D3716" s="549" t="s">
        <v>828</v>
      </c>
      <c r="E3716" s="549" t="s">
        <v>977</v>
      </c>
      <c r="F3716" s="549" t="s">
        <v>1212</v>
      </c>
      <c r="G3716" s="549">
        <v>1192</v>
      </c>
      <c r="H3716" s="549" t="s">
        <v>827</v>
      </c>
      <c r="I3716" s="549" t="s">
        <v>976</v>
      </c>
      <c r="J3716" s="549" t="s">
        <v>976</v>
      </c>
      <c r="K3716" s="549" t="s">
        <v>976</v>
      </c>
      <c r="L3716" s="549">
        <v>82374.48</v>
      </c>
      <c r="M3716" s="549">
        <v>6219.27</v>
      </c>
      <c r="N3716" s="549">
        <v>1820.48</v>
      </c>
      <c r="O3716" s="549">
        <v>892.8</v>
      </c>
      <c r="P3716" s="549">
        <v>100</v>
      </c>
      <c r="Q3716" s="549">
        <v>8932.5499999999993</v>
      </c>
    </row>
    <row r="3717" spans="1:17" x14ac:dyDescent="0.25">
      <c r="A3717" s="549" t="s">
        <v>1111</v>
      </c>
      <c r="B3717" s="549" t="s">
        <v>1112</v>
      </c>
      <c r="C3717" s="549" t="s">
        <v>827</v>
      </c>
      <c r="D3717" s="549" t="s">
        <v>828</v>
      </c>
      <c r="E3717" s="549" t="s">
        <v>977</v>
      </c>
      <c r="F3717" s="549" t="s">
        <v>1212</v>
      </c>
      <c r="G3717" s="549">
        <v>1202</v>
      </c>
      <c r="H3717" s="549" t="s">
        <v>827</v>
      </c>
      <c r="I3717" s="549" t="s">
        <v>976</v>
      </c>
      <c r="J3717" s="549" t="s">
        <v>976</v>
      </c>
      <c r="K3717" s="549" t="s">
        <v>976</v>
      </c>
      <c r="L3717" s="549">
        <v>82374.48</v>
      </c>
      <c r="M3717" s="549">
        <v>6219.27</v>
      </c>
      <c r="N3717" s="549">
        <v>1820.48</v>
      </c>
      <c r="O3717" s="549">
        <v>892.8</v>
      </c>
      <c r="P3717" s="549">
        <v>100</v>
      </c>
      <c r="Q3717" s="549">
        <v>8932.5499999999993</v>
      </c>
    </row>
    <row r="3718" spans="1:17" x14ac:dyDescent="0.25">
      <c r="A3718" s="549" t="s">
        <v>1111</v>
      </c>
      <c r="B3718" s="549" t="s">
        <v>1112</v>
      </c>
      <c r="C3718" s="549" t="s">
        <v>827</v>
      </c>
      <c r="D3718" s="549" t="s">
        <v>828</v>
      </c>
      <c r="E3718" s="549" t="s">
        <v>977</v>
      </c>
      <c r="F3718" s="549" t="s">
        <v>1212</v>
      </c>
      <c r="G3718" s="549">
        <v>1212</v>
      </c>
      <c r="H3718" s="549" t="s">
        <v>827</v>
      </c>
      <c r="I3718" s="549" t="s">
        <v>976</v>
      </c>
      <c r="J3718" s="549" t="s">
        <v>976</v>
      </c>
      <c r="K3718" s="549" t="s">
        <v>976</v>
      </c>
      <c r="L3718" s="549">
        <v>82374.48</v>
      </c>
      <c r="M3718" s="549">
        <v>6219.27</v>
      </c>
      <c r="N3718" s="549">
        <v>1820.48</v>
      </c>
      <c r="O3718" s="549">
        <v>892.8</v>
      </c>
      <c r="P3718" s="549">
        <v>100</v>
      </c>
      <c r="Q3718" s="549">
        <v>8932.5499999999993</v>
      </c>
    </row>
    <row r="3719" spans="1:17" x14ac:dyDescent="0.25">
      <c r="A3719" s="549" t="s">
        <v>1111</v>
      </c>
      <c r="B3719" s="549" t="s">
        <v>1112</v>
      </c>
      <c r="C3719" s="549" t="s">
        <v>827</v>
      </c>
      <c r="D3719" s="549" t="s">
        <v>828</v>
      </c>
      <c r="E3719" s="549" t="s">
        <v>977</v>
      </c>
      <c r="F3719" s="549" t="s">
        <v>1212</v>
      </c>
      <c r="G3719" s="549">
        <v>1217</v>
      </c>
      <c r="H3719" s="549" t="s">
        <v>827</v>
      </c>
      <c r="I3719" s="549" t="s">
        <v>976</v>
      </c>
      <c r="J3719" s="549" t="s">
        <v>976</v>
      </c>
      <c r="K3719" s="549" t="s">
        <v>976</v>
      </c>
      <c r="L3719" s="549">
        <v>7990.98</v>
      </c>
      <c r="M3719" s="549">
        <v>603.32000000000005</v>
      </c>
      <c r="N3719" s="549">
        <v>176.6</v>
      </c>
      <c r="O3719" s="549">
        <v>992</v>
      </c>
      <c r="P3719" s="549">
        <v>100</v>
      </c>
      <c r="Q3719" s="549">
        <v>1771.92</v>
      </c>
    </row>
    <row r="3720" spans="1:17" x14ac:dyDescent="0.25">
      <c r="A3720" s="549" t="s">
        <v>1111</v>
      </c>
      <c r="B3720" s="549" t="s">
        <v>1112</v>
      </c>
      <c r="C3720" s="549" t="s">
        <v>827</v>
      </c>
      <c r="D3720" s="549" t="s">
        <v>828</v>
      </c>
      <c r="E3720" s="549" t="s">
        <v>977</v>
      </c>
      <c r="F3720" s="549" t="s">
        <v>1212</v>
      </c>
      <c r="G3720" s="549">
        <v>1232</v>
      </c>
      <c r="H3720" s="549" t="s">
        <v>827</v>
      </c>
      <c r="I3720" s="549" t="s">
        <v>976</v>
      </c>
      <c r="J3720" s="549" t="s">
        <v>976</v>
      </c>
      <c r="K3720" s="549" t="s">
        <v>976</v>
      </c>
      <c r="L3720" s="549">
        <v>82374.48</v>
      </c>
      <c r="M3720" s="549">
        <v>6219.27</v>
      </c>
      <c r="N3720" s="549">
        <v>1820.48</v>
      </c>
      <c r="O3720" s="549">
        <v>892.8</v>
      </c>
      <c r="P3720" s="549">
        <v>100</v>
      </c>
      <c r="Q3720" s="549">
        <v>8932.5499999999993</v>
      </c>
    </row>
    <row r="3721" spans="1:17" x14ac:dyDescent="0.25">
      <c r="A3721" s="549" t="s">
        <v>1111</v>
      </c>
      <c r="B3721" s="549" t="s">
        <v>1112</v>
      </c>
      <c r="C3721" s="549" t="s">
        <v>827</v>
      </c>
      <c r="D3721" s="549" t="s">
        <v>828</v>
      </c>
      <c r="E3721" s="549" t="s">
        <v>977</v>
      </c>
      <c r="F3721" s="549" t="s">
        <v>1212</v>
      </c>
      <c r="G3721" s="549">
        <v>1242</v>
      </c>
      <c r="H3721" s="549" t="s">
        <v>827</v>
      </c>
      <c r="I3721" s="549" t="s">
        <v>976</v>
      </c>
      <c r="J3721" s="549" t="s">
        <v>976</v>
      </c>
      <c r="K3721" s="549" t="s">
        <v>976</v>
      </c>
      <c r="L3721" s="549">
        <v>82374.48</v>
      </c>
      <c r="M3721" s="549">
        <v>6219.27</v>
      </c>
      <c r="N3721" s="549">
        <v>1820.48</v>
      </c>
      <c r="O3721" s="549">
        <v>892.8</v>
      </c>
      <c r="P3721" s="549">
        <v>100</v>
      </c>
      <c r="Q3721" s="549">
        <v>8932.5499999999993</v>
      </c>
    </row>
    <row r="3722" spans="1:17" x14ac:dyDescent="0.25">
      <c r="A3722" s="549" t="s">
        <v>1111</v>
      </c>
      <c r="B3722" s="549" t="s">
        <v>1112</v>
      </c>
      <c r="C3722" s="549" t="s">
        <v>827</v>
      </c>
      <c r="D3722" s="549" t="s">
        <v>828</v>
      </c>
      <c r="E3722" s="549" t="s">
        <v>977</v>
      </c>
      <c r="F3722" s="549" t="s">
        <v>1212</v>
      </c>
      <c r="G3722" s="549">
        <v>1252</v>
      </c>
      <c r="H3722" s="549" t="s">
        <v>827</v>
      </c>
      <c r="I3722" s="549" t="s">
        <v>976</v>
      </c>
      <c r="J3722" s="549" t="s">
        <v>976</v>
      </c>
      <c r="K3722" s="549" t="s">
        <v>976</v>
      </c>
      <c r="L3722" s="549">
        <v>82374.48</v>
      </c>
      <c r="M3722" s="549">
        <v>6219.27</v>
      </c>
      <c r="N3722" s="549">
        <v>1820.48</v>
      </c>
      <c r="O3722" s="549">
        <v>892.8</v>
      </c>
      <c r="P3722" s="549">
        <v>100</v>
      </c>
      <c r="Q3722" s="549">
        <v>8932.5499999999993</v>
      </c>
    </row>
    <row r="3723" spans="1:17" x14ac:dyDescent="0.25">
      <c r="A3723" s="549" t="s">
        <v>1111</v>
      </c>
      <c r="B3723" s="549" t="s">
        <v>1112</v>
      </c>
      <c r="C3723" s="549" t="s">
        <v>827</v>
      </c>
      <c r="D3723" s="549" t="s">
        <v>828</v>
      </c>
      <c r="E3723" s="549" t="s">
        <v>977</v>
      </c>
      <c r="F3723" s="549" t="s">
        <v>1212</v>
      </c>
      <c r="G3723" s="549">
        <v>1262</v>
      </c>
      <c r="H3723" s="549" t="s">
        <v>827</v>
      </c>
      <c r="I3723" s="549" t="s">
        <v>976</v>
      </c>
      <c r="J3723" s="549" t="s">
        <v>976</v>
      </c>
      <c r="K3723" s="549" t="s">
        <v>976</v>
      </c>
      <c r="L3723" s="549">
        <v>234357.8</v>
      </c>
      <c r="M3723" s="549">
        <v>17694.009999999998</v>
      </c>
      <c r="N3723" s="549">
        <v>5179.3100000000004</v>
      </c>
      <c r="O3723" s="549">
        <v>1984</v>
      </c>
      <c r="P3723" s="549">
        <v>100</v>
      </c>
      <c r="Q3723" s="549">
        <v>24857.32</v>
      </c>
    </row>
    <row r="3724" spans="1:17" x14ac:dyDescent="0.25">
      <c r="A3724" s="549" t="s">
        <v>1111</v>
      </c>
      <c r="B3724" s="549" t="s">
        <v>1112</v>
      </c>
      <c r="C3724" s="549" t="s">
        <v>827</v>
      </c>
      <c r="D3724" s="549" t="s">
        <v>828</v>
      </c>
      <c r="E3724" s="549" t="s">
        <v>977</v>
      </c>
      <c r="F3724" s="549" t="s">
        <v>1212</v>
      </c>
      <c r="G3724" s="549">
        <v>1272</v>
      </c>
      <c r="H3724" s="549" t="s">
        <v>827</v>
      </c>
      <c r="I3724" s="549" t="s">
        <v>976</v>
      </c>
      <c r="J3724" s="549" t="s">
        <v>976</v>
      </c>
      <c r="K3724" s="549" t="s">
        <v>976</v>
      </c>
      <c r="L3724" s="549">
        <v>82374.48</v>
      </c>
      <c r="M3724" s="549">
        <v>6219.27</v>
      </c>
      <c r="N3724" s="549">
        <v>1820.48</v>
      </c>
      <c r="O3724" s="549">
        <v>892.8</v>
      </c>
      <c r="P3724" s="549">
        <v>100</v>
      </c>
      <c r="Q3724" s="549">
        <v>8932.5499999999993</v>
      </c>
    </row>
    <row r="3725" spans="1:17" x14ac:dyDescent="0.25">
      <c r="A3725" s="549" t="s">
        <v>1111</v>
      </c>
      <c r="B3725" s="549" t="s">
        <v>1112</v>
      </c>
      <c r="C3725" s="549" t="s">
        <v>827</v>
      </c>
      <c r="D3725" s="549" t="s">
        <v>828</v>
      </c>
      <c r="E3725" s="549" t="s">
        <v>977</v>
      </c>
      <c r="F3725" s="549" t="s">
        <v>1212</v>
      </c>
      <c r="G3725" s="549">
        <v>1282</v>
      </c>
      <c r="H3725" s="549" t="s">
        <v>827</v>
      </c>
      <c r="I3725" s="549" t="s">
        <v>976</v>
      </c>
      <c r="J3725" s="549" t="s">
        <v>976</v>
      </c>
      <c r="K3725" s="549" t="s">
        <v>976</v>
      </c>
      <c r="L3725" s="549">
        <v>82374.48</v>
      </c>
      <c r="M3725" s="549">
        <v>6219.27</v>
      </c>
      <c r="N3725" s="549">
        <v>1820.48</v>
      </c>
      <c r="O3725" s="549">
        <v>892.8</v>
      </c>
      <c r="P3725" s="549">
        <v>100</v>
      </c>
      <c r="Q3725" s="549">
        <v>8932.5499999999993</v>
      </c>
    </row>
    <row r="3726" spans="1:17" x14ac:dyDescent="0.25">
      <c r="A3726" s="549" t="s">
        <v>1111</v>
      </c>
      <c r="B3726" s="549" t="s">
        <v>1112</v>
      </c>
      <c r="C3726" s="549" t="s">
        <v>827</v>
      </c>
      <c r="D3726" s="549" t="s">
        <v>828</v>
      </c>
      <c r="E3726" s="549" t="s">
        <v>977</v>
      </c>
      <c r="F3726" s="549" t="s">
        <v>1212</v>
      </c>
      <c r="G3726" s="549">
        <v>1292</v>
      </c>
      <c r="H3726" s="549" t="s">
        <v>827</v>
      </c>
      <c r="I3726" s="549" t="s">
        <v>976</v>
      </c>
      <c r="J3726" s="549" t="s">
        <v>976</v>
      </c>
      <c r="K3726" s="549" t="s">
        <v>976</v>
      </c>
      <c r="L3726" s="549">
        <v>82374.48</v>
      </c>
      <c r="M3726" s="549">
        <v>6219.27</v>
      </c>
      <c r="N3726" s="549">
        <v>1820.48</v>
      </c>
      <c r="O3726" s="549">
        <v>892.8</v>
      </c>
      <c r="P3726" s="549">
        <v>100</v>
      </c>
      <c r="Q3726" s="549">
        <v>8932.5499999999993</v>
      </c>
    </row>
    <row r="3727" spans="1:17" x14ac:dyDescent="0.25">
      <c r="A3727" s="549" t="s">
        <v>1111</v>
      </c>
      <c r="B3727" s="549" t="s">
        <v>1112</v>
      </c>
      <c r="C3727" s="549" t="s">
        <v>827</v>
      </c>
      <c r="D3727" s="549" t="s">
        <v>828</v>
      </c>
      <c r="E3727" s="549" t="s">
        <v>977</v>
      </c>
      <c r="F3727" s="549" t="s">
        <v>1212</v>
      </c>
      <c r="G3727" s="549">
        <v>1304</v>
      </c>
      <c r="H3727" s="549" t="s">
        <v>827</v>
      </c>
      <c r="I3727" s="549" t="s">
        <v>976</v>
      </c>
      <c r="J3727" s="549" t="s">
        <v>976</v>
      </c>
      <c r="K3727" s="549" t="s">
        <v>976</v>
      </c>
      <c r="L3727" s="549">
        <v>0</v>
      </c>
      <c r="M3727" s="549">
        <v>0</v>
      </c>
      <c r="N3727" s="549">
        <v>0</v>
      </c>
      <c r="O3727" s="549">
        <v>0</v>
      </c>
      <c r="P3727" s="549">
        <v>100</v>
      </c>
      <c r="Q3727" s="549">
        <v>0</v>
      </c>
    </row>
    <row r="3728" spans="1:17" x14ac:dyDescent="0.25">
      <c r="A3728" s="549" t="s">
        <v>1111</v>
      </c>
      <c r="B3728" s="549" t="s">
        <v>1112</v>
      </c>
      <c r="C3728" s="549" t="s">
        <v>827</v>
      </c>
      <c r="D3728" s="549" t="s">
        <v>828</v>
      </c>
      <c r="E3728" s="549" t="s">
        <v>977</v>
      </c>
      <c r="F3728" s="549" t="s">
        <v>1212</v>
      </c>
      <c r="G3728" s="549" t="s">
        <v>1496</v>
      </c>
      <c r="H3728" s="549" t="s">
        <v>827</v>
      </c>
      <c r="I3728" s="549" t="s">
        <v>976</v>
      </c>
      <c r="J3728" s="549" t="s">
        <v>976</v>
      </c>
      <c r="K3728" s="549" t="s">
        <v>976</v>
      </c>
      <c r="L3728" s="549">
        <v>13684.68</v>
      </c>
      <c r="M3728" s="549">
        <v>1033.19</v>
      </c>
      <c r="N3728" s="549">
        <v>302.43</v>
      </c>
      <c r="O3728" s="549">
        <v>1984</v>
      </c>
      <c r="P3728" s="549">
        <v>100</v>
      </c>
      <c r="Q3728" s="549">
        <v>3319.62</v>
      </c>
    </row>
    <row r="3729" spans="1:17" x14ac:dyDescent="0.25">
      <c r="A3729" s="549" t="s">
        <v>1111</v>
      </c>
      <c r="B3729" s="549" t="s">
        <v>1112</v>
      </c>
      <c r="C3729" s="549" t="s">
        <v>827</v>
      </c>
      <c r="D3729" s="549" t="s">
        <v>828</v>
      </c>
      <c r="E3729" s="549" t="s">
        <v>977</v>
      </c>
      <c r="F3729" s="549" t="s">
        <v>1212</v>
      </c>
      <c r="G3729" s="549" t="s">
        <v>1497</v>
      </c>
      <c r="H3729" s="549" t="s">
        <v>827</v>
      </c>
      <c r="I3729" s="549" t="s">
        <v>976</v>
      </c>
      <c r="J3729" s="549" t="s">
        <v>976</v>
      </c>
      <c r="K3729" s="549" t="s">
        <v>976</v>
      </c>
      <c r="L3729" s="549">
        <v>13684.68</v>
      </c>
      <c r="M3729" s="549">
        <v>1033.19</v>
      </c>
      <c r="N3729" s="549">
        <v>302.43</v>
      </c>
      <c r="O3729" s="549">
        <v>1984</v>
      </c>
      <c r="P3729" s="549">
        <v>100</v>
      </c>
      <c r="Q3729" s="549">
        <v>3319.62</v>
      </c>
    </row>
    <row r="3730" spans="1:17" x14ac:dyDescent="0.25">
      <c r="A3730" s="549" t="s">
        <v>1111</v>
      </c>
      <c r="B3730" s="549" t="s">
        <v>1112</v>
      </c>
      <c r="C3730" s="549" t="s">
        <v>827</v>
      </c>
      <c r="D3730" s="549" t="s">
        <v>828</v>
      </c>
      <c r="E3730" s="549" t="s">
        <v>977</v>
      </c>
      <c r="F3730" s="549" t="s">
        <v>1212</v>
      </c>
      <c r="G3730" s="549" t="s">
        <v>1451</v>
      </c>
      <c r="H3730" s="549" t="s">
        <v>827</v>
      </c>
      <c r="I3730" s="549" t="s">
        <v>976</v>
      </c>
      <c r="J3730" s="549" t="s">
        <v>976</v>
      </c>
      <c r="K3730" s="549" t="s">
        <v>976</v>
      </c>
      <c r="L3730" s="549">
        <v>31683.14</v>
      </c>
      <c r="M3730" s="549">
        <v>2392.08</v>
      </c>
      <c r="N3730" s="549">
        <v>700.2</v>
      </c>
      <c r="O3730" s="549">
        <v>0</v>
      </c>
      <c r="P3730" s="549">
        <v>100</v>
      </c>
      <c r="Q3730" s="549">
        <v>3092.28</v>
      </c>
    </row>
    <row r="3731" spans="1:17" x14ac:dyDescent="0.25">
      <c r="A3731" s="549" t="s">
        <v>1111</v>
      </c>
      <c r="B3731" s="549" t="s">
        <v>1112</v>
      </c>
      <c r="C3731" s="549" t="s">
        <v>827</v>
      </c>
      <c r="D3731" s="549" t="s">
        <v>828</v>
      </c>
      <c r="E3731" s="549" t="s">
        <v>977</v>
      </c>
      <c r="F3731" s="549" t="s">
        <v>1212</v>
      </c>
      <c r="G3731" s="549" t="s">
        <v>1366</v>
      </c>
      <c r="H3731" s="549" t="s">
        <v>827</v>
      </c>
      <c r="I3731" s="549" t="s">
        <v>976</v>
      </c>
      <c r="J3731" s="549" t="s">
        <v>976</v>
      </c>
      <c r="K3731" s="549" t="s">
        <v>976</v>
      </c>
      <c r="L3731" s="549">
        <v>31683.14</v>
      </c>
      <c r="M3731" s="549">
        <v>2392.08</v>
      </c>
      <c r="N3731" s="549">
        <v>700.2</v>
      </c>
      <c r="O3731" s="549">
        <v>0</v>
      </c>
      <c r="P3731" s="549">
        <v>100</v>
      </c>
      <c r="Q3731" s="549">
        <v>3092.28</v>
      </c>
    </row>
    <row r="3732" spans="1:17" x14ac:dyDescent="0.25">
      <c r="A3732" s="549" t="s">
        <v>1111</v>
      </c>
      <c r="B3732" s="549" t="s">
        <v>1112</v>
      </c>
      <c r="C3732" s="549" t="s">
        <v>827</v>
      </c>
      <c r="D3732" s="549" t="s">
        <v>828</v>
      </c>
      <c r="E3732" s="549" t="s">
        <v>977</v>
      </c>
      <c r="F3732" s="549" t="s">
        <v>1212</v>
      </c>
      <c r="G3732" s="549" t="s">
        <v>1498</v>
      </c>
      <c r="H3732" s="549" t="s">
        <v>827</v>
      </c>
      <c r="I3732" s="549" t="s">
        <v>976</v>
      </c>
      <c r="J3732" s="549" t="s">
        <v>976</v>
      </c>
      <c r="K3732" s="549" t="s">
        <v>976</v>
      </c>
      <c r="L3732" s="549">
        <v>46197.94</v>
      </c>
      <c r="M3732" s="549">
        <v>3487.94</v>
      </c>
      <c r="N3732" s="549">
        <v>1020.97</v>
      </c>
      <c r="O3732" s="549">
        <v>0</v>
      </c>
      <c r="P3732" s="549">
        <v>100</v>
      </c>
      <c r="Q3732" s="549">
        <v>4508.91</v>
      </c>
    </row>
    <row r="3733" spans="1:17" x14ac:dyDescent="0.25">
      <c r="A3733" s="549" t="s">
        <v>1111</v>
      </c>
      <c r="B3733" s="549" t="s">
        <v>1112</v>
      </c>
      <c r="C3733" s="549" t="s">
        <v>827</v>
      </c>
      <c r="D3733" s="549" t="s">
        <v>828</v>
      </c>
      <c r="E3733" s="549" t="s">
        <v>977</v>
      </c>
      <c r="F3733" s="549" t="s">
        <v>1212</v>
      </c>
      <c r="G3733" s="549" t="s">
        <v>1454</v>
      </c>
      <c r="H3733" s="549" t="s">
        <v>827</v>
      </c>
      <c r="I3733" s="549" t="s">
        <v>976</v>
      </c>
      <c r="J3733" s="549" t="s">
        <v>976</v>
      </c>
      <c r="K3733" s="549" t="s">
        <v>976</v>
      </c>
      <c r="L3733" s="549">
        <v>46197.94</v>
      </c>
      <c r="M3733" s="549">
        <v>3487.94</v>
      </c>
      <c r="N3733" s="549">
        <v>1020.97</v>
      </c>
      <c r="O3733" s="549">
        <v>0</v>
      </c>
      <c r="P3733" s="549">
        <v>100</v>
      </c>
      <c r="Q3733" s="549">
        <v>4508.91</v>
      </c>
    </row>
    <row r="3734" spans="1:17" x14ac:dyDescent="0.25">
      <c r="A3734" s="549" t="s">
        <v>1111</v>
      </c>
      <c r="B3734" s="549" t="s">
        <v>1112</v>
      </c>
      <c r="C3734" s="549" t="s">
        <v>827</v>
      </c>
      <c r="D3734" s="549" t="s">
        <v>828</v>
      </c>
      <c r="E3734" s="549" t="s">
        <v>977</v>
      </c>
      <c r="F3734" s="549" t="s">
        <v>1212</v>
      </c>
      <c r="G3734" s="549" t="s">
        <v>1283</v>
      </c>
      <c r="H3734" s="549" t="s">
        <v>827</v>
      </c>
      <c r="I3734" s="549" t="s">
        <v>976</v>
      </c>
      <c r="J3734" s="549" t="s">
        <v>976</v>
      </c>
      <c r="K3734" s="549" t="s">
        <v>976</v>
      </c>
      <c r="L3734" s="549">
        <v>46197.94</v>
      </c>
      <c r="M3734" s="549">
        <v>3487.94</v>
      </c>
      <c r="N3734" s="549">
        <v>1020.97</v>
      </c>
      <c r="O3734" s="549">
        <v>0</v>
      </c>
      <c r="P3734" s="549">
        <v>100</v>
      </c>
      <c r="Q3734" s="549">
        <v>4508.91</v>
      </c>
    </row>
    <row r="3735" spans="1:17" x14ac:dyDescent="0.25">
      <c r="A3735" s="549" t="s">
        <v>1111</v>
      </c>
      <c r="B3735" s="549" t="s">
        <v>1112</v>
      </c>
      <c r="C3735" s="549" t="s">
        <v>827</v>
      </c>
      <c r="D3735" s="549" t="s">
        <v>828</v>
      </c>
      <c r="E3735" s="549" t="s">
        <v>977</v>
      </c>
      <c r="F3735" s="549" t="s">
        <v>1212</v>
      </c>
      <c r="G3735" s="549" t="s">
        <v>1250</v>
      </c>
      <c r="H3735" s="549" t="s">
        <v>827</v>
      </c>
      <c r="I3735" s="549" t="s">
        <v>976</v>
      </c>
      <c r="J3735" s="549" t="s">
        <v>976</v>
      </c>
      <c r="K3735" s="549" t="s">
        <v>976</v>
      </c>
      <c r="L3735" s="549">
        <v>48322.23</v>
      </c>
      <c r="M3735" s="549">
        <v>3648.33</v>
      </c>
      <c r="N3735" s="549">
        <v>1067.92</v>
      </c>
      <c r="O3735" s="549">
        <v>0</v>
      </c>
      <c r="P3735" s="549">
        <v>100</v>
      </c>
      <c r="Q3735" s="549">
        <v>4716.25</v>
      </c>
    </row>
    <row r="3736" spans="1:17" x14ac:dyDescent="0.25">
      <c r="A3736" s="549" t="s">
        <v>1111</v>
      </c>
      <c r="B3736" s="549" t="s">
        <v>1112</v>
      </c>
      <c r="C3736" s="549" t="s">
        <v>827</v>
      </c>
      <c r="D3736" s="549" t="s">
        <v>828</v>
      </c>
      <c r="E3736" s="549" t="s">
        <v>977</v>
      </c>
      <c r="F3736" s="549" t="s">
        <v>1212</v>
      </c>
      <c r="G3736" s="549" t="s">
        <v>1215</v>
      </c>
      <c r="H3736" s="549" t="s">
        <v>827</v>
      </c>
      <c r="I3736" s="549" t="s">
        <v>976</v>
      </c>
      <c r="J3736" s="549" t="s">
        <v>976</v>
      </c>
      <c r="K3736" s="549" t="s">
        <v>976</v>
      </c>
      <c r="L3736" s="549">
        <v>48322.23</v>
      </c>
      <c r="M3736" s="549">
        <v>3648.33</v>
      </c>
      <c r="N3736" s="549">
        <v>1067.92</v>
      </c>
      <c r="O3736" s="549">
        <v>0</v>
      </c>
      <c r="P3736" s="549">
        <v>100</v>
      </c>
      <c r="Q3736" s="549">
        <v>4716.25</v>
      </c>
    </row>
    <row r="3737" spans="1:17" x14ac:dyDescent="0.25">
      <c r="A3737" s="549" t="s">
        <v>1111</v>
      </c>
      <c r="B3737" s="549" t="s">
        <v>1112</v>
      </c>
      <c r="C3737" s="549" t="s">
        <v>834</v>
      </c>
      <c r="D3737" s="549" t="s">
        <v>835</v>
      </c>
      <c r="E3737" s="549" t="s">
        <v>977</v>
      </c>
      <c r="F3737" s="549" t="s">
        <v>1212</v>
      </c>
      <c r="G3737" s="549">
        <v>442</v>
      </c>
      <c r="H3737" s="549" t="s">
        <v>834</v>
      </c>
      <c r="I3737" s="549" t="s">
        <v>976</v>
      </c>
      <c r="J3737" s="549" t="s">
        <v>976</v>
      </c>
      <c r="K3737" s="549" t="s">
        <v>976</v>
      </c>
      <c r="L3737" s="549">
        <v>461982.36</v>
      </c>
      <c r="M3737" s="549">
        <v>34879.67</v>
      </c>
      <c r="N3737" s="549">
        <v>10209.81</v>
      </c>
      <c r="O3737" s="549">
        <v>1984</v>
      </c>
      <c r="P3737" s="549">
        <v>100</v>
      </c>
      <c r="Q3737" s="549">
        <v>47073.48</v>
      </c>
    </row>
    <row r="3738" spans="1:17" x14ac:dyDescent="0.25">
      <c r="A3738" s="549" t="s">
        <v>1111</v>
      </c>
      <c r="B3738" s="549" t="s">
        <v>1112</v>
      </c>
      <c r="C3738" s="549" t="s">
        <v>834</v>
      </c>
      <c r="D3738" s="549" t="s">
        <v>835</v>
      </c>
      <c r="E3738" s="549" t="s">
        <v>977</v>
      </c>
      <c r="F3738" s="549" t="s">
        <v>1212</v>
      </c>
      <c r="G3738" s="549">
        <v>502</v>
      </c>
      <c r="H3738" s="549" t="s">
        <v>834</v>
      </c>
      <c r="I3738" s="549" t="s">
        <v>976</v>
      </c>
      <c r="J3738" s="549" t="s">
        <v>976</v>
      </c>
      <c r="K3738" s="549" t="s">
        <v>976</v>
      </c>
      <c r="L3738" s="549">
        <v>461982.36</v>
      </c>
      <c r="M3738" s="549">
        <v>34879.67</v>
      </c>
      <c r="N3738" s="549">
        <v>10209.81</v>
      </c>
      <c r="O3738" s="549">
        <v>1984</v>
      </c>
      <c r="P3738" s="549">
        <v>100</v>
      </c>
      <c r="Q3738" s="549">
        <v>47073.48</v>
      </c>
    </row>
    <row r="3739" spans="1:17" x14ac:dyDescent="0.25">
      <c r="A3739" s="549" t="s">
        <v>1111</v>
      </c>
      <c r="B3739" s="549" t="s">
        <v>1112</v>
      </c>
      <c r="C3739" s="549" t="s">
        <v>834</v>
      </c>
      <c r="D3739" s="549" t="s">
        <v>835</v>
      </c>
      <c r="E3739" s="549" t="s">
        <v>977</v>
      </c>
      <c r="F3739" s="549" t="s">
        <v>1212</v>
      </c>
      <c r="G3739" s="549">
        <v>1752</v>
      </c>
      <c r="H3739" s="549" t="s">
        <v>834</v>
      </c>
      <c r="I3739" s="549" t="s">
        <v>976</v>
      </c>
      <c r="J3739" s="549" t="s">
        <v>976</v>
      </c>
      <c r="K3739" s="549" t="s">
        <v>976</v>
      </c>
      <c r="L3739" s="549">
        <v>234357.8</v>
      </c>
      <c r="M3739" s="549">
        <v>17694.009999999998</v>
      </c>
      <c r="N3739" s="549">
        <v>5179.3100000000004</v>
      </c>
      <c r="O3739" s="549">
        <v>1984</v>
      </c>
      <c r="P3739" s="549">
        <v>100</v>
      </c>
      <c r="Q3739" s="549">
        <v>24857.32</v>
      </c>
    </row>
    <row r="3740" spans="1:17" x14ac:dyDescent="0.25">
      <c r="A3740" s="549" t="s">
        <v>1111</v>
      </c>
      <c r="B3740" s="549" t="s">
        <v>1112</v>
      </c>
      <c r="C3740" s="549" t="s">
        <v>834</v>
      </c>
      <c r="D3740" s="549" t="s">
        <v>835</v>
      </c>
      <c r="E3740" s="549" t="s">
        <v>977</v>
      </c>
      <c r="F3740" s="549" t="s">
        <v>1212</v>
      </c>
      <c r="G3740" s="549">
        <v>1762</v>
      </c>
      <c r="H3740" s="549" t="s">
        <v>834</v>
      </c>
      <c r="I3740" s="549" t="s">
        <v>976</v>
      </c>
      <c r="J3740" s="549" t="s">
        <v>976</v>
      </c>
      <c r="K3740" s="549" t="s">
        <v>976</v>
      </c>
      <c r="L3740" s="549">
        <v>82374.48</v>
      </c>
      <c r="M3740" s="549">
        <v>6219.27</v>
      </c>
      <c r="N3740" s="549">
        <v>1820.48</v>
      </c>
      <c r="O3740" s="549">
        <v>892.8</v>
      </c>
      <c r="P3740" s="549">
        <v>100</v>
      </c>
      <c r="Q3740" s="549">
        <v>8932.5499999999993</v>
      </c>
    </row>
    <row r="3741" spans="1:17" x14ac:dyDescent="0.25">
      <c r="A3741" s="549" t="s">
        <v>1111</v>
      </c>
      <c r="B3741" s="549" t="s">
        <v>1112</v>
      </c>
      <c r="C3741" s="549" t="s">
        <v>834</v>
      </c>
      <c r="D3741" s="549" t="s">
        <v>835</v>
      </c>
      <c r="E3741" s="549" t="s">
        <v>977</v>
      </c>
      <c r="F3741" s="549" t="s">
        <v>1212</v>
      </c>
      <c r="G3741" s="549">
        <v>1772</v>
      </c>
      <c r="H3741" s="549" t="s">
        <v>834</v>
      </c>
      <c r="I3741" s="549" t="s">
        <v>976</v>
      </c>
      <c r="J3741" s="549" t="s">
        <v>976</v>
      </c>
      <c r="K3741" s="549" t="s">
        <v>976</v>
      </c>
      <c r="L3741" s="549">
        <v>82374.48</v>
      </c>
      <c r="M3741" s="549">
        <v>6219.27</v>
      </c>
      <c r="N3741" s="549">
        <v>1820.48</v>
      </c>
      <c r="O3741" s="549">
        <v>892.8</v>
      </c>
      <c r="P3741" s="549">
        <v>100</v>
      </c>
      <c r="Q3741" s="549">
        <v>8932.5499999999993</v>
      </c>
    </row>
    <row r="3742" spans="1:17" x14ac:dyDescent="0.25">
      <c r="A3742" s="549" t="s">
        <v>1111</v>
      </c>
      <c r="B3742" s="549" t="s">
        <v>1112</v>
      </c>
      <c r="C3742" s="549" t="s">
        <v>834</v>
      </c>
      <c r="D3742" s="549" t="s">
        <v>835</v>
      </c>
      <c r="E3742" s="549" t="s">
        <v>977</v>
      </c>
      <c r="F3742" s="549" t="s">
        <v>1212</v>
      </c>
      <c r="G3742" s="549">
        <v>1782</v>
      </c>
      <c r="H3742" s="549" t="s">
        <v>834</v>
      </c>
      <c r="I3742" s="549" t="s">
        <v>976</v>
      </c>
      <c r="J3742" s="549" t="s">
        <v>976</v>
      </c>
      <c r="K3742" s="549" t="s">
        <v>976</v>
      </c>
      <c r="L3742" s="549">
        <v>82374.48</v>
      </c>
      <c r="M3742" s="549">
        <v>6219.27</v>
      </c>
      <c r="N3742" s="549">
        <v>1820.48</v>
      </c>
      <c r="O3742" s="549">
        <v>892.8</v>
      </c>
      <c r="P3742" s="549">
        <v>100</v>
      </c>
      <c r="Q3742" s="549">
        <v>8932.5499999999993</v>
      </c>
    </row>
    <row r="3743" spans="1:17" x14ac:dyDescent="0.25">
      <c r="A3743" s="549" t="s">
        <v>1111</v>
      </c>
      <c r="B3743" s="549" t="s">
        <v>1112</v>
      </c>
      <c r="C3743" s="549" t="s">
        <v>834</v>
      </c>
      <c r="D3743" s="549" t="s">
        <v>835</v>
      </c>
      <c r="E3743" s="549" t="s">
        <v>977</v>
      </c>
      <c r="F3743" s="549" t="s">
        <v>1212</v>
      </c>
      <c r="G3743" s="549">
        <v>1792</v>
      </c>
      <c r="H3743" s="549" t="s">
        <v>834</v>
      </c>
      <c r="I3743" s="549" t="s">
        <v>976</v>
      </c>
      <c r="J3743" s="549" t="s">
        <v>976</v>
      </c>
      <c r="K3743" s="549" t="s">
        <v>976</v>
      </c>
      <c r="L3743" s="549">
        <v>82374.48</v>
      </c>
      <c r="M3743" s="549">
        <v>6219.27</v>
      </c>
      <c r="N3743" s="549">
        <v>1820.48</v>
      </c>
      <c r="O3743" s="549">
        <v>892.8</v>
      </c>
      <c r="P3743" s="549">
        <v>100</v>
      </c>
      <c r="Q3743" s="549">
        <v>8932.5499999999993</v>
      </c>
    </row>
    <row r="3744" spans="1:17" x14ac:dyDescent="0.25">
      <c r="A3744" s="549" t="s">
        <v>1111</v>
      </c>
      <c r="B3744" s="549" t="s">
        <v>1112</v>
      </c>
      <c r="C3744" s="549" t="s">
        <v>834</v>
      </c>
      <c r="D3744" s="549" t="s">
        <v>835</v>
      </c>
      <c r="E3744" s="549" t="s">
        <v>977</v>
      </c>
      <c r="F3744" s="549" t="s">
        <v>1212</v>
      </c>
      <c r="G3744" s="549">
        <v>1802</v>
      </c>
      <c r="H3744" s="549" t="s">
        <v>834</v>
      </c>
      <c r="I3744" s="549" t="s">
        <v>976</v>
      </c>
      <c r="J3744" s="549" t="s">
        <v>976</v>
      </c>
      <c r="K3744" s="549" t="s">
        <v>976</v>
      </c>
      <c r="L3744" s="549">
        <v>82374.48</v>
      </c>
      <c r="M3744" s="549">
        <v>6219.27</v>
      </c>
      <c r="N3744" s="549">
        <v>1820.48</v>
      </c>
      <c r="O3744" s="549">
        <v>892.8</v>
      </c>
      <c r="P3744" s="549">
        <v>100</v>
      </c>
      <c r="Q3744" s="549">
        <v>8932.5499999999993</v>
      </c>
    </row>
    <row r="3745" spans="1:17" x14ac:dyDescent="0.25">
      <c r="A3745" s="549" t="s">
        <v>1111</v>
      </c>
      <c r="B3745" s="549" t="s">
        <v>1112</v>
      </c>
      <c r="C3745" s="549" t="s">
        <v>834</v>
      </c>
      <c r="D3745" s="549" t="s">
        <v>835</v>
      </c>
      <c r="E3745" s="549" t="s">
        <v>977</v>
      </c>
      <c r="F3745" s="549" t="s">
        <v>1212</v>
      </c>
      <c r="G3745" s="549">
        <v>1822</v>
      </c>
      <c r="H3745" s="549" t="s">
        <v>834</v>
      </c>
      <c r="I3745" s="549" t="s">
        <v>976</v>
      </c>
      <c r="J3745" s="549" t="s">
        <v>976</v>
      </c>
      <c r="K3745" s="549" t="s">
        <v>976</v>
      </c>
      <c r="L3745" s="549">
        <v>82374.48</v>
      </c>
      <c r="M3745" s="549">
        <v>6219.27</v>
      </c>
      <c r="N3745" s="549">
        <v>1820.48</v>
      </c>
      <c r="O3745" s="549">
        <v>892.8</v>
      </c>
      <c r="P3745" s="549">
        <v>100</v>
      </c>
      <c r="Q3745" s="549">
        <v>8932.5499999999993</v>
      </c>
    </row>
    <row r="3746" spans="1:17" x14ac:dyDescent="0.25">
      <c r="A3746" s="549" t="s">
        <v>1111</v>
      </c>
      <c r="B3746" s="549" t="s">
        <v>1112</v>
      </c>
      <c r="C3746" s="549" t="s">
        <v>834</v>
      </c>
      <c r="D3746" s="549" t="s">
        <v>835</v>
      </c>
      <c r="E3746" s="549" t="s">
        <v>977</v>
      </c>
      <c r="F3746" s="549" t="s">
        <v>1212</v>
      </c>
      <c r="G3746" s="549">
        <v>1832</v>
      </c>
      <c r="H3746" s="549" t="s">
        <v>834</v>
      </c>
      <c r="I3746" s="549" t="s">
        <v>976</v>
      </c>
      <c r="J3746" s="549" t="s">
        <v>976</v>
      </c>
      <c r="K3746" s="549" t="s">
        <v>976</v>
      </c>
      <c r="L3746" s="549">
        <v>82374.48</v>
      </c>
      <c r="M3746" s="549">
        <v>6219.27</v>
      </c>
      <c r="N3746" s="549">
        <v>1820.48</v>
      </c>
      <c r="O3746" s="549">
        <v>892.8</v>
      </c>
      <c r="P3746" s="549">
        <v>100</v>
      </c>
      <c r="Q3746" s="549">
        <v>8932.5499999999993</v>
      </c>
    </row>
    <row r="3747" spans="1:17" x14ac:dyDescent="0.25">
      <c r="A3747" s="549" t="s">
        <v>1111</v>
      </c>
      <c r="B3747" s="549" t="s">
        <v>1112</v>
      </c>
      <c r="C3747" s="549" t="s">
        <v>834</v>
      </c>
      <c r="D3747" s="549" t="s">
        <v>835</v>
      </c>
      <c r="E3747" s="549" t="s">
        <v>977</v>
      </c>
      <c r="F3747" s="549" t="s">
        <v>1212</v>
      </c>
      <c r="G3747" s="549">
        <v>1842</v>
      </c>
      <c r="H3747" s="549" t="s">
        <v>834</v>
      </c>
      <c r="I3747" s="549" t="s">
        <v>976</v>
      </c>
      <c r="J3747" s="549" t="s">
        <v>976</v>
      </c>
      <c r="K3747" s="549" t="s">
        <v>976</v>
      </c>
      <c r="L3747" s="549">
        <v>82374.48</v>
      </c>
      <c r="M3747" s="549">
        <v>6219.27</v>
      </c>
      <c r="N3747" s="549">
        <v>1820.48</v>
      </c>
      <c r="O3747" s="549">
        <v>892.8</v>
      </c>
      <c r="P3747" s="549">
        <v>100</v>
      </c>
      <c r="Q3747" s="549">
        <v>8932.5499999999993</v>
      </c>
    </row>
    <row r="3748" spans="1:17" x14ac:dyDescent="0.25">
      <c r="A3748" s="549" t="s">
        <v>1111</v>
      </c>
      <c r="B3748" s="549" t="s">
        <v>1112</v>
      </c>
      <c r="C3748" s="549" t="s">
        <v>834</v>
      </c>
      <c r="D3748" s="549" t="s">
        <v>835</v>
      </c>
      <c r="E3748" s="549" t="s">
        <v>977</v>
      </c>
      <c r="F3748" s="549" t="s">
        <v>1212</v>
      </c>
      <c r="G3748" s="549">
        <v>1852</v>
      </c>
      <c r="H3748" s="549" t="s">
        <v>834</v>
      </c>
      <c r="I3748" s="549" t="s">
        <v>976</v>
      </c>
      <c r="J3748" s="549" t="s">
        <v>976</v>
      </c>
      <c r="K3748" s="549" t="s">
        <v>976</v>
      </c>
      <c r="L3748" s="549">
        <v>82374.48</v>
      </c>
      <c r="M3748" s="549">
        <v>6219.27</v>
      </c>
      <c r="N3748" s="549">
        <v>1820.48</v>
      </c>
      <c r="O3748" s="549">
        <v>892.8</v>
      </c>
      <c r="P3748" s="549">
        <v>100</v>
      </c>
      <c r="Q3748" s="549">
        <v>8932.5499999999993</v>
      </c>
    </row>
    <row r="3749" spans="1:17" x14ac:dyDescent="0.25">
      <c r="A3749" s="549" t="s">
        <v>1111</v>
      </c>
      <c r="B3749" s="549" t="s">
        <v>1112</v>
      </c>
      <c r="C3749" s="549" t="s">
        <v>834</v>
      </c>
      <c r="D3749" s="549" t="s">
        <v>835</v>
      </c>
      <c r="E3749" s="549" t="s">
        <v>977</v>
      </c>
      <c r="F3749" s="549" t="s">
        <v>1212</v>
      </c>
      <c r="G3749" s="549">
        <v>1862</v>
      </c>
      <c r="H3749" s="549" t="s">
        <v>834</v>
      </c>
      <c r="I3749" s="549" t="s">
        <v>976</v>
      </c>
      <c r="J3749" s="549" t="s">
        <v>976</v>
      </c>
      <c r="K3749" s="549" t="s">
        <v>976</v>
      </c>
      <c r="L3749" s="549">
        <v>82374.48</v>
      </c>
      <c r="M3749" s="549">
        <v>6219.27</v>
      </c>
      <c r="N3749" s="549">
        <v>1820.48</v>
      </c>
      <c r="O3749" s="549">
        <v>892.8</v>
      </c>
      <c r="P3749" s="549">
        <v>100</v>
      </c>
      <c r="Q3749" s="549">
        <v>8932.5499999999993</v>
      </c>
    </row>
    <row r="3750" spans="1:17" x14ac:dyDescent="0.25">
      <c r="A3750" s="549" t="s">
        <v>1111</v>
      </c>
      <c r="B3750" s="549" t="s">
        <v>1112</v>
      </c>
      <c r="C3750" s="549" t="s">
        <v>834</v>
      </c>
      <c r="D3750" s="549" t="s">
        <v>835</v>
      </c>
      <c r="E3750" s="549" t="s">
        <v>977</v>
      </c>
      <c r="F3750" s="549" t="s">
        <v>1212</v>
      </c>
      <c r="G3750" s="549">
        <v>1872</v>
      </c>
      <c r="H3750" s="549" t="s">
        <v>834</v>
      </c>
      <c r="I3750" s="549" t="s">
        <v>976</v>
      </c>
      <c r="J3750" s="549" t="s">
        <v>976</v>
      </c>
      <c r="K3750" s="549" t="s">
        <v>976</v>
      </c>
      <c r="L3750" s="549">
        <v>234357.8</v>
      </c>
      <c r="M3750" s="549">
        <v>17694.009999999998</v>
      </c>
      <c r="N3750" s="549">
        <v>5179.3100000000004</v>
      </c>
      <c r="O3750" s="549">
        <v>1984</v>
      </c>
      <c r="P3750" s="549">
        <v>100</v>
      </c>
      <c r="Q3750" s="549">
        <v>24857.32</v>
      </c>
    </row>
    <row r="3751" spans="1:17" x14ac:dyDescent="0.25">
      <c r="A3751" s="549" t="s">
        <v>1111</v>
      </c>
      <c r="B3751" s="549" t="s">
        <v>1112</v>
      </c>
      <c r="C3751" s="549" t="s">
        <v>834</v>
      </c>
      <c r="D3751" s="549" t="s">
        <v>835</v>
      </c>
      <c r="E3751" s="549" t="s">
        <v>977</v>
      </c>
      <c r="F3751" s="549" t="s">
        <v>1212</v>
      </c>
      <c r="G3751" s="549" t="s">
        <v>1499</v>
      </c>
      <c r="H3751" s="549" t="s">
        <v>834</v>
      </c>
      <c r="I3751" s="549" t="s">
        <v>976</v>
      </c>
      <c r="J3751" s="549" t="s">
        <v>976</v>
      </c>
      <c r="K3751" s="549" t="s">
        <v>976</v>
      </c>
      <c r="L3751" s="549">
        <v>60553.440000000002</v>
      </c>
      <c r="M3751" s="549">
        <v>4571.78</v>
      </c>
      <c r="N3751" s="549">
        <v>1338.23</v>
      </c>
      <c r="O3751" s="549">
        <v>1984</v>
      </c>
      <c r="P3751" s="549">
        <v>100</v>
      </c>
      <c r="Q3751" s="549">
        <v>7894.01</v>
      </c>
    </row>
    <row r="3752" spans="1:17" x14ac:dyDescent="0.25">
      <c r="A3752" s="549" t="s">
        <v>1111</v>
      </c>
      <c r="B3752" s="549" t="s">
        <v>1112</v>
      </c>
      <c r="C3752" s="549" t="s">
        <v>834</v>
      </c>
      <c r="D3752" s="549" t="s">
        <v>835</v>
      </c>
      <c r="E3752" s="549" t="s">
        <v>977</v>
      </c>
      <c r="F3752" s="549" t="s">
        <v>1212</v>
      </c>
      <c r="G3752" s="549" t="s">
        <v>1500</v>
      </c>
      <c r="H3752" s="549" t="s">
        <v>834</v>
      </c>
      <c r="I3752" s="549" t="s">
        <v>976</v>
      </c>
      <c r="J3752" s="549" t="s">
        <v>976</v>
      </c>
      <c r="K3752" s="549" t="s">
        <v>976</v>
      </c>
      <c r="L3752" s="549">
        <v>60553.440000000002</v>
      </c>
      <c r="M3752" s="549">
        <v>4571.78</v>
      </c>
      <c r="N3752" s="549">
        <v>1338.23</v>
      </c>
      <c r="O3752" s="549">
        <v>1984</v>
      </c>
      <c r="P3752" s="549">
        <v>100</v>
      </c>
      <c r="Q3752" s="549">
        <v>7894.01</v>
      </c>
    </row>
    <row r="3753" spans="1:17" x14ac:dyDescent="0.25">
      <c r="A3753" s="549" t="s">
        <v>1111</v>
      </c>
      <c r="B3753" s="549" t="s">
        <v>1112</v>
      </c>
      <c r="C3753" s="549" t="s">
        <v>834</v>
      </c>
      <c r="D3753" s="549" t="s">
        <v>835</v>
      </c>
      <c r="E3753" s="549" t="s">
        <v>977</v>
      </c>
      <c r="F3753" s="549" t="s">
        <v>1212</v>
      </c>
      <c r="G3753" s="549" t="s">
        <v>1501</v>
      </c>
      <c r="H3753" s="549" t="s">
        <v>834</v>
      </c>
      <c r="I3753" s="549" t="s">
        <v>976</v>
      </c>
      <c r="J3753" s="549" t="s">
        <v>976</v>
      </c>
      <c r="K3753" s="549" t="s">
        <v>976</v>
      </c>
      <c r="L3753" s="549">
        <v>31683.14</v>
      </c>
      <c r="M3753" s="549">
        <v>2392.08</v>
      </c>
      <c r="N3753" s="549">
        <v>700.2</v>
      </c>
      <c r="O3753" s="549">
        <v>0</v>
      </c>
      <c r="P3753" s="549">
        <v>100</v>
      </c>
      <c r="Q3753" s="549">
        <v>3092.28</v>
      </c>
    </row>
    <row r="3754" spans="1:17" x14ac:dyDescent="0.25">
      <c r="A3754" s="549" t="s">
        <v>1111</v>
      </c>
      <c r="B3754" s="549" t="s">
        <v>1112</v>
      </c>
      <c r="C3754" s="549" t="s">
        <v>834</v>
      </c>
      <c r="D3754" s="549" t="s">
        <v>835</v>
      </c>
      <c r="E3754" s="549" t="s">
        <v>977</v>
      </c>
      <c r="F3754" s="549" t="s">
        <v>1212</v>
      </c>
      <c r="G3754" s="549" t="s">
        <v>1502</v>
      </c>
      <c r="H3754" s="549" t="s">
        <v>834</v>
      </c>
      <c r="I3754" s="549" t="s">
        <v>976</v>
      </c>
      <c r="J3754" s="549" t="s">
        <v>976</v>
      </c>
      <c r="K3754" s="549" t="s">
        <v>976</v>
      </c>
      <c r="L3754" s="549">
        <v>31683.14</v>
      </c>
      <c r="M3754" s="549">
        <v>2392.08</v>
      </c>
      <c r="N3754" s="549">
        <v>700.2</v>
      </c>
      <c r="O3754" s="549">
        <v>0</v>
      </c>
      <c r="P3754" s="549">
        <v>100</v>
      </c>
      <c r="Q3754" s="549">
        <v>3092.28</v>
      </c>
    </row>
    <row r="3755" spans="1:17" x14ac:dyDescent="0.25">
      <c r="A3755" s="549" t="s">
        <v>1111</v>
      </c>
      <c r="B3755" s="549" t="s">
        <v>1112</v>
      </c>
      <c r="C3755" s="549" t="s">
        <v>838</v>
      </c>
      <c r="D3755" s="549" t="s">
        <v>839</v>
      </c>
      <c r="E3755" s="549" t="s">
        <v>977</v>
      </c>
      <c r="F3755" s="549" t="s">
        <v>1212</v>
      </c>
      <c r="G3755" s="549">
        <v>212</v>
      </c>
      <c r="H3755" s="549" t="s">
        <v>838</v>
      </c>
      <c r="I3755" s="549" t="s">
        <v>976</v>
      </c>
      <c r="J3755" s="549" t="s">
        <v>976</v>
      </c>
      <c r="K3755" s="549" t="s">
        <v>976</v>
      </c>
      <c r="L3755" s="549">
        <v>340679.91</v>
      </c>
      <c r="M3755" s="549">
        <v>25721.33</v>
      </c>
      <c r="N3755" s="549">
        <v>7529.03</v>
      </c>
      <c r="O3755" s="549">
        <v>1984</v>
      </c>
      <c r="P3755" s="549">
        <v>100</v>
      </c>
      <c r="Q3755" s="549">
        <v>35234.36</v>
      </c>
    </row>
    <row r="3756" spans="1:17" x14ac:dyDescent="0.25">
      <c r="A3756" s="549" t="s">
        <v>1111</v>
      </c>
      <c r="B3756" s="549" t="s">
        <v>1112</v>
      </c>
      <c r="C3756" s="549" t="s">
        <v>838</v>
      </c>
      <c r="D3756" s="549" t="s">
        <v>839</v>
      </c>
      <c r="E3756" s="549" t="s">
        <v>977</v>
      </c>
      <c r="F3756" s="549" t="s">
        <v>1212</v>
      </c>
      <c r="G3756" s="549">
        <v>232</v>
      </c>
      <c r="H3756" s="549" t="s">
        <v>838</v>
      </c>
      <c r="I3756" s="549" t="s">
        <v>976</v>
      </c>
      <c r="J3756" s="549" t="s">
        <v>976</v>
      </c>
      <c r="K3756" s="549" t="s">
        <v>976</v>
      </c>
      <c r="L3756" s="549">
        <v>340679.91</v>
      </c>
      <c r="M3756" s="549">
        <v>25721.33</v>
      </c>
      <c r="N3756" s="549">
        <v>7529.03</v>
      </c>
      <c r="O3756" s="549">
        <v>1984</v>
      </c>
      <c r="P3756" s="549">
        <v>100</v>
      </c>
      <c r="Q3756" s="549">
        <v>35234.36</v>
      </c>
    </row>
    <row r="3757" spans="1:17" x14ac:dyDescent="0.25">
      <c r="A3757" s="549" t="s">
        <v>1111</v>
      </c>
      <c r="B3757" s="549" t="s">
        <v>1112</v>
      </c>
      <c r="C3757" s="549" t="s">
        <v>838</v>
      </c>
      <c r="D3757" s="549" t="s">
        <v>839</v>
      </c>
      <c r="E3757" s="549" t="s">
        <v>977</v>
      </c>
      <c r="F3757" s="549" t="s">
        <v>1212</v>
      </c>
      <c r="G3757" s="549">
        <v>1122</v>
      </c>
      <c r="H3757" s="549" t="s">
        <v>838</v>
      </c>
      <c r="I3757" s="549" t="s">
        <v>976</v>
      </c>
      <c r="J3757" s="549" t="s">
        <v>976</v>
      </c>
      <c r="K3757" s="549" t="s">
        <v>976</v>
      </c>
      <c r="L3757" s="549">
        <v>234357.8</v>
      </c>
      <c r="M3757" s="549">
        <v>17694.009999999998</v>
      </c>
      <c r="N3757" s="549">
        <v>5179.3100000000004</v>
      </c>
      <c r="O3757" s="549">
        <v>1984</v>
      </c>
      <c r="P3757" s="549">
        <v>100</v>
      </c>
      <c r="Q3757" s="549">
        <v>24857.32</v>
      </c>
    </row>
    <row r="3758" spans="1:17" x14ac:dyDescent="0.25">
      <c r="A3758" s="549" t="s">
        <v>1111</v>
      </c>
      <c r="B3758" s="549" t="s">
        <v>1112</v>
      </c>
      <c r="C3758" s="549" t="s">
        <v>838</v>
      </c>
      <c r="D3758" s="549" t="s">
        <v>839</v>
      </c>
      <c r="E3758" s="549" t="s">
        <v>977</v>
      </c>
      <c r="F3758" s="549" t="s">
        <v>1212</v>
      </c>
      <c r="G3758" s="549">
        <v>1132</v>
      </c>
      <c r="H3758" s="549" t="s">
        <v>838</v>
      </c>
      <c r="I3758" s="549" t="s">
        <v>976</v>
      </c>
      <c r="J3758" s="549" t="s">
        <v>976</v>
      </c>
      <c r="K3758" s="549" t="s">
        <v>976</v>
      </c>
      <c r="L3758" s="549">
        <v>82374.48</v>
      </c>
      <c r="M3758" s="549">
        <v>6219.27</v>
      </c>
      <c r="N3758" s="549">
        <v>1820.48</v>
      </c>
      <c r="O3758" s="549">
        <v>892.8</v>
      </c>
      <c r="P3758" s="549">
        <v>100</v>
      </c>
      <c r="Q3758" s="549">
        <v>8932.5499999999993</v>
      </c>
    </row>
    <row r="3759" spans="1:17" x14ac:dyDescent="0.25">
      <c r="A3759" s="549" t="s">
        <v>1111</v>
      </c>
      <c r="B3759" s="549" t="s">
        <v>1112</v>
      </c>
      <c r="C3759" s="549" t="s">
        <v>838</v>
      </c>
      <c r="D3759" s="549" t="s">
        <v>839</v>
      </c>
      <c r="E3759" s="549" t="s">
        <v>977</v>
      </c>
      <c r="F3759" s="549" t="s">
        <v>1212</v>
      </c>
      <c r="G3759" s="549">
        <v>1152</v>
      </c>
      <c r="H3759" s="549" t="s">
        <v>838</v>
      </c>
      <c r="I3759" s="549" t="s">
        <v>976</v>
      </c>
      <c r="J3759" s="549" t="s">
        <v>976</v>
      </c>
      <c r="K3759" s="549" t="s">
        <v>976</v>
      </c>
      <c r="L3759" s="549">
        <v>82374.48</v>
      </c>
      <c r="M3759" s="549">
        <v>6219.27</v>
      </c>
      <c r="N3759" s="549">
        <v>1820.48</v>
      </c>
      <c r="O3759" s="549">
        <v>892.8</v>
      </c>
      <c r="P3759" s="549">
        <v>100</v>
      </c>
      <c r="Q3759" s="549">
        <v>8932.5499999999993</v>
      </c>
    </row>
    <row r="3760" spans="1:17" x14ac:dyDescent="0.25">
      <c r="A3760" s="549" t="s">
        <v>1111</v>
      </c>
      <c r="B3760" s="549" t="s">
        <v>1112</v>
      </c>
      <c r="C3760" s="549" t="s">
        <v>838</v>
      </c>
      <c r="D3760" s="549" t="s">
        <v>839</v>
      </c>
      <c r="E3760" s="549" t="s">
        <v>977</v>
      </c>
      <c r="F3760" s="549" t="s">
        <v>1212</v>
      </c>
      <c r="G3760" s="549">
        <v>1162</v>
      </c>
      <c r="H3760" s="549" t="s">
        <v>838</v>
      </c>
      <c r="I3760" s="549" t="s">
        <v>976</v>
      </c>
      <c r="J3760" s="549" t="s">
        <v>976</v>
      </c>
      <c r="K3760" s="549" t="s">
        <v>976</v>
      </c>
      <c r="L3760" s="549">
        <v>257183.24</v>
      </c>
      <c r="M3760" s="549">
        <v>19417.330000000002</v>
      </c>
      <c r="N3760" s="549">
        <v>5683.75</v>
      </c>
      <c r="O3760" s="549">
        <v>3571.2</v>
      </c>
      <c r="P3760" s="549">
        <v>100</v>
      </c>
      <c r="Q3760" s="549">
        <v>28672.28</v>
      </c>
    </row>
    <row r="3761" spans="1:17" x14ac:dyDescent="0.25">
      <c r="A3761" s="549" t="s">
        <v>1111</v>
      </c>
      <c r="B3761" s="549" t="s">
        <v>1112</v>
      </c>
      <c r="C3761" s="549" t="s">
        <v>838</v>
      </c>
      <c r="D3761" s="549" t="s">
        <v>839</v>
      </c>
      <c r="E3761" s="549" t="s">
        <v>977</v>
      </c>
      <c r="F3761" s="549" t="s">
        <v>1212</v>
      </c>
      <c r="G3761" s="549">
        <v>1172</v>
      </c>
      <c r="H3761" s="549" t="s">
        <v>838</v>
      </c>
      <c r="I3761" s="549" t="s">
        <v>976</v>
      </c>
      <c r="J3761" s="549" t="s">
        <v>976</v>
      </c>
      <c r="K3761" s="549" t="s">
        <v>976</v>
      </c>
      <c r="L3761" s="549">
        <v>82374.48</v>
      </c>
      <c r="M3761" s="549">
        <v>6219.27</v>
      </c>
      <c r="N3761" s="549">
        <v>1820.48</v>
      </c>
      <c r="O3761" s="549">
        <v>892.8</v>
      </c>
      <c r="P3761" s="549">
        <v>100</v>
      </c>
      <c r="Q3761" s="549">
        <v>8932.5499999999993</v>
      </c>
    </row>
    <row r="3762" spans="1:17" x14ac:dyDescent="0.25">
      <c r="A3762" s="549" t="s">
        <v>1111</v>
      </c>
      <c r="B3762" s="549" t="s">
        <v>1112</v>
      </c>
      <c r="C3762" s="549" t="s">
        <v>838</v>
      </c>
      <c r="D3762" s="549" t="s">
        <v>839</v>
      </c>
      <c r="E3762" s="549" t="s">
        <v>977</v>
      </c>
      <c r="F3762" s="549" t="s">
        <v>1212</v>
      </c>
      <c r="G3762" s="549">
        <v>1192</v>
      </c>
      <c r="H3762" s="549" t="s">
        <v>838</v>
      </c>
      <c r="I3762" s="549" t="s">
        <v>976</v>
      </c>
      <c r="J3762" s="549" t="s">
        <v>976</v>
      </c>
      <c r="K3762" s="549" t="s">
        <v>976</v>
      </c>
      <c r="L3762" s="549">
        <v>82374.48</v>
      </c>
      <c r="M3762" s="549">
        <v>6219.27</v>
      </c>
      <c r="N3762" s="549">
        <v>1820.48</v>
      </c>
      <c r="O3762" s="549">
        <v>892.8</v>
      </c>
      <c r="P3762" s="549">
        <v>100</v>
      </c>
      <c r="Q3762" s="549">
        <v>8932.5499999999993</v>
      </c>
    </row>
    <row r="3763" spans="1:17" x14ac:dyDescent="0.25">
      <c r="A3763" s="549" t="s">
        <v>1111</v>
      </c>
      <c r="B3763" s="549" t="s">
        <v>1112</v>
      </c>
      <c r="C3763" s="549" t="s">
        <v>838</v>
      </c>
      <c r="D3763" s="549" t="s">
        <v>839</v>
      </c>
      <c r="E3763" s="549" t="s">
        <v>977</v>
      </c>
      <c r="F3763" s="549" t="s">
        <v>1212</v>
      </c>
      <c r="G3763" s="549">
        <v>1202</v>
      </c>
      <c r="H3763" s="549" t="s">
        <v>838</v>
      </c>
      <c r="I3763" s="549" t="s">
        <v>976</v>
      </c>
      <c r="J3763" s="549" t="s">
        <v>976</v>
      </c>
      <c r="K3763" s="549" t="s">
        <v>976</v>
      </c>
      <c r="L3763" s="549">
        <v>82374.48</v>
      </c>
      <c r="M3763" s="549">
        <v>6219.27</v>
      </c>
      <c r="N3763" s="549">
        <v>1820.48</v>
      </c>
      <c r="O3763" s="549">
        <v>892.8</v>
      </c>
      <c r="P3763" s="549">
        <v>100</v>
      </c>
      <c r="Q3763" s="549">
        <v>8932.5499999999993</v>
      </c>
    </row>
    <row r="3764" spans="1:17" x14ac:dyDescent="0.25">
      <c r="A3764" s="549" t="s">
        <v>1111</v>
      </c>
      <c r="B3764" s="549" t="s">
        <v>1112</v>
      </c>
      <c r="C3764" s="549" t="s">
        <v>838</v>
      </c>
      <c r="D3764" s="549" t="s">
        <v>839</v>
      </c>
      <c r="E3764" s="549" t="s">
        <v>977</v>
      </c>
      <c r="F3764" s="549" t="s">
        <v>1212</v>
      </c>
      <c r="G3764" s="549">
        <v>1212</v>
      </c>
      <c r="H3764" s="549" t="s">
        <v>838</v>
      </c>
      <c r="I3764" s="549" t="s">
        <v>976</v>
      </c>
      <c r="J3764" s="549" t="s">
        <v>976</v>
      </c>
      <c r="K3764" s="549" t="s">
        <v>976</v>
      </c>
      <c r="L3764" s="549">
        <v>82374.48</v>
      </c>
      <c r="M3764" s="549">
        <v>6219.27</v>
      </c>
      <c r="N3764" s="549">
        <v>1820.48</v>
      </c>
      <c r="O3764" s="549">
        <v>892.8</v>
      </c>
      <c r="P3764" s="549">
        <v>100</v>
      </c>
      <c r="Q3764" s="549">
        <v>8932.5499999999993</v>
      </c>
    </row>
    <row r="3765" spans="1:17" x14ac:dyDescent="0.25">
      <c r="A3765" s="549" t="s">
        <v>1111</v>
      </c>
      <c r="B3765" s="549" t="s">
        <v>1112</v>
      </c>
      <c r="C3765" s="549" t="s">
        <v>838</v>
      </c>
      <c r="D3765" s="549" t="s">
        <v>839</v>
      </c>
      <c r="E3765" s="549" t="s">
        <v>977</v>
      </c>
      <c r="F3765" s="549" t="s">
        <v>1212</v>
      </c>
      <c r="G3765" s="549">
        <v>1222</v>
      </c>
      <c r="H3765" s="549" t="s">
        <v>838</v>
      </c>
      <c r="I3765" s="549" t="s">
        <v>976</v>
      </c>
      <c r="J3765" s="549" t="s">
        <v>976</v>
      </c>
      <c r="K3765" s="549" t="s">
        <v>976</v>
      </c>
      <c r="L3765" s="549">
        <v>82374.48</v>
      </c>
      <c r="M3765" s="549">
        <v>6219.27</v>
      </c>
      <c r="N3765" s="549">
        <v>1820.48</v>
      </c>
      <c r="O3765" s="549">
        <v>992</v>
      </c>
      <c r="P3765" s="549">
        <v>100</v>
      </c>
      <c r="Q3765" s="549">
        <v>9031.75</v>
      </c>
    </row>
    <row r="3766" spans="1:17" x14ac:dyDescent="0.25">
      <c r="A3766" s="549" t="s">
        <v>1111</v>
      </c>
      <c r="B3766" s="549" t="s">
        <v>1112</v>
      </c>
      <c r="C3766" s="549" t="s">
        <v>838</v>
      </c>
      <c r="D3766" s="549" t="s">
        <v>839</v>
      </c>
      <c r="E3766" s="549" t="s">
        <v>977</v>
      </c>
      <c r="F3766" s="549" t="s">
        <v>1212</v>
      </c>
      <c r="G3766" s="549">
        <v>1232</v>
      </c>
      <c r="H3766" s="549" t="s">
        <v>838</v>
      </c>
      <c r="I3766" s="549" t="s">
        <v>976</v>
      </c>
      <c r="J3766" s="549" t="s">
        <v>976</v>
      </c>
      <c r="K3766" s="549" t="s">
        <v>976</v>
      </c>
      <c r="L3766" s="549">
        <v>82374.48</v>
      </c>
      <c r="M3766" s="549">
        <v>6219.27</v>
      </c>
      <c r="N3766" s="549">
        <v>1820.48</v>
      </c>
      <c r="O3766" s="549">
        <v>892.8</v>
      </c>
      <c r="P3766" s="549">
        <v>100</v>
      </c>
      <c r="Q3766" s="549">
        <v>8932.5499999999993</v>
      </c>
    </row>
    <row r="3767" spans="1:17" x14ac:dyDescent="0.25">
      <c r="A3767" s="549" t="s">
        <v>1111</v>
      </c>
      <c r="B3767" s="549" t="s">
        <v>1112</v>
      </c>
      <c r="C3767" s="549" t="s">
        <v>838</v>
      </c>
      <c r="D3767" s="549" t="s">
        <v>839</v>
      </c>
      <c r="E3767" s="549" t="s">
        <v>977</v>
      </c>
      <c r="F3767" s="549" t="s">
        <v>1212</v>
      </c>
      <c r="G3767" s="549">
        <v>1237</v>
      </c>
      <c r="H3767" s="549" t="s">
        <v>838</v>
      </c>
      <c r="I3767" s="549" t="s">
        <v>976</v>
      </c>
      <c r="J3767" s="549" t="s">
        <v>976</v>
      </c>
      <c r="K3767" s="549" t="s">
        <v>976</v>
      </c>
      <c r="L3767" s="549">
        <v>35360.57</v>
      </c>
      <c r="M3767" s="549">
        <v>2669.72</v>
      </c>
      <c r="N3767" s="549">
        <v>781.47</v>
      </c>
      <c r="O3767" s="549">
        <v>992</v>
      </c>
      <c r="P3767" s="549">
        <v>100</v>
      </c>
      <c r="Q3767" s="549">
        <v>4443.1899999999996</v>
      </c>
    </row>
    <row r="3768" spans="1:17" x14ac:dyDescent="0.25">
      <c r="A3768" s="549" t="s">
        <v>1111</v>
      </c>
      <c r="B3768" s="549" t="s">
        <v>1112</v>
      </c>
      <c r="C3768" s="549" t="s">
        <v>838</v>
      </c>
      <c r="D3768" s="549" t="s">
        <v>839</v>
      </c>
      <c r="E3768" s="549" t="s">
        <v>977</v>
      </c>
      <c r="F3768" s="549" t="s">
        <v>1212</v>
      </c>
      <c r="G3768" s="549">
        <v>1242</v>
      </c>
      <c r="H3768" s="549" t="s">
        <v>838</v>
      </c>
      <c r="I3768" s="549" t="s">
        <v>976</v>
      </c>
      <c r="J3768" s="549" t="s">
        <v>976</v>
      </c>
      <c r="K3768" s="549" t="s">
        <v>976</v>
      </c>
      <c r="L3768" s="549">
        <v>234357.8</v>
      </c>
      <c r="M3768" s="549">
        <v>17694.009999999998</v>
      </c>
      <c r="N3768" s="549">
        <v>5179.3100000000004</v>
      </c>
      <c r="O3768" s="549">
        <v>1984</v>
      </c>
      <c r="P3768" s="549">
        <v>100</v>
      </c>
      <c r="Q3768" s="549">
        <v>24857.32</v>
      </c>
    </row>
    <row r="3769" spans="1:17" x14ac:dyDescent="0.25">
      <c r="A3769" s="549" t="s">
        <v>1111</v>
      </c>
      <c r="B3769" s="549" t="s">
        <v>1112</v>
      </c>
      <c r="C3769" s="549" t="s">
        <v>838</v>
      </c>
      <c r="D3769" s="549" t="s">
        <v>839</v>
      </c>
      <c r="E3769" s="549" t="s">
        <v>977</v>
      </c>
      <c r="F3769" s="549" t="s">
        <v>1212</v>
      </c>
      <c r="G3769" s="549">
        <v>1252</v>
      </c>
      <c r="H3769" s="549" t="s">
        <v>838</v>
      </c>
      <c r="I3769" s="549" t="s">
        <v>976</v>
      </c>
      <c r="J3769" s="549" t="s">
        <v>976</v>
      </c>
      <c r="K3769" s="549" t="s">
        <v>976</v>
      </c>
      <c r="L3769" s="549">
        <v>82374.48</v>
      </c>
      <c r="M3769" s="549">
        <v>6219.27</v>
      </c>
      <c r="N3769" s="549">
        <v>1820.48</v>
      </c>
      <c r="O3769" s="549">
        <v>892.8</v>
      </c>
      <c r="P3769" s="549">
        <v>100</v>
      </c>
      <c r="Q3769" s="549">
        <v>8932.5499999999993</v>
      </c>
    </row>
    <row r="3770" spans="1:17" x14ac:dyDescent="0.25">
      <c r="A3770" s="549" t="s">
        <v>1111</v>
      </c>
      <c r="B3770" s="549" t="s">
        <v>1112</v>
      </c>
      <c r="C3770" s="549" t="s">
        <v>838</v>
      </c>
      <c r="D3770" s="549" t="s">
        <v>839</v>
      </c>
      <c r="E3770" s="549" t="s">
        <v>977</v>
      </c>
      <c r="F3770" s="549" t="s">
        <v>1212</v>
      </c>
      <c r="G3770" s="549">
        <v>1262</v>
      </c>
      <c r="H3770" s="549" t="s">
        <v>838</v>
      </c>
      <c r="I3770" s="549" t="s">
        <v>976</v>
      </c>
      <c r="J3770" s="549" t="s">
        <v>976</v>
      </c>
      <c r="K3770" s="549" t="s">
        <v>976</v>
      </c>
      <c r="L3770" s="549">
        <v>257183.24</v>
      </c>
      <c r="M3770" s="549">
        <v>19417.330000000002</v>
      </c>
      <c r="N3770" s="549">
        <v>5683.75</v>
      </c>
      <c r="O3770" s="549">
        <v>3571.2</v>
      </c>
      <c r="P3770" s="549">
        <v>100</v>
      </c>
      <c r="Q3770" s="549">
        <v>28672.28</v>
      </c>
    </row>
    <row r="3771" spans="1:17" x14ac:dyDescent="0.25">
      <c r="A3771" s="549" t="s">
        <v>1111</v>
      </c>
      <c r="B3771" s="549" t="s">
        <v>1112</v>
      </c>
      <c r="C3771" s="549" t="s">
        <v>838</v>
      </c>
      <c r="D3771" s="549" t="s">
        <v>839</v>
      </c>
      <c r="E3771" s="549" t="s">
        <v>977</v>
      </c>
      <c r="F3771" s="549" t="s">
        <v>1212</v>
      </c>
      <c r="G3771" s="549">
        <v>1272</v>
      </c>
      <c r="H3771" s="549" t="s">
        <v>838</v>
      </c>
      <c r="I3771" s="549" t="s">
        <v>976</v>
      </c>
      <c r="J3771" s="549" t="s">
        <v>976</v>
      </c>
      <c r="K3771" s="549" t="s">
        <v>976</v>
      </c>
      <c r="L3771" s="549">
        <v>82374.48</v>
      </c>
      <c r="M3771" s="549">
        <v>6219.27</v>
      </c>
      <c r="N3771" s="549">
        <v>1820.48</v>
      </c>
      <c r="O3771" s="549">
        <v>892.8</v>
      </c>
      <c r="P3771" s="549">
        <v>100</v>
      </c>
      <c r="Q3771" s="549">
        <v>8932.5499999999993</v>
      </c>
    </row>
    <row r="3772" spans="1:17" x14ac:dyDescent="0.25">
      <c r="A3772" s="549" t="s">
        <v>1111</v>
      </c>
      <c r="B3772" s="549" t="s">
        <v>1112</v>
      </c>
      <c r="C3772" s="549" t="s">
        <v>838</v>
      </c>
      <c r="D3772" s="549" t="s">
        <v>839</v>
      </c>
      <c r="E3772" s="549" t="s">
        <v>977</v>
      </c>
      <c r="F3772" s="549" t="s">
        <v>1212</v>
      </c>
      <c r="G3772" s="549" t="s">
        <v>1503</v>
      </c>
      <c r="H3772" s="549" t="s">
        <v>838</v>
      </c>
      <c r="I3772" s="549" t="s">
        <v>976</v>
      </c>
      <c r="J3772" s="549" t="s">
        <v>976</v>
      </c>
      <c r="K3772" s="549" t="s">
        <v>976</v>
      </c>
      <c r="L3772" s="549">
        <v>0.02</v>
      </c>
      <c r="M3772" s="549">
        <v>0</v>
      </c>
      <c r="N3772" s="549">
        <v>0</v>
      </c>
      <c r="O3772" s="549">
        <v>1984</v>
      </c>
      <c r="P3772" s="549">
        <v>100</v>
      </c>
      <c r="Q3772" s="549">
        <v>1984</v>
      </c>
    </row>
    <row r="3773" spans="1:17" x14ac:dyDescent="0.25">
      <c r="A3773" s="549" t="s">
        <v>1111</v>
      </c>
      <c r="B3773" s="549" t="s">
        <v>1112</v>
      </c>
      <c r="C3773" s="549" t="s">
        <v>838</v>
      </c>
      <c r="D3773" s="549" t="s">
        <v>839</v>
      </c>
      <c r="E3773" s="549" t="s">
        <v>977</v>
      </c>
      <c r="F3773" s="549" t="s">
        <v>1212</v>
      </c>
      <c r="G3773" s="549" t="s">
        <v>1440</v>
      </c>
      <c r="H3773" s="549" t="s">
        <v>838</v>
      </c>
      <c r="I3773" s="549" t="s">
        <v>976</v>
      </c>
      <c r="J3773" s="549" t="s">
        <v>976</v>
      </c>
      <c r="K3773" s="549" t="s">
        <v>976</v>
      </c>
      <c r="L3773" s="549">
        <v>60553.440000000002</v>
      </c>
      <c r="M3773" s="549">
        <v>4571.78</v>
      </c>
      <c r="N3773" s="549">
        <v>1338.23</v>
      </c>
      <c r="O3773" s="549">
        <v>1984</v>
      </c>
      <c r="P3773" s="549">
        <v>100</v>
      </c>
      <c r="Q3773" s="549">
        <v>7894.01</v>
      </c>
    </row>
    <row r="3774" spans="1:17" x14ac:dyDescent="0.25">
      <c r="A3774" s="549" t="s">
        <v>1111</v>
      </c>
      <c r="B3774" s="549" t="s">
        <v>1112</v>
      </c>
      <c r="C3774" s="549" t="s">
        <v>838</v>
      </c>
      <c r="D3774" s="549" t="s">
        <v>839</v>
      </c>
      <c r="E3774" s="549" t="s">
        <v>977</v>
      </c>
      <c r="F3774" s="549" t="s">
        <v>1212</v>
      </c>
      <c r="G3774" s="549" t="s">
        <v>1369</v>
      </c>
      <c r="H3774" s="549" t="s">
        <v>838</v>
      </c>
      <c r="I3774" s="549" t="s">
        <v>976</v>
      </c>
      <c r="J3774" s="549" t="s">
        <v>976</v>
      </c>
      <c r="K3774" s="549" t="s">
        <v>976</v>
      </c>
      <c r="L3774" s="549">
        <v>31683.14</v>
      </c>
      <c r="M3774" s="549">
        <v>2392.08</v>
      </c>
      <c r="N3774" s="549">
        <v>700.2</v>
      </c>
      <c r="O3774" s="549">
        <v>0</v>
      </c>
      <c r="P3774" s="549">
        <v>100</v>
      </c>
      <c r="Q3774" s="549">
        <v>3092.28</v>
      </c>
    </row>
    <row r="3775" spans="1:17" x14ac:dyDescent="0.25">
      <c r="A3775" s="549" t="s">
        <v>1111</v>
      </c>
      <c r="B3775" s="549" t="s">
        <v>1112</v>
      </c>
      <c r="C3775" s="549" t="s">
        <v>838</v>
      </c>
      <c r="D3775" s="549" t="s">
        <v>839</v>
      </c>
      <c r="E3775" s="549" t="s">
        <v>977</v>
      </c>
      <c r="F3775" s="549" t="s">
        <v>1212</v>
      </c>
      <c r="G3775" s="549" t="s">
        <v>1451</v>
      </c>
      <c r="H3775" s="549" t="s">
        <v>838</v>
      </c>
      <c r="I3775" s="549" t="s">
        <v>976</v>
      </c>
      <c r="J3775" s="549" t="s">
        <v>976</v>
      </c>
      <c r="K3775" s="549" t="s">
        <v>976</v>
      </c>
      <c r="L3775" s="549">
        <v>31683.14</v>
      </c>
      <c r="M3775" s="549">
        <v>2392.08</v>
      </c>
      <c r="N3775" s="549">
        <v>700.2</v>
      </c>
      <c r="O3775" s="549">
        <v>0</v>
      </c>
      <c r="P3775" s="549">
        <v>100</v>
      </c>
      <c r="Q3775" s="549">
        <v>3092.28</v>
      </c>
    </row>
    <row r="3776" spans="1:17" x14ac:dyDescent="0.25">
      <c r="A3776" s="549" t="s">
        <v>1111</v>
      </c>
      <c r="B3776" s="549" t="s">
        <v>1112</v>
      </c>
      <c r="C3776" s="549" t="s">
        <v>838</v>
      </c>
      <c r="D3776" s="549" t="s">
        <v>839</v>
      </c>
      <c r="E3776" s="549" t="s">
        <v>977</v>
      </c>
      <c r="F3776" s="549" t="s">
        <v>1212</v>
      </c>
      <c r="G3776" s="549" t="s">
        <v>1363</v>
      </c>
      <c r="H3776" s="549" t="s">
        <v>838</v>
      </c>
      <c r="I3776" s="549" t="s">
        <v>976</v>
      </c>
      <c r="J3776" s="549" t="s">
        <v>976</v>
      </c>
      <c r="K3776" s="549" t="s">
        <v>976</v>
      </c>
      <c r="L3776" s="549">
        <v>31683.14</v>
      </c>
      <c r="M3776" s="549">
        <v>2392.08</v>
      </c>
      <c r="N3776" s="549">
        <v>700.2</v>
      </c>
      <c r="O3776" s="549">
        <v>0</v>
      </c>
      <c r="P3776" s="549">
        <v>100</v>
      </c>
      <c r="Q3776" s="549">
        <v>3092.28</v>
      </c>
    </row>
    <row r="3777" spans="1:17" x14ac:dyDescent="0.25">
      <c r="A3777" s="549" t="s">
        <v>1111</v>
      </c>
      <c r="B3777" s="549" t="s">
        <v>1112</v>
      </c>
      <c r="C3777" s="549" t="s">
        <v>838</v>
      </c>
      <c r="D3777" s="549" t="s">
        <v>839</v>
      </c>
      <c r="E3777" s="549" t="s">
        <v>977</v>
      </c>
      <c r="F3777" s="549" t="s">
        <v>1212</v>
      </c>
      <c r="G3777" s="549" t="s">
        <v>1366</v>
      </c>
      <c r="H3777" s="549" t="s">
        <v>838</v>
      </c>
      <c r="I3777" s="549" t="s">
        <v>976</v>
      </c>
      <c r="J3777" s="549" t="s">
        <v>976</v>
      </c>
      <c r="K3777" s="549" t="s">
        <v>976</v>
      </c>
      <c r="L3777" s="549">
        <v>31683.14</v>
      </c>
      <c r="M3777" s="549">
        <v>2392.08</v>
      </c>
      <c r="N3777" s="549">
        <v>700.2</v>
      </c>
      <c r="O3777" s="549">
        <v>0</v>
      </c>
      <c r="P3777" s="549">
        <v>100</v>
      </c>
      <c r="Q3777" s="549">
        <v>3092.28</v>
      </c>
    </row>
    <row r="3778" spans="1:17" x14ac:dyDescent="0.25">
      <c r="A3778" s="549" t="s">
        <v>1111</v>
      </c>
      <c r="B3778" s="549" t="s">
        <v>1112</v>
      </c>
      <c r="C3778" s="549" t="s">
        <v>825</v>
      </c>
      <c r="D3778" s="549" t="s">
        <v>826</v>
      </c>
      <c r="E3778" s="549" t="s">
        <v>977</v>
      </c>
      <c r="F3778" s="549" t="s">
        <v>1212</v>
      </c>
      <c r="G3778" s="549">
        <v>52</v>
      </c>
      <c r="H3778" s="549" t="s">
        <v>825</v>
      </c>
      <c r="I3778" s="549" t="s">
        <v>976</v>
      </c>
      <c r="J3778" s="549" t="s">
        <v>976</v>
      </c>
      <c r="K3778" s="549" t="s">
        <v>976</v>
      </c>
      <c r="L3778" s="549">
        <v>266331.3</v>
      </c>
      <c r="M3778" s="549">
        <v>20108.009999999998</v>
      </c>
      <c r="N3778" s="549">
        <v>5885.92</v>
      </c>
      <c r="O3778" s="549">
        <v>1984</v>
      </c>
      <c r="P3778" s="549">
        <v>100</v>
      </c>
      <c r="Q3778" s="549">
        <v>27977.93</v>
      </c>
    </row>
    <row r="3779" spans="1:17" x14ac:dyDescent="0.25">
      <c r="A3779" s="549" t="s">
        <v>1111</v>
      </c>
      <c r="B3779" s="549" t="s">
        <v>1112</v>
      </c>
      <c r="C3779" s="549" t="s">
        <v>825</v>
      </c>
      <c r="D3779" s="549" t="s">
        <v>826</v>
      </c>
      <c r="E3779" s="549" t="s">
        <v>977</v>
      </c>
      <c r="F3779" s="549" t="s">
        <v>1212</v>
      </c>
      <c r="G3779" s="549">
        <v>72</v>
      </c>
      <c r="H3779" s="549" t="s">
        <v>825</v>
      </c>
      <c r="I3779" s="549" t="s">
        <v>976</v>
      </c>
      <c r="J3779" s="549" t="s">
        <v>976</v>
      </c>
      <c r="K3779" s="549" t="s">
        <v>976</v>
      </c>
      <c r="L3779" s="549">
        <v>266331.3</v>
      </c>
      <c r="M3779" s="549">
        <v>20108.009999999998</v>
      </c>
      <c r="N3779" s="549">
        <v>5885.92</v>
      </c>
      <c r="O3779" s="549">
        <v>1984</v>
      </c>
      <c r="P3779" s="549">
        <v>100</v>
      </c>
      <c r="Q3779" s="549">
        <v>27977.93</v>
      </c>
    </row>
    <row r="3780" spans="1:17" x14ac:dyDescent="0.25">
      <c r="A3780" s="549" t="s">
        <v>1111</v>
      </c>
      <c r="B3780" s="549" t="s">
        <v>1112</v>
      </c>
      <c r="C3780" s="549" t="s">
        <v>825</v>
      </c>
      <c r="D3780" s="549" t="s">
        <v>826</v>
      </c>
      <c r="E3780" s="549" t="s">
        <v>977</v>
      </c>
      <c r="F3780" s="549" t="s">
        <v>1212</v>
      </c>
      <c r="G3780" s="549" t="s">
        <v>1373</v>
      </c>
      <c r="H3780" s="549" t="s">
        <v>825</v>
      </c>
      <c r="I3780" s="549" t="s">
        <v>976</v>
      </c>
      <c r="J3780" s="549" t="s">
        <v>976</v>
      </c>
      <c r="K3780" s="549" t="s">
        <v>976</v>
      </c>
      <c r="L3780" s="549">
        <v>46659.92</v>
      </c>
      <c r="M3780" s="549">
        <v>3522.82</v>
      </c>
      <c r="N3780" s="549">
        <v>1031.18</v>
      </c>
      <c r="O3780" s="549">
        <v>0</v>
      </c>
      <c r="P3780" s="549">
        <v>100</v>
      </c>
      <c r="Q3780" s="549">
        <v>4554</v>
      </c>
    </row>
    <row r="3781" spans="1:17" x14ac:dyDescent="0.25">
      <c r="A3781" s="549" t="s">
        <v>1111</v>
      </c>
      <c r="B3781" s="549" t="s">
        <v>1112</v>
      </c>
      <c r="C3781" s="549" t="s">
        <v>825</v>
      </c>
      <c r="D3781" s="549" t="s">
        <v>826</v>
      </c>
      <c r="E3781" s="549" t="s">
        <v>977</v>
      </c>
      <c r="F3781" s="549" t="s">
        <v>1212</v>
      </c>
      <c r="G3781" s="549" t="s">
        <v>1256</v>
      </c>
      <c r="H3781" s="549" t="s">
        <v>825</v>
      </c>
      <c r="I3781" s="549" t="s">
        <v>976</v>
      </c>
      <c r="J3781" s="549" t="s">
        <v>976</v>
      </c>
      <c r="K3781" s="549" t="s">
        <v>976</v>
      </c>
      <c r="L3781" s="549">
        <v>46659.92</v>
      </c>
      <c r="M3781" s="549">
        <v>3522.82</v>
      </c>
      <c r="N3781" s="549">
        <v>1031.18</v>
      </c>
      <c r="O3781" s="549">
        <v>0</v>
      </c>
      <c r="P3781" s="549">
        <v>100</v>
      </c>
      <c r="Q3781" s="549">
        <v>4554</v>
      </c>
    </row>
    <row r="3782" spans="1:17" x14ac:dyDescent="0.25">
      <c r="A3782" s="549" t="s">
        <v>1111</v>
      </c>
      <c r="B3782" s="549" t="s">
        <v>1112</v>
      </c>
      <c r="C3782" s="549" t="s">
        <v>831</v>
      </c>
      <c r="D3782" s="549" t="s">
        <v>832</v>
      </c>
      <c r="E3782" s="549" t="s">
        <v>977</v>
      </c>
      <c r="F3782" s="549" t="s">
        <v>1212</v>
      </c>
      <c r="G3782" s="549">
        <v>242</v>
      </c>
      <c r="H3782" s="549" t="s">
        <v>831</v>
      </c>
      <c r="I3782" s="549" t="s">
        <v>976</v>
      </c>
      <c r="J3782" s="549" t="s">
        <v>976</v>
      </c>
      <c r="K3782" s="549" t="s">
        <v>976</v>
      </c>
      <c r="L3782" s="549">
        <v>334345.07</v>
      </c>
      <c r="M3782" s="549">
        <v>25243.05</v>
      </c>
      <c r="N3782" s="549">
        <v>7389.03</v>
      </c>
      <c r="O3782" s="549">
        <v>1984</v>
      </c>
      <c r="P3782" s="549">
        <v>100</v>
      </c>
      <c r="Q3782" s="549">
        <v>34616.080000000002</v>
      </c>
    </row>
    <row r="3783" spans="1:17" x14ac:dyDescent="0.25">
      <c r="A3783" s="549" t="s">
        <v>1111</v>
      </c>
      <c r="B3783" s="549" t="s">
        <v>1112</v>
      </c>
      <c r="C3783" s="549" t="s">
        <v>831</v>
      </c>
      <c r="D3783" s="549" t="s">
        <v>832</v>
      </c>
      <c r="E3783" s="549" t="s">
        <v>977</v>
      </c>
      <c r="F3783" s="549" t="s">
        <v>1212</v>
      </c>
      <c r="G3783" s="549">
        <v>252</v>
      </c>
      <c r="H3783" s="549" t="s">
        <v>831</v>
      </c>
      <c r="I3783" s="549" t="s">
        <v>976</v>
      </c>
      <c r="J3783" s="549" t="s">
        <v>976</v>
      </c>
      <c r="K3783" s="549" t="s">
        <v>976</v>
      </c>
      <c r="L3783" s="549">
        <v>334345.07</v>
      </c>
      <c r="M3783" s="549">
        <v>25243.05</v>
      </c>
      <c r="N3783" s="549">
        <v>7389.03</v>
      </c>
      <c r="O3783" s="549">
        <v>1984</v>
      </c>
      <c r="P3783" s="549">
        <v>100</v>
      </c>
      <c r="Q3783" s="549">
        <v>34616.080000000002</v>
      </c>
    </row>
    <row r="3784" spans="1:17" x14ac:dyDescent="0.25">
      <c r="A3784" s="549" t="s">
        <v>1111</v>
      </c>
      <c r="B3784" s="549" t="s">
        <v>1112</v>
      </c>
      <c r="C3784" s="549" t="s">
        <v>831</v>
      </c>
      <c r="D3784" s="549" t="s">
        <v>832</v>
      </c>
      <c r="E3784" s="549" t="s">
        <v>977</v>
      </c>
      <c r="F3784" s="549" t="s">
        <v>1212</v>
      </c>
      <c r="G3784" s="549">
        <v>262</v>
      </c>
      <c r="H3784" s="549" t="s">
        <v>831</v>
      </c>
      <c r="I3784" s="549" t="s">
        <v>976</v>
      </c>
      <c r="J3784" s="549" t="s">
        <v>976</v>
      </c>
      <c r="K3784" s="549" t="s">
        <v>976</v>
      </c>
      <c r="L3784" s="549">
        <v>334345.07</v>
      </c>
      <c r="M3784" s="549">
        <v>25243.05</v>
      </c>
      <c r="N3784" s="549">
        <v>7389.03</v>
      </c>
      <c r="O3784" s="549">
        <v>1984</v>
      </c>
      <c r="P3784" s="549">
        <v>100</v>
      </c>
      <c r="Q3784" s="549">
        <v>34616.080000000002</v>
      </c>
    </row>
    <row r="3785" spans="1:17" x14ac:dyDescent="0.25">
      <c r="A3785" s="549" t="s">
        <v>1111</v>
      </c>
      <c r="B3785" s="549" t="s">
        <v>1112</v>
      </c>
      <c r="C3785" s="549" t="s">
        <v>831</v>
      </c>
      <c r="D3785" s="549" t="s">
        <v>832</v>
      </c>
      <c r="E3785" s="549" t="s">
        <v>977</v>
      </c>
      <c r="F3785" s="549" t="s">
        <v>1212</v>
      </c>
      <c r="G3785" s="549">
        <v>272</v>
      </c>
      <c r="H3785" s="549" t="s">
        <v>831</v>
      </c>
      <c r="I3785" s="549" t="s">
        <v>976</v>
      </c>
      <c r="J3785" s="549" t="s">
        <v>976</v>
      </c>
      <c r="K3785" s="549" t="s">
        <v>976</v>
      </c>
      <c r="L3785" s="549">
        <v>334345.07</v>
      </c>
      <c r="M3785" s="549">
        <v>25243.05</v>
      </c>
      <c r="N3785" s="549">
        <v>7389.03</v>
      </c>
      <c r="O3785" s="549">
        <v>1984</v>
      </c>
      <c r="P3785" s="549">
        <v>100</v>
      </c>
      <c r="Q3785" s="549">
        <v>34616.080000000002</v>
      </c>
    </row>
    <row r="3786" spans="1:17" x14ac:dyDescent="0.25">
      <c r="A3786" s="549" t="s">
        <v>1111</v>
      </c>
      <c r="B3786" s="549" t="s">
        <v>1112</v>
      </c>
      <c r="C3786" s="549" t="s">
        <v>831</v>
      </c>
      <c r="D3786" s="549" t="s">
        <v>832</v>
      </c>
      <c r="E3786" s="549" t="s">
        <v>977</v>
      </c>
      <c r="F3786" s="549" t="s">
        <v>1212</v>
      </c>
      <c r="G3786" s="549">
        <v>1052</v>
      </c>
      <c r="H3786" s="549" t="s">
        <v>831</v>
      </c>
      <c r="I3786" s="549" t="s">
        <v>976</v>
      </c>
      <c r="J3786" s="549" t="s">
        <v>976</v>
      </c>
      <c r="K3786" s="549" t="s">
        <v>976</v>
      </c>
      <c r="L3786" s="549">
        <v>177724.97</v>
      </c>
      <c r="M3786" s="549">
        <v>13418.24</v>
      </c>
      <c r="N3786" s="549">
        <v>3927.72</v>
      </c>
      <c r="O3786" s="549">
        <v>3968</v>
      </c>
      <c r="P3786" s="549">
        <v>100</v>
      </c>
      <c r="Q3786" s="549">
        <v>21313.96</v>
      </c>
    </row>
    <row r="3787" spans="1:17" x14ac:dyDescent="0.25">
      <c r="A3787" s="549" t="s">
        <v>1111</v>
      </c>
      <c r="B3787" s="549" t="s">
        <v>1112</v>
      </c>
      <c r="C3787" s="549" t="s">
        <v>831</v>
      </c>
      <c r="D3787" s="549" t="s">
        <v>832</v>
      </c>
      <c r="E3787" s="549" t="s">
        <v>977</v>
      </c>
      <c r="F3787" s="549" t="s">
        <v>1212</v>
      </c>
      <c r="G3787" s="549">
        <v>1062</v>
      </c>
      <c r="H3787" s="549" t="s">
        <v>831</v>
      </c>
      <c r="I3787" s="549" t="s">
        <v>976</v>
      </c>
      <c r="J3787" s="549" t="s">
        <v>976</v>
      </c>
      <c r="K3787" s="549" t="s">
        <v>976</v>
      </c>
      <c r="L3787" s="549">
        <v>206833.31</v>
      </c>
      <c r="M3787" s="549">
        <v>15615.91</v>
      </c>
      <c r="N3787" s="549">
        <v>4571.0200000000004</v>
      </c>
      <c r="O3787" s="549">
        <v>3968</v>
      </c>
      <c r="P3787" s="549">
        <v>100</v>
      </c>
      <c r="Q3787" s="549">
        <v>24154.93</v>
      </c>
    </row>
    <row r="3788" spans="1:17" x14ac:dyDescent="0.25">
      <c r="A3788" s="549" t="s">
        <v>1111</v>
      </c>
      <c r="B3788" s="549" t="s">
        <v>1112</v>
      </c>
      <c r="C3788" s="549" t="s">
        <v>831</v>
      </c>
      <c r="D3788" s="549" t="s">
        <v>832</v>
      </c>
      <c r="E3788" s="549" t="s">
        <v>977</v>
      </c>
      <c r="F3788" s="549" t="s">
        <v>1212</v>
      </c>
      <c r="G3788" s="549">
        <v>1072</v>
      </c>
      <c r="H3788" s="549" t="s">
        <v>831</v>
      </c>
      <c r="I3788" s="549" t="s">
        <v>976</v>
      </c>
      <c r="J3788" s="549" t="s">
        <v>976</v>
      </c>
      <c r="K3788" s="549" t="s">
        <v>976</v>
      </c>
      <c r="L3788" s="549">
        <v>177724.97</v>
      </c>
      <c r="M3788" s="549">
        <v>13418.24</v>
      </c>
      <c r="N3788" s="549">
        <v>3927.72</v>
      </c>
      <c r="O3788" s="549">
        <v>3968</v>
      </c>
      <c r="P3788" s="549">
        <v>100</v>
      </c>
      <c r="Q3788" s="549">
        <v>21313.96</v>
      </c>
    </row>
    <row r="3789" spans="1:17" x14ac:dyDescent="0.25">
      <c r="A3789" s="549" t="s">
        <v>1111</v>
      </c>
      <c r="B3789" s="549" t="s">
        <v>1112</v>
      </c>
      <c r="C3789" s="549" t="s">
        <v>831</v>
      </c>
      <c r="D3789" s="549" t="s">
        <v>832</v>
      </c>
      <c r="E3789" s="549" t="s">
        <v>977</v>
      </c>
      <c r="F3789" s="549" t="s">
        <v>1212</v>
      </c>
      <c r="G3789" s="549">
        <v>1092</v>
      </c>
      <c r="H3789" s="549" t="s">
        <v>831</v>
      </c>
      <c r="I3789" s="549" t="s">
        <v>976</v>
      </c>
      <c r="J3789" s="549" t="s">
        <v>976</v>
      </c>
      <c r="K3789" s="549" t="s">
        <v>976</v>
      </c>
      <c r="L3789" s="549">
        <v>177724.97</v>
      </c>
      <c r="M3789" s="549">
        <v>13418.24</v>
      </c>
      <c r="N3789" s="549">
        <v>3927.72</v>
      </c>
      <c r="O3789" s="549">
        <v>3968</v>
      </c>
      <c r="P3789" s="549">
        <v>100</v>
      </c>
      <c r="Q3789" s="549">
        <v>21313.96</v>
      </c>
    </row>
    <row r="3790" spans="1:17" x14ac:dyDescent="0.25">
      <c r="A3790" s="549" t="s">
        <v>1111</v>
      </c>
      <c r="B3790" s="549" t="s">
        <v>1112</v>
      </c>
      <c r="C3790" s="549" t="s">
        <v>831</v>
      </c>
      <c r="D3790" s="549" t="s">
        <v>832</v>
      </c>
      <c r="E3790" s="549" t="s">
        <v>977</v>
      </c>
      <c r="F3790" s="549" t="s">
        <v>1212</v>
      </c>
      <c r="G3790" s="549">
        <v>1102</v>
      </c>
      <c r="H3790" s="549" t="s">
        <v>831</v>
      </c>
      <c r="I3790" s="549" t="s">
        <v>976</v>
      </c>
      <c r="J3790" s="549" t="s">
        <v>976</v>
      </c>
      <c r="K3790" s="549" t="s">
        <v>976</v>
      </c>
      <c r="L3790" s="549">
        <v>177724.97</v>
      </c>
      <c r="M3790" s="549">
        <v>13418.24</v>
      </c>
      <c r="N3790" s="549">
        <v>3927.72</v>
      </c>
      <c r="O3790" s="549">
        <v>3968</v>
      </c>
      <c r="P3790" s="549">
        <v>100</v>
      </c>
      <c r="Q3790" s="549">
        <v>21313.96</v>
      </c>
    </row>
    <row r="3791" spans="1:17" x14ac:dyDescent="0.25">
      <c r="A3791" s="549" t="s">
        <v>1111</v>
      </c>
      <c r="B3791" s="549" t="s">
        <v>1112</v>
      </c>
      <c r="C3791" s="549" t="s">
        <v>831</v>
      </c>
      <c r="D3791" s="549" t="s">
        <v>832</v>
      </c>
      <c r="E3791" s="549" t="s">
        <v>977</v>
      </c>
      <c r="F3791" s="549" t="s">
        <v>1212</v>
      </c>
      <c r="G3791" s="549">
        <v>1112</v>
      </c>
      <c r="H3791" s="549" t="s">
        <v>831</v>
      </c>
      <c r="I3791" s="549" t="s">
        <v>976</v>
      </c>
      <c r="J3791" s="549" t="s">
        <v>976</v>
      </c>
      <c r="K3791" s="549" t="s">
        <v>976</v>
      </c>
      <c r="L3791" s="549">
        <v>177724.97</v>
      </c>
      <c r="M3791" s="549">
        <v>13418.24</v>
      </c>
      <c r="N3791" s="549">
        <v>3927.72</v>
      </c>
      <c r="O3791" s="549">
        <v>3968</v>
      </c>
      <c r="P3791" s="549">
        <v>100</v>
      </c>
      <c r="Q3791" s="549">
        <v>21313.96</v>
      </c>
    </row>
    <row r="3792" spans="1:17" x14ac:dyDescent="0.25">
      <c r="A3792" s="549" t="s">
        <v>1111</v>
      </c>
      <c r="B3792" s="549" t="s">
        <v>1112</v>
      </c>
      <c r="C3792" s="549" t="s">
        <v>831</v>
      </c>
      <c r="D3792" s="549" t="s">
        <v>832</v>
      </c>
      <c r="E3792" s="549" t="s">
        <v>977</v>
      </c>
      <c r="F3792" s="549" t="s">
        <v>1212</v>
      </c>
      <c r="G3792" s="549">
        <v>1132</v>
      </c>
      <c r="H3792" s="549" t="s">
        <v>831</v>
      </c>
      <c r="I3792" s="549" t="s">
        <v>976</v>
      </c>
      <c r="J3792" s="549" t="s">
        <v>976</v>
      </c>
      <c r="K3792" s="549" t="s">
        <v>976</v>
      </c>
      <c r="L3792" s="549">
        <v>177724.97</v>
      </c>
      <c r="M3792" s="549">
        <v>13418.24</v>
      </c>
      <c r="N3792" s="549">
        <v>3927.72</v>
      </c>
      <c r="O3792" s="549">
        <v>3968</v>
      </c>
      <c r="P3792" s="549">
        <v>100</v>
      </c>
      <c r="Q3792" s="549">
        <v>21313.96</v>
      </c>
    </row>
    <row r="3793" spans="1:17" x14ac:dyDescent="0.25">
      <c r="A3793" s="549" t="s">
        <v>1111</v>
      </c>
      <c r="B3793" s="549" t="s">
        <v>1112</v>
      </c>
      <c r="C3793" s="549" t="s">
        <v>831</v>
      </c>
      <c r="D3793" s="549" t="s">
        <v>832</v>
      </c>
      <c r="E3793" s="549" t="s">
        <v>977</v>
      </c>
      <c r="F3793" s="549" t="s">
        <v>1212</v>
      </c>
      <c r="G3793" s="549" t="s">
        <v>1504</v>
      </c>
      <c r="H3793" s="549" t="s">
        <v>831</v>
      </c>
      <c r="I3793" s="549" t="s">
        <v>976</v>
      </c>
      <c r="J3793" s="549" t="s">
        <v>976</v>
      </c>
      <c r="K3793" s="549" t="s">
        <v>976</v>
      </c>
      <c r="L3793" s="549">
        <v>41846.550000000003</v>
      </c>
      <c r="M3793" s="549">
        <v>3159.41</v>
      </c>
      <c r="N3793" s="549">
        <v>924.81</v>
      </c>
      <c r="O3793" s="549">
        <v>1984</v>
      </c>
      <c r="P3793" s="549">
        <v>100</v>
      </c>
      <c r="Q3793" s="549">
        <v>6068.22</v>
      </c>
    </row>
    <row r="3794" spans="1:17" x14ac:dyDescent="0.25">
      <c r="A3794" s="549" t="s">
        <v>1111</v>
      </c>
      <c r="B3794" s="549" t="s">
        <v>1112</v>
      </c>
      <c r="C3794" s="549" t="s">
        <v>831</v>
      </c>
      <c r="D3794" s="549" t="s">
        <v>832</v>
      </c>
      <c r="E3794" s="549" t="s">
        <v>977</v>
      </c>
      <c r="F3794" s="549" t="s">
        <v>1212</v>
      </c>
      <c r="G3794" s="549" t="s">
        <v>1220</v>
      </c>
      <c r="H3794" s="549" t="s">
        <v>831</v>
      </c>
      <c r="I3794" s="549" t="s">
        <v>976</v>
      </c>
      <c r="J3794" s="549" t="s">
        <v>976</v>
      </c>
      <c r="K3794" s="549" t="s">
        <v>976</v>
      </c>
      <c r="L3794" s="549">
        <v>30717.61</v>
      </c>
      <c r="M3794" s="549">
        <v>2319.1799999999998</v>
      </c>
      <c r="N3794" s="549">
        <v>678.86</v>
      </c>
      <c r="O3794" s="549">
        <v>0</v>
      </c>
      <c r="P3794" s="549">
        <v>100</v>
      </c>
      <c r="Q3794" s="549">
        <v>2998.04</v>
      </c>
    </row>
    <row r="3795" spans="1:17" x14ac:dyDescent="0.25">
      <c r="A3795" s="549" t="s">
        <v>1111</v>
      </c>
      <c r="B3795" s="549" t="s">
        <v>1112</v>
      </c>
      <c r="C3795" s="549" t="s">
        <v>831</v>
      </c>
      <c r="D3795" s="549" t="s">
        <v>832</v>
      </c>
      <c r="E3795" s="549" t="s">
        <v>977</v>
      </c>
      <c r="F3795" s="549" t="s">
        <v>1212</v>
      </c>
      <c r="G3795" s="549" t="s">
        <v>1369</v>
      </c>
      <c r="H3795" s="549" t="s">
        <v>831</v>
      </c>
      <c r="I3795" s="549" t="s">
        <v>976</v>
      </c>
      <c r="J3795" s="549" t="s">
        <v>976</v>
      </c>
      <c r="K3795" s="549" t="s">
        <v>976</v>
      </c>
      <c r="L3795" s="549">
        <v>30717.61</v>
      </c>
      <c r="M3795" s="549">
        <v>2319.1799999999998</v>
      </c>
      <c r="N3795" s="549">
        <v>678.86</v>
      </c>
      <c r="O3795" s="549">
        <v>0</v>
      </c>
      <c r="P3795" s="549">
        <v>100</v>
      </c>
      <c r="Q3795" s="549">
        <v>2998.04</v>
      </c>
    </row>
    <row r="3796" spans="1:17" x14ac:dyDescent="0.25">
      <c r="A3796" s="549" t="s">
        <v>1111</v>
      </c>
      <c r="B3796" s="549" t="s">
        <v>1112</v>
      </c>
      <c r="C3796" s="549" t="s">
        <v>831</v>
      </c>
      <c r="D3796" s="549" t="s">
        <v>832</v>
      </c>
      <c r="E3796" s="549" t="s">
        <v>977</v>
      </c>
      <c r="F3796" s="549" t="s">
        <v>1212</v>
      </c>
      <c r="G3796" s="549" t="s">
        <v>1412</v>
      </c>
      <c r="H3796" s="549" t="s">
        <v>831</v>
      </c>
      <c r="I3796" s="549" t="s">
        <v>976</v>
      </c>
      <c r="J3796" s="549" t="s">
        <v>976</v>
      </c>
      <c r="K3796" s="549" t="s">
        <v>976</v>
      </c>
      <c r="L3796" s="549">
        <v>45869.93</v>
      </c>
      <c r="M3796" s="549">
        <v>3463.18</v>
      </c>
      <c r="N3796" s="549">
        <v>1013.73</v>
      </c>
      <c r="O3796" s="549">
        <v>0</v>
      </c>
      <c r="P3796" s="549">
        <v>100</v>
      </c>
      <c r="Q3796" s="549">
        <v>4476.91</v>
      </c>
    </row>
    <row r="3797" spans="1:17" x14ac:dyDescent="0.25">
      <c r="A3797" s="549" t="s">
        <v>1111</v>
      </c>
      <c r="B3797" s="549" t="s">
        <v>1112</v>
      </c>
      <c r="C3797" s="549" t="s">
        <v>831</v>
      </c>
      <c r="D3797" s="549" t="s">
        <v>832</v>
      </c>
      <c r="E3797" s="549" t="s">
        <v>977</v>
      </c>
      <c r="F3797" s="549" t="s">
        <v>1212</v>
      </c>
      <c r="G3797" s="549" t="s">
        <v>1498</v>
      </c>
      <c r="H3797" s="549" t="s">
        <v>831</v>
      </c>
      <c r="I3797" s="549" t="s">
        <v>976</v>
      </c>
      <c r="J3797" s="549" t="s">
        <v>976</v>
      </c>
      <c r="K3797" s="549" t="s">
        <v>976</v>
      </c>
      <c r="L3797" s="549">
        <v>45869.93</v>
      </c>
      <c r="M3797" s="549">
        <v>3463.18</v>
      </c>
      <c r="N3797" s="549">
        <v>1013.73</v>
      </c>
      <c r="O3797" s="549">
        <v>0</v>
      </c>
      <c r="P3797" s="549">
        <v>100</v>
      </c>
      <c r="Q3797" s="549">
        <v>4476.91</v>
      </c>
    </row>
    <row r="3798" spans="1:17" x14ac:dyDescent="0.25">
      <c r="A3798" s="549" t="s">
        <v>1111</v>
      </c>
      <c r="B3798" s="549" t="s">
        <v>1112</v>
      </c>
      <c r="C3798" s="549" t="s">
        <v>840</v>
      </c>
      <c r="D3798" s="549" t="s">
        <v>841</v>
      </c>
      <c r="E3798" s="549" t="s">
        <v>977</v>
      </c>
      <c r="F3798" s="549" t="s">
        <v>1212</v>
      </c>
      <c r="G3798" s="549">
        <v>62</v>
      </c>
      <c r="H3798" s="549" t="s">
        <v>840</v>
      </c>
      <c r="I3798" s="549" t="s">
        <v>976</v>
      </c>
      <c r="J3798" s="549" t="s">
        <v>976</v>
      </c>
      <c r="K3798" s="549" t="s">
        <v>976</v>
      </c>
      <c r="L3798" s="549">
        <v>340679.91</v>
      </c>
      <c r="M3798" s="549">
        <v>25721.33</v>
      </c>
      <c r="N3798" s="549">
        <v>7529.03</v>
      </c>
      <c r="O3798" s="549">
        <v>3968</v>
      </c>
      <c r="P3798" s="549">
        <v>100</v>
      </c>
      <c r="Q3798" s="549">
        <v>37218.36</v>
      </c>
    </row>
    <row r="3799" spans="1:17" x14ac:dyDescent="0.25">
      <c r="A3799" s="549" t="s">
        <v>1111</v>
      </c>
      <c r="B3799" s="549" t="s">
        <v>1112</v>
      </c>
      <c r="C3799" s="549" t="s">
        <v>840</v>
      </c>
      <c r="D3799" s="549" t="s">
        <v>841</v>
      </c>
      <c r="E3799" s="549" t="s">
        <v>977</v>
      </c>
      <c r="F3799" s="549" t="s">
        <v>1212</v>
      </c>
      <c r="G3799" s="549">
        <v>92</v>
      </c>
      <c r="H3799" s="549" t="s">
        <v>840</v>
      </c>
      <c r="I3799" s="549" t="s">
        <v>976</v>
      </c>
      <c r="J3799" s="549" t="s">
        <v>976</v>
      </c>
      <c r="K3799" s="549" t="s">
        <v>976</v>
      </c>
      <c r="L3799" s="549">
        <v>340679.91</v>
      </c>
      <c r="M3799" s="549">
        <v>25721.33</v>
      </c>
      <c r="N3799" s="549">
        <v>7529.03</v>
      </c>
      <c r="O3799" s="549">
        <v>1984</v>
      </c>
      <c r="P3799" s="549">
        <v>100</v>
      </c>
      <c r="Q3799" s="549">
        <v>35234.36</v>
      </c>
    </row>
    <row r="3800" spans="1:17" x14ac:dyDescent="0.25">
      <c r="A3800" s="549" t="s">
        <v>1111</v>
      </c>
      <c r="B3800" s="549" t="s">
        <v>1112</v>
      </c>
      <c r="C3800" s="549" t="s">
        <v>840</v>
      </c>
      <c r="D3800" s="549" t="s">
        <v>841</v>
      </c>
      <c r="E3800" s="549" t="s">
        <v>977</v>
      </c>
      <c r="F3800" s="549" t="s">
        <v>1212</v>
      </c>
      <c r="G3800" s="549">
        <v>112</v>
      </c>
      <c r="H3800" s="549" t="s">
        <v>840</v>
      </c>
      <c r="I3800" s="549" t="s">
        <v>976</v>
      </c>
      <c r="J3800" s="549" t="s">
        <v>976</v>
      </c>
      <c r="K3800" s="549" t="s">
        <v>976</v>
      </c>
      <c r="L3800" s="549">
        <v>340679.91</v>
      </c>
      <c r="M3800" s="549">
        <v>25721.33</v>
      </c>
      <c r="N3800" s="549">
        <v>7529.03</v>
      </c>
      <c r="O3800" s="549">
        <v>1984</v>
      </c>
      <c r="P3800" s="549">
        <v>100</v>
      </c>
      <c r="Q3800" s="549">
        <v>35234.36</v>
      </c>
    </row>
    <row r="3801" spans="1:17" x14ac:dyDescent="0.25">
      <c r="A3801" s="549" t="s">
        <v>1111</v>
      </c>
      <c r="B3801" s="549" t="s">
        <v>1112</v>
      </c>
      <c r="C3801" s="549" t="s">
        <v>840</v>
      </c>
      <c r="D3801" s="549" t="s">
        <v>841</v>
      </c>
      <c r="E3801" s="549" t="s">
        <v>977</v>
      </c>
      <c r="F3801" s="549" t="s">
        <v>1212</v>
      </c>
      <c r="G3801" s="549">
        <v>132</v>
      </c>
      <c r="H3801" s="549" t="s">
        <v>840</v>
      </c>
      <c r="I3801" s="549" t="s">
        <v>976</v>
      </c>
      <c r="J3801" s="549" t="s">
        <v>976</v>
      </c>
      <c r="K3801" s="549" t="s">
        <v>976</v>
      </c>
      <c r="L3801" s="549">
        <v>340679.91</v>
      </c>
      <c r="M3801" s="549">
        <v>25721.33</v>
      </c>
      <c r="N3801" s="549">
        <v>7529.03</v>
      </c>
      <c r="O3801" s="549">
        <v>1984</v>
      </c>
      <c r="P3801" s="549">
        <v>100</v>
      </c>
      <c r="Q3801" s="549">
        <v>35234.36</v>
      </c>
    </row>
    <row r="3802" spans="1:17" x14ac:dyDescent="0.25">
      <c r="A3802" s="549" t="s">
        <v>1111</v>
      </c>
      <c r="B3802" s="549" t="s">
        <v>1112</v>
      </c>
      <c r="C3802" s="549" t="s">
        <v>840</v>
      </c>
      <c r="D3802" s="549" t="s">
        <v>841</v>
      </c>
      <c r="E3802" s="549" t="s">
        <v>977</v>
      </c>
      <c r="F3802" s="549" t="s">
        <v>1212</v>
      </c>
      <c r="G3802" s="549">
        <v>142</v>
      </c>
      <c r="H3802" s="549" t="s">
        <v>840</v>
      </c>
      <c r="I3802" s="549" t="s">
        <v>976</v>
      </c>
      <c r="J3802" s="549" t="s">
        <v>976</v>
      </c>
      <c r="K3802" s="549" t="s">
        <v>976</v>
      </c>
      <c r="L3802" s="549">
        <v>340679.91</v>
      </c>
      <c r="M3802" s="549">
        <v>25721.33</v>
      </c>
      <c r="N3802" s="549">
        <v>7529.03</v>
      </c>
      <c r="O3802" s="549">
        <v>3968</v>
      </c>
      <c r="P3802" s="549">
        <v>100</v>
      </c>
      <c r="Q3802" s="549">
        <v>37218.36</v>
      </c>
    </row>
    <row r="3803" spans="1:17" x14ac:dyDescent="0.25">
      <c r="A3803" s="549" t="s">
        <v>1111</v>
      </c>
      <c r="B3803" s="549" t="s">
        <v>1112</v>
      </c>
      <c r="C3803" s="549" t="s">
        <v>840</v>
      </c>
      <c r="D3803" s="549" t="s">
        <v>841</v>
      </c>
      <c r="E3803" s="549" t="s">
        <v>977</v>
      </c>
      <c r="F3803" s="549" t="s">
        <v>1212</v>
      </c>
      <c r="G3803" s="549">
        <v>162</v>
      </c>
      <c r="H3803" s="549" t="s">
        <v>840</v>
      </c>
      <c r="I3803" s="549" t="s">
        <v>976</v>
      </c>
      <c r="J3803" s="549" t="s">
        <v>976</v>
      </c>
      <c r="K3803" s="549" t="s">
        <v>976</v>
      </c>
      <c r="L3803" s="549">
        <v>340679.91</v>
      </c>
      <c r="M3803" s="549">
        <v>25721.33</v>
      </c>
      <c r="N3803" s="549">
        <v>7529.03</v>
      </c>
      <c r="O3803" s="549">
        <v>3968</v>
      </c>
      <c r="P3803" s="549">
        <v>100</v>
      </c>
      <c r="Q3803" s="549">
        <v>37218.36</v>
      </c>
    </row>
    <row r="3804" spans="1:17" x14ac:dyDescent="0.25">
      <c r="A3804" s="549" t="s">
        <v>1111</v>
      </c>
      <c r="B3804" s="549" t="s">
        <v>1112</v>
      </c>
      <c r="C3804" s="549" t="s">
        <v>840</v>
      </c>
      <c r="D3804" s="549" t="s">
        <v>841</v>
      </c>
      <c r="E3804" s="549" t="s">
        <v>977</v>
      </c>
      <c r="F3804" s="549" t="s">
        <v>1212</v>
      </c>
      <c r="G3804" s="549">
        <v>1082</v>
      </c>
      <c r="H3804" s="549" t="s">
        <v>840</v>
      </c>
      <c r="I3804" s="549" t="s">
        <v>1310</v>
      </c>
      <c r="J3804" s="549" t="s">
        <v>1310</v>
      </c>
      <c r="K3804" s="549" t="s">
        <v>1310</v>
      </c>
      <c r="L3804" s="549">
        <v>0.02</v>
      </c>
      <c r="M3804" s="549">
        <v>0</v>
      </c>
      <c r="N3804" s="549">
        <v>0</v>
      </c>
      <c r="O3804" s="549">
        <v>0</v>
      </c>
      <c r="P3804" s="549">
        <v>100</v>
      </c>
      <c r="Q3804" s="549">
        <v>0</v>
      </c>
    </row>
    <row r="3805" spans="1:17" x14ac:dyDescent="0.25">
      <c r="A3805" s="549" t="s">
        <v>1111</v>
      </c>
      <c r="B3805" s="549" t="s">
        <v>1112</v>
      </c>
      <c r="C3805" s="549" t="s">
        <v>840</v>
      </c>
      <c r="D3805" s="549" t="s">
        <v>841</v>
      </c>
      <c r="E3805" s="549" t="s">
        <v>977</v>
      </c>
      <c r="F3805" s="549" t="s">
        <v>1212</v>
      </c>
      <c r="G3805" s="549">
        <v>1087</v>
      </c>
      <c r="H3805" s="549" t="s">
        <v>840</v>
      </c>
      <c r="I3805" s="549" t="s">
        <v>976</v>
      </c>
      <c r="J3805" s="549" t="s">
        <v>976</v>
      </c>
      <c r="K3805" s="549" t="s">
        <v>976</v>
      </c>
      <c r="L3805" s="549">
        <v>0.01</v>
      </c>
      <c r="M3805" s="549">
        <v>0</v>
      </c>
      <c r="N3805" s="549">
        <v>0</v>
      </c>
      <c r="O3805" s="549">
        <v>992</v>
      </c>
      <c r="P3805" s="549">
        <v>100</v>
      </c>
      <c r="Q3805" s="549">
        <v>992</v>
      </c>
    </row>
    <row r="3806" spans="1:17" x14ac:dyDescent="0.25">
      <c r="A3806" s="549" t="s">
        <v>1111</v>
      </c>
      <c r="B3806" s="549" t="s">
        <v>1112</v>
      </c>
      <c r="C3806" s="549" t="s">
        <v>840</v>
      </c>
      <c r="D3806" s="549" t="s">
        <v>841</v>
      </c>
      <c r="E3806" s="549" t="s">
        <v>977</v>
      </c>
      <c r="F3806" s="549" t="s">
        <v>1212</v>
      </c>
      <c r="G3806" s="549">
        <v>1102</v>
      </c>
      <c r="H3806" s="549" t="s">
        <v>840</v>
      </c>
      <c r="I3806" s="549" t="s">
        <v>976</v>
      </c>
      <c r="J3806" s="549" t="s">
        <v>976</v>
      </c>
      <c r="K3806" s="549" t="s">
        <v>976</v>
      </c>
      <c r="L3806" s="549">
        <v>87246</v>
      </c>
      <c r="M3806" s="549">
        <v>6587.07</v>
      </c>
      <c r="N3806" s="549">
        <v>1928.14</v>
      </c>
      <c r="O3806" s="549">
        <v>2976</v>
      </c>
      <c r="P3806" s="549">
        <v>100</v>
      </c>
      <c r="Q3806" s="549">
        <v>11491.21</v>
      </c>
    </row>
    <row r="3807" spans="1:17" x14ac:dyDescent="0.25">
      <c r="A3807" s="549" t="s">
        <v>1111</v>
      </c>
      <c r="B3807" s="549" t="s">
        <v>1112</v>
      </c>
      <c r="C3807" s="549" t="s">
        <v>840</v>
      </c>
      <c r="D3807" s="549" t="s">
        <v>841</v>
      </c>
      <c r="E3807" s="549" t="s">
        <v>977</v>
      </c>
      <c r="F3807" s="549" t="s">
        <v>1212</v>
      </c>
      <c r="G3807" s="549">
        <v>1122</v>
      </c>
      <c r="H3807" s="549" t="s">
        <v>840</v>
      </c>
      <c r="I3807" s="549" t="s">
        <v>976</v>
      </c>
      <c r="J3807" s="549" t="s">
        <v>976</v>
      </c>
      <c r="K3807" s="549" t="s">
        <v>976</v>
      </c>
      <c r="L3807" s="549">
        <v>87246</v>
      </c>
      <c r="M3807" s="549">
        <v>6587.07</v>
      </c>
      <c r="N3807" s="549">
        <v>1928.14</v>
      </c>
      <c r="O3807" s="549">
        <v>2976</v>
      </c>
      <c r="P3807" s="549">
        <v>100</v>
      </c>
      <c r="Q3807" s="549">
        <v>11491.21</v>
      </c>
    </row>
    <row r="3808" spans="1:17" x14ac:dyDescent="0.25">
      <c r="A3808" s="549" t="s">
        <v>1111</v>
      </c>
      <c r="B3808" s="549" t="s">
        <v>1112</v>
      </c>
      <c r="C3808" s="549" t="s">
        <v>840</v>
      </c>
      <c r="D3808" s="549" t="s">
        <v>841</v>
      </c>
      <c r="E3808" s="549" t="s">
        <v>977</v>
      </c>
      <c r="F3808" s="549" t="s">
        <v>1212</v>
      </c>
      <c r="G3808" s="549">
        <v>1132</v>
      </c>
      <c r="H3808" s="549" t="s">
        <v>840</v>
      </c>
      <c r="I3808" s="549" t="s">
        <v>976</v>
      </c>
      <c r="J3808" s="549" t="s">
        <v>976</v>
      </c>
      <c r="K3808" s="549" t="s">
        <v>976</v>
      </c>
      <c r="L3808" s="549">
        <v>87246</v>
      </c>
      <c r="M3808" s="549">
        <v>6587.07</v>
      </c>
      <c r="N3808" s="549">
        <v>1928.14</v>
      </c>
      <c r="O3808" s="549">
        <v>2976</v>
      </c>
      <c r="P3808" s="549">
        <v>100</v>
      </c>
      <c r="Q3808" s="549">
        <v>11491.21</v>
      </c>
    </row>
    <row r="3809" spans="1:17" x14ac:dyDescent="0.25">
      <c r="A3809" s="549" t="s">
        <v>1111</v>
      </c>
      <c r="B3809" s="549" t="s">
        <v>1112</v>
      </c>
      <c r="C3809" s="549" t="s">
        <v>840</v>
      </c>
      <c r="D3809" s="549" t="s">
        <v>841</v>
      </c>
      <c r="E3809" s="549" t="s">
        <v>977</v>
      </c>
      <c r="F3809" s="549" t="s">
        <v>1212</v>
      </c>
      <c r="G3809" s="549">
        <v>1142</v>
      </c>
      <c r="H3809" s="549" t="s">
        <v>840</v>
      </c>
      <c r="I3809" s="549" t="s">
        <v>976</v>
      </c>
      <c r="J3809" s="549" t="s">
        <v>976</v>
      </c>
      <c r="K3809" s="549" t="s">
        <v>976</v>
      </c>
      <c r="L3809" s="549">
        <v>87246</v>
      </c>
      <c r="M3809" s="549">
        <v>6587.07</v>
      </c>
      <c r="N3809" s="549">
        <v>1928.14</v>
      </c>
      <c r="O3809" s="549">
        <v>2976</v>
      </c>
      <c r="P3809" s="549">
        <v>100</v>
      </c>
      <c r="Q3809" s="549">
        <v>11491.21</v>
      </c>
    </row>
    <row r="3810" spans="1:17" x14ac:dyDescent="0.25">
      <c r="A3810" s="549" t="s">
        <v>1111</v>
      </c>
      <c r="B3810" s="549" t="s">
        <v>1112</v>
      </c>
      <c r="C3810" s="549" t="s">
        <v>840</v>
      </c>
      <c r="D3810" s="549" t="s">
        <v>841</v>
      </c>
      <c r="E3810" s="549" t="s">
        <v>977</v>
      </c>
      <c r="F3810" s="549" t="s">
        <v>1212</v>
      </c>
      <c r="G3810" s="549">
        <v>1152</v>
      </c>
      <c r="H3810" s="549" t="s">
        <v>840</v>
      </c>
      <c r="I3810" s="549" t="s">
        <v>976</v>
      </c>
      <c r="J3810" s="549" t="s">
        <v>976</v>
      </c>
      <c r="K3810" s="549" t="s">
        <v>976</v>
      </c>
      <c r="L3810" s="549">
        <v>88503.6</v>
      </c>
      <c r="M3810" s="549">
        <v>6682.02</v>
      </c>
      <c r="N3810" s="549">
        <v>1955.93</v>
      </c>
      <c r="O3810" s="549">
        <v>992</v>
      </c>
      <c r="P3810" s="549">
        <v>100</v>
      </c>
      <c r="Q3810" s="549">
        <v>9629.9500000000007</v>
      </c>
    </row>
    <row r="3811" spans="1:17" x14ac:dyDescent="0.25">
      <c r="A3811" s="549" t="s">
        <v>1118</v>
      </c>
      <c r="B3811" s="549" t="s">
        <v>1119</v>
      </c>
      <c r="C3811" s="549" t="s">
        <v>873</v>
      </c>
      <c r="D3811" s="549" t="s">
        <v>874</v>
      </c>
      <c r="E3811" s="549" t="s">
        <v>977</v>
      </c>
      <c r="F3811" s="549" t="s">
        <v>1212</v>
      </c>
      <c r="G3811" s="549" t="s">
        <v>1505</v>
      </c>
      <c r="H3811" s="549" t="s">
        <v>873</v>
      </c>
      <c r="I3811" s="549" t="s">
        <v>976</v>
      </c>
      <c r="J3811" s="549" t="s">
        <v>976</v>
      </c>
      <c r="K3811" s="549" t="s">
        <v>976</v>
      </c>
      <c r="L3811" s="549">
        <v>30717.3</v>
      </c>
      <c r="M3811" s="549">
        <v>2319.16</v>
      </c>
      <c r="N3811" s="549">
        <v>678.85</v>
      </c>
      <c r="O3811" s="549">
        <v>0</v>
      </c>
      <c r="P3811" s="549">
        <v>100</v>
      </c>
      <c r="Q3811" s="549">
        <v>2998.01</v>
      </c>
    </row>
    <row r="3812" spans="1:17" x14ac:dyDescent="0.25">
      <c r="A3812" s="549" t="s">
        <v>1118</v>
      </c>
      <c r="B3812" s="549" t="s">
        <v>1119</v>
      </c>
      <c r="C3812" s="549" t="s">
        <v>873</v>
      </c>
      <c r="D3812" s="549" t="s">
        <v>874</v>
      </c>
      <c r="E3812" s="549" t="s">
        <v>977</v>
      </c>
      <c r="F3812" s="549" t="s">
        <v>1212</v>
      </c>
      <c r="G3812" s="549" t="s">
        <v>1463</v>
      </c>
      <c r="H3812" s="549" t="s">
        <v>873</v>
      </c>
      <c r="I3812" s="549" t="s">
        <v>976</v>
      </c>
      <c r="J3812" s="549" t="s">
        <v>976</v>
      </c>
      <c r="K3812" s="549" t="s">
        <v>976</v>
      </c>
      <c r="L3812" s="549">
        <v>30717.3</v>
      </c>
      <c r="M3812" s="549">
        <v>2319.16</v>
      </c>
      <c r="N3812" s="549">
        <v>678.85</v>
      </c>
      <c r="O3812" s="549">
        <v>0</v>
      </c>
      <c r="P3812" s="549">
        <v>100</v>
      </c>
      <c r="Q3812" s="549">
        <v>2998.01</v>
      </c>
    </row>
    <row r="3813" spans="1:17" x14ac:dyDescent="0.25">
      <c r="A3813" s="549" t="s">
        <v>1118</v>
      </c>
      <c r="B3813" s="549" t="s">
        <v>1119</v>
      </c>
      <c r="C3813" s="549" t="s">
        <v>873</v>
      </c>
      <c r="D3813" s="549" t="s">
        <v>874</v>
      </c>
      <c r="E3813" s="549" t="s">
        <v>977</v>
      </c>
      <c r="F3813" s="549" t="s">
        <v>1212</v>
      </c>
      <c r="G3813" s="549">
        <v>852</v>
      </c>
      <c r="H3813" s="549" t="s">
        <v>873</v>
      </c>
      <c r="I3813" s="549" t="s">
        <v>976</v>
      </c>
      <c r="J3813" s="549" t="s">
        <v>976</v>
      </c>
      <c r="K3813" s="549" t="s">
        <v>976</v>
      </c>
      <c r="L3813" s="549">
        <v>1820557.53</v>
      </c>
      <c r="M3813" s="549">
        <v>137452.09</v>
      </c>
      <c r="N3813" s="549">
        <v>40234.32</v>
      </c>
      <c r="O3813" s="549">
        <v>6944</v>
      </c>
      <c r="P3813" s="549">
        <v>100</v>
      </c>
      <c r="Q3813" s="549">
        <v>184630.41</v>
      </c>
    </row>
    <row r="3814" spans="1:17" x14ac:dyDescent="0.25">
      <c r="A3814" s="549" t="s">
        <v>1118</v>
      </c>
      <c r="B3814" s="549" t="s">
        <v>1119</v>
      </c>
      <c r="C3814" s="549" t="s">
        <v>873</v>
      </c>
      <c r="D3814" s="549" t="s">
        <v>874</v>
      </c>
      <c r="E3814" s="549" t="s">
        <v>977</v>
      </c>
      <c r="F3814" s="549" t="s">
        <v>1212</v>
      </c>
      <c r="G3814" s="549">
        <v>822</v>
      </c>
      <c r="H3814" s="549" t="s">
        <v>873</v>
      </c>
      <c r="I3814" s="549" t="s">
        <v>976</v>
      </c>
      <c r="J3814" s="549" t="s">
        <v>976</v>
      </c>
      <c r="K3814" s="549" t="s">
        <v>976</v>
      </c>
      <c r="L3814" s="549">
        <v>1820557.53</v>
      </c>
      <c r="M3814" s="549">
        <v>137452.09</v>
      </c>
      <c r="N3814" s="549">
        <v>40234.32</v>
      </c>
      <c r="O3814" s="549">
        <v>6944</v>
      </c>
      <c r="P3814" s="549">
        <v>100</v>
      </c>
      <c r="Q3814" s="549">
        <v>184630.41</v>
      </c>
    </row>
    <row r="3815" spans="1:17" x14ac:dyDescent="0.25">
      <c r="A3815" s="549" t="s">
        <v>1118</v>
      </c>
      <c r="B3815" s="549" t="s">
        <v>1119</v>
      </c>
      <c r="C3815" s="549" t="s">
        <v>873</v>
      </c>
      <c r="D3815" s="549" t="s">
        <v>874</v>
      </c>
      <c r="E3815" s="549" t="s">
        <v>977</v>
      </c>
      <c r="F3815" s="549" t="s">
        <v>1212</v>
      </c>
      <c r="G3815" s="549">
        <v>482</v>
      </c>
      <c r="H3815" s="549" t="s">
        <v>873</v>
      </c>
      <c r="I3815" s="549" t="s">
        <v>976</v>
      </c>
      <c r="J3815" s="549" t="s">
        <v>976</v>
      </c>
      <c r="K3815" s="549" t="s">
        <v>976</v>
      </c>
      <c r="L3815" s="549">
        <v>119096.69</v>
      </c>
      <c r="M3815" s="549">
        <v>8991.7999999999993</v>
      </c>
      <c r="N3815" s="549">
        <v>2632.04</v>
      </c>
      <c r="O3815" s="549">
        <v>1984</v>
      </c>
      <c r="P3815" s="549">
        <v>100</v>
      </c>
      <c r="Q3815" s="549">
        <v>13607.84</v>
      </c>
    </row>
    <row r="3816" spans="1:17" x14ac:dyDescent="0.25">
      <c r="A3816" s="549" t="s">
        <v>1111</v>
      </c>
      <c r="B3816" s="549" t="s">
        <v>1112</v>
      </c>
      <c r="C3816" s="549" t="s">
        <v>840</v>
      </c>
      <c r="D3816" s="549" t="s">
        <v>841</v>
      </c>
      <c r="E3816" s="549" t="s">
        <v>977</v>
      </c>
      <c r="F3816" s="549" t="s">
        <v>1212</v>
      </c>
      <c r="G3816" s="549" t="s">
        <v>1506</v>
      </c>
      <c r="H3816" s="549" t="s">
        <v>840</v>
      </c>
      <c r="I3816" s="549" t="s">
        <v>976</v>
      </c>
      <c r="J3816" s="549" t="s">
        <v>976</v>
      </c>
      <c r="K3816" s="549" t="s">
        <v>976</v>
      </c>
      <c r="L3816" s="549">
        <v>0.02</v>
      </c>
      <c r="M3816" s="549">
        <v>0</v>
      </c>
      <c r="N3816" s="549">
        <v>0</v>
      </c>
      <c r="O3816" s="549">
        <v>1984</v>
      </c>
      <c r="P3816" s="549">
        <v>100</v>
      </c>
      <c r="Q3816" s="549">
        <v>1984</v>
      </c>
    </row>
    <row r="3817" spans="1:17" x14ac:dyDescent="0.25">
      <c r="A3817" s="549" t="s">
        <v>1111</v>
      </c>
      <c r="B3817" s="549" t="s">
        <v>1112</v>
      </c>
      <c r="C3817" s="549" t="s">
        <v>840</v>
      </c>
      <c r="D3817" s="549" t="s">
        <v>841</v>
      </c>
      <c r="E3817" s="549" t="s">
        <v>977</v>
      </c>
      <c r="F3817" s="549" t="s">
        <v>1212</v>
      </c>
      <c r="G3817" s="549" t="s">
        <v>1507</v>
      </c>
      <c r="H3817" s="549" t="s">
        <v>840</v>
      </c>
      <c r="I3817" s="549" t="s">
        <v>976</v>
      </c>
      <c r="J3817" s="549" t="s">
        <v>976</v>
      </c>
      <c r="K3817" s="549" t="s">
        <v>976</v>
      </c>
      <c r="L3817" s="549">
        <v>30794.43</v>
      </c>
      <c r="M3817" s="549">
        <v>2324.98</v>
      </c>
      <c r="N3817" s="549">
        <v>680.56</v>
      </c>
      <c r="O3817" s="549">
        <v>0</v>
      </c>
      <c r="P3817" s="549">
        <v>100</v>
      </c>
      <c r="Q3817" s="549">
        <v>3005.54</v>
      </c>
    </row>
    <row r="3818" spans="1:17" x14ac:dyDescent="0.25">
      <c r="A3818" s="549" t="s">
        <v>1111</v>
      </c>
      <c r="B3818" s="549" t="s">
        <v>1112</v>
      </c>
      <c r="C3818" s="549" t="s">
        <v>840</v>
      </c>
      <c r="D3818" s="549" t="s">
        <v>841</v>
      </c>
      <c r="E3818" s="549" t="s">
        <v>977</v>
      </c>
      <c r="F3818" s="549" t="s">
        <v>1212</v>
      </c>
      <c r="G3818" s="549" t="s">
        <v>1386</v>
      </c>
      <c r="H3818" s="549" t="s">
        <v>840</v>
      </c>
      <c r="I3818" s="549" t="s">
        <v>976</v>
      </c>
      <c r="J3818" s="549" t="s">
        <v>976</v>
      </c>
      <c r="K3818" s="549" t="s">
        <v>976</v>
      </c>
      <c r="L3818" s="549">
        <v>46197.94</v>
      </c>
      <c r="M3818" s="549">
        <v>3487.94</v>
      </c>
      <c r="N3818" s="549">
        <v>1020.97</v>
      </c>
      <c r="O3818" s="549">
        <v>0</v>
      </c>
      <c r="P3818" s="549">
        <v>100</v>
      </c>
      <c r="Q3818" s="549">
        <v>4508.91</v>
      </c>
    </row>
    <row r="3819" spans="1:17" x14ac:dyDescent="0.25">
      <c r="A3819" s="549" t="s">
        <v>1111</v>
      </c>
      <c r="B3819" s="549" t="s">
        <v>1112</v>
      </c>
      <c r="C3819" s="549" t="s">
        <v>840</v>
      </c>
      <c r="D3819" s="549" t="s">
        <v>841</v>
      </c>
      <c r="E3819" s="549" t="s">
        <v>977</v>
      </c>
      <c r="F3819" s="549" t="s">
        <v>1212</v>
      </c>
      <c r="G3819" s="549" t="s">
        <v>1275</v>
      </c>
      <c r="H3819" s="549" t="s">
        <v>840</v>
      </c>
      <c r="I3819" s="549" t="s">
        <v>976</v>
      </c>
      <c r="J3819" s="549" t="s">
        <v>976</v>
      </c>
      <c r="K3819" s="549" t="s">
        <v>976</v>
      </c>
      <c r="L3819" s="549">
        <v>46197.94</v>
      </c>
      <c r="M3819" s="549">
        <v>3487.94</v>
      </c>
      <c r="N3819" s="549">
        <v>1020.97</v>
      </c>
      <c r="O3819" s="549">
        <v>0</v>
      </c>
      <c r="P3819" s="549">
        <v>100</v>
      </c>
      <c r="Q3819" s="549">
        <v>4508.91</v>
      </c>
    </row>
    <row r="3820" spans="1:17" x14ac:dyDescent="0.25">
      <c r="A3820" s="549" t="s">
        <v>1111</v>
      </c>
      <c r="B3820" s="549" t="s">
        <v>1112</v>
      </c>
      <c r="C3820" s="549" t="s">
        <v>840</v>
      </c>
      <c r="D3820" s="549" t="s">
        <v>841</v>
      </c>
      <c r="E3820" s="549" t="s">
        <v>977</v>
      </c>
      <c r="F3820" s="549" t="s">
        <v>1212</v>
      </c>
      <c r="G3820" s="549" t="s">
        <v>1278</v>
      </c>
      <c r="H3820" s="549" t="s">
        <v>840</v>
      </c>
      <c r="I3820" s="549" t="s">
        <v>976</v>
      </c>
      <c r="J3820" s="549" t="s">
        <v>976</v>
      </c>
      <c r="K3820" s="549" t="s">
        <v>976</v>
      </c>
      <c r="L3820" s="549">
        <v>30794.43</v>
      </c>
      <c r="M3820" s="549">
        <v>2324.98</v>
      </c>
      <c r="N3820" s="549">
        <v>680.56</v>
      </c>
      <c r="O3820" s="549">
        <v>0</v>
      </c>
      <c r="P3820" s="549">
        <v>100</v>
      </c>
      <c r="Q3820" s="549">
        <v>3005.54</v>
      </c>
    </row>
    <row r="3821" spans="1:17" x14ac:dyDescent="0.25">
      <c r="A3821" s="549" t="s">
        <v>1111</v>
      </c>
      <c r="B3821" s="549" t="s">
        <v>1112</v>
      </c>
      <c r="C3821" s="549" t="s">
        <v>840</v>
      </c>
      <c r="D3821" s="549" t="s">
        <v>841</v>
      </c>
      <c r="E3821" s="549" t="s">
        <v>977</v>
      </c>
      <c r="F3821" s="549" t="s">
        <v>1212</v>
      </c>
      <c r="G3821" s="549" t="s">
        <v>1458</v>
      </c>
      <c r="H3821" s="549" t="s">
        <v>840</v>
      </c>
      <c r="I3821" s="549" t="s">
        <v>976</v>
      </c>
      <c r="J3821" s="549" t="s">
        <v>976</v>
      </c>
      <c r="K3821" s="549" t="s">
        <v>976</v>
      </c>
      <c r="L3821" s="549">
        <v>30794.43</v>
      </c>
      <c r="M3821" s="549">
        <v>2324.98</v>
      </c>
      <c r="N3821" s="549">
        <v>680.56</v>
      </c>
      <c r="O3821" s="549">
        <v>0</v>
      </c>
      <c r="P3821" s="549">
        <v>100</v>
      </c>
      <c r="Q3821" s="549">
        <v>3005.54</v>
      </c>
    </row>
    <row r="3822" spans="1:17" x14ac:dyDescent="0.25">
      <c r="A3822" s="549" t="s">
        <v>1111</v>
      </c>
      <c r="B3822" s="549" t="s">
        <v>1112</v>
      </c>
      <c r="C3822" s="549" t="s">
        <v>840</v>
      </c>
      <c r="D3822" s="549" t="s">
        <v>841</v>
      </c>
      <c r="E3822" s="549" t="s">
        <v>977</v>
      </c>
      <c r="F3822" s="549" t="s">
        <v>1212</v>
      </c>
      <c r="G3822" s="549" t="s">
        <v>1391</v>
      </c>
      <c r="H3822" s="549" t="s">
        <v>840</v>
      </c>
      <c r="I3822" s="549" t="s">
        <v>976</v>
      </c>
      <c r="J3822" s="549" t="s">
        <v>976</v>
      </c>
      <c r="K3822" s="549" t="s">
        <v>976</v>
      </c>
      <c r="L3822" s="549">
        <v>46197.94</v>
      </c>
      <c r="M3822" s="549">
        <v>3487.94</v>
      </c>
      <c r="N3822" s="549">
        <v>1020.97</v>
      </c>
      <c r="O3822" s="549">
        <v>0</v>
      </c>
      <c r="P3822" s="549">
        <v>100</v>
      </c>
      <c r="Q3822" s="549">
        <v>4508.91</v>
      </c>
    </row>
    <row r="3823" spans="1:17" x14ac:dyDescent="0.25">
      <c r="A3823" s="549" t="s">
        <v>1111</v>
      </c>
      <c r="B3823" s="549" t="s">
        <v>1112</v>
      </c>
      <c r="C3823" s="549" t="s">
        <v>833</v>
      </c>
      <c r="D3823" s="549" t="s">
        <v>1130</v>
      </c>
      <c r="E3823" s="549" t="s">
        <v>977</v>
      </c>
      <c r="F3823" s="549" t="s">
        <v>1212</v>
      </c>
      <c r="G3823" s="549">
        <v>472</v>
      </c>
      <c r="H3823" s="549" t="s">
        <v>833</v>
      </c>
      <c r="I3823" s="549" t="s">
        <v>976</v>
      </c>
      <c r="J3823" s="549" t="s">
        <v>976</v>
      </c>
      <c r="K3823" s="549" t="s">
        <v>976</v>
      </c>
      <c r="L3823" s="549">
        <v>575289.63</v>
      </c>
      <c r="M3823" s="549">
        <v>43434.37</v>
      </c>
      <c r="N3823" s="549">
        <v>12713.9</v>
      </c>
      <c r="O3823" s="549">
        <v>2976</v>
      </c>
      <c r="P3823" s="549">
        <v>88.42</v>
      </c>
      <c r="Q3823" s="549">
        <v>52277.68</v>
      </c>
    </row>
    <row r="3824" spans="1:17" x14ac:dyDescent="0.25">
      <c r="A3824" s="549" t="s">
        <v>1111</v>
      </c>
      <c r="B3824" s="549" t="s">
        <v>1112</v>
      </c>
      <c r="C3824" s="549" t="s">
        <v>833</v>
      </c>
      <c r="D3824" s="549" t="s">
        <v>1130</v>
      </c>
      <c r="E3824" s="549" t="s">
        <v>977</v>
      </c>
      <c r="F3824" s="549" t="s">
        <v>1212</v>
      </c>
      <c r="G3824" s="549">
        <v>492</v>
      </c>
      <c r="H3824" s="549" t="s">
        <v>833</v>
      </c>
      <c r="I3824" s="549" t="s">
        <v>976</v>
      </c>
      <c r="J3824" s="549" t="s">
        <v>976</v>
      </c>
      <c r="K3824" s="549" t="s">
        <v>976</v>
      </c>
      <c r="L3824" s="549">
        <v>575289.63</v>
      </c>
      <c r="M3824" s="549">
        <v>43434.37</v>
      </c>
      <c r="N3824" s="549">
        <v>12713.9</v>
      </c>
      <c r="O3824" s="549">
        <v>2976</v>
      </c>
      <c r="P3824" s="549">
        <v>88.42</v>
      </c>
      <c r="Q3824" s="549">
        <v>52277.68</v>
      </c>
    </row>
    <row r="3825" spans="1:17" x14ac:dyDescent="0.25">
      <c r="A3825" s="549" t="s">
        <v>1111</v>
      </c>
      <c r="B3825" s="549" t="s">
        <v>1112</v>
      </c>
      <c r="C3825" s="549" t="s">
        <v>833</v>
      </c>
      <c r="D3825" s="549" t="s">
        <v>1130</v>
      </c>
      <c r="E3825" s="549" t="s">
        <v>977</v>
      </c>
      <c r="F3825" s="549" t="s">
        <v>1212</v>
      </c>
      <c r="G3825" s="549">
        <v>2632</v>
      </c>
      <c r="H3825" s="549" t="s">
        <v>833</v>
      </c>
      <c r="I3825" s="549" t="s">
        <v>976</v>
      </c>
      <c r="J3825" s="549" t="s">
        <v>976</v>
      </c>
      <c r="K3825" s="549" t="s">
        <v>976</v>
      </c>
      <c r="L3825" s="549">
        <v>87246</v>
      </c>
      <c r="M3825" s="549">
        <v>6587.07</v>
      </c>
      <c r="N3825" s="549">
        <v>1928.14</v>
      </c>
      <c r="O3825" s="549">
        <v>992</v>
      </c>
      <c r="P3825" s="549">
        <v>100</v>
      </c>
      <c r="Q3825" s="549">
        <v>9507.2099999999991</v>
      </c>
    </row>
    <row r="3826" spans="1:17" x14ac:dyDescent="0.25">
      <c r="A3826" s="549" t="s">
        <v>1111</v>
      </c>
      <c r="B3826" s="549" t="s">
        <v>1112</v>
      </c>
      <c r="C3826" s="549" t="s">
        <v>833</v>
      </c>
      <c r="D3826" s="549" t="s">
        <v>1130</v>
      </c>
      <c r="E3826" s="549" t="s">
        <v>977</v>
      </c>
      <c r="F3826" s="549" t="s">
        <v>1212</v>
      </c>
      <c r="G3826" s="549">
        <v>2642</v>
      </c>
      <c r="H3826" s="549" t="s">
        <v>833</v>
      </c>
      <c r="I3826" s="549" t="s">
        <v>976</v>
      </c>
      <c r="J3826" s="549" t="s">
        <v>976</v>
      </c>
      <c r="K3826" s="549" t="s">
        <v>976</v>
      </c>
      <c r="L3826" s="549">
        <v>87246</v>
      </c>
      <c r="M3826" s="549">
        <v>6587.07</v>
      </c>
      <c r="N3826" s="549">
        <v>1928.14</v>
      </c>
      <c r="O3826" s="549">
        <v>992</v>
      </c>
      <c r="P3826" s="549">
        <v>100</v>
      </c>
      <c r="Q3826" s="549">
        <v>9507.2099999999991</v>
      </c>
    </row>
    <row r="3827" spans="1:17" x14ac:dyDescent="0.25">
      <c r="A3827" s="549" t="s">
        <v>1111</v>
      </c>
      <c r="B3827" s="549" t="s">
        <v>1112</v>
      </c>
      <c r="C3827" s="549" t="s">
        <v>833</v>
      </c>
      <c r="D3827" s="549" t="s">
        <v>1130</v>
      </c>
      <c r="E3827" s="549" t="s">
        <v>977</v>
      </c>
      <c r="F3827" s="549" t="s">
        <v>1212</v>
      </c>
      <c r="G3827" s="549">
        <v>2652</v>
      </c>
      <c r="H3827" s="549" t="s">
        <v>833</v>
      </c>
      <c r="I3827" s="549" t="s">
        <v>976</v>
      </c>
      <c r="J3827" s="549" t="s">
        <v>976</v>
      </c>
      <c r="K3827" s="549" t="s">
        <v>976</v>
      </c>
      <c r="L3827" s="549">
        <v>87246</v>
      </c>
      <c r="M3827" s="549">
        <v>6587.07</v>
      </c>
      <c r="N3827" s="549">
        <v>1928.14</v>
      </c>
      <c r="O3827" s="549">
        <v>992</v>
      </c>
      <c r="P3827" s="549">
        <v>100</v>
      </c>
      <c r="Q3827" s="549">
        <v>9507.2099999999991</v>
      </c>
    </row>
    <row r="3828" spans="1:17" x14ac:dyDescent="0.25">
      <c r="A3828" s="549" t="s">
        <v>1111</v>
      </c>
      <c r="B3828" s="549" t="s">
        <v>1112</v>
      </c>
      <c r="C3828" s="549" t="s">
        <v>833</v>
      </c>
      <c r="D3828" s="549" t="s">
        <v>1130</v>
      </c>
      <c r="E3828" s="549" t="s">
        <v>977</v>
      </c>
      <c r="F3828" s="549" t="s">
        <v>1212</v>
      </c>
      <c r="G3828" s="549">
        <v>2672</v>
      </c>
      <c r="H3828" s="549" t="s">
        <v>833</v>
      </c>
      <c r="I3828" s="549" t="s">
        <v>976</v>
      </c>
      <c r="J3828" s="549" t="s">
        <v>976</v>
      </c>
      <c r="K3828" s="549" t="s">
        <v>976</v>
      </c>
      <c r="L3828" s="549">
        <v>88503.6</v>
      </c>
      <c r="M3828" s="549">
        <v>6682.02</v>
      </c>
      <c r="N3828" s="549">
        <v>1955.93</v>
      </c>
      <c r="O3828" s="549">
        <v>992</v>
      </c>
      <c r="P3828" s="549">
        <v>88.42</v>
      </c>
      <c r="Q3828" s="549">
        <v>8514.7999999999993</v>
      </c>
    </row>
    <row r="3829" spans="1:17" x14ac:dyDescent="0.25">
      <c r="A3829" s="549" t="s">
        <v>1111</v>
      </c>
      <c r="B3829" s="549" t="s">
        <v>1112</v>
      </c>
      <c r="C3829" s="549" t="s">
        <v>833</v>
      </c>
      <c r="D3829" s="549" t="s">
        <v>1130</v>
      </c>
      <c r="E3829" s="549" t="s">
        <v>977</v>
      </c>
      <c r="F3829" s="549" t="s">
        <v>1212</v>
      </c>
      <c r="G3829" s="549">
        <v>2688</v>
      </c>
      <c r="H3829" s="549" t="s">
        <v>833</v>
      </c>
      <c r="I3829" s="549" t="s">
        <v>976</v>
      </c>
      <c r="J3829" s="549" t="s">
        <v>976</v>
      </c>
      <c r="K3829" s="549" t="s">
        <v>976</v>
      </c>
      <c r="L3829" s="549">
        <v>126493.6</v>
      </c>
      <c r="M3829" s="549">
        <v>9550.27</v>
      </c>
      <c r="N3829" s="549">
        <v>2795.51</v>
      </c>
      <c r="O3829" s="549">
        <v>992</v>
      </c>
      <c r="P3829" s="549">
        <v>88.42</v>
      </c>
      <c r="Q3829" s="549">
        <v>11793.27</v>
      </c>
    </row>
    <row r="3830" spans="1:17" x14ac:dyDescent="0.25">
      <c r="A3830" s="549" t="s">
        <v>1118</v>
      </c>
      <c r="B3830" s="549" t="s">
        <v>1119</v>
      </c>
      <c r="C3830" s="549" t="s">
        <v>873</v>
      </c>
      <c r="D3830" s="549" t="s">
        <v>874</v>
      </c>
      <c r="E3830" s="549" t="s">
        <v>977</v>
      </c>
      <c r="F3830" s="549" t="s">
        <v>1212</v>
      </c>
      <c r="G3830" s="549">
        <v>462</v>
      </c>
      <c r="H3830" s="549" t="s">
        <v>873</v>
      </c>
      <c r="I3830" s="549" t="s">
        <v>976</v>
      </c>
      <c r="J3830" s="549" t="s">
        <v>976</v>
      </c>
      <c r="K3830" s="549" t="s">
        <v>976</v>
      </c>
      <c r="L3830" s="549">
        <v>130696.2</v>
      </c>
      <c r="M3830" s="549">
        <v>9867.56</v>
      </c>
      <c r="N3830" s="549">
        <v>2888.39</v>
      </c>
      <c r="O3830" s="549">
        <v>3968</v>
      </c>
      <c r="P3830" s="549">
        <v>100</v>
      </c>
      <c r="Q3830" s="549">
        <v>16723.95</v>
      </c>
    </row>
    <row r="3831" spans="1:17" x14ac:dyDescent="0.25">
      <c r="A3831" s="549" t="s">
        <v>1111</v>
      </c>
      <c r="B3831" s="549" t="s">
        <v>1112</v>
      </c>
      <c r="C3831" s="549" t="s">
        <v>833</v>
      </c>
      <c r="D3831" s="549" t="s">
        <v>1130</v>
      </c>
      <c r="E3831" s="549" t="s">
        <v>977</v>
      </c>
      <c r="F3831" s="549" t="s">
        <v>1212</v>
      </c>
      <c r="G3831" s="549">
        <v>2742</v>
      </c>
      <c r="H3831" s="549" t="s">
        <v>833</v>
      </c>
      <c r="I3831" s="549" t="s">
        <v>976</v>
      </c>
      <c r="J3831" s="549" t="s">
        <v>976</v>
      </c>
      <c r="K3831" s="549" t="s">
        <v>976</v>
      </c>
      <c r="L3831" s="549">
        <v>87246</v>
      </c>
      <c r="M3831" s="549">
        <v>6587.07</v>
      </c>
      <c r="N3831" s="549">
        <v>1928.14</v>
      </c>
      <c r="O3831" s="549">
        <v>992</v>
      </c>
      <c r="P3831" s="549">
        <v>100</v>
      </c>
      <c r="Q3831" s="549">
        <v>9507.2099999999991</v>
      </c>
    </row>
    <row r="3832" spans="1:17" x14ac:dyDescent="0.25">
      <c r="A3832" s="549" t="s">
        <v>1111</v>
      </c>
      <c r="B3832" s="549" t="s">
        <v>1112</v>
      </c>
      <c r="C3832" s="549" t="s">
        <v>833</v>
      </c>
      <c r="D3832" s="549" t="s">
        <v>1130</v>
      </c>
      <c r="E3832" s="549" t="s">
        <v>977</v>
      </c>
      <c r="F3832" s="549" t="s">
        <v>1212</v>
      </c>
      <c r="G3832" s="549">
        <v>2752</v>
      </c>
      <c r="H3832" s="549" t="s">
        <v>833</v>
      </c>
      <c r="I3832" s="549" t="s">
        <v>976</v>
      </c>
      <c r="J3832" s="549" t="s">
        <v>976</v>
      </c>
      <c r="K3832" s="549" t="s">
        <v>976</v>
      </c>
      <c r="L3832" s="549">
        <v>87246</v>
      </c>
      <c r="M3832" s="549">
        <v>6587.07</v>
      </c>
      <c r="N3832" s="549">
        <v>1928.14</v>
      </c>
      <c r="O3832" s="549">
        <v>992</v>
      </c>
      <c r="P3832" s="549">
        <v>100</v>
      </c>
      <c r="Q3832" s="549">
        <v>9507.2099999999991</v>
      </c>
    </row>
    <row r="3833" spans="1:17" x14ac:dyDescent="0.25">
      <c r="A3833" s="549" t="s">
        <v>1111</v>
      </c>
      <c r="B3833" s="549" t="s">
        <v>1112</v>
      </c>
      <c r="C3833" s="549" t="s">
        <v>833</v>
      </c>
      <c r="D3833" s="549" t="s">
        <v>1130</v>
      </c>
      <c r="E3833" s="549" t="s">
        <v>977</v>
      </c>
      <c r="F3833" s="549" t="s">
        <v>1212</v>
      </c>
      <c r="G3833" s="549">
        <v>2778</v>
      </c>
      <c r="H3833" s="549" t="s">
        <v>833</v>
      </c>
      <c r="I3833" s="549" t="s">
        <v>976</v>
      </c>
      <c r="J3833" s="549" t="s">
        <v>976</v>
      </c>
      <c r="K3833" s="549" t="s">
        <v>976</v>
      </c>
      <c r="L3833" s="549">
        <v>126493.6</v>
      </c>
      <c r="M3833" s="549">
        <v>9550.27</v>
      </c>
      <c r="N3833" s="549">
        <v>2795.51</v>
      </c>
      <c r="O3833" s="549">
        <v>992</v>
      </c>
      <c r="P3833" s="549">
        <v>88.42</v>
      </c>
      <c r="Q3833" s="549">
        <v>11793.27</v>
      </c>
    </row>
    <row r="3834" spans="1:17" x14ac:dyDescent="0.25">
      <c r="A3834" s="549" t="s">
        <v>1111</v>
      </c>
      <c r="B3834" s="549" t="s">
        <v>1112</v>
      </c>
      <c r="C3834" s="549" t="s">
        <v>833</v>
      </c>
      <c r="D3834" s="549" t="s">
        <v>1130</v>
      </c>
      <c r="E3834" s="549" t="s">
        <v>977</v>
      </c>
      <c r="F3834" s="549" t="s">
        <v>1212</v>
      </c>
      <c r="G3834" s="549">
        <v>2832</v>
      </c>
      <c r="H3834" s="549" t="s">
        <v>833</v>
      </c>
      <c r="I3834" s="549" t="s">
        <v>976</v>
      </c>
      <c r="J3834" s="549" t="s">
        <v>976</v>
      </c>
      <c r="K3834" s="549" t="s">
        <v>976</v>
      </c>
      <c r="L3834" s="549">
        <v>88503.6</v>
      </c>
      <c r="M3834" s="549">
        <v>6682.02</v>
      </c>
      <c r="N3834" s="549">
        <v>1955.93</v>
      </c>
      <c r="O3834" s="549">
        <v>992</v>
      </c>
      <c r="P3834" s="549">
        <v>88.42</v>
      </c>
      <c r="Q3834" s="549">
        <v>8514.7999999999993</v>
      </c>
    </row>
    <row r="3835" spans="1:17" x14ac:dyDescent="0.25">
      <c r="A3835" s="549" t="s">
        <v>1111</v>
      </c>
      <c r="B3835" s="549" t="s">
        <v>1112</v>
      </c>
      <c r="C3835" s="549" t="s">
        <v>833</v>
      </c>
      <c r="D3835" s="549" t="s">
        <v>1130</v>
      </c>
      <c r="E3835" s="549" t="s">
        <v>977</v>
      </c>
      <c r="F3835" s="549" t="s">
        <v>1212</v>
      </c>
      <c r="G3835" s="549">
        <v>2842</v>
      </c>
      <c r="H3835" s="549" t="s">
        <v>833</v>
      </c>
      <c r="I3835" s="549" t="s">
        <v>976</v>
      </c>
      <c r="J3835" s="549" t="s">
        <v>976</v>
      </c>
      <c r="K3835" s="549" t="s">
        <v>976</v>
      </c>
      <c r="L3835" s="549">
        <v>87246</v>
      </c>
      <c r="M3835" s="549">
        <v>6587.07</v>
      </c>
      <c r="N3835" s="549">
        <v>1928.14</v>
      </c>
      <c r="O3835" s="549">
        <v>992</v>
      </c>
      <c r="P3835" s="549">
        <v>100</v>
      </c>
      <c r="Q3835" s="549">
        <v>9507.2099999999991</v>
      </c>
    </row>
    <row r="3836" spans="1:17" x14ac:dyDescent="0.25">
      <c r="A3836" s="549" t="s">
        <v>1111</v>
      </c>
      <c r="B3836" s="549" t="s">
        <v>1112</v>
      </c>
      <c r="C3836" s="549" t="s">
        <v>833</v>
      </c>
      <c r="D3836" s="549" t="s">
        <v>1130</v>
      </c>
      <c r="E3836" s="549" t="s">
        <v>977</v>
      </c>
      <c r="F3836" s="549" t="s">
        <v>1212</v>
      </c>
      <c r="G3836" s="549" t="s">
        <v>1271</v>
      </c>
      <c r="H3836" s="549" t="s">
        <v>833</v>
      </c>
      <c r="I3836" s="549" t="s">
        <v>976</v>
      </c>
      <c r="J3836" s="549" t="s">
        <v>976</v>
      </c>
      <c r="K3836" s="549" t="s">
        <v>976</v>
      </c>
      <c r="L3836" s="549">
        <v>30794.43</v>
      </c>
      <c r="M3836" s="549">
        <v>2324.98</v>
      </c>
      <c r="N3836" s="549">
        <v>680.56</v>
      </c>
      <c r="O3836" s="549">
        <v>0</v>
      </c>
      <c r="P3836" s="549">
        <v>100</v>
      </c>
      <c r="Q3836" s="549">
        <v>3005.54</v>
      </c>
    </row>
    <row r="3837" spans="1:17" x14ac:dyDescent="0.25">
      <c r="A3837" s="549" t="s">
        <v>1111</v>
      </c>
      <c r="B3837" s="549" t="s">
        <v>1112</v>
      </c>
      <c r="C3837" s="549" t="s">
        <v>833</v>
      </c>
      <c r="D3837" s="549" t="s">
        <v>1130</v>
      </c>
      <c r="E3837" s="549" t="s">
        <v>977</v>
      </c>
      <c r="F3837" s="549" t="s">
        <v>1212</v>
      </c>
      <c r="G3837" s="549" t="s">
        <v>1272</v>
      </c>
      <c r="H3837" s="549" t="s">
        <v>833</v>
      </c>
      <c r="I3837" s="549" t="s">
        <v>976</v>
      </c>
      <c r="J3837" s="549" t="s">
        <v>976</v>
      </c>
      <c r="K3837" s="549" t="s">
        <v>976</v>
      </c>
      <c r="L3837" s="549">
        <v>30794.43</v>
      </c>
      <c r="M3837" s="549">
        <v>2324.98</v>
      </c>
      <c r="N3837" s="549">
        <v>680.56</v>
      </c>
      <c r="O3837" s="549">
        <v>0</v>
      </c>
      <c r="P3837" s="549">
        <v>100</v>
      </c>
      <c r="Q3837" s="549">
        <v>3005.54</v>
      </c>
    </row>
    <row r="3838" spans="1:17" x14ac:dyDescent="0.25">
      <c r="A3838" s="549" t="s">
        <v>1111</v>
      </c>
      <c r="B3838" s="549" t="s">
        <v>1112</v>
      </c>
      <c r="C3838" s="549" t="s">
        <v>836</v>
      </c>
      <c r="D3838" s="549" t="s">
        <v>837</v>
      </c>
      <c r="E3838" s="549" t="s">
        <v>977</v>
      </c>
      <c r="F3838" s="549" t="s">
        <v>1212</v>
      </c>
      <c r="G3838" s="549">
        <v>452</v>
      </c>
      <c r="H3838" s="549" t="s">
        <v>836</v>
      </c>
      <c r="I3838" s="549" t="s">
        <v>976</v>
      </c>
      <c r="J3838" s="549" t="s">
        <v>976</v>
      </c>
      <c r="K3838" s="549" t="s">
        <v>976</v>
      </c>
      <c r="L3838" s="549">
        <v>1027061.68</v>
      </c>
      <c r="M3838" s="549">
        <v>77543.16</v>
      </c>
      <c r="N3838" s="549">
        <v>22698.06</v>
      </c>
      <c r="O3838" s="549">
        <v>2976</v>
      </c>
      <c r="P3838" s="549">
        <v>100</v>
      </c>
      <c r="Q3838" s="549">
        <v>103217.22</v>
      </c>
    </row>
    <row r="3839" spans="1:17" x14ac:dyDescent="0.25">
      <c r="A3839" s="549" t="s">
        <v>1111</v>
      </c>
      <c r="B3839" s="549" t="s">
        <v>1112</v>
      </c>
      <c r="C3839" s="549" t="s">
        <v>836</v>
      </c>
      <c r="D3839" s="549" t="s">
        <v>837</v>
      </c>
      <c r="E3839" s="549" t="s">
        <v>977</v>
      </c>
      <c r="F3839" s="549" t="s">
        <v>1212</v>
      </c>
      <c r="G3839" s="549">
        <v>462</v>
      </c>
      <c r="H3839" s="549" t="s">
        <v>836</v>
      </c>
      <c r="I3839" s="549" t="s">
        <v>976</v>
      </c>
      <c r="J3839" s="549" t="s">
        <v>976</v>
      </c>
      <c r="K3839" s="549" t="s">
        <v>976</v>
      </c>
      <c r="L3839" s="549">
        <v>464050.19</v>
      </c>
      <c r="M3839" s="549">
        <v>35035.79</v>
      </c>
      <c r="N3839" s="549">
        <v>10255.51</v>
      </c>
      <c r="O3839" s="549">
        <v>1984</v>
      </c>
      <c r="P3839" s="549">
        <v>100</v>
      </c>
      <c r="Q3839" s="549">
        <v>47275.3</v>
      </c>
    </row>
    <row r="3840" spans="1:17" x14ac:dyDescent="0.25">
      <c r="A3840" s="549" t="s">
        <v>1111</v>
      </c>
      <c r="B3840" s="549" t="s">
        <v>1112</v>
      </c>
      <c r="C3840" s="549" t="s">
        <v>836</v>
      </c>
      <c r="D3840" s="549" t="s">
        <v>837</v>
      </c>
      <c r="E3840" s="549" t="s">
        <v>977</v>
      </c>
      <c r="F3840" s="549" t="s">
        <v>1212</v>
      </c>
      <c r="G3840" s="549">
        <v>542</v>
      </c>
      <c r="H3840" s="549" t="s">
        <v>836</v>
      </c>
      <c r="I3840" s="549" t="s">
        <v>976</v>
      </c>
      <c r="J3840" s="549" t="s">
        <v>976</v>
      </c>
      <c r="K3840" s="549" t="s">
        <v>976</v>
      </c>
      <c r="L3840" s="549">
        <v>464050.19</v>
      </c>
      <c r="M3840" s="549">
        <v>35035.79</v>
      </c>
      <c r="N3840" s="549">
        <v>10255.51</v>
      </c>
      <c r="O3840" s="549">
        <v>1984</v>
      </c>
      <c r="P3840" s="549">
        <v>100</v>
      </c>
      <c r="Q3840" s="549">
        <v>47275.3</v>
      </c>
    </row>
    <row r="3841" spans="1:17" x14ac:dyDescent="0.25">
      <c r="A3841" s="549" t="s">
        <v>1111</v>
      </c>
      <c r="B3841" s="549" t="s">
        <v>1112</v>
      </c>
      <c r="C3841" s="549" t="s">
        <v>836</v>
      </c>
      <c r="D3841" s="549" t="s">
        <v>837</v>
      </c>
      <c r="E3841" s="549" t="s">
        <v>977</v>
      </c>
      <c r="F3841" s="549" t="s">
        <v>1212</v>
      </c>
      <c r="G3841" s="549">
        <v>2122</v>
      </c>
      <c r="H3841" s="549" t="s">
        <v>836</v>
      </c>
      <c r="I3841" s="549" t="s">
        <v>976</v>
      </c>
      <c r="J3841" s="549" t="s">
        <v>976</v>
      </c>
      <c r="K3841" s="549" t="s">
        <v>976</v>
      </c>
      <c r="L3841" s="549">
        <v>108012.12</v>
      </c>
      <c r="M3841" s="549">
        <v>8154.92</v>
      </c>
      <c r="N3841" s="549">
        <v>2387.0700000000002</v>
      </c>
      <c r="O3841" s="549">
        <v>992</v>
      </c>
      <c r="P3841" s="549">
        <v>100</v>
      </c>
      <c r="Q3841" s="549">
        <v>11533.99</v>
      </c>
    </row>
    <row r="3842" spans="1:17" x14ac:dyDescent="0.25">
      <c r="A3842" s="549" t="s">
        <v>1111</v>
      </c>
      <c r="B3842" s="549" t="s">
        <v>1112</v>
      </c>
      <c r="C3842" s="549" t="s">
        <v>836</v>
      </c>
      <c r="D3842" s="549" t="s">
        <v>837</v>
      </c>
      <c r="E3842" s="549" t="s">
        <v>977</v>
      </c>
      <c r="F3842" s="549" t="s">
        <v>1212</v>
      </c>
      <c r="G3842" s="549">
        <v>2132</v>
      </c>
      <c r="H3842" s="549" t="s">
        <v>836</v>
      </c>
      <c r="I3842" s="549" t="s">
        <v>976</v>
      </c>
      <c r="J3842" s="549" t="s">
        <v>976</v>
      </c>
      <c r="K3842" s="549" t="s">
        <v>976</v>
      </c>
      <c r="L3842" s="549">
        <v>97217.72</v>
      </c>
      <c r="M3842" s="549">
        <v>7339.94</v>
      </c>
      <c r="N3842" s="549">
        <v>2148.5100000000002</v>
      </c>
      <c r="O3842" s="549">
        <v>992</v>
      </c>
      <c r="P3842" s="549">
        <v>100</v>
      </c>
      <c r="Q3842" s="549">
        <v>10480.450000000001</v>
      </c>
    </row>
    <row r="3843" spans="1:17" x14ac:dyDescent="0.25">
      <c r="A3843" s="549" t="s">
        <v>1111</v>
      </c>
      <c r="B3843" s="549" t="s">
        <v>1112</v>
      </c>
      <c r="C3843" s="549" t="s">
        <v>836</v>
      </c>
      <c r="D3843" s="549" t="s">
        <v>837</v>
      </c>
      <c r="E3843" s="549" t="s">
        <v>977</v>
      </c>
      <c r="F3843" s="549" t="s">
        <v>1212</v>
      </c>
      <c r="G3843" s="549">
        <v>2142</v>
      </c>
      <c r="H3843" s="549" t="s">
        <v>836</v>
      </c>
      <c r="I3843" s="549" t="s">
        <v>976</v>
      </c>
      <c r="J3843" s="549" t="s">
        <v>976</v>
      </c>
      <c r="K3843" s="549" t="s">
        <v>976</v>
      </c>
      <c r="L3843" s="549">
        <v>108012.12</v>
      </c>
      <c r="M3843" s="549">
        <v>8154.92</v>
      </c>
      <c r="N3843" s="549">
        <v>2387.0700000000002</v>
      </c>
      <c r="O3843" s="549">
        <v>992</v>
      </c>
      <c r="P3843" s="549">
        <v>100</v>
      </c>
      <c r="Q3843" s="549">
        <v>11533.99</v>
      </c>
    </row>
    <row r="3844" spans="1:17" x14ac:dyDescent="0.25">
      <c r="A3844" s="549" t="s">
        <v>1111</v>
      </c>
      <c r="B3844" s="549" t="s">
        <v>1112</v>
      </c>
      <c r="C3844" s="549" t="s">
        <v>836</v>
      </c>
      <c r="D3844" s="549" t="s">
        <v>837</v>
      </c>
      <c r="E3844" s="549" t="s">
        <v>977</v>
      </c>
      <c r="F3844" s="549" t="s">
        <v>1212</v>
      </c>
      <c r="G3844" s="549">
        <v>2152</v>
      </c>
      <c r="H3844" s="549" t="s">
        <v>836</v>
      </c>
      <c r="I3844" s="549" t="s">
        <v>976</v>
      </c>
      <c r="J3844" s="549" t="s">
        <v>976</v>
      </c>
      <c r="K3844" s="549" t="s">
        <v>976</v>
      </c>
      <c r="L3844" s="549">
        <v>108012.12</v>
      </c>
      <c r="M3844" s="549">
        <v>8154.92</v>
      </c>
      <c r="N3844" s="549">
        <v>2387.0700000000002</v>
      </c>
      <c r="O3844" s="549">
        <v>992</v>
      </c>
      <c r="P3844" s="549">
        <v>100</v>
      </c>
      <c r="Q3844" s="549">
        <v>11533.99</v>
      </c>
    </row>
    <row r="3845" spans="1:17" x14ac:dyDescent="0.25">
      <c r="A3845" s="549" t="s">
        <v>1111</v>
      </c>
      <c r="B3845" s="549" t="s">
        <v>1112</v>
      </c>
      <c r="C3845" s="549" t="s">
        <v>836</v>
      </c>
      <c r="D3845" s="549" t="s">
        <v>837</v>
      </c>
      <c r="E3845" s="549" t="s">
        <v>977</v>
      </c>
      <c r="F3845" s="549" t="s">
        <v>1212</v>
      </c>
      <c r="G3845" s="549">
        <v>2162</v>
      </c>
      <c r="H3845" s="549" t="s">
        <v>836</v>
      </c>
      <c r="I3845" s="549" t="s">
        <v>976</v>
      </c>
      <c r="J3845" s="549" t="s">
        <v>976</v>
      </c>
      <c r="K3845" s="549" t="s">
        <v>976</v>
      </c>
      <c r="L3845" s="549">
        <v>108012.12</v>
      </c>
      <c r="M3845" s="549">
        <v>8154.92</v>
      </c>
      <c r="N3845" s="549">
        <v>2387.0700000000002</v>
      </c>
      <c r="O3845" s="549">
        <v>992</v>
      </c>
      <c r="P3845" s="549">
        <v>100</v>
      </c>
      <c r="Q3845" s="549">
        <v>11533.99</v>
      </c>
    </row>
    <row r="3846" spans="1:17" x14ac:dyDescent="0.25">
      <c r="A3846" s="549" t="s">
        <v>1111</v>
      </c>
      <c r="B3846" s="549" t="s">
        <v>1112</v>
      </c>
      <c r="C3846" s="549" t="s">
        <v>836</v>
      </c>
      <c r="D3846" s="549" t="s">
        <v>837</v>
      </c>
      <c r="E3846" s="549" t="s">
        <v>977</v>
      </c>
      <c r="F3846" s="549" t="s">
        <v>1212</v>
      </c>
      <c r="G3846" s="549">
        <v>2178</v>
      </c>
      <c r="H3846" s="549" t="s">
        <v>836</v>
      </c>
      <c r="I3846" s="549" t="s">
        <v>976</v>
      </c>
      <c r="J3846" s="549" t="s">
        <v>976</v>
      </c>
      <c r="K3846" s="549" t="s">
        <v>976</v>
      </c>
      <c r="L3846" s="549">
        <v>134982.39999999999</v>
      </c>
      <c r="M3846" s="549">
        <v>10191.17</v>
      </c>
      <c r="N3846" s="549">
        <v>2983.11</v>
      </c>
      <c r="O3846" s="549">
        <v>992</v>
      </c>
      <c r="P3846" s="549">
        <v>100</v>
      </c>
      <c r="Q3846" s="549">
        <v>14166.28</v>
      </c>
    </row>
    <row r="3847" spans="1:17" x14ac:dyDescent="0.25">
      <c r="A3847" s="549" t="s">
        <v>1111</v>
      </c>
      <c r="B3847" s="549" t="s">
        <v>1112</v>
      </c>
      <c r="C3847" s="549" t="s">
        <v>836</v>
      </c>
      <c r="D3847" s="549" t="s">
        <v>837</v>
      </c>
      <c r="E3847" s="549" t="s">
        <v>977</v>
      </c>
      <c r="F3847" s="549" t="s">
        <v>1212</v>
      </c>
      <c r="G3847" s="549">
        <v>2242</v>
      </c>
      <c r="H3847" s="549" t="s">
        <v>836</v>
      </c>
      <c r="I3847" s="549" t="s">
        <v>976</v>
      </c>
      <c r="J3847" s="549" t="s">
        <v>976</v>
      </c>
      <c r="K3847" s="549" t="s">
        <v>976</v>
      </c>
      <c r="L3847" s="549">
        <v>108012.12</v>
      </c>
      <c r="M3847" s="549">
        <v>8154.92</v>
      </c>
      <c r="N3847" s="549">
        <v>2387.0700000000002</v>
      </c>
      <c r="O3847" s="549">
        <v>992</v>
      </c>
      <c r="P3847" s="549">
        <v>100</v>
      </c>
      <c r="Q3847" s="549">
        <v>11533.99</v>
      </c>
    </row>
    <row r="3848" spans="1:17" x14ac:dyDescent="0.25">
      <c r="A3848" s="549" t="s">
        <v>1111</v>
      </c>
      <c r="B3848" s="549" t="s">
        <v>1112</v>
      </c>
      <c r="C3848" s="549" t="s">
        <v>836</v>
      </c>
      <c r="D3848" s="549" t="s">
        <v>837</v>
      </c>
      <c r="E3848" s="549" t="s">
        <v>977</v>
      </c>
      <c r="F3848" s="549" t="s">
        <v>1212</v>
      </c>
      <c r="G3848" s="549">
        <v>2252</v>
      </c>
      <c r="H3848" s="549" t="s">
        <v>836</v>
      </c>
      <c r="I3848" s="549" t="s">
        <v>976</v>
      </c>
      <c r="J3848" s="549" t="s">
        <v>976</v>
      </c>
      <c r="K3848" s="549" t="s">
        <v>976</v>
      </c>
      <c r="L3848" s="549">
        <v>97217.72</v>
      </c>
      <c r="M3848" s="549">
        <v>7339.94</v>
      </c>
      <c r="N3848" s="549">
        <v>2148.5100000000002</v>
      </c>
      <c r="O3848" s="549">
        <v>992</v>
      </c>
      <c r="P3848" s="549">
        <v>100</v>
      </c>
      <c r="Q3848" s="549">
        <v>10480.450000000001</v>
      </c>
    </row>
    <row r="3849" spans="1:17" x14ac:dyDescent="0.25">
      <c r="A3849" s="549" t="s">
        <v>1111</v>
      </c>
      <c r="B3849" s="549" t="s">
        <v>1112</v>
      </c>
      <c r="C3849" s="549" t="s">
        <v>836</v>
      </c>
      <c r="D3849" s="549" t="s">
        <v>837</v>
      </c>
      <c r="E3849" s="549" t="s">
        <v>977</v>
      </c>
      <c r="F3849" s="549" t="s">
        <v>1212</v>
      </c>
      <c r="G3849" s="549">
        <v>2262</v>
      </c>
      <c r="H3849" s="549" t="s">
        <v>836</v>
      </c>
      <c r="I3849" s="549" t="s">
        <v>976</v>
      </c>
      <c r="J3849" s="549" t="s">
        <v>976</v>
      </c>
      <c r="K3849" s="549" t="s">
        <v>976</v>
      </c>
      <c r="L3849" s="549">
        <v>108012.12</v>
      </c>
      <c r="M3849" s="549">
        <v>8154.92</v>
      </c>
      <c r="N3849" s="549">
        <v>2387.0700000000002</v>
      </c>
      <c r="O3849" s="549">
        <v>992</v>
      </c>
      <c r="P3849" s="549">
        <v>100</v>
      </c>
      <c r="Q3849" s="549">
        <v>11533.99</v>
      </c>
    </row>
    <row r="3850" spans="1:17" x14ac:dyDescent="0.25">
      <c r="A3850" s="549" t="s">
        <v>1111</v>
      </c>
      <c r="B3850" s="549" t="s">
        <v>1112</v>
      </c>
      <c r="C3850" s="549" t="s">
        <v>836</v>
      </c>
      <c r="D3850" s="549" t="s">
        <v>837</v>
      </c>
      <c r="E3850" s="549" t="s">
        <v>977</v>
      </c>
      <c r="F3850" s="549" t="s">
        <v>1212</v>
      </c>
      <c r="G3850" s="549">
        <v>2272</v>
      </c>
      <c r="H3850" s="549" t="s">
        <v>836</v>
      </c>
      <c r="I3850" s="549" t="s">
        <v>976</v>
      </c>
      <c r="J3850" s="549" t="s">
        <v>976</v>
      </c>
      <c r="K3850" s="549" t="s">
        <v>976</v>
      </c>
      <c r="L3850" s="549">
        <v>108012.12</v>
      </c>
      <c r="M3850" s="549">
        <v>8154.92</v>
      </c>
      <c r="N3850" s="549">
        <v>2387.0700000000002</v>
      </c>
      <c r="O3850" s="549">
        <v>992</v>
      </c>
      <c r="P3850" s="549">
        <v>100</v>
      </c>
      <c r="Q3850" s="549">
        <v>11533.99</v>
      </c>
    </row>
    <row r="3851" spans="1:17" x14ac:dyDescent="0.25">
      <c r="A3851" s="549" t="s">
        <v>1111</v>
      </c>
      <c r="B3851" s="549" t="s">
        <v>1112</v>
      </c>
      <c r="C3851" s="549" t="s">
        <v>836</v>
      </c>
      <c r="D3851" s="549" t="s">
        <v>837</v>
      </c>
      <c r="E3851" s="549" t="s">
        <v>977</v>
      </c>
      <c r="F3851" s="549" t="s">
        <v>1212</v>
      </c>
      <c r="G3851" s="549">
        <v>2282</v>
      </c>
      <c r="H3851" s="549" t="s">
        <v>836</v>
      </c>
      <c r="I3851" s="549" t="s">
        <v>976</v>
      </c>
      <c r="J3851" s="549" t="s">
        <v>976</v>
      </c>
      <c r="K3851" s="549" t="s">
        <v>976</v>
      </c>
      <c r="L3851" s="549">
        <v>108012.12</v>
      </c>
      <c r="M3851" s="549">
        <v>8154.92</v>
      </c>
      <c r="N3851" s="549">
        <v>2387.0700000000002</v>
      </c>
      <c r="O3851" s="549">
        <v>992</v>
      </c>
      <c r="P3851" s="549">
        <v>100</v>
      </c>
      <c r="Q3851" s="549">
        <v>11533.99</v>
      </c>
    </row>
    <row r="3852" spans="1:17" x14ac:dyDescent="0.25">
      <c r="A3852" s="549" t="s">
        <v>1111</v>
      </c>
      <c r="B3852" s="549" t="s">
        <v>1112</v>
      </c>
      <c r="C3852" s="549" t="s">
        <v>836</v>
      </c>
      <c r="D3852" s="549" t="s">
        <v>837</v>
      </c>
      <c r="E3852" s="549" t="s">
        <v>977</v>
      </c>
      <c r="F3852" s="549" t="s">
        <v>1212</v>
      </c>
      <c r="G3852" s="549">
        <v>2298</v>
      </c>
      <c r="H3852" s="549" t="s">
        <v>836</v>
      </c>
      <c r="I3852" s="549" t="s">
        <v>976</v>
      </c>
      <c r="J3852" s="549" t="s">
        <v>976</v>
      </c>
      <c r="K3852" s="549" t="s">
        <v>976</v>
      </c>
      <c r="L3852" s="549">
        <v>134982.39999999999</v>
      </c>
      <c r="M3852" s="549">
        <v>10191.17</v>
      </c>
      <c r="N3852" s="549">
        <v>2983.11</v>
      </c>
      <c r="O3852" s="549">
        <v>992</v>
      </c>
      <c r="P3852" s="549">
        <v>100</v>
      </c>
      <c r="Q3852" s="549">
        <v>14166.28</v>
      </c>
    </row>
    <row r="3853" spans="1:17" x14ac:dyDescent="0.25">
      <c r="A3853" s="549" t="s">
        <v>1111</v>
      </c>
      <c r="B3853" s="549" t="s">
        <v>1112</v>
      </c>
      <c r="C3853" s="549" t="s">
        <v>836</v>
      </c>
      <c r="D3853" s="549" t="s">
        <v>837</v>
      </c>
      <c r="E3853" s="549" t="s">
        <v>977</v>
      </c>
      <c r="F3853" s="549" t="s">
        <v>1212</v>
      </c>
      <c r="G3853" s="549">
        <v>2312</v>
      </c>
      <c r="H3853" s="549" t="s">
        <v>836</v>
      </c>
      <c r="I3853" s="549" t="s">
        <v>976</v>
      </c>
      <c r="J3853" s="549" t="s">
        <v>976</v>
      </c>
      <c r="K3853" s="549" t="s">
        <v>976</v>
      </c>
      <c r="L3853" s="549">
        <v>108012.12</v>
      </c>
      <c r="M3853" s="549">
        <v>8154.92</v>
      </c>
      <c r="N3853" s="549">
        <v>2387.0700000000002</v>
      </c>
      <c r="O3853" s="549">
        <v>992</v>
      </c>
      <c r="P3853" s="549">
        <v>100</v>
      </c>
      <c r="Q3853" s="549">
        <v>11533.99</v>
      </c>
    </row>
    <row r="3854" spans="1:17" x14ac:dyDescent="0.25">
      <c r="A3854" s="549" t="s">
        <v>1111</v>
      </c>
      <c r="B3854" s="549" t="s">
        <v>1112</v>
      </c>
      <c r="C3854" s="549" t="s">
        <v>836</v>
      </c>
      <c r="D3854" s="549" t="s">
        <v>837</v>
      </c>
      <c r="E3854" s="549" t="s">
        <v>977</v>
      </c>
      <c r="F3854" s="549" t="s">
        <v>1212</v>
      </c>
      <c r="G3854" s="549">
        <v>2322</v>
      </c>
      <c r="H3854" s="549" t="s">
        <v>836</v>
      </c>
      <c r="I3854" s="549" t="s">
        <v>976</v>
      </c>
      <c r="J3854" s="549" t="s">
        <v>976</v>
      </c>
      <c r="K3854" s="549" t="s">
        <v>976</v>
      </c>
      <c r="L3854" s="549">
        <v>108012.12</v>
      </c>
      <c r="M3854" s="549">
        <v>8154.92</v>
      </c>
      <c r="N3854" s="549">
        <v>2387.0700000000002</v>
      </c>
      <c r="O3854" s="549">
        <v>992</v>
      </c>
      <c r="P3854" s="549">
        <v>100</v>
      </c>
      <c r="Q3854" s="549">
        <v>11533.99</v>
      </c>
    </row>
    <row r="3855" spans="1:17" x14ac:dyDescent="0.25">
      <c r="A3855" s="549" t="s">
        <v>1111</v>
      </c>
      <c r="B3855" s="549" t="s">
        <v>1112</v>
      </c>
      <c r="C3855" s="549" t="s">
        <v>836</v>
      </c>
      <c r="D3855" s="549" t="s">
        <v>837</v>
      </c>
      <c r="E3855" s="549" t="s">
        <v>977</v>
      </c>
      <c r="F3855" s="549" t="s">
        <v>1212</v>
      </c>
      <c r="G3855" s="549">
        <v>2332</v>
      </c>
      <c r="H3855" s="549" t="s">
        <v>836</v>
      </c>
      <c r="I3855" s="549" t="s">
        <v>976</v>
      </c>
      <c r="J3855" s="549" t="s">
        <v>976</v>
      </c>
      <c r="K3855" s="549" t="s">
        <v>976</v>
      </c>
      <c r="L3855" s="549">
        <v>108012.12</v>
      </c>
      <c r="M3855" s="549">
        <v>8154.92</v>
      </c>
      <c r="N3855" s="549">
        <v>2387.0700000000002</v>
      </c>
      <c r="O3855" s="549">
        <v>992</v>
      </c>
      <c r="P3855" s="549">
        <v>100</v>
      </c>
      <c r="Q3855" s="549">
        <v>11533.99</v>
      </c>
    </row>
    <row r="3856" spans="1:17" x14ac:dyDescent="0.25">
      <c r="A3856" s="549" t="s">
        <v>1111</v>
      </c>
      <c r="B3856" s="549" t="s">
        <v>1112</v>
      </c>
      <c r="C3856" s="549" t="s">
        <v>836</v>
      </c>
      <c r="D3856" s="549" t="s">
        <v>837</v>
      </c>
      <c r="E3856" s="549" t="s">
        <v>977</v>
      </c>
      <c r="F3856" s="549" t="s">
        <v>1212</v>
      </c>
      <c r="G3856" s="549">
        <v>2342</v>
      </c>
      <c r="H3856" s="549" t="s">
        <v>836</v>
      </c>
      <c r="I3856" s="549" t="s">
        <v>976</v>
      </c>
      <c r="J3856" s="549" t="s">
        <v>976</v>
      </c>
      <c r="K3856" s="549" t="s">
        <v>976</v>
      </c>
      <c r="L3856" s="549">
        <v>97217.72</v>
      </c>
      <c r="M3856" s="549">
        <v>7339.94</v>
      </c>
      <c r="N3856" s="549">
        <v>2148.5100000000002</v>
      </c>
      <c r="O3856" s="549">
        <v>992</v>
      </c>
      <c r="P3856" s="549">
        <v>100</v>
      </c>
      <c r="Q3856" s="549">
        <v>10480.450000000001</v>
      </c>
    </row>
    <row r="3857" spans="1:17" x14ac:dyDescent="0.25">
      <c r="A3857" s="549" t="s">
        <v>1111</v>
      </c>
      <c r="B3857" s="549" t="s">
        <v>1112</v>
      </c>
      <c r="C3857" s="549" t="s">
        <v>836</v>
      </c>
      <c r="D3857" s="549" t="s">
        <v>837</v>
      </c>
      <c r="E3857" s="549" t="s">
        <v>977</v>
      </c>
      <c r="F3857" s="549" t="s">
        <v>1212</v>
      </c>
      <c r="G3857" s="549">
        <v>2352</v>
      </c>
      <c r="H3857" s="549" t="s">
        <v>836</v>
      </c>
      <c r="I3857" s="549" t="s">
        <v>976</v>
      </c>
      <c r="J3857" s="549" t="s">
        <v>976</v>
      </c>
      <c r="K3857" s="549" t="s">
        <v>976</v>
      </c>
      <c r="L3857" s="549">
        <v>108012.12</v>
      </c>
      <c r="M3857" s="549">
        <v>8154.92</v>
      </c>
      <c r="N3857" s="549">
        <v>2387.0700000000002</v>
      </c>
      <c r="O3857" s="549">
        <v>992</v>
      </c>
      <c r="P3857" s="549">
        <v>100</v>
      </c>
      <c r="Q3857" s="549">
        <v>11533.99</v>
      </c>
    </row>
    <row r="3858" spans="1:17" x14ac:dyDescent="0.25">
      <c r="A3858" s="549" t="s">
        <v>1111</v>
      </c>
      <c r="B3858" s="549" t="s">
        <v>1112</v>
      </c>
      <c r="C3858" s="549" t="s">
        <v>836</v>
      </c>
      <c r="D3858" s="549" t="s">
        <v>837</v>
      </c>
      <c r="E3858" s="549" t="s">
        <v>977</v>
      </c>
      <c r="F3858" s="549" t="s">
        <v>1212</v>
      </c>
      <c r="G3858" s="549" t="s">
        <v>1508</v>
      </c>
      <c r="H3858" s="549" t="s">
        <v>836</v>
      </c>
      <c r="I3858" s="549" t="s">
        <v>976</v>
      </c>
      <c r="J3858" s="549" t="s">
        <v>976</v>
      </c>
      <c r="K3858" s="549" t="s">
        <v>976</v>
      </c>
      <c r="L3858" s="549">
        <v>30794.43</v>
      </c>
      <c r="M3858" s="549">
        <v>2324.98</v>
      </c>
      <c r="N3858" s="549">
        <v>680.56</v>
      </c>
      <c r="O3858" s="549">
        <v>0</v>
      </c>
      <c r="P3858" s="549">
        <v>100</v>
      </c>
      <c r="Q3858" s="549">
        <v>3005.54</v>
      </c>
    </row>
    <row r="3859" spans="1:17" x14ac:dyDescent="0.25">
      <c r="A3859" s="549" t="s">
        <v>1111</v>
      </c>
      <c r="B3859" s="549" t="s">
        <v>1112</v>
      </c>
      <c r="C3859" s="549" t="s">
        <v>836</v>
      </c>
      <c r="D3859" s="549" t="s">
        <v>837</v>
      </c>
      <c r="E3859" s="549" t="s">
        <v>977</v>
      </c>
      <c r="F3859" s="549" t="s">
        <v>1212</v>
      </c>
      <c r="G3859" s="549" t="s">
        <v>1509</v>
      </c>
      <c r="H3859" s="549" t="s">
        <v>836</v>
      </c>
      <c r="I3859" s="549" t="s">
        <v>976</v>
      </c>
      <c r="J3859" s="549" t="s">
        <v>976</v>
      </c>
      <c r="K3859" s="549" t="s">
        <v>976</v>
      </c>
      <c r="L3859" s="549">
        <v>30794.43</v>
      </c>
      <c r="M3859" s="549">
        <v>2324.98</v>
      </c>
      <c r="N3859" s="549">
        <v>680.56</v>
      </c>
      <c r="O3859" s="549">
        <v>0</v>
      </c>
      <c r="P3859" s="549">
        <v>100</v>
      </c>
      <c r="Q3859" s="549">
        <v>3005.54</v>
      </c>
    </row>
    <row r="3860" spans="1:17" x14ac:dyDescent="0.25">
      <c r="A3860" s="549" t="s">
        <v>1111</v>
      </c>
      <c r="B3860" s="549" t="s">
        <v>1112</v>
      </c>
      <c r="C3860" s="549" t="s">
        <v>836</v>
      </c>
      <c r="D3860" s="549" t="s">
        <v>837</v>
      </c>
      <c r="E3860" s="549" t="s">
        <v>977</v>
      </c>
      <c r="F3860" s="549" t="s">
        <v>1212</v>
      </c>
      <c r="G3860" s="549" t="s">
        <v>1510</v>
      </c>
      <c r="H3860" s="549" t="s">
        <v>836</v>
      </c>
      <c r="I3860" s="549" t="s">
        <v>976</v>
      </c>
      <c r="J3860" s="549" t="s">
        <v>976</v>
      </c>
      <c r="K3860" s="549" t="s">
        <v>976</v>
      </c>
      <c r="L3860" s="549">
        <v>30794.43</v>
      </c>
      <c r="M3860" s="549">
        <v>2324.98</v>
      </c>
      <c r="N3860" s="549">
        <v>680.56</v>
      </c>
      <c r="O3860" s="549">
        <v>0</v>
      </c>
      <c r="P3860" s="549">
        <v>100</v>
      </c>
      <c r="Q3860" s="549">
        <v>3005.54</v>
      </c>
    </row>
    <row r="3861" spans="1:17" x14ac:dyDescent="0.25">
      <c r="A3861" s="549" t="s">
        <v>1118</v>
      </c>
      <c r="B3861" s="549" t="s">
        <v>1119</v>
      </c>
      <c r="C3861" s="549" t="s">
        <v>873</v>
      </c>
      <c r="D3861" s="549" t="s">
        <v>874</v>
      </c>
      <c r="E3861" s="549" t="s">
        <v>977</v>
      </c>
      <c r="F3861" s="549" t="s">
        <v>1212</v>
      </c>
      <c r="G3861" s="549">
        <v>457</v>
      </c>
      <c r="H3861" s="549" t="s">
        <v>873</v>
      </c>
      <c r="I3861" s="549" t="s">
        <v>976</v>
      </c>
      <c r="J3861" s="549" t="s">
        <v>976</v>
      </c>
      <c r="K3861" s="549" t="s">
        <v>976</v>
      </c>
      <c r="L3861" s="549">
        <v>17969.650000000001</v>
      </c>
      <c r="M3861" s="549">
        <v>1356.71</v>
      </c>
      <c r="N3861" s="549">
        <v>397.13</v>
      </c>
      <c r="O3861" s="549">
        <v>992</v>
      </c>
      <c r="P3861" s="549">
        <v>100</v>
      </c>
      <c r="Q3861" s="549">
        <v>2745.84</v>
      </c>
    </row>
    <row r="3862" spans="1:17" x14ac:dyDescent="0.25">
      <c r="A3862" s="549" t="s">
        <v>1111</v>
      </c>
      <c r="B3862" s="549" t="s">
        <v>1112</v>
      </c>
      <c r="C3862" s="549" t="s">
        <v>843</v>
      </c>
      <c r="D3862" s="549" t="s">
        <v>844</v>
      </c>
      <c r="E3862" s="549" t="s">
        <v>973</v>
      </c>
      <c r="F3862" s="549" t="s">
        <v>1212</v>
      </c>
      <c r="G3862" s="549">
        <v>72</v>
      </c>
      <c r="H3862" s="549" t="s">
        <v>843</v>
      </c>
      <c r="I3862" s="549" t="s">
        <v>1310</v>
      </c>
      <c r="J3862" s="549" t="s">
        <v>1310</v>
      </c>
      <c r="K3862" s="549" t="s">
        <v>1310</v>
      </c>
      <c r="L3862" s="549">
        <v>0.04</v>
      </c>
      <c r="M3862" s="549">
        <v>0</v>
      </c>
      <c r="N3862" s="549">
        <v>0</v>
      </c>
      <c r="O3862" s="549">
        <v>0</v>
      </c>
      <c r="P3862" s="549">
        <v>0</v>
      </c>
      <c r="Q3862" s="549">
        <v>0</v>
      </c>
    </row>
    <row r="3863" spans="1:17" x14ac:dyDescent="0.25">
      <c r="A3863" s="549" t="s">
        <v>1111</v>
      </c>
      <c r="B3863" s="549" t="s">
        <v>1112</v>
      </c>
      <c r="C3863" s="549" t="s">
        <v>843</v>
      </c>
      <c r="D3863" s="549" t="s">
        <v>844</v>
      </c>
      <c r="E3863" s="549" t="s">
        <v>973</v>
      </c>
      <c r="F3863" s="549" t="s">
        <v>1212</v>
      </c>
      <c r="G3863" s="549">
        <v>118</v>
      </c>
      <c r="H3863" s="549" t="s">
        <v>843</v>
      </c>
      <c r="I3863" s="549" t="s">
        <v>976</v>
      </c>
      <c r="J3863" s="549" t="s">
        <v>976</v>
      </c>
      <c r="K3863" s="549" t="s">
        <v>976</v>
      </c>
      <c r="L3863" s="549">
        <v>297021.28000000003</v>
      </c>
      <c r="M3863" s="549">
        <v>22425.11</v>
      </c>
      <c r="N3863" s="549">
        <v>17049.02</v>
      </c>
      <c r="O3863" s="549">
        <v>2976</v>
      </c>
      <c r="P3863" s="549">
        <v>0</v>
      </c>
      <c r="Q3863" s="549">
        <v>0</v>
      </c>
    </row>
    <row r="3864" spans="1:17" x14ac:dyDescent="0.25">
      <c r="A3864" s="549" t="s">
        <v>1118</v>
      </c>
      <c r="B3864" s="549" t="s">
        <v>1119</v>
      </c>
      <c r="C3864" s="549" t="s">
        <v>873</v>
      </c>
      <c r="D3864" s="549" t="s">
        <v>874</v>
      </c>
      <c r="E3864" s="549" t="s">
        <v>977</v>
      </c>
      <c r="F3864" s="549" t="s">
        <v>1212</v>
      </c>
      <c r="G3864" s="549">
        <v>452</v>
      </c>
      <c r="H3864" s="549" t="s">
        <v>873</v>
      </c>
      <c r="I3864" s="549" t="s">
        <v>976</v>
      </c>
      <c r="J3864" s="549" t="s">
        <v>976</v>
      </c>
      <c r="K3864" s="549" t="s">
        <v>976</v>
      </c>
      <c r="L3864" s="549">
        <v>130696.2</v>
      </c>
      <c r="M3864" s="549">
        <v>9867.56</v>
      </c>
      <c r="N3864" s="549">
        <v>2888.39</v>
      </c>
      <c r="O3864" s="549">
        <v>3968</v>
      </c>
      <c r="P3864" s="549">
        <v>100</v>
      </c>
      <c r="Q3864" s="549">
        <v>16723.95</v>
      </c>
    </row>
    <row r="3865" spans="1:17" x14ac:dyDescent="0.25">
      <c r="A3865" s="549" t="s">
        <v>1111</v>
      </c>
      <c r="B3865" s="549" t="s">
        <v>1112</v>
      </c>
      <c r="C3865" s="549" t="s">
        <v>843</v>
      </c>
      <c r="D3865" s="549" t="s">
        <v>844</v>
      </c>
      <c r="E3865" s="549" t="s">
        <v>973</v>
      </c>
      <c r="F3865" s="549" t="s">
        <v>1212</v>
      </c>
      <c r="G3865" s="549">
        <v>152</v>
      </c>
      <c r="H3865" s="549" t="s">
        <v>843</v>
      </c>
      <c r="I3865" s="549" t="s">
        <v>976</v>
      </c>
      <c r="J3865" s="549" t="s">
        <v>976</v>
      </c>
      <c r="K3865" s="549" t="s">
        <v>976</v>
      </c>
      <c r="L3865" s="549">
        <v>499633.06</v>
      </c>
      <c r="M3865" s="549">
        <v>37722.300000000003</v>
      </c>
      <c r="N3865" s="549">
        <v>28678.94</v>
      </c>
      <c r="O3865" s="549">
        <v>3968</v>
      </c>
      <c r="P3865" s="549">
        <v>0</v>
      </c>
      <c r="Q3865" s="549">
        <v>0</v>
      </c>
    </row>
    <row r="3866" spans="1:17" x14ac:dyDescent="0.25">
      <c r="A3866" s="549" t="s">
        <v>1111</v>
      </c>
      <c r="B3866" s="549" t="s">
        <v>1112</v>
      </c>
      <c r="C3866" s="549" t="s">
        <v>843</v>
      </c>
      <c r="D3866" s="549" t="s">
        <v>844</v>
      </c>
      <c r="E3866" s="549" t="s">
        <v>973</v>
      </c>
      <c r="F3866" s="549" t="s">
        <v>1212</v>
      </c>
      <c r="G3866" s="549">
        <v>192</v>
      </c>
      <c r="H3866" s="549" t="s">
        <v>843</v>
      </c>
      <c r="I3866" s="549" t="s">
        <v>976</v>
      </c>
      <c r="J3866" s="549" t="s">
        <v>976</v>
      </c>
      <c r="K3866" s="549" t="s">
        <v>976</v>
      </c>
      <c r="L3866" s="549">
        <v>340679.91</v>
      </c>
      <c r="M3866" s="549">
        <v>25721.33</v>
      </c>
      <c r="N3866" s="549">
        <v>19555.03</v>
      </c>
      <c r="O3866" s="549">
        <v>3968</v>
      </c>
      <c r="P3866" s="549">
        <v>0</v>
      </c>
      <c r="Q3866" s="549">
        <v>0</v>
      </c>
    </row>
    <row r="3867" spans="1:17" x14ac:dyDescent="0.25">
      <c r="A3867" s="549" t="s">
        <v>1111</v>
      </c>
      <c r="B3867" s="549" t="s">
        <v>1112</v>
      </c>
      <c r="C3867" s="549" t="s">
        <v>843</v>
      </c>
      <c r="D3867" s="549" t="s">
        <v>844</v>
      </c>
      <c r="E3867" s="549" t="s">
        <v>973</v>
      </c>
      <c r="F3867" s="549" t="s">
        <v>1212</v>
      </c>
      <c r="G3867" s="549">
        <v>722</v>
      </c>
      <c r="H3867" s="549" t="s">
        <v>843</v>
      </c>
      <c r="I3867" s="549" t="s">
        <v>976</v>
      </c>
      <c r="J3867" s="549" t="s">
        <v>976</v>
      </c>
      <c r="K3867" s="549" t="s">
        <v>976</v>
      </c>
      <c r="L3867" s="549">
        <v>464050.19</v>
      </c>
      <c r="M3867" s="549">
        <v>35035.79</v>
      </c>
      <c r="N3867" s="549">
        <v>26636.48</v>
      </c>
      <c r="O3867" s="549">
        <v>1984</v>
      </c>
      <c r="P3867" s="549">
        <v>0</v>
      </c>
      <c r="Q3867" s="549">
        <v>0</v>
      </c>
    </row>
    <row r="3868" spans="1:17" x14ac:dyDescent="0.25">
      <c r="A3868" s="549" t="s">
        <v>1111</v>
      </c>
      <c r="B3868" s="549" t="s">
        <v>1112</v>
      </c>
      <c r="C3868" s="549" t="s">
        <v>843</v>
      </c>
      <c r="D3868" s="549" t="s">
        <v>844</v>
      </c>
      <c r="E3868" s="549" t="s">
        <v>973</v>
      </c>
      <c r="F3868" s="549" t="s">
        <v>1212</v>
      </c>
      <c r="G3868" s="549">
        <v>762</v>
      </c>
      <c r="H3868" s="549" t="s">
        <v>843</v>
      </c>
      <c r="I3868" s="549" t="s">
        <v>976</v>
      </c>
      <c r="J3868" s="549" t="s">
        <v>976</v>
      </c>
      <c r="K3868" s="549" t="s">
        <v>976</v>
      </c>
      <c r="L3868" s="549">
        <v>482336.95</v>
      </c>
      <c r="M3868" s="549">
        <v>36416.44</v>
      </c>
      <c r="N3868" s="549">
        <v>27686.14</v>
      </c>
      <c r="O3868" s="549">
        <v>1984</v>
      </c>
      <c r="P3868" s="549">
        <v>0</v>
      </c>
      <c r="Q3868" s="549">
        <v>0</v>
      </c>
    </row>
    <row r="3869" spans="1:17" x14ac:dyDescent="0.25">
      <c r="A3869" s="549" t="s">
        <v>1118</v>
      </c>
      <c r="B3869" s="549" t="s">
        <v>1119</v>
      </c>
      <c r="C3869" s="549" t="s">
        <v>873</v>
      </c>
      <c r="D3869" s="549" t="s">
        <v>874</v>
      </c>
      <c r="E3869" s="549" t="s">
        <v>977</v>
      </c>
      <c r="F3869" s="549" t="s">
        <v>1212</v>
      </c>
      <c r="G3869" s="549">
        <v>432</v>
      </c>
      <c r="H3869" s="549" t="s">
        <v>873</v>
      </c>
      <c r="I3869" s="549" t="s">
        <v>976</v>
      </c>
      <c r="J3869" s="549" t="s">
        <v>976</v>
      </c>
      <c r="K3869" s="549" t="s">
        <v>976</v>
      </c>
      <c r="L3869" s="549">
        <v>130696.2</v>
      </c>
      <c r="M3869" s="549">
        <v>9867.56</v>
      </c>
      <c r="N3869" s="549">
        <v>2888.39</v>
      </c>
      <c r="O3869" s="549">
        <v>3968</v>
      </c>
      <c r="P3869" s="549">
        <v>100</v>
      </c>
      <c r="Q3869" s="549">
        <v>16723.95</v>
      </c>
    </row>
    <row r="3870" spans="1:17" x14ac:dyDescent="0.25">
      <c r="A3870" s="549" t="s">
        <v>1118</v>
      </c>
      <c r="B3870" s="549" t="s">
        <v>1119</v>
      </c>
      <c r="C3870" s="549" t="s">
        <v>873</v>
      </c>
      <c r="D3870" s="549" t="s">
        <v>874</v>
      </c>
      <c r="E3870" s="549" t="s">
        <v>977</v>
      </c>
      <c r="F3870" s="549" t="s">
        <v>1212</v>
      </c>
      <c r="G3870" s="549">
        <v>428</v>
      </c>
      <c r="H3870" s="549" t="s">
        <v>873</v>
      </c>
      <c r="I3870" s="549" t="s">
        <v>976</v>
      </c>
      <c r="J3870" s="549" t="s">
        <v>976</v>
      </c>
      <c r="K3870" s="549" t="s">
        <v>976</v>
      </c>
      <c r="L3870" s="549">
        <v>103832.22</v>
      </c>
      <c r="M3870" s="549">
        <v>7839.33</v>
      </c>
      <c r="N3870" s="549">
        <v>2294.69</v>
      </c>
      <c r="O3870" s="549">
        <v>2976</v>
      </c>
      <c r="P3870" s="549">
        <v>100</v>
      </c>
      <c r="Q3870" s="549">
        <v>13110.02</v>
      </c>
    </row>
    <row r="3871" spans="1:17" x14ac:dyDescent="0.25">
      <c r="A3871" s="549" t="s">
        <v>1111</v>
      </c>
      <c r="B3871" s="549" t="s">
        <v>1112</v>
      </c>
      <c r="C3871" s="549" t="s">
        <v>843</v>
      </c>
      <c r="D3871" s="549" t="s">
        <v>844</v>
      </c>
      <c r="E3871" s="549" t="s">
        <v>973</v>
      </c>
      <c r="F3871" s="549" t="s">
        <v>1212</v>
      </c>
      <c r="G3871" s="549">
        <v>1407</v>
      </c>
      <c r="H3871" s="549" t="s">
        <v>843</v>
      </c>
      <c r="I3871" s="549" t="s">
        <v>976</v>
      </c>
      <c r="J3871" s="549" t="s">
        <v>976</v>
      </c>
      <c r="K3871" s="549" t="s">
        <v>976</v>
      </c>
      <c r="L3871" s="549">
        <v>22970.62</v>
      </c>
      <c r="M3871" s="549">
        <v>1734.28</v>
      </c>
      <c r="N3871" s="549">
        <v>1318.51</v>
      </c>
      <c r="O3871" s="549">
        <v>992</v>
      </c>
      <c r="P3871" s="549">
        <v>0</v>
      </c>
      <c r="Q3871" s="549">
        <v>0</v>
      </c>
    </row>
    <row r="3872" spans="1:17" x14ac:dyDescent="0.25">
      <c r="A3872" s="549" t="s">
        <v>1111</v>
      </c>
      <c r="B3872" s="549" t="s">
        <v>1112</v>
      </c>
      <c r="C3872" s="549" t="s">
        <v>843</v>
      </c>
      <c r="D3872" s="549" t="s">
        <v>844</v>
      </c>
      <c r="E3872" s="549" t="s">
        <v>973</v>
      </c>
      <c r="F3872" s="549" t="s">
        <v>1212</v>
      </c>
      <c r="G3872" s="549">
        <v>1422</v>
      </c>
      <c r="H3872" s="549" t="s">
        <v>843</v>
      </c>
      <c r="I3872" s="549" t="s">
        <v>976</v>
      </c>
      <c r="J3872" s="549" t="s">
        <v>976</v>
      </c>
      <c r="K3872" s="549" t="s">
        <v>976</v>
      </c>
      <c r="L3872" s="549">
        <v>167069.12</v>
      </c>
      <c r="M3872" s="549">
        <v>12613.72</v>
      </c>
      <c r="N3872" s="549">
        <v>9589.77</v>
      </c>
      <c r="O3872" s="549">
        <v>3968</v>
      </c>
      <c r="P3872" s="549">
        <v>0</v>
      </c>
      <c r="Q3872" s="549">
        <v>0</v>
      </c>
    </row>
    <row r="3873" spans="1:17" x14ac:dyDescent="0.25">
      <c r="A3873" s="549" t="s">
        <v>1118</v>
      </c>
      <c r="B3873" s="549" t="s">
        <v>1119</v>
      </c>
      <c r="C3873" s="549" t="s">
        <v>873</v>
      </c>
      <c r="D3873" s="549" t="s">
        <v>874</v>
      </c>
      <c r="E3873" s="549" t="s">
        <v>977</v>
      </c>
      <c r="F3873" s="549" t="s">
        <v>1212</v>
      </c>
      <c r="G3873" s="549">
        <v>412</v>
      </c>
      <c r="H3873" s="549" t="s">
        <v>873</v>
      </c>
      <c r="I3873" s="549" t="s">
        <v>976</v>
      </c>
      <c r="J3873" s="549" t="s">
        <v>976</v>
      </c>
      <c r="K3873" s="549" t="s">
        <v>976</v>
      </c>
      <c r="L3873" s="549">
        <v>130696.2</v>
      </c>
      <c r="M3873" s="549">
        <v>9867.56</v>
      </c>
      <c r="N3873" s="549">
        <v>2888.39</v>
      </c>
      <c r="O3873" s="549">
        <v>3968</v>
      </c>
      <c r="P3873" s="549">
        <v>100</v>
      </c>
      <c r="Q3873" s="549">
        <v>16723.95</v>
      </c>
    </row>
    <row r="3874" spans="1:17" x14ac:dyDescent="0.25">
      <c r="A3874" s="549" t="s">
        <v>1111</v>
      </c>
      <c r="B3874" s="549" t="s">
        <v>1112</v>
      </c>
      <c r="C3874" s="549" t="s">
        <v>843</v>
      </c>
      <c r="D3874" s="549" t="s">
        <v>844</v>
      </c>
      <c r="E3874" s="549" t="s">
        <v>973</v>
      </c>
      <c r="F3874" s="549" t="s">
        <v>1212</v>
      </c>
      <c r="G3874" s="549">
        <v>1462</v>
      </c>
      <c r="H3874" s="549" t="s">
        <v>843</v>
      </c>
      <c r="I3874" s="549" t="s">
        <v>976</v>
      </c>
      <c r="J3874" s="549" t="s">
        <v>976</v>
      </c>
      <c r="K3874" s="549" t="s">
        <v>976</v>
      </c>
      <c r="L3874" s="549">
        <v>167069.12</v>
      </c>
      <c r="M3874" s="549">
        <v>12613.72</v>
      </c>
      <c r="N3874" s="549">
        <v>9589.77</v>
      </c>
      <c r="O3874" s="549">
        <v>3968</v>
      </c>
      <c r="P3874" s="549">
        <v>0</v>
      </c>
      <c r="Q3874" s="549">
        <v>0</v>
      </c>
    </row>
    <row r="3875" spans="1:17" x14ac:dyDescent="0.25">
      <c r="A3875" s="549" t="s">
        <v>1111</v>
      </c>
      <c r="B3875" s="549" t="s">
        <v>1112</v>
      </c>
      <c r="C3875" s="549" t="s">
        <v>843</v>
      </c>
      <c r="D3875" s="549" t="s">
        <v>844</v>
      </c>
      <c r="E3875" s="549" t="s">
        <v>973</v>
      </c>
      <c r="F3875" s="549" t="s">
        <v>1212</v>
      </c>
      <c r="G3875" s="549">
        <v>1472</v>
      </c>
      <c r="H3875" s="549" t="s">
        <v>843</v>
      </c>
      <c r="I3875" s="549" t="s">
        <v>976</v>
      </c>
      <c r="J3875" s="549" t="s">
        <v>976</v>
      </c>
      <c r="K3875" s="549" t="s">
        <v>976</v>
      </c>
      <c r="L3875" s="549">
        <v>167069.12</v>
      </c>
      <c r="M3875" s="549">
        <v>12613.72</v>
      </c>
      <c r="N3875" s="549">
        <v>9589.77</v>
      </c>
      <c r="O3875" s="549">
        <v>3968</v>
      </c>
      <c r="P3875" s="549">
        <v>0</v>
      </c>
      <c r="Q3875" s="549">
        <v>0</v>
      </c>
    </row>
    <row r="3876" spans="1:17" x14ac:dyDescent="0.25">
      <c r="A3876" s="549" t="s">
        <v>1111</v>
      </c>
      <c r="B3876" s="549" t="s">
        <v>1112</v>
      </c>
      <c r="C3876" s="549" t="s">
        <v>843</v>
      </c>
      <c r="D3876" s="549" t="s">
        <v>844</v>
      </c>
      <c r="E3876" s="549" t="s">
        <v>973</v>
      </c>
      <c r="F3876" s="549" t="s">
        <v>1212</v>
      </c>
      <c r="G3876" s="549">
        <v>1482</v>
      </c>
      <c r="H3876" s="549" t="s">
        <v>843</v>
      </c>
      <c r="I3876" s="549" t="s">
        <v>976</v>
      </c>
      <c r="J3876" s="549" t="s">
        <v>976</v>
      </c>
      <c r="K3876" s="549" t="s">
        <v>976</v>
      </c>
      <c r="L3876" s="549">
        <v>167069.12</v>
      </c>
      <c r="M3876" s="549">
        <v>12613.72</v>
      </c>
      <c r="N3876" s="549">
        <v>9589.77</v>
      </c>
      <c r="O3876" s="549">
        <v>3968</v>
      </c>
      <c r="P3876" s="549">
        <v>0</v>
      </c>
      <c r="Q3876" s="549">
        <v>0</v>
      </c>
    </row>
    <row r="3877" spans="1:17" x14ac:dyDescent="0.25">
      <c r="A3877" s="549" t="s">
        <v>1111</v>
      </c>
      <c r="B3877" s="549" t="s">
        <v>1112</v>
      </c>
      <c r="C3877" s="549" t="s">
        <v>843</v>
      </c>
      <c r="D3877" s="549" t="s">
        <v>844</v>
      </c>
      <c r="E3877" s="549" t="s">
        <v>973</v>
      </c>
      <c r="F3877" s="549" t="s">
        <v>1212</v>
      </c>
      <c r="G3877" s="549">
        <v>1492</v>
      </c>
      <c r="H3877" s="549" t="s">
        <v>843</v>
      </c>
      <c r="I3877" s="549" t="s">
        <v>976</v>
      </c>
      <c r="J3877" s="549" t="s">
        <v>976</v>
      </c>
      <c r="K3877" s="549" t="s">
        <v>976</v>
      </c>
      <c r="L3877" s="549">
        <v>167069.12</v>
      </c>
      <c r="M3877" s="549">
        <v>12613.72</v>
      </c>
      <c r="N3877" s="549">
        <v>9589.77</v>
      </c>
      <c r="O3877" s="549">
        <v>3968</v>
      </c>
      <c r="P3877" s="549">
        <v>0</v>
      </c>
      <c r="Q3877" s="549">
        <v>0</v>
      </c>
    </row>
    <row r="3878" spans="1:17" x14ac:dyDescent="0.25">
      <c r="A3878" s="549" t="s">
        <v>1111</v>
      </c>
      <c r="B3878" s="549" t="s">
        <v>1112</v>
      </c>
      <c r="C3878" s="549" t="s">
        <v>843</v>
      </c>
      <c r="D3878" s="549" t="s">
        <v>844</v>
      </c>
      <c r="E3878" s="549" t="s">
        <v>973</v>
      </c>
      <c r="F3878" s="549" t="s">
        <v>1212</v>
      </c>
      <c r="G3878" s="549">
        <v>1502</v>
      </c>
      <c r="H3878" s="549" t="s">
        <v>843</v>
      </c>
      <c r="I3878" s="549" t="s">
        <v>976</v>
      </c>
      <c r="J3878" s="549" t="s">
        <v>976</v>
      </c>
      <c r="K3878" s="549" t="s">
        <v>976</v>
      </c>
      <c r="L3878" s="549">
        <v>167069.12</v>
      </c>
      <c r="M3878" s="549">
        <v>12613.72</v>
      </c>
      <c r="N3878" s="549">
        <v>9589.77</v>
      </c>
      <c r="O3878" s="549">
        <v>3968</v>
      </c>
      <c r="P3878" s="549">
        <v>0</v>
      </c>
      <c r="Q3878" s="549">
        <v>0</v>
      </c>
    </row>
    <row r="3879" spans="1:17" x14ac:dyDescent="0.25">
      <c r="A3879" s="549" t="s">
        <v>1111</v>
      </c>
      <c r="B3879" s="549" t="s">
        <v>1112</v>
      </c>
      <c r="C3879" s="549" t="s">
        <v>843</v>
      </c>
      <c r="D3879" s="549" t="s">
        <v>844</v>
      </c>
      <c r="E3879" s="549" t="s">
        <v>973</v>
      </c>
      <c r="F3879" s="549" t="s">
        <v>1212</v>
      </c>
      <c r="G3879" s="549">
        <v>1522</v>
      </c>
      <c r="H3879" s="549" t="s">
        <v>843</v>
      </c>
      <c r="I3879" s="549" t="s">
        <v>976</v>
      </c>
      <c r="J3879" s="549" t="s">
        <v>976</v>
      </c>
      <c r="K3879" s="549" t="s">
        <v>976</v>
      </c>
      <c r="L3879" s="549">
        <v>167069.12</v>
      </c>
      <c r="M3879" s="549">
        <v>12613.72</v>
      </c>
      <c r="N3879" s="549">
        <v>9589.77</v>
      </c>
      <c r="O3879" s="549">
        <v>3968</v>
      </c>
      <c r="P3879" s="549">
        <v>0</v>
      </c>
      <c r="Q3879" s="549">
        <v>0</v>
      </c>
    </row>
    <row r="3880" spans="1:17" x14ac:dyDescent="0.25">
      <c r="A3880" s="549" t="s">
        <v>1111</v>
      </c>
      <c r="B3880" s="549" t="s">
        <v>1112</v>
      </c>
      <c r="C3880" s="549" t="s">
        <v>843</v>
      </c>
      <c r="D3880" s="549" t="s">
        <v>844</v>
      </c>
      <c r="E3880" s="549" t="s">
        <v>973</v>
      </c>
      <c r="F3880" s="549" t="s">
        <v>1212</v>
      </c>
      <c r="G3880" s="549">
        <v>1527</v>
      </c>
      <c r="H3880" s="549" t="s">
        <v>843</v>
      </c>
      <c r="I3880" s="549" t="s">
        <v>976</v>
      </c>
      <c r="J3880" s="549" t="s">
        <v>976</v>
      </c>
      <c r="K3880" s="549" t="s">
        <v>976</v>
      </c>
      <c r="L3880" s="549">
        <v>22970.62</v>
      </c>
      <c r="M3880" s="549">
        <v>1734.28</v>
      </c>
      <c r="N3880" s="549">
        <v>1318.51</v>
      </c>
      <c r="O3880" s="549">
        <v>992</v>
      </c>
      <c r="P3880" s="549">
        <v>0</v>
      </c>
      <c r="Q3880" s="549">
        <v>0</v>
      </c>
    </row>
    <row r="3881" spans="1:17" x14ac:dyDescent="0.25">
      <c r="A3881" s="549" t="s">
        <v>1111</v>
      </c>
      <c r="B3881" s="549" t="s">
        <v>1112</v>
      </c>
      <c r="C3881" s="549" t="s">
        <v>843</v>
      </c>
      <c r="D3881" s="549" t="s">
        <v>844</v>
      </c>
      <c r="E3881" s="549" t="s">
        <v>973</v>
      </c>
      <c r="F3881" s="549" t="s">
        <v>1212</v>
      </c>
      <c r="G3881" s="549">
        <v>1532</v>
      </c>
      <c r="H3881" s="549" t="s">
        <v>843</v>
      </c>
      <c r="I3881" s="549" t="s">
        <v>976</v>
      </c>
      <c r="J3881" s="549" t="s">
        <v>976</v>
      </c>
      <c r="K3881" s="549" t="s">
        <v>976</v>
      </c>
      <c r="L3881" s="549">
        <v>167069.12</v>
      </c>
      <c r="M3881" s="549">
        <v>12613.72</v>
      </c>
      <c r="N3881" s="549">
        <v>9589.77</v>
      </c>
      <c r="O3881" s="549">
        <v>3968</v>
      </c>
      <c r="P3881" s="549">
        <v>0</v>
      </c>
      <c r="Q3881" s="549">
        <v>0</v>
      </c>
    </row>
    <row r="3882" spans="1:17" x14ac:dyDescent="0.25">
      <c r="A3882" s="549" t="s">
        <v>1111</v>
      </c>
      <c r="B3882" s="549" t="s">
        <v>1112</v>
      </c>
      <c r="C3882" s="549" t="s">
        <v>843</v>
      </c>
      <c r="D3882" s="549" t="s">
        <v>844</v>
      </c>
      <c r="E3882" s="549" t="s">
        <v>973</v>
      </c>
      <c r="F3882" s="549" t="s">
        <v>1212</v>
      </c>
      <c r="G3882" s="549">
        <v>1542</v>
      </c>
      <c r="H3882" s="549" t="s">
        <v>843</v>
      </c>
      <c r="I3882" s="549" t="s">
        <v>976</v>
      </c>
      <c r="J3882" s="549" t="s">
        <v>976</v>
      </c>
      <c r="K3882" s="549" t="s">
        <v>976</v>
      </c>
      <c r="L3882" s="549">
        <v>167069.12</v>
      </c>
      <c r="M3882" s="549">
        <v>12613.72</v>
      </c>
      <c r="N3882" s="549">
        <v>9589.77</v>
      </c>
      <c r="O3882" s="549">
        <v>3968</v>
      </c>
      <c r="P3882" s="549">
        <v>0</v>
      </c>
      <c r="Q3882" s="549">
        <v>0</v>
      </c>
    </row>
    <row r="3883" spans="1:17" x14ac:dyDescent="0.25">
      <c r="A3883" s="549" t="s">
        <v>1118</v>
      </c>
      <c r="B3883" s="549" t="s">
        <v>1119</v>
      </c>
      <c r="C3883" s="549" t="s">
        <v>873</v>
      </c>
      <c r="D3883" s="549" t="s">
        <v>874</v>
      </c>
      <c r="E3883" s="549" t="s">
        <v>977</v>
      </c>
      <c r="F3883" s="549" t="s">
        <v>1212</v>
      </c>
      <c r="G3883" s="549">
        <v>397</v>
      </c>
      <c r="H3883" s="549" t="s">
        <v>873</v>
      </c>
      <c r="I3883" s="549" t="s">
        <v>976</v>
      </c>
      <c r="J3883" s="549" t="s">
        <v>976</v>
      </c>
      <c r="K3883" s="549" t="s">
        <v>976</v>
      </c>
      <c r="L3883" s="549">
        <v>17969.650000000001</v>
      </c>
      <c r="M3883" s="549">
        <v>1356.71</v>
      </c>
      <c r="N3883" s="549">
        <v>397.13</v>
      </c>
      <c r="O3883" s="549">
        <v>992</v>
      </c>
      <c r="P3883" s="549">
        <v>100</v>
      </c>
      <c r="Q3883" s="549">
        <v>2745.84</v>
      </c>
    </row>
    <row r="3884" spans="1:17" x14ac:dyDescent="0.25">
      <c r="A3884" s="549" t="s">
        <v>1111</v>
      </c>
      <c r="B3884" s="549" t="s">
        <v>1112</v>
      </c>
      <c r="C3884" s="549" t="s">
        <v>843</v>
      </c>
      <c r="D3884" s="549" t="s">
        <v>844</v>
      </c>
      <c r="E3884" s="549" t="s">
        <v>973</v>
      </c>
      <c r="F3884" s="549" t="s">
        <v>1212</v>
      </c>
      <c r="G3884" s="549">
        <v>1552</v>
      </c>
      <c r="H3884" s="549" t="s">
        <v>843</v>
      </c>
      <c r="I3884" s="549" t="s">
        <v>1310</v>
      </c>
      <c r="J3884" s="549" t="s">
        <v>1310</v>
      </c>
      <c r="K3884" s="549" t="s">
        <v>1310</v>
      </c>
      <c r="L3884" s="549">
        <v>0.04</v>
      </c>
      <c r="M3884" s="549">
        <v>0</v>
      </c>
      <c r="N3884" s="549">
        <v>0</v>
      </c>
      <c r="O3884" s="549">
        <v>0</v>
      </c>
      <c r="P3884" s="549">
        <v>0</v>
      </c>
      <c r="Q3884" s="549">
        <v>0</v>
      </c>
    </row>
    <row r="3885" spans="1:17" x14ac:dyDescent="0.25">
      <c r="A3885" s="549" t="s">
        <v>1111</v>
      </c>
      <c r="B3885" s="549" t="s">
        <v>1112</v>
      </c>
      <c r="C3885" s="549" t="s">
        <v>843</v>
      </c>
      <c r="D3885" s="549" t="s">
        <v>844</v>
      </c>
      <c r="E3885" s="549" t="s">
        <v>973</v>
      </c>
      <c r="F3885" s="549" t="s">
        <v>1212</v>
      </c>
      <c r="G3885" s="549">
        <v>1562</v>
      </c>
      <c r="H3885" s="549" t="s">
        <v>843</v>
      </c>
      <c r="I3885" s="549" t="s">
        <v>976</v>
      </c>
      <c r="J3885" s="549" t="s">
        <v>976</v>
      </c>
      <c r="K3885" s="549" t="s">
        <v>976</v>
      </c>
      <c r="L3885" s="549">
        <v>167069.12</v>
      </c>
      <c r="M3885" s="549">
        <v>12613.72</v>
      </c>
      <c r="N3885" s="549">
        <v>9589.77</v>
      </c>
      <c r="O3885" s="549">
        <v>3968</v>
      </c>
      <c r="P3885" s="549">
        <v>0</v>
      </c>
      <c r="Q3885" s="549">
        <v>0</v>
      </c>
    </row>
    <row r="3886" spans="1:17" x14ac:dyDescent="0.25">
      <c r="A3886" s="549" t="s">
        <v>1111</v>
      </c>
      <c r="B3886" s="549" t="s">
        <v>1112</v>
      </c>
      <c r="C3886" s="549" t="s">
        <v>843</v>
      </c>
      <c r="D3886" s="549" t="s">
        <v>844</v>
      </c>
      <c r="E3886" s="549" t="s">
        <v>973</v>
      </c>
      <c r="F3886" s="549" t="s">
        <v>1212</v>
      </c>
      <c r="G3886" s="549">
        <v>1572</v>
      </c>
      <c r="H3886" s="549" t="s">
        <v>843</v>
      </c>
      <c r="I3886" s="549" t="s">
        <v>976</v>
      </c>
      <c r="J3886" s="549" t="s">
        <v>976</v>
      </c>
      <c r="K3886" s="549" t="s">
        <v>976</v>
      </c>
      <c r="L3886" s="549">
        <v>152241.45000000001</v>
      </c>
      <c r="M3886" s="549">
        <v>11494.23</v>
      </c>
      <c r="N3886" s="549">
        <v>8738.66</v>
      </c>
      <c r="O3886" s="549">
        <v>1984</v>
      </c>
      <c r="P3886" s="549">
        <v>0</v>
      </c>
      <c r="Q3886" s="549">
        <v>0</v>
      </c>
    </row>
    <row r="3887" spans="1:17" x14ac:dyDescent="0.25">
      <c r="A3887" s="549" t="s">
        <v>1111</v>
      </c>
      <c r="B3887" s="549" t="s">
        <v>1112</v>
      </c>
      <c r="C3887" s="549" t="s">
        <v>843</v>
      </c>
      <c r="D3887" s="549" t="s">
        <v>844</v>
      </c>
      <c r="E3887" s="549" t="s">
        <v>973</v>
      </c>
      <c r="F3887" s="549" t="s">
        <v>1212</v>
      </c>
      <c r="G3887" s="549">
        <v>1582</v>
      </c>
      <c r="H3887" s="549" t="s">
        <v>843</v>
      </c>
      <c r="I3887" s="549" t="s">
        <v>976</v>
      </c>
      <c r="J3887" s="549" t="s">
        <v>976</v>
      </c>
      <c r="K3887" s="549" t="s">
        <v>976</v>
      </c>
      <c r="L3887" s="549">
        <v>167069.12</v>
      </c>
      <c r="M3887" s="549">
        <v>12613.72</v>
      </c>
      <c r="N3887" s="549">
        <v>9589.77</v>
      </c>
      <c r="O3887" s="549">
        <v>3968</v>
      </c>
      <c r="P3887" s="549">
        <v>0</v>
      </c>
      <c r="Q3887" s="549">
        <v>0</v>
      </c>
    </row>
    <row r="3888" spans="1:17" x14ac:dyDescent="0.25">
      <c r="A3888" s="549" t="s">
        <v>1111</v>
      </c>
      <c r="B3888" s="549" t="s">
        <v>1112</v>
      </c>
      <c r="C3888" s="549" t="s">
        <v>843</v>
      </c>
      <c r="D3888" s="549" t="s">
        <v>844</v>
      </c>
      <c r="E3888" s="549" t="s">
        <v>973</v>
      </c>
      <c r="F3888" s="549" t="s">
        <v>1212</v>
      </c>
      <c r="G3888" s="549">
        <v>1592</v>
      </c>
      <c r="H3888" s="549" t="s">
        <v>843</v>
      </c>
      <c r="I3888" s="549" t="s">
        <v>976</v>
      </c>
      <c r="J3888" s="549" t="s">
        <v>976</v>
      </c>
      <c r="K3888" s="549" t="s">
        <v>976</v>
      </c>
      <c r="L3888" s="549">
        <v>152241.45000000001</v>
      </c>
      <c r="M3888" s="549">
        <v>11494.23</v>
      </c>
      <c r="N3888" s="549">
        <v>8738.66</v>
      </c>
      <c r="O3888" s="549">
        <v>1984</v>
      </c>
      <c r="P3888" s="549">
        <v>0</v>
      </c>
      <c r="Q3888" s="549">
        <v>0</v>
      </c>
    </row>
    <row r="3889" spans="1:17" x14ac:dyDescent="0.25">
      <c r="A3889" s="549" t="s">
        <v>1111</v>
      </c>
      <c r="B3889" s="549" t="s">
        <v>1112</v>
      </c>
      <c r="C3889" s="549" t="s">
        <v>843</v>
      </c>
      <c r="D3889" s="549" t="s">
        <v>844</v>
      </c>
      <c r="E3889" s="549" t="s">
        <v>973</v>
      </c>
      <c r="F3889" s="549" t="s">
        <v>1212</v>
      </c>
      <c r="G3889" s="549">
        <v>1607</v>
      </c>
      <c r="H3889" s="549" t="s">
        <v>843</v>
      </c>
      <c r="I3889" s="549" t="s">
        <v>976</v>
      </c>
      <c r="J3889" s="549" t="s">
        <v>976</v>
      </c>
      <c r="K3889" s="549" t="s">
        <v>976</v>
      </c>
      <c r="L3889" s="549">
        <v>22970.62</v>
      </c>
      <c r="M3889" s="549">
        <v>1734.28</v>
      </c>
      <c r="N3889" s="549">
        <v>1318.51</v>
      </c>
      <c r="O3889" s="549">
        <v>992</v>
      </c>
      <c r="P3889" s="549">
        <v>0</v>
      </c>
      <c r="Q3889" s="549">
        <v>0</v>
      </c>
    </row>
    <row r="3890" spans="1:17" x14ac:dyDescent="0.25">
      <c r="A3890" s="549" t="s">
        <v>1118</v>
      </c>
      <c r="B3890" s="549" t="s">
        <v>1119</v>
      </c>
      <c r="C3890" s="549" t="s">
        <v>873</v>
      </c>
      <c r="D3890" s="549" t="s">
        <v>874</v>
      </c>
      <c r="E3890" s="549" t="s">
        <v>977</v>
      </c>
      <c r="F3890" s="549" t="s">
        <v>1212</v>
      </c>
      <c r="G3890" s="549">
        <v>372</v>
      </c>
      <c r="H3890" s="549" t="s">
        <v>873</v>
      </c>
      <c r="I3890" s="549" t="s">
        <v>976</v>
      </c>
      <c r="J3890" s="549" t="s">
        <v>976</v>
      </c>
      <c r="K3890" s="549" t="s">
        <v>976</v>
      </c>
      <c r="L3890" s="549">
        <v>130696.2</v>
      </c>
      <c r="M3890" s="549">
        <v>9867.56</v>
      </c>
      <c r="N3890" s="549">
        <v>2888.39</v>
      </c>
      <c r="O3890" s="549">
        <v>3968</v>
      </c>
      <c r="P3890" s="549">
        <v>100</v>
      </c>
      <c r="Q3890" s="549">
        <v>16723.95</v>
      </c>
    </row>
    <row r="3891" spans="1:17" x14ac:dyDescent="0.25">
      <c r="A3891" s="549" t="s">
        <v>1111</v>
      </c>
      <c r="B3891" s="549" t="s">
        <v>1112</v>
      </c>
      <c r="C3891" s="549" t="s">
        <v>843</v>
      </c>
      <c r="D3891" s="549" t="s">
        <v>844</v>
      </c>
      <c r="E3891" s="549" t="s">
        <v>973</v>
      </c>
      <c r="F3891" s="549" t="s">
        <v>1212</v>
      </c>
      <c r="G3891" s="549">
        <v>1622</v>
      </c>
      <c r="H3891" s="549" t="s">
        <v>843</v>
      </c>
      <c r="I3891" s="549" t="s">
        <v>976</v>
      </c>
      <c r="J3891" s="549" t="s">
        <v>976</v>
      </c>
      <c r="K3891" s="549" t="s">
        <v>976</v>
      </c>
      <c r="L3891" s="549">
        <v>167069.12</v>
      </c>
      <c r="M3891" s="549">
        <v>12613.72</v>
      </c>
      <c r="N3891" s="549">
        <v>9589.77</v>
      </c>
      <c r="O3891" s="549">
        <v>3968</v>
      </c>
      <c r="P3891" s="549">
        <v>0</v>
      </c>
      <c r="Q3891" s="549">
        <v>0</v>
      </c>
    </row>
    <row r="3892" spans="1:17" x14ac:dyDescent="0.25">
      <c r="A3892" s="549" t="s">
        <v>1111</v>
      </c>
      <c r="B3892" s="549" t="s">
        <v>1112</v>
      </c>
      <c r="C3892" s="549" t="s">
        <v>843</v>
      </c>
      <c r="D3892" s="549" t="s">
        <v>844</v>
      </c>
      <c r="E3892" s="549" t="s">
        <v>973</v>
      </c>
      <c r="F3892" s="549" t="s">
        <v>1212</v>
      </c>
      <c r="G3892" s="549">
        <v>1647</v>
      </c>
      <c r="H3892" s="549" t="s">
        <v>843</v>
      </c>
      <c r="I3892" s="549" t="s">
        <v>976</v>
      </c>
      <c r="J3892" s="549" t="s">
        <v>976</v>
      </c>
      <c r="K3892" s="549" t="s">
        <v>976</v>
      </c>
      <c r="L3892" s="549">
        <v>22970.62</v>
      </c>
      <c r="M3892" s="549">
        <v>1734.28</v>
      </c>
      <c r="N3892" s="549">
        <v>1318.51</v>
      </c>
      <c r="O3892" s="549">
        <v>992</v>
      </c>
      <c r="P3892" s="549">
        <v>0</v>
      </c>
      <c r="Q3892" s="549">
        <v>0</v>
      </c>
    </row>
    <row r="3893" spans="1:17" x14ac:dyDescent="0.25">
      <c r="A3893" s="549" t="s">
        <v>1118</v>
      </c>
      <c r="B3893" s="549" t="s">
        <v>1119</v>
      </c>
      <c r="C3893" s="549" t="s">
        <v>873</v>
      </c>
      <c r="D3893" s="549" t="s">
        <v>874</v>
      </c>
      <c r="E3893" s="549" t="s">
        <v>977</v>
      </c>
      <c r="F3893" s="549" t="s">
        <v>1212</v>
      </c>
      <c r="G3893" s="549">
        <v>362</v>
      </c>
      <c r="H3893" s="549" t="s">
        <v>873</v>
      </c>
      <c r="I3893" s="549" t="s">
        <v>976</v>
      </c>
      <c r="J3893" s="549" t="s">
        <v>976</v>
      </c>
      <c r="K3893" s="549" t="s">
        <v>976</v>
      </c>
      <c r="L3893" s="549">
        <v>130696.2</v>
      </c>
      <c r="M3893" s="549">
        <v>9867.56</v>
      </c>
      <c r="N3893" s="549">
        <v>2888.39</v>
      </c>
      <c r="O3893" s="549">
        <v>3968</v>
      </c>
      <c r="P3893" s="549">
        <v>100</v>
      </c>
      <c r="Q3893" s="549">
        <v>16723.95</v>
      </c>
    </row>
    <row r="3894" spans="1:17" x14ac:dyDescent="0.25">
      <c r="A3894" s="549" t="s">
        <v>1118</v>
      </c>
      <c r="B3894" s="549" t="s">
        <v>1119</v>
      </c>
      <c r="C3894" s="549" t="s">
        <v>873</v>
      </c>
      <c r="D3894" s="549" t="s">
        <v>874</v>
      </c>
      <c r="E3894" s="549" t="s">
        <v>977</v>
      </c>
      <c r="F3894" s="549" t="s">
        <v>1212</v>
      </c>
      <c r="G3894" s="549">
        <v>342</v>
      </c>
      <c r="H3894" s="549" t="s">
        <v>873</v>
      </c>
      <c r="I3894" s="549" t="s">
        <v>976</v>
      </c>
      <c r="J3894" s="549" t="s">
        <v>976</v>
      </c>
      <c r="K3894" s="549" t="s">
        <v>976</v>
      </c>
      <c r="L3894" s="549">
        <v>119096.69</v>
      </c>
      <c r="M3894" s="549">
        <v>8991.7999999999993</v>
      </c>
      <c r="N3894" s="549">
        <v>2632.04</v>
      </c>
      <c r="O3894" s="549">
        <v>1984</v>
      </c>
      <c r="P3894" s="549">
        <v>100</v>
      </c>
      <c r="Q3894" s="549">
        <v>13607.84</v>
      </c>
    </row>
    <row r="3895" spans="1:17" x14ac:dyDescent="0.25">
      <c r="A3895" s="549" t="s">
        <v>1118</v>
      </c>
      <c r="B3895" s="549" t="s">
        <v>1119</v>
      </c>
      <c r="C3895" s="549" t="s">
        <v>867</v>
      </c>
      <c r="D3895" s="549" t="s">
        <v>868</v>
      </c>
      <c r="E3895" s="549" t="s">
        <v>977</v>
      </c>
      <c r="F3895" s="549" t="s">
        <v>1212</v>
      </c>
      <c r="G3895" s="549" t="s">
        <v>1299</v>
      </c>
      <c r="H3895" s="549" t="s">
        <v>867</v>
      </c>
      <c r="I3895" s="549" t="s">
        <v>976</v>
      </c>
      <c r="J3895" s="549" t="s">
        <v>976</v>
      </c>
      <c r="K3895" s="549" t="s">
        <v>976</v>
      </c>
      <c r="L3895" s="549">
        <v>31085.63</v>
      </c>
      <c r="M3895" s="549">
        <v>2346.9699999999998</v>
      </c>
      <c r="N3895" s="549">
        <v>686.99</v>
      </c>
      <c r="O3895" s="549">
        <v>0</v>
      </c>
      <c r="P3895" s="549">
        <v>100</v>
      </c>
      <c r="Q3895" s="549">
        <v>3033.96</v>
      </c>
    </row>
    <row r="3896" spans="1:17" x14ac:dyDescent="0.25">
      <c r="A3896" s="549" t="s">
        <v>1118</v>
      </c>
      <c r="B3896" s="549" t="s">
        <v>1119</v>
      </c>
      <c r="C3896" s="549" t="s">
        <v>867</v>
      </c>
      <c r="D3896" s="549" t="s">
        <v>868</v>
      </c>
      <c r="E3896" s="549" t="s">
        <v>977</v>
      </c>
      <c r="F3896" s="549" t="s">
        <v>1212</v>
      </c>
      <c r="G3896" s="549" t="s">
        <v>1369</v>
      </c>
      <c r="H3896" s="549" t="s">
        <v>867</v>
      </c>
      <c r="I3896" s="549" t="s">
        <v>976</v>
      </c>
      <c r="J3896" s="549" t="s">
        <v>976</v>
      </c>
      <c r="K3896" s="549" t="s">
        <v>976</v>
      </c>
      <c r="L3896" s="549">
        <v>31085.63</v>
      </c>
      <c r="M3896" s="549">
        <v>2346.9699999999998</v>
      </c>
      <c r="N3896" s="549">
        <v>686.99</v>
      </c>
      <c r="O3896" s="549">
        <v>0</v>
      </c>
      <c r="P3896" s="549">
        <v>100</v>
      </c>
      <c r="Q3896" s="549">
        <v>3033.96</v>
      </c>
    </row>
    <row r="3897" spans="1:17" x14ac:dyDescent="0.25">
      <c r="A3897" s="549" t="s">
        <v>1118</v>
      </c>
      <c r="B3897" s="549" t="s">
        <v>1119</v>
      </c>
      <c r="C3897" s="549" t="s">
        <v>867</v>
      </c>
      <c r="D3897" s="549" t="s">
        <v>868</v>
      </c>
      <c r="E3897" s="549" t="s">
        <v>977</v>
      </c>
      <c r="F3897" s="549" t="s">
        <v>1212</v>
      </c>
      <c r="G3897" s="549" t="s">
        <v>1511</v>
      </c>
      <c r="H3897" s="549" t="s">
        <v>867</v>
      </c>
      <c r="I3897" s="549" t="s">
        <v>976</v>
      </c>
      <c r="J3897" s="549" t="s">
        <v>976</v>
      </c>
      <c r="K3897" s="549" t="s">
        <v>976</v>
      </c>
      <c r="L3897" s="549">
        <v>37910.42</v>
      </c>
      <c r="M3897" s="549">
        <v>2862.24</v>
      </c>
      <c r="N3897" s="549">
        <v>837.82</v>
      </c>
      <c r="O3897" s="549">
        <v>1984</v>
      </c>
      <c r="P3897" s="549">
        <v>100</v>
      </c>
      <c r="Q3897" s="549">
        <v>5684.06</v>
      </c>
    </row>
    <row r="3898" spans="1:17" x14ac:dyDescent="0.25">
      <c r="A3898" s="549" t="s">
        <v>1118</v>
      </c>
      <c r="B3898" s="549" t="s">
        <v>1119</v>
      </c>
      <c r="C3898" s="549" t="s">
        <v>867</v>
      </c>
      <c r="D3898" s="549" t="s">
        <v>868</v>
      </c>
      <c r="E3898" s="549" t="s">
        <v>977</v>
      </c>
      <c r="F3898" s="549" t="s">
        <v>1212</v>
      </c>
      <c r="G3898" s="549">
        <v>1192</v>
      </c>
      <c r="H3898" s="549" t="s">
        <v>867</v>
      </c>
      <c r="I3898" s="549" t="s">
        <v>976</v>
      </c>
      <c r="J3898" s="549" t="s">
        <v>976</v>
      </c>
      <c r="K3898" s="549" t="s">
        <v>976</v>
      </c>
      <c r="L3898" s="549">
        <v>161007.98000000001</v>
      </c>
      <c r="M3898" s="549">
        <v>12156.1</v>
      </c>
      <c r="N3898" s="549">
        <v>3558.28</v>
      </c>
      <c r="O3898" s="549">
        <v>3968</v>
      </c>
      <c r="P3898" s="549">
        <v>100</v>
      </c>
      <c r="Q3898" s="549">
        <v>19682.38</v>
      </c>
    </row>
    <row r="3899" spans="1:17" x14ac:dyDescent="0.25">
      <c r="A3899" s="549" t="s">
        <v>1118</v>
      </c>
      <c r="B3899" s="549" t="s">
        <v>1119</v>
      </c>
      <c r="C3899" s="549" t="s">
        <v>867</v>
      </c>
      <c r="D3899" s="549" t="s">
        <v>868</v>
      </c>
      <c r="E3899" s="549" t="s">
        <v>977</v>
      </c>
      <c r="F3899" s="549" t="s">
        <v>1212</v>
      </c>
      <c r="G3899" s="549">
        <v>1182</v>
      </c>
      <c r="H3899" s="549" t="s">
        <v>867</v>
      </c>
      <c r="I3899" s="549" t="s">
        <v>976</v>
      </c>
      <c r="J3899" s="549" t="s">
        <v>976</v>
      </c>
      <c r="K3899" s="549" t="s">
        <v>976</v>
      </c>
      <c r="L3899" s="549">
        <v>146718.25</v>
      </c>
      <c r="M3899" s="549">
        <v>11077.23</v>
      </c>
      <c r="N3899" s="549">
        <v>3242.47</v>
      </c>
      <c r="O3899" s="549">
        <v>1984</v>
      </c>
      <c r="P3899" s="549">
        <v>100</v>
      </c>
      <c r="Q3899" s="549">
        <v>16303.7</v>
      </c>
    </row>
    <row r="3900" spans="1:17" x14ac:dyDescent="0.25">
      <c r="A3900" s="549" t="s">
        <v>1118</v>
      </c>
      <c r="B3900" s="549" t="s">
        <v>1119</v>
      </c>
      <c r="C3900" s="549" t="s">
        <v>867</v>
      </c>
      <c r="D3900" s="549" t="s">
        <v>868</v>
      </c>
      <c r="E3900" s="549" t="s">
        <v>977</v>
      </c>
      <c r="F3900" s="549" t="s">
        <v>1212</v>
      </c>
      <c r="G3900" s="549">
        <v>1172</v>
      </c>
      <c r="H3900" s="549" t="s">
        <v>867</v>
      </c>
      <c r="I3900" s="549" t="s">
        <v>976</v>
      </c>
      <c r="J3900" s="549" t="s">
        <v>976</v>
      </c>
      <c r="K3900" s="549" t="s">
        <v>976</v>
      </c>
      <c r="L3900" s="549">
        <v>161007.98000000001</v>
      </c>
      <c r="M3900" s="549">
        <v>12156.1</v>
      </c>
      <c r="N3900" s="549">
        <v>3558.28</v>
      </c>
      <c r="O3900" s="549">
        <v>3968</v>
      </c>
      <c r="P3900" s="549">
        <v>100</v>
      </c>
      <c r="Q3900" s="549">
        <v>19682.38</v>
      </c>
    </row>
    <row r="3901" spans="1:17" x14ac:dyDescent="0.25">
      <c r="A3901" s="549" t="s">
        <v>1118</v>
      </c>
      <c r="B3901" s="549" t="s">
        <v>1119</v>
      </c>
      <c r="C3901" s="549" t="s">
        <v>867</v>
      </c>
      <c r="D3901" s="549" t="s">
        <v>868</v>
      </c>
      <c r="E3901" s="549" t="s">
        <v>977</v>
      </c>
      <c r="F3901" s="549" t="s">
        <v>1212</v>
      </c>
      <c r="G3901" s="549">
        <v>1152</v>
      </c>
      <c r="H3901" s="549" t="s">
        <v>867</v>
      </c>
      <c r="I3901" s="549" t="s">
        <v>976</v>
      </c>
      <c r="J3901" s="549" t="s">
        <v>976</v>
      </c>
      <c r="K3901" s="549" t="s">
        <v>976</v>
      </c>
      <c r="L3901" s="549">
        <v>161007.98000000001</v>
      </c>
      <c r="M3901" s="549">
        <v>12156.1</v>
      </c>
      <c r="N3901" s="549">
        <v>3558.28</v>
      </c>
      <c r="O3901" s="549">
        <v>3968</v>
      </c>
      <c r="P3901" s="549">
        <v>100</v>
      </c>
      <c r="Q3901" s="549">
        <v>19682.38</v>
      </c>
    </row>
    <row r="3902" spans="1:17" x14ac:dyDescent="0.25">
      <c r="A3902" s="549" t="s">
        <v>1118</v>
      </c>
      <c r="B3902" s="549" t="s">
        <v>1119</v>
      </c>
      <c r="C3902" s="549" t="s">
        <v>867</v>
      </c>
      <c r="D3902" s="549" t="s">
        <v>868</v>
      </c>
      <c r="E3902" s="549" t="s">
        <v>977</v>
      </c>
      <c r="F3902" s="549" t="s">
        <v>1212</v>
      </c>
      <c r="G3902" s="549">
        <v>1132</v>
      </c>
      <c r="H3902" s="549" t="s">
        <v>867</v>
      </c>
      <c r="I3902" s="549" t="s">
        <v>976</v>
      </c>
      <c r="J3902" s="549" t="s">
        <v>976</v>
      </c>
      <c r="K3902" s="549" t="s">
        <v>976</v>
      </c>
      <c r="L3902" s="549">
        <v>161007.98000000001</v>
      </c>
      <c r="M3902" s="549">
        <v>12156.1</v>
      </c>
      <c r="N3902" s="549">
        <v>3558.28</v>
      </c>
      <c r="O3902" s="549">
        <v>3968</v>
      </c>
      <c r="P3902" s="549">
        <v>100</v>
      </c>
      <c r="Q3902" s="549">
        <v>19682.38</v>
      </c>
    </row>
    <row r="3903" spans="1:17" x14ac:dyDescent="0.25">
      <c r="A3903" s="549" t="s">
        <v>1118</v>
      </c>
      <c r="B3903" s="549" t="s">
        <v>1119</v>
      </c>
      <c r="C3903" s="549" t="s">
        <v>867</v>
      </c>
      <c r="D3903" s="549" t="s">
        <v>868</v>
      </c>
      <c r="E3903" s="549" t="s">
        <v>977</v>
      </c>
      <c r="F3903" s="549" t="s">
        <v>1212</v>
      </c>
      <c r="G3903" s="549">
        <v>1122</v>
      </c>
      <c r="H3903" s="549" t="s">
        <v>867</v>
      </c>
      <c r="I3903" s="549" t="s">
        <v>976</v>
      </c>
      <c r="J3903" s="549" t="s">
        <v>976</v>
      </c>
      <c r="K3903" s="549" t="s">
        <v>976</v>
      </c>
      <c r="L3903" s="549">
        <v>146718.25</v>
      </c>
      <c r="M3903" s="549">
        <v>11077.23</v>
      </c>
      <c r="N3903" s="549">
        <v>3242.47</v>
      </c>
      <c r="O3903" s="549">
        <v>1984</v>
      </c>
      <c r="P3903" s="549">
        <v>100</v>
      </c>
      <c r="Q3903" s="549">
        <v>16303.7</v>
      </c>
    </row>
    <row r="3904" spans="1:17" x14ac:dyDescent="0.25">
      <c r="A3904" s="549" t="s">
        <v>1118</v>
      </c>
      <c r="B3904" s="549" t="s">
        <v>1119</v>
      </c>
      <c r="C3904" s="549" t="s">
        <v>871</v>
      </c>
      <c r="D3904" s="549" t="s">
        <v>872</v>
      </c>
      <c r="E3904" s="549" t="s">
        <v>977</v>
      </c>
      <c r="F3904" s="549" t="s">
        <v>1212</v>
      </c>
      <c r="G3904" s="549" t="s">
        <v>1512</v>
      </c>
      <c r="H3904" s="549" t="s">
        <v>871</v>
      </c>
      <c r="I3904" s="549" t="s">
        <v>976</v>
      </c>
      <c r="J3904" s="549" t="s">
        <v>976</v>
      </c>
      <c r="K3904" s="549" t="s">
        <v>976</v>
      </c>
      <c r="L3904" s="549">
        <v>16789.599999999999</v>
      </c>
      <c r="M3904" s="549">
        <v>1267.6099999999999</v>
      </c>
      <c r="N3904" s="549">
        <v>371.05</v>
      </c>
      <c r="O3904" s="549">
        <v>0</v>
      </c>
      <c r="P3904" s="549">
        <v>100</v>
      </c>
      <c r="Q3904" s="549">
        <v>1638.66</v>
      </c>
    </row>
    <row r="3905" spans="1:17" x14ac:dyDescent="0.25">
      <c r="A3905" s="549" t="s">
        <v>1118</v>
      </c>
      <c r="B3905" s="549" t="s">
        <v>1119</v>
      </c>
      <c r="C3905" s="549" t="s">
        <v>871</v>
      </c>
      <c r="D3905" s="549" t="s">
        <v>872</v>
      </c>
      <c r="E3905" s="549" t="s">
        <v>977</v>
      </c>
      <c r="F3905" s="549" t="s">
        <v>1212</v>
      </c>
      <c r="G3905" s="549" t="s">
        <v>1457</v>
      </c>
      <c r="H3905" s="549" t="s">
        <v>871</v>
      </c>
      <c r="I3905" s="549" t="s">
        <v>976</v>
      </c>
      <c r="J3905" s="549" t="s">
        <v>976</v>
      </c>
      <c r="K3905" s="549" t="s">
        <v>976</v>
      </c>
      <c r="L3905" s="549">
        <v>16789.599999999999</v>
      </c>
      <c r="M3905" s="549">
        <v>1267.6099999999999</v>
      </c>
      <c r="N3905" s="549">
        <v>371.05</v>
      </c>
      <c r="O3905" s="549">
        <v>0</v>
      </c>
      <c r="P3905" s="549">
        <v>100</v>
      </c>
      <c r="Q3905" s="549">
        <v>1638.66</v>
      </c>
    </row>
    <row r="3906" spans="1:17" x14ac:dyDescent="0.25">
      <c r="A3906" s="549" t="s">
        <v>1118</v>
      </c>
      <c r="B3906" s="549" t="s">
        <v>1119</v>
      </c>
      <c r="C3906" s="549" t="s">
        <v>871</v>
      </c>
      <c r="D3906" s="549" t="s">
        <v>872</v>
      </c>
      <c r="E3906" s="549" t="s">
        <v>977</v>
      </c>
      <c r="F3906" s="549" t="s">
        <v>1212</v>
      </c>
      <c r="G3906" s="549">
        <v>402</v>
      </c>
      <c r="H3906" s="549" t="s">
        <v>871</v>
      </c>
      <c r="I3906" s="549" t="s">
        <v>976</v>
      </c>
      <c r="J3906" s="549" t="s">
        <v>976</v>
      </c>
      <c r="K3906" s="549" t="s">
        <v>976</v>
      </c>
      <c r="L3906" s="549">
        <v>136287.12</v>
      </c>
      <c r="M3906" s="549">
        <v>10289.68</v>
      </c>
      <c r="N3906" s="549">
        <v>3011.95</v>
      </c>
      <c r="O3906" s="549">
        <v>3968</v>
      </c>
      <c r="P3906" s="549">
        <v>100</v>
      </c>
      <c r="Q3906" s="549">
        <v>17269.63</v>
      </c>
    </row>
    <row r="3907" spans="1:17" x14ac:dyDescent="0.25">
      <c r="A3907" s="549" t="s">
        <v>1118</v>
      </c>
      <c r="B3907" s="549" t="s">
        <v>1119</v>
      </c>
      <c r="C3907" s="549" t="s">
        <v>871</v>
      </c>
      <c r="D3907" s="549" t="s">
        <v>872</v>
      </c>
      <c r="E3907" s="549" t="s">
        <v>977</v>
      </c>
      <c r="F3907" s="549" t="s">
        <v>1212</v>
      </c>
      <c r="G3907" s="549">
        <v>382</v>
      </c>
      <c r="H3907" s="549" t="s">
        <v>871</v>
      </c>
      <c r="I3907" s="549" t="s">
        <v>976</v>
      </c>
      <c r="J3907" s="549" t="s">
        <v>976</v>
      </c>
      <c r="K3907" s="549" t="s">
        <v>976</v>
      </c>
      <c r="L3907" s="549">
        <v>136287.12</v>
      </c>
      <c r="M3907" s="549">
        <v>10289.68</v>
      </c>
      <c r="N3907" s="549">
        <v>3011.95</v>
      </c>
      <c r="O3907" s="549">
        <v>3968</v>
      </c>
      <c r="P3907" s="549">
        <v>100</v>
      </c>
      <c r="Q3907" s="549">
        <v>17269.63</v>
      </c>
    </row>
    <row r="3908" spans="1:17" x14ac:dyDescent="0.25">
      <c r="A3908" s="549" t="s">
        <v>1118</v>
      </c>
      <c r="B3908" s="549" t="s">
        <v>1119</v>
      </c>
      <c r="C3908" s="549" t="s">
        <v>871</v>
      </c>
      <c r="D3908" s="549" t="s">
        <v>872</v>
      </c>
      <c r="E3908" s="549" t="s">
        <v>977</v>
      </c>
      <c r="F3908" s="549" t="s">
        <v>1212</v>
      </c>
      <c r="G3908" s="549">
        <v>367</v>
      </c>
      <c r="H3908" s="549" t="s">
        <v>871</v>
      </c>
      <c r="I3908" s="549" t="s">
        <v>976</v>
      </c>
      <c r="J3908" s="549" t="s">
        <v>976</v>
      </c>
      <c r="K3908" s="549" t="s">
        <v>976</v>
      </c>
      <c r="L3908" s="549">
        <v>18738.349999999999</v>
      </c>
      <c r="M3908" s="549">
        <v>1414.75</v>
      </c>
      <c r="N3908" s="549">
        <v>414.12</v>
      </c>
      <c r="O3908" s="549">
        <v>992</v>
      </c>
      <c r="P3908" s="549">
        <v>100</v>
      </c>
      <c r="Q3908" s="549">
        <v>2820.87</v>
      </c>
    </row>
    <row r="3909" spans="1:17" x14ac:dyDescent="0.25">
      <c r="A3909" s="549" t="s">
        <v>1118</v>
      </c>
      <c r="B3909" s="549" t="s">
        <v>1119</v>
      </c>
      <c r="C3909" s="549" t="s">
        <v>871</v>
      </c>
      <c r="D3909" s="549" t="s">
        <v>872</v>
      </c>
      <c r="E3909" s="549" t="s">
        <v>977</v>
      </c>
      <c r="F3909" s="549" t="s">
        <v>1212</v>
      </c>
      <c r="G3909" s="549">
        <v>362</v>
      </c>
      <c r="H3909" s="549" t="s">
        <v>871</v>
      </c>
      <c r="I3909" s="549" t="s">
        <v>976</v>
      </c>
      <c r="J3909" s="549" t="s">
        <v>976</v>
      </c>
      <c r="K3909" s="549" t="s">
        <v>976</v>
      </c>
      <c r="L3909" s="549">
        <v>136287.12</v>
      </c>
      <c r="M3909" s="549">
        <v>10289.68</v>
      </c>
      <c r="N3909" s="549">
        <v>3011.95</v>
      </c>
      <c r="O3909" s="549">
        <v>3968</v>
      </c>
      <c r="P3909" s="549">
        <v>100</v>
      </c>
      <c r="Q3909" s="549">
        <v>17269.63</v>
      </c>
    </row>
    <row r="3910" spans="1:17" x14ac:dyDescent="0.25">
      <c r="A3910" s="549" t="s">
        <v>1111</v>
      </c>
      <c r="B3910" s="549" t="s">
        <v>1112</v>
      </c>
      <c r="C3910" s="549" t="s">
        <v>843</v>
      </c>
      <c r="D3910" s="549" t="s">
        <v>844</v>
      </c>
      <c r="E3910" s="549" t="s">
        <v>973</v>
      </c>
      <c r="F3910" s="549" t="s">
        <v>1212</v>
      </c>
      <c r="G3910" s="549">
        <v>2012</v>
      </c>
      <c r="H3910" s="549" t="s">
        <v>843</v>
      </c>
      <c r="I3910" s="549" t="s">
        <v>976</v>
      </c>
      <c r="J3910" s="549" t="s">
        <v>976</v>
      </c>
      <c r="K3910" s="549" t="s">
        <v>976</v>
      </c>
      <c r="L3910" s="549">
        <v>57492.93</v>
      </c>
      <c r="M3910" s="549">
        <v>4340.72</v>
      </c>
      <c r="N3910" s="549">
        <v>3300.09</v>
      </c>
      <c r="O3910" s="549">
        <v>992</v>
      </c>
      <c r="P3910" s="549">
        <v>0</v>
      </c>
      <c r="Q3910" s="549">
        <v>0</v>
      </c>
    </row>
    <row r="3911" spans="1:17" x14ac:dyDescent="0.25">
      <c r="A3911" s="549" t="s">
        <v>1111</v>
      </c>
      <c r="B3911" s="549" t="s">
        <v>1112</v>
      </c>
      <c r="C3911" s="549" t="s">
        <v>843</v>
      </c>
      <c r="D3911" s="549" t="s">
        <v>844</v>
      </c>
      <c r="E3911" s="549" t="s">
        <v>973</v>
      </c>
      <c r="F3911" s="549" t="s">
        <v>1212</v>
      </c>
      <c r="G3911" s="549">
        <v>2022</v>
      </c>
      <c r="H3911" s="549" t="s">
        <v>843</v>
      </c>
      <c r="I3911" s="549" t="s">
        <v>976</v>
      </c>
      <c r="J3911" s="549" t="s">
        <v>976</v>
      </c>
      <c r="K3911" s="549" t="s">
        <v>976</v>
      </c>
      <c r="L3911" s="549">
        <v>56675.98</v>
      </c>
      <c r="M3911" s="549">
        <v>4279.04</v>
      </c>
      <c r="N3911" s="549">
        <v>3253.2</v>
      </c>
      <c r="O3911" s="549">
        <v>992</v>
      </c>
      <c r="P3911" s="549">
        <v>0</v>
      </c>
      <c r="Q3911" s="549">
        <v>0</v>
      </c>
    </row>
    <row r="3912" spans="1:17" x14ac:dyDescent="0.25">
      <c r="A3912" s="549" t="s">
        <v>1111</v>
      </c>
      <c r="B3912" s="549" t="s">
        <v>1112</v>
      </c>
      <c r="C3912" s="549" t="s">
        <v>843</v>
      </c>
      <c r="D3912" s="549" t="s">
        <v>844</v>
      </c>
      <c r="E3912" s="549" t="s">
        <v>973</v>
      </c>
      <c r="F3912" s="549" t="s">
        <v>1212</v>
      </c>
      <c r="G3912" s="549">
        <v>2032</v>
      </c>
      <c r="H3912" s="549" t="s">
        <v>843</v>
      </c>
      <c r="I3912" s="549" t="s">
        <v>1310</v>
      </c>
      <c r="J3912" s="549" t="s">
        <v>1310</v>
      </c>
      <c r="K3912" s="549" t="s">
        <v>1310</v>
      </c>
      <c r="L3912" s="549">
        <v>0.02</v>
      </c>
      <c r="M3912" s="549">
        <v>0</v>
      </c>
      <c r="N3912" s="549">
        <v>0</v>
      </c>
      <c r="O3912" s="549">
        <v>0</v>
      </c>
      <c r="P3912" s="549">
        <v>0</v>
      </c>
      <c r="Q3912" s="549">
        <v>0</v>
      </c>
    </row>
    <row r="3913" spans="1:17" x14ac:dyDescent="0.25">
      <c r="A3913" s="549" t="s">
        <v>1111</v>
      </c>
      <c r="B3913" s="549" t="s">
        <v>1112</v>
      </c>
      <c r="C3913" s="549" t="s">
        <v>843</v>
      </c>
      <c r="D3913" s="549" t="s">
        <v>844</v>
      </c>
      <c r="E3913" s="549" t="s">
        <v>973</v>
      </c>
      <c r="F3913" s="549" t="s">
        <v>1212</v>
      </c>
      <c r="G3913" s="549">
        <v>2042</v>
      </c>
      <c r="H3913" s="549" t="s">
        <v>843</v>
      </c>
      <c r="I3913" s="549" t="s">
        <v>976</v>
      </c>
      <c r="J3913" s="549" t="s">
        <v>976</v>
      </c>
      <c r="K3913" s="549" t="s">
        <v>976</v>
      </c>
      <c r="L3913" s="549">
        <v>56675.98</v>
      </c>
      <c r="M3913" s="549">
        <v>4279.04</v>
      </c>
      <c r="N3913" s="549">
        <v>3253.2</v>
      </c>
      <c r="O3913" s="549">
        <v>992</v>
      </c>
      <c r="P3913" s="549">
        <v>0</v>
      </c>
      <c r="Q3913" s="549">
        <v>0</v>
      </c>
    </row>
    <row r="3914" spans="1:17" x14ac:dyDescent="0.25">
      <c r="A3914" s="549" t="s">
        <v>1111</v>
      </c>
      <c r="B3914" s="549" t="s">
        <v>1112</v>
      </c>
      <c r="C3914" s="549" t="s">
        <v>843</v>
      </c>
      <c r="D3914" s="549" t="s">
        <v>844</v>
      </c>
      <c r="E3914" s="549" t="s">
        <v>973</v>
      </c>
      <c r="F3914" s="549" t="s">
        <v>1212</v>
      </c>
      <c r="G3914" s="549">
        <v>2058</v>
      </c>
      <c r="H3914" s="549" t="s">
        <v>843</v>
      </c>
      <c r="I3914" s="549" t="s">
        <v>976</v>
      </c>
      <c r="J3914" s="549" t="s">
        <v>976</v>
      </c>
      <c r="K3914" s="549" t="s">
        <v>976</v>
      </c>
      <c r="L3914" s="549">
        <v>59671.47</v>
      </c>
      <c r="M3914" s="549">
        <v>4505.2</v>
      </c>
      <c r="N3914" s="549">
        <v>3425.14</v>
      </c>
      <c r="O3914" s="549">
        <v>992</v>
      </c>
      <c r="P3914" s="549">
        <v>0</v>
      </c>
      <c r="Q3914" s="549">
        <v>0</v>
      </c>
    </row>
    <row r="3915" spans="1:17" x14ac:dyDescent="0.25">
      <c r="A3915" s="549" t="s">
        <v>1111</v>
      </c>
      <c r="B3915" s="549" t="s">
        <v>1112</v>
      </c>
      <c r="C3915" s="549" t="s">
        <v>843</v>
      </c>
      <c r="D3915" s="549" t="s">
        <v>844</v>
      </c>
      <c r="E3915" s="549" t="s">
        <v>973</v>
      </c>
      <c r="F3915" s="549" t="s">
        <v>1212</v>
      </c>
      <c r="G3915" s="549">
        <v>2062</v>
      </c>
      <c r="H3915" s="549" t="s">
        <v>843</v>
      </c>
      <c r="I3915" s="549" t="s">
        <v>1310</v>
      </c>
      <c r="J3915" s="549" t="s">
        <v>1310</v>
      </c>
      <c r="K3915" s="549" t="s">
        <v>1310</v>
      </c>
      <c r="L3915" s="549">
        <v>0.02</v>
      </c>
      <c r="M3915" s="549">
        <v>0</v>
      </c>
      <c r="N3915" s="549">
        <v>0</v>
      </c>
      <c r="O3915" s="549">
        <v>0</v>
      </c>
      <c r="P3915" s="549">
        <v>0</v>
      </c>
      <c r="Q3915" s="549">
        <v>0</v>
      </c>
    </row>
    <row r="3916" spans="1:17" x14ac:dyDescent="0.25">
      <c r="A3916" s="549" t="s">
        <v>1111</v>
      </c>
      <c r="B3916" s="549" t="s">
        <v>1112</v>
      </c>
      <c r="C3916" s="549" t="s">
        <v>843</v>
      </c>
      <c r="D3916" s="549" t="s">
        <v>844</v>
      </c>
      <c r="E3916" s="549" t="s">
        <v>973</v>
      </c>
      <c r="F3916" s="549" t="s">
        <v>1212</v>
      </c>
      <c r="G3916" s="549">
        <v>2072</v>
      </c>
      <c r="H3916" s="549" t="s">
        <v>843</v>
      </c>
      <c r="I3916" s="549" t="s">
        <v>976</v>
      </c>
      <c r="J3916" s="549" t="s">
        <v>976</v>
      </c>
      <c r="K3916" s="549" t="s">
        <v>976</v>
      </c>
      <c r="L3916" s="549">
        <v>57492.93</v>
      </c>
      <c r="M3916" s="549">
        <v>4340.72</v>
      </c>
      <c r="N3916" s="549">
        <v>3300.09</v>
      </c>
      <c r="O3916" s="549">
        <v>992</v>
      </c>
      <c r="P3916" s="549">
        <v>0</v>
      </c>
      <c r="Q3916" s="549">
        <v>0</v>
      </c>
    </row>
    <row r="3917" spans="1:17" x14ac:dyDescent="0.25">
      <c r="A3917" s="549" t="s">
        <v>1111</v>
      </c>
      <c r="B3917" s="549" t="s">
        <v>1112</v>
      </c>
      <c r="C3917" s="549" t="s">
        <v>843</v>
      </c>
      <c r="D3917" s="549" t="s">
        <v>844</v>
      </c>
      <c r="E3917" s="549" t="s">
        <v>973</v>
      </c>
      <c r="F3917" s="549" t="s">
        <v>1212</v>
      </c>
      <c r="G3917" s="549">
        <v>2082</v>
      </c>
      <c r="H3917" s="549" t="s">
        <v>843</v>
      </c>
      <c r="I3917" s="549" t="s">
        <v>976</v>
      </c>
      <c r="J3917" s="549" t="s">
        <v>976</v>
      </c>
      <c r="K3917" s="549" t="s">
        <v>976</v>
      </c>
      <c r="L3917" s="549">
        <v>56675.98</v>
      </c>
      <c r="M3917" s="549">
        <v>4279.04</v>
      </c>
      <c r="N3917" s="549">
        <v>3253.2</v>
      </c>
      <c r="O3917" s="549">
        <v>992</v>
      </c>
      <c r="P3917" s="549">
        <v>0</v>
      </c>
      <c r="Q3917" s="549">
        <v>0</v>
      </c>
    </row>
    <row r="3918" spans="1:17" x14ac:dyDescent="0.25">
      <c r="A3918" s="549" t="s">
        <v>1111</v>
      </c>
      <c r="B3918" s="549" t="s">
        <v>1112</v>
      </c>
      <c r="C3918" s="549" t="s">
        <v>843</v>
      </c>
      <c r="D3918" s="549" t="s">
        <v>844</v>
      </c>
      <c r="E3918" s="549" t="s">
        <v>973</v>
      </c>
      <c r="F3918" s="549" t="s">
        <v>1212</v>
      </c>
      <c r="G3918" s="549">
        <v>2092</v>
      </c>
      <c r="H3918" s="549" t="s">
        <v>843</v>
      </c>
      <c r="I3918" s="549" t="s">
        <v>976</v>
      </c>
      <c r="J3918" s="549" t="s">
        <v>976</v>
      </c>
      <c r="K3918" s="549" t="s">
        <v>976</v>
      </c>
      <c r="L3918" s="549">
        <v>56675.98</v>
      </c>
      <c r="M3918" s="549">
        <v>4279.04</v>
      </c>
      <c r="N3918" s="549">
        <v>3253.2</v>
      </c>
      <c r="O3918" s="549">
        <v>992</v>
      </c>
      <c r="P3918" s="549">
        <v>0</v>
      </c>
      <c r="Q3918" s="549">
        <v>0</v>
      </c>
    </row>
    <row r="3919" spans="1:17" x14ac:dyDescent="0.25">
      <c r="A3919" s="549" t="s">
        <v>1111</v>
      </c>
      <c r="B3919" s="549" t="s">
        <v>1112</v>
      </c>
      <c r="C3919" s="549" t="s">
        <v>843</v>
      </c>
      <c r="D3919" s="549" t="s">
        <v>844</v>
      </c>
      <c r="E3919" s="549" t="s">
        <v>973</v>
      </c>
      <c r="F3919" s="549" t="s">
        <v>1212</v>
      </c>
      <c r="G3919" s="549">
        <v>2108</v>
      </c>
      <c r="H3919" s="549" t="s">
        <v>843</v>
      </c>
      <c r="I3919" s="549" t="s">
        <v>976</v>
      </c>
      <c r="J3919" s="549" t="s">
        <v>976</v>
      </c>
      <c r="K3919" s="549" t="s">
        <v>976</v>
      </c>
      <c r="L3919" s="549">
        <v>59671.47</v>
      </c>
      <c r="M3919" s="549">
        <v>4505.2</v>
      </c>
      <c r="N3919" s="549">
        <v>3425.14</v>
      </c>
      <c r="O3919" s="549">
        <v>992</v>
      </c>
      <c r="P3919" s="549">
        <v>0</v>
      </c>
      <c r="Q3919" s="549">
        <v>0</v>
      </c>
    </row>
    <row r="3920" spans="1:17" x14ac:dyDescent="0.25">
      <c r="A3920" s="549" t="s">
        <v>1118</v>
      </c>
      <c r="B3920" s="549" t="s">
        <v>1119</v>
      </c>
      <c r="C3920" s="549" t="s">
        <v>871</v>
      </c>
      <c r="D3920" s="549" t="s">
        <v>872</v>
      </c>
      <c r="E3920" s="549" t="s">
        <v>977</v>
      </c>
      <c r="F3920" s="549" t="s">
        <v>1212</v>
      </c>
      <c r="G3920" s="549">
        <v>342</v>
      </c>
      <c r="H3920" s="549" t="s">
        <v>871</v>
      </c>
      <c r="I3920" s="549" t="s">
        <v>976</v>
      </c>
      <c r="J3920" s="549" t="s">
        <v>976</v>
      </c>
      <c r="K3920" s="549" t="s">
        <v>976</v>
      </c>
      <c r="L3920" s="549">
        <v>62677.760000000002</v>
      </c>
      <c r="M3920" s="549">
        <v>4732.17</v>
      </c>
      <c r="N3920" s="549">
        <v>1385.18</v>
      </c>
      <c r="O3920" s="549">
        <v>2976</v>
      </c>
      <c r="P3920" s="549">
        <v>100</v>
      </c>
      <c r="Q3920" s="549">
        <v>9093.35</v>
      </c>
    </row>
    <row r="3921" spans="1:17" x14ac:dyDescent="0.25">
      <c r="A3921" s="549" t="s">
        <v>1111</v>
      </c>
      <c r="B3921" s="549" t="s">
        <v>1112</v>
      </c>
      <c r="C3921" s="549" t="s">
        <v>843</v>
      </c>
      <c r="D3921" s="549" t="s">
        <v>844</v>
      </c>
      <c r="E3921" s="549" t="s">
        <v>973</v>
      </c>
      <c r="F3921" s="549" t="s">
        <v>1212</v>
      </c>
      <c r="G3921" s="549">
        <v>2122</v>
      </c>
      <c r="H3921" s="549" t="s">
        <v>843</v>
      </c>
      <c r="I3921" s="549" t="s">
        <v>976</v>
      </c>
      <c r="J3921" s="549" t="s">
        <v>976</v>
      </c>
      <c r="K3921" s="549" t="s">
        <v>976</v>
      </c>
      <c r="L3921" s="549">
        <v>56675.98</v>
      </c>
      <c r="M3921" s="549">
        <v>4279.04</v>
      </c>
      <c r="N3921" s="549">
        <v>3253.2</v>
      </c>
      <c r="O3921" s="549">
        <v>992</v>
      </c>
      <c r="P3921" s="549">
        <v>0</v>
      </c>
      <c r="Q3921" s="549">
        <v>0</v>
      </c>
    </row>
    <row r="3922" spans="1:17" x14ac:dyDescent="0.25">
      <c r="A3922" s="549" t="s">
        <v>1111</v>
      </c>
      <c r="B3922" s="549" t="s">
        <v>1112</v>
      </c>
      <c r="C3922" s="549" t="s">
        <v>843</v>
      </c>
      <c r="D3922" s="549" t="s">
        <v>844</v>
      </c>
      <c r="E3922" s="549" t="s">
        <v>973</v>
      </c>
      <c r="F3922" s="549" t="s">
        <v>1212</v>
      </c>
      <c r="G3922" s="549">
        <v>2132</v>
      </c>
      <c r="H3922" s="549" t="s">
        <v>843</v>
      </c>
      <c r="I3922" s="549" t="s">
        <v>976</v>
      </c>
      <c r="J3922" s="549" t="s">
        <v>976</v>
      </c>
      <c r="K3922" s="549" t="s">
        <v>976</v>
      </c>
      <c r="L3922" s="549">
        <v>57492.93</v>
      </c>
      <c r="M3922" s="549">
        <v>4340.72</v>
      </c>
      <c r="N3922" s="549">
        <v>3300.09</v>
      </c>
      <c r="O3922" s="549">
        <v>992</v>
      </c>
      <c r="P3922" s="549">
        <v>0</v>
      </c>
      <c r="Q3922" s="549">
        <v>0</v>
      </c>
    </row>
    <row r="3923" spans="1:17" x14ac:dyDescent="0.25">
      <c r="A3923" s="549" t="s">
        <v>1118</v>
      </c>
      <c r="B3923" s="549" t="s">
        <v>1119</v>
      </c>
      <c r="C3923" s="549" t="s">
        <v>871</v>
      </c>
      <c r="D3923" s="549" t="s">
        <v>872</v>
      </c>
      <c r="E3923" s="549" t="s">
        <v>977</v>
      </c>
      <c r="F3923" s="549" t="s">
        <v>1212</v>
      </c>
      <c r="G3923" s="549">
        <v>327</v>
      </c>
      <c r="H3923" s="549" t="s">
        <v>871</v>
      </c>
      <c r="I3923" s="549" t="s">
        <v>976</v>
      </c>
      <c r="J3923" s="549" t="s">
        <v>976</v>
      </c>
      <c r="K3923" s="549" t="s">
        <v>976</v>
      </c>
      <c r="L3923" s="549">
        <v>32089.73</v>
      </c>
      <c r="M3923" s="549">
        <v>2422.77</v>
      </c>
      <c r="N3923" s="549">
        <v>709.18</v>
      </c>
      <c r="O3923" s="549">
        <v>992</v>
      </c>
      <c r="P3923" s="549">
        <v>100</v>
      </c>
      <c r="Q3923" s="549">
        <v>4123.95</v>
      </c>
    </row>
    <row r="3924" spans="1:17" x14ac:dyDescent="0.25">
      <c r="A3924" s="549" t="s">
        <v>1111</v>
      </c>
      <c r="B3924" s="549" t="s">
        <v>1112</v>
      </c>
      <c r="C3924" s="549" t="s">
        <v>843</v>
      </c>
      <c r="D3924" s="549" t="s">
        <v>844</v>
      </c>
      <c r="E3924" s="549" t="s">
        <v>973</v>
      </c>
      <c r="F3924" s="549" t="s">
        <v>1212</v>
      </c>
      <c r="G3924" s="549">
        <v>7002</v>
      </c>
      <c r="H3924" s="549" t="s">
        <v>843</v>
      </c>
      <c r="I3924" s="549" t="s">
        <v>976</v>
      </c>
      <c r="J3924" s="549" t="s">
        <v>976</v>
      </c>
      <c r="K3924" s="549" t="s">
        <v>976</v>
      </c>
      <c r="L3924" s="549">
        <v>234357.8</v>
      </c>
      <c r="M3924" s="549">
        <v>17694.009999999998</v>
      </c>
      <c r="N3924" s="549">
        <v>13452.14</v>
      </c>
      <c r="O3924" s="549">
        <v>1984</v>
      </c>
      <c r="P3924" s="549">
        <v>0</v>
      </c>
      <c r="Q3924" s="549">
        <v>0</v>
      </c>
    </row>
    <row r="3925" spans="1:17" x14ac:dyDescent="0.25">
      <c r="A3925" s="549" t="s">
        <v>1111</v>
      </c>
      <c r="B3925" s="549" t="s">
        <v>1112</v>
      </c>
      <c r="C3925" s="549" t="s">
        <v>843</v>
      </c>
      <c r="D3925" s="549" t="s">
        <v>844</v>
      </c>
      <c r="E3925" s="549" t="s">
        <v>973</v>
      </c>
      <c r="F3925" s="549" t="s">
        <v>1212</v>
      </c>
      <c r="G3925" s="549" t="s">
        <v>1468</v>
      </c>
      <c r="H3925" s="549" t="s">
        <v>843</v>
      </c>
      <c r="I3925" s="549" t="s">
        <v>976</v>
      </c>
      <c r="J3925" s="549" t="s">
        <v>976</v>
      </c>
      <c r="K3925" s="549" t="s">
        <v>976</v>
      </c>
      <c r="L3925" s="549">
        <v>39103.699999999997</v>
      </c>
      <c r="M3925" s="549">
        <v>2952.33</v>
      </c>
      <c r="N3925" s="549">
        <v>2244.5500000000002</v>
      </c>
      <c r="O3925" s="549">
        <v>1984</v>
      </c>
      <c r="P3925" s="549">
        <v>0</v>
      </c>
      <c r="Q3925" s="549">
        <v>0</v>
      </c>
    </row>
    <row r="3926" spans="1:17" x14ac:dyDescent="0.25">
      <c r="A3926" s="549" t="s">
        <v>1111</v>
      </c>
      <c r="B3926" s="549" t="s">
        <v>1112</v>
      </c>
      <c r="C3926" s="549" t="s">
        <v>843</v>
      </c>
      <c r="D3926" s="549" t="s">
        <v>844</v>
      </c>
      <c r="E3926" s="549" t="s">
        <v>973</v>
      </c>
      <c r="F3926" s="549" t="s">
        <v>1212</v>
      </c>
      <c r="G3926" s="549" t="s">
        <v>1469</v>
      </c>
      <c r="H3926" s="549" t="s">
        <v>843</v>
      </c>
      <c r="I3926" s="549" t="s">
        <v>976</v>
      </c>
      <c r="J3926" s="549" t="s">
        <v>976</v>
      </c>
      <c r="K3926" s="549" t="s">
        <v>976</v>
      </c>
      <c r="L3926" s="549">
        <v>39103.699999999997</v>
      </c>
      <c r="M3926" s="549">
        <v>2952.33</v>
      </c>
      <c r="N3926" s="549">
        <v>2244.5500000000002</v>
      </c>
      <c r="O3926" s="549">
        <v>1984</v>
      </c>
      <c r="P3926" s="549">
        <v>0</v>
      </c>
      <c r="Q3926" s="549">
        <v>0</v>
      </c>
    </row>
    <row r="3927" spans="1:17" x14ac:dyDescent="0.25">
      <c r="A3927" s="549" t="s">
        <v>1111</v>
      </c>
      <c r="B3927" s="549" t="s">
        <v>1112</v>
      </c>
      <c r="C3927" s="549" t="s">
        <v>843</v>
      </c>
      <c r="D3927" s="549" t="s">
        <v>844</v>
      </c>
      <c r="E3927" s="549" t="s">
        <v>973</v>
      </c>
      <c r="F3927" s="549" t="s">
        <v>1212</v>
      </c>
      <c r="G3927" s="549" t="s">
        <v>1304</v>
      </c>
      <c r="H3927" s="549" t="s">
        <v>843</v>
      </c>
      <c r="I3927" s="549" t="s">
        <v>976</v>
      </c>
      <c r="J3927" s="549" t="s">
        <v>976</v>
      </c>
      <c r="K3927" s="549" t="s">
        <v>976</v>
      </c>
      <c r="L3927" s="549">
        <v>46197.94</v>
      </c>
      <c r="M3927" s="549">
        <v>3487.94</v>
      </c>
      <c r="N3927" s="549">
        <v>2651.76</v>
      </c>
      <c r="O3927" s="549">
        <v>0</v>
      </c>
      <c r="P3927" s="549">
        <v>0</v>
      </c>
      <c r="Q3927" s="549">
        <v>0</v>
      </c>
    </row>
    <row r="3928" spans="1:17" x14ac:dyDescent="0.25">
      <c r="A3928" s="549" t="s">
        <v>1111</v>
      </c>
      <c r="B3928" s="549" t="s">
        <v>1112</v>
      </c>
      <c r="C3928" s="549" t="s">
        <v>843</v>
      </c>
      <c r="D3928" s="549" t="s">
        <v>844</v>
      </c>
      <c r="E3928" s="549" t="s">
        <v>973</v>
      </c>
      <c r="F3928" s="549" t="s">
        <v>1212</v>
      </c>
      <c r="G3928" s="549" t="s">
        <v>1513</v>
      </c>
      <c r="H3928" s="549" t="s">
        <v>843</v>
      </c>
      <c r="I3928" s="549" t="s">
        <v>976</v>
      </c>
      <c r="J3928" s="549" t="s">
        <v>976</v>
      </c>
      <c r="K3928" s="549" t="s">
        <v>976</v>
      </c>
      <c r="L3928" s="549">
        <v>30588.13</v>
      </c>
      <c r="M3928" s="549">
        <v>2309.4</v>
      </c>
      <c r="N3928" s="549">
        <v>1755.76</v>
      </c>
      <c r="O3928" s="549">
        <v>0</v>
      </c>
      <c r="P3928" s="549">
        <v>0</v>
      </c>
      <c r="Q3928" s="549">
        <v>0</v>
      </c>
    </row>
    <row r="3929" spans="1:17" x14ac:dyDescent="0.25">
      <c r="A3929" s="549" t="s">
        <v>1111</v>
      </c>
      <c r="B3929" s="549" t="s">
        <v>1112</v>
      </c>
      <c r="C3929" s="549" t="s">
        <v>843</v>
      </c>
      <c r="D3929" s="549" t="s">
        <v>844</v>
      </c>
      <c r="E3929" s="549" t="s">
        <v>973</v>
      </c>
      <c r="F3929" s="549" t="s">
        <v>1212</v>
      </c>
      <c r="G3929" s="549" t="s">
        <v>1514</v>
      </c>
      <c r="H3929" s="549" t="s">
        <v>843</v>
      </c>
      <c r="I3929" s="549" t="s">
        <v>976</v>
      </c>
      <c r="J3929" s="549" t="s">
        <v>976</v>
      </c>
      <c r="K3929" s="549" t="s">
        <v>976</v>
      </c>
      <c r="L3929" s="549">
        <v>46197.94</v>
      </c>
      <c r="M3929" s="549">
        <v>3487.94</v>
      </c>
      <c r="N3929" s="549">
        <v>2651.76</v>
      </c>
      <c r="O3929" s="549">
        <v>0</v>
      </c>
      <c r="P3929" s="549">
        <v>0</v>
      </c>
      <c r="Q3929" s="549">
        <v>0</v>
      </c>
    </row>
    <row r="3930" spans="1:17" x14ac:dyDescent="0.25">
      <c r="A3930" s="549" t="s">
        <v>1111</v>
      </c>
      <c r="B3930" s="549" t="s">
        <v>1112</v>
      </c>
      <c r="C3930" s="549" t="s">
        <v>843</v>
      </c>
      <c r="D3930" s="549" t="s">
        <v>844</v>
      </c>
      <c r="E3930" s="549" t="s">
        <v>973</v>
      </c>
      <c r="F3930" s="549" t="s">
        <v>1212</v>
      </c>
      <c r="G3930" s="549" t="s">
        <v>1261</v>
      </c>
      <c r="H3930" s="549" t="s">
        <v>843</v>
      </c>
      <c r="I3930" s="549" t="s">
        <v>976</v>
      </c>
      <c r="J3930" s="549" t="s">
        <v>976</v>
      </c>
      <c r="K3930" s="549" t="s">
        <v>976</v>
      </c>
      <c r="L3930" s="549">
        <v>30588.13</v>
      </c>
      <c r="M3930" s="549">
        <v>2309.4</v>
      </c>
      <c r="N3930" s="549">
        <v>1755.76</v>
      </c>
      <c r="O3930" s="549">
        <v>0</v>
      </c>
      <c r="P3930" s="549">
        <v>0</v>
      </c>
      <c r="Q3930" s="549">
        <v>0</v>
      </c>
    </row>
    <row r="3931" spans="1:17" x14ac:dyDescent="0.25">
      <c r="A3931" s="549" t="s">
        <v>1111</v>
      </c>
      <c r="B3931" s="549" t="s">
        <v>1112</v>
      </c>
      <c r="C3931" s="549" t="s">
        <v>843</v>
      </c>
      <c r="D3931" s="549" t="s">
        <v>844</v>
      </c>
      <c r="E3931" s="549" t="s">
        <v>973</v>
      </c>
      <c r="F3931" s="549" t="s">
        <v>1212</v>
      </c>
      <c r="G3931" s="549" t="s">
        <v>1472</v>
      </c>
      <c r="H3931" s="549" t="s">
        <v>843</v>
      </c>
      <c r="I3931" s="549" t="s">
        <v>976</v>
      </c>
      <c r="J3931" s="549" t="s">
        <v>976</v>
      </c>
      <c r="K3931" s="549" t="s">
        <v>976</v>
      </c>
      <c r="L3931" s="549">
        <v>30588.13</v>
      </c>
      <c r="M3931" s="549">
        <v>2309.4</v>
      </c>
      <c r="N3931" s="549">
        <v>1755.76</v>
      </c>
      <c r="O3931" s="549">
        <v>0</v>
      </c>
      <c r="P3931" s="549">
        <v>0</v>
      </c>
      <c r="Q3931" s="549">
        <v>0</v>
      </c>
    </row>
    <row r="3932" spans="1:17" x14ac:dyDescent="0.25">
      <c r="A3932" s="549" t="s">
        <v>1111</v>
      </c>
      <c r="B3932" s="549" t="s">
        <v>1112</v>
      </c>
      <c r="C3932" s="549" t="s">
        <v>843</v>
      </c>
      <c r="D3932" s="549" t="s">
        <v>844</v>
      </c>
      <c r="E3932" s="549" t="s">
        <v>973</v>
      </c>
      <c r="F3932" s="549" t="s">
        <v>1212</v>
      </c>
      <c r="G3932" s="549" t="s">
        <v>1515</v>
      </c>
      <c r="H3932" s="549" t="s">
        <v>843</v>
      </c>
      <c r="I3932" s="549" t="s">
        <v>976</v>
      </c>
      <c r="J3932" s="549" t="s">
        <v>976</v>
      </c>
      <c r="K3932" s="549" t="s">
        <v>976</v>
      </c>
      <c r="L3932" s="549">
        <v>30588.13</v>
      </c>
      <c r="M3932" s="549">
        <v>2309.4</v>
      </c>
      <c r="N3932" s="549">
        <v>1755.76</v>
      </c>
      <c r="O3932" s="549">
        <v>0</v>
      </c>
      <c r="P3932" s="549">
        <v>0</v>
      </c>
      <c r="Q3932" s="549">
        <v>0</v>
      </c>
    </row>
    <row r="3933" spans="1:17" x14ac:dyDescent="0.25">
      <c r="A3933" s="549" t="s">
        <v>1111</v>
      </c>
      <c r="B3933" s="549" t="s">
        <v>1112</v>
      </c>
      <c r="C3933" s="549" t="s">
        <v>843</v>
      </c>
      <c r="D3933" s="549" t="s">
        <v>844</v>
      </c>
      <c r="E3933" s="549" t="s">
        <v>973</v>
      </c>
      <c r="F3933" s="549" t="s">
        <v>1212</v>
      </c>
      <c r="G3933" s="549" t="s">
        <v>1473</v>
      </c>
      <c r="H3933" s="549" t="s">
        <v>843</v>
      </c>
      <c r="I3933" s="549" t="s">
        <v>976</v>
      </c>
      <c r="J3933" s="549" t="s">
        <v>976</v>
      </c>
      <c r="K3933" s="549" t="s">
        <v>976</v>
      </c>
      <c r="L3933" s="549">
        <v>30010.81</v>
      </c>
      <c r="M3933" s="549">
        <v>2265.8200000000002</v>
      </c>
      <c r="N3933" s="549">
        <v>1722.62</v>
      </c>
      <c r="O3933" s="549">
        <v>0</v>
      </c>
      <c r="P3933" s="549">
        <v>0</v>
      </c>
      <c r="Q3933" s="549">
        <v>0</v>
      </c>
    </row>
    <row r="3934" spans="1:17" x14ac:dyDescent="0.25">
      <c r="A3934" s="549" t="s">
        <v>1111</v>
      </c>
      <c r="B3934" s="549" t="s">
        <v>1112</v>
      </c>
      <c r="C3934" s="549" t="s">
        <v>843</v>
      </c>
      <c r="D3934" s="549" t="s">
        <v>844</v>
      </c>
      <c r="E3934" s="549" t="s">
        <v>973</v>
      </c>
      <c r="F3934" s="549" t="s">
        <v>1212</v>
      </c>
      <c r="G3934" s="549" t="s">
        <v>1516</v>
      </c>
      <c r="H3934" s="549" t="s">
        <v>843</v>
      </c>
      <c r="I3934" s="549" t="s">
        <v>976</v>
      </c>
      <c r="J3934" s="549" t="s">
        <v>976</v>
      </c>
      <c r="K3934" s="549" t="s">
        <v>976</v>
      </c>
      <c r="L3934" s="549">
        <v>30010.81</v>
      </c>
      <c r="M3934" s="549">
        <v>2265.8200000000002</v>
      </c>
      <c r="N3934" s="549">
        <v>1722.62</v>
      </c>
      <c r="O3934" s="549">
        <v>0</v>
      </c>
      <c r="P3934" s="549">
        <v>0</v>
      </c>
      <c r="Q3934" s="549">
        <v>0</v>
      </c>
    </row>
    <row r="3935" spans="1:17" x14ac:dyDescent="0.25">
      <c r="A3935" s="549" t="s">
        <v>1111</v>
      </c>
      <c r="B3935" s="549" t="s">
        <v>1112</v>
      </c>
      <c r="C3935" s="549" t="s">
        <v>843</v>
      </c>
      <c r="D3935" s="549" t="s">
        <v>844</v>
      </c>
      <c r="E3935" s="549" t="s">
        <v>973</v>
      </c>
      <c r="F3935" s="549" t="s">
        <v>1212</v>
      </c>
      <c r="G3935" s="549" t="s">
        <v>1474</v>
      </c>
      <c r="H3935" s="549" t="s">
        <v>843</v>
      </c>
      <c r="I3935" s="549" t="s">
        <v>976</v>
      </c>
      <c r="J3935" s="549" t="s">
        <v>976</v>
      </c>
      <c r="K3935" s="549" t="s">
        <v>976</v>
      </c>
      <c r="L3935" s="549">
        <v>30010.81</v>
      </c>
      <c r="M3935" s="549">
        <v>2265.8200000000002</v>
      </c>
      <c r="N3935" s="549">
        <v>1722.62</v>
      </c>
      <c r="O3935" s="549">
        <v>0</v>
      </c>
      <c r="P3935" s="549">
        <v>0</v>
      </c>
      <c r="Q3935" s="549">
        <v>0</v>
      </c>
    </row>
    <row r="3936" spans="1:17" x14ac:dyDescent="0.25">
      <c r="A3936" s="549" t="s">
        <v>1111</v>
      </c>
      <c r="B3936" s="549" t="s">
        <v>1112</v>
      </c>
      <c r="C3936" s="549" t="s">
        <v>843</v>
      </c>
      <c r="D3936" s="549" t="s">
        <v>844</v>
      </c>
      <c r="E3936" s="549" t="s">
        <v>973</v>
      </c>
      <c r="F3936" s="549" t="s">
        <v>1212</v>
      </c>
      <c r="G3936" s="549" t="s">
        <v>1255</v>
      </c>
      <c r="H3936" s="549" t="s">
        <v>843</v>
      </c>
      <c r="I3936" s="549" t="s">
        <v>976</v>
      </c>
      <c r="J3936" s="549" t="s">
        <v>976</v>
      </c>
      <c r="K3936" s="549" t="s">
        <v>976</v>
      </c>
      <c r="L3936" s="549">
        <v>46197.94</v>
      </c>
      <c r="M3936" s="549">
        <v>3487.94</v>
      </c>
      <c r="N3936" s="549">
        <v>2651.76</v>
      </c>
      <c r="O3936" s="549">
        <v>0</v>
      </c>
      <c r="P3936" s="549">
        <v>0</v>
      </c>
      <c r="Q3936" s="549">
        <v>0</v>
      </c>
    </row>
    <row r="3937" spans="1:17" x14ac:dyDescent="0.25">
      <c r="A3937" s="549" t="s">
        <v>1111</v>
      </c>
      <c r="B3937" s="549" t="s">
        <v>1112</v>
      </c>
      <c r="C3937" s="549" t="s">
        <v>843</v>
      </c>
      <c r="D3937" s="549" t="s">
        <v>844</v>
      </c>
      <c r="E3937" s="549" t="s">
        <v>973</v>
      </c>
      <c r="F3937" s="549" t="s">
        <v>1212</v>
      </c>
      <c r="G3937" s="549" t="s">
        <v>1391</v>
      </c>
      <c r="H3937" s="549" t="s">
        <v>843</v>
      </c>
      <c r="I3937" s="549" t="s">
        <v>976</v>
      </c>
      <c r="J3937" s="549" t="s">
        <v>976</v>
      </c>
      <c r="K3937" s="549" t="s">
        <v>976</v>
      </c>
      <c r="L3937" s="549">
        <v>46197.94</v>
      </c>
      <c r="M3937" s="549">
        <v>3487.94</v>
      </c>
      <c r="N3937" s="549">
        <v>2651.76</v>
      </c>
      <c r="O3937" s="549">
        <v>0</v>
      </c>
      <c r="P3937" s="549">
        <v>0</v>
      </c>
      <c r="Q3937" s="549">
        <v>0</v>
      </c>
    </row>
    <row r="3938" spans="1:17" x14ac:dyDescent="0.25">
      <c r="A3938" s="549" t="s">
        <v>1111</v>
      </c>
      <c r="B3938" s="549" t="s">
        <v>1112</v>
      </c>
      <c r="C3938" s="549" t="s">
        <v>843</v>
      </c>
      <c r="D3938" s="549" t="s">
        <v>844</v>
      </c>
      <c r="E3938" s="549" t="s">
        <v>973</v>
      </c>
      <c r="F3938" s="549" t="s">
        <v>1212</v>
      </c>
      <c r="G3938" s="549" t="s">
        <v>1475</v>
      </c>
      <c r="H3938" s="549" t="s">
        <v>843</v>
      </c>
      <c r="I3938" s="549" t="s">
        <v>976</v>
      </c>
      <c r="J3938" s="549" t="s">
        <v>976</v>
      </c>
      <c r="K3938" s="549" t="s">
        <v>976</v>
      </c>
      <c r="L3938" s="549">
        <v>31683.14</v>
      </c>
      <c r="M3938" s="549">
        <v>2392.08</v>
      </c>
      <c r="N3938" s="549">
        <v>1818.61</v>
      </c>
      <c r="O3938" s="549">
        <v>0</v>
      </c>
      <c r="P3938" s="549">
        <v>0</v>
      </c>
      <c r="Q3938" s="549">
        <v>0</v>
      </c>
    </row>
    <row r="3939" spans="1:17" x14ac:dyDescent="0.25">
      <c r="A3939" s="549" t="s">
        <v>1111</v>
      </c>
      <c r="B3939" s="549" t="s">
        <v>1112</v>
      </c>
      <c r="C3939" s="549" t="s">
        <v>843</v>
      </c>
      <c r="D3939" s="549" t="s">
        <v>844</v>
      </c>
      <c r="E3939" s="549" t="s">
        <v>973</v>
      </c>
      <c r="F3939" s="549" t="s">
        <v>1212</v>
      </c>
      <c r="G3939" s="549" t="s">
        <v>1256</v>
      </c>
      <c r="H3939" s="549" t="s">
        <v>843</v>
      </c>
      <c r="I3939" s="549" t="s">
        <v>1310</v>
      </c>
      <c r="J3939" s="549" t="s">
        <v>1310</v>
      </c>
      <c r="K3939" s="549" t="s">
        <v>1310</v>
      </c>
      <c r="L3939" s="549">
        <v>0.02</v>
      </c>
      <c r="M3939" s="549">
        <v>0</v>
      </c>
      <c r="N3939" s="549">
        <v>0</v>
      </c>
      <c r="O3939" s="549">
        <v>0</v>
      </c>
      <c r="P3939" s="549">
        <v>0</v>
      </c>
      <c r="Q3939" s="549">
        <v>0</v>
      </c>
    </row>
    <row r="3940" spans="1:17" x14ac:dyDescent="0.25">
      <c r="A3940" s="549" t="s">
        <v>1118</v>
      </c>
      <c r="B3940" s="549" t="s">
        <v>1119</v>
      </c>
      <c r="C3940" s="549" t="s">
        <v>871</v>
      </c>
      <c r="D3940" s="549" t="s">
        <v>872</v>
      </c>
      <c r="E3940" s="549" t="s">
        <v>977</v>
      </c>
      <c r="F3940" s="549" t="s">
        <v>1212</v>
      </c>
      <c r="G3940" s="549">
        <v>322</v>
      </c>
      <c r="H3940" s="549" t="s">
        <v>871</v>
      </c>
      <c r="I3940" s="549" t="s">
        <v>976</v>
      </c>
      <c r="J3940" s="549" t="s">
        <v>976</v>
      </c>
      <c r="K3940" s="549" t="s">
        <v>976</v>
      </c>
      <c r="L3940" s="549">
        <v>136287.12</v>
      </c>
      <c r="M3940" s="549">
        <v>10289.68</v>
      </c>
      <c r="N3940" s="549">
        <v>3011.95</v>
      </c>
      <c r="O3940" s="549">
        <v>3968</v>
      </c>
      <c r="P3940" s="549">
        <v>100</v>
      </c>
      <c r="Q3940" s="549">
        <v>17269.63</v>
      </c>
    </row>
    <row r="3941" spans="1:17" x14ac:dyDescent="0.25">
      <c r="A3941" s="549" t="s">
        <v>1111</v>
      </c>
      <c r="B3941" s="549" t="s">
        <v>1112</v>
      </c>
      <c r="C3941" s="549" t="s">
        <v>843</v>
      </c>
      <c r="D3941" s="549" t="s">
        <v>844</v>
      </c>
      <c r="E3941" s="549" t="s">
        <v>977</v>
      </c>
      <c r="F3941" s="549" t="s">
        <v>1212</v>
      </c>
      <c r="G3941" s="549">
        <v>72</v>
      </c>
      <c r="H3941" s="549" t="s">
        <v>843</v>
      </c>
      <c r="I3941" s="549" t="s">
        <v>1310</v>
      </c>
      <c r="J3941" s="549" t="s">
        <v>1310</v>
      </c>
      <c r="K3941" s="549" t="s">
        <v>1310</v>
      </c>
      <c r="L3941" s="549">
        <v>0.04</v>
      </c>
      <c r="M3941" s="549">
        <v>0</v>
      </c>
      <c r="N3941" s="549">
        <v>0</v>
      </c>
      <c r="O3941" s="549">
        <v>0</v>
      </c>
      <c r="P3941" s="549">
        <v>100</v>
      </c>
      <c r="Q3941" s="549">
        <v>0</v>
      </c>
    </row>
    <row r="3942" spans="1:17" x14ac:dyDescent="0.25">
      <c r="A3942" s="549" t="s">
        <v>1111</v>
      </c>
      <c r="B3942" s="549" t="s">
        <v>1112</v>
      </c>
      <c r="C3942" s="549" t="s">
        <v>843</v>
      </c>
      <c r="D3942" s="549" t="s">
        <v>844</v>
      </c>
      <c r="E3942" s="549" t="s">
        <v>977</v>
      </c>
      <c r="F3942" s="549" t="s">
        <v>1212</v>
      </c>
      <c r="G3942" s="549">
        <v>118</v>
      </c>
      <c r="H3942" s="549" t="s">
        <v>843</v>
      </c>
      <c r="I3942" s="549" t="s">
        <v>976</v>
      </c>
      <c r="J3942" s="549" t="s">
        <v>976</v>
      </c>
      <c r="K3942" s="549" t="s">
        <v>976</v>
      </c>
      <c r="L3942" s="549">
        <v>297021.28000000003</v>
      </c>
      <c r="M3942" s="549">
        <v>22425.11</v>
      </c>
      <c r="N3942" s="549">
        <v>6564.17</v>
      </c>
      <c r="O3942" s="549">
        <v>2976</v>
      </c>
      <c r="P3942" s="549">
        <v>100</v>
      </c>
      <c r="Q3942" s="549">
        <v>31965.279999999999</v>
      </c>
    </row>
    <row r="3943" spans="1:17" x14ac:dyDescent="0.25">
      <c r="A3943" s="549" t="s">
        <v>1118</v>
      </c>
      <c r="B3943" s="549" t="s">
        <v>1119</v>
      </c>
      <c r="C3943" s="549" t="s">
        <v>871</v>
      </c>
      <c r="D3943" s="549" t="s">
        <v>872</v>
      </c>
      <c r="E3943" s="549" t="s">
        <v>977</v>
      </c>
      <c r="F3943" s="549" t="s">
        <v>1212</v>
      </c>
      <c r="G3943" s="549">
        <v>302</v>
      </c>
      <c r="H3943" s="549" t="s">
        <v>871</v>
      </c>
      <c r="I3943" s="549" t="s">
        <v>976</v>
      </c>
      <c r="J3943" s="549" t="s">
        <v>976</v>
      </c>
      <c r="K3943" s="549" t="s">
        <v>976</v>
      </c>
      <c r="L3943" s="549">
        <v>136287.12</v>
      </c>
      <c r="M3943" s="549">
        <v>10289.68</v>
      </c>
      <c r="N3943" s="549">
        <v>3011.95</v>
      </c>
      <c r="O3943" s="549">
        <v>3968</v>
      </c>
      <c r="P3943" s="549">
        <v>100</v>
      </c>
      <c r="Q3943" s="549">
        <v>17269.63</v>
      </c>
    </row>
    <row r="3944" spans="1:17" x14ac:dyDescent="0.25">
      <c r="A3944" s="549" t="s">
        <v>1111</v>
      </c>
      <c r="B3944" s="549" t="s">
        <v>1112</v>
      </c>
      <c r="C3944" s="549" t="s">
        <v>843</v>
      </c>
      <c r="D3944" s="549" t="s">
        <v>844</v>
      </c>
      <c r="E3944" s="549" t="s">
        <v>977</v>
      </c>
      <c r="F3944" s="549" t="s">
        <v>1212</v>
      </c>
      <c r="G3944" s="549">
        <v>152</v>
      </c>
      <c r="H3944" s="549" t="s">
        <v>843</v>
      </c>
      <c r="I3944" s="549" t="s">
        <v>976</v>
      </c>
      <c r="J3944" s="549" t="s">
        <v>976</v>
      </c>
      <c r="K3944" s="549" t="s">
        <v>976</v>
      </c>
      <c r="L3944" s="549">
        <v>499633.06</v>
      </c>
      <c r="M3944" s="549">
        <v>37722.300000000003</v>
      </c>
      <c r="N3944" s="549">
        <v>11041.89</v>
      </c>
      <c r="O3944" s="549">
        <v>3968</v>
      </c>
      <c r="P3944" s="549">
        <v>100</v>
      </c>
      <c r="Q3944" s="549">
        <v>52732.19</v>
      </c>
    </row>
    <row r="3945" spans="1:17" x14ac:dyDescent="0.25">
      <c r="A3945" s="549" t="s">
        <v>1111</v>
      </c>
      <c r="B3945" s="549" t="s">
        <v>1112</v>
      </c>
      <c r="C3945" s="549" t="s">
        <v>843</v>
      </c>
      <c r="D3945" s="549" t="s">
        <v>844</v>
      </c>
      <c r="E3945" s="549" t="s">
        <v>977</v>
      </c>
      <c r="F3945" s="549" t="s">
        <v>1212</v>
      </c>
      <c r="G3945" s="549">
        <v>192</v>
      </c>
      <c r="H3945" s="549" t="s">
        <v>843</v>
      </c>
      <c r="I3945" s="549" t="s">
        <v>976</v>
      </c>
      <c r="J3945" s="549" t="s">
        <v>976</v>
      </c>
      <c r="K3945" s="549" t="s">
        <v>976</v>
      </c>
      <c r="L3945" s="549">
        <v>340679.91</v>
      </c>
      <c r="M3945" s="549">
        <v>25721.33</v>
      </c>
      <c r="N3945" s="549">
        <v>7529.03</v>
      </c>
      <c r="O3945" s="549">
        <v>3968</v>
      </c>
      <c r="P3945" s="549">
        <v>100</v>
      </c>
      <c r="Q3945" s="549">
        <v>37218.36</v>
      </c>
    </row>
    <row r="3946" spans="1:17" x14ac:dyDescent="0.25">
      <c r="A3946" s="549" t="s">
        <v>1111</v>
      </c>
      <c r="B3946" s="549" t="s">
        <v>1112</v>
      </c>
      <c r="C3946" s="549" t="s">
        <v>843</v>
      </c>
      <c r="D3946" s="549" t="s">
        <v>844</v>
      </c>
      <c r="E3946" s="549" t="s">
        <v>977</v>
      </c>
      <c r="F3946" s="549" t="s">
        <v>1212</v>
      </c>
      <c r="G3946" s="549">
        <v>722</v>
      </c>
      <c r="H3946" s="549" t="s">
        <v>843</v>
      </c>
      <c r="I3946" s="549" t="s">
        <v>976</v>
      </c>
      <c r="J3946" s="549" t="s">
        <v>976</v>
      </c>
      <c r="K3946" s="549" t="s">
        <v>976</v>
      </c>
      <c r="L3946" s="549">
        <v>464050.19</v>
      </c>
      <c r="M3946" s="549">
        <v>35035.79</v>
      </c>
      <c r="N3946" s="549">
        <v>10255.51</v>
      </c>
      <c r="O3946" s="549">
        <v>1984</v>
      </c>
      <c r="P3946" s="549">
        <v>99.97</v>
      </c>
      <c r="Q3946" s="549">
        <v>47261.120000000003</v>
      </c>
    </row>
    <row r="3947" spans="1:17" x14ac:dyDescent="0.25">
      <c r="A3947" s="549" t="s">
        <v>1111</v>
      </c>
      <c r="B3947" s="549" t="s">
        <v>1112</v>
      </c>
      <c r="C3947" s="549" t="s">
        <v>843</v>
      </c>
      <c r="D3947" s="549" t="s">
        <v>844</v>
      </c>
      <c r="E3947" s="549" t="s">
        <v>977</v>
      </c>
      <c r="F3947" s="549" t="s">
        <v>1212</v>
      </c>
      <c r="G3947" s="549">
        <v>762</v>
      </c>
      <c r="H3947" s="549" t="s">
        <v>843</v>
      </c>
      <c r="I3947" s="549" t="s">
        <v>976</v>
      </c>
      <c r="J3947" s="549" t="s">
        <v>976</v>
      </c>
      <c r="K3947" s="549" t="s">
        <v>976</v>
      </c>
      <c r="L3947" s="549">
        <v>482336.95</v>
      </c>
      <c r="M3947" s="549">
        <v>36416.44</v>
      </c>
      <c r="N3947" s="549">
        <v>10659.65</v>
      </c>
      <c r="O3947" s="549">
        <v>1984</v>
      </c>
      <c r="P3947" s="549">
        <v>99.97</v>
      </c>
      <c r="Q3947" s="549">
        <v>49045.37</v>
      </c>
    </row>
    <row r="3948" spans="1:17" x14ac:dyDescent="0.25">
      <c r="A3948" s="549" t="s">
        <v>1118</v>
      </c>
      <c r="B3948" s="549" t="s">
        <v>1119</v>
      </c>
      <c r="C3948" s="549" t="s">
        <v>871</v>
      </c>
      <c r="D3948" s="549" t="s">
        <v>872</v>
      </c>
      <c r="E3948" s="549" t="s">
        <v>977</v>
      </c>
      <c r="F3948" s="549" t="s">
        <v>1212</v>
      </c>
      <c r="G3948" s="549">
        <v>287</v>
      </c>
      <c r="H3948" s="549" t="s">
        <v>871</v>
      </c>
      <c r="I3948" s="549" t="s">
        <v>976</v>
      </c>
      <c r="J3948" s="549" t="s">
        <v>976</v>
      </c>
      <c r="K3948" s="549" t="s">
        <v>976</v>
      </c>
      <c r="L3948" s="549">
        <v>18738.349999999999</v>
      </c>
      <c r="M3948" s="549">
        <v>1414.75</v>
      </c>
      <c r="N3948" s="549">
        <v>414.12</v>
      </c>
      <c r="O3948" s="549">
        <v>992</v>
      </c>
      <c r="P3948" s="549">
        <v>100</v>
      </c>
      <c r="Q3948" s="549">
        <v>2820.87</v>
      </c>
    </row>
    <row r="3949" spans="1:17" x14ac:dyDescent="0.25">
      <c r="A3949" s="549" t="s">
        <v>1118</v>
      </c>
      <c r="B3949" s="549" t="s">
        <v>1119</v>
      </c>
      <c r="C3949" s="549" t="s">
        <v>871</v>
      </c>
      <c r="D3949" s="549" t="s">
        <v>872</v>
      </c>
      <c r="E3949" s="549" t="s">
        <v>977</v>
      </c>
      <c r="F3949" s="549" t="s">
        <v>1212</v>
      </c>
      <c r="G3949" s="549">
        <v>282</v>
      </c>
      <c r="H3949" s="549" t="s">
        <v>871</v>
      </c>
      <c r="I3949" s="549" t="s">
        <v>976</v>
      </c>
      <c r="J3949" s="549" t="s">
        <v>976</v>
      </c>
      <c r="K3949" s="549" t="s">
        <v>976</v>
      </c>
      <c r="L3949" s="549">
        <v>136287.12</v>
      </c>
      <c r="M3949" s="549">
        <v>10289.68</v>
      </c>
      <c r="N3949" s="549">
        <v>3011.95</v>
      </c>
      <c r="O3949" s="549">
        <v>3968</v>
      </c>
      <c r="P3949" s="549">
        <v>100</v>
      </c>
      <c r="Q3949" s="549">
        <v>17269.63</v>
      </c>
    </row>
    <row r="3950" spans="1:17" x14ac:dyDescent="0.25">
      <c r="A3950" s="549" t="s">
        <v>1111</v>
      </c>
      <c r="B3950" s="549" t="s">
        <v>1112</v>
      </c>
      <c r="C3950" s="549" t="s">
        <v>843</v>
      </c>
      <c r="D3950" s="549" t="s">
        <v>844</v>
      </c>
      <c r="E3950" s="549" t="s">
        <v>977</v>
      </c>
      <c r="F3950" s="549" t="s">
        <v>1212</v>
      </c>
      <c r="G3950" s="549">
        <v>1407</v>
      </c>
      <c r="H3950" s="549" t="s">
        <v>843</v>
      </c>
      <c r="I3950" s="549" t="s">
        <v>976</v>
      </c>
      <c r="J3950" s="549" t="s">
        <v>976</v>
      </c>
      <c r="K3950" s="549" t="s">
        <v>976</v>
      </c>
      <c r="L3950" s="549">
        <v>22970.62</v>
      </c>
      <c r="M3950" s="549">
        <v>1734.28</v>
      </c>
      <c r="N3950" s="549">
        <v>507.65</v>
      </c>
      <c r="O3950" s="549">
        <v>992</v>
      </c>
      <c r="P3950" s="549">
        <v>99.97</v>
      </c>
      <c r="Q3950" s="549">
        <v>3232.96</v>
      </c>
    </row>
    <row r="3951" spans="1:17" x14ac:dyDescent="0.25">
      <c r="A3951" s="549" t="s">
        <v>1111</v>
      </c>
      <c r="B3951" s="549" t="s">
        <v>1112</v>
      </c>
      <c r="C3951" s="549" t="s">
        <v>843</v>
      </c>
      <c r="D3951" s="549" t="s">
        <v>844</v>
      </c>
      <c r="E3951" s="549" t="s">
        <v>977</v>
      </c>
      <c r="F3951" s="549" t="s">
        <v>1212</v>
      </c>
      <c r="G3951" s="549">
        <v>1422</v>
      </c>
      <c r="H3951" s="549" t="s">
        <v>843</v>
      </c>
      <c r="I3951" s="549" t="s">
        <v>976</v>
      </c>
      <c r="J3951" s="549" t="s">
        <v>976</v>
      </c>
      <c r="K3951" s="549" t="s">
        <v>976</v>
      </c>
      <c r="L3951" s="549">
        <v>167069.12</v>
      </c>
      <c r="M3951" s="549">
        <v>12613.72</v>
      </c>
      <c r="N3951" s="549">
        <v>3692.23</v>
      </c>
      <c r="O3951" s="549">
        <v>3968</v>
      </c>
      <c r="P3951" s="549">
        <v>100</v>
      </c>
      <c r="Q3951" s="549">
        <v>20273.95</v>
      </c>
    </row>
    <row r="3952" spans="1:17" x14ac:dyDescent="0.25">
      <c r="A3952" s="549" t="s">
        <v>1118</v>
      </c>
      <c r="B3952" s="549" t="s">
        <v>1119</v>
      </c>
      <c r="C3952" s="549" t="s">
        <v>871</v>
      </c>
      <c r="D3952" s="549" t="s">
        <v>872</v>
      </c>
      <c r="E3952" s="549" t="s">
        <v>977</v>
      </c>
      <c r="F3952" s="549" t="s">
        <v>1212</v>
      </c>
      <c r="G3952" s="549">
        <v>262</v>
      </c>
      <c r="H3952" s="549" t="s">
        <v>871</v>
      </c>
      <c r="I3952" s="549" t="s">
        <v>976</v>
      </c>
      <c r="J3952" s="549" t="s">
        <v>976</v>
      </c>
      <c r="K3952" s="549" t="s">
        <v>976</v>
      </c>
      <c r="L3952" s="549">
        <v>136287.12</v>
      </c>
      <c r="M3952" s="549">
        <v>10289.68</v>
      </c>
      <c r="N3952" s="549">
        <v>3011.95</v>
      </c>
      <c r="O3952" s="549">
        <v>3968</v>
      </c>
      <c r="P3952" s="549">
        <v>100</v>
      </c>
      <c r="Q3952" s="549">
        <v>17269.63</v>
      </c>
    </row>
    <row r="3953" spans="1:17" x14ac:dyDescent="0.25">
      <c r="A3953" s="549" t="s">
        <v>1111</v>
      </c>
      <c r="B3953" s="549" t="s">
        <v>1112</v>
      </c>
      <c r="C3953" s="549" t="s">
        <v>843</v>
      </c>
      <c r="D3953" s="549" t="s">
        <v>844</v>
      </c>
      <c r="E3953" s="549" t="s">
        <v>977</v>
      </c>
      <c r="F3953" s="549" t="s">
        <v>1212</v>
      </c>
      <c r="G3953" s="549">
        <v>1462</v>
      </c>
      <c r="H3953" s="549" t="s">
        <v>843</v>
      </c>
      <c r="I3953" s="549" t="s">
        <v>976</v>
      </c>
      <c r="J3953" s="549" t="s">
        <v>976</v>
      </c>
      <c r="K3953" s="549" t="s">
        <v>976</v>
      </c>
      <c r="L3953" s="549">
        <v>167069.12</v>
      </c>
      <c r="M3953" s="549">
        <v>12613.72</v>
      </c>
      <c r="N3953" s="549">
        <v>3692.23</v>
      </c>
      <c r="O3953" s="549">
        <v>3968</v>
      </c>
      <c r="P3953" s="549">
        <v>100</v>
      </c>
      <c r="Q3953" s="549">
        <v>20273.95</v>
      </c>
    </row>
    <row r="3954" spans="1:17" x14ac:dyDescent="0.25">
      <c r="A3954" s="549" t="s">
        <v>1111</v>
      </c>
      <c r="B3954" s="549" t="s">
        <v>1112</v>
      </c>
      <c r="C3954" s="549" t="s">
        <v>843</v>
      </c>
      <c r="D3954" s="549" t="s">
        <v>844</v>
      </c>
      <c r="E3954" s="549" t="s">
        <v>977</v>
      </c>
      <c r="F3954" s="549" t="s">
        <v>1212</v>
      </c>
      <c r="G3954" s="549">
        <v>1472</v>
      </c>
      <c r="H3954" s="549" t="s">
        <v>843</v>
      </c>
      <c r="I3954" s="549" t="s">
        <v>976</v>
      </c>
      <c r="J3954" s="549" t="s">
        <v>976</v>
      </c>
      <c r="K3954" s="549" t="s">
        <v>976</v>
      </c>
      <c r="L3954" s="549">
        <v>167069.12</v>
      </c>
      <c r="M3954" s="549">
        <v>12613.72</v>
      </c>
      <c r="N3954" s="549">
        <v>3692.23</v>
      </c>
      <c r="O3954" s="549">
        <v>3968</v>
      </c>
      <c r="P3954" s="549">
        <v>100</v>
      </c>
      <c r="Q3954" s="549">
        <v>20273.95</v>
      </c>
    </row>
    <row r="3955" spans="1:17" x14ac:dyDescent="0.25">
      <c r="A3955" s="549" t="s">
        <v>1111</v>
      </c>
      <c r="B3955" s="549" t="s">
        <v>1112</v>
      </c>
      <c r="C3955" s="549" t="s">
        <v>843</v>
      </c>
      <c r="D3955" s="549" t="s">
        <v>844</v>
      </c>
      <c r="E3955" s="549" t="s">
        <v>977</v>
      </c>
      <c r="F3955" s="549" t="s">
        <v>1212</v>
      </c>
      <c r="G3955" s="549">
        <v>1482</v>
      </c>
      <c r="H3955" s="549" t="s">
        <v>843</v>
      </c>
      <c r="I3955" s="549" t="s">
        <v>976</v>
      </c>
      <c r="J3955" s="549" t="s">
        <v>976</v>
      </c>
      <c r="K3955" s="549" t="s">
        <v>976</v>
      </c>
      <c r="L3955" s="549">
        <v>167069.12</v>
      </c>
      <c r="M3955" s="549">
        <v>12613.72</v>
      </c>
      <c r="N3955" s="549">
        <v>3692.23</v>
      </c>
      <c r="O3955" s="549">
        <v>3968</v>
      </c>
      <c r="P3955" s="549">
        <v>100</v>
      </c>
      <c r="Q3955" s="549">
        <v>20273.95</v>
      </c>
    </row>
    <row r="3956" spans="1:17" x14ac:dyDescent="0.25">
      <c r="A3956" s="549" t="s">
        <v>1111</v>
      </c>
      <c r="B3956" s="549" t="s">
        <v>1112</v>
      </c>
      <c r="C3956" s="549" t="s">
        <v>843</v>
      </c>
      <c r="D3956" s="549" t="s">
        <v>844</v>
      </c>
      <c r="E3956" s="549" t="s">
        <v>977</v>
      </c>
      <c r="F3956" s="549" t="s">
        <v>1212</v>
      </c>
      <c r="G3956" s="549">
        <v>1492</v>
      </c>
      <c r="H3956" s="549" t="s">
        <v>843</v>
      </c>
      <c r="I3956" s="549" t="s">
        <v>976</v>
      </c>
      <c r="J3956" s="549" t="s">
        <v>976</v>
      </c>
      <c r="K3956" s="549" t="s">
        <v>976</v>
      </c>
      <c r="L3956" s="549">
        <v>167069.12</v>
      </c>
      <c r="M3956" s="549">
        <v>12613.72</v>
      </c>
      <c r="N3956" s="549">
        <v>3692.23</v>
      </c>
      <c r="O3956" s="549">
        <v>3968</v>
      </c>
      <c r="P3956" s="549">
        <v>100</v>
      </c>
      <c r="Q3956" s="549">
        <v>20273.95</v>
      </c>
    </row>
    <row r="3957" spans="1:17" x14ac:dyDescent="0.25">
      <c r="A3957" s="549" t="s">
        <v>1111</v>
      </c>
      <c r="B3957" s="549" t="s">
        <v>1112</v>
      </c>
      <c r="C3957" s="549" t="s">
        <v>843</v>
      </c>
      <c r="D3957" s="549" t="s">
        <v>844</v>
      </c>
      <c r="E3957" s="549" t="s">
        <v>977</v>
      </c>
      <c r="F3957" s="549" t="s">
        <v>1212</v>
      </c>
      <c r="G3957" s="549">
        <v>1502</v>
      </c>
      <c r="H3957" s="549" t="s">
        <v>843</v>
      </c>
      <c r="I3957" s="549" t="s">
        <v>976</v>
      </c>
      <c r="J3957" s="549" t="s">
        <v>976</v>
      </c>
      <c r="K3957" s="549" t="s">
        <v>976</v>
      </c>
      <c r="L3957" s="549">
        <v>167069.12</v>
      </c>
      <c r="M3957" s="549">
        <v>12613.72</v>
      </c>
      <c r="N3957" s="549">
        <v>3692.23</v>
      </c>
      <c r="O3957" s="549">
        <v>3968</v>
      </c>
      <c r="P3957" s="549">
        <v>100</v>
      </c>
      <c r="Q3957" s="549">
        <v>20273.95</v>
      </c>
    </row>
    <row r="3958" spans="1:17" x14ac:dyDescent="0.25">
      <c r="A3958" s="549" t="s">
        <v>1111</v>
      </c>
      <c r="B3958" s="549" t="s">
        <v>1112</v>
      </c>
      <c r="C3958" s="549" t="s">
        <v>843</v>
      </c>
      <c r="D3958" s="549" t="s">
        <v>844</v>
      </c>
      <c r="E3958" s="549" t="s">
        <v>977</v>
      </c>
      <c r="F3958" s="549" t="s">
        <v>1212</v>
      </c>
      <c r="G3958" s="549">
        <v>1522</v>
      </c>
      <c r="H3958" s="549" t="s">
        <v>843</v>
      </c>
      <c r="I3958" s="549" t="s">
        <v>976</v>
      </c>
      <c r="J3958" s="549" t="s">
        <v>976</v>
      </c>
      <c r="K3958" s="549" t="s">
        <v>976</v>
      </c>
      <c r="L3958" s="549">
        <v>167069.12</v>
      </c>
      <c r="M3958" s="549">
        <v>12613.72</v>
      </c>
      <c r="N3958" s="549">
        <v>3692.23</v>
      </c>
      <c r="O3958" s="549">
        <v>3968</v>
      </c>
      <c r="P3958" s="549">
        <v>100</v>
      </c>
      <c r="Q3958" s="549">
        <v>20273.95</v>
      </c>
    </row>
    <row r="3959" spans="1:17" x14ac:dyDescent="0.25">
      <c r="A3959" s="549" t="s">
        <v>1111</v>
      </c>
      <c r="B3959" s="549" t="s">
        <v>1112</v>
      </c>
      <c r="C3959" s="549" t="s">
        <v>843</v>
      </c>
      <c r="D3959" s="549" t="s">
        <v>844</v>
      </c>
      <c r="E3959" s="549" t="s">
        <v>977</v>
      </c>
      <c r="F3959" s="549" t="s">
        <v>1212</v>
      </c>
      <c r="G3959" s="549">
        <v>1527</v>
      </c>
      <c r="H3959" s="549" t="s">
        <v>843</v>
      </c>
      <c r="I3959" s="549" t="s">
        <v>976</v>
      </c>
      <c r="J3959" s="549" t="s">
        <v>976</v>
      </c>
      <c r="K3959" s="549" t="s">
        <v>976</v>
      </c>
      <c r="L3959" s="549">
        <v>22970.62</v>
      </c>
      <c r="M3959" s="549">
        <v>1734.28</v>
      </c>
      <c r="N3959" s="549">
        <v>507.65</v>
      </c>
      <c r="O3959" s="549">
        <v>992</v>
      </c>
      <c r="P3959" s="549">
        <v>99.97</v>
      </c>
      <c r="Q3959" s="549">
        <v>3232.96</v>
      </c>
    </row>
    <row r="3960" spans="1:17" x14ac:dyDescent="0.25">
      <c r="A3960" s="549" t="s">
        <v>1111</v>
      </c>
      <c r="B3960" s="549" t="s">
        <v>1112</v>
      </c>
      <c r="C3960" s="549" t="s">
        <v>843</v>
      </c>
      <c r="D3960" s="549" t="s">
        <v>844</v>
      </c>
      <c r="E3960" s="549" t="s">
        <v>977</v>
      </c>
      <c r="F3960" s="549" t="s">
        <v>1212</v>
      </c>
      <c r="G3960" s="549">
        <v>1532</v>
      </c>
      <c r="H3960" s="549" t="s">
        <v>843</v>
      </c>
      <c r="I3960" s="549" t="s">
        <v>976</v>
      </c>
      <c r="J3960" s="549" t="s">
        <v>976</v>
      </c>
      <c r="K3960" s="549" t="s">
        <v>976</v>
      </c>
      <c r="L3960" s="549">
        <v>167069.12</v>
      </c>
      <c r="M3960" s="549">
        <v>12613.72</v>
      </c>
      <c r="N3960" s="549">
        <v>3692.23</v>
      </c>
      <c r="O3960" s="549">
        <v>3968</v>
      </c>
      <c r="P3960" s="549">
        <v>100</v>
      </c>
      <c r="Q3960" s="549">
        <v>20273.95</v>
      </c>
    </row>
    <row r="3961" spans="1:17" x14ac:dyDescent="0.25">
      <c r="A3961" s="549" t="s">
        <v>1111</v>
      </c>
      <c r="B3961" s="549" t="s">
        <v>1112</v>
      </c>
      <c r="C3961" s="549" t="s">
        <v>843</v>
      </c>
      <c r="D3961" s="549" t="s">
        <v>844</v>
      </c>
      <c r="E3961" s="549" t="s">
        <v>977</v>
      </c>
      <c r="F3961" s="549" t="s">
        <v>1212</v>
      </c>
      <c r="G3961" s="549">
        <v>1542</v>
      </c>
      <c r="H3961" s="549" t="s">
        <v>843</v>
      </c>
      <c r="I3961" s="549" t="s">
        <v>976</v>
      </c>
      <c r="J3961" s="549" t="s">
        <v>976</v>
      </c>
      <c r="K3961" s="549" t="s">
        <v>976</v>
      </c>
      <c r="L3961" s="549">
        <v>167069.12</v>
      </c>
      <c r="M3961" s="549">
        <v>12613.72</v>
      </c>
      <c r="N3961" s="549">
        <v>3692.23</v>
      </c>
      <c r="O3961" s="549">
        <v>3968</v>
      </c>
      <c r="P3961" s="549">
        <v>100</v>
      </c>
      <c r="Q3961" s="549">
        <v>20273.95</v>
      </c>
    </row>
    <row r="3962" spans="1:17" x14ac:dyDescent="0.25">
      <c r="A3962" s="549" t="s">
        <v>1118</v>
      </c>
      <c r="B3962" s="549" t="s">
        <v>1119</v>
      </c>
      <c r="C3962" s="549" t="s">
        <v>871</v>
      </c>
      <c r="D3962" s="549" t="s">
        <v>872</v>
      </c>
      <c r="E3962" s="549" t="s">
        <v>977</v>
      </c>
      <c r="F3962" s="549" t="s">
        <v>1212</v>
      </c>
      <c r="G3962" s="549">
        <v>162</v>
      </c>
      <c r="H3962" s="549" t="s">
        <v>871</v>
      </c>
      <c r="I3962" s="549" t="s">
        <v>976</v>
      </c>
      <c r="J3962" s="549" t="s">
        <v>976</v>
      </c>
      <c r="K3962" s="549" t="s">
        <v>976</v>
      </c>
      <c r="L3962" s="549">
        <v>347493.52</v>
      </c>
      <c r="M3962" s="549">
        <v>26235.759999999998</v>
      </c>
      <c r="N3962" s="549">
        <v>7679.61</v>
      </c>
      <c r="O3962" s="549">
        <v>1984</v>
      </c>
      <c r="P3962" s="549">
        <v>100</v>
      </c>
      <c r="Q3962" s="549">
        <v>35899.370000000003</v>
      </c>
    </row>
    <row r="3963" spans="1:17" x14ac:dyDescent="0.25">
      <c r="A3963" s="549" t="s">
        <v>1111</v>
      </c>
      <c r="B3963" s="549" t="s">
        <v>1112</v>
      </c>
      <c r="C3963" s="549" t="s">
        <v>843</v>
      </c>
      <c r="D3963" s="549" t="s">
        <v>844</v>
      </c>
      <c r="E3963" s="549" t="s">
        <v>977</v>
      </c>
      <c r="F3963" s="549" t="s">
        <v>1212</v>
      </c>
      <c r="G3963" s="549">
        <v>1552</v>
      </c>
      <c r="H3963" s="549" t="s">
        <v>843</v>
      </c>
      <c r="I3963" s="549" t="s">
        <v>1310</v>
      </c>
      <c r="J3963" s="549" t="s">
        <v>1310</v>
      </c>
      <c r="K3963" s="549" t="s">
        <v>1310</v>
      </c>
      <c r="L3963" s="549">
        <v>0.04</v>
      </c>
      <c r="M3963" s="549">
        <v>0</v>
      </c>
      <c r="N3963" s="549">
        <v>0</v>
      </c>
      <c r="O3963" s="549">
        <v>0</v>
      </c>
      <c r="P3963" s="549">
        <v>100</v>
      </c>
      <c r="Q3963" s="549">
        <v>0</v>
      </c>
    </row>
    <row r="3964" spans="1:17" x14ac:dyDescent="0.25">
      <c r="A3964" s="549" t="s">
        <v>1111</v>
      </c>
      <c r="B3964" s="549" t="s">
        <v>1112</v>
      </c>
      <c r="C3964" s="549" t="s">
        <v>843</v>
      </c>
      <c r="D3964" s="549" t="s">
        <v>844</v>
      </c>
      <c r="E3964" s="549" t="s">
        <v>977</v>
      </c>
      <c r="F3964" s="549" t="s">
        <v>1212</v>
      </c>
      <c r="G3964" s="549">
        <v>1562</v>
      </c>
      <c r="H3964" s="549" t="s">
        <v>843</v>
      </c>
      <c r="I3964" s="549" t="s">
        <v>976</v>
      </c>
      <c r="J3964" s="549" t="s">
        <v>976</v>
      </c>
      <c r="K3964" s="549" t="s">
        <v>976</v>
      </c>
      <c r="L3964" s="549">
        <v>167069.12</v>
      </c>
      <c r="M3964" s="549">
        <v>12613.72</v>
      </c>
      <c r="N3964" s="549">
        <v>3692.23</v>
      </c>
      <c r="O3964" s="549">
        <v>3968</v>
      </c>
      <c r="P3964" s="549">
        <v>100</v>
      </c>
      <c r="Q3964" s="549">
        <v>20273.95</v>
      </c>
    </row>
    <row r="3965" spans="1:17" x14ac:dyDescent="0.25">
      <c r="A3965" s="549" t="s">
        <v>1111</v>
      </c>
      <c r="B3965" s="549" t="s">
        <v>1112</v>
      </c>
      <c r="C3965" s="549" t="s">
        <v>843</v>
      </c>
      <c r="D3965" s="549" t="s">
        <v>844</v>
      </c>
      <c r="E3965" s="549" t="s">
        <v>977</v>
      </c>
      <c r="F3965" s="549" t="s">
        <v>1212</v>
      </c>
      <c r="G3965" s="549">
        <v>1572</v>
      </c>
      <c r="H3965" s="549" t="s">
        <v>843</v>
      </c>
      <c r="I3965" s="549" t="s">
        <v>976</v>
      </c>
      <c r="J3965" s="549" t="s">
        <v>976</v>
      </c>
      <c r="K3965" s="549" t="s">
        <v>976</v>
      </c>
      <c r="L3965" s="549">
        <v>152241.45000000001</v>
      </c>
      <c r="M3965" s="549">
        <v>11494.23</v>
      </c>
      <c r="N3965" s="549">
        <v>3364.54</v>
      </c>
      <c r="O3965" s="549">
        <v>1984</v>
      </c>
      <c r="P3965" s="549">
        <v>99.97</v>
      </c>
      <c r="Q3965" s="549">
        <v>16837.72</v>
      </c>
    </row>
    <row r="3966" spans="1:17" x14ac:dyDescent="0.25">
      <c r="A3966" s="549" t="s">
        <v>1111</v>
      </c>
      <c r="B3966" s="549" t="s">
        <v>1112</v>
      </c>
      <c r="C3966" s="549" t="s">
        <v>843</v>
      </c>
      <c r="D3966" s="549" t="s">
        <v>844</v>
      </c>
      <c r="E3966" s="549" t="s">
        <v>977</v>
      </c>
      <c r="F3966" s="549" t="s">
        <v>1212</v>
      </c>
      <c r="G3966" s="549">
        <v>1582</v>
      </c>
      <c r="H3966" s="549" t="s">
        <v>843</v>
      </c>
      <c r="I3966" s="549" t="s">
        <v>976</v>
      </c>
      <c r="J3966" s="549" t="s">
        <v>976</v>
      </c>
      <c r="K3966" s="549" t="s">
        <v>976</v>
      </c>
      <c r="L3966" s="549">
        <v>167069.12</v>
      </c>
      <c r="M3966" s="549">
        <v>12613.72</v>
      </c>
      <c r="N3966" s="549">
        <v>3692.23</v>
      </c>
      <c r="O3966" s="549">
        <v>3968</v>
      </c>
      <c r="P3966" s="549">
        <v>100</v>
      </c>
      <c r="Q3966" s="549">
        <v>20273.95</v>
      </c>
    </row>
    <row r="3967" spans="1:17" x14ac:dyDescent="0.25">
      <c r="A3967" s="549" t="s">
        <v>1111</v>
      </c>
      <c r="B3967" s="549" t="s">
        <v>1112</v>
      </c>
      <c r="C3967" s="549" t="s">
        <v>843</v>
      </c>
      <c r="D3967" s="549" t="s">
        <v>844</v>
      </c>
      <c r="E3967" s="549" t="s">
        <v>977</v>
      </c>
      <c r="F3967" s="549" t="s">
        <v>1212</v>
      </c>
      <c r="G3967" s="549">
        <v>1592</v>
      </c>
      <c r="H3967" s="549" t="s">
        <v>843</v>
      </c>
      <c r="I3967" s="549" t="s">
        <v>976</v>
      </c>
      <c r="J3967" s="549" t="s">
        <v>976</v>
      </c>
      <c r="K3967" s="549" t="s">
        <v>976</v>
      </c>
      <c r="L3967" s="549">
        <v>152241.45000000001</v>
      </c>
      <c r="M3967" s="549">
        <v>11494.23</v>
      </c>
      <c r="N3967" s="549">
        <v>3364.54</v>
      </c>
      <c r="O3967" s="549">
        <v>1984</v>
      </c>
      <c r="P3967" s="549">
        <v>99.97</v>
      </c>
      <c r="Q3967" s="549">
        <v>16837.72</v>
      </c>
    </row>
    <row r="3968" spans="1:17" x14ac:dyDescent="0.25">
      <c r="A3968" s="549" t="s">
        <v>1111</v>
      </c>
      <c r="B3968" s="549" t="s">
        <v>1112</v>
      </c>
      <c r="C3968" s="549" t="s">
        <v>843</v>
      </c>
      <c r="D3968" s="549" t="s">
        <v>844</v>
      </c>
      <c r="E3968" s="549" t="s">
        <v>977</v>
      </c>
      <c r="F3968" s="549" t="s">
        <v>1212</v>
      </c>
      <c r="G3968" s="549">
        <v>1607</v>
      </c>
      <c r="H3968" s="549" t="s">
        <v>843</v>
      </c>
      <c r="I3968" s="549" t="s">
        <v>976</v>
      </c>
      <c r="J3968" s="549" t="s">
        <v>976</v>
      </c>
      <c r="K3968" s="549" t="s">
        <v>976</v>
      </c>
      <c r="L3968" s="549">
        <v>22970.62</v>
      </c>
      <c r="M3968" s="549">
        <v>1734.28</v>
      </c>
      <c r="N3968" s="549">
        <v>507.65</v>
      </c>
      <c r="O3968" s="549">
        <v>992</v>
      </c>
      <c r="P3968" s="549">
        <v>99.97</v>
      </c>
      <c r="Q3968" s="549">
        <v>3232.96</v>
      </c>
    </row>
    <row r="3969" spans="1:17" x14ac:dyDescent="0.25">
      <c r="A3969" s="549" t="s">
        <v>1118</v>
      </c>
      <c r="B3969" s="549" t="s">
        <v>1119</v>
      </c>
      <c r="C3969" s="549" t="s">
        <v>871</v>
      </c>
      <c r="D3969" s="549" t="s">
        <v>872</v>
      </c>
      <c r="E3969" s="549" t="s">
        <v>977</v>
      </c>
      <c r="F3969" s="549" t="s">
        <v>1212</v>
      </c>
      <c r="G3969" s="549">
        <v>122</v>
      </c>
      <c r="H3969" s="549" t="s">
        <v>871</v>
      </c>
      <c r="I3969" s="549" t="s">
        <v>976</v>
      </c>
      <c r="J3969" s="549" t="s">
        <v>976</v>
      </c>
      <c r="K3969" s="549" t="s">
        <v>976</v>
      </c>
      <c r="L3969" s="549">
        <v>347493.52</v>
      </c>
      <c r="M3969" s="549">
        <v>26235.759999999998</v>
      </c>
      <c r="N3969" s="549">
        <v>7679.61</v>
      </c>
      <c r="O3969" s="549">
        <v>1984</v>
      </c>
      <c r="P3969" s="549">
        <v>100</v>
      </c>
      <c r="Q3969" s="549">
        <v>35899.370000000003</v>
      </c>
    </row>
    <row r="3970" spans="1:17" x14ac:dyDescent="0.25">
      <c r="A3970" s="549" t="s">
        <v>1111</v>
      </c>
      <c r="B3970" s="549" t="s">
        <v>1112</v>
      </c>
      <c r="C3970" s="549" t="s">
        <v>843</v>
      </c>
      <c r="D3970" s="549" t="s">
        <v>844</v>
      </c>
      <c r="E3970" s="549" t="s">
        <v>977</v>
      </c>
      <c r="F3970" s="549" t="s">
        <v>1212</v>
      </c>
      <c r="G3970" s="549">
        <v>1622</v>
      </c>
      <c r="H3970" s="549" t="s">
        <v>843</v>
      </c>
      <c r="I3970" s="549" t="s">
        <v>976</v>
      </c>
      <c r="J3970" s="549" t="s">
        <v>976</v>
      </c>
      <c r="K3970" s="549" t="s">
        <v>976</v>
      </c>
      <c r="L3970" s="549">
        <v>167069.12</v>
      </c>
      <c r="M3970" s="549">
        <v>12613.72</v>
      </c>
      <c r="N3970" s="549">
        <v>3692.23</v>
      </c>
      <c r="O3970" s="549">
        <v>3968</v>
      </c>
      <c r="P3970" s="549">
        <v>100</v>
      </c>
      <c r="Q3970" s="549">
        <v>20273.95</v>
      </c>
    </row>
    <row r="3971" spans="1:17" x14ac:dyDescent="0.25">
      <c r="A3971" s="549" t="s">
        <v>1111</v>
      </c>
      <c r="B3971" s="549" t="s">
        <v>1112</v>
      </c>
      <c r="C3971" s="549" t="s">
        <v>843</v>
      </c>
      <c r="D3971" s="549" t="s">
        <v>844</v>
      </c>
      <c r="E3971" s="549" t="s">
        <v>977</v>
      </c>
      <c r="F3971" s="549" t="s">
        <v>1212</v>
      </c>
      <c r="G3971" s="549">
        <v>1647</v>
      </c>
      <c r="H3971" s="549" t="s">
        <v>843</v>
      </c>
      <c r="I3971" s="549" t="s">
        <v>976</v>
      </c>
      <c r="J3971" s="549" t="s">
        <v>976</v>
      </c>
      <c r="K3971" s="549" t="s">
        <v>976</v>
      </c>
      <c r="L3971" s="549">
        <v>22970.62</v>
      </c>
      <c r="M3971" s="549">
        <v>1734.28</v>
      </c>
      <c r="N3971" s="549">
        <v>507.65</v>
      </c>
      <c r="O3971" s="549">
        <v>992</v>
      </c>
      <c r="P3971" s="549">
        <v>99.97</v>
      </c>
      <c r="Q3971" s="549">
        <v>3232.96</v>
      </c>
    </row>
    <row r="3972" spans="1:17" x14ac:dyDescent="0.25">
      <c r="A3972" s="549" t="s">
        <v>1118</v>
      </c>
      <c r="B3972" s="549" t="s">
        <v>1119</v>
      </c>
      <c r="C3972" s="549" t="s">
        <v>861</v>
      </c>
      <c r="D3972" s="549" t="s">
        <v>862</v>
      </c>
      <c r="E3972" s="549" t="s">
        <v>977</v>
      </c>
      <c r="F3972" s="549" t="s">
        <v>1212</v>
      </c>
      <c r="G3972" s="549" t="s">
        <v>1517</v>
      </c>
      <c r="H3972" s="549" t="s">
        <v>861</v>
      </c>
      <c r="I3972" s="549" t="s">
        <v>976</v>
      </c>
      <c r="J3972" s="549" t="s">
        <v>976</v>
      </c>
      <c r="K3972" s="549" t="s">
        <v>976</v>
      </c>
      <c r="L3972" s="549">
        <v>49288.68</v>
      </c>
      <c r="M3972" s="549">
        <v>3721.3</v>
      </c>
      <c r="N3972" s="549">
        <v>1089.28</v>
      </c>
      <c r="O3972" s="549">
        <v>0</v>
      </c>
      <c r="P3972" s="549">
        <v>100</v>
      </c>
      <c r="Q3972" s="549">
        <v>4810.58</v>
      </c>
    </row>
    <row r="3973" spans="1:17" x14ac:dyDescent="0.25">
      <c r="A3973" s="549" t="s">
        <v>1118</v>
      </c>
      <c r="B3973" s="549" t="s">
        <v>1119</v>
      </c>
      <c r="C3973" s="549" t="s">
        <v>861</v>
      </c>
      <c r="D3973" s="549" t="s">
        <v>862</v>
      </c>
      <c r="E3973" s="549" t="s">
        <v>977</v>
      </c>
      <c r="F3973" s="549" t="s">
        <v>1212</v>
      </c>
      <c r="G3973" s="549" t="s">
        <v>1518</v>
      </c>
      <c r="H3973" s="549" t="s">
        <v>861</v>
      </c>
      <c r="I3973" s="549" t="s">
        <v>976</v>
      </c>
      <c r="J3973" s="549" t="s">
        <v>976</v>
      </c>
      <c r="K3973" s="549" t="s">
        <v>976</v>
      </c>
      <c r="L3973" s="549">
        <v>49288.68</v>
      </c>
      <c r="M3973" s="549">
        <v>3721.3</v>
      </c>
      <c r="N3973" s="549">
        <v>1089.28</v>
      </c>
      <c r="O3973" s="549">
        <v>0</v>
      </c>
      <c r="P3973" s="549">
        <v>100</v>
      </c>
      <c r="Q3973" s="549">
        <v>4810.58</v>
      </c>
    </row>
    <row r="3974" spans="1:17" x14ac:dyDescent="0.25">
      <c r="A3974" s="549" t="s">
        <v>1118</v>
      </c>
      <c r="B3974" s="549" t="s">
        <v>1119</v>
      </c>
      <c r="C3974" s="549" t="s">
        <v>861</v>
      </c>
      <c r="D3974" s="549" t="s">
        <v>862</v>
      </c>
      <c r="E3974" s="549" t="s">
        <v>977</v>
      </c>
      <c r="F3974" s="549" t="s">
        <v>1212</v>
      </c>
      <c r="G3974" s="549" t="s">
        <v>1418</v>
      </c>
      <c r="H3974" s="549" t="s">
        <v>861</v>
      </c>
      <c r="I3974" s="549" t="s">
        <v>976</v>
      </c>
      <c r="J3974" s="549" t="s">
        <v>976</v>
      </c>
      <c r="K3974" s="549" t="s">
        <v>976</v>
      </c>
      <c r="L3974" s="549">
        <v>20755.88</v>
      </c>
      <c r="M3974" s="549">
        <v>1567.07</v>
      </c>
      <c r="N3974" s="549">
        <v>458.7</v>
      </c>
      <c r="O3974" s="549">
        <v>0</v>
      </c>
      <c r="P3974" s="549">
        <v>100</v>
      </c>
      <c r="Q3974" s="549">
        <v>2025.77</v>
      </c>
    </row>
    <row r="3975" spans="1:17" x14ac:dyDescent="0.25">
      <c r="A3975" s="549" t="s">
        <v>1118</v>
      </c>
      <c r="B3975" s="549" t="s">
        <v>1119</v>
      </c>
      <c r="C3975" s="549" t="s">
        <v>861</v>
      </c>
      <c r="D3975" s="549" t="s">
        <v>862</v>
      </c>
      <c r="E3975" s="549" t="s">
        <v>977</v>
      </c>
      <c r="F3975" s="549" t="s">
        <v>1212</v>
      </c>
      <c r="G3975" s="549" t="s">
        <v>1277</v>
      </c>
      <c r="H3975" s="549" t="s">
        <v>861</v>
      </c>
      <c r="I3975" s="549" t="s">
        <v>976</v>
      </c>
      <c r="J3975" s="549" t="s">
        <v>976</v>
      </c>
      <c r="K3975" s="549" t="s">
        <v>976</v>
      </c>
      <c r="L3975" s="549">
        <v>20755.88</v>
      </c>
      <c r="M3975" s="549">
        <v>1567.07</v>
      </c>
      <c r="N3975" s="549">
        <v>458.7</v>
      </c>
      <c r="O3975" s="549">
        <v>0</v>
      </c>
      <c r="P3975" s="549">
        <v>100</v>
      </c>
      <c r="Q3975" s="549">
        <v>2025.77</v>
      </c>
    </row>
    <row r="3976" spans="1:17" x14ac:dyDescent="0.25">
      <c r="A3976" s="549" t="s">
        <v>1118</v>
      </c>
      <c r="B3976" s="549" t="s">
        <v>1119</v>
      </c>
      <c r="C3976" s="549" t="s">
        <v>861</v>
      </c>
      <c r="D3976" s="549" t="s">
        <v>862</v>
      </c>
      <c r="E3976" s="549" t="s">
        <v>977</v>
      </c>
      <c r="F3976" s="549" t="s">
        <v>1212</v>
      </c>
      <c r="G3976" s="549" t="s">
        <v>1519</v>
      </c>
      <c r="H3976" s="549" t="s">
        <v>861</v>
      </c>
      <c r="I3976" s="549" t="s">
        <v>976</v>
      </c>
      <c r="J3976" s="549" t="s">
        <v>976</v>
      </c>
      <c r="K3976" s="549" t="s">
        <v>976</v>
      </c>
      <c r="L3976" s="549">
        <v>39670.44</v>
      </c>
      <c r="M3976" s="549">
        <v>2995.12</v>
      </c>
      <c r="N3976" s="549">
        <v>876.72</v>
      </c>
      <c r="O3976" s="549">
        <v>1984</v>
      </c>
      <c r="P3976" s="549">
        <v>100</v>
      </c>
      <c r="Q3976" s="549">
        <v>5855.84</v>
      </c>
    </row>
    <row r="3977" spans="1:17" x14ac:dyDescent="0.25">
      <c r="A3977" s="549" t="s">
        <v>1118</v>
      </c>
      <c r="B3977" s="549" t="s">
        <v>1119</v>
      </c>
      <c r="C3977" s="549" t="s">
        <v>861</v>
      </c>
      <c r="D3977" s="549" t="s">
        <v>862</v>
      </c>
      <c r="E3977" s="549" t="s">
        <v>977</v>
      </c>
      <c r="F3977" s="549" t="s">
        <v>1212</v>
      </c>
      <c r="G3977" s="549">
        <v>292</v>
      </c>
      <c r="H3977" s="549" t="s">
        <v>861</v>
      </c>
      <c r="I3977" s="549" t="s">
        <v>976</v>
      </c>
      <c r="J3977" s="549" t="s">
        <v>976</v>
      </c>
      <c r="K3977" s="549" t="s">
        <v>976</v>
      </c>
      <c r="L3977" s="549">
        <v>168482.88</v>
      </c>
      <c r="M3977" s="549">
        <v>12720.46</v>
      </c>
      <c r="N3977" s="549">
        <v>3723.47</v>
      </c>
      <c r="O3977" s="549">
        <v>3968</v>
      </c>
      <c r="P3977" s="549">
        <v>100</v>
      </c>
      <c r="Q3977" s="549">
        <v>20411.93</v>
      </c>
    </row>
    <row r="3978" spans="1:17" x14ac:dyDescent="0.25">
      <c r="A3978" s="549" t="s">
        <v>1118</v>
      </c>
      <c r="B3978" s="549" t="s">
        <v>1119</v>
      </c>
      <c r="C3978" s="549" t="s">
        <v>861</v>
      </c>
      <c r="D3978" s="549" t="s">
        <v>862</v>
      </c>
      <c r="E3978" s="549" t="s">
        <v>977</v>
      </c>
      <c r="F3978" s="549" t="s">
        <v>1212</v>
      </c>
      <c r="G3978" s="549">
        <v>282</v>
      </c>
      <c r="H3978" s="549" t="s">
        <v>861</v>
      </c>
      <c r="I3978" s="549" t="s">
        <v>976</v>
      </c>
      <c r="J3978" s="549" t="s">
        <v>976</v>
      </c>
      <c r="K3978" s="549" t="s">
        <v>976</v>
      </c>
      <c r="L3978" s="549">
        <v>153529.74</v>
      </c>
      <c r="M3978" s="549">
        <v>11591.5</v>
      </c>
      <c r="N3978" s="549">
        <v>3393.01</v>
      </c>
      <c r="O3978" s="549">
        <v>1984</v>
      </c>
      <c r="P3978" s="549">
        <v>100</v>
      </c>
      <c r="Q3978" s="549">
        <v>16968.509999999998</v>
      </c>
    </row>
    <row r="3979" spans="1:17" x14ac:dyDescent="0.25">
      <c r="A3979" s="549" t="s">
        <v>1118</v>
      </c>
      <c r="B3979" s="549" t="s">
        <v>1119</v>
      </c>
      <c r="C3979" s="549" t="s">
        <v>861</v>
      </c>
      <c r="D3979" s="549" t="s">
        <v>862</v>
      </c>
      <c r="E3979" s="549" t="s">
        <v>977</v>
      </c>
      <c r="F3979" s="549" t="s">
        <v>1212</v>
      </c>
      <c r="G3979" s="549">
        <v>277</v>
      </c>
      <c r="H3979" s="549" t="s">
        <v>861</v>
      </c>
      <c r="I3979" s="549" t="s">
        <v>976</v>
      </c>
      <c r="J3979" s="549" t="s">
        <v>976</v>
      </c>
      <c r="K3979" s="549" t="s">
        <v>976</v>
      </c>
      <c r="L3979" s="549">
        <v>23164.92</v>
      </c>
      <c r="M3979" s="549">
        <v>1748.95</v>
      </c>
      <c r="N3979" s="549">
        <v>511.94</v>
      </c>
      <c r="O3979" s="549">
        <v>992</v>
      </c>
      <c r="P3979" s="549">
        <v>100</v>
      </c>
      <c r="Q3979" s="549">
        <v>3252.89</v>
      </c>
    </row>
    <row r="3980" spans="1:17" x14ac:dyDescent="0.25">
      <c r="A3980" s="549" t="s">
        <v>1118</v>
      </c>
      <c r="B3980" s="549" t="s">
        <v>1119</v>
      </c>
      <c r="C3980" s="549" t="s">
        <v>861</v>
      </c>
      <c r="D3980" s="549" t="s">
        <v>862</v>
      </c>
      <c r="E3980" s="549" t="s">
        <v>977</v>
      </c>
      <c r="F3980" s="549" t="s">
        <v>1212</v>
      </c>
      <c r="G3980" s="549">
        <v>222</v>
      </c>
      <c r="H3980" s="549" t="s">
        <v>861</v>
      </c>
      <c r="I3980" s="549" t="s">
        <v>976</v>
      </c>
      <c r="J3980" s="549" t="s">
        <v>976</v>
      </c>
      <c r="K3980" s="549" t="s">
        <v>976</v>
      </c>
      <c r="L3980" s="549">
        <v>153529.74</v>
      </c>
      <c r="M3980" s="549">
        <v>11591.5</v>
      </c>
      <c r="N3980" s="549">
        <v>3393.01</v>
      </c>
      <c r="O3980" s="549">
        <v>1984</v>
      </c>
      <c r="P3980" s="549">
        <v>100</v>
      </c>
      <c r="Q3980" s="549">
        <v>16968.509999999998</v>
      </c>
    </row>
    <row r="3981" spans="1:17" x14ac:dyDescent="0.25">
      <c r="A3981" s="549" t="s">
        <v>1118</v>
      </c>
      <c r="B3981" s="549" t="s">
        <v>1119</v>
      </c>
      <c r="C3981" s="549" t="s">
        <v>861</v>
      </c>
      <c r="D3981" s="549" t="s">
        <v>862</v>
      </c>
      <c r="E3981" s="549" t="s">
        <v>977</v>
      </c>
      <c r="F3981" s="549" t="s">
        <v>1212</v>
      </c>
      <c r="G3981" s="549">
        <v>212</v>
      </c>
      <c r="H3981" s="549" t="s">
        <v>861</v>
      </c>
      <c r="I3981" s="549" t="s">
        <v>976</v>
      </c>
      <c r="J3981" s="549" t="s">
        <v>976</v>
      </c>
      <c r="K3981" s="549" t="s">
        <v>976</v>
      </c>
      <c r="L3981" s="549">
        <v>168482.88</v>
      </c>
      <c r="M3981" s="549">
        <v>12720.46</v>
      </c>
      <c r="N3981" s="549">
        <v>3723.47</v>
      </c>
      <c r="O3981" s="549">
        <v>3968</v>
      </c>
      <c r="P3981" s="549">
        <v>100</v>
      </c>
      <c r="Q3981" s="549">
        <v>20411.93</v>
      </c>
    </row>
    <row r="3982" spans="1:17" x14ac:dyDescent="0.25">
      <c r="A3982" s="549" t="s">
        <v>1118</v>
      </c>
      <c r="B3982" s="549" t="s">
        <v>1119</v>
      </c>
      <c r="C3982" s="549" t="s">
        <v>861</v>
      </c>
      <c r="D3982" s="549" t="s">
        <v>862</v>
      </c>
      <c r="E3982" s="549" t="s">
        <v>977</v>
      </c>
      <c r="F3982" s="549" t="s">
        <v>1212</v>
      </c>
      <c r="G3982" s="549">
        <v>92</v>
      </c>
      <c r="H3982" s="549" t="s">
        <v>861</v>
      </c>
      <c r="I3982" s="549" t="s">
        <v>976</v>
      </c>
      <c r="J3982" s="549" t="s">
        <v>976</v>
      </c>
      <c r="K3982" s="549" t="s">
        <v>976</v>
      </c>
      <c r="L3982" s="549">
        <v>347493.52</v>
      </c>
      <c r="M3982" s="549">
        <v>26235.759999999998</v>
      </c>
      <c r="N3982" s="549">
        <v>7679.61</v>
      </c>
      <c r="O3982" s="549">
        <v>1984</v>
      </c>
      <c r="P3982" s="549">
        <v>100</v>
      </c>
      <c r="Q3982" s="549">
        <v>35899.370000000003</v>
      </c>
    </row>
    <row r="3983" spans="1:17" x14ac:dyDescent="0.25">
      <c r="A3983" s="549" t="s">
        <v>1118</v>
      </c>
      <c r="B3983" s="549" t="s">
        <v>1119</v>
      </c>
      <c r="C3983" s="549" t="s">
        <v>861</v>
      </c>
      <c r="D3983" s="549" t="s">
        <v>862</v>
      </c>
      <c r="E3983" s="549" t="s">
        <v>977</v>
      </c>
      <c r="F3983" s="549" t="s">
        <v>1212</v>
      </c>
      <c r="G3983" s="549">
        <v>82</v>
      </c>
      <c r="H3983" s="549" t="s">
        <v>861</v>
      </c>
      <c r="I3983" s="549" t="s">
        <v>976</v>
      </c>
      <c r="J3983" s="549" t="s">
        <v>976</v>
      </c>
      <c r="K3983" s="549" t="s">
        <v>976</v>
      </c>
      <c r="L3983" s="549">
        <v>347493.52</v>
      </c>
      <c r="M3983" s="549">
        <v>26235.759999999998</v>
      </c>
      <c r="N3983" s="549">
        <v>7679.61</v>
      </c>
      <c r="O3983" s="549">
        <v>1984</v>
      </c>
      <c r="P3983" s="549">
        <v>100</v>
      </c>
      <c r="Q3983" s="549">
        <v>35899.370000000003</v>
      </c>
    </row>
    <row r="3984" spans="1:17" x14ac:dyDescent="0.25">
      <c r="A3984" s="549" t="s">
        <v>1118</v>
      </c>
      <c r="B3984" s="549" t="s">
        <v>1119</v>
      </c>
      <c r="C3984" s="549" t="s">
        <v>857</v>
      </c>
      <c r="D3984" s="549" t="s">
        <v>858</v>
      </c>
      <c r="E3984" s="549" t="s">
        <v>977</v>
      </c>
      <c r="F3984" s="549" t="s">
        <v>1212</v>
      </c>
      <c r="G3984" s="549" t="s">
        <v>1512</v>
      </c>
      <c r="H3984" s="549" t="s">
        <v>871</v>
      </c>
      <c r="I3984" s="549" t="s">
        <v>976</v>
      </c>
      <c r="J3984" s="549" t="s">
        <v>976</v>
      </c>
      <c r="K3984" s="549" t="s">
        <v>976</v>
      </c>
      <c r="L3984" s="549">
        <v>16789.599999999999</v>
      </c>
      <c r="M3984" s="549">
        <v>1267.6099999999999</v>
      </c>
      <c r="N3984" s="549">
        <v>371.05</v>
      </c>
      <c r="O3984" s="549">
        <v>0</v>
      </c>
      <c r="P3984" s="549">
        <v>0</v>
      </c>
      <c r="Q3984" s="549">
        <v>0</v>
      </c>
    </row>
    <row r="3985" spans="1:17" x14ac:dyDescent="0.25">
      <c r="A3985" s="549" t="s">
        <v>1118</v>
      </c>
      <c r="B3985" s="549" t="s">
        <v>1119</v>
      </c>
      <c r="C3985" s="549" t="s">
        <v>857</v>
      </c>
      <c r="D3985" s="549" t="s">
        <v>858</v>
      </c>
      <c r="E3985" s="549" t="s">
        <v>977</v>
      </c>
      <c r="F3985" s="549" t="s">
        <v>1212</v>
      </c>
      <c r="G3985" s="549" t="s">
        <v>1457</v>
      </c>
      <c r="H3985" s="549" t="s">
        <v>871</v>
      </c>
      <c r="I3985" s="549" t="s">
        <v>976</v>
      </c>
      <c r="J3985" s="549" t="s">
        <v>976</v>
      </c>
      <c r="K3985" s="549" t="s">
        <v>976</v>
      </c>
      <c r="L3985" s="549">
        <v>16789.599999999999</v>
      </c>
      <c r="M3985" s="549">
        <v>1267.6099999999999</v>
      </c>
      <c r="N3985" s="549">
        <v>371.05</v>
      </c>
      <c r="O3985" s="549">
        <v>0</v>
      </c>
      <c r="P3985" s="549">
        <v>0</v>
      </c>
      <c r="Q3985" s="549">
        <v>0</v>
      </c>
    </row>
    <row r="3986" spans="1:17" x14ac:dyDescent="0.25">
      <c r="A3986" s="549" t="s">
        <v>1118</v>
      </c>
      <c r="B3986" s="549" t="s">
        <v>1119</v>
      </c>
      <c r="C3986" s="549" t="s">
        <v>857</v>
      </c>
      <c r="D3986" s="549" t="s">
        <v>858</v>
      </c>
      <c r="E3986" s="549" t="s">
        <v>977</v>
      </c>
      <c r="F3986" s="549" t="s">
        <v>1212</v>
      </c>
      <c r="G3986" s="549">
        <v>367</v>
      </c>
      <c r="H3986" s="549" t="s">
        <v>871</v>
      </c>
      <c r="I3986" s="549" t="s">
        <v>976</v>
      </c>
      <c r="J3986" s="549" t="s">
        <v>976</v>
      </c>
      <c r="K3986" s="549" t="s">
        <v>976</v>
      </c>
      <c r="L3986" s="549">
        <v>18738.349999999999</v>
      </c>
      <c r="M3986" s="549">
        <v>1414.75</v>
      </c>
      <c r="N3986" s="549">
        <v>414.12</v>
      </c>
      <c r="O3986" s="549">
        <v>992</v>
      </c>
      <c r="P3986" s="549">
        <v>0</v>
      </c>
      <c r="Q3986" s="549">
        <v>0</v>
      </c>
    </row>
    <row r="3987" spans="1:17" x14ac:dyDescent="0.25">
      <c r="A3987" s="549" t="s">
        <v>1118</v>
      </c>
      <c r="B3987" s="549" t="s">
        <v>1119</v>
      </c>
      <c r="C3987" s="549" t="s">
        <v>857</v>
      </c>
      <c r="D3987" s="549" t="s">
        <v>858</v>
      </c>
      <c r="E3987" s="549" t="s">
        <v>977</v>
      </c>
      <c r="F3987" s="549" t="s">
        <v>1212</v>
      </c>
      <c r="G3987" s="549">
        <v>327</v>
      </c>
      <c r="H3987" s="549" t="s">
        <v>871</v>
      </c>
      <c r="I3987" s="549" t="s">
        <v>976</v>
      </c>
      <c r="J3987" s="549" t="s">
        <v>976</v>
      </c>
      <c r="K3987" s="549" t="s">
        <v>976</v>
      </c>
      <c r="L3987" s="549">
        <v>32089.73</v>
      </c>
      <c r="M3987" s="549">
        <v>2422.77</v>
      </c>
      <c r="N3987" s="549">
        <v>709.18</v>
      </c>
      <c r="O3987" s="549">
        <v>992</v>
      </c>
      <c r="P3987" s="549">
        <v>0</v>
      </c>
      <c r="Q3987" s="549">
        <v>0</v>
      </c>
    </row>
    <row r="3988" spans="1:17" x14ac:dyDescent="0.25">
      <c r="A3988" s="549" t="s">
        <v>1118</v>
      </c>
      <c r="B3988" s="549" t="s">
        <v>1119</v>
      </c>
      <c r="C3988" s="549" t="s">
        <v>857</v>
      </c>
      <c r="D3988" s="549" t="s">
        <v>858</v>
      </c>
      <c r="E3988" s="549" t="s">
        <v>977</v>
      </c>
      <c r="F3988" s="549" t="s">
        <v>1212</v>
      </c>
      <c r="G3988" s="549">
        <v>287</v>
      </c>
      <c r="H3988" s="549" t="s">
        <v>871</v>
      </c>
      <c r="I3988" s="549" t="s">
        <v>976</v>
      </c>
      <c r="J3988" s="549" t="s">
        <v>976</v>
      </c>
      <c r="K3988" s="549" t="s">
        <v>976</v>
      </c>
      <c r="L3988" s="549">
        <v>18738.349999999999</v>
      </c>
      <c r="M3988" s="549">
        <v>1414.75</v>
      </c>
      <c r="N3988" s="549">
        <v>414.12</v>
      </c>
      <c r="O3988" s="549">
        <v>992</v>
      </c>
      <c r="P3988" s="549">
        <v>0</v>
      </c>
      <c r="Q3988" s="549">
        <v>0</v>
      </c>
    </row>
    <row r="3989" spans="1:17" x14ac:dyDescent="0.25">
      <c r="A3989" s="549" t="s">
        <v>1111</v>
      </c>
      <c r="B3989" s="549" t="s">
        <v>1112</v>
      </c>
      <c r="C3989" s="549" t="s">
        <v>843</v>
      </c>
      <c r="D3989" s="549" t="s">
        <v>844</v>
      </c>
      <c r="E3989" s="549" t="s">
        <v>977</v>
      </c>
      <c r="F3989" s="549" t="s">
        <v>1212</v>
      </c>
      <c r="G3989" s="549">
        <v>2012</v>
      </c>
      <c r="H3989" s="549" t="s">
        <v>843</v>
      </c>
      <c r="I3989" s="549" t="s">
        <v>976</v>
      </c>
      <c r="J3989" s="549" t="s">
        <v>976</v>
      </c>
      <c r="K3989" s="549" t="s">
        <v>976</v>
      </c>
      <c r="L3989" s="549">
        <v>57492.93</v>
      </c>
      <c r="M3989" s="549">
        <v>4340.72</v>
      </c>
      <c r="N3989" s="549">
        <v>1270.5899999999999</v>
      </c>
      <c r="O3989" s="549">
        <v>992</v>
      </c>
      <c r="P3989" s="549">
        <v>100</v>
      </c>
      <c r="Q3989" s="549">
        <v>6603.31</v>
      </c>
    </row>
    <row r="3990" spans="1:17" x14ac:dyDescent="0.25">
      <c r="A3990" s="549" t="s">
        <v>1111</v>
      </c>
      <c r="B3990" s="549" t="s">
        <v>1112</v>
      </c>
      <c r="C3990" s="549" t="s">
        <v>843</v>
      </c>
      <c r="D3990" s="549" t="s">
        <v>844</v>
      </c>
      <c r="E3990" s="549" t="s">
        <v>977</v>
      </c>
      <c r="F3990" s="549" t="s">
        <v>1212</v>
      </c>
      <c r="G3990" s="549">
        <v>2022</v>
      </c>
      <c r="H3990" s="549" t="s">
        <v>843</v>
      </c>
      <c r="I3990" s="549" t="s">
        <v>976</v>
      </c>
      <c r="J3990" s="549" t="s">
        <v>976</v>
      </c>
      <c r="K3990" s="549" t="s">
        <v>976</v>
      </c>
      <c r="L3990" s="549">
        <v>56675.98</v>
      </c>
      <c r="M3990" s="549">
        <v>4279.04</v>
      </c>
      <c r="N3990" s="549">
        <v>1252.54</v>
      </c>
      <c r="O3990" s="549">
        <v>992</v>
      </c>
      <c r="P3990" s="549">
        <v>100</v>
      </c>
      <c r="Q3990" s="549">
        <v>6523.58</v>
      </c>
    </row>
    <row r="3991" spans="1:17" x14ac:dyDescent="0.25">
      <c r="A3991" s="549" t="s">
        <v>1111</v>
      </c>
      <c r="B3991" s="549" t="s">
        <v>1112</v>
      </c>
      <c r="C3991" s="549" t="s">
        <v>843</v>
      </c>
      <c r="D3991" s="549" t="s">
        <v>844</v>
      </c>
      <c r="E3991" s="549" t="s">
        <v>977</v>
      </c>
      <c r="F3991" s="549" t="s">
        <v>1212</v>
      </c>
      <c r="G3991" s="549">
        <v>2032</v>
      </c>
      <c r="H3991" s="549" t="s">
        <v>843</v>
      </c>
      <c r="I3991" s="549" t="s">
        <v>1310</v>
      </c>
      <c r="J3991" s="549" t="s">
        <v>1310</v>
      </c>
      <c r="K3991" s="549" t="s">
        <v>1310</v>
      </c>
      <c r="L3991" s="549">
        <v>0.02</v>
      </c>
      <c r="M3991" s="549">
        <v>0</v>
      </c>
      <c r="N3991" s="549">
        <v>0</v>
      </c>
      <c r="O3991" s="549">
        <v>0</v>
      </c>
      <c r="P3991" s="549">
        <v>99.97</v>
      </c>
      <c r="Q3991" s="549">
        <v>0</v>
      </c>
    </row>
    <row r="3992" spans="1:17" x14ac:dyDescent="0.25">
      <c r="A3992" s="549" t="s">
        <v>1111</v>
      </c>
      <c r="B3992" s="549" t="s">
        <v>1112</v>
      </c>
      <c r="C3992" s="549" t="s">
        <v>843</v>
      </c>
      <c r="D3992" s="549" t="s">
        <v>844</v>
      </c>
      <c r="E3992" s="549" t="s">
        <v>977</v>
      </c>
      <c r="F3992" s="549" t="s">
        <v>1212</v>
      </c>
      <c r="G3992" s="549">
        <v>2042</v>
      </c>
      <c r="H3992" s="549" t="s">
        <v>843</v>
      </c>
      <c r="I3992" s="549" t="s">
        <v>976</v>
      </c>
      <c r="J3992" s="549" t="s">
        <v>976</v>
      </c>
      <c r="K3992" s="549" t="s">
        <v>976</v>
      </c>
      <c r="L3992" s="549">
        <v>56675.98</v>
      </c>
      <c r="M3992" s="549">
        <v>4279.04</v>
      </c>
      <c r="N3992" s="549">
        <v>1252.54</v>
      </c>
      <c r="O3992" s="549">
        <v>992</v>
      </c>
      <c r="P3992" s="549">
        <v>100</v>
      </c>
      <c r="Q3992" s="549">
        <v>6523.58</v>
      </c>
    </row>
    <row r="3993" spans="1:17" x14ac:dyDescent="0.25">
      <c r="A3993" s="549" t="s">
        <v>1111</v>
      </c>
      <c r="B3993" s="549" t="s">
        <v>1112</v>
      </c>
      <c r="C3993" s="549" t="s">
        <v>843</v>
      </c>
      <c r="D3993" s="549" t="s">
        <v>844</v>
      </c>
      <c r="E3993" s="549" t="s">
        <v>977</v>
      </c>
      <c r="F3993" s="549" t="s">
        <v>1212</v>
      </c>
      <c r="G3993" s="549">
        <v>2058</v>
      </c>
      <c r="H3993" s="549" t="s">
        <v>843</v>
      </c>
      <c r="I3993" s="549" t="s">
        <v>976</v>
      </c>
      <c r="J3993" s="549" t="s">
        <v>976</v>
      </c>
      <c r="K3993" s="549" t="s">
        <v>976</v>
      </c>
      <c r="L3993" s="549">
        <v>59671.47</v>
      </c>
      <c r="M3993" s="549">
        <v>4505.2</v>
      </c>
      <c r="N3993" s="549">
        <v>1318.74</v>
      </c>
      <c r="O3993" s="549">
        <v>992</v>
      </c>
      <c r="P3993" s="549">
        <v>100</v>
      </c>
      <c r="Q3993" s="549">
        <v>6815.94</v>
      </c>
    </row>
    <row r="3994" spans="1:17" x14ac:dyDescent="0.25">
      <c r="A3994" s="549" t="s">
        <v>1111</v>
      </c>
      <c r="B3994" s="549" t="s">
        <v>1112</v>
      </c>
      <c r="C3994" s="549" t="s">
        <v>843</v>
      </c>
      <c r="D3994" s="549" t="s">
        <v>844</v>
      </c>
      <c r="E3994" s="549" t="s">
        <v>977</v>
      </c>
      <c r="F3994" s="549" t="s">
        <v>1212</v>
      </c>
      <c r="G3994" s="549">
        <v>2062</v>
      </c>
      <c r="H3994" s="549" t="s">
        <v>843</v>
      </c>
      <c r="I3994" s="549" t="s">
        <v>1310</v>
      </c>
      <c r="J3994" s="549" t="s">
        <v>1310</v>
      </c>
      <c r="K3994" s="549" t="s">
        <v>1310</v>
      </c>
      <c r="L3994" s="549">
        <v>0.02</v>
      </c>
      <c r="M3994" s="549">
        <v>0</v>
      </c>
      <c r="N3994" s="549">
        <v>0</v>
      </c>
      <c r="O3994" s="549">
        <v>0</v>
      </c>
      <c r="P3994" s="549">
        <v>100</v>
      </c>
      <c r="Q3994" s="549">
        <v>0</v>
      </c>
    </row>
    <row r="3995" spans="1:17" x14ac:dyDescent="0.25">
      <c r="A3995" s="549" t="s">
        <v>1111</v>
      </c>
      <c r="B3995" s="549" t="s">
        <v>1112</v>
      </c>
      <c r="C3995" s="549" t="s">
        <v>843</v>
      </c>
      <c r="D3995" s="549" t="s">
        <v>844</v>
      </c>
      <c r="E3995" s="549" t="s">
        <v>977</v>
      </c>
      <c r="F3995" s="549" t="s">
        <v>1212</v>
      </c>
      <c r="G3995" s="549">
        <v>2072</v>
      </c>
      <c r="H3995" s="549" t="s">
        <v>843</v>
      </c>
      <c r="I3995" s="549" t="s">
        <v>976</v>
      </c>
      <c r="J3995" s="549" t="s">
        <v>976</v>
      </c>
      <c r="K3995" s="549" t="s">
        <v>976</v>
      </c>
      <c r="L3995" s="549">
        <v>57492.93</v>
      </c>
      <c r="M3995" s="549">
        <v>4340.72</v>
      </c>
      <c r="N3995" s="549">
        <v>1270.5899999999999</v>
      </c>
      <c r="O3995" s="549">
        <v>992</v>
      </c>
      <c r="P3995" s="549">
        <v>100</v>
      </c>
      <c r="Q3995" s="549">
        <v>6603.31</v>
      </c>
    </row>
    <row r="3996" spans="1:17" x14ac:dyDescent="0.25">
      <c r="A3996" s="549" t="s">
        <v>1111</v>
      </c>
      <c r="B3996" s="549" t="s">
        <v>1112</v>
      </c>
      <c r="C3996" s="549" t="s">
        <v>843</v>
      </c>
      <c r="D3996" s="549" t="s">
        <v>844</v>
      </c>
      <c r="E3996" s="549" t="s">
        <v>977</v>
      </c>
      <c r="F3996" s="549" t="s">
        <v>1212</v>
      </c>
      <c r="G3996" s="549">
        <v>2082</v>
      </c>
      <c r="H3996" s="549" t="s">
        <v>843</v>
      </c>
      <c r="I3996" s="549" t="s">
        <v>976</v>
      </c>
      <c r="J3996" s="549" t="s">
        <v>976</v>
      </c>
      <c r="K3996" s="549" t="s">
        <v>976</v>
      </c>
      <c r="L3996" s="549">
        <v>56675.98</v>
      </c>
      <c r="M3996" s="549">
        <v>4279.04</v>
      </c>
      <c r="N3996" s="549">
        <v>1252.54</v>
      </c>
      <c r="O3996" s="549">
        <v>992</v>
      </c>
      <c r="P3996" s="549">
        <v>100</v>
      </c>
      <c r="Q3996" s="549">
        <v>6523.58</v>
      </c>
    </row>
    <row r="3997" spans="1:17" x14ac:dyDescent="0.25">
      <c r="A3997" s="549" t="s">
        <v>1111</v>
      </c>
      <c r="B3997" s="549" t="s">
        <v>1112</v>
      </c>
      <c r="C3997" s="549" t="s">
        <v>843</v>
      </c>
      <c r="D3997" s="549" t="s">
        <v>844</v>
      </c>
      <c r="E3997" s="549" t="s">
        <v>977</v>
      </c>
      <c r="F3997" s="549" t="s">
        <v>1212</v>
      </c>
      <c r="G3997" s="549">
        <v>2092</v>
      </c>
      <c r="H3997" s="549" t="s">
        <v>843</v>
      </c>
      <c r="I3997" s="549" t="s">
        <v>976</v>
      </c>
      <c r="J3997" s="549" t="s">
        <v>976</v>
      </c>
      <c r="K3997" s="549" t="s">
        <v>976</v>
      </c>
      <c r="L3997" s="549">
        <v>56675.98</v>
      </c>
      <c r="M3997" s="549">
        <v>4279.04</v>
      </c>
      <c r="N3997" s="549">
        <v>1252.54</v>
      </c>
      <c r="O3997" s="549">
        <v>992</v>
      </c>
      <c r="P3997" s="549">
        <v>100</v>
      </c>
      <c r="Q3997" s="549">
        <v>6523.58</v>
      </c>
    </row>
    <row r="3998" spans="1:17" x14ac:dyDescent="0.25">
      <c r="A3998" s="549" t="s">
        <v>1111</v>
      </c>
      <c r="B3998" s="549" t="s">
        <v>1112</v>
      </c>
      <c r="C3998" s="549" t="s">
        <v>843</v>
      </c>
      <c r="D3998" s="549" t="s">
        <v>844</v>
      </c>
      <c r="E3998" s="549" t="s">
        <v>977</v>
      </c>
      <c r="F3998" s="549" t="s">
        <v>1212</v>
      </c>
      <c r="G3998" s="549">
        <v>2108</v>
      </c>
      <c r="H3998" s="549" t="s">
        <v>843</v>
      </c>
      <c r="I3998" s="549" t="s">
        <v>976</v>
      </c>
      <c r="J3998" s="549" t="s">
        <v>976</v>
      </c>
      <c r="K3998" s="549" t="s">
        <v>976</v>
      </c>
      <c r="L3998" s="549">
        <v>59671.47</v>
      </c>
      <c r="M3998" s="549">
        <v>4505.2</v>
      </c>
      <c r="N3998" s="549">
        <v>1318.74</v>
      </c>
      <c r="O3998" s="549">
        <v>992</v>
      </c>
      <c r="P3998" s="549">
        <v>100</v>
      </c>
      <c r="Q3998" s="549">
        <v>6815.94</v>
      </c>
    </row>
    <row r="3999" spans="1:17" x14ac:dyDescent="0.25">
      <c r="A3999" s="549" t="s">
        <v>1118</v>
      </c>
      <c r="B3999" s="549" t="s">
        <v>1119</v>
      </c>
      <c r="C3999" s="549" t="s">
        <v>857</v>
      </c>
      <c r="D3999" s="549" t="s">
        <v>858</v>
      </c>
      <c r="E3999" s="549" t="s">
        <v>977</v>
      </c>
      <c r="F3999" s="549" t="s">
        <v>1212</v>
      </c>
      <c r="G3999" s="549">
        <v>162</v>
      </c>
      <c r="H3999" s="549" t="s">
        <v>871</v>
      </c>
      <c r="I3999" s="549" t="s">
        <v>976</v>
      </c>
      <c r="J3999" s="549" t="s">
        <v>976</v>
      </c>
      <c r="K3999" s="549" t="s">
        <v>976</v>
      </c>
      <c r="L3999" s="549">
        <v>347493.52</v>
      </c>
      <c r="M3999" s="549">
        <v>26235.759999999998</v>
      </c>
      <c r="N3999" s="549">
        <v>7679.61</v>
      </c>
      <c r="O3999" s="549">
        <v>1984</v>
      </c>
      <c r="P3999" s="549">
        <v>0</v>
      </c>
      <c r="Q3999" s="549">
        <v>0</v>
      </c>
    </row>
    <row r="4000" spans="1:17" x14ac:dyDescent="0.25">
      <c r="A4000" s="549" t="s">
        <v>1111</v>
      </c>
      <c r="B4000" s="549" t="s">
        <v>1112</v>
      </c>
      <c r="C4000" s="549" t="s">
        <v>843</v>
      </c>
      <c r="D4000" s="549" t="s">
        <v>844</v>
      </c>
      <c r="E4000" s="549" t="s">
        <v>977</v>
      </c>
      <c r="F4000" s="549" t="s">
        <v>1212</v>
      </c>
      <c r="G4000" s="549">
        <v>2122</v>
      </c>
      <c r="H4000" s="549" t="s">
        <v>843</v>
      </c>
      <c r="I4000" s="549" t="s">
        <v>976</v>
      </c>
      <c r="J4000" s="549" t="s">
        <v>976</v>
      </c>
      <c r="K4000" s="549" t="s">
        <v>976</v>
      </c>
      <c r="L4000" s="549">
        <v>56675.98</v>
      </c>
      <c r="M4000" s="549">
        <v>4279.04</v>
      </c>
      <c r="N4000" s="549">
        <v>1252.54</v>
      </c>
      <c r="O4000" s="549">
        <v>992</v>
      </c>
      <c r="P4000" s="549">
        <v>100</v>
      </c>
      <c r="Q4000" s="549">
        <v>6523.58</v>
      </c>
    </row>
    <row r="4001" spans="1:17" x14ac:dyDescent="0.25">
      <c r="A4001" s="549" t="s">
        <v>1111</v>
      </c>
      <c r="B4001" s="549" t="s">
        <v>1112</v>
      </c>
      <c r="C4001" s="549" t="s">
        <v>843</v>
      </c>
      <c r="D4001" s="549" t="s">
        <v>844</v>
      </c>
      <c r="E4001" s="549" t="s">
        <v>977</v>
      </c>
      <c r="F4001" s="549" t="s">
        <v>1212</v>
      </c>
      <c r="G4001" s="549">
        <v>2132</v>
      </c>
      <c r="H4001" s="549" t="s">
        <v>843</v>
      </c>
      <c r="I4001" s="549" t="s">
        <v>976</v>
      </c>
      <c r="J4001" s="549" t="s">
        <v>976</v>
      </c>
      <c r="K4001" s="549" t="s">
        <v>976</v>
      </c>
      <c r="L4001" s="549">
        <v>57492.93</v>
      </c>
      <c r="M4001" s="549">
        <v>4340.72</v>
      </c>
      <c r="N4001" s="549">
        <v>1270.5899999999999</v>
      </c>
      <c r="O4001" s="549">
        <v>992</v>
      </c>
      <c r="P4001" s="549">
        <v>100</v>
      </c>
      <c r="Q4001" s="549">
        <v>6603.31</v>
      </c>
    </row>
    <row r="4002" spans="1:17" x14ac:dyDescent="0.25">
      <c r="A4002" s="549" t="s">
        <v>1118</v>
      </c>
      <c r="B4002" s="549" t="s">
        <v>1119</v>
      </c>
      <c r="C4002" s="549" t="s">
        <v>857</v>
      </c>
      <c r="D4002" s="549" t="s">
        <v>858</v>
      </c>
      <c r="E4002" s="549" t="s">
        <v>977</v>
      </c>
      <c r="F4002" s="549" t="s">
        <v>1212</v>
      </c>
      <c r="G4002" s="549">
        <v>122</v>
      </c>
      <c r="H4002" s="549" t="s">
        <v>871</v>
      </c>
      <c r="I4002" s="549" t="s">
        <v>976</v>
      </c>
      <c r="J4002" s="549" t="s">
        <v>976</v>
      </c>
      <c r="K4002" s="549" t="s">
        <v>976</v>
      </c>
      <c r="L4002" s="549">
        <v>347493.52</v>
      </c>
      <c r="M4002" s="549">
        <v>26235.759999999998</v>
      </c>
      <c r="N4002" s="549">
        <v>7679.61</v>
      </c>
      <c r="O4002" s="549">
        <v>1984</v>
      </c>
      <c r="P4002" s="549">
        <v>0</v>
      </c>
      <c r="Q4002" s="549">
        <v>0</v>
      </c>
    </row>
    <row r="4003" spans="1:17" x14ac:dyDescent="0.25">
      <c r="A4003" s="549" t="s">
        <v>1111</v>
      </c>
      <c r="B4003" s="549" t="s">
        <v>1112</v>
      </c>
      <c r="C4003" s="549" t="s">
        <v>843</v>
      </c>
      <c r="D4003" s="549" t="s">
        <v>844</v>
      </c>
      <c r="E4003" s="549" t="s">
        <v>977</v>
      </c>
      <c r="F4003" s="549" t="s">
        <v>1212</v>
      </c>
      <c r="G4003" s="549">
        <v>2152</v>
      </c>
      <c r="H4003" s="549" t="s">
        <v>843</v>
      </c>
      <c r="I4003" s="549" t="s">
        <v>1310</v>
      </c>
      <c r="J4003" s="549" t="s">
        <v>1310</v>
      </c>
      <c r="K4003" s="549" t="s">
        <v>1310</v>
      </c>
      <c r="L4003" s="549">
        <v>0.02</v>
      </c>
      <c r="M4003" s="549">
        <v>0</v>
      </c>
      <c r="N4003" s="549">
        <v>0</v>
      </c>
      <c r="O4003" s="549">
        <v>0</v>
      </c>
      <c r="P4003" s="549">
        <v>0</v>
      </c>
      <c r="Q4003" s="549">
        <v>0</v>
      </c>
    </row>
    <row r="4004" spans="1:17" x14ac:dyDescent="0.25">
      <c r="A4004" s="549" t="s">
        <v>1111</v>
      </c>
      <c r="B4004" s="549" t="s">
        <v>1112</v>
      </c>
      <c r="C4004" s="549" t="s">
        <v>843</v>
      </c>
      <c r="D4004" s="549" t="s">
        <v>844</v>
      </c>
      <c r="E4004" s="549" t="s">
        <v>977</v>
      </c>
      <c r="F4004" s="549" t="s">
        <v>1212</v>
      </c>
      <c r="G4004" s="549">
        <v>7002</v>
      </c>
      <c r="H4004" s="549" t="s">
        <v>843</v>
      </c>
      <c r="I4004" s="549" t="s">
        <v>976</v>
      </c>
      <c r="J4004" s="549" t="s">
        <v>976</v>
      </c>
      <c r="K4004" s="549" t="s">
        <v>976</v>
      </c>
      <c r="L4004" s="549">
        <v>234357.8</v>
      </c>
      <c r="M4004" s="549">
        <v>17694.009999999998</v>
      </c>
      <c r="N4004" s="549">
        <v>5179.3100000000004</v>
      </c>
      <c r="O4004" s="549">
        <v>1984</v>
      </c>
      <c r="P4004" s="549">
        <v>99.97</v>
      </c>
      <c r="Q4004" s="549">
        <v>24849.86</v>
      </c>
    </row>
    <row r="4005" spans="1:17" x14ac:dyDescent="0.25">
      <c r="A4005" s="549" t="s">
        <v>1111</v>
      </c>
      <c r="B4005" s="549" t="s">
        <v>1112</v>
      </c>
      <c r="C4005" s="549" t="s">
        <v>843</v>
      </c>
      <c r="D4005" s="549" t="s">
        <v>844</v>
      </c>
      <c r="E4005" s="549" t="s">
        <v>977</v>
      </c>
      <c r="F4005" s="549" t="s">
        <v>1212</v>
      </c>
      <c r="G4005" s="549" t="s">
        <v>1468</v>
      </c>
      <c r="H4005" s="549" t="s">
        <v>843</v>
      </c>
      <c r="I4005" s="549" t="s">
        <v>976</v>
      </c>
      <c r="J4005" s="549" t="s">
        <v>976</v>
      </c>
      <c r="K4005" s="549" t="s">
        <v>976</v>
      </c>
      <c r="L4005" s="549">
        <v>39103.699999999997</v>
      </c>
      <c r="M4005" s="549">
        <v>2952.33</v>
      </c>
      <c r="N4005" s="549">
        <v>864.19</v>
      </c>
      <c r="O4005" s="549">
        <v>1984</v>
      </c>
      <c r="P4005" s="549">
        <v>99.97</v>
      </c>
      <c r="Q4005" s="549">
        <v>5798.78</v>
      </c>
    </row>
    <row r="4006" spans="1:17" x14ac:dyDescent="0.25">
      <c r="A4006" s="549" t="s">
        <v>1111</v>
      </c>
      <c r="B4006" s="549" t="s">
        <v>1112</v>
      </c>
      <c r="C4006" s="549" t="s">
        <v>843</v>
      </c>
      <c r="D4006" s="549" t="s">
        <v>844</v>
      </c>
      <c r="E4006" s="549" t="s">
        <v>977</v>
      </c>
      <c r="F4006" s="549" t="s">
        <v>1212</v>
      </c>
      <c r="G4006" s="549" t="s">
        <v>1469</v>
      </c>
      <c r="H4006" s="549" t="s">
        <v>843</v>
      </c>
      <c r="I4006" s="549" t="s">
        <v>976</v>
      </c>
      <c r="J4006" s="549" t="s">
        <v>976</v>
      </c>
      <c r="K4006" s="549" t="s">
        <v>976</v>
      </c>
      <c r="L4006" s="549">
        <v>39103.699999999997</v>
      </c>
      <c r="M4006" s="549">
        <v>2952.33</v>
      </c>
      <c r="N4006" s="549">
        <v>864.19</v>
      </c>
      <c r="O4006" s="549">
        <v>1984</v>
      </c>
      <c r="P4006" s="549">
        <v>99.97</v>
      </c>
      <c r="Q4006" s="549">
        <v>5798.78</v>
      </c>
    </row>
    <row r="4007" spans="1:17" x14ac:dyDescent="0.25">
      <c r="A4007" s="549" t="s">
        <v>1111</v>
      </c>
      <c r="B4007" s="549" t="s">
        <v>1112</v>
      </c>
      <c r="C4007" s="549" t="s">
        <v>843</v>
      </c>
      <c r="D4007" s="549" t="s">
        <v>844</v>
      </c>
      <c r="E4007" s="549" t="s">
        <v>977</v>
      </c>
      <c r="F4007" s="549" t="s">
        <v>1212</v>
      </c>
      <c r="G4007" s="549" t="s">
        <v>1304</v>
      </c>
      <c r="H4007" s="549" t="s">
        <v>843</v>
      </c>
      <c r="I4007" s="549" t="s">
        <v>976</v>
      </c>
      <c r="J4007" s="549" t="s">
        <v>976</v>
      </c>
      <c r="K4007" s="549" t="s">
        <v>976</v>
      </c>
      <c r="L4007" s="549">
        <v>46197.94</v>
      </c>
      <c r="M4007" s="549">
        <v>3487.94</v>
      </c>
      <c r="N4007" s="549">
        <v>1020.97</v>
      </c>
      <c r="O4007" s="549">
        <v>0</v>
      </c>
      <c r="P4007" s="549">
        <v>100</v>
      </c>
      <c r="Q4007" s="549">
        <v>4508.91</v>
      </c>
    </row>
    <row r="4008" spans="1:17" x14ac:dyDescent="0.25">
      <c r="A4008" s="549" t="s">
        <v>1111</v>
      </c>
      <c r="B4008" s="549" t="s">
        <v>1112</v>
      </c>
      <c r="C4008" s="549" t="s">
        <v>843</v>
      </c>
      <c r="D4008" s="549" t="s">
        <v>844</v>
      </c>
      <c r="E4008" s="549" t="s">
        <v>977</v>
      </c>
      <c r="F4008" s="549" t="s">
        <v>1212</v>
      </c>
      <c r="G4008" s="549" t="s">
        <v>1513</v>
      </c>
      <c r="H4008" s="549" t="s">
        <v>843</v>
      </c>
      <c r="I4008" s="549" t="s">
        <v>976</v>
      </c>
      <c r="J4008" s="549" t="s">
        <v>976</v>
      </c>
      <c r="K4008" s="549" t="s">
        <v>976</v>
      </c>
      <c r="L4008" s="549">
        <v>30588.13</v>
      </c>
      <c r="M4008" s="549">
        <v>2309.4</v>
      </c>
      <c r="N4008" s="549">
        <v>676</v>
      </c>
      <c r="O4008" s="549">
        <v>0</v>
      </c>
      <c r="P4008" s="549">
        <v>100</v>
      </c>
      <c r="Q4008" s="549">
        <v>2985.4</v>
      </c>
    </row>
    <row r="4009" spans="1:17" x14ac:dyDescent="0.25">
      <c r="A4009" s="549" t="s">
        <v>1111</v>
      </c>
      <c r="B4009" s="549" t="s">
        <v>1112</v>
      </c>
      <c r="C4009" s="549" t="s">
        <v>843</v>
      </c>
      <c r="D4009" s="549" t="s">
        <v>844</v>
      </c>
      <c r="E4009" s="549" t="s">
        <v>977</v>
      </c>
      <c r="F4009" s="549" t="s">
        <v>1212</v>
      </c>
      <c r="G4009" s="549" t="s">
        <v>1514</v>
      </c>
      <c r="H4009" s="549" t="s">
        <v>843</v>
      </c>
      <c r="I4009" s="549" t="s">
        <v>976</v>
      </c>
      <c r="J4009" s="549" t="s">
        <v>976</v>
      </c>
      <c r="K4009" s="549" t="s">
        <v>976</v>
      </c>
      <c r="L4009" s="549">
        <v>46197.94</v>
      </c>
      <c r="M4009" s="549">
        <v>3487.94</v>
      </c>
      <c r="N4009" s="549">
        <v>1020.97</v>
      </c>
      <c r="O4009" s="549">
        <v>0</v>
      </c>
      <c r="P4009" s="549">
        <v>100</v>
      </c>
      <c r="Q4009" s="549">
        <v>4508.91</v>
      </c>
    </row>
    <row r="4010" spans="1:17" x14ac:dyDescent="0.25">
      <c r="A4010" s="549" t="s">
        <v>1111</v>
      </c>
      <c r="B4010" s="549" t="s">
        <v>1112</v>
      </c>
      <c r="C4010" s="549" t="s">
        <v>843</v>
      </c>
      <c r="D4010" s="549" t="s">
        <v>844</v>
      </c>
      <c r="E4010" s="549" t="s">
        <v>977</v>
      </c>
      <c r="F4010" s="549" t="s">
        <v>1212</v>
      </c>
      <c r="G4010" s="549" t="s">
        <v>1261</v>
      </c>
      <c r="H4010" s="549" t="s">
        <v>843</v>
      </c>
      <c r="I4010" s="549" t="s">
        <v>976</v>
      </c>
      <c r="J4010" s="549" t="s">
        <v>976</v>
      </c>
      <c r="K4010" s="549" t="s">
        <v>976</v>
      </c>
      <c r="L4010" s="549">
        <v>30588.13</v>
      </c>
      <c r="M4010" s="549">
        <v>2309.4</v>
      </c>
      <c r="N4010" s="549">
        <v>676</v>
      </c>
      <c r="O4010" s="549">
        <v>0</v>
      </c>
      <c r="P4010" s="549">
        <v>100</v>
      </c>
      <c r="Q4010" s="549">
        <v>2985.4</v>
      </c>
    </row>
    <row r="4011" spans="1:17" x14ac:dyDescent="0.25">
      <c r="A4011" s="549" t="s">
        <v>1111</v>
      </c>
      <c r="B4011" s="549" t="s">
        <v>1112</v>
      </c>
      <c r="C4011" s="549" t="s">
        <v>843</v>
      </c>
      <c r="D4011" s="549" t="s">
        <v>844</v>
      </c>
      <c r="E4011" s="549" t="s">
        <v>977</v>
      </c>
      <c r="F4011" s="549" t="s">
        <v>1212</v>
      </c>
      <c r="G4011" s="549" t="s">
        <v>1472</v>
      </c>
      <c r="H4011" s="549" t="s">
        <v>843</v>
      </c>
      <c r="I4011" s="549" t="s">
        <v>976</v>
      </c>
      <c r="J4011" s="549" t="s">
        <v>976</v>
      </c>
      <c r="K4011" s="549" t="s">
        <v>976</v>
      </c>
      <c r="L4011" s="549">
        <v>30588.13</v>
      </c>
      <c r="M4011" s="549">
        <v>2309.4</v>
      </c>
      <c r="N4011" s="549">
        <v>676</v>
      </c>
      <c r="O4011" s="549">
        <v>0</v>
      </c>
      <c r="P4011" s="549">
        <v>100</v>
      </c>
      <c r="Q4011" s="549">
        <v>2985.4</v>
      </c>
    </row>
    <row r="4012" spans="1:17" x14ac:dyDescent="0.25">
      <c r="A4012" s="549" t="s">
        <v>1111</v>
      </c>
      <c r="B4012" s="549" t="s">
        <v>1112</v>
      </c>
      <c r="C4012" s="549" t="s">
        <v>843</v>
      </c>
      <c r="D4012" s="549" t="s">
        <v>844</v>
      </c>
      <c r="E4012" s="549" t="s">
        <v>977</v>
      </c>
      <c r="F4012" s="549" t="s">
        <v>1212</v>
      </c>
      <c r="G4012" s="549" t="s">
        <v>1515</v>
      </c>
      <c r="H4012" s="549" t="s">
        <v>843</v>
      </c>
      <c r="I4012" s="549" t="s">
        <v>976</v>
      </c>
      <c r="J4012" s="549" t="s">
        <v>976</v>
      </c>
      <c r="K4012" s="549" t="s">
        <v>976</v>
      </c>
      <c r="L4012" s="549">
        <v>30588.13</v>
      </c>
      <c r="M4012" s="549">
        <v>2309.4</v>
      </c>
      <c r="N4012" s="549">
        <v>676</v>
      </c>
      <c r="O4012" s="549">
        <v>0</v>
      </c>
      <c r="P4012" s="549">
        <v>100</v>
      </c>
      <c r="Q4012" s="549">
        <v>2985.4</v>
      </c>
    </row>
    <row r="4013" spans="1:17" x14ac:dyDescent="0.25">
      <c r="A4013" s="549" t="s">
        <v>1111</v>
      </c>
      <c r="B4013" s="549" t="s">
        <v>1112</v>
      </c>
      <c r="C4013" s="549" t="s">
        <v>843</v>
      </c>
      <c r="D4013" s="549" t="s">
        <v>844</v>
      </c>
      <c r="E4013" s="549" t="s">
        <v>977</v>
      </c>
      <c r="F4013" s="549" t="s">
        <v>1212</v>
      </c>
      <c r="G4013" s="549" t="s">
        <v>1473</v>
      </c>
      <c r="H4013" s="549" t="s">
        <v>843</v>
      </c>
      <c r="I4013" s="549" t="s">
        <v>976</v>
      </c>
      <c r="J4013" s="549" t="s">
        <v>976</v>
      </c>
      <c r="K4013" s="549" t="s">
        <v>976</v>
      </c>
      <c r="L4013" s="549">
        <v>30010.81</v>
      </c>
      <c r="M4013" s="549">
        <v>2265.8200000000002</v>
      </c>
      <c r="N4013" s="549">
        <v>663.24</v>
      </c>
      <c r="O4013" s="549">
        <v>0</v>
      </c>
      <c r="P4013" s="549">
        <v>100</v>
      </c>
      <c r="Q4013" s="549">
        <v>2929.06</v>
      </c>
    </row>
    <row r="4014" spans="1:17" x14ac:dyDescent="0.25">
      <c r="A4014" s="549" t="s">
        <v>1111</v>
      </c>
      <c r="B4014" s="549" t="s">
        <v>1112</v>
      </c>
      <c r="C4014" s="549" t="s">
        <v>843</v>
      </c>
      <c r="D4014" s="549" t="s">
        <v>844</v>
      </c>
      <c r="E4014" s="549" t="s">
        <v>977</v>
      </c>
      <c r="F4014" s="549" t="s">
        <v>1212</v>
      </c>
      <c r="G4014" s="549" t="s">
        <v>1516</v>
      </c>
      <c r="H4014" s="549" t="s">
        <v>843</v>
      </c>
      <c r="I4014" s="549" t="s">
        <v>976</v>
      </c>
      <c r="J4014" s="549" t="s">
        <v>976</v>
      </c>
      <c r="K4014" s="549" t="s">
        <v>976</v>
      </c>
      <c r="L4014" s="549">
        <v>30010.81</v>
      </c>
      <c r="M4014" s="549">
        <v>2265.8200000000002</v>
      </c>
      <c r="N4014" s="549">
        <v>663.24</v>
      </c>
      <c r="O4014" s="549">
        <v>0</v>
      </c>
      <c r="P4014" s="549">
        <v>100</v>
      </c>
      <c r="Q4014" s="549">
        <v>2929.06</v>
      </c>
    </row>
    <row r="4015" spans="1:17" x14ac:dyDescent="0.25">
      <c r="A4015" s="549" t="s">
        <v>1111</v>
      </c>
      <c r="B4015" s="549" t="s">
        <v>1112</v>
      </c>
      <c r="C4015" s="549" t="s">
        <v>843</v>
      </c>
      <c r="D4015" s="549" t="s">
        <v>844</v>
      </c>
      <c r="E4015" s="549" t="s">
        <v>977</v>
      </c>
      <c r="F4015" s="549" t="s">
        <v>1212</v>
      </c>
      <c r="G4015" s="549" t="s">
        <v>1474</v>
      </c>
      <c r="H4015" s="549" t="s">
        <v>843</v>
      </c>
      <c r="I4015" s="549" t="s">
        <v>976</v>
      </c>
      <c r="J4015" s="549" t="s">
        <v>976</v>
      </c>
      <c r="K4015" s="549" t="s">
        <v>976</v>
      </c>
      <c r="L4015" s="549">
        <v>30010.81</v>
      </c>
      <c r="M4015" s="549">
        <v>2265.8200000000002</v>
      </c>
      <c r="N4015" s="549">
        <v>663.24</v>
      </c>
      <c r="O4015" s="549">
        <v>0</v>
      </c>
      <c r="P4015" s="549">
        <v>100</v>
      </c>
      <c r="Q4015" s="549">
        <v>2929.06</v>
      </c>
    </row>
    <row r="4016" spans="1:17" x14ac:dyDescent="0.25">
      <c r="A4016" s="549" t="s">
        <v>1111</v>
      </c>
      <c r="B4016" s="549" t="s">
        <v>1112</v>
      </c>
      <c r="C4016" s="549" t="s">
        <v>843</v>
      </c>
      <c r="D4016" s="549" t="s">
        <v>844</v>
      </c>
      <c r="E4016" s="549" t="s">
        <v>977</v>
      </c>
      <c r="F4016" s="549" t="s">
        <v>1212</v>
      </c>
      <c r="G4016" s="549" t="s">
        <v>1255</v>
      </c>
      <c r="H4016" s="549" t="s">
        <v>843</v>
      </c>
      <c r="I4016" s="549" t="s">
        <v>976</v>
      </c>
      <c r="J4016" s="549" t="s">
        <v>976</v>
      </c>
      <c r="K4016" s="549" t="s">
        <v>976</v>
      </c>
      <c r="L4016" s="549">
        <v>46197.94</v>
      </c>
      <c r="M4016" s="549">
        <v>3487.94</v>
      </c>
      <c r="N4016" s="549">
        <v>1020.97</v>
      </c>
      <c r="O4016" s="549">
        <v>0</v>
      </c>
      <c r="P4016" s="549">
        <v>100</v>
      </c>
      <c r="Q4016" s="549">
        <v>4508.91</v>
      </c>
    </row>
    <row r="4017" spans="1:17" x14ac:dyDescent="0.25">
      <c r="A4017" s="549" t="s">
        <v>1111</v>
      </c>
      <c r="B4017" s="549" t="s">
        <v>1112</v>
      </c>
      <c r="C4017" s="549" t="s">
        <v>843</v>
      </c>
      <c r="D4017" s="549" t="s">
        <v>844</v>
      </c>
      <c r="E4017" s="549" t="s">
        <v>977</v>
      </c>
      <c r="F4017" s="549" t="s">
        <v>1212</v>
      </c>
      <c r="G4017" s="549" t="s">
        <v>1391</v>
      </c>
      <c r="H4017" s="549" t="s">
        <v>843</v>
      </c>
      <c r="I4017" s="549" t="s">
        <v>976</v>
      </c>
      <c r="J4017" s="549" t="s">
        <v>976</v>
      </c>
      <c r="K4017" s="549" t="s">
        <v>976</v>
      </c>
      <c r="L4017" s="549">
        <v>46197.94</v>
      </c>
      <c r="M4017" s="549">
        <v>3487.94</v>
      </c>
      <c r="N4017" s="549">
        <v>1020.97</v>
      </c>
      <c r="O4017" s="549">
        <v>0</v>
      </c>
      <c r="P4017" s="549">
        <v>100</v>
      </c>
      <c r="Q4017" s="549">
        <v>4508.91</v>
      </c>
    </row>
    <row r="4018" spans="1:17" x14ac:dyDescent="0.25">
      <c r="A4018" s="549" t="s">
        <v>1111</v>
      </c>
      <c r="B4018" s="549" t="s">
        <v>1112</v>
      </c>
      <c r="C4018" s="549" t="s">
        <v>843</v>
      </c>
      <c r="D4018" s="549" t="s">
        <v>844</v>
      </c>
      <c r="E4018" s="549" t="s">
        <v>977</v>
      </c>
      <c r="F4018" s="549" t="s">
        <v>1212</v>
      </c>
      <c r="G4018" s="549" t="s">
        <v>1475</v>
      </c>
      <c r="H4018" s="549" t="s">
        <v>843</v>
      </c>
      <c r="I4018" s="549" t="s">
        <v>976</v>
      </c>
      <c r="J4018" s="549" t="s">
        <v>976</v>
      </c>
      <c r="K4018" s="549" t="s">
        <v>976</v>
      </c>
      <c r="L4018" s="549">
        <v>31683.14</v>
      </c>
      <c r="M4018" s="549">
        <v>2392.08</v>
      </c>
      <c r="N4018" s="549">
        <v>700.2</v>
      </c>
      <c r="O4018" s="549">
        <v>0</v>
      </c>
      <c r="P4018" s="549">
        <v>99.97</v>
      </c>
      <c r="Q4018" s="549">
        <v>3091.35</v>
      </c>
    </row>
    <row r="4019" spans="1:17" x14ac:dyDescent="0.25">
      <c r="A4019" s="549" t="s">
        <v>1111</v>
      </c>
      <c r="B4019" s="549" t="s">
        <v>1112</v>
      </c>
      <c r="C4019" s="549" t="s">
        <v>843</v>
      </c>
      <c r="D4019" s="549" t="s">
        <v>844</v>
      </c>
      <c r="E4019" s="549" t="s">
        <v>977</v>
      </c>
      <c r="F4019" s="549" t="s">
        <v>1212</v>
      </c>
      <c r="G4019" s="549" t="s">
        <v>1256</v>
      </c>
      <c r="H4019" s="549" t="s">
        <v>843</v>
      </c>
      <c r="I4019" s="549" t="s">
        <v>1310</v>
      </c>
      <c r="J4019" s="549" t="s">
        <v>1310</v>
      </c>
      <c r="K4019" s="549" t="s">
        <v>1310</v>
      </c>
      <c r="L4019" s="549">
        <v>0.02</v>
      </c>
      <c r="M4019" s="549">
        <v>0</v>
      </c>
      <c r="N4019" s="549">
        <v>0</v>
      </c>
      <c r="O4019" s="549">
        <v>0</v>
      </c>
      <c r="P4019" s="549">
        <v>100</v>
      </c>
      <c r="Q4019" s="549">
        <v>0</v>
      </c>
    </row>
    <row r="4020" spans="1:17" x14ac:dyDescent="0.25">
      <c r="A4020" s="549" t="s">
        <v>1118</v>
      </c>
      <c r="B4020" s="549" t="s">
        <v>1119</v>
      </c>
      <c r="C4020" s="549" t="s">
        <v>863</v>
      </c>
      <c r="D4020" s="549" t="s">
        <v>864</v>
      </c>
      <c r="E4020" s="549" t="s">
        <v>977</v>
      </c>
      <c r="F4020" s="549" t="s">
        <v>1212</v>
      </c>
      <c r="G4020" s="549" t="s">
        <v>1419</v>
      </c>
      <c r="H4020" s="549" t="s">
        <v>863</v>
      </c>
      <c r="I4020" s="549" t="s">
        <v>976</v>
      </c>
      <c r="J4020" s="549" t="s">
        <v>976</v>
      </c>
      <c r="K4020" s="549" t="s">
        <v>976</v>
      </c>
      <c r="L4020" s="549">
        <v>0.01</v>
      </c>
      <c r="M4020" s="549">
        <v>0</v>
      </c>
      <c r="N4020" s="549">
        <v>0</v>
      </c>
      <c r="O4020" s="549">
        <v>0</v>
      </c>
      <c r="P4020" s="549">
        <v>100</v>
      </c>
      <c r="Q4020" s="549">
        <v>0</v>
      </c>
    </row>
    <row r="4021" spans="1:17" x14ac:dyDescent="0.25">
      <c r="A4021" s="549" t="s">
        <v>1118</v>
      </c>
      <c r="B4021" s="549" t="s">
        <v>1119</v>
      </c>
      <c r="C4021" s="549" t="s">
        <v>863</v>
      </c>
      <c r="D4021" s="549" t="s">
        <v>864</v>
      </c>
      <c r="E4021" s="549" t="s">
        <v>977</v>
      </c>
      <c r="F4021" s="549" t="s">
        <v>1212</v>
      </c>
      <c r="G4021" s="549" t="s">
        <v>1520</v>
      </c>
      <c r="H4021" s="549" t="s">
        <v>863</v>
      </c>
      <c r="I4021" s="549" t="s">
        <v>976</v>
      </c>
      <c r="J4021" s="549" t="s">
        <v>976</v>
      </c>
      <c r="K4021" s="549" t="s">
        <v>976</v>
      </c>
      <c r="L4021" s="549">
        <v>0.01</v>
      </c>
      <c r="M4021" s="549">
        <v>0</v>
      </c>
      <c r="N4021" s="549">
        <v>0</v>
      </c>
      <c r="O4021" s="549">
        <v>0</v>
      </c>
      <c r="P4021" s="549">
        <v>100</v>
      </c>
      <c r="Q4021" s="549">
        <v>0</v>
      </c>
    </row>
    <row r="4022" spans="1:17" x14ac:dyDescent="0.25">
      <c r="A4022" s="549" t="s">
        <v>1118</v>
      </c>
      <c r="B4022" s="549" t="s">
        <v>1119</v>
      </c>
      <c r="C4022" s="549" t="s">
        <v>863</v>
      </c>
      <c r="D4022" s="549" t="s">
        <v>864</v>
      </c>
      <c r="E4022" s="549" t="s">
        <v>977</v>
      </c>
      <c r="F4022" s="549" t="s">
        <v>1212</v>
      </c>
      <c r="G4022" s="549" t="s">
        <v>1238</v>
      </c>
      <c r="H4022" s="549" t="s">
        <v>863</v>
      </c>
      <c r="I4022" s="549" t="s">
        <v>976</v>
      </c>
      <c r="J4022" s="549" t="s">
        <v>976</v>
      </c>
      <c r="K4022" s="549" t="s">
        <v>976</v>
      </c>
      <c r="L4022" s="549">
        <v>31410.32</v>
      </c>
      <c r="M4022" s="549">
        <v>2371.48</v>
      </c>
      <c r="N4022" s="549">
        <v>694.17</v>
      </c>
      <c r="O4022" s="549">
        <v>0</v>
      </c>
      <c r="P4022" s="549">
        <v>100</v>
      </c>
      <c r="Q4022" s="549">
        <v>3065.65</v>
      </c>
    </row>
    <row r="4023" spans="1:17" x14ac:dyDescent="0.25">
      <c r="A4023" s="549" t="s">
        <v>1118</v>
      </c>
      <c r="B4023" s="549" t="s">
        <v>1119</v>
      </c>
      <c r="C4023" s="549" t="s">
        <v>863</v>
      </c>
      <c r="D4023" s="549" t="s">
        <v>864</v>
      </c>
      <c r="E4023" s="549" t="s">
        <v>977</v>
      </c>
      <c r="F4023" s="549" t="s">
        <v>1212</v>
      </c>
      <c r="G4023" s="549" t="s">
        <v>1309</v>
      </c>
      <c r="H4023" s="549" t="s">
        <v>863</v>
      </c>
      <c r="I4023" s="549" t="s">
        <v>976</v>
      </c>
      <c r="J4023" s="549" t="s">
        <v>976</v>
      </c>
      <c r="K4023" s="549" t="s">
        <v>976</v>
      </c>
      <c r="L4023" s="549">
        <v>31410.32</v>
      </c>
      <c r="M4023" s="549">
        <v>2371.48</v>
      </c>
      <c r="N4023" s="549">
        <v>694.17</v>
      </c>
      <c r="O4023" s="549">
        <v>0</v>
      </c>
      <c r="P4023" s="549">
        <v>100</v>
      </c>
      <c r="Q4023" s="549">
        <v>3065.65</v>
      </c>
    </row>
    <row r="4024" spans="1:17" x14ac:dyDescent="0.25">
      <c r="A4024" s="549" t="s">
        <v>1118</v>
      </c>
      <c r="B4024" s="549" t="s">
        <v>1119</v>
      </c>
      <c r="C4024" s="549" t="s">
        <v>863</v>
      </c>
      <c r="D4024" s="549" t="s">
        <v>864</v>
      </c>
      <c r="E4024" s="549" t="s">
        <v>977</v>
      </c>
      <c r="F4024" s="549" t="s">
        <v>1212</v>
      </c>
      <c r="G4024" s="549" t="s">
        <v>1279</v>
      </c>
      <c r="H4024" s="549" t="s">
        <v>863</v>
      </c>
      <c r="I4024" s="549" t="s">
        <v>976</v>
      </c>
      <c r="J4024" s="549" t="s">
        <v>976</v>
      </c>
      <c r="K4024" s="549" t="s">
        <v>976</v>
      </c>
      <c r="L4024" s="549">
        <v>31410.32</v>
      </c>
      <c r="M4024" s="549">
        <v>2371.48</v>
      </c>
      <c r="N4024" s="549">
        <v>694.17</v>
      </c>
      <c r="O4024" s="549">
        <v>0</v>
      </c>
      <c r="P4024" s="549">
        <v>100</v>
      </c>
      <c r="Q4024" s="549">
        <v>3065.65</v>
      </c>
    </row>
    <row r="4025" spans="1:17" x14ac:dyDescent="0.25">
      <c r="A4025" s="549" t="s">
        <v>1118</v>
      </c>
      <c r="B4025" s="549" t="s">
        <v>1119</v>
      </c>
      <c r="C4025" s="549" t="s">
        <v>863</v>
      </c>
      <c r="D4025" s="549" t="s">
        <v>864</v>
      </c>
      <c r="E4025" s="549" t="s">
        <v>977</v>
      </c>
      <c r="F4025" s="549" t="s">
        <v>1212</v>
      </c>
      <c r="G4025" s="549" t="s">
        <v>1521</v>
      </c>
      <c r="H4025" s="549" t="s">
        <v>863</v>
      </c>
      <c r="I4025" s="549" t="s">
        <v>976</v>
      </c>
      <c r="J4025" s="549" t="s">
        <v>976</v>
      </c>
      <c r="K4025" s="549" t="s">
        <v>976</v>
      </c>
      <c r="L4025" s="549">
        <v>31410.32</v>
      </c>
      <c r="M4025" s="549">
        <v>2371.48</v>
      </c>
      <c r="N4025" s="549">
        <v>694.17</v>
      </c>
      <c r="O4025" s="549">
        <v>0</v>
      </c>
      <c r="P4025" s="549">
        <v>100</v>
      </c>
      <c r="Q4025" s="549">
        <v>3065.65</v>
      </c>
    </row>
    <row r="4026" spans="1:17" x14ac:dyDescent="0.25">
      <c r="A4026" s="549" t="s">
        <v>1118</v>
      </c>
      <c r="B4026" s="549" t="s">
        <v>1119</v>
      </c>
      <c r="C4026" s="549" t="s">
        <v>863</v>
      </c>
      <c r="D4026" s="549" t="s">
        <v>864</v>
      </c>
      <c r="E4026" s="549" t="s">
        <v>977</v>
      </c>
      <c r="F4026" s="549" t="s">
        <v>1212</v>
      </c>
      <c r="G4026" s="549" t="s">
        <v>1236</v>
      </c>
      <c r="H4026" s="549" t="s">
        <v>863</v>
      </c>
      <c r="I4026" s="549" t="s">
        <v>976</v>
      </c>
      <c r="J4026" s="549" t="s">
        <v>976</v>
      </c>
      <c r="K4026" s="549" t="s">
        <v>976</v>
      </c>
      <c r="L4026" s="549">
        <v>188054.59</v>
      </c>
      <c r="M4026" s="549">
        <v>14198.12</v>
      </c>
      <c r="N4026" s="549">
        <v>4156.01</v>
      </c>
      <c r="O4026" s="549">
        <v>0</v>
      </c>
      <c r="P4026" s="549">
        <v>100</v>
      </c>
      <c r="Q4026" s="549">
        <v>18354.13</v>
      </c>
    </row>
    <row r="4027" spans="1:17" x14ac:dyDescent="0.25">
      <c r="A4027" s="549" t="s">
        <v>1118</v>
      </c>
      <c r="B4027" s="549" t="s">
        <v>1119</v>
      </c>
      <c r="C4027" s="549" t="s">
        <v>863</v>
      </c>
      <c r="D4027" s="549" t="s">
        <v>864</v>
      </c>
      <c r="E4027" s="549" t="s">
        <v>977</v>
      </c>
      <c r="F4027" s="549" t="s">
        <v>1212</v>
      </c>
      <c r="G4027" s="549" t="s">
        <v>1235</v>
      </c>
      <c r="H4027" s="549" t="s">
        <v>863</v>
      </c>
      <c r="I4027" s="549" t="s">
        <v>976</v>
      </c>
      <c r="J4027" s="549" t="s">
        <v>976</v>
      </c>
      <c r="K4027" s="549" t="s">
        <v>976</v>
      </c>
      <c r="L4027" s="549">
        <v>188054.59</v>
      </c>
      <c r="M4027" s="549">
        <v>14198.12</v>
      </c>
      <c r="N4027" s="549">
        <v>4156.01</v>
      </c>
      <c r="O4027" s="549">
        <v>0</v>
      </c>
      <c r="P4027" s="549">
        <v>100</v>
      </c>
      <c r="Q4027" s="549">
        <v>18354.13</v>
      </c>
    </row>
    <row r="4028" spans="1:17" x14ac:dyDescent="0.25">
      <c r="A4028" s="549" t="s">
        <v>1118</v>
      </c>
      <c r="B4028" s="549" t="s">
        <v>1119</v>
      </c>
      <c r="C4028" s="549" t="s">
        <v>863</v>
      </c>
      <c r="D4028" s="549" t="s">
        <v>864</v>
      </c>
      <c r="E4028" s="549" t="s">
        <v>977</v>
      </c>
      <c r="F4028" s="549" t="s">
        <v>1212</v>
      </c>
      <c r="G4028" s="549">
        <v>2112</v>
      </c>
      <c r="H4028" s="549" t="s">
        <v>863</v>
      </c>
      <c r="I4028" s="549" t="s">
        <v>976</v>
      </c>
      <c r="J4028" s="549" t="s">
        <v>976</v>
      </c>
      <c r="K4028" s="549" t="s">
        <v>976</v>
      </c>
      <c r="L4028" s="549">
        <v>92748.31</v>
      </c>
      <c r="M4028" s="549">
        <v>7002.5</v>
      </c>
      <c r="N4028" s="549">
        <v>2049.7399999999998</v>
      </c>
      <c r="O4028" s="549">
        <v>992</v>
      </c>
      <c r="P4028" s="549">
        <v>100</v>
      </c>
      <c r="Q4028" s="549">
        <v>10044.24</v>
      </c>
    </row>
    <row r="4029" spans="1:17" x14ac:dyDescent="0.25">
      <c r="A4029" s="549" t="s">
        <v>1118</v>
      </c>
      <c r="B4029" s="549" t="s">
        <v>1119</v>
      </c>
      <c r="C4029" s="549" t="s">
        <v>863</v>
      </c>
      <c r="D4029" s="549" t="s">
        <v>864</v>
      </c>
      <c r="E4029" s="549" t="s">
        <v>977</v>
      </c>
      <c r="F4029" s="549" t="s">
        <v>1212</v>
      </c>
      <c r="G4029" s="549">
        <v>2102</v>
      </c>
      <c r="H4029" s="549" t="s">
        <v>863</v>
      </c>
      <c r="I4029" s="549" t="s">
        <v>976</v>
      </c>
      <c r="J4029" s="549" t="s">
        <v>976</v>
      </c>
      <c r="K4029" s="549" t="s">
        <v>976</v>
      </c>
      <c r="L4029" s="549">
        <v>92748.31</v>
      </c>
      <c r="M4029" s="549">
        <v>7002.5</v>
      </c>
      <c r="N4029" s="549">
        <v>2049.7399999999998</v>
      </c>
      <c r="O4029" s="549">
        <v>992</v>
      </c>
      <c r="P4029" s="549">
        <v>100</v>
      </c>
      <c r="Q4029" s="549">
        <v>10044.24</v>
      </c>
    </row>
    <row r="4030" spans="1:17" x14ac:dyDescent="0.25">
      <c r="A4030" s="549" t="s">
        <v>1118</v>
      </c>
      <c r="B4030" s="549" t="s">
        <v>1119</v>
      </c>
      <c r="C4030" s="549" t="s">
        <v>863</v>
      </c>
      <c r="D4030" s="549" t="s">
        <v>864</v>
      </c>
      <c r="E4030" s="549" t="s">
        <v>977</v>
      </c>
      <c r="F4030" s="549" t="s">
        <v>1212</v>
      </c>
      <c r="G4030" s="549">
        <v>2092</v>
      </c>
      <c r="H4030" s="549" t="s">
        <v>863</v>
      </c>
      <c r="I4030" s="549" t="s">
        <v>976</v>
      </c>
      <c r="J4030" s="549" t="s">
        <v>976</v>
      </c>
      <c r="K4030" s="549" t="s">
        <v>976</v>
      </c>
      <c r="L4030" s="549">
        <v>92748.31</v>
      </c>
      <c r="M4030" s="549">
        <v>7002.5</v>
      </c>
      <c r="N4030" s="549">
        <v>2049.7399999999998</v>
      </c>
      <c r="O4030" s="549">
        <v>992</v>
      </c>
      <c r="P4030" s="549">
        <v>100</v>
      </c>
      <c r="Q4030" s="549">
        <v>10044.24</v>
      </c>
    </row>
    <row r="4031" spans="1:17" x14ac:dyDescent="0.25">
      <c r="A4031" s="549" t="s">
        <v>1118</v>
      </c>
      <c r="B4031" s="549" t="s">
        <v>1119</v>
      </c>
      <c r="C4031" s="549" t="s">
        <v>863</v>
      </c>
      <c r="D4031" s="549" t="s">
        <v>864</v>
      </c>
      <c r="E4031" s="549" t="s">
        <v>977</v>
      </c>
      <c r="F4031" s="549" t="s">
        <v>1212</v>
      </c>
      <c r="G4031" s="549">
        <v>2082</v>
      </c>
      <c r="H4031" s="549" t="s">
        <v>863</v>
      </c>
      <c r="I4031" s="549" t="s">
        <v>976</v>
      </c>
      <c r="J4031" s="549" t="s">
        <v>976</v>
      </c>
      <c r="K4031" s="549" t="s">
        <v>976</v>
      </c>
      <c r="L4031" s="549">
        <v>99162.07</v>
      </c>
      <c r="M4031" s="549">
        <v>7486.74</v>
      </c>
      <c r="N4031" s="549">
        <v>2191.48</v>
      </c>
      <c r="O4031" s="549">
        <v>992</v>
      </c>
      <c r="P4031" s="549">
        <v>100</v>
      </c>
      <c r="Q4031" s="549">
        <v>10670.22</v>
      </c>
    </row>
    <row r="4032" spans="1:17" x14ac:dyDescent="0.25">
      <c r="A4032" s="549" t="s">
        <v>1118</v>
      </c>
      <c r="B4032" s="549" t="s">
        <v>1119</v>
      </c>
      <c r="C4032" s="549" t="s">
        <v>863</v>
      </c>
      <c r="D4032" s="549" t="s">
        <v>864</v>
      </c>
      <c r="E4032" s="549" t="s">
        <v>977</v>
      </c>
      <c r="F4032" s="549" t="s">
        <v>1212</v>
      </c>
      <c r="G4032" s="549">
        <v>2078</v>
      </c>
      <c r="H4032" s="549" t="s">
        <v>863</v>
      </c>
      <c r="I4032" s="549" t="s">
        <v>976</v>
      </c>
      <c r="J4032" s="549" t="s">
        <v>976</v>
      </c>
      <c r="K4032" s="549" t="s">
        <v>976</v>
      </c>
      <c r="L4032" s="549">
        <v>106431</v>
      </c>
      <c r="M4032" s="549">
        <v>8035.54</v>
      </c>
      <c r="N4032" s="549">
        <v>2352.13</v>
      </c>
      <c r="O4032" s="549">
        <v>992</v>
      </c>
      <c r="P4032" s="549">
        <v>100</v>
      </c>
      <c r="Q4032" s="549">
        <v>11379.67</v>
      </c>
    </row>
    <row r="4033" spans="1:17" x14ac:dyDescent="0.25">
      <c r="A4033" s="549" t="s">
        <v>1118</v>
      </c>
      <c r="B4033" s="549" t="s">
        <v>1119</v>
      </c>
      <c r="C4033" s="549" t="s">
        <v>863</v>
      </c>
      <c r="D4033" s="549" t="s">
        <v>864</v>
      </c>
      <c r="E4033" s="549" t="s">
        <v>977</v>
      </c>
      <c r="F4033" s="549" t="s">
        <v>1212</v>
      </c>
      <c r="G4033" s="549">
        <v>2062</v>
      </c>
      <c r="H4033" s="549" t="s">
        <v>863</v>
      </c>
      <c r="I4033" s="549" t="s">
        <v>976</v>
      </c>
      <c r="J4033" s="549" t="s">
        <v>976</v>
      </c>
      <c r="K4033" s="549" t="s">
        <v>976</v>
      </c>
      <c r="L4033" s="549">
        <v>99162.07</v>
      </c>
      <c r="M4033" s="549">
        <v>7486.74</v>
      </c>
      <c r="N4033" s="549">
        <v>2191.48</v>
      </c>
      <c r="O4033" s="549">
        <v>992</v>
      </c>
      <c r="P4033" s="549">
        <v>100</v>
      </c>
      <c r="Q4033" s="549">
        <v>10670.22</v>
      </c>
    </row>
    <row r="4034" spans="1:17" x14ac:dyDescent="0.25">
      <c r="A4034" s="549" t="s">
        <v>1118</v>
      </c>
      <c r="B4034" s="549" t="s">
        <v>1119</v>
      </c>
      <c r="C4034" s="549" t="s">
        <v>863</v>
      </c>
      <c r="D4034" s="549" t="s">
        <v>864</v>
      </c>
      <c r="E4034" s="549" t="s">
        <v>977</v>
      </c>
      <c r="F4034" s="549" t="s">
        <v>1212</v>
      </c>
      <c r="G4034" s="549">
        <v>2052</v>
      </c>
      <c r="H4034" s="549" t="s">
        <v>863</v>
      </c>
      <c r="I4034" s="549" t="s">
        <v>976</v>
      </c>
      <c r="J4034" s="549" t="s">
        <v>976</v>
      </c>
      <c r="K4034" s="549" t="s">
        <v>976</v>
      </c>
      <c r="L4034" s="549">
        <v>92748.31</v>
      </c>
      <c r="M4034" s="549">
        <v>7002.5</v>
      </c>
      <c r="N4034" s="549">
        <v>2049.7399999999998</v>
      </c>
      <c r="O4034" s="549">
        <v>992</v>
      </c>
      <c r="P4034" s="549">
        <v>100</v>
      </c>
      <c r="Q4034" s="549">
        <v>10044.24</v>
      </c>
    </row>
    <row r="4035" spans="1:17" x14ac:dyDescent="0.25">
      <c r="A4035" s="549" t="s">
        <v>1118</v>
      </c>
      <c r="B4035" s="549" t="s">
        <v>1119</v>
      </c>
      <c r="C4035" s="549" t="s">
        <v>863</v>
      </c>
      <c r="D4035" s="549" t="s">
        <v>864</v>
      </c>
      <c r="E4035" s="549" t="s">
        <v>977</v>
      </c>
      <c r="F4035" s="549" t="s">
        <v>1212</v>
      </c>
      <c r="G4035" s="549">
        <v>2042</v>
      </c>
      <c r="H4035" s="549" t="s">
        <v>863</v>
      </c>
      <c r="I4035" s="549" t="s">
        <v>976</v>
      </c>
      <c r="J4035" s="549" t="s">
        <v>976</v>
      </c>
      <c r="K4035" s="549" t="s">
        <v>976</v>
      </c>
      <c r="L4035" s="549">
        <v>92748.31</v>
      </c>
      <c r="M4035" s="549">
        <v>7002.5</v>
      </c>
      <c r="N4035" s="549">
        <v>2049.7399999999998</v>
      </c>
      <c r="O4035" s="549">
        <v>992</v>
      </c>
      <c r="P4035" s="549">
        <v>100</v>
      </c>
      <c r="Q4035" s="549">
        <v>10044.24</v>
      </c>
    </row>
    <row r="4036" spans="1:17" x14ac:dyDescent="0.25">
      <c r="A4036" s="549" t="s">
        <v>1118</v>
      </c>
      <c r="B4036" s="549" t="s">
        <v>1119</v>
      </c>
      <c r="C4036" s="549" t="s">
        <v>863</v>
      </c>
      <c r="D4036" s="549" t="s">
        <v>864</v>
      </c>
      <c r="E4036" s="549" t="s">
        <v>977</v>
      </c>
      <c r="F4036" s="549" t="s">
        <v>1212</v>
      </c>
      <c r="G4036" s="549">
        <v>2032</v>
      </c>
      <c r="H4036" s="549" t="s">
        <v>863</v>
      </c>
      <c r="I4036" s="549" t="s">
        <v>976</v>
      </c>
      <c r="J4036" s="549" t="s">
        <v>976</v>
      </c>
      <c r="K4036" s="549" t="s">
        <v>976</v>
      </c>
      <c r="L4036" s="549">
        <v>92748.31</v>
      </c>
      <c r="M4036" s="549">
        <v>7002.5</v>
      </c>
      <c r="N4036" s="549">
        <v>2049.7399999999998</v>
      </c>
      <c r="O4036" s="549">
        <v>992</v>
      </c>
      <c r="P4036" s="549">
        <v>100</v>
      </c>
      <c r="Q4036" s="549">
        <v>10044.24</v>
      </c>
    </row>
    <row r="4037" spans="1:17" x14ac:dyDescent="0.25">
      <c r="A4037" s="549" t="s">
        <v>1111</v>
      </c>
      <c r="B4037" s="549" t="s">
        <v>1112</v>
      </c>
      <c r="C4037" s="549" t="s">
        <v>845</v>
      </c>
      <c r="D4037" s="549" t="s">
        <v>846</v>
      </c>
      <c r="E4037" s="549" t="s">
        <v>977</v>
      </c>
      <c r="F4037" s="549" t="s">
        <v>1212</v>
      </c>
      <c r="G4037" s="549">
        <v>302</v>
      </c>
      <c r="H4037" s="549" t="s">
        <v>845</v>
      </c>
      <c r="I4037" s="549" t="s">
        <v>976</v>
      </c>
      <c r="J4037" s="549" t="s">
        <v>976</v>
      </c>
      <c r="K4037" s="549" t="s">
        <v>976</v>
      </c>
      <c r="L4037" s="549">
        <v>875463.14</v>
      </c>
      <c r="M4037" s="549">
        <v>66097.47</v>
      </c>
      <c r="N4037" s="549">
        <v>19347.740000000002</v>
      </c>
      <c r="O4037" s="549">
        <v>3968</v>
      </c>
      <c r="P4037" s="549">
        <v>100</v>
      </c>
      <c r="Q4037" s="549">
        <v>89413.21</v>
      </c>
    </row>
    <row r="4038" spans="1:17" x14ac:dyDescent="0.25">
      <c r="A4038" s="549" t="s">
        <v>1111</v>
      </c>
      <c r="B4038" s="549" t="s">
        <v>1112</v>
      </c>
      <c r="C4038" s="549" t="s">
        <v>845</v>
      </c>
      <c r="D4038" s="549" t="s">
        <v>846</v>
      </c>
      <c r="E4038" s="549" t="s">
        <v>977</v>
      </c>
      <c r="F4038" s="549" t="s">
        <v>1212</v>
      </c>
      <c r="G4038" s="549">
        <v>382</v>
      </c>
      <c r="H4038" s="549" t="s">
        <v>845</v>
      </c>
      <c r="I4038" s="549" t="s">
        <v>976</v>
      </c>
      <c r="J4038" s="549" t="s">
        <v>976</v>
      </c>
      <c r="K4038" s="549" t="s">
        <v>976</v>
      </c>
      <c r="L4038" s="549">
        <v>875463.14</v>
      </c>
      <c r="M4038" s="549">
        <v>66097.47</v>
      </c>
      <c r="N4038" s="549">
        <v>19347.740000000002</v>
      </c>
      <c r="O4038" s="549">
        <v>3968</v>
      </c>
      <c r="P4038" s="549">
        <v>100</v>
      </c>
      <c r="Q4038" s="549">
        <v>89413.21</v>
      </c>
    </row>
    <row r="4039" spans="1:17" x14ac:dyDescent="0.25">
      <c r="A4039" s="549" t="s">
        <v>1111</v>
      </c>
      <c r="B4039" s="549" t="s">
        <v>1112</v>
      </c>
      <c r="C4039" s="549" t="s">
        <v>845</v>
      </c>
      <c r="D4039" s="549" t="s">
        <v>846</v>
      </c>
      <c r="E4039" s="549" t="s">
        <v>977</v>
      </c>
      <c r="F4039" s="549" t="s">
        <v>1212</v>
      </c>
      <c r="G4039" s="549">
        <v>1302</v>
      </c>
      <c r="H4039" s="549" t="s">
        <v>845</v>
      </c>
      <c r="I4039" s="549" t="s">
        <v>976</v>
      </c>
      <c r="J4039" s="549" t="s">
        <v>976</v>
      </c>
      <c r="K4039" s="549" t="s">
        <v>976</v>
      </c>
      <c r="L4039" s="549">
        <v>145368.71</v>
      </c>
      <c r="M4039" s="549">
        <v>10975.34</v>
      </c>
      <c r="N4039" s="549">
        <v>3212.65</v>
      </c>
      <c r="O4039" s="549">
        <v>3968</v>
      </c>
      <c r="P4039" s="549">
        <v>100</v>
      </c>
      <c r="Q4039" s="549">
        <v>18155.990000000002</v>
      </c>
    </row>
    <row r="4040" spans="1:17" x14ac:dyDescent="0.25">
      <c r="A4040" s="549" t="s">
        <v>1111</v>
      </c>
      <c r="B4040" s="549" t="s">
        <v>1112</v>
      </c>
      <c r="C4040" s="549" t="s">
        <v>845</v>
      </c>
      <c r="D4040" s="549" t="s">
        <v>846</v>
      </c>
      <c r="E4040" s="549" t="s">
        <v>977</v>
      </c>
      <c r="F4040" s="549" t="s">
        <v>1212</v>
      </c>
      <c r="G4040" s="549">
        <v>1312</v>
      </c>
      <c r="H4040" s="549" t="s">
        <v>845</v>
      </c>
      <c r="I4040" s="549" t="s">
        <v>976</v>
      </c>
      <c r="J4040" s="549" t="s">
        <v>976</v>
      </c>
      <c r="K4040" s="549" t="s">
        <v>976</v>
      </c>
      <c r="L4040" s="549">
        <v>145368.71</v>
      </c>
      <c r="M4040" s="549">
        <v>10975.34</v>
      </c>
      <c r="N4040" s="549">
        <v>3212.65</v>
      </c>
      <c r="O4040" s="549">
        <v>3968</v>
      </c>
      <c r="P4040" s="549">
        <v>100</v>
      </c>
      <c r="Q4040" s="549">
        <v>18155.990000000002</v>
      </c>
    </row>
    <row r="4041" spans="1:17" x14ac:dyDescent="0.25">
      <c r="A4041" s="549" t="s">
        <v>1111</v>
      </c>
      <c r="B4041" s="549" t="s">
        <v>1112</v>
      </c>
      <c r="C4041" s="549" t="s">
        <v>845</v>
      </c>
      <c r="D4041" s="549" t="s">
        <v>846</v>
      </c>
      <c r="E4041" s="549" t="s">
        <v>977</v>
      </c>
      <c r="F4041" s="549" t="s">
        <v>1212</v>
      </c>
      <c r="G4041" s="549">
        <v>1322</v>
      </c>
      <c r="H4041" s="549" t="s">
        <v>845</v>
      </c>
      <c r="I4041" s="549" t="s">
        <v>976</v>
      </c>
      <c r="J4041" s="549" t="s">
        <v>976</v>
      </c>
      <c r="K4041" s="549" t="s">
        <v>976</v>
      </c>
      <c r="L4041" s="549">
        <v>145368.71</v>
      </c>
      <c r="M4041" s="549">
        <v>10975.34</v>
      </c>
      <c r="N4041" s="549">
        <v>3212.65</v>
      </c>
      <c r="O4041" s="549">
        <v>3968</v>
      </c>
      <c r="P4041" s="549">
        <v>100</v>
      </c>
      <c r="Q4041" s="549">
        <v>18155.990000000002</v>
      </c>
    </row>
    <row r="4042" spans="1:17" x14ac:dyDescent="0.25">
      <c r="A4042" s="549" t="s">
        <v>1111</v>
      </c>
      <c r="B4042" s="549" t="s">
        <v>1112</v>
      </c>
      <c r="C4042" s="549" t="s">
        <v>845</v>
      </c>
      <c r="D4042" s="549" t="s">
        <v>846</v>
      </c>
      <c r="E4042" s="549" t="s">
        <v>977</v>
      </c>
      <c r="F4042" s="549" t="s">
        <v>1212</v>
      </c>
      <c r="G4042" s="549">
        <v>1332</v>
      </c>
      <c r="H4042" s="549" t="s">
        <v>845</v>
      </c>
      <c r="I4042" s="549" t="s">
        <v>976</v>
      </c>
      <c r="J4042" s="549" t="s">
        <v>976</v>
      </c>
      <c r="K4042" s="549" t="s">
        <v>976</v>
      </c>
      <c r="L4042" s="549">
        <v>132467</v>
      </c>
      <c r="M4042" s="549">
        <v>10001.26</v>
      </c>
      <c r="N4042" s="549">
        <v>2927.52</v>
      </c>
      <c r="O4042" s="549">
        <v>1984</v>
      </c>
      <c r="P4042" s="549">
        <v>100</v>
      </c>
      <c r="Q4042" s="549">
        <v>14912.78</v>
      </c>
    </row>
    <row r="4043" spans="1:17" x14ac:dyDescent="0.25">
      <c r="A4043" s="549" t="s">
        <v>1111</v>
      </c>
      <c r="B4043" s="549" t="s">
        <v>1112</v>
      </c>
      <c r="C4043" s="549" t="s">
        <v>845</v>
      </c>
      <c r="D4043" s="549" t="s">
        <v>846</v>
      </c>
      <c r="E4043" s="549" t="s">
        <v>977</v>
      </c>
      <c r="F4043" s="549" t="s">
        <v>1212</v>
      </c>
      <c r="G4043" s="549">
        <v>1342</v>
      </c>
      <c r="H4043" s="549" t="s">
        <v>845</v>
      </c>
      <c r="I4043" s="549" t="s">
        <v>976</v>
      </c>
      <c r="J4043" s="549" t="s">
        <v>976</v>
      </c>
      <c r="K4043" s="549" t="s">
        <v>976</v>
      </c>
      <c r="L4043" s="549">
        <v>145368.71</v>
      </c>
      <c r="M4043" s="549">
        <v>10975.34</v>
      </c>
      <c r="N4043" s="549">
        <v>3212.65</v>
      </c>
      <c r="O4043" s="549">
        <v>3968</v>
      </c>
      <c r="P4043" s="549">
        <v>100</v>
      </c>
      <c r="Q4043" s="549">
        <v>18155.990000000002</v>
      </c>
    </row>
    <row r="4044" spans="1:17" x14ac:dyDescent="0.25">
      <c r="A4044" s="549" t="s">
        <v>1111</v>
      </c>
      <c r="B4044" s="549" t="s">
        <v>1112</v>
      </c>
      <c r="C4044" s="549" t="s">
        <v>845</v>
      </c>
      <c r="D4044" s="549" t="s">
        <v>846</v>
      </c>
      <c r="E4044" s="549" t="s">
        <v>977</v>
      </c>
      <c r="F4044" s="549" t="s">
        <v>1212</v>
      </c>
      <c r="G4044" s="549">
        <v>1352</v>
      </c>
      <c r="H4044" s="549" t="s">
        <v>845</v>
      </c>
      <c r="I4044" s="549" t="s">
        <v>976</v>
      </c>
      <c r="J4044" s="549" t="s">
        <v>976</v>
      </c>
      <c r="K4044" s="549" t="s">
        <v>976</v>
      </c>
      <c r="L4044" s="549">
        <v>145368.71</v>
      </c>
      <c r="M4044" s="549">
        <v>10975.34</v>
      </c>
      <c r="N4044" s="549">
        <v>3212.65</v>
      </c>
      <c r="O4044" s="549">
        <v>3968</v>
      </c>
      <c r="P4044" s="549">
        <v>100</v>
      </c>
      <c r="Q4044" s="549">
        <v>18155.990000000002</v>
      </c>
    </row>
    <row r="4045" spans="1:17" x14ac:dyDescent="0.25">
      <c r="A4045" s="549" t="s">
        <v>1111</v>
      </c>
      <c r="B4045" s="549" t="s">
        <v>1112</v>
      </c>
      <c r="C4045" s="549" t="s">
        <v>845</v>
      </c>
      <c r="D4045" s="549" t="s">
        <v>846</v>
      </c>
      <c r="E4045" s="549" t="s">
        <v>977</v>
      </c>
      <c r="F4045" s="549" t="s">
        <v>1212</v>
      </c>
      <c r="G4045" s="549">
        <v>1362</v>
      </c>
      <c r="H4045" s="549" t="s">
        <v>845</v>
      </c>
      <c r="I4045" s="549" t="s">
        <v>976</v>
      </c>
      <c r="J4045" s="549" t="s">
        <v>976</v>
      </c>
      <c r="K4045" s="549" t="s">
        <v>976</v>
      </c>
      <c r="L4045" s="549">
        <v>145368.71</v>
      </c>
      <c r="M4045" s="549">
        <v>10975.34</v>
      </c>
      <c r="N4045" s="549">
        <v>3212.65</v>
      </c>
      <c r="O4045" s="549">
        <v>3968</v>
      </c>
      <c r="P4045" s="549">
        <v>100</v>
      </c>
      <c r="Q4045" s="549">
        <v>18155.990000000002</v>
      </c>
    </row>
    <row r="4046" spans="1:17" x14ac:dyDescent="0.25">
      <c r="A4046" s="549" t="s">
        <v>1111</v>
      </c>
      <c r="B4046" s="549" t="s">
        <v>1112</v>
      </c>
      <c r="C4046" s="549" t="s">
        <v>845</v>
      </c>
      <c r="D4046" s="549" t="s">
        <v>846</v>
      </c>
      <c r="E4046" s="549" t="s">
        <v>977</v>
      </c>
      <c r="F4046" s="549" t="s">
        <v>1212</v>
      </c>
      <c r="G4046" s="549">
        <v>1382</v>
      </c>
      <c r="H4046" s="549" t="s">
        <v>845</v>
      </c>
      <c r="I4046" s="549" t="s">
        <v>976</v>
      </c>
      <c r="J4046" s="549" t="s">
        <v>976</v>
      </c>
      <c r="K4046" s="549" t="s">
        <v>976</v>
      </c>
      <c r="L4046" s="549">
        <v>145368.71</v>
      </c>
      <c r="M4046" s="549">
        <v>10975.34</v>
      </c>
      <c r="N4046" s="549">
        <v>3212.65</v>
      </c>
      <c r="O4046" s="549">
        <v>3968</v>
      </c>
      <c r="P4046" s="549">
        <v>100</v>
      </c>
      <c r="Q4046" s="549">
        <v>18155.990000000002</v>
      </c>
    </row>
    <row r="4047" spans="1:17" x14ac:dyDescent="0.25">
      <c r="A4047" s="549" t="s">
        <v>1111</v>
      </c>
      <c r="B4047" s="549" t="s">
        <v>1112</v>
      </c>
      <c r="C4047" s="549" t="s">
        <v>845</v>
      </c>
      <c r="D4047" s="549" t="s">
        <v>846</v>
      </c>
      <c r="E4047" s="549" t="s">
        <v>977</v>
      </c>
      <c r="F4047" s="549" t="s">
        <v>1212</v>
      </c>
      <c r="G4047" s="549">
        <v>1392</v>
      </c>
      <c r="H4047" s="549" t="s">
        <v>845</v>
      </c>
      <c r="I4047" s="549" t="s">
        <v>976</v>
      </c>
      <c r="J4047" s="549" t="s">
        <v>976</v>
      </c>
      <c r="K4047" s="549" t="s">
        <v>976</v>
      </c>
      <c r="L4047" s="549">
        <v>145368.71</v>
      </c>
      <c r="M4047" s="549">
        <v>10975.34</v>
      </c>
      <c r="N4047" s="549">
        <v>3212.65</v>
      </c>
      <c r="O4047" s="549">
        <v>3968</v>
      </c>
      <c r="P4047" s="549">
        <v>100</v>
      </c>
      <c r="Q4047" s="549">
        <v>18155.990000000002</v>
      </c>
    </row>
    <row r="4048" spans="1:17" x14ac:dyDescent="0.25">
      <c r="A4048" s="549" t="s">
        <v>1111</v>
      </c>
      <c r="B4048" s="549" t="s">
        <v>1112</v>
      </c>
      <c r="C4048" s="549" t="s">
        <v>845</v>
      </c>
      <c r="D4048" s="549" t="s">
        <v>846</v>
      </c>
      <c r="E4048" s="549" t="s">
        <v>977</v>
      </c>
      <c r="F4048" s="549" t="s">
        <v>1212</v>
      </c>
      <c r="G4048" s="549">
        <v>1402</v>
      </c>
      <c r="H4048" s="549" t="s">
        <v>845</v>
      </c>
      <c r="I4048" s="549" t="s">
        <v>976</v>
      </c>
      <c r="J4048" s="549" t="s">
        <v>976</v>
      </c>
      <c r="K4048" s="549" t="s">
        <v>976</v>
      </c>
      <c r="L4048" s="549">
        <v>145368.71</v>
      </c>
      <c r="M4048" s="549">
        <v>10975.34</v>
      </c>
      <c r="N4048" s="549">
        <v>3212.65</v>
      </c>
      <c r="O4048" s="549">
        <v>3968</v>
      </c>
      <c r="P4048" s="549">
        <v>100</v>
      </c>
      <c r="Q4048" s="549">
        <v>18155.990000000002</v>
      </c>
    </row>
    <row r="4049" spans="1:17" x14ac:dyDescent="0.25">
      <c r="A4049" s="549" t="s">
        <v>1111</v>
      </c>
      <c r="B4049" s="549" t="s">
        <v>1112</v>
      </c>
      <c r="C4049" s="549" t="s">
        <v>845</v>
      </c>
      <c r="D4049" s="549" t="s">
        <v>846</v>
      </c>
      <c r="E4049" s="549" t="s">
        <v>977</v>
      </c>
      <c r="F4049" s="549" t="s">
        <v>1212</v>
      </c>
      <c r="G4049" s="549">
        <v>1412</v>
      </c>
      <c r="H4049" s="549" t="s">
        <v>845</v>
      </c>
      <c r="I4049" s="549" t="s">
        <v>976</v>
      </c>
      <c r="J4049" s="549" t="s">
        <v>976</v>
      </c>
      <c r="K4049" s="549" t="s">
        <v>976</v>
      </c>
      <c r="L4049" s="549">
        <v>132467</v>
      </c>
      <c r="M4049" s="549">
        <v>10001.26</v>
      </c>
      <c r="N4049" s="549">
        <v>2927.52</v>
      </c>
      <c r="O4049" s="549">
        <v>1984</v>
      </c>
      <c r="P4049" s="549">
        <v>100</v>
      </c>
      <c r="Q4049" s="549">
        <v>14912.78</v>
      </c>
    </row>
    <row r="4050" spans="1:17" x14ac:dyDescent="0.25">
      <c r="A4050" s="549" t="s">
        <v>1111</v>
      </c>
      <c r="B4050" s="549" t="s">
        <v>1112</v>
      </c>
      <c r="C4050" s="549" t="s">
        <v>845</v>
      </c>
      <c r="D4050" s="549" t="s">
        <v>846</v>
      </c>
      <c r="E4050" s="549" t="s">
        <v>977</v>
      </c>
      <c r="F4050" s="549" t="s">
        <v>1212</v>
      </c>
      <c r="G4050" s="549" t="s">
        <v>1522</v>
      </c>
      <c r="H4050" s="549" t="s">
        <v>845</v>
      </c>
      <c r="I4050" s="549" t="s">
        <v>976</v>
      </c>
      <c r="J4050" s="549" t="s">
        <v>976</v>
      </c>
      <c r="K4050" s="549" t="s">
        <v>976</v>
      </c>
      <c r="L4050" s="549">
        <v>34024.559999999998</v>
      </c>
      <c r="M4050" s="549">
        <v>2568.85</v>
      </c>
      <c r="N4050" s="549">
        <v>751.94</v>
      </c>
      <c r="O4050" s="549">
        <v>1984</v>
      </c>
      <c r="P4050" s="549">
        <v>100</v>
      </c>
      <c r="Q4050" s="549">
        <v>5304.79</v>
      </c>
    </row>
    <row r="4051" spans="1:17" x14ac:dyDescent="0.25">
      <c r="A4051" s="549" t="s">
        <v>1111</v>
      </c>
      <c r="B4051" s="549" t="s">
        <v>1112</v>
      </c>
      <c r="C4051" s="549" t="s">
        <v>845</v>
      </c>
      <c r="D4051" s="549" t="s">
        <v>846</v>
      </c>
      <c r="E4051" s="549" t="s">
        <v>977</v>
      </c>
      <c r="F4051" s="549" t="s">
        <v>1212</v>
      </c>
      <c r="G4051" s="549" t="s">
        <v>1523</v>
      </c>
      <c r="H4051" s="549" t="s">
        <v>845</v>
      </c>
      <c r="I4051" s="549" t="s">
        <v>976</v>
      </c>
      <c r="J4051" s="549" t="s">
        <v>976</v>
      </c>
      <c r="K4051" s="549" t="s">
        <v>976</v>
      </c>
      <c r="L4051" s="549">
        <v>34024.559999999998</v>
      </c>
      <c r="M4051" s="549">
        <v>2568.85</v>
      </c>
      <c r="N4051" s="549">
        <v>751.94</v>
      </c>
      <c r="O4051" s="549">
        <v>1984</v>
      </c>
      <c r="P4051" s="549">
        <v>100</v>
      </c>
      <c r="Q4051" s="549">
        <v>5304.79</v>
      </c>
    </row>
    <row r="4052" spans="1:17" x14ac:dyDescent="0.25">
      <c r="A4052" s="549" t="s">
        <v>1111</v>
      </c>
      <c r="B4052" s="549" t="s">
        <v>1112</v>
      </c>
      <c r="C4052" s="549" t="s">
        <v>845</v>
      </c>
      <c r="D4052" s="549" t="s">
        <v>846</v>
      </c>
      <c r="E4052" s="549" t="s">
        <v>977</v>
      </c>
      <c r="F4052" s="549" t="s">
        <v>1212</v>
      </c>
      <c r="G4052" s="549" t="s">
        <v>1329</v>
      </c>
      <c r="H4052" s="549" t="s">
        <v>845</v>
      </c>
      <c r="I4052" s="549" t="s">
        <v>976</v>
      </c>
      <c r="J4052" s="549" t="s">
        <v>976</v>
      </c>
      <c r="K4052" s="549" t="s">
        <v>976</v>
      </c>
      <c r="L4052" s="549">
        <v>30324.44</v>
      </c>
      <c r="M4052" s="549">
        <v>2289.5</v>
      </c>
      <c r="N4052" s="549">
        <v>670.17</v>
      </c>
      <c r="O4052" s="549">
        <v>0</v>
      </c>
      <c r="P4052" s="549">
        <v>100</v>
      </c>
      <c r="Q4052" s="549">
        <v>2959.67</v>
      </c>
    </row>
    <row r="4053" spans="1:17" x14ac:dyDescent="0.25">
      <c r="A4053" s="549" t="s">
        <v>1111</v>
      </c>
      <c r="B4053" s="549" t="s">
        <v>1112</v>
      </c>
      <c r="C4053" s="549" t="s">
        <v>845</v>
      </c>
      <c r="D4053" s="549" t="s">
        <v>846</v>
      </c>
      <c r="E4053" s="549" t="s">
        <v>977</v>
      </c>
      <c r="F4053" s="549" t="s">
        <v>1212</v>
      </c>
      <c r="G4053" s="549" t="s">
        <v>1524</v>
      </c>
      <c r="H4053" s="549" t="s">
        <v>845</v>
      </c>
      <c r="I4053" s="549" t="s">
        <v>976</v>
      </c>
      <c r="J4053" s="549" t="s">
        <v>976</v>
      </c>
      <c r="K4053" s="549" t="s">
        <v>976</v>
      </c>
      <c r="L4053" s="549">
        <v>30324.44</v>
      </c>
      <c r="M4053" s="549">
        <v>2289.5</v>
      </c>
      <c r="N4053" s="549">
        <v>670.17</v>
      </c>
      <c r="O4053" s="549">
        <v>0</v>
      </c>
      <c r="P4053" s="549">
        <v>100</v>
      </c>
      <c r="Q4053" s="549">
        <v>2959.67</v>
      </c>
    </row>
    <row r="4054" spans="1:17" x14ac:dyDescent="0.25">
      <c r="A4054" s="549" t="s">
        <v>1111</v>
      </c>
      <c r="B4054" s="549" t="s">
        <v>1112</v>
      </c>
      <c r="C4054" s="549" t="s">
        <v>845</v>
      </c>
      <c r="D4054" s="549" t="s">
        <v>846</v>
      </c>
      <c r="E4054" s="549" t="s">
        <v>977</v>
      </c>
      <c r="F4054" s="549" t="s">
        <v>1212</v>
      </c>
      <c r="G4054" s="549" t="s">
        <v>1218</v>
      </c>
      <c r="H4054" s="549" t="s">
        <v>845</v>
      </c>
      <c r="I4054" s="549" t="s">
        <v>976</v>
      </c>
      <c r="J4054" s="549" t="s">
        <v>976</v>
      </c>
      <c r="K4054" s="549" t="s">
        <v>976</v>
      </c>
      <c r="L4054" s="549">
        <v>234138.92</v>
      </c>
      <c r="M4054" s="549">
        <v>17677.490000000002</v>
      </c>
      <c r="N4054" s="549">
        <v>5174.47</v>
      </c>
      <c r="O4054" s="549">
        <v>992</v>
      </c>
      <c r="P4054" s="549">
        <v>100</v>
      </c>
      <c r="Q4054" s="549">
        <v>23843.96</v>
      </c>
    </row>
    <row r="4055" spans="1:17" x14ac:dyDescent="0.25">
      <c r="A4055" s="549" t="s">
        <v>1111</v>
      </c>
      <c r="B4055" s="549" t="s">
        <v>1112</v>
      </c>
      <c r="C4055" s="549" t="s">
        <v>845</v>
      </c>
      <c r="D4055" s="549" t="s">
        <v>846</v>
      </c>
      <c r="E4055" s="549" t="s">
        <v>977</v>
      </c>
      <c r="F4055" s="549" t="s">
        <v>1212</v>
      </c>
      <c r="G4055" s="549" t="s">
        <v>1525</v>
      </c>
      <c r="H4055" s="549" t="s">
        <v>845</v>
      </c>
      <c r="I4055" s="549" t="s">
        <v>976</v>
      </c>
      <c r="J4055" s="549" t="s">
        <v>976</v>
      </c>
      <c r="K4055" s="549" t="s">
        <v>976</v>
      </c>
      <c r="L4055" s="549">
        <v>192750.25</v>
      </c>
      <c r="M4055" s="549">
        <v>14552.64</v>
      </c>
      <c r="N4055" s="549">
        <v>4259.78</v>
      </c>
      <c r="O4055" s="549">
        <v>992</v>
      </c>
      <c r="P4055" s="549">
        <v>100</v>
      </c>
      <c r="Q4055" s="549">
        <v>19804.419999999998</v>
      </c>
    </row>
    <row r="4056" spans="1:17" x14ac:dyDescent="0.25">
      <c r="A4056" s="549" t="s">
        <v>1111</v>
      </c>
      <c r="B4056" s="549" t="s">
        <v>1112</v>
      </c>
      <c r="C4056" s="549" t="s">
        <v>39</v>
      </c>
      <c r="D4056" s="549" t="s">
        <v>842</v>
      </c>
      <c r="E4056" s="549" t="s">
        <v>977</v>
      </c>
      <c r="F4056" s="549" t="s">
        <v>1212</v>
      </c>
      <c r="G4056" s="549">
        <v>72</v>
      </c>
      <c r="H4056" s="549" t="s">
        <v>39</v>
      </c>
      <c r="I4056" s="549" t="s">
        <v>976</v>
      </c>
      <c r="J4056" s="549" t="s">
        <v>976</v>
      </c>
      <c r="K4056" s="549" t="s">
        <v>976</v>
      </c>
      <c r="L4056" s="549">
        <v>340679.91</v>
      </c>
      <c r="M4056" s="549">
        <v>25721.33</v>
      </c>
      <c r="N4056" s="549">
        <v>7529.03</v>
      </c>
      <c r="O4056" s="549">
        <v>1984</v>
      </c>
      <c r="P4056" s="549">
        <v>100</v>
      </c>
      <c r="Q4056" s="549">
        <v>35234.36</v>
      </c>
    </row>
    <row r="4057" spans="1:17" x14ac:dyDescent="0.25">
      <c r="A4057" s="549" t="s">
        <v>1111</v>
      </c>
      <c r="B4057" s="549" t="s">
        <v>1112</v>
      </c>
      <c r="C4057" s="549" t="s">
        <v>39</v>
      </c>
      <c r="D4057" s="549" t="s">
        <v>842</v>
      </c>
      <c r="E4057" s="549" t="s">
        <v>977</v>
      </c>
      <c r="F4057" s="549" t="s">
        <v>1212</v>
      </c>
      <c r="G4057" s="549">
        <v>92</v>
      </c>
      <c r="H4057" s="549" t="s">
        <v>39</v>
      </c>
      <c r="I4057" s="549" t="s">
        <v>976</v>
      </c>
      <c r="J4057" s="549" t="s">
        <v>976</v>
      </c>
      <c r="K4057" s="549" t="s">
        <v>976</v>
      </c>
      <c r="L4057" s="549">
        <v>340679.91</v>
      </c>
      <c r="M4057" s="549">
        <v>25721.33</v>
      </c>
      <c r="N4057" s="549">
        <v>7529.03</v>
      </c>
      <c r="O4057" s="549">
        <v>1984</v>
      </c>
      <c r="P4057" s="549">
        <v>100</v>
      </c>
      <c r="Q4057" s="549">
        <v>35234.36</v>
      </c>
    </row>
    <row r="4058" spans="1:17" x14ac:dyDescent="0.25">
      <c r="A4058" s="549" t="s">
        <v>1111</v>
      </c>
      <c r="B4058" s="549" t="s">
        <v>1112</v>
      </c>
      <c r="C4058" s="549" t="s">
        <v>39</v>
      </c>
      <c r="D4058" s="549" t="s">
        <v>842</v>
      </c>
      <c r="E4058" s="549" t="s">
        <v>977</v>
      </c>
      <c r="F4058" s="549" t="s">
        <v>1212</v>
      </c>
      <c r="G4058" s="549">
        <v>1042</v>
      </c>
      <c r="H4058" s="549" t="s">
        <v>39</v>
      </c>
      <c r="I4058" s="549" t="s">
        <v>976</v>
      </c>
      <c r="J4058" s="549" t="s">
        <v>976</v>
      </c>
      <c r="K4058" s="549" t="s">
        <v>976</v>
      </c>
      <c r="L4058" s="549">
        <v>234357.8</v>
      </c>
      <c r="M4058" s="549">
        <v>17694.009999999998</v>
      </c>
      <c r="N4058" s="549">
        <v>5179.3100000000004</v>
      </c>
      <c r="O4058" s="549">
        <v>1984</v>
      </c>
      <c r="P4058" s="549">
        <v>100</v>
      </c>
      <c r="Q4058" s="549">
        <v>24857.32</v>
      </c>
    </row>
    <row r="4059" spans="1:17" x14ac:dyDescent="0.25">
      <c r="A4059" s="549" t="s">
        <v>1111</v>
      </c>
      <c r="B4059" s="549" t="s">
        <v>1112</v>
      </c>
      <c r="C4059" s="549" t="s">
        <v>39</v>
      </c>
      <c r="D4059" s="549" t="s">
        <v>842</v>
      </c>
      <c r="E4059" s="549" t="s">
        <v>977</v>
      </c>
      <c r="F4059" s="549" t="s">
        <v>1212</v>
      </c>
      <c r="G4059" s="549">
        <v>1052</v>
      </c>
      <c r="H4059" s="549" t="s">
        <v>39</v>
      </c>
      <c r="I4059" s="549" t="s">
        <v>976</v>
      </c>
      <c r="J4059" s="549" t="s">
        <v>976</v>
      </c>
      <c r="K4059" s="549" t="s">
        <v>976</v>
      </c>
      <c r="L4059" s="549">
        <v>82374.48</v>
      </c>
      <c r="M4059" s="549">
        <v>6219.27</v>
      </c>
      <c r="N4059" s="549">
        <v>1820.48</v>
      </c>
      <c r="O4059" s="549">
        <v>892.8</v>
      </c>
      <c r="P4059" s="549">
        <v>100</v>
      </c>
      <c r="Q4059" s="549">
        <v>8932.5499999999993</v>
      </c>
    </row>
    <row r="4060" spans="1:17" x14ac:dyDescent="0.25">
      <c r="A4060" s="549" t="s">
        <v>1111</v>
      </c>
      <c r="B4060" s="549" t="s">
        <v>1112</v>
      </c>
      <c r="C4060" s="549" t="s">
        <v>39</v>
      </c>
      <c r="D4060" s="549" t="s">
        <v>842</v>
      </c>
      <c r="E4060" s="549" t="s">
        <v>977</v>
      </c>
      <c r="F4060" s="549" t="s">
        <v>1212</v>
      </c>
      <c r="G4060" s="549">
        <v>1072</v>
      </c>
      <c r="H4060" s="549" t="s">
        <v>39</v>
      </c>
      <c r="I4060" s="549" t="s">
        <v>976</v>
      </c>
      <c r="J4060" s="549" t="s">
        <v>976</v>
      </c>
      <c r="K4060" s="549" t="s">
        <v>976</v>
      </c>
      <c r="L4060" s="549">
        <v>82374.48</v>
      </c>
      <c r="M4060" s="549">
        <v>6219.27</v>
      </c>
      <c r="N4060" s="549">
        <v>1820.48</v>
      </c>
      <c r="O4060" s="549">
        <v>892.8</v>
      </c>
      <c r="P4060" s="549">
        <v>100</v>
      </c>
      <c r="Q4060" s="549">
        <v>8932.5499999999993</v>
      </c>
    </row>
    <row r="4061" spans="1:17" x14ac:dyDescent="0.25">
      <c r="A4061" s="549" t="s">
        <v>1118</v>
      </c>
      <c r="B4061" s="549" t="s">
        <v>1119</v>
      </c>
      <c r="C4061" s="549" t="s">
        <v>863</v>
      </c>
      <c r="D4061" s="549" t="s">
        <v>864</v>
      </c>
      <c r="E4061" s="549" t="s">
        <v>977</v>
      </c>
      <c r="F4061" s="549" t="s">
        <v>1212</v>
      </c>
      <c r="G4061" s="549">
        <v>102</v>
      </c>
      <c r="H4061" s="549" t="s">
        <v>863</v>
      </c>
      <c r="I4061" s="549" t="s">
        <v>976</v>
      </c>
      <c r="J4061" s="549" t="s">
        <v>976</v>
      </c>
      <c r="K4061" s="549" t="s">
        <v>976</v>
      </c>
      <c r="L4061" s="549">
        <v>437698.8</v>
      </c>
      <c r="M4061" s="549">
        <v>33046.26</v>
      </c>
      <c r="N4061" s="549">
        <v>9673.14</v>
      </c>
      <c r="O4061" s="549">
        <v>1984</v>
      </c>
      <c r="P4061" s="549">
        <v>100</v>
      </c>
      <c r="Q4061" s="549">
        <v>44703.4</v>
      </c>
    </row>
    <row r="4062" spans="1:17" x14ac:dyDescent="0.25">
      <c r="A4062" s="549" t="s">
        <v>1111</v>
      </c>
      <c r="B4062" s="549" t="s">
        <v>1112</v>
      </c>
      <c r="C4062" s="549" t="s">
        <v>39</v>
      </c>
      <c r="D4062" s="549" t="s">
        <v>842</v>
      </c>
      <c r="E4062" s="549" t="s">
        <v>977</v>
      </c>
      <c r="F4062" s="549" t="s">
        <v>1212</v>
      </c>
      <c r="G4062" s="549">
        <v>1092</v>
      </c>
      <c r="H4062" s="549" t="s">
        <v>39</v>
      </c>
      <c r="I4062" s="549" t="s">
        <v>976</v>
      </c>
      <c r="J4062" s="549" t="s">
        <v>976</v>
      </c>
      <c r="K4062" s="549" t="s">
        <v>976</v>
      </c>
      <c r="L4062" s="549">
        <v>82374.48</v>
      </c>
      <c r="M4062" s="549">
        <v>6219.27</v>
      </c>
      <c r="N4062" s="549">
        <v>1820.48</v>
      </c>
      <c r="O4062" s="549">
        <v>892.8</v>
      </c>
      <c r="P4062" s="549">
        <v>100</v>
      </c>
      <c r="Q4062" s="549">
        <v>8932.5499999999993</v>
      </c>
    </row>
    <row r="4063" spans="1:17" x14ac:dyDescent="0.25">
      <c r="A4063" s="549" t="s">
        <v>1111</v>
      </c>
      <c r="B4063" s="549" t="s">
        <v>1112</v>
      </c>
      <c r="C4063" s="549" t="s">
        <v>39</v>
      </c>
      <c r="D4063" s="549" t="s">
        <v>842</v>
      </c>
      <c r="E4063" s="549" t="s">
        <v>977</v>
      </c>
      <c r="F4063" s="549" t="s">
        <v>1212</v>
      </c>
      <c r="G4063" s="549" t="s">
        <v>1526</v>
      </c>
      <c r="H4063" s="549" t="s">
        <v>39</v>
      </c>
      <c r="I4063" s="549" t="s">
        <v>976</v>
      </c>
      <c r="J4063" s="549" t="s">
        <v>976</v>
      </c>
      <c r="K4063" s="549" t="s">
        <v>976</v>
      </c>
      <c r="L4063" s="549">
        <v>17680.28</v>
      </c>
      <c r="M4063" s="549">
        <v>1334.86</v>
      </c>
      <c r="N4063" s="549">
        <v>390.73</v>
      </c>
      <c r="O4063" s="549">
        <v>1984</v>
      </c>
      <c r="P4063" s="549">
        <v>100</v>
      </c>
      <c r="Q4063" s="549">
        <v>3709.59</v>
      </c>
    </row>
    <row r="4064" spans="1:17" x14ac:dyDescent="0.25">
      <c r="A4064" s="549" t="s">
        <v>1111</v>
      </c>
      <c r="B4064" s="549" t="s">
        <v>1112</v>
      </c>
      <c r="C4064" s="549" t="s">
        <v>39</v>
      </c>
      <c r="D4064" s="549" t="s">
        <v>842</v>
      </c>
      <c r="E4064" s="549" t="s">
        <v>977</v>
      </c>
      <c r="F4064" s="549" t="s">
        <v>1212</v>
      </c>
      <c r="G4064" s="549" t="s">
        <v>1233</v>
      </c>
      <c r="H4064" s="549" t="s">
        <v>39</v>
      </c>
      <c r="I4064" s="549" t="s">
        <v>976</v>
      </c>
      <c r="J4064" s="549" t="s">
        <v>976</v>
      </c>
      <c r="K4064" s="549" t="s">
        <v>976</v>
      </c>
      <c r="L4064" s="549">
        <v>60553.440000000002</v>
      </c>
      <c r="M4064" s="549">
        <v>4571.78</v>
      </c>
      <c r="N4064" s="549">
        <v>1338.23</v>
      </c>
      <c r="O4064" s="549">
        <v>1984</v>
      </c>
      <c r="P4064" s="549">
        <v>100</v>
      </c>
      <c r="Q4064" s="549">
        <v>7894.01</v>
      </c>
    </row>
    <row r="4065" spans="1:17" x14ac:dyDescent="0.25">
      <c r="A4065" s="549" t="s">
        <v>1111</v>
      </c>
      <c r="B4065" s="549" t="s">
        <v>1112</v>
      </c>
      <c r="C4065" s="549" t="s">
        <v>39</v>
      </c>
      <c r="D4065" s="549" t="s">
        <v>842</v>
      </c>
      <c r="E4065" s="549" t="s">
        <v>977</v>
      </c>
      <c r="F4065" s="549" t="s">
        <v>1212</v>
      </c>
      <c r="G4065" s="549" t="s">
        <v>1220</v>
      </c>
      <c r="H4065" s="549" t="s">
        <v>39</v>
      </c>
      <c r="I4065" s="549" t="s">
        <v>976</v>
      </c>
      <c r="J4065" s="549" t="s">
        <v>976</v>
      </c>
      <c r="K4065" s="549" t="s">
        <v>976</v>
      </c>
      <c r="L4065" s="549">
        <v>31683.14</v>
      </c>
      <c r="M4065" s="549">
        <v>2392.08</v>
      </c>
      <c r="N4065" s="549">
        <v>700.2</v>
      </c>
      <c r="O4065" s="549">
        <v>0</v>
      </c>
      <c r="P4065" s="549">
        <v>100</v>
      </c>
      <c r="Q4065" s="549">
        <v>3092.28</v>
      </c>
    </row>
    <row r="4066" spans="1:17" x14ac:dyDescent="0.25">
      <c r="A4066" s="549" t="s">
        <v>1118</v>
      </c>
      <c r="B4066" s="549" t="s">
        <v>1119</v>
      </c>
      <c r="C4066" s="549" t="s">
        <v>863</v>
      </c>
      <c r="D4066" s="549" t="s">
        <v>864</v>
      </c>
      <c r="E4066" s="549" t="s">
        <v>977</v>
      </c>
      <c r="F4066" s="549" t="s">
        <v>1212</v>
      </c>
      <c r="G4066" s="549">
        <v>92</v>
      </c>
      <c r="H4066" s="549" t="s">
        <v>863</v>
      </c>
      <c r="I4066" s="549" t="s">
        <v>976</v>
      </c>
      <c r="J4066" s="549" t="s">
        <v>976</v>
      </c>
      <c r="K4066" s="549" t="s">
        <v>976</v>
      </c>
      <c r="L4066" s="549">
        <v>437698.8</v>
      </c>
      <c r="M4066" s="549">
        <v>33046.26</v>
      </c>
      <c r="N4066" s="549">
        <v>9673.14</v>
      </c>
      <c r="O4066" s="549">
        <v>1984</v>
      </c>
      <c r="P4066" s="549">
        <v>100</v>
      </c>
      <c r="Q4066" s="549">
        <v>44703.4</v>
      </c>
    </row>
    <row r="4067" spans="1:17" x14ac:dyDescent="0.25">
      <c r="A4067" s="549" t="s">
        <v>1111</v>
      </c>
      <c r="B4067" s="549" t="s">
        <v>1112</v>
      </c>
      <c r="C4067" s="549" t="s">
        <v>829</v>
      </c>
      <c r="D4067" s="549" t="s">
        <v>830</v>
      </c>
      <c r="E4067" s="549" t="s">
        <v>977</v>
      </c>
      <c r="F4067" s="549" t="s">
        <v>1212</v>
      </c>
      <c r="G4067" s="549">
        <v>672</v>
      </c>
      <c r="H4067" s="549" t="s">
        <v>829</v>
      </c>
      <c r="I4067" s="549" t="s">
        <v>976</v>
      </c>
      <c r="J4067" s="549" t="s">
        <v>976</v>
      </c>
      <c r="K4067" s="549" t="s">
        <v>976</v>
      </c>
      <c r="L4067" s="549">
        <v>340679.91</v>
      </c>
      <c r="M4067" s="549">
        <v>25721.33</v>
      </c>
      <c r="N4067" s="549">
        <v>7529.03</v>
      </c>
      <c r="O4067" s="549">
        <v>1984</v>
      </c>
      <c r="P4067" s="549">
        <v>100</v>
      </c>
      <c r="Q4067" s="549">
        <v>35234.36</v>
      </c>
    </row>
    <row r="4068" spans="1:17" x14ac:dyDescent="0.25">
      <c r="A4068" s="549" t="s">
        <v>1111</v>
      </c>
      <c r="B4068" s="549" t="s">
        <v>1112</v>
      </c>
      <c r="C4068" s="549" t="s">
        <v>829</v>
      </c>
      <c r="D4068" s="549" t="s">
        <v>830</v>
      </c>
      <c r="E4068" s="549" t="s">
        <v>977</v>
      </c>
      <c r="F4068" s="549" t="s">
        <v>1212</v>
      </c>
      <c r="G4068" s="549">
        <v>712</v>
      </c>
      <c r="H4068" s="549" t="s">
        <v>829</v>
      </c>
      <c r="I4068" s="549" t="s">
        <v>976</v>
      </c>
      <c r="J4068" s="549" t="s">
        <v>976</v>
      </c>
      <c r="K4068" s="549" t="s">
        <v>976</v>
      </c>
      <c r="L4068" s="549">
        <v>340679.91</v>
      </c>
      <c r="M4068" s="549">
        <v>25721.33</v>
      </c>
      <c r="N4068" s="549">
        <v>7529.03</v>
      </c>
      <c r="O4068" s="549">
        <v>1984</v>
      </c>
      <c r="P4068" s="549">
        <v>100</v>
      </c>
      <c r="Q4068" s="549">
        <v>35234.36</v>
      </c>
    </row>
    <row r="4069" spans="1:17" x14ac:dyDescent="0.25">
      <c r="A4069" s="549" t="s">
        <v>1118</v>
      </c>
      <c r="B4069" s="549" t="s">
        <v>1119</v>
      </c>
      <c r="C4069" s="549" t="s">
        <v>863</v>
      </c>
      <c r="D4069" s="549" t="s">
        <v>864</v>
      </c>
      <c r="E4069" s="549" t="s">
        <v>977</v>
      </c>
      <c r="F4069" s="549" t="s">
        <v>1212</v>
      </c>
      <c r="G4069" s="549">
        <v>62</v>
      </c>
      <c r="H4069" s="549" t="s">
        <v>863</v>
      </c>
      <c r="I4069" s="549" t="s">
        <v>976</v>
      </c>
      <c r="J4069" s="549" t="s">
        <v>976</v>
      </c>
      <c r="K4069" s="549" t="s">
        <v>976</v>
      </c>
      <c r="L4069" s="549">
        <v>437698.8</v>
      </c>
      <c r="M4069" s="549">
        <v>33046.26</v>
      </c>
      <c r="N4069" s="549">
        <v>9673.14</v>
      </c>
      <c r="O4069" s="549">
        <v>1984</v>
      </c>
      <c r="P4069" s="549">
        <v>100</v>
      </c>
      <c r="Q4069" s="549">
        <v>44703.4</v>
      </c>
    </row>
    <row r="4070" spans="1:17" x14ac:dyDescent="0.25">
      <c r="A4070" s="549" t="s">
        <v>1118</v>
      </c>
      <c r="B4070" s="549" t="s">
        <v>1119</v>
      </c>
      <c r="C4070" s="549" t="s">
        <v>863</v>
      </c>
      <c r="D4070" s="549" t="s">
        <v>864</v>
      </c>
      <c r="E4070" s="549" t="s">
        <v>977</v>
      </c>
      <c r="F4070" s="549" t="s">
        <v>1212</v>
      </c>
      <c r="G4070" s="549">
        <v>52</v>
      </c>
      <c r="H4070" s="549" t="s">
        <v>863</v>
      </c>
      <c r="I4070" s="549" t="s">
        <v>976</v>
      </c>
      <c r="J4070" s="549" t="s">
        <v>976</v>
      </c>
      <c r="K4070" s="549" t="s">
        <v>976</v>
      </c>
      <c r="L4070" s="549">
        <v>437698.8</v>
      </c>
      <c r="M4070" s="549">
        <v>33046.26</v>
      </c>
      <c r="N4070" s="549">
        <v>9673.14</v>
      </c>
      <c r="O4070" s="549">
        <v>1984</v>
      </c>
      <c r="P4070" s="549">
        <v>100</v>
      </c>
      <c r="Q4070" s="549">
        <v>44703.4</v>
      </c>
    </row>
    <row r="4071" spans="1:17" x14ac:dyDescent="0.25">
      <c r="A4071" s="549" t="s">
        <v>1111</v>
      </c>
      <c r="B4071" s="549" t="s">
        <v>1112</v>
      </c>
      <c r="C4071" s="549" t="s">
        <v>829</v>
      </c>
      <c r="D4071" s="549" t="s">
        <v>830</v>
      </c>
      <c r="E4071" s="549" t="s">
        <v>977</v>
      </c>
      <c r="F4071" s="549" t="s">
        <v>1212</v>
      </c>
      <c r="G4071" s="549">
        <v>2082</v>
      </c>
      <c r="H4071" s="549" t="s">
        <v>829</v>
      </c>
      <c r="I4071" s="549" t="s">
        <v>976</v>
      </c>
      <c r="J4071" s="549" t="s">
        <v>976</v>
      </c>
      <c r="K4071" s="549" t="s">
        <v>976</v>
      </c>
      <c r="L4071" s="549">
        <v>117713.7</v>
      </c>
      <c r="M4071" s="549">
        <v>8887.3799999999992</v>
      </c>
      <c r="N4071" s="549">
        <v>2601.4699999999998</v>
      </c>
      <c r="O4071" s="549">
        <v>1984</v>
      </c>
      <c r="P4071" s="549">
        <v>100</v>
      </c>
      <c r="Q4071" s="549">
        <v>13472.85</v>
      </c>
    </row>
    <row r="4072" spans="1:17" x14ac:dyDescent="0.25">
      <c r="A4072" s="549" t="s">
        <v>1111</v>
      </c>
      <c r="B4072" s="549" t="s">
        <v>1112</v>
      </c>
      <c r="C4072" s="549" t="s">
        <v>829</v>
      </c>
      <c r="D4072" s="549" t="s">
        <v>830</v>
      </c>
      <c r="E4072" s="549" t="s">
        <v>977</v>
      </c>
      <c r="F4072" s="549" t="s">
        <v>1212</v>
      </c>
      <c r="G4072" s="549">
        <v>2092</v>
      </c>
      <c r="H4072" s="549" t="s">
        <v>829</v>
      </c>
      <c r="I4072" s="549" t="s">
        <v>976</v>
      </c>
      <c r="J4072" s="549" t="s">
        <v>976</v>
      </c>
      <c r="K4072" s="549" t="s">
        <v>976</v>
      </c>
      <c r="L4072" s="549">
        <v>129178.51</v>
      </c>
      <c r="M4072" s="549">
        <v>9752.98</v>
      </c>
      <c r="N4072" s="549">
        <v>2854.85</v>
      </c>
      <c r="O4072" s="549">
        <v>3968</v>
      </c>
      <c r="P4072" s="549">
        <v>100</v>
      </c>
      <c r="Q4072" s="549">
        <v>16575.830000000002</v>
      </c>
    </row>
    <row r="4073" spans="1:17" x14ac:dyDescent="0.25">
      <c r="A4073" s="549" t="s">
        <v>1111</v>
      </c>
      <c r="B4073" s="549" t="s">
        <v>1112</v>
      </c>
      <c r="C4073" s="549" t="s">
        <v>829</v>
      </c>
      <c r="D4073" s="549" t="s">
        <v>830</v>
      </c>
      <c r="E4073" s="549" t="s">
        <v>977</v>
      </c>
      <c r="F4073" s="549" t="s">
        <v>1212</v>
      </c>
      <c r="G4073" s="549">
        <v>2112</v>
      </c>
      <c r="H4073" s="549" t="s">
        <v>829</v>
      </c>
      <c r="I4073" s="549" t="s">
        <v>976</v>
      </c>
      <c r="J4073" s="549" t="s">
        <v>976</v>
      </c>
      <c r="K4073" s="549" t="s">
        <v>976</v>
      </c>
      <c r="L4073" s="549">
        <v>129178.51</v>
      </c>
      <c r="M4073" s="549">
        <v>9752.98</v>
      </c>
      <c r="N4073" s="549">
        <v>2854.85</v>
      </c>
      <c r="O4073" s="549">
        <v>3968</v>
      </c>
      <c r="P4073" s="549">
        <v>100</v>
      </c>
      <c r="Q4073" s="549">
        <v>16575.830000000002</v>
      </c>
    </row>
    <row r="4074" spans="1:17" x14ac:dyDescent="0.25">
      <c r="A4074" s="549" t="s">
        <v>1111</v>
      </c>
      <c r="B4074" s="549" t="s">
        <v>1112</v>
      </c>
      <c r="C4074" s="549" t="s">
        <v>829</v>
      </c>
      <c r="D4074" s="549" t="s">
        <v>830</v>
      </c>
      <c r="E4074" s="549" t="s">
        <v>977</v>
      </c>
      <c r="F4074" s="549" t="s">
        <v>1212</v>
      </c>
      <c r="G4074" s="549">
        <v>2132</v>
      </c>
      <c r="H4074" s="549" t="s">
        <v>829</v>
      </c>
      <c r="I4074" s="549" t="s">
        <v>976</v>
      </c>
      <c r="J4074" s="549" t="s">
        <v>976</v>
      </c>
      <c r="K4074" s="549" t="s">
        <v>976</v>
      </c>
      <c r="L4074" s="549">
        <v>129178.51</v>
      </c>
      <c r="M4074" s="549">
        <v>9752.98</v>
      </c>
      <c r="N4074" s="549">
        <v>2854.85</v>
      </c>
      <c r="O4074" s="549">
        <v>3968</v>
      </c>
      <c r="P4074" s="549">
        <v>100</v>
      </c>
      <c r="Q4074" s="549">
        <v>16575.830000000002</v>
      </c>
    </row>
    <row r="4075" spans="1:17" x14ac:dyDescent="0.25">
      <c r="A4075" s="549" t="s">
        <v>1111</v>
      </c>
      <c r="B4075" s="549" t="s">
        <v>1112</v>
      </c>
      <c r="C4075" s="549" t="s">
        <v>829</v>
      </c>
      <c r="D4075" s="549" t="s">
        <v>830</v>
      </c>
      <c r="E4075" s="549" t="s">
        <v>977</v>
      </c>
      <c r="F4075" s="549" t="s">
        <v>1212</v>
      </c>
      <c r="G4075" s="549">
        <v>2142</v>
      </c>
      <c r="H4075" s="549" t="s">
        <v>829</v>
      </c>
      <c r="I4075" s="549" t="s">
        <v>976</v>
      </c>
      <c r="J4075" s="549" t="s">
        <v>976</v>
      </c>
      <c r="K4075" s="549" t="s">
        <v>976</v>
      </c>
      <c r="L4075" s="549">
        <v>117713.7</v>
      </c>
      <c r="M4075" s="549">
        <v>8887.3799999999992</v>
      </c>
      <c r="N4075" s="549">
        <v>2601.4699999999998</v>
      </c>
      <c r="O4075" s="549">
        <v>1984</v>
      </c>
      <c r="P4075" s="549">
        <v>100</v>
      </c>
      <c r="Q4075" s="549">
        <v>13472.85</v>
      </c>
    </row>
    <row r="4076" spans="1:17" x14ac:dyDescent="0.25">
      <c r="A4076" s="549" t="s">
        <v>1111</v>
      </c>
      <c r="B4076" s="549" t="s">
        <v>1112</v>
      </c>
      <c r="C4076" s="549" t="s">
        <v>829</v>
      </c>
      <c r="D4076" s="549" t="s">
        <v>830</v>
      </c>
      <c r="E4076" s="549" t="s">
        <v>977</v>
      </c>
      <c r="F4076" s="549" t="s">
        <v>1212</v>
      </c>
      <c r="G4076" s="549">
        <v>2152</v>
      </c>
      <c r="H4076" s="549" t="s">
        <v>829</v>
      </c>
      <c r="I4076" s="549" t="s">
        <v>976</v>
      </c>
      <c r="J4076" s="549" t="s">
        <v>976</v>
      </c>
      <c r="K4076" s="549" t="s">
        <v>976</v>
      </c>
      <c r="L4076" s="549">
        <v>129178.51</v>
      </c>
      <c r="M4076" s="549">
        <v>9752.98</v>
      </c>
      <c r="N4076" s="549">
        <v>2854.85</v>
      </c>
      <c r="O4076" s="549">
        <v>3968</v>
      </c>
      <c r="P4076" s="549">
        <v>100</v>
      </c>
      <c r="Q4076" s="549">
        <v>16575.830000000002</v>
      </c>
    </row>
    <row r="4077" spans="1:17" x14ac:dyDescent="0.25">
      <c r="A4077" s="549" t="s">
        <v>1118</v>
      </c>
      <c r="B4077" s="549" t="s">
        <v>1119</v>
      </c>
      <c r="C4077" s="549" t="s">
        <v>863</v>
      </c>
      <c r="D4077" s="549" t="s">
        <v>864</v>
      </c>
      <c r="E4077" s="549" t="s">
        <v>977</v>
      </c>
      <c r="F4077" s="549" t="s">
        <v>1212</v>
      </c>
      <c r="G4077" s="549">
        <v>39</v>
      </c>
      <c r="H4077" s="549" t="s">
        <v>863</v>
      </c>
      <c r="I4077" s="549" t="s">
        <v>976</v>
      </c>
      <c r="J4077" s="549" t="s">
        <v>976</v>
      </c>
      <c r="K4077" s="549" t="s">
        <v>976</v>
      </c>
      <c r="L4077" s="549">
        <v>78531.14</v>
      </c>
      <c r="M4077" s="549">
        <v>5929.1</v>
      </c>
      <c r="N4077" s="549">
        <v>1735.54</v>
      </c>
      <c r="O4077" s="549">
        <v>992</v>
      </c>
      <c r="P4077" s="549">
        <v>100</v>
      </c>
      <c r="Q4077" s="549">
        <v>8656.64</v>
      </c>
    </row>
    <row r="4078" spans="1:17" x14ac:dyDescent="0.25">
      <c r="A4078" s="549" t="s">
        <v>1111</v>
      </c>
      <c r="B4078" s="549" t="s">
        <v>1112</v>
      </c>
      <c r="C4078" s="549" t="s">
        <v>829</v>
      </c>
      <c r="D4078" s="549" t="s">
        <v>830</v>
      </c>
      <c r="E4078" s="549" t="s">
        <v>977</v>
      </c>
      <c r="F4078" s="549" t="s">
        <v>1212</v>
      </c>
      <c r="G4078" s="549">
        <v>2172</v>
      </c>
      <c r="H4078" s="549" t="s">
        <v>829</v>
      </c>
      <c r="I4078" s="549" t="s">
        <v>976</v>
      </c>
      <c r="J4078" s="549" t="s">
        <v>976</v>
      </c>
      <c r="K4078" s="549" t="s">
        <v>976</v>
      </c>
      <c r="L4078" s="549">
        <v>129178.51</v>
      </c>
      <c r="M4078" s="549">
        <v>9752.98</v>
      </c>
      <c r="N4078" s="549">
        <v>2854.85</v>
      </c>
      <c r="O4078" s="549">
        <v>3968</v>
      </c>
      <c r="P4078" s="549">
        <v>100</v>
      </c>
      <c r="Q4078" s="549">
        <v>16575.830000000002</v>
      </c>
    </row>
    <row r="4079" spans="1:17" x14ac:dyDescent="0.25">
      <c r="A4079" s="549" t="s">
        <v>1111</v>
      </c>
      <c r="B4079" s="549" t="s">
        <v>1112</v>
      </c>
      <c r="C4079" s="549" t="s">
        <v>829</v>
      </c>
      <c r="D4079" s="549" t="s">
        <v>830</v>
      </c>
      <c r="E4079" s="549" t="s">
        <v>977</v>
      </c>
      <c r="F4079" s="549" t="s">
        <v>1212</v>
      </c>
      <c r="G4079" s="549" t="s">
        <v>1527</v>
      </c>
      <c r="H4079" s="549" t="s">
        <v>829</v>
      </c>
      <c r="I4079" s="549" t="s">
        <v>976</v>
      </c>
      <c r="J4079" s="549" t="s">
        <v>976</v>
      </c>
      <c r="K4079" s="549" t="s">
        <v>976</v>
      </c>
      <c r="L4079" s="549">
        <v>30415.95</v>
      </c>
      <c r="M4079" s="549">
        <v>2296.4</v>
      </c>
      <c r="N4079" s="549">
        <v>672.19</v>
      </c>
      <c r="O4079" s="549">
        <v>1984</v>
      </c>
      <c r="P4079" s="549">
        <v>100</v>
      </c>
      <c r="Q4079" s="549">
        <v>4952.59</v>
      </c>
    </row>
    <row r="4080" spans="1:17" x14ac:dyDescent="0.25">
      <c r="A4080" s="549" t="s">
        <v>1111</v>
      </c>
      <c r="B4080" s="549" t="s">
        <v>1112</v>
      </c>
      <c r="C4080" s="549" t="s">
        <v>829</v>
      </c>
      <c r="D4080" s="549" t="s">
        <v>830</v>
      </c>
      <c r="E4080" s="549" t="s">
        <v>977</v>
      </c>
      <c r="F4080" s="549" t="s">
        <v>1212</v>
      </c>
      <c r="G4080" s="549" t="s">
        <v>1528</v>
      </c>
      <c r="H4080" s="549" t="s">
        <v>829</v>
      </c>
      <c r="I4080" s="549" t="s">
        <v>976</v>
      </c>
      <c r="J4080" s="549" t="s">
        <v>976</v>
      </c>
      <c r="K4080" s="549" t="s">
        <v>976</v>
      </c>
      <c r="L4080" s="549">
        <v>30415.95</v>
      </c>
      <c r="M4080" s="549">
        <v>2296.4</v>
      </c>
      <c r="N4080" s="549">
        <v>672.19</v>
      </c>
      <c r="O4080" s="549">
        <v>1984</v>
      </c>
      <c r="P4080" s="549">
        <v>100</v>
      </c>
      <c r="Q4080" s="549">
        <v>4952.59</v>
      </c>
    </row>
    <row r="4081" spans="1:17" x14ac:dyDescent="0.25">
      <c r="A4081" s="549" t="s">
        <v>1111</v>
      </c>
      <c r="B4081" s="549" t="s">
        <v>1112</v>
      </c>
      <c r="C4081" s="549" t="s">
        <v>829</v>
      </c>
      <c r="D4081" s="549" t="s">
        <v>830</v>
      </c>
      <c r="E4081" s="549" t="s">
        <v>977</v>
      </c>
      <c r="F4081" s="549" t="s">
        <v>1212</v>
      </c>
      <c r="G4081" s="549" t="s">
        <v>1529</v>
      </c>
      <c r="H4081" s="549" t="s">
        <v>829</v>
      </c>
      <c r="I4081" s="549" t="s">
        <v>976</v>
      </c>
      <c r="J4081" s="549" t="s">
        <v>976</v>
      </c>
      <c r="K4081" s="549" t="s">
        <v>976</v>
      </c>
      <c r="L4081" s="549">
        <v>106001.01</v>
      </c>
      <c r="M4081" s="549">
        <v>8003.08</v>
      </c>
      <c r="N4081" s="549">
        <v>2342.62</v>
      </c>
      <c r="O4081" s="549">
        <v>1984</v>
      </c>
      <c r="P4081" s="549">
        <v>100</v>
      </c>
      <c r="Q4081" s="549">
        <v>12329.7</v>
      </c>
    </row>
    <row r="4082" spans="1:17" x14ac:dyDescent="0.25">
      <c r="A4082" s="549" t="s">
        <v>1111</v>
      </c>
      <c r="B4082" s="549" t="s">
        <v>1112</v>
      </c>
      <c r="C4082" s="549" t="s">
        <v>829</v>
      </c>
      <c r="D4082" s="549" t="s">
        <v>830</v>
      </c>
      <c r="E4082" s="549" t="s">
        <v>977</v>
      </c>
      <c r="F4082" s="549" t="s">
        <v>1212</v>
      </c>
      <c r="G4082" s="549" t="s">
        <v>1235</v>
      </c>
      <c r="H4082" s="549" t="s">
        <v>829</v>
      </c>
      <c r="I4082" s="549" t="s">
        <v>976</v>
      </c>
      <c r="J4082" s="549" t="s">
        <v>976</v>
      </c>
      <c r="K4082" s="549" t="s">
        <v>976</v>
      </c>
      <c r="L4082" s="549">
        <v>266109.21000000002</v>
      </c>
      <c r="M4082" s="549">
        <v>20091.25</v>
      </c>
      <c r="N4082" s="549">
        <v>5881.01</v>
      </c>
      <c r="O4082" s="549">
        <v>992</v>
      </c>
      <c r="P4082" s="549">
        <v>100</v>
      </c>
      <c r="Q4082" s="549">
        <v>26964.26</v>
      </c>
    </row>
    <row r="4083" spans="1:17" x14ac:dyDescent="0.25">
      <c r="A4083" s="549" t="s">
        <v>1111</v>
      </c>
      <c r="B4083" s="549" t="s">
        <v>1112</v>
      </c>
      <c r="C4083" s="549" t="s">
        <v>829</v>
      </c>
      <c r="D4083" s="549" t="s">
        <v>830</v>
      </c>
      <c r="E4083" s="549" t="s">
        <v>977</v>
      </c>
      <c r="F4083" s="549" t="s">
        <v>1212</v>
      </c>
      <c r="G4083" s="549" t="s">
        <v>1236</v>
      </c>
      <c r="H4083" s="549" t="s">
        <v>829</v>
      </c>
      <c r="I4083" s="549" t="s">
        <v>976</v>
      </c>
      <c r="J4083" s="549" t="s">
        <v>976</v>
      </c>
      <c r="K4083" s="549" t="s">
        <v>976</v>
      </c>
      <c r="L4083" s="549">
        <v>266109.21000000002</v>
      </c>
      <c r="M4083" s="549">
        <v>20091.25</v>
      </c>
      <c r="N4083" s="549">
        <v>5881.01</v>
      </c>
      <c r="O4083" s="549">
        <v>992</v>
      </c>
      <c r="P4083" s="549">
        <v>100</v>
      </c>
      <c r="Q4083" s="549">
        <v>26964.26</v>
      </c>
    </row>
    <row r="4084" spans="1:17" x14ac:dyDescent="0.25">
      <c r="A4084" s="549" t="s">
        <v>1111</v>
      </c>
      <c r="B4084" s="549" t="s">
        <v>1112</v>
      </c>
      <c r="C4084" s="549" t="s">
        <v>829</v>
      </c>
      <c r="D4084" s="549" t="s">
        <v>830</v>
      </c>
      <c r="E4084" s="549" t="s">
        <v>977</v>
      </c>
      <c r="F4084" s="549" t="s">
        <v>1212</v>
      </c>
      <c r="G4084" s="549" t="s">
        <v>1279</v>
      </c>
      <c r="H4084" s="549" t="s">
        <v>829</v>
      </c>
      <c r="I4084" s="549" t="s">
        <v>976</v>
      </c>
      <c r="J4084" s="549" t="s">
        <v>976</v>
      </c>
      <c r="K4084" s="549" t="s">
        <v>976</v>
      </c>
      <c r="L4084" s="549">
        <v>30127.7</v>
      </c>
      <c r="M4084" s="549">
        <v>2274.64</v>
      </c>
      <c r="N4084" s="549">
        <v>665.82</v>
      </c>
      <c r="O4084" s="549">
        <v>0</v>
      </c>
      <c r="P4084" s="549">
        <v>100</v>
      </c>
      <c r="Q4084" s="549">
        <v>2940.46</v>
      </c>
    </row>
    <row r="4085" spans="1:17" x14ac:dyDescent="0.25">
      <c r="A4085" s="549" t="s">
        <v>1111</v>
      </c>
      <c r="B4085" s="549" t="s">
        <v>1112</v>
      </c>
      <c r="C4085" s="549" t="s">
        <v>829</v>
      </c>
      <c r="D4085" s="549" t="s">
        <v>830</v>
      </c>
      <c r="E4085" s="549" t="s">
        <v>977</v>
      </c>
      <c r="F4085" s="549" t="s">
        <v>1212</v>
      </c>
      <c r="G4085" s="549" t="s">
        <v>1530</v>
      </c>
      <c r="H4085" s="549" t="s">
        <v>829</v>
      </c>
      <c r="I4085" s="549" t="s">
        <v>976</v>
      </c>
      <c r="J4085" s="549" t="s">
        <v>976</v>
      </c>
      <c r="K4085" s="549" t="s">
        <v>976</v>
      </c>
      <c r="L4085" s="549">
        <v>30127.7</v>
      </c>
      <c r="M4085" s="549">
        <v>2274.64</v>
      </c>
      <c r="N4085" s="549">
        <v>665.82</v>
      </c>
      <c r="O4085" s="549">
        <v>0</v>
      </c>
      <c r="P4085" s="549">
        <v>100</v>
      </c>
      <c r="Q4085" s="549">
        <v>2940.46</v>
      </c>
    </row>
    <row r="4086" spans="1:17" x14ac:dyDescent="0.25">
      <c r="A4086" s="549" t="s">
        <v>1118</v>
      </c>
      <c r="B4086" s="549" t="s">
        <v>1119</v>
      </c>
      <c r="C4086" s="549" t="s">
        <v>863</v>
      </c>
      <c r="D4086" s="549" t="s">
        <v>864</v>
      </c>
      <c r="E4086" s="549" t="s">
        <v>977</v>
      </c>
      <c r="F4086" s="549" t="s">
        <v>1212</v>
      </c>
      <c r="G4086" s="549">
        <v>38</v>
      </c>
      <c r="H4086" s="549" t="s">
        <v>863</v>
      </c>
      <c r="I4086" s="549" t="s">
        <v>976</v>
      </c>
      <c r="J4086" s="549" t="s">
        <v>976</v>
      </c>
      <c r="K4086" s="549" t="s">
        <v>976</v>
      </c>
      <c r="L4086" s="549">
        <v>75965.64</v>
      </c>
      <c r="M4086" s="549">
        <v>5735.41</v>
      </c>
      <c r="N4086" s="549">
        <v>1678.84</v>
      </c>
      <c r="O4086" s="549">
        <v>992</v>
      </c>
      <c r="P4086" s="549">
        <v>100</v>
      </c>
      <c r="Q4086" s="549">
        <v>8406.25</v>
      </c>
    </row>
    <row r="4087" spans="1:17" x14ac:dyDescent="0.25">
      <c r="A4087" s="549" t="s">
        <v>1118</v>
      </c>
      <c r="B4087" s="549" t="s">
        <v>1119</v>
      </c>
      <c r="C4087" s="549" t="s">
        <v>863</v>
      </c>
      <c r="D4087" s="549" t="s">
        <v>864</v>
      </c>
      <c r="E4087" s="549" t="s">
        <v>977</v>
      </c>
      <c r="F4087" s="549" t="s">
        <v>1212</v>
      </c>
      <c r="G4087" s="549">
        <v>37</v>
      </c>
      <c r="H4087" s="549" t="s">
        <v>863</v>
      </c>
      <c r="I4087" s="549" t="s">
        <v>976</v>
      </c>
      <c r="J4087" s="549" t="s">
        <v>976</v>
      </c>
      <c r="K4087" s="549" t="s">
        <v>976</v>
      </c>
      <c r="L4087" s="549">
        <v>78531.14</v>
      </c>
      <c r="M4087" s="549">
        <v>5929.1</v>
      </c>
      <c r="N4087" s="549">
        <v>1735.54</v>
      </c>
      <c r="O4087" s="549">
        <v>992</v>
      </c>
      <c r="P4087" s="549">
        <v>100</v>
      </c>
      <c r="Q4087" s="549">
        <v>8656.64</v>
      </c>
    </row>
    <row r="4088" spans="1:17" x14ac:dyDescent="0.25">
      <c r="A4088" s="549" t="s">
        <v>1118</v>
      </c>
      <c r="B4088" s="549" t="s">
        <v>1119</v>
      </c>
      <c r="C4088" s="549" t="s">
        <v>863</v>
      </c>
      <c r="D4088" s="549" t="s">
        <v>864</v>
      </c>
      <c r="E4088" s="549" t="s">
        <v>977</v>
      </c>
      <c r="F4088" s="549" t="s">
        <v>1212</v>
      </c>
      <c r="G4088" s="549">
        <v>12</v>
      </c>
      <c r="H4088" s="549" t="s">
        <v>863</v>
      </c>
      <c r="I4088" s="549" t="s">
        <v>976</v>
      </c>
      <c r="J4088" s="549" t="s">
        <v>976</v>
      </c>
      <c r="K4088" s="549" t="s">
        <v>976</v>
      </c>
      <c r="L4088" s="549">
        <v>74255.3</v>
      </c>
      <c r="M4088" s="549">
        <v>5606.28</v>
      </c>
      <c r="N4088" s="549">
        <v>1641.04</v>
      </c>
      <c r="O4088" s="549">
        <v>992</v>
      </c>
      <c r="P4088" s="549">
        <v>100</v>
      </c>
      <c r="Q4088" s="549">
        <v>8239.32</v>
      </c>
    </row>
    <row r="4089" spans="1:17" x14ac:dyDescent="0.25">
      <c r="A4089" s="549" t="s">
        <v>1118</v>
      </c>
      <c r="B4089" s="549" t="s">
        <v>1119</v>
      </c>
      <c r="C4089" s="549" t="s">
        <v>863</v>
      </c>
      <c r="D4089" s="549" t="s">
        <v>864</v>
      </c>
      <c r="E4089" s="549" t="s">
        <v>977</v>
      </c>
      <c r="F4089" s="549" t="s">
        <v>1212</v>
      </c>
      <c r="G4089" s="549">
        <v>11</v>
      </c>
      <c r="H4089" s="549" t="s">
        <v>863</v>
      </c>
      <c r="I4089" s="549" t="s">
        <v>976</v>
      </c>
      <c r="J4089" s="549" t="s">
        <v>976</v>
      </c>
      <c r="K4089" s="549" t="s">
        <v>976</v>
      </c>
      <c r="L4089" s="549">
        <v>74255.3</v>
      </c>
      <c r="M4089" s="549">
        <v>5606.28</v>
      </c>
      <c r="N4089" s="549">
        <v>1641.04</v>
      </c>
      <c r="O4089" s="549">
        <v>992</v>
      </c>
      <c r="P4089" s="549">
        <v>100</v>
      </c>
      <c r="Q4089" s="549">
        <v>8239.32</v>
      </c>
    </row>
    <row r="4090" spans="1:17" x14ac:dyDescent="0.25">
      <c r="A4090" s="549" t="s">
        <v>1118</v>
      </c>
      <c r="B4090" s="549" t="s">
        <v>1119</v>
      </c>
      <c r="C4090" s="549" t="s">
        <v>863</v>
      </c>
      <c r="D4090" s="549" t="s">
        <v>864</v>
      </c>
      <c r="E4090" s="549" t="s">
        <v>977</v>
      </c>
      <c r="F4090" s="549" t="s">
        <v>1212</v>
      </c>
      <c r="G4090" s="549">
        <v>10</v>
      </c>
      <c r="H4090" s="549" t="s">
        <v>863</v>
      </c>
      <c r="I4090" s="549" t="s">
        <v>976</v>
      </c>
      <c r="J4090" s="549" t="s">
        <v>976</v>
      </c>
      <c r="K4090" s="549" t="s">
        <v>976</v>
      </c>
      <c r="L4090" s="549">
        <v>74255.3</v>
      </c>
      <c r="M4090" s="549">
        <v>5606.28</v>
      </c>
      <c r="N4090" s="549">
        <v>1641.04</v>
      </c>
      <c r="O4090" s="549">
        <v>992</v>
      </c>
      <c r="P4090" s="549">
        <v>100</v>
      </c>
      <c r="Q4090" s="549">
        <v>8239.32</v>
      </c>
    </row>
    <row r="4091" spans="1:17" x14ac:dyDescent="0.25">
      <c r="A4091" s="549" t="s">
        <v>1118</v>
      </c>
      <c r="B4091" s="549" t="s">
        <v>1119</v>
      </c>
      <c r="C4091" s="549" t="s">
        <v>863</v>
      </c>
      <c r="D4091" s="549" t="s">
        <v>864</v>
      </c>
      <c r="E4091" s="549" t="s">
        <v>977</v>
      </c>
      <c r="F4091" s="549" t="s">
        <v>1212</v>
      </c>
      <c r="G4091" s="549">
        <v>9</v>
      </c>
      <c r="H4091" s="549" t="s">
        <v>863</v>
      </c>
      <c r="I4091" s="549" t="s">
        <v>976</v>
      </c>
      <c r="J4091" s="549" t="s">
        <v>976</v>
      </c>
      <c r="K4091" s="549" t="s">
        <v>976</v>
      </c>
      <c r="L4091" s="549">
        <v>74255.3</v>
      </c>
      <c r="M4091" s="549">
        <v>5606.28</v>
      </c>
      <c r="N4091" s="549">
        <v>1641.04</v>
      </c>
      <c r="O4091" s="549">
        <v>992</v>
      </c>
      <c r="P4091" s="549">
        <v>100</v>
      </c>
      <c r="Q4091" s="549">
        <v>8239.32</v>
      </c>
    </row>
    <row r="4092" spans="1:17" x14ac:dyDescent="0.25">
      <c r="A4092" s="549" t="s">
        <v>1118</v>
      </c>
      <c r="B4092" s="549" t="s">
        <v>1119</v>
      </c>
      <c r="C4092" s="549" t="s">
        <v>863</v>
      </c>
      <c r="D4092" s="549" t="s">
        <v>864</v>
      </c>
      <c r="E4092" s="549" t="s">
        <v>977</v>
      </c>
      <c r="F4092" s="549" t="s">
        <v>1212</v>
      </c>
      <c r="G4092" s="549">
        <v>8</v>
      </c>
      <c r="H4092" s="549" t="s">
        <v>863</v>
      </c>
      <c r="I4092" s="549" t="s">
        <v>976</v>
      </c>
      <c r="J4092" s="549" t="s">
        <v>976</v>
      </c>
      <c r="K4092" s="549" t="s">
        <v>976</v>
      </c>
      <c r="L4092" s="549">
        <v>74255.3</v>
      </c>
      <c r="M4092" s="549">
        <v>5606.28</v>
      </c>
      <c r="N4092" s="549">
        <v>1641.04</v>
      </c>
      <c r="O4092" s="549">
        <v>992</v>
      </c>
      <c r="P4092" s="549">
        <v>100</v>
      </c>
      <c r="Q4092" s="549">
        <v>8239.32</v>
      </c>
    </row>
    <row r="4093" spans="1:17" x14ac:dyDescent="0.25">
      <c r="A4093" s="549" t="s">
        <v>1118</v>
      </c>
      <c r="B4093" s="549" t="s">
        <v>1119</v>
      </c>
      <c r="C4093" s="549" t="s">
        <v>863</v>
      </c>
      <c r="D4093" s="549" t="s">
        <v>864</v>
      </c>
      <c r="E4093" s="549" t="s">
        <v>977</v>
      </c>
      <c r="F4093" s="549" t="s">
        <v>1212</v>
      </c>
      <c r="G4093" s="549">
        <v>7</v>
      </c>
      <c r="H4093" s="549" t="s">
        <v>863</v>
      </c>
      <c r="I4093" s="549" t="s">
        <v>976</v>
      </c>
      <c r="J4093" s="549" t="s">
        <v>976</v>
      </c>
      <c r="K4093" s="549" t="s">
        <v>976</v>
      </c>
      <c r="L4093" s="549">
        <v>74255.3</v>
      </c>
      <c r="M4093" s="549">
        <v>5606.28</v>
      </c>
      <c r="N4093" s="549">
        <v>1641.04</v>
      </c>
      <c r="O4093" s="549">
        <v>992</v>
      </c>
      <c r="P4093" s="549">
        <v>100</v>
      </c>
      <c r="Q4093" s="549">
        <v>8239.32</v>
      </c>
    </row>
    <row r="4094" spans="1:17" x14ac:dyDescent="0.25">
      <c r="A4094" s="549" t="s">
        <v>1118</v>
      </c>
      <c r="B4094" s="549" t="s">
        <v>1119</v>
      </c>
      <c r="C4094" s="549" t="s">
        <v>863</v>
      </c>
      <c r="D4094" s="549" t="s">
        <v>864</v>
      </c>
      <c r="E4094" s="549" t="s">
        <v>977</v>
      </c>
      <c r="F4094" s="549" t="s">
        <v>1212</v>
      </c>
      <c r="G4094" s="549">
        <v>6</v>
      </c>
      <c r="H4094" s="549" t="s">
        <v>863</v>
      </c>
      <c r="I4094" s="549" t="s">
        <v>976</v>
      </c>
      <c r="J4094" s="549" t="s">
        <v>976</v>
      </c>
      <c r="K4094" s="549" t="s">
        <v>976</v>
      </c>
      <c r="L4094" s="549">
        <v>74255.3</v>
      </c>
      <c r="M4094" s="549">
        <v>5606.28</v>
      </c>
      <c r="N4094" s="549">
        <v>1641.04</v>
      </c>
      <c r="O4094" s="549">
        <v>992</v>
      </c>
      <c r="P4094" s="549">
        <v>100</v>
      </c>
      <c r="Q4094" s="549">
        <v>8239.32</v>
      </c>
    </row>
    <row r="4095" spans="1:17" x14ac:dyDescent="0.25">
      <c r="A4095" s="549" t="s">
        <v>1118</v>
      </c>
      <c r="B4095" s="549" t="s">
        <v>1119</v>
      </c>
      <c r="C4095" s="549" t="s">
        <v>863</v>
      </c>
      <c r="D4095" s="549" t="s">
        <v>864</v>
      </c>
      <c r="E4095" s="549" t="s">
        <v>977</v>
      </c>
      <c r="F4095" s="549" t="s">
        <v>1212</v>
      </c>
      <c r="G4095" s="549">
        <v>5</v>
      </c>
      <c r="H4095" s="549" t="s">
        <v>863</v>
      </c>
      <c r="I4095" s="549" t="s">
        <v>976</v>
      </c>
      <c r="J4095" s="549" t="s">
        <v>976</v>
      </c>
      <c r="K4095" s="549" t="s">
        <v>976</v>
      </c>
      <c r="L4095" s="549">
        <v>74255.3</v>
      </c>
      <c r="M4095" s="549">
        <v>5606.28</v>
      </c>
      <c r="N4095" s="549">
        <v>1641.04</v>
      </c>
      <c r="O4095" s="549">
        <v>992</v>
      </c>
      <c r="P4095" s="549">
        <v>100</v>
      </c>
      <c r="Q4095" s="549">
        <v>8239.32</v>
      </c>
    </row>
    <row r="4096" spans="1:17" x14ac:dyDescent="0.25">
      <c r="A4096" s="549" t="s">
        <v>1118</v>
      </c>
      <c r="B4096" s="549" t="s">
        <v>1119</v>
      </c>
      <c r="C4096" s="549" t="s">
        <v>863</v>
      </c>
      <c r="D4096" s="549" t="s">
        <v>864</v>
      </c>
      <c r="E4096" s="549" t="s">
        <v>977</v>
      </c>
      <c r="F4096" s="549" t="s">
        <v>1212</v>
      </c>
      <c r="G4096" s="549">
        <v>4</v>
      </c>
      <c r="H4096" s="549" t="s">
        <v>863</v>
      </c>
      <c r="I4096" s="549" t="s">
        <v>976</v>
      </c>
      <c r="J4096" s="549" t="s">
        <v>976</v>
      </c>
      <c r="K4096" s="549" t="s">
        <v>976</v>
      </c>
      <c r="L4096" s="549">
        <v>74255.3</v>
      </c>
      <c r="M4096" s="549">
        <v>5606.28</v>
      </c>
      <c r="N4096" s="549">
        <v>1641.04</v>
      </c>
      <c r="O4096" s="549">
        <v>992</v>
      </c>
      <c r="P4096" s="549">
        <v>100</v>
      </c>
      <c r="Q4096" s="549">
        <v>8239.32</v>
      </c>
    </row>
    <row r="4097" spans="1:17" x14ac:dyDescent="0.25">
      <c r="A4097" s="549" t="s">
        <v>1118</v>
      </c>
      <c r="B4097" s="549" t="s">
        <v>1119</v>
      </c>
      <c r="C4097" s="549" t="s">
        <v>863</v>
      </c>
      <c r="D4097" s="549" t="s">
        <v>864</v>
      </c>
      <c r="E4097" s="549" t="s">
        <v>977</v>
      </c>
      <c r="F4097" s="549" t="s">
        <v>1212</v>
      </c>
      <c r="G4097" s="549">
        <v>3</v>
      </c>
      <c r="H4097" s="549" t="s">
        <v>863</v>
      </c>
      <c r="I4097" s="549" t="s">
        <v>976</v>
      </c>
      <c r="J4097" s="549" t="s">
        <v>976</v>
      </c>
      <c r="K4097" s="549" t="s">
        <v>976</v>
      </c>
      <c r="L4097" s="549">
        <v>74255.3</v>
      </c>
      <c r="M4097" s="549">
        <v>5606.28</v>
      </c>
      <c r="N4097" s="549">
        <v>1641.04</v>
      </c>
      <c r="O4097" s="549">
        <v>992</v>
      </c>
      <c r="P4097" s="549">
        <v>100</v>
      </c>
      <c r="Q4097" s="549">
        <v>8239.32</v>
      </c>
    </row>
    <row r="4098" spans="1:17" x14ac:dyDescent="0.25">
      <c r="A4098" s="549" t="s">
        <v>1118</v>
      </c>
      <c r="B4098" s="549" t="s">
        <v>1119</v>
      </c>
      <c r="C4098" s="549" t="s">
        <v>863</v>
      </c>
      <c r="D4098" s="549" t="s">
        <v>864</v>
      </c>
      <c r="E4098" s="549" t="s">
        <v>977</v>
      </c>
      <c r="F4098" s="549" t="s">
        <v>1212</v>
      </c>
      <c r="G4098" s="549">
        <v>202</v>
      </c>
      <c r="H4098" s="549" t="s">
        <v>865</v>
      </c>
      <c r="I4098" s="549" t="s">
        <v>976</v>
      </c>
      <c r="J4098" s="549" t="s">
        <v>976</v>
      </c>
      <c r="K4098" s="549" t="s">
        <v>976</v>
      </c>
      <c r="L4098" s="549">
        <v>670825.15</v>
      </c>
      <c r="M4098" s="549">
        <v>50647.3</v>
      </c>
      <c r="N4098" s="549">
        <v>14825.24</v>
      </c>
      <c r="O4098" s="549">
        <v>4960</v>
      </c>
      <c r="P4098" s="549">
        <v>100</v>
      </c>
      <c r="Q4098" s="549">
        <v>70432.539999999994</v>
      </c>
    </row>
    <row r="4099" spans="1:17" x14ac:dyDescent="0.25">
      <c r="A4099" s="549" t="s">
        <v>1118</v>
      </c>
      <c r="B4099" s="549" t="s">
        <v>1119</v>
      </c>
      <c r="C4099" s="549" t="s">
        <v>863</v>
      </c>
      <c r="D4099" s="549" t="s">
        <v>864</v>
      </c>
      <c r="E4099" s="549" t="s">
        <v>977</v>
      </c>
      <c r="F4099" s="549" t="s">
        <v>1212</v>
      </c>
      <c r="G4099" s="549">
        <v>182</v>
      </c>
      <c r="H4099" s="549" t="s">
        <v>865</v>
      </c>
      <c r="I4099" s="549" t="s">
        <v>976</v>
      </c>
      <c r="J4099" s="549" t="s">
        <v>976</v>
      </c>
      <c r="K4099" s="549" t="s">
        <v>976</v>
      </c>
      <c r="L4099" s="549">
        <v>670825.15</v>
      </c>
      <c r="M4099" s="549">
        <v>50647.3</v>
      </c>
      <c r="N4099" s="549">
        <v>14825.24</v>
      </c>
      <c r="O4099" s="549">
        <v>4960</v>
      </c>
      <c r="P4099" s="549">
        <v>100</v>
      </c>
      <c r="Q4099" s="549">
        <v>70432.539999999994</v>
      </c>
    </row>
    <row r="4100" spans="1:17" x14ac:dyDescent="0.25">
      <c r="A4100" s="549" t="s">
        <v>1118</v>
      </c>
      <c r="B4100" s="549" t="s">
        <v>1119</v>
      </c>
      <c r="C4100" s="549" t="s">
        <v>859</v>
      </c>
      <c r="D4100" s="549" t="s">
        <v>860</v>
      </c>
      <c r="E4100" s="549" t="s">
        <v>977</v>
      </c>
      <c r="F4100" s="549" t="s">
        <v>1212</v>
      </c>
      <c r="G4100" s="549">
        <v>202</v>
      </c>
      <c r="H4100" s="549" t="s">
        <v>873</v>
      </c>
      <c r="I4100" s="549" t="s">
        <v>976</v>
      </c>
      <c r="J4100" s="549" t="s">
        <v>976</v>
      </c>
      <c r="K4100" s="549" t="s">
        <v>976</v>
      </c>
      <c r="L4100" s="549">
        <v>714112.63</v>
      </c>
      <c r="M4100" s="549">
        <v>53915.5</v>
      </c>
      <c r="N4100" s="549">
        <v>15781.89</v>
      </c>
      <c r="O4100" s="549">
        <v>4960</v>
      </c>
      <c r="P4100" s="549">
        <v>100</v>
      </c>
      <c r="Q4100" s="549">
        <v>74657.39</v>
      </c>
    </row>
    <row r="4101" spans="1:17" x14ac:dyDescent="0.25">
      <c r="A4101" s="549" t="s">
        <v>1118</v>
      </c>
      <c r="B4101" s="549" t="s">
        <v>1119</v>
      </c>
      <c r="C4101" s="549" t="s">
        <v>859</v>
      </c>
      <c r="D4101" s="549" t="s">
        <v>860</v>
      </c>
      <c r="E4101" s="549" t="s">
        <v>977</v>
      </c>
      <c r="F4101" s="549" t="s">
        <v>1212</v>
      </c>
      <c r="G4101" s="549">
        <v>182</v>
      </c>
      <c r="H4101" s="549" t="s">
        <v>873</v>
      </c>
      <c r="I4101" s="549" t="s">
        <v>976</v>
      </c>
      <c r="J4101" s="549" t="s">
        <v>976</v>
      </c>
      <c r="K4101" s="549" t="s">
        <v>976</v>
      </c>
      <c r="L4101" s="549">
        <v>714112.63</v>
      </c>
      <c r="M4101" s="549">
        <v>53915.5</v>
      </c>
      <c r="N4101" s="549">
        <v>15781.89</v>
      </c>
      <c r="O4101" s="549">
        <v>4960</v>
      </c>
      <c r="P4101" s="549">
        <v>100</v>
      </c>
      <c r="Q4101" s="549">
        <v>74657.39</v>
      </c>
    </row>
    <row r="4102" spans="1:17" x14ac:dyDescent="0.25">
      <c r="A4102" s="549" t="s">
        <v>1118</v>
      </c>
      <c r="B4102" s="549" t="s">
        <v>1119</v>
      </c>
      <c r="C4102" s="549" t="s">
        <v>859</v>
      </c>
      <c r="D4102" s="549" t="s">
        <v>860</v>
      </c>
      <c r="E4102" s="549" t="s">
        <v>977</v>
      </c>
      <c r="F4102" s="549" t="s">
        <v>1212</v>
      </c>
      <c r="G4102" s="549" t="s">
        <v>1238</v>
      </c>
      <c r="H4102" s="549" t="s">
        <v>859</v>
      </c>
      <c r="I4102" s="549" t="s">
        <v>976</v>
      </c>
      <c r="J4102" s="549" t="s">
        <v>976</v>
      </c>
      <c r="K4102" s="549" t="s">
        <v>976</v>
      </c>
      <c r="L4102" s="549">
        <v>31410.32</v>
      </c>
      <c r="M4102" s="549">
        <v>2371.48</v>
      </c>
      <c r="N4102" s="549">
        <v>694.17</v>
      </c>
      <c r="O4102" s="549">
        <v>0</v>
      </c>
      <c r="P4102" s="549">
        <v>100</v>
      </c>
      <c r="Q4102" s="549">
        <v>3065.65</v>
      </c>
    </row>
    <row r="4103" spans="1:17" x14ac:dyDescent="0.25">
      <c r="A4103" s="549" t="s">
        <v>1118</v>
      </c>
      <c r="B4103" s="549" t="s">
        <v>1119</v>
      </c>
      <c r="C4103" s="549" t="s">
        <v>859</v>
      </c>
      <c r="D4103" s="549" t="s">
        <v>860</v>
      </c>
      <c r="E4103" s="549" t="s">
        <v>977</v>
      </c>
      <c r="F4103" s="549" t="s">
        <v>1212</v>
      </c>
      <c r="G4103" s="549" t="s">
        <v>1309</v>
      </c>
      <c r="H4103" s="549" t="s">
        <v>859</v>
      </c>
      <c r="I4103" s="549" t="s">
        <v>976</v>
      </c>
      <c r="J4103" s="549" t="s">
        <v>976</v>
      </c>
      <c r="K4103" s="549" t="s">
        <v>976</v>
      </c>
      <c r="L4103" s="549">
        <v>31410.32</v>
      </c>
      <c r="M4103" s="549">
        <v>2371.48</v>
      </c>
      <c r="N4103" s="549">
        <v>694.17</v>
      </c>
      <c r="O4103" s="549">
        <v>0</v>
      </c>
      <c r="P4103" s="549">
        <v>100</v>
      </c>
      <c r="Q4103" s="549">
        <v>3065.65</v>
      </c>
    </row>
    <row r="4104" spans="1:17" x14ac:dyDescent="0.25">
      <c r="A4104" s="549" t="s">
        <v>1118</v>
      </c>
      <c r="B4104" s="549" t="s">
        <v>1119</v>
      </c>
      <c r="C4104" s="549" t="s">
        <v>865</v>
      </c>
      <c r="D4104" s="549" t="s">
        <v>866</v>
      </c>
      <c r="E4104" s="549" t="s">
        <v>977</v>
      </c>
      <c r="F4104" s="549" t="s">
        <v>1212</v>
      </c>
      <c r="G4104" s="549" t="s">
        <v>1272</v>
      </c>
      <c r="H4104" s="549" t="s">
        <v>865</v>
      </c>
      <c r="I4104" s="549" t="s">
        <v>976</v>
      </c>
      <c r="J4104" s="549" t="s">
        <v>976</v>
      </c>
      <c r="K4104" s="549" t="s">
        <v>976</v>
      </c>
      <c r="L4104" s="549">
        <v>31147.07</v>
      </c>
      <c r="M4104" s="549">
        <v>2351.6</v>
      </c>
      <c r="N4104" s="549">
        <v>688.35</v>
      </c>
      <c r="O4104" s="549">
        <v>0</v>
      </c>
      <c r="P4104" s="549">
        <v>50</v>
      </c>
      <c r="Q4104" s="549">
        <v>1519.98</v>
      </c>
    </row>
    <row r="4105" spans="1:17" x14ac:dyDescent="0.25">
      <c r="A4105" s="549" t="s">
        <v>1118</v>
      </c>
      <c r="B4105" s="549" t="s">
        <v>1119</v>
      </c>
      <c r="C4105" s="549" t="s">
        <v>865</v>
      </c>
      <c r="D4105" s="549" t="s">
        <v>866</v>
      </c>
      <c r="E4105" s="549" t="s">
        <v>977</v>
      </c>
      <c r="F4105" s="549" t="s">
        <v>1212</v>
      </c>
      <c r="G4105" s="549" t="s">
        <v>1216</v>
      </c>
      <c r="H4105" s="549" t="s">
        <v>865</v>
      </c>
      <c r="I4105" s="549" t="s">
        <v>976</v>
      </c>
      <c r="J4105" s="549" t="s">
        <v>976</v>
      </c>
      <c r="K4105" s="549" t="s">
        <v>976</v>
      </c>
      <c r="L4105" s="549">
        <v>31147.07</v>
      </c>
      <c r="M4105" s="549">
        <v>2351.6</v>
      </c>
      <c r="N4105" s="549">
        <v>688.35</v>
      </c>
      <c r="O4105" s="549">
        <v>0</v>
      </c>
      <c r="P4105" s="549">
        <v>100</v>
      </c>
      <c r="Q4105" s="549">
        <v>3039.95</v>
      </c>
    </row>
    <row r="4106" spans="1:17" x14ac:dyDescent="0.25">
      <c r="A4106" s="549" t="s">
        <v>1118</v>
      </c>
      <c r="B4106" s="549" t="s">
        <v>1119</v>
      </c>
      <c r="C4106" s="549" t="s">
        <v>865</v>
      </c>
      <c r="D4106" s="549" t="s">
        <v>866</v>
      </c>
      <c r="E4106" s="549" t="s">
        <v>977</v>
      </c>
      <c r="F4106" s="549" t="s">
        <v>1212</v>
      </c>
      <c r="G4106" s="549" t="s">
        <v>1220</v>
      </c>
      <c r="H4106" s="549" t="s">
        <v>865</v>
      </c>
      <c r="I4106" s="549" t="s">
        <v>976</v>
      </c>
      <c r="J4106" s="549" t="s">
        <v>976</v>
      </c>
      <c r="K4106" s="549" t="s">
        <v>976</v>
      </c>
      <c r="L4106" s="549">
        <v>29129.16</v>
      </c>
      <c r="M4106" s="549">
        <v>2199.25</v>
      </c>
      <c r="N4106" s="549">
        <v>643.75</v>
      </c>
      <c r="O4106" s="549">
        <v>0</v>
      </c>
      <c r="P4106" s="549">
        <v>50</v>
      </c>
      <c r="Q4106" s="549">
        <v>1421.5</v>
      </c>
    </row>
    <row r="4107" spans="1:17" x14ac:dyDescent="0.25">
      <c r="A4107" s="549" t="s">
        <v>1118</v>
      </c>
      <c r="B4107" s="549" t="s">
        <v>1119</v>
      </c>
      <c r="C4107" s="549" t="s">
        <v>865</v>
      </c>
      <c r="D4107" s="549" t="s">
        <v>866</v>
      </c>
      <c r="E4107" s="549" t="s">
        <v>977</v>
      </c>
      <c r="F4107" s="549" t="s">
        <v>1212</v>
      </c>
      <c r="G4107" s="549">
        <v>2882</v>
      </c>
      <c r="H4107" s="549" t="s">
        <v>865</v>
      </c>
      <c r="I4107" s="549" t="s">
        <v>976</v>
      </c>
      <c r="J4107" s="549" t="s">
        <v>976</v>
      </c>
      <c r="K4107" s="549" t="s">
        <v>976</v>
      </c>
      <c r="L4107" s="549">
        <v>65686.2</v>
      </c>
      <c r="M4107" s="549">
        <v>4959.3100000000004</v>
      </c>
      <c r="N4107" s="549">
        <v>1451.67</v>
      </c>
      <c r="O4107" s="549">
        <v>992</v>
      </c>
      <c r="P4107" s="549">
        <v>100</v>
      </c>
      <c r="Q4107" s="549">
        <v>7402.98</v>
      </c>
    </row>
    <row r="4108" spans="1:17" x14ac:dyDescent="0.25">
      <c r="A4108" s="549" t="s">
        <v>1118</v>
      </c>
      <c r="B4108" s="549" t="s">
        <v>1119</v>
      </c>
      <c r="C4108" s="549" t="s">
        <v>865</v>
      </c>
      <c r="D4108" s="549" t="s">
        <v>866</v>
      </c>
      <c r="E4108" s="549" t="s">
        <v>977</v>
      </c>
      <c r="F4108" s="549" t="s">
        <v>1212</v>
      </c>
      <c r="G4108" s="549">
        <v>2862</v>
      </c>
      <c r="H4108" s="549" t="s">
        <v>865</v>
      </c>
      <c r="I4108" s="549" t="s">
        <v>976</v>
      </c>
      <c r="J4108" s="549" t="s">
        <v>976</v>
      </c>
      <c r="K4108" s="549" t="s">
        <v>976</v>
      </c>
      <c r="L4108" s="549">
        <v>65686.2</v>
      </c>
      <c r="M4108" s="549">
        <v>4959.3100000000004</v>
      </c>
      <c r="N4108" s="549">
        <v>1451.67</v>
      </c>
      <c r="O4108" s="549">
        <v>992</v>
      </c>
      <c r="P4108" s="549">
        <v>100</v>
      </c>
      <c r="Q4108" s="549">
        <v>7402.98</v>
      </c>
    </row>
    <row r="4109" spans="1:17" x14ac:dyDescent="0.25">
      <c r="A4109" s="549" t="s">
        <v>1118</v>
      </c>
      <c r="B4109" s="549" t="s">
        <v>1119</v>
      </c>
      <c r="C4109" s="549" t="s">
        <v>869</v>
      </c>
      <c r="D4109" s="549" t="s">
        <v>870</v>
      </c>
      <c r="E4109" s="549" t="s">
        <v>977</v>
      </c>
      <c r="F4109" s="549" t="s">
        <v>1212</v>
      </c>
      <c r="G4109" s="549">
        <v>72</v>
      </c>
      <c r="H4109" s="549" t="s">
        <v>869</v>
      </c>
      <c r="I4109" s="549" t="s">
        <v>976</v>
      </c>
      <c r="J4109" s="549" t="s">
        <v>976</v>
      </c>
      <c r="K4109" s="549" t="s">
        <v>976</v>
      </c>
      <c r="L4109" s="549">
        <v>347493.52</v>
      </c>
      <c r="M4109" s="549">
        <v>26235.759999999998</v>
      </c>
      <c r="N4109" s="549">
        <v>7679.61</v>
      </c>
      <c r="O4109" s="549">
        <v>1984</v>
      </c>
      <c r="P4109" s="549">
        <v>100</v>
      </c>
      <c r="Q4109" s="549">
        <v>35899.370000000003</v>
      </c>
    </row>
    <row r="4110" spans="1:17" x14ac:dyDescent="0.25">
      <c r="A4110" s="549" t="s">
        <v>1118</v>
      </c>
      <c r="B4110" s="549" t="s">
        <v>1119</v>
      </c>
      <c r="C4110" s="549" t="s">
        <v>869</v>
      </c>
      <c r="D4110" s="549" t="s">
        <v>870</v>
      </c>
      <c r="E4110" s="549" t="s">
        <v>977</v>
      </c>
      <c r="F4110" s="549" t="s">
        <v>1212</v>
      </c>
      <c r="G4110" s="549">
        <v>82</v>
      </c>
      <c r="H4110" s="549" t="s">
        <v>869</v>
      </c>
      <c r="I4110" s="549" t="s">
        <v>976</v>
      </c>
      <c r="J4110" s="549" t="s">
        <v>976</v>
      </c>
      <c r="K4110" s="549" t="s">
        <v>976</v>
      </c>
      <c r="L4110" s="549">
        <v>347493.52</v>
      </c>
      <c r="M4110" s="549">
        <v>26235.759999999998</v>
      </c>
      <c r="N4110" s="549">
        <v>7679.61</v>
      </c>
      <c r="O4110" s="549">
        <v>1984</v>
      </c>
      <c r="P4110" s="549">
        <v>100</v>
      </c>
      <c r="Q4110" s="549">
        <v>35899.370000000003</v>
      </c>
    </row>
    <row r="4111" spans="1:17" x14ac:dyDescent="0.25">
      <c r="A4111" s="549" t="s">
        <v>1118</v>
      </c>
      <c r="B4111" s="549" t="s">
        <v>1119</v>
      </c>
      <c r="C4111" s="549" t="s">
        <v>869</v>
      </c>
      <c r="D4111" s="549" t="s">
        <v>870</v>
      </c>
      <c r="E4111" s="549" t="s">
        <v>977</v>
      </c>
      <c r="F4111" s="549" t="s">
        <v>1212</v>
      </c>
      <c r="G4111" s="549">
        <v>102</v>
      </c>
      <c r="H4111" s="549" t="s">
        <v>869</v>
      </c>
      <c r="I4111" s="549" t="s">
        <v>976</v>
      </c>
      <c r="J4111" s="549" t="s">
        <v>976</v>
      </c>
      <c r="K4111" s="549" t="s">
        <v>976</v>
      </c>
      <c r="L4111" s="549">
        <v>347493.52</v>
      </c>
      <c r="M4111" s="549">
        <v>26235.759999999998</v>
      </c>
      <c r="N4111" s="549">
        <v>7679.61</v>
      </c>
      <c r="O4111" s="549">
        <v>1984</v>
      </c>
      <c r="P4111" s="549">
        <v>100</v>
      </c>
      <c r="Q4111" s="549">
        <v>35899.370000000003</v>
      </c>
    </row>
    <row r="4112" spans="1:17" x14ac:dyDescent="0.25">
      <c r="A4112" s="549" t="s">
        <v>1118</v>
      </c>
      <c r="B4112" s="549" t="s">
        <v>1119</v>
      </c>
      <c r="C4112" s="549" t="s">
        <v>865</v>
      </c>
      <c r="D4112" s="549" t="s">
        <v>866</v>
      </c>
      <c r="E4112" s="549" t="s">
        <v>977</v>
      </c>
      <c r="F4112" s="549" t="s">
        <v>1212</v>
      </c>
      <c r="G4112" s="549">
        <v>2842</v>
      </c>
      <c r="H4112" s="549" t="s">
        <v>865</v>
      </c>
      <c r="I4112" s="549" t="s">
        <v>976</v>
      </c>
      <c r="J4112" s="549" t="s">
        <v>976</v>
      </c>
      <c r="K4112" s="549" t="s">
        <v>976</v>
      </c>
      <c r="L4112" s="549">
        <v>65686.2</v>
      </c>
      <c r="M4112" s="549">
        <v>4959.3100000000004</v>
      </c>
      <c r="N4112" s="549">
        <v>1451.67</v>
      </c>
      <c r="O4112" s="549">
        <v>992</v>
      </c>
      <c r="P4112" s="549">
        <v>100</v>
      </c>
      <c r="Q4112" s="549">
        <v>7402.98</v>
      </c>
    </row>
    <row r="4113" spans="1:17" x14ac:dyDescent="0.25">
      <c r="A4113" s="549" t="s">
        <v>1118</v>
      </c>
      <c r="B4113" s="549" t="s">
        <v>1119</v>
      </c>
      <c r="C4113" s="549" t="s">
        <v>865</v>
      </c>
      <c r="D4113" s="549" t="s">
        <v>866</v>
      </c>
      <c r="E4113" s="549" t="s">
        <v>977</v>
      </c>
      <c r="F4113" s="549" t="s">
        <v>1212</v>
      </c>
      <c r="G4113" s="549">
        <v>2832</v>
      </c>
      <c r="H4113" s="549" t="s">
        <v>865</v>
      </c>
      <c r="I4113" s="549" t="s">
        <v>976</v>
      </c>
      <c r="J4113" s="549" t="s">
        <v>976</v>
      </c>
      <c r="K4113" s="549" t="s">
        <v>976</v>
      </c>
      <c r="L4113" s="549">
        <v>69468.61</v>
      </c>
      <c r="M4113" s="549">
        <v>5244.88</v>
      </c>
      <c r="N4113" s="549">
        <v>1535.26</v>
      </c>
      <c r="O4113" s="549">
        <v>992</v>
      </c>
      <c r="P4113" s="549">
        <v>50</v>
      </c>
      <c r="Q4113" s="549">
        <v>3886.07</v>
      </c>
    </row>
    <row r="4114" spans="1:17" x14ac:dyDescent="0.25">
      <c r="A4114" s="549" t="s">
        <v>1118</v>
      </c>
      <c r="B4114" s="549" t="s">
        <v>1119</v>
      </c>
      <c r="C4114" s="549" t="s">
        <v>869</v>
      </c>
      <c r="D4114" s="549" t="s">
        <v>870</v>
      </c>
      <c r="E4114" s="549" t="s">
        <v>977</v>
      </c>
      <c r="F4114" s="549" t="s">
        <v>1212</v>
      </c>
      <c r="G4114" s="549">
        <v>2152</v>
      </c>
      <c r="H4114" s="549" t="s">
        <v>869</v>
      </c>
      <c r="I4114" s="549" t="s">
        <v>976</v>
      </c>
      <c r="J4114" s="549" t="s">
        <v>976</v>
      </c>
      <c r="K4114" s="549" t="s">
        <v>976</v>
      </c>
      <c r="L4114" s="549">
        <v>113494.36</v>
      </c>
      <c r="M4114" s="549">
        <v>8568.82</v>
      </c>
      <c r="N4114" s="549">
        <v>2508.23</v>
      </c>
      <c r="O4114" s="549">
        <v>992</v>
      </c>
      <c r="P4114" s="549">
        <v>100</v>
      </c>
      <c r="Q4114" s="549">
        <v>12069.05</v>
      </c>
    </row>
    <row r="4115" spans="1:17" x14ac:dyDescent="0.25">
      <c r="A4115" s="549" t="s">
        <v>1118</v>
      </c>
      <c r="B4115" s="549" t="s">
        <v>1119</v>
      </c>
      <c r="C4115" s="549" t="s">
        <v>869</v>
      </c>
      <c r="D4115" s="549" t="s">
        <v>870</v>
      </c>
      <c r="E4115" s="549" t="s">
        <v>977</v>
      </c>
      <c r="F4115" s="549" t="s">
        <v>1212</v>
      </c>
      <c r="G4115" s="549">
        <v>2162</v>
      </c>
      <c r="H4115" s="549" t="s">
        <v>869</v>
      </c>
      <c r="I4115" s="549" t="s">
        <v>976</v>
      </c>
      <c r="J4115" s="549" t="s">
        <v>976</v>
      </c>
      <c r="K4115" s="549" t="s">
        <v>976</v>
      </c>
      <c r="L4115" s="549">
        <v>113494.36</v>
      </c>
      <c r="M4115" s="549">
        <v>8568.82</v>
      </c>
      <c r="N4115" s="549">
        <v>2508.23</v>
      </c>
      <c r="O4115" s="549">
        <v>992</v>
      </c>
      <c r="P4115" s="549">
        <v>100</v>
      </c>
      <c r="Q4115" s="549">
        <v>12069.05</v>
      </c>
    </row>
    <row r="4116" spans="1:17" x14ac:dyDescent="0.25">
      <c r="A4116" s="549" t="s">
        <v>1118</v>
      </c>
      <c r="B4116" s="549" t="s">
        <v>1119</v>
      </c>
      <c r="C4116" s="549" t="s">
        <v>869</v>
      </c>
      <c r="D4116" s="549" t="s">
        <v>870</v>
      </c>
      <c r="E4116" s="549" t="s">
        <v>977</v>
      </c>
      <c r="F4116" s="549" t="s">
        <v>1212</v>
      </c>
      <c r="G4116" s="549">
        <v>2172</v>
      </c>
      <c r="H4116" s="549" t="s">
        <v>869</v>
      </c>
      <c r="I4116" s="549" t="s">
        <v>976</v>
      </c>
      <c r="J4116" s="549" t="s">
        <v>976</v>
      </c>
      <c r="K4116" s="549" t="s">
        <v>976</v>
      </c>
      <c r="L4116" s="549">
        <v>113494.36</v>
      </c>
      <c r="M4116" s="549">
        <v>8568.82</v>
      </c>
      <c r="N4116" s="549">
        <v>2508.23</v>
      </c>
      <c r="O4116" s="549">
        <v>992</v>
      </c>
      <c r="P4116" s="549">
        <v>100</v>
      </c>
      <c r="Q4116" s="549">
        <v>12069.05</v>
      </c>
    </row>
    <row r="4117" spans="1:17" x14ac:dyDescent="0.25">
      <c r="A4117" s="549" t="s">
        <v>1118</v>
      </c>
      <c r="B4117" s="549" t="s">
        <v>1119</v>
      </c>
      <c r="C4117" s="549" t="s">
        <v>869</v>
      </c>
      <c r="D4117" s="549" t="s">
        <v>870</v>
      </c>
      <c r="E4117" s="549" t="s">
        <v>977</v>
      </c>
      <c r="F4117" s="549" t="s">
        <v>1212</v>
      </c>
      <c r="G4117" s="549">
        <v>2182</v>
      </c>
      <c r="H4117" s="549" t="s">
        <v>869</v>
      </c>
      <c r="I4117" s="549" t="s">
        <v>976</v>
      </c>
      <c r="J4117" s="549" t="s">
        <v>976</v>
      </c>
      <c r="K4117" s="549" t="s">
        <v>976</v>
      </c>
      <c r="L4117" s="549">
        <v>121342.81</v>
      </c>
      <c r="M4117" s="549">
        <v>9161.3799999999992</v>
      </c>
      <c r="N4117" s="549">
        <v>2681.68</v>
      </c>
      <c r="O4117" s="549">
        <v>992</v>
      </c>
      <c r="P4117" s="549">
        <v>100</v>
      </c>
      <c r="Q4117" s="549">
        <v>12835.06</v>
      </c>
    </row>
    <row r="4118" spans="1:17" x14ac:dyDescent="0.25">
      <c r="A4118" s="549" t="s">
        <v>1118</v>
      </c>
      <c r="B4118" s="549" t="s">
        <v>1119</v>
      </c>
      <c r="C4118" s="549" t="s">
        <v>869</v>
      </c>
      <c r="D4118" s="549" t="s">
        <v>870</v>
      </c>
      <c r="E4118" s="549" t="s">
        <v>977</v>
      </c>
      <c r="F4118" s="549" t="s">
        <v>1212</v>
      </c>
      <c r="G4118" s="549">
        <v>2198</v>
      </c>
      <c r="H4118" s="549" t="s">
        <v>869</v>
      </c>
      <c r="I4118" s="549" t="s">
        <v>976</v>
      </c>
      <c r="J4118" s="549" t="s">
        <v>976</v>
      </c>
      <c r="K4118" s="549" t="s">
        <v>976</v>
      </c>
      <c r="L4118" s="549">
        <v>113494.36</v>
      </c>
      <c r="M4118" s="549">
        <v>8568.82</v>
      </c>
      <c r="N4118" s="549">
        <v>2508.23</v>
      </c>
      <c r="O4118" s="549">
        <v>992</v>
      </c>
      <c r="P4118" s="549">
        <v>100</v>
      </c>
      <c r="Q4118" s="549">
        <v>12069.05</v>
      </c>
    </row>
    <row r="4119" spans="1:17" x14ac:dyDescent="0.25">
      <c r="A4119" s="549" t="s">
        <v>1118</v>
      </c>
      <c r="B4119" s="549" t="s">
        <v>1119</v>
      </c>
      <c r="C4119" s="549" t="s">
        <v>869</v>
      </c>
      <c r="D4119" s="549" t="s">
        <v>870</v>
      </c>
      <c r="E4119" s="549" t="s">
        <v>977</v>
      </c>
      <c r="F4119" s="549" t="s">
        <v>1212</v>
      </c>
      <c r="G4119" s="549">
        <v>2212</v>
      </c>
      <c r="H4119" s="549" t="s">
        <v>869</v>
      </c>
      <c r="I4119" s="549" t="s">
        <v>976</v>
      </c>
      <c r="J4119" s="549" t="s">
        <v>976</v>
      </c>
      <c r="K4119" s="549" t="s">
        <v>976</v>
      </c>
      <c r="L4119" s="549">
        <v>121342.81</v>
      </c>
      <c r="M4119" s="549">
        <v>9161.3799999999992</v>
      </c>
      <c r="N4119" s="549">
        <v>2681.68</v>
      </c>
      <c r="O4119" s="549">
        <v>992</v>
      </c>
      <c r="P4119" s="549">
        <v>100</v>
      </c>
      <c r="Q4119" s="549">
        <v>12835.06</v>
      </c>
    </row>
    <row r="4120" spans="1:17" x14ac:dyDescent="0.25">
      <c r="A4120" s="549" t="s">
        <v>1118</v>
      </c>
      <c r="B4120" s="549" t="s">
        <v>1119</v>
      </c>
      <c r="C4120" s="549" t="s">
        <v>869</v>
      </c>
      <c r="D4120" s="549" t="s">
        <v>870</v>
      </c>
      <c r="E4120" s="549" t="s">
        <v>977</v>
      </c>
      <c r="F4120" s="549" t="s">
        <v>1212</v>
      </c>
      <c r="G4120" s="549">
        <v>2222</v>
      </c>
      <c r="H4120" s="549" t="s">
        <v>869</v>
      </c>
      <c r="I4120" s="549" t="s">
        <v>976</v>
      </c>
      <c r="J4120" s="549" t="s">
        <v>976</v>
      </c>
      <c r="K4120" s="549" t="s">
        <v>976</v>
      </c>
      <c r="L4120" s="549">
        <v>113494.36</v>
      </c>
      <c r="M4120" s="549">
        <v>8568.82</v>
      </c>
      <c r="N4120" s="549">
        <v>2508.23</v>
      </c>
      <c r="O4120" s="549">
        <v>992</v>
      </c>
      <c r="P4120" s="549">
        <v>100</v>
      </c>
      <c r="Q4120" s="549">
        <v>12069.05</v>
      </c>
    </row>
    <row r="4121" spans="1:17" x14ac:dyDescent="0.25">
      <c r="A4121" s="549" t="s">
        <v>1118</v>
      </c>
      <c r="B4121" s="549" t="s">
        <v>1119</v>
      </c>
      <c r="C4121" s="549" t="s">
        <v>869</v>
      </c>
      <c r="D4121" s="549" t="s">
        <v>870</v>
      </c>
      <c r="E4121" s="549" t="s">
        <v>977</v>
      </c>
      <c r="F4121" s="549" t="s">
        <v>1212</v>
      </c>
      <c r="G4121" s="549">
        <v>2232</v>
      </c>
      <c r="H4121" s="549" t="s">
        <v>869</v>
      </c>
      <c r="I4121" s="549" t="s">
        <v>976</v>
      </c>
      <c r="J4121" s="549" t="s">
        <v>976</v>
      </c>
      <c r="K4121" s="549" t="s">
        <v>976</v>
      </c>
      <c r="L4121" s="549">
        <v>113494.36</v>
      </c>
      <c r="M4121" s="549">
        <v>8568.82</v>
      </c>
      <c r="N4121" s="549">
        <v>2508.23</v>
      </c>
      <c r="O4121" s="549">
        <v>992</v>
      </c>
      <c r="P4121" s="549">
        <v>100</v>
      </c>
      <c r="Q4121" s="549">
        <v>12069.05</v>
      </c>
    </row>
    <row r="4122" spans="1:17" x14ac:dyDescent="0.25">
      <c r="A4122" s="549" t="s">
        <v>1118</v>
      </c>
      <c r="B4122" s="549" t="s">
        <v>1119</v>
      </c>
      <c r="C4122" s="549" t="s">
        <v>869</v>
      </c>
      <c r="D4122" s="549" t="s">
        <v>870</v>
      </c>
      <c r="E4122" s="549" t="s">
        <v>977</v>
      </c>
      <c r="F4122" s="549" t="s">
        <v>1212</v>
      </c>
      <c r="G4122" s="549">
        <v>2242</v>
      </c>
      <c r="H4122" s="549" t="s">
        <v>869</v>
      </c>
      <c r="I4122" s="549" t="s">
        <v>976</v>
      </c>
      <c r="J4122" s="549" t="s">
        <v>976</v>
      </c>
      <c r="K4122" s="549" t="s">
        <v>976</v>
      </c>
      <c r="L4122" s="549">
        <v>113494.36</v>
      </c>
      <c r="M4122" s="549">
        <v>8568.82</v>
      </c>
      <c r="N4122" s="549">
        <v>2508.23</v>
      </c>
      <c r="O4122" s="549">
        <v>992</v>
      </c>
      <c r="P4122" s="549">
        <v>100</v>
      </c>
      <c r="Q4122" s="549">
        <v>12069.05</v>
      </c>
    </row>
    <row r="4123" spans="1:17" x14ac:dyDescent="0.25">
      <c r="A4123" s="549" t="s">
        <v>1118</v>
      </c>
      <c r="B4123" s="549" t="s">
        <v>1119</v>
      </c>
      <c r="C4123" s="549" t="s">
        <v>869</v>
      </c>
      <c r="D4123" s="549" t="s">
        <v>870</v>
      </c>
      <c r="E4123" s="549" t="s">
        <v>977</v>
      </c>
      <c r="F4123" s="549" t="s">
        <v>1212</v>
      </c>
      <c r="G4123" s="549">
        <v>2252</v>
      </c>
      <c r="H4123" s="549" t="s">
        <v>869</v>
      </c>
      <c r="I4123" s="549" t="s">
        <v>976</v>
      </c>
      <c r="J4123" s="549" t="s">
        <v>976</v>
      </c>
      <c r="K4123" s="549" t="s">
        <v>976</v>
      </c>
      <c r="L4123" s="549">
        <v>121342.81</v>
      </c>
      <c r="M4123" s="549">
        <v>9161.3799999999992</v>
      </c>
      <c r="N4123" s="549">
        <v>2681.68</v>
      </c>
      <c r="O4123" s="549">
        <v>992</v>
      </c>
      <c r="P4123" s="549">
        <v>100</v>
      </c>
      <c r="Q4123" s="549">
        <v>12835.06</v>
      </c>
    </row>
    <row r="4124" spans="1:17" x14ac:dyDescent="0.25">
      <c r="A4124" s="549" t="s">
        <v>1118</v>
      </c>
      <c r="B4124" s="549" t="s">
        <v>1119</v>
      </c>
      <c r="C4124" s="549" t="s">
        <v>869</v>
      </c>
      <c r="D4124" s="549" t="s">
        <v>870</v>
      </c>
      <c r="E4124" s="549" t="s">
        <v>977</v>
      </c>
      <c r="F4124" s="549" t="s">
        <v>1212</v>
      </c>
      <c r="G4124" s="549">
        <v>2262</v>
      </c>
      <c r="H4124" s="549" t="s">
        <v>869</v>
      </c>
      <c r="I4124" s="549" t="s">
        <v>976</v>
      </c>
      <c r="J4124" s="549" t="s">
        <v>976</v>
      </c>
      <c r="K4124" s="549" t="s">
        <v>976</v>
      </c>
      <c r="L4124" s="549">
        <v>113494.36</v>
      </c>
      <c r="M4124" s="549">
        <v>8568.82</v>
      </c>
      <c r="N4124" s="549">
        <v>2508.23</v>
      </c>
      <c r="O4124" s="549">
        <v>992</v>
      </c>
      <c r="P4124" s="549">
        <v>100</v>
      </c>
      <c r="Q4124" s="549">
        <v>12069.05</v>
      </c>
    </row>
    <row r="4125" spans="1:17" x14ac:dyDescent="0.25">
      <c r="A4125" s="549" t="s">
        <v>1118</v>
      </c>
      <c r="B4125" s="549" t="s">
        <v>1119</v>
      </c>
      <c r="C4125" s="549" t="s">
        <v>869</v>
      </c>
      <c r="D4125" s="549" t="s">
        <v>870</v>
      </c>
      <c r="E4125" s="549" t="s">
        <v>977</v>
      </c>
      <c r="F4125" s="549" t="s">
        <v>1212</v>
      </c>
      <c r="G4125" s="549">
        <v>2272</v>
      </c>
      <c r="H4125" s="549" t="s">
        <v>869</v>
      </c>
      <c r="I4125" s="549" t="s">
        <v>976</v>
      </c>
      <c r="J4125" s="549" t="s">
        <v>976</v>
      </c>
      <c r="K4125" s="549" t="s">
        <v>976</v>
      </c>
      <c r="L4125" s="549">
        <v>113494.36</v>
      </c>
      <c r="M4125" s="549">
        <v>8568.82</v>
      </c>
      <c r="N4125" s="549">
        <v>2508.23</v>
      </c>
      <c r="O4125" s="549">
        <v>992</v>
      </c>
      <c r="P4125" s="549">
        <v>100</v>
      </c>
      <c r="Q4125" s="549">
        <v>12069.05</v>
      </c>
    </row>
    <row r="4126" spans="1:17" x14ac:dyDescent="0.25">
      <c r="A4126" s="549" t="s">
        <v>1118</v>
      </c>
      <c r="B4126" s="549" t="s">
        <v>1119</v>
      </c>
      <c r="C4126" s="549" t="s">
        <v>869</v>
      </c>
      <c r="D4126" s="549" t="s">
        <v>870</v>
      </c>
      <c r="E4126" s="549" t="s">
        <v>977</v>
      </c>
      <c r="F4126" s="549" t="s">
        <v>1212</v>
      </c>
      <c r="G4126" s="549">
        <v>2282</v>
      </c>
      <c r="H4126" s="549" t="s">
        <v>869</v>
      </c>
      <c r="I4126" s="549" t="s">
        <v>976</v>
      </c>
      <c r="J4126" s="549" t="s">
        <v>976</v>
      </c>
      <c r="K4126" s="549" t="s">
        <v>976</v>
      </c>
      <c r="L4126" s="549">
        <v>113494.36</v>
      </c>
      <c r="M4126" s="549">
        <v>8568.82</v>
      </c>
      <c r="N4126" s="549">
        <v>2508.23</v>
      </c>
      <c r="O4126" s="549">
        <v>992</v>
      </c>
      <c r="P4126" s="549">
        <v>100</v>
      </c>
      <c r="Q4126" s="549">
        <v>12069.05</v>
      </c>
    </row>
    <row r="4127" spans="1:17" x14ac:dyDescent="0.25">
      <c r="A4127" s="549" t="s">
        <v>1118</v>
      </c>
      <c r="B4127" s="549" t="s">
        <v>1119</v>
      </c>
      <c r="C4127" s="549" t="s">
        <v>869</v>
      </c>
      <c r="D4127" s="549" t="s">
        <v>870</v>
      </c>
      <c r="E4127" s="549" t="s">
        <v>977</v>
      </c>
      <c r="F4127" s="549" t="s">
        <v>1212</v>
      </c>
      <c r="G4127" s="549">
        <v>2298</v>
      </c>
      <c r="H4127" s="549" t="s">
        <v>869</v>
      </c>
      <c r="I4127" s="549" t="s">
        <v>976</v>
      </c>
      <c r="J4127" s="549" t="s">
        <v>976</v>
      </c>
      <c r="K4127" s="549" t="s">
        <v>976</v>
      </c>
      <c r="L4127" s="549">
        <v>113494.36</v>
      </c>
      <c r="M4127" s="549">
        <v>8568.82</v>
      </c>
      <c r="N4127" s="549">
        <v>2508.23</v>
      </c>
      <c r="O4127" s="549">
        <v>992</v>
      </c>
      <c r="P4127" s="549">
        <v>100</v>
      </c>
      <c r="Q4127" s="549">
        <v>12069.05</v>
      </c>
    </row>
    <row r="4128" spans="1:17" x14ac:dyDescent="0.25">
      <c r="A4128" s="549" t="s">
        <v>1118</v>
      </c>
      <c r="B4128" s="549" t="s">
        <v>1119</v>
      </c>
      <c r="C4128" s="549" t="s">
        <v>869</v>
      </c>
      <c r="D4128" s="549" t="s">
        <v>870</v>
      </c>
      <c r="E4128" s="549" t="s">
        <v>977</v>
      </c>
      <c r="F4128" s="549" t="s">
        <v>1212</v>
      </c>
      <c r="G4128" s="549">
        <v>2322</v>
      </c>
      <c r="H4128" s="549" t="s">
        <v>869</v>
      </c>
      <c r="I4128" s="549" t="s">
        <v>976</v>
      </c>
      <c r="J4128" s="549" t="s">
        <v>976</v>
      </c>
      <c r="K4128" s="549" t="s">
        <v>976</v>
      </c>
      <c r="L4128" s="549">
        <v>113494.36</v>
      </c>
      <c r="M4128" s="549">
        <v>8568.82</v>
      </c>
      <c r="N4128" s="549">
        <v>2508.23</v>
      </c>
      <c r="O4128" s="549">
        <v>992</v>
      </c>
      <c r="P4128" s="549">
        <v>100</v>
      </c>
      <c r="Q4128" s="549">
        <v>12069.05</v>
      </c>
    </row>
    <row r="4129" spans="1:17" x14ac:dyDescent="0.25">
      <c r="A4129" s="549" t="s">
        <v>1118</v>
      </c>
      <c r="B4129" s="549" t="s">
        <v>1119</v>
      </c>
      <c r="C4129" s="549" t="s">
        <v>869</v>
      </c>
      <c r="D4129" s="549" t="s">
        <v>870</v>
      </c>
      <c r="E4129" s="549" t="s">
        <v>977</v>
      </c>
      <c r="F4129" s="549" t="s">
        <v>1212</v>
      </c>
      <c r="G4129" s="549">
        <v>2332</v>
      </c>
      <c r="H4129" s="549" t="s">
        <v>869</v>
      </c>
      <c r="I4129" s="549" t="s">
        <v>976</v>
      </c>
      <c r="J4129" s="549" t="s">
        <v>976</v>
      </c>
      <c r="K4129" s="549" t="s">
        <v>976</v>
      </c>
      <c r="L4129" s="549">
        <v>121342.81</v>
      </c>
      <c r="M4129" s="549">
        <v>9161.3799999999992</v>
      </c>
      <c r="N4129" s="549">
        <v>2681.68</v>
      </c>
      <c r="O4129" s="549">
        <v>992</v>
      </c>
      <c r="P4129" s="549">
        <v>100</v>
      </c>
      <c r="Q4129" s="549">
        <v>12835.06</v>
      </c>
    </row>
    <row r="4130" spans="1:17" x14ac:dyDescent="0.25">
      <c r="A4130" s="549" t="s">
        <v>1118</v>
      </c>
      <c r="B4130" s="549" t="s">
        <v>1119</v>
      </c>
      <c r="C4130" s="549" t="s">
        <v>869</v>
      </c>
      <c r="D4130" s="549" t="s">
        <v>870</v>
      </c>
      <c r="E4130" s="549" t="s">
        <v>977</v>
      </c>
      <c r="F4130" s="549" t="s">
        <v>1212</v>
      </c>
      <c r="G4130" s="549">
        <v>2342</v>
      </c>
      <c r="H4130" s="549" t="s">
        <v>869</v>
      </c>
      <c r="I4130" s="549" t="s">
        <v>976</v>
      </c>
      <c r="J4130" s="549" t="s">
        <v>976</v>
      </c>
      <c r="K4130" s="549" t="s">
        <v>976</v>
      </c>
      <c r="L4130" s="549">
        <v>113494.36</v>
      </c>
      <c r="M4130" s="549">
        <v>8568.82</v>
      </c>
      <c r="N4130" s="549">
        <v>2508.23</v>
      </c>
      <c r="O4130" s="549">
        <v>992</v>
      </c>
      <c r="P4130" s="549">
        <v>100</v>
      </c>
      <c r="Q4130" s="549">
        <v>12069.05</v>
      </c>
    </row>
    <row r="4131" spans="1:17" x14ac:dyDescent="0.25">
      <c r="A4131" s="549" t="s">
        <v>1118</v>
      </c>
      <c r="B4131" s="549" t="s">
        <v>1119</v>
      </c>
      <c r="C4131" s="549" t="s">
        <v>869</v>
      </c>
      <c r="D4131" s="549" t="s">
        <v>870</v>
      </c>
      <c r="E4131" s="549" t="s">
        <v>977</v>
      </c>
      <c r="F4131" s="549" t="s">
        <v>1212</v>
      </c>
      <c r="G4131" s="549">
        <v>2352</v>
      </c>
      <c r="H4131" s="549" t="s">
        <v>869</v>
      </c>
      <c r="I4131" s="549" t="s">
        <v>976</v>
      </c>
      <c r="J4131" s="549" t="s">
        <v>976</v>
      </c>
      <c r="K4131" s="549" t="s">
        <v>976</v>
      </c>
      <c r="L4131" s="549">
        <v>113494.36</v>
      </c>
      <c r="M4131" s="549">
        <v>8568.82</v>
      </c>
      <c r="N4131" s="549">
        <v>2508.23</v>
      </c>
      <c r="O4131" s="549">
        <v>992</v>
      </c>
      <c r="P4131" s="549">
        <v>100</v>
      </c>
      <c r="Q4131" s="549">
        <v>12069.05</v>
      </c>
    </row>
    <row r="4132" spans="1:17" x14ac:dyDescent="0.25">
      <c r="A4132" s="549" t="s">
        <v>1118</v>
      </c>
      <c r="B4132" s="549" t="s">
        <v>1119</v>
      </c>
      <c r="C4132" s="549" t="s">
        <v>869</v>
      </c>
      <c r="D4132" s="549" t="s">
        <v>870</v>
      </c>
      <c r="E4132" s="549" t="s">
        <v>977</v>
      </c>
      <c r="F4132" s="549" t="s">
        <v>1212</v>
      </c>
      <c r="G4132" s="549">
        <v>2362</v>
      </c>
      <c r="H4132" s="549" t="s">
        <v>869</v>
      </c>
      <c r="I4132" s="549" t="s">
        <v>976</v>
      </c>
      <c r="J4132" s="549" t="s">
        <v>976</v>
      </c>
      <c r="K4132" s="549" t="s">
        <v>976</v>
      </c>
      <c r="L4132" s="549">
        <v>121342.81</v>
      </c>
      <c r="M4132" s="549">
        <v>9161.3799999999992</v>
      </c>
      <c r="N4132" s="549">
        <v>2681.68</v>
      </c>
      <c r="O4132" s="549">
        <v>992</v>
      </c>
      <c r="P4132" s="549">
        <v>100</v>
      </c>
      <c r="Q4132" s="549">
        <v>12835.06</v>
      </c>
    </row>
    <row r="4133" spans="1:17" x14ac:dyDescent="0.25">
      <c r="A4133" s="549" t="s">
        <v>1118</v>
      </c>
      <c r="B4133" s="549" t="s">
        <v>1119</v>
      </c>
      <c r="C4133" s="549" t="s">
        <v>869</v>
      </c>
      <c r="D4133" s="549" t="s">
        <v>870</v>
      </c>
      <c r="E4133" s="549" t="s">
        <v>977</v>
      </c>
      <c r="F4133" s="549" t="s">
        <v>1212</v>
      </c>
      <c r="G4133" s="549">
        <v>4022</v>
      </c>
      <c r="H4133" s="549" t="s">
        <v>869</v>
      </c>
      <c r="I4133" s="549" t="s">
        <v>976</v>
      </c>
      <c r="J4133" s="549" t="s">
        <v>976</v>
      </c>
      <c r="K4133" s="549" t="s">
        <v>976</v>
      </c>
      <c r="L4133" s="549">
        <v>125005.34</v>
      </c>
      <c r="M4133" s="549">
        <v>9437.9</v>
      </c>
      <c r="N4133" s="549">
        <v>2762.62</v>
      </c>
      <c r="O4133" s="549">
        <v>992</v>
      </c>
      <c r="P4133" s="549">
        <v>100</v>
      </c>
      <c r="Q4133" s="549">
        <v>13192.52</v>
      </c>
    </row>
    <row r="4134" spans="1:17" x14ac:dyDescent="0.25">
      <c r="A4134" s="549" t="s">
        <v>1118</v>
      </c>
      <c r="B4134" s="549" t="s">
        <v>1119</v>
      </c>
      <c r="C4134" s="549" t="s">
        <v>869</v>
      </c>
      <c r="D4134" s="549" t="s">
        <v>870</v>
      </c>
      <c r="E4134" s="549" t="s">
        <v>977</v>
      </c>
      <c r="F4134" s="549" t="s">
        <v>1212</v>
      </c>
      <c r="G4134" s="549">
        <v>4042</v>
      </c>
      <c r="H4134" s="549" t="s">
        <v>869</v>
      </c>
      <c r="I4134" s="549" t="s">
        <v>976</v>
      </c>
      <c r="J4134" s="549" t="s">
        <v>976</v>
      </c>
      <c r="K4134" s="549" t="s">
        <v>976</v>
      </c>
      <c r="L4134" s="549">
        <v>125005.34</v>
      </c>
      <c r="M4134" s="549">
        <v>9437.9</v>
      </c>
      <c r="N4134" s="549">
        <v>2762.62</v>
      </c>
      <c r="O4134" s="549">
        <v>992</v>
      </c>
      <c r="P4134" s="549">
        <v>100</v>
      </c>
      <c r="Q4134" s="549">
        <v>13192.52</v>
      </c>
    </row>
    <row r="4135" spans="1:17" x14ac:dyDescent="0.25">
      <c r="A4135" s="549" t="s">
        <v>1118</v>
      </c>
      <c r="B4135" s="549" t="s">
        <v>1119</v>
      </c>
      <c r="C4135" s="549" t="s">
        <v>869</v>
      </c>
      <c r="D4135" s="549" t="s">
        <v>870</v>
      </c>
      <c r="E4135" s="549" t="s">
        <v>977</v>
      </c>
      <c r="F4135" s="549" t="s">
        <v>1212</v>
      </c>
      <c r="G4135" s="549" t="s">
        <v>1531</v>
      </c>
      <c r="H4135" s="549" t="s">
        <v>869</v>
      </c>
      <c r="I4135" s="549" t="s">
        <v>976</v>
      </c>
      <c r="J4135" s="549" t="s">
        <v>976</v>
      </c>
      <c r="K4135" s="549" t="s">
        <v>976</v>
      </c>
      <c r="L4135" s="549">
        <v>31410.32</v>
      </c>
      <c r="M4135" s="549">
        <v>2371.48</v>
      </c>
      <c r="N4135" s="549">
        <v>694.17</v>
      </c>
      <c r="O4135" s="549">
        <v>0</v>
      </c>
      <c r="P4135" s="549">
        <v>100</v>
      </c>
      <c r="Q4135" s="549">
        <v>3065.65</v>
      </c>
    </row>
    <row r="4136" spans="1:17" x14ac:dyDescent="0.25">
      <c r="A4136" s="549" t="s">
        <v>1118</v>
      </c>
      <c r="B4136" s="549" t="s">
        <v>1119</v>
      </c>
      <c r="C4136" s="549" t="s">
        <v>869</v>
      </c>
      <c r="D4136" s="549" t="s">
        <v>870</v>
      </c>
      <c r="E4136" s="549" t="s">
        <v>977</v>
      </c>
      <c r="F4136" s="549" t="s">
        <v>1212</v>
      </c>
      <c r="G4136" s="549" t="s">
        <v>1509</v>
      </c>
      <c r="H4136" s="549" t="s">
        <v>869</v>
      </c>
      <c r="I4136" s="549" t="s">
        <v>976</v>
      </c>
      <c r="J4136" s="549" t="s">
        <v>976</v>
      </c>
      <c r="K4136" s="549" t="s">
        <v>976</v>
      </c>
      <c r="L4136" s="549">
        <v>31410.32</v>
      </c>
      <c r="M4136" s="549">
        <v>2371.48</v>
      </c>
      <c r="N4136" s="549">
        <v>694.17</v>
      </c>
      <c r="O4136" s="549">
        <v>0</v>
      </c>
      <c r="P4136" s="549">
        <v>100</v>
      </c>
      <c r="Q4136" s="549">
        <v>3065.65</v>
      </c>
    </row>
    <row r="4137" spans="1:17" x14ac:dyDescent="0.25">
      <c r="A4137" s="549" t="s">
        <v>1118</v>
      </c>
      <c r="B4137" s="549" t="s">
        <v>1119</v>
      </c>
      <c r="C4137" s="549" t="s">
        <v>869</v>
      </c>
      <c r="D4137" s="549" t="s">
        <v>870</v>
      </c>
      <c r="E4137" s="549" t="s">
        <v>977</v>
      </c>
      <c r="F4137" s="549" t="s">
        <v>1212</v>
      </c>
      <c r="G4137" s="549" t="s">
        <v>1532</v>
      </c>
      <c r="H4137" s="549" t="s">
        <v>869</v>
      </c>
      <c r="I4137" s="549" t="s">
        <v>976</v>
      </c>
      <c r="J4137" s="549" t="s">
        <v>976</v>
      </c>
      <c r="K4137" s="549" t="s">
        <v>976</v>
      </c>
      <c r="L4137" s="549">
        <v>31410.32</v>
      </c>
      <c r="M4137" s="549">
        <v>2371.48</v>
      </c>
      <c r="N4137" s="549">
        <v>694.17</v>
      </c>
      <c r="O4137" s="549">
        <v>0</v>
      </c>
      <c r="P4137" s="549">
        <v>100</v>
      </c>
      <c r="Q4137" s="549">
        <v>3065.65</v>
      </c>
    </row>
    <row r="4138" spans="1:17" x14ac:dyDescent="0.25">
      <c r="A4138" s="549" t="s">
        <v>1118</v>
      </c>
      <c r="B4138" s="549" t="s">
        <v>1119</v>
      </c>
      <c r="C4138" s="549" t="s">
        <v>869</v>
      </c>
      <c r="D4138" s="549" t="s">
        <v>870</v>
      </c>
      <c r="E4138" s="549" t="s">
        <v>977</v>
      </c>
      <c r="F4138" s="549" t="s">
        <v>1212</v>
      </c>
      <c r="G4138" s="549" t="s">
        <v>1533</v>
      </c>
      <c r="H4138" s="549" t="s">
        <v>869</v>
      </c>
      <c r="I4138" s="549" t="s">
        <v>976</v>
      </c>
      <c r="J4138" s="549" t="s">
        <v>976</v>
      </c>
      <c r="K4138" s="549" t="s">
        <v>976</v>
      </c>
      <c r="L4138" s="549">
        <v>31920.57</v>
      </c>
      <c r="M4138" s="549">
        <v>2410</v>
      </c>
      <c r="N4138" s="549">
        <v>705.44</v>
      </c>
      <c r="O4138" s="549">
        <v>0</v>
      </c>
      <c r="P4138" s="549">
        <v>100</v>
      </c>
      <c r="Q4138" s="549">
        <v>3115.44</v>
      </c>
    </row>
    <row r="4139" spans="1:17" x14ac:dyDescent="0.25">
      <c r="A4139" s="549" t="s">
        <v>1118</v>
      </c>
      <c r="B4139" s="549" t="s">
        <v>1119</v>
      </c>
      <c r="C4139" s="549" t="s">
        <v>869</v>
      </c>
      <c r="D4139" s="549" t="s">
        <v>870</v>
      </c>
      <c r="E4139" s="549" t="s">
        <v>977</v>
      </c>
      <c r="F4139" s="549" t="s">
        <v>1212</v>
      </c>
      <c r="G4139" s="549" t="s">
        <v>1534</v>
      </c>
      <c r="H4139" s="549" t="s">
        <v>869</v>
      </c>
      <c r="I4139" s="549" t="s">
        <v>976</v>
      </c>
      <c r="J4139" s="549" t="s">
        <v>976</v>
      </c>
      <c r="K4139" s="549" t="s">
        <v>976</v>
      </c>
      <c r="L4139" s="549">
        <v>31920.57</v>
      </c>
      <c r="M4139" s="549">
        <v>2410</v>
      </c>
      <c r="N4139" s="549">
        <v>705.44</v>
      </c>
      <c r="O4139" s="549">
        <v>0</v>
      </c>
      <c r="P4139" s="549">
        <v>100</v>
      </c>
      <c r="Q4139" s="549">
        <v>3115.44</v>
      </c>
    </row>
    <row r="4140" spans="1:17" x14ac:dyDescent="0.25">
      <c r="A4140" s="549" t="s">
        <v>1118</v>
      </c>
      <c r="B4140" s="549" t="s">
        <v>1119</v>
      </c>
      <c r="C4140" s="549" t="s">
        <v>869</v>
      </c>
      <c r="D4140" s="549" t="s">
        <v>870</v>
      </c>
      <c r="E4140" s="549" t="s">
        <v>977</v>
      </c>
      <c r="F4140" s="549" t="s">
        <v>1212</v>
      </c>
      <c r="G4140" s="549" t="s">
        <v>1371</v>
      </c>
      <c r="H4140" s="549" t="s">
        <v>869</v>
      </c>
      <c r="I4140" s="549" t="s">
        <v>976</v>
      </c>
      <c r="J4140" s="549" t="s">
        <v>976</v>
      </c>
      <c r="K4140" s="549" t="s">
        <v>976</v>
      </c>
      <c r="L4140" s="549">
        <v>49288.68</v>
      </c>
      <c r="M4140" s="549">
        <v>3721.3</v>
      </c>
      <c r="N4140" s="549">
        <v>1089.28</v>
      </c>
      <c r="O4140" s="549">
        <v>0</v>
      </c>
      <c r="P4140" s="549">
        <v>100</v>
      </c>
      <c r="Q4140" s="549">
        <v>4810.58</v>
      </c>
    </row>
    <row r="4141" spans="1:17" x14ac:dyDescent="0.25">
      <c r="A4141" s="549" t="s">
        <v>1118</v>
      </c>
      <c r="B4141" s="549" t="s">
        <v>1119</v>
      </c>
      <c r="C4141" s="549" t="s">
        <v>869</v>
      </c>
      <c r="D4141" s="549" t="s">
        <v>870</v>
      </c>
      <c r="E4141" s="549" t="s">
        <v>977</v>
      </c>
      <c r="F4141" s="549" t="s">
        <v>1212</v>
      </c>
      <c r="G4141" s="549" t="s">
        <v>1352</v>
      </c>
      <c r="H4141" s="549" t="s">
        <v>869</v>
      </c>
      <c r="I4141" s="549" t="s">
        <v>976</v>
      </c>
      <c r="J4141" s="549" t="s">
        <v>976</v>
      </c>
      <c r="K4141" s="549" t="s">
        <v>976</v>
      </c>
      <c r="L4141" s="549">
        <v>49288.68</v>
      </c>
      <c r="M4141" s="549">
        <v>3721.3</v>
      </c>
      <c r="N4141" s="549">
        <v>1089.28</v>
      </c>
      <c r="O4141" s="549">
        <v>0</v>
      </c>
      <c r="P4141" s="549">
        <v>100</v>
      </c>
      <c r="Q4141" s="549">
        <v>4810.58</v>
      </c>
    </row>
    <row r="4142" spans="1:17" x14ac:dyDescent="0.25">
      <c r="A4142" s="549" t="s">
        <v>1118</v>
      </c>
      <c r="B4142" s="549" t="s">
        <v>1119</v>
      </c>
      <c r="C4142" s="549" t="s">
        <v>869</v>
      </c>
      <c r="D4142" s="549" t="s">
        <v>870</v>
      </c>
      <c r="E4142" s="549" t="s">
        <v>977</v>
      </c>
      <c r="F4142" s="549" t="s">
        <v>1212</v>
      </c>
      <c r="G4142" s="549" t="s">
        <v>1535</v>
      </c>
      <c r="H4142" s="549" t="s">
        <v>869</v>
      </c>
      <c r="I4142" s="549" t="s">
        <v>976</v>
      </c>
      <c r="J4142" s="549" t="s">
        <v>976</v>
      </c>
      <c r="K4142" s="549" t="s">
        <v>976</v>
      </c>
      <c r="L4142" s="549">
        <v>49288.68</v>
      </c>
      <c r="M4142" s="549">
        <v>3721.3</v>
      </c>
      <c r="N4142" s="549">
        <v>1089.28</v>
      </c>
      <c r="O4142" s="549">
        <v>0</v>
      </c>
      <c r="P4142" s="549">
        <v>100</v>
      </c>
      <c r="Q4142" s="549">
        <v>4810.58</v>
      </c>
    </row>
    <row r="4143" spans="1:17" x14ac:dyDescent="0.25">
      <c r="A4143" s="549" t="s">
        <v>1118</v>
      </c>
      <c r="B4143" s="549" t="s">
        <v>1119</v>
      </c>
      <c r="C4143" s="549" t="s">
        <v>869</v>
      </c>
      <c r="D4143" s="549" t="s">
        <v>870</v>
      </c>
      <c r="E4143" s="549" t="s">
        <v>977</v>
      </c>
      <c r="F4143" s="549" t="s">
        <v>1212</v>
      </c>
      <c r="G4143" s="549">
        <v>92</v>
      </c>
      <c r="H4143" s="549" t="s">
        <v>873</v>
      </c>
      <c r="I4143" s="549" t="s">
        <v>976</v>
      </c>
      <c r="J4143" s="549" t="s">
        <v>976</v>
      </c>
      <c r="K4143" s="549" t="s">
        <v>976</v>
      </c>
      <c r="L4143" s="549">
        <v>714112.63</v>
      </c>
      <c r="M4143" s="549">
        <v>53915.5</v>
      </c>
      <c r="N4143" s="549">
        <v>15781.89</v>
      </c>
      <c r="O4143" s="549">
        <v>4960</v>
      </c>
      <c r="P4143" s="549">
        <v>56.69</v>
      </c>
      <c r="Q4143" s="549">
        <v>42323.27</v>
      </c>
    </row>
    <row r="4144" spans="1:17" x14ac:dyDescent="0.25">
      <c r="A4144" s="549" t="s">
        <v>1118</v>
      </c>
      <c r="B4144" s="549" t="s">
        <v>1119</v>
      </c>
      <c r="C4144" s="549" t="s">
        <v>869</v>
      </c>
      <c r="D4144" s="549" t="s">
        <v>870</v>
      </c>
      <c r="E4144" s="549" t="s">
        <v>977</v>
      </c>
      <c r="F4144" s="549" t="s">
        <v>1212</v>
      </c>
      <c r="G4144" s="549">
        <v>112</v>
      </c>
      <c r="H4144" s="549" t="s">
        <v>873</v>
      </c>
      <c r="I4144" s="549" t="s">
        <v>976</v>
      </c>
      <c r="J4144" s="549" t="s">
        <v>976</v>
      </c>
      <c r="K4144" s="549" t="s">
        <v>976</v>
      </c>
      <c r="L4144" s="549">
        <v>714112.63</v>
      </c>
      <c r="M4144" s="549">
        <v>53915.5</v>
      </c>
      <c r="N4144" s="549">
        <v>15781.89</v>
      </c>
      <c r="O4144" s="549">
        <v>4960</v>
      </c>
      <c r="P4144" s="549">
        <v>56.69</v>
      </c>
      <c r="Q4144" s="549">
        <v>42323.27</v>
      </c>
    </row>
    <row r="4145" spans="1:17" x14ac:dyDescent="0.25">
      <c r="A4145" s="549" t="s">
        <v>1118</v>
      </c>
      <c r="B4145" s="549" t="s">
        <v>1119</v>
      </c>
      <c r="C4145" s="549" t="s">
        <v>869</v>
      </c>
      <c r="D4145" s="549" t="s">
        <v>870</v>
      </c>
      <c r="E4145" s="549" t="s">
        <v>977</v>
      </c>
      <c r="F4145" s="549" t="s">
        <v>1212</v>
      </c>
      <c r="G4145" s="549">
        <v>162</v>
      </c>
      <c r="H4145" s="549" t="s">
        <v>873</v>
      </c>
      <c r="I4145" s="549" t="s">
        <v>976</v>
      </c>
      <c r="J4145" s="549" t="s">
        <v>976</v>
      </c>
      <c r="K4145" s="549" t="s">
        <v>976</v>
      </c>
      <c r="L4145" s="549">
        <v>714112.63</v>
      </c>
      <c r="M4145" s="549">
        <v>53915.5</v>
      </c>
      <c r="N4145" s="549">
        <v>15781.89</v>
      </c>
      <c r="O4145" s="549">
        <v>4960</v>
      </c>
      <c r="P4145" s="549">
        <v>100</v>
      </c>
      <c r="Q4145" s="549">
        <v>74657.39</v>
      </c>
    </row>
    <row r="4146" spans="1:17" x14ac:dyDescent="0.25">
      <c r="A4146" s="549" t="s">
        <v>1118</v>
      </c>
      <c r="B4146" s="549" t="s">
        <v>1119</v>
      </c>
      <c r="C4146" s="549" t="s">
        <v>875</v>
      </c>
      <c r="D4146" s="549" t="s">
        <v>876</v>
      </c>
      <c r="E4146" s="549" t="s">
        <v>977</v>
      </c>
      <c r="F4146" s="549" t="s">
        <v>1212</v>
      </c>
      <c r="G4146" s="549">
        <v>18</v>
      </c>
      <c r="H4146" s="549" t="s">
        <v>875</v>
      </c>
      <c r="I4146" s="549" t="s">
        <v>976</v>
      </c>
      <c r="J4146" s="549" t="s">
        <v>976</v>
      </c>
      <c r="K4146" s="549" t="s">
        <v>976</v>
      </c>
      <c r="L4146" s="549">
        <v>92748.31</v>
      </c>
      <c r="M4146" s="549">
        <v>7002.5</v>
      </c>
      <c r="N4146" s="549">
        <v>2049.7399999999998</v>
      </c>
      <c r="O4146" s="549">
        <v>992</v>
      </c>
      <c r="P4146" s="549">
        <v>100</v>
      </c>
      <c r="Q4146" s="549">
        <v>10044.24</v>
      </c>
    </row>
    <row r="4147" spans="1:17" x14ac:dyDescent="0.25">
      <c r="A4147" s="549" t="s">
        <v>1118</v>
      </c>
      <c r="B4147" s="549" t="s">
        <v>1119</v>
      </c>
      <c r="C4147" s="549" t="s">
        <v>875</v>
      </c>
      <c r="D4147" s="549" t="s">
        <v>876</v>
      </c>
      <c r="E4147" s="549" t="s">
        <v>977</v>
      </c>
      <c r="F4147" s="549" t="s">
        <v>1212</v>
      </c>
      <c r="G4147" s="549">
        <v>19</v>
      </c>
      <c r="H4147" s="549" t="s">
        <v>875</v>
      </c>
      <c r="I4147" s="549" t="s">
        <v>976</v>
      </c>
      <c r="J4147" s="549" t="s">
        <v>976</v>
      </c>
      <c r="K4147" s="549" t="s">
        <v>976</v>
      </c>
      <c r="L4147" s="549">
        <v>92748.31</v>
      </c>
      <c r="M4147" s="549">
        <v>7002.5</v>
      </c>
      <c r="N4147" s="549">
        <v>2049.7399999999998</v>
      </c>
      <c r="O4147" s="549">
        <v>992</v>
      </c>
      <c r="P4147" s="549">
        <v>100</v>
      </c>
      <c r="Q4147" s="549">
        <v>10044.24</v>
      </c>
    </row>
    <row r="4148" spans="1:17" x14ac:dyDescent="0.25">
      <c r="A4148" s="549" t="s">
        <v>1118</v>
      </c>
      <c r="B4148" s="549" t="s">
        <v>1119</v>
      </c>
      <c r="C4148" s="549" t="s">
        <v>875</v>
      </c>
      <c r="D4148" s="549" t="s">
        <v>876</v>
      </c>
      <c r="E4148" s="549" t="s">
        <v>977</v>
      </c>
      <c r="F4148" s="549" t="s">
        <v>1212</v>
      </c>
      <c r="G4148" s="549">
        <v>20</v>
      </c>
      <c r="H4148" s="549" t="s">
        <v>875</v>
      </c>
      <c r="I4148" s="549" t="s">
        <v>976</v>
      </c>
      <c r="J4148" s="549" t="s">
        <v>976</v>
      </c>
      <c r="K4148" s="549" t="s">
        <v>976</v>
      </c>
      <c r="L4148" s="549">
        <v>92748.31</v>
      </c>
      <c r="M4148" s="549">
        <v>7002.5</v>
      </c>
      <c r="N4148" s="549">
        <v>2049.7399999999998</v>
      </c>
      <c r="O4148" s="549">
        <v>992</v>
      </c>
      <c r="P4148" s="549">
        <v>100</v>
      </c>
      <c r="Q4148" s="549">
        <v>10044.24</v>
      </c>
    </row>
    <row r="4149" spans="1:17" x14ac:dyDescent="0.25">
      <c r="A4149" s="549" t="s">
        <v>1118</v>
      </c>
      <c r="B4149" s="549" t="s">
        <v>1119</v>
      </c>
      <c r="C4149" s="549" t="s">
        <v>875</v>
      </c>
      <c r="D4149" s="549" t="s">
        <v>876</v>
      </c>
      <c r="E4149" s="549" t="s">
        <v>977</v>
      </c>
      <c r="F4149" s="549" t="s">
        <v>1212</v>
      </c>
      <c r="G4149" s="549">
        <v>21</v>
      </c>
      <c r="H4149" s="549" t="s">
        <v>875</v>
      </c>
      <c r="I4149" s="549" t="s">
        <v>976</v>
      </c>
      <c r="J4149" s="549" t="s">
        <v>976</v>
      </c>
      <c r="K4149" s="549" t="s">
        <v>976</v>
      </c>
      <c r="L4149" s="549">
        <v>92748.31</v>
      </c>
      <c r="M4149" s="549">
        <v>7002.5</v>
      </c>
      <c r="N4149" s="549">
        <v>2049.7399999999998</v>
      </c>
      <c r="O4149" s="549">
        <v>992</v>
      </c>
      <c r="P4149" s="549">
        <v>100</v>
      </c>
      <c r="Q4149" s="549">
        <v>10044.24</v>
      </c>
    </row>
    <row r="4150" spans="1:17" x14ac:dyDescent="0.25">
      <c r="A4150" s="549" t="s">
        <v>1118</v>
      </c>
      <c r="B4150" s="549" t="s">
        <v>1119</v>
      </c>
      <c r="C4150" s="549" t="s">
        <v>875</v>
      </c>
      <c r="D4150" s="549" t="s">
        <v>876</v>
      </c>
      <c r="E4150" s="549" t="s">
        <v>977</v>
      </c>
      <c r="F4150" s="549" t="s">
        <v>1212</v>
      </c>
      <c r="G4150" s="549">
        <v>22</v>
      </c>
      <c r="H4150" s="549" t="s">
        <v>875</v>
      </c>
      <c r="I4150" s="549" t="s">
        <v>976</v>
      </c>
      <c r="J4150" s="549" t="s">
        <v>976</v>
      </c>
      <c r="K4150" s="549" t="s">
        <v>976</v>
      </c>
      <c r="L4150" s="549">
        <v>92748.31</v>
      </c>
      <c r="M4150" s="549">
        <v>7002.5</v>
      </c>
      <c r="N4150" s="549">
        <v>2049.7399999999998</v>
      </c>
      <c r="O4150" s="549">
        <v>992</v>
      </c>
      <c r="P4150" s="549">
        <v>100</v>
      </c>
      <c r="Q4150" s="549">
        <v>10044.24</v>
      </c>
    </row>
    <row r="4151" spans="1:17" x14ac:dyDescent="0.25">
      <c r="A4151" s="549" t="s">
        <v>1118</v>
      </c>
      <c r="B4151" s="549" t="s">
        <v>1119</v>
      </c>
      <c r="C4151" s="549" t="s">
        <v>875</v>
      </c>
      <c r="D4151" s="549" t="s">
        <v>876</v>
      </c>
      <c r="E4151" s="549" t="s">
        <v>977</v>
      </c>
      <c r="F4151" s="549" t="s">
        <v>1212</v>
      </c>
      <c r="G4151" s="549">
        <v>23</v>
      </c>
      <c r="H4151" s="549" t="s">
        <v>875</v>
      </c>
      <c r="I4151" s="549" t="s">
        <v>976</v>
      </c>
      <c r="J4151" s="549" t="s">
        <v>976</v>
      </c>
      <c r="K4151" s="549" t="s">
        <v>976</v>
      </c>
      <c r="L4151" s="549">
        <v>92748.31</v>
      </c>
      <c r="M4151" s="549">
        <v>7002.5</v>
      </c>
      <c r="N4151" s="549">
        <v>2049.7399999999998</v>
      </c>
      <c r="O4151" s="549">
        <v>992</v>
      </c>
      <c r="P4151" s="549">
        <v>100</v>
      </c>
      <c r="Q4151" s="549">
        <v>10044.24</v>
      </c>
    </row>
    <row r="4152" spans="1:17" x14ac:dyDescent="0.25">
      <c r="A4152" s="549" t="s">
        <v>1118</v>
      </c>
      <c r="B4152" s="549" t="s">
        <v>1119</v>
      </c>
      <c r="C4152" s="549" t="s">
        <v>875</v>
      </c>
      <c r="D4152" s="549" t="s">
        <v>876</v>
      </c>
      <c r="E4152" s="549" t="s">
        <v>977</v>
      </c>
      <c r="F4152" s="549" t="s">
        <v>1212</v>
      </c>
      <c r="G4152" s="549">
        <v>24</v>
      </c>
      <c r="H4152" s="549" t="s">
        <v>875</v>
      </c>
      <c r="I4152" s="549" t="s">
        <v>976</v>
      </c>
      <c r="J4152" s="549" t="s">
        <v>976</v>
      </c>
      <c r="K4152" s="549" t="s">
        <v>976</v>
      </c>
      <c r="L4152" s="549">
        <v>92748.31</v>
      </c>
      <c r="M4152" s="549">
        <v>7002.5</v>
      </c>
      <c r="N4152" s="549">
        <v>2049.7399999999998</v>
      </c>
      <c r="O4152" s="549">
        <v>992</v>
      </c>
      <c r="P4152" s="549">
        <v>100</v>
      </c>
      <c r="Q4152" s="549">
        <v>10044.24</v>
      </c>
    </row>
    <row r="4153" spans="1:17" x14ac:dyDescent="0.25">
      <c r="A4153" s="549" t="s">
        <v>1118</v>
      </c>
      <c r="B4153" s="549" t="s">
        <v>1119</v>
      </c>
      <c r="C4153" s="549" t="s">
        <v>875</v>
      </c>
      <c r="D4153" s="549" t="s">
        <v>876</v>
      </c>
      <c r="E4153" s="549" t="s">
        <v>977</v>
      </c>
      <c r="F4153" s="549" t="s">
        <v>1212</v>
      </c>
      <c r="G4153" s="549">
        <v>25</v>
      </c>
      <c r="H4153" s="549" t="s">
        <v>875</v>
      </c>
      <c r="I4153" s="549" t="s">
        <v>976</v>
      </c>
      <c r="J4153" s="549" t="s">
        <v>976</v>
      </c>
      <c r="K4153" s="549" t="s">
        <v>976</v>
      </c>
      <c r="L4153" s="549">
        <v>92748.31</v>
      </c>
      <c r="M4153" s="549">
        <v>7002.5</v>
      </c>
      <c r="N4153" s="549">
        <v>2049.7399999999998</v>
      </c>
      <c r="O4153" s="549">
        <v>992</v>
      </c>
      <c r="P4153" s="549">
        <v>100</v>
      </c>
      <c r="Q4153" s="549">
        <v>10044.24</v>
      </c>
    </row>
    <row r="4154" spans="1:17" x14ac:dyDescent="0.25">
      <c r="A4154" s="549" t="s">
        <v>1118</v>
      </c>
      <c r="B4154" s="549" t="s">
        <v>1119</v>
      </c>
      <c r="C4154" s="549" t="s">
        <v>875</v>
      </c>
      <c r="D4154" s="549" t="s">
        <v>876</v>
      </c>
      <c r="E4154" s="549" t="s">
        <v>977</v>
      </c>
      <c r="F4154" s="549" t="s">
        <v>1212</v>
      </c>
      <c r="G4154" s="549">
        <v>35</v>
      </c>
      <c r="H4154" s="549" t="s">
        <v>875</v>
      </c>
      <c r="I4154" s="549" t="s">
        <v>976</v>
      </c>
      <c r="J4154" s="549" t="s">
        <v>976</v>
      </c>
      <c r="K4154" s="549" t="s">
        <v>976</v>
      </c>
      <c r="L4154" s="549">
        <v>99162.07</v>
      </c>
      <c r="M4154" s="549">
        <v>7486.74</v>
      </c>
      <c r="N4154" s="549">
        <v>2191.48</v>
      </c>
      <c r="O4154" s="549">
        <v>992</v>
      </c>
      <c r="P4154" s="549">
        <v>100</v>
      </c>
      <c r="Q4154" s="549">
        <v>10670.22</v>
      </c>
    </row>
    <row r="4155" spans="1:17" x14ac:dyDescent="0.25">
      <c r="A4155" s="549" t="s">
        <v>1118</v>
      </c>
      <c r="B4155" s="549" t="s">
        <v>1119</v>
      </c>
      <c r="C4155" s="549" t="s">
        <v>875</v>
      </c>
      <c r="D4155" s="549" t="s">
        <v>876</v>
      </c>
      <c r="E4155" s="549" t="s">
        <v>977</v>
      </c>
      <c r="F4155" s="549" t="s">
        <v>1212</v>
      </c>
      <c r="G4155" s="549">
        <v>36</v>
      </c>
      <c r="H4155" s="549" t="s">
        <v>875</v>
      </c>
      <c r="I4155" s="549" t="s">
        <v>976</v>
      </c>
      <c r="J4155" s="549" t="s">
        <v>976</v>
      </c>
      <c r="K4155" s="549" t="s">
        <v>976</v>
      </c>
      <c r="L4155" s="549">
        <v>106431</v>
      </c>
      <c r="M4155" s="549">
        <v>8035.54</v>
      </c>
      <c r="N4155" s="549">
        <v>2352.13</v>
      </c>
      <c r="O4155" s="549">
        <v>992</v>
      </c>
      <c r="P4155" s="549">
        <v>100</v>
      </c>
      <c r="Q4155" s="549">
        <v>11379.67</v>
      </c>
    </row>
    <row r="4156" spans="1:17" x14ac:dyDescent="0.25">
      <c r="A4156" s="549" t="s">
        <v>1118</v>
      </c>
      <c r="B4156" s="549" t="s">
        <v>1119</v>
      </c>
      <c r="C4156" s="549" t="s">
        <v>875</v>
      </c>
      <c r="D4156" s="549" t="s">
        <v>876</v>
      </c>
      <c r="E4156" s="549" t="s">
        <v>977</v>
      </c>
      <c r="F4156" s="549" t="s">
        <v>1212</v>
      </c>
      <c r="G4156" s="549">
        <v>37</v>
      </c>
      <c r="H4156" s="549" t="s">
        <v>875</v>
      </c>
      <c r="I4156" s="549" t="s">
        <v>976</v>
      </c>
      <c r="J4156" s="549" t="s">
        <v>976</v>
      </c>
      <c r="K4156" s="549" t="s">
        <v>976</v>
      </c>
      <c r="L4156" s="549">
        <v>99162.07</v>
      </c>
      <c r="M4156" s="549">
        <v>7486.74</v>
      </c>
      <c r="N4156" s="549">
        <v>2191.48</v>
      </c>
      <c r="O4156" s="549">
        <v>992</v>
      </c>
      <c r="P4156" s="549">
        <v>100</v>
      </c>
      <c r="Q4156" s="549">
        <v>10670.22</v>
      </c>
    </row>
    <row r="4157" spans="1:17" x14ac:dyDescent="0.25">
      <c r="A4157" s="549" t="s">
        <v>1118</v>
      </c>
      <c r="B4157" s="549" t="s">
        <v>1119</v>
      </c>
      <c r="C4157" s="549" t="s">
        <v>875</v>
      </c>
      <c r="D4157" s="549" t="s">
        <v>876</v>
      </c>
      <c r="E4157" s="549" t="s">
        <v>977</v>
      </c>
      <c r="F4157" s="549" t="s">
        <v>1212</v>
      </c>
      <c r="G4157" s="549">
        <v>72</v>
      </c>
      <c r="H4157" s="549" t="s">
        <v>875</v>
      </c>
      <c r="I4157" s="549" t="s">
        <v>976</v>
      </c>
      <c r="J4157" s="549" t="s">
        <v>976</v>
      </c>
      <c r="K4157" s="549" t="s">
        <v>976</v>
      </c>
      <c r="L4157" s="549">
        <v>268968.24</v>
      </c>
      <c r="M4157" s="549">
        <v>20307.099999999999</v>
      </c>
      <c r="N4157" s="549">
        <v>5944.2</v>
      </c>
      <c r="O4157" s="549">
        <v>1984</v>
      </c>
      <c r="P4157" s="549">
        <v>100</v>
      </c>
      <c r="Q4157" s="549">
        <v>28235.3</v>
      </c>
    </row>
    <row r="4158" spans="1:17" x14ac:dyDescent="0.25">
      <c r="A4158" s="549" t="s">
        <v>1118</v>
      </c>
      <c r="B4158" s="549" t="s">
        <v>1119</v>
      </c>
      <c r="C4158" s="549" t="s">
        <v>875</v>
      </c>
      <c r="D4158" s="549" t="s">
        <v>876</v>
      </c>
      <c r="E4158" s="549" t="s">
        <v>977</v>
      </c>
      <c r="F4158" s="549" t="s">
        <v>1212</v>
      </c>
      <c r="G4158" s="549">
        <v>92</v>
      </c>
      <c r="H4158" s="549" t="s">
        <v>875</v>
      </c>
      <c r="I4158" s="549" t="s">
        <v>976</v>
      </c>
      <c r="J4158" s="549" t="s">
        <v>976</v>
      </c>
      <c r="K4158" s="549" t="s">
        <v>976</v>
      </c>
      <c r="L4158" s="549">
        <v>268968.24</v>
      </c>
      <c r="M4158" s="549">
        <v>20307.099999999999</v>
      </c>
      <c r="N4158" s="549">
        <v>5944.2</v>
      </c>
      <c r="O4158" s="549">
        <v>1984</v>
      </c>
      <c r="P4158" s="549">
        <v>100</v>
      </c>
      <c r="Q4158" s="549">
        <v>28235.3</v>
      </c>
    </row>
    <row r="4159" spans="1:17" x14ac:dyDescent="0.25">
      <c r="A4159" s="549" t="s">
        <v>1118</v>
      </c>
      <c r="B4159" s="549" t="s">
        <v>1119</v>
      </c>
      <c r="C4159" s="549" t="s">
        <v>875</v>
      </c>
      <c r="D4159" s="549" t="s">
        <v>876</v>
      </c>
      <c r="E4159" s="549" t="s">
        <v>977</v>
      </c>
      <c r="F4159" s="549" t="s">
        <v>1212</v>
      </c>
      <c r="G4159" s="549" t="s">
        <v>1536</v>
      </c>
      <c r="H4159" s="549" t="s">
        <v>875</v>
      </c>
      <c r="I4159" s="549" t="s">
        <v>976</v>
      </c>
      <c r="J4159" s="549" t="s">
        <v>976</v>
      </c>
      <c r="K4159" s="549" t="s">
        <v>976</v>
      </c>
      <c r="L4159" s="549">
        <v>31410.32</v>
      </c>
      <c r="M4159" s="549">
        <v>2371.48</v>
      </c>
      <c r="N4159" s="549">
        <v>694.17</v>
      </c>
      <c r="O4159" s="549">
        <v>0</v>
      </c>
      <c r="P4159" s="549">
        <v>100</v>
      </c>
      <c r="Q4159" s="549">
        <v>3065.65</v>
      </c>
    </row>
    <row r="4160" spans="1:17" x14ac:dyDescent="0.25">
      <c r="A4160" s="549" t="s">
        <v>1118</v>
      </c>
      <c r="B4160" s="549" t="s">
        <v>1119</v>
      </c>
      <c r="C4160" s="549" t="s">
        <v>875</v>
      </c>
      <c r="D4160" s="549" t="s">
        <v>876</v>
      </c>
      <c r="E4160" s="549" t="s">
        <v>977</v>
      </c>
      <c r="F4160" s="549" t="s">
        <v>1212</v>
      </c>
      <c r="G4160" s="549" t="s">
        <v>1309</v>
      </c>
      <c r="H4160" s="549" t="s">
        <v>875</v>
      </c>
      <c r="I4160" s="549" t="s">
        <v>976</v>
      </c>
      <c r="J4160" s="549" t="s">
        <v>976</v>
      </c>
      <c r="K4160" s="549" t="s">
        <v>976</v>
      </c>
      <c r="L4160" s="549">
        <v>31410.32</v>
      </c>
      <c r="M4160" s="549">
        <v>2371.48</v>
      </c>
      <c r="N4160" s="549">
        <v>694.17</v>
      </c>
      <c r="O4160" s="549">
        <v>0</v>
      </c>
      <c r="P4160" s="549">
        <v>100</v>
      </c>
      <c r="Q4160" s="549">
        <v>3065.65</v>
      </c>
    </row>
    <row r="4161" spans="1:17" x14ac:dyDescent="0.25">
      <c r="A4161" s="549" t="s">
        <v>1118</v>
      </c>
      <c r="B4161" s="549" t="s">
        <v>1119</v>
      </c>
      <c r="C4161" s="549" t="s">
        <v>875</v>
      </c>
      <c r="D4161" s="549" t="s">
        <v>876</v>
      </c>
      <c r="E4161" s="549" t="s">
        <v>977</v>
      </c>
      <c r="F4161" s="549" t="s">
        <v>1212</v>
      </c>
      <c r="G4161" s="549" t="s">
        <v>1249</v>
      </c>
      <c r="H4161" s="549" t="s">
        <v>875</v>
      </c>
      <c r="I4161" s="549" t="s">
        <v>976</v>
      </c>
      <c r="J4161" s="549" t="s">
        <v>976</v>
      </c>
      <c r="K4161" s="549" t="s">
        <v>976</v>
      </c>
      <c r="L4161" s="549">
        <v>0.01</v>
      </c>
      <c r="M4161" s="549">
        <v>0</v>
      </c>
      <c r="N4161" s="549">
        <v>0</v>
      </c>
      <c r="O4161" s="549">
        <v>0</v>
      </c>
      <c r="P4161" s="549">
        <v>100</v>
      </c>
      <c r="Q4161" s="549">
        <v>0</v>
      </c>
    </row>
    <row r="4162" spans="1:17" x14ac:dyDescent="0.25">
      <c r="A4162" s="549" t="s">
        <v>1118</v>
      </c>
      <c r="B4162" s="549" t="s">
        <v>1119</v>
      </c>
      <c r="C4162" s="549" t="s">
        <v>875</v>
      </c>
      <c r="D4162" s="549" t="s">
        <v>876</v>
      </c>
      <c r="E4162" s="549" t="s">
        <v>977</v>
      </c>
      <c r="F4162" s="549" t="s">
        <v>1212</v>
      </c>
      <c r="G4162" s="549" t="s">
        <v>1250</v>
      </c>
      <c r="H4162" s="549" t="s">
        <v>875</v>
      </c>
      <c r="I4162" s="549" t="s">
        <v>976</v>
      </c>
      <c r="J4162" s="549" t="s">
        <v>976</v>
      </c>
      <c r="K4162" s="549" t="s">
        <v>976</v>
      </c>
      <c r="L4162" s="549">
        <v>0.01</v>
      </c>
      <c r="M4162" s="549">
        <v>0</v>
      </c>
      <c r="N4162" s="549">
        <v>0</v>
      </c>
      <c r="O4162" s="549">
        <v>0</v>
      </c>
      <c r="P4162" s="549">
        <v>100</v>
      </c>
      <c r="Q4162" s="549">
        <v>0</v>
      </c>
    </row>
    <row r="4163" spans="1:17" x14ac:dyDescent="0.25">
      <c r="A4163" s="549" t="s">
        <v>1118</v>
      </c>
      <c r="B4163" s="549" t="s">
        <v>1119</v>
      </c>
      <c r="C4163" s="549" t="s">
        <v>875</v>
      </c>
      <c r="D4163" s="549" t="s">
        <v>876</v>
      </c>
      <c r="E4163" s="549" t="s">
        <v>977</v>
      </c>
      <c r="F4163" s="549" t="s">
        <v>1212</v>
      </c>
      <c r="G4163" s="549">
        <v>242</v>
      </c>
      <c r="H4163" s="549" t="s">
        <v>865</v>
      </c>
      <c r="I4163" s="549" t="s">
        <v>976</v>
      </c>
      <c r="J4163" s="549" t="s">
        <v>976</v>
      </c>
      <c r="K4163" s="549" t="s">
        <v>976</v>
      </c>
      <c r="L4163" s="549">
        <v>678039.72</v>
      </c>
      <c r="M4163" s="549">
        <v>51192</v>
      </c>
      <c r="N4163" s="549">
        <v>14984.68</v>
      </c>
      <c r="O4163" s="549">
        <v>4960</v>
      </c>
      <c r="P4163" s="549">
        <v>100</v>
      </c>
      <c r="Q4163" s="549">
        <v>71136.679999999993</v>
      </c>
    </row>
    <row r="4164" spans="1:17" x14ac:dyDescent="0.25">
      <c r="A4164" s="549" t="s">
        <v>1118</v>
      </c>
      <c r="B4164" s="549" t="s">
        <v>1119</v>
      </c>
      <c r="C4164" s="549" t="s">
        <v>875</v>
      </c>
      <c r="D4164" s="549" t="s">
        <v>876</v>
      </c>
      <c r="E4164" s="549" t="s">
        <v>977</v>
      </c>
      <c r="F4164" s="549" t="s">
        <v>1212</v>
      </c>
      <c r="G4164" s="549">
        <v>262</v>
      </c>
      <c r="H4164" s="549" t="s">
        <v>865</v>
      </c>
      <c r="I4164" s="549" t="s">
        <v>976</v>
      </c>
      <c r="J4164" s="549" t="s">
        <v>976</v>
      </c>
      <c r="K4164" s="549" t="s">
        <v>976</v>
      </c>
      <c r="L4164" s="549">
        <v>678039.72</v>
      </c>
      <c r="M4164" s="549">
        <v>51192</v>
      </c>
      <c r="N4164" s="549">
        <v>14984.68</v>
      </c>
      <c r="O4164" s="549">
        <v>4960</v>
      </c>
      <c r="P4164" s="549">
        <v>100</v>
      </c>
      <c r="Q4164" s="549">
        <v>71136.679999999993</v>
      </c>
    </row>
    <row r="4165" spans="1:17" x14ac:dyDescent="0.25">
      <c r="A4165" s="549" t="s">
        <v>1118</v>
      </c>
      <c r="B4165" s="549" t="s">
        <v>1119</v>
      </c>
      <c r="C4165" s="549" t="s">
        <v>865</v>
      </c>
      <c r="D4165" s="549" t="s">
        <v>866</v>
      </c>
      <c r="E4165" s="549" t="s">
        <v>977</v>
      </c>
      <c r="F4165" s="549" t="s">
        <v>1212</v>
      </c>
      <c r="G4165" s="549">
        <v>34</v>
      </c>
      <c r="H4165" s="549" t="s">
        <v>865</v>
      </c>
      <c r="I4165" s="549" t="s">
        <v>976</v>
      </c>
      <c r="J4165" s="549" t="s">
        <v>976</v>
      </c>
      <c r="K4165" s="549" t="s">
        <v>976</v>
      </c>
      <c r="L4165" s="549">
        <v>104644.99</v>
      </c>
      <c r="M4165" s="549">
        <v>7900.7</v>
      </c>
      <c r="N4165" s="549">
        <v>2312.65</v>
      </c>
      <c r="O4165" s="549">
        <v>992</v>
      </c>
      <c r="P4165" s="549">
        <v>50</v>
      </c>
      <c r="Q4165" s="549">
        <v>5602.68</v>
      </c>
    </row>
    <row r="4166" spans="1:17" x14ac:dyDescent="0.25">
      <c r="A4166" s="549" t="s">
        <v>1118</v>
      </c>
      <c r="B4166" s="549" t="s">
        <v>1119</v>
      </c>
      <c r="C4166" s="549" t="s">
        <v>865</v>
      </c>
      <c r="D4166" s="549" t="s">
        <v>866</v>
      </c>
      <c r="E4166" s="549" t="s">
        <v>977</v>
      </c>
      <c r="F4166" s="549" t="s">
        <v>1212</v>
      </c>
      <c r="G4166" s="549">
        <v>132</v>
      </c>
      <c r="H4166" s="549" t="s">
        <v>865</v>
      </c>
      <c r="I4166" s="549" t="s">
        <v>976</v>
      </c>
      <c r="J4166" s="549" t="s">
        <v>976</v>
      </c>
      <c r="K4166" s="549" t="s">
        <v>976</v>
      </c>
      <c r="L4166" s="549">
        <v>518520.94</v>
      </c>
      <c r="M4166" s="549">
        <v>39148.33</v>
      </c>
      <c r="N4166" s="549">
        <v>11459.31</v>
      </c>
      <c r="O4166" s="549">
        <v>2976</v>
      </c>
      <c r="P4166" s="549">
        <v>100</v>
      </c>
      <c r="Q4166" s="549">
        <v>53583.64</v>
      </c>
    </row>
    <row r="4167" spans="1:17" x14ac:dyDescent="0.25">
      <c r="A4167" s="549" t="s">
        <v>1118</v>
      </c>
      <c r="B4167" s="549" t="s">
        <v>1119</v>
      </c>
      <c r="C4167" s="549" t="s">
        <v>865</v>
      </c>
      <c r="D4167" s="549" t="s">
        <v>866</v>
      </c>
      <c r="E4167" s="549" t="s">
        <v>977</v>
      </c>
      <c r="F4167" s="549" t="s">
        <v>1212</v>
      </c>
      <c r="G4167" s="549">
        <v>272</v>
      </c>
      <c r="H4167" s="549" t="s">
        <v>865</v>
      </c>
      <c r="I4167" s="549" t="s">
        <v>976</v>
      </c>
      <c r="J4167" s="549" t="s">
        <v>976</v>
      </c>
      <c r="K4167" s="549" t="s">
        <v>976</v>
      </c>
      <c r="L4167" s="549">
        <v>518520.94</v>
      </c>
      <c r="M4167" s="549">
        <v>39148.33</v>
      </c>
      <c r="N4167" s="549">
        <v>11459.31</v>
      </c>
      <c r="O4167" s="549">
        <v>2976</v>
      </c>
      <c r="P4167" s="549">
        <v>50</v>
      </c>
      <c r="Q4167" s="549">
        <v>26791.82</v>
      </c>
    </row>
    <row r="4168" spans="1:17" x14ac:dyDescent="0.25">
      <c r="A4168" s="549" t="s">
        <v>1118</v>
      </c>
      <c r="B4168" s="549" t="s">
        <v>1119</v>
      </c>
      <c r="C4168" s="549" t="s">
        <v>865</v>
      </c>
      <c r="D4168" s="549" t="s">
        <v>866</v>
      </c>
      <c r="E4168" s="549" t="s">
        <v>977</v>
      </c>
      <c r="F4168" s="549" t="s">
        <v>1212</v>
      </c>
      <c r="G4168" s="549">
        <v>1012</v>
      </c>
      <c r="H4168" s="549" t="s">
        <v>865</v>
      </c>
      <c r="I4168" s="549" t="s">
        <v>976</v>
      </c>
      <c r="J4168" s="549" t="s">
        <v>976</v>
      </c>
      <c r="K4168" s="549" t="s">
        <v>976</v>
      </c>
      <c r="L4168" s="549">
        <v>168670.82</v>
      </c>
      <c r="M4168" s="549">
        <v>12734.65</v>
      </c>
      <c r="N4168" s="549">
        <v>3727.63</v>
      </c>
      <c r="O4168" s="549">
        <v>3968</v>
      </c>
      <c r="P4168" s="549">
        <v>100</v>
      </c>
      <c r="Q4168" s="549">
        <v>20430.28</v>
      </c>
    </row>
    <row r="4169" spans="1:17" x14ac:dyDescent="0.25">
      <c r="A4169" s="549" t="s">
        <v>1118</v>
      </c>
      <c r="B4169" s="549" t="s">
        <v>1119</v>
      </c>
      <c r="C4169" s="549" t="s">
        <v>865</v>
      </c>
      <c r="D4169" s="549" t="s">
        <v>866</v>
      </c>
      <c r="E4169" s="549" t="s">
        <v>977</v>
      </c>
      <c r="F4169" s="549" t="s">
        <v>1212</v>
      </c>
      <c r="G4169" s="549">
        <v>1037</v>
      </c>
      <c r="H4169" s="549" t="s">
        <v>865</v>
      </c>
      <c r="I4169" s="549" t="s">
        <v>976</v>
      </c>
      <c r="J4169" s="549" t="s">
        <v>976</v>
      </c>
      <c r="K4169" s="549" t="s">
        <v>976</v>
      </c>
      <c r="L4169" s="549">
        <v>25221.39</v>
      </c>
      <c r="M4169" s="549">
        <v>1904.21</v>
      </c>
      <c r="N4169" s="549">
        <v>557.39</v>
      </c>
      <c r="O4169" s="549">
        <v>992</v>
      </c>
      <c r="P4169" s="549">
        <v>50</v>
      </c>
      <c r="Q4169" s="549">
        <v>1726.8</v>
      </c>
    </row>
    <row r="4170" spans="1:17" x14ac:dyDescent="0.25">
      <c r="A4170" s="549" t="s">
        <v>1118</v>
      </c>
      <c r="B4170" s="549" t="s">
        <v>1119</v>
      </c>
      <c r="C4170" s="549" t="s">
        <v>865</v>
      </c>
      <c r="D4170" s="549" t="s">
        <v>866</v>
      </c>
      <c r="E4170" s="549" t="s">
        <v>977</v>
      </c>
      <c r="F4170" s="549" t="s">
        <v>1212</v>
      </c>
      <c r="G4170" s="549">
        <v>1042</v>
      </c>
      <c r="H4170" s="549" t="s">
        <v>865</v>
      </c>
      <c r="I4170" s="549" t="s">
        <v>976</v>
      </c>
      <c r="J4170" s="549" t="s">
        <v>976</v>
      </c>
      <c r="K4170" s="549" t="s">
        <v>976</v>
      </c>
      <c r="L4170" s="549">
        <v>170501.92</v>
      </c>
      <c r="M4170" s="549">
        <v>12872.89</v>
      </c>
      <c r="N4170" s="549">
        <v>3768.09</v>
      </c>
      <c r="O4170" s="549">
        <v>1984</v>
      </c>
      <c r="P4170" s="549">
        <v>50</v>
      </c>
      <c r="Q4170" s="549">
        <v>9312.49</v>
      </c>
    </row>
    <row r="4171" spans="1:17" x14ac:dyDescent="0.25">
      <c r="A4171" s="549" t="s">
        <v>1118</v>
      </c>
      <c r="B4171" s="549" t="s">
        <v>1119</v>
      </c>
      <c r="C4171" s="549" t="s">
        <v>865</v>
      </c>
      <c r="D4171" s="549" t="s">
        <v>866</v>
      </c>
      <c r="E4171" s="549" t="s">
        <v>977</v>
      </c>
      <c r="F4171" s="549" t="s">
        <v>1212</v>
      </c>
      <c r="G4171" s="549">
        <v>1052</v>
      </c>
      <c r="H4171" s="549" t="s">
        <v>865</v>
      </c>
      <c r="I4171" s="549" t="s">
        <v>976</v>
      </c>
      <c r="J4171" s="549" t="s">
        <v>976</v>
      </c>
      <c r="K4171" s="549" t="s">
        <v>976</v>
      </c>
      <c r="L4171" s="549">
        <v>168670.82</v>
      </c>
      <c r="M4171" s="549">
        <v>12734.65</v>
      </c>
      <c r="N4171" s="549">
        <v>3727.63</v>
      </c>
      <c r="O4171" s="549">
        <v>3968</v>
      </c>
      <c r="P4171" s="549">
        <v>100</v>
      </c>
      <c r="Q4171" s="549">
        <v>20430.28</v>
      </c>
    </row>
    <row r="4172" spans="1:17" x14ac:dyDescent="0.25">
      <c r="A4172" s="549" t="s">
        <v>1118</v>
      </c>
      <c r="B4172" s="549" t="s">
        <v>1119</v>
      </c>
      <c r="C4172" s="549" t="s">
        <v>865</v>
      </c>
      <c r="D4172" s="549" t="s">
        <v>866</v>
      </c>
      <c r="E4172" s="549" t="s">
        <v>977</v>
      </c>
      <c r="F4172" s="549" t="s">
        <v>1212</v>
      </c>
      <c r="G4172" s="549">
        <v>2702</v>
      </c>
      <c r="H4172" s="549" t="s">
        <v>865</v>
      </c>
      <c r="I4172" s="549" t="s">
        <v>976</v>
      </c>
      <c r="J4172" s="549" t="s">
        <v>976</v>
      </c>
      <c r="K4172" s="549" t="s">
        <v>976</v>
      </c>
      <c r="L4172" s="549">
        <v>65686.2</v>
      </c>
      <c r="M4172" s="549">
        <v>4959.3100000000004</v>
      </c>
      <c r="N4172" s="549">
        <v>1451.67</v>
      </c>
      <c r="O4172" s="549">
        <v>992</v>
      </c>
      <c r="P4172" s="549">
        <v>100</v>
      </c>
      <c r="Q4172" s="549">
        <v>7402.98</v>
      </c>
    </row>
    <row r="4173" spans="1:17" x14ac:dyDescent="0.25">
      <c r="A4173" s="549" t="s">
        <v>1118</v>
      </c>
      <c r="B4173" s="549" t="s">
        <v>1119</v>
      </c>
      <c r="C4173" s="549" t="s">
        <v>865</v>
      </c>
      <c r="D4173" s="549" t="s">
        <v>866</v>
      </c>
      <c r="E4173" s="549" t="s">
        <v>977</v>
      </c>
      <c r="F4173" s="549" t="s">
        <v>1212</v>
      </c>
      <c r="G4173" s="549">
        <v>2722</v>
      </c>
      <c r="H4173" s="549" t="s">
        <v>865</v>
      </c>
      <c r="I4173" s="549" t="s">
        <v>976</v>
      </c>
      <c r="J4173" s="549" t="s">
        <v>976</v>
      </c>
      <c r="K4173" s="549" t="s">
        <v>976</v>
      </c>
      <c r="L4173" s="549">
        <v>65686.2</v>
      </c>
      <c r="M4173" s="549">
        <v>4959.3100000000004</v>
      </c>
      <c r="N4173" s="549">
        <v>1451.67</v>
      </c>
      <c r="O4173" s="549">
        <v>992</v>
      </c>
      <c r="P4173" s="549">
        <v>100</v>
      </c>
      <c r="Q4173" s="549">
        <v>7402.98</v>
      </c>
    </row>
    <row r="4174" spans="1:17" x14ac:dyDescent="0.25">
      <c r="A4174" s="549" t="s">
        <v>1118</v>
      </c>
      <c r="B4174" s="549" t="s">
        <v>1119</v>
      </c>
      <c r="C4174" s="549" t="s">
        <v>865</v>
      </c>
      <c r="D4174" s="549" t="s">
        <v>866</v>
      </c>
      <c r="E4174" s="549" t="s">
        <v>977</v>
      </c>
      <c r="F4174" s="549" t="s">
        <v>1212</v>
      </c>
      <c r="G4174" s="549">
        <v>2742</v>
      </c>
      <c r="H4174" s="549" t="s">
        <v>865</v>
      </c>
      <c r="I4174" s="549" t="s">
        <v>976</v>
      </c>
      <c r="J4174" s="549" t="s">
        <v>976</v>
      </c>
      <c r="K4174" s="549" t="s">
        <v>976</v>
      </c>
      <c r="L4174" s="549">
        <v>65686.2</v>
      </c>
      <c r="M4174" s="549">
        <v>4959.3100000000004</v>
      </c>
      <c r="N4174" s="549">
        <v>1451.67</v>
      </c>
      <c r="O4174" s="549">
        <v>992</v>
      </c>
      <c r="P4174" s="549">
        <v>100</v>
      </c>
      <c r="Q4174" s="549">
        <v>7402.98</v>
      </c>
    </row>
    <row r="4175" spans="1:17" x14ac:dyDescent="0.25">
      <c r="A4175" s="549" t="s">
        <v>1118</v>
      </c>
      <c r="B4175" s="549" t="s">
        <v>1119</v>
      </c>
      <c r="C4175" s="549" t="s">
        <v>865</v>
      </c>
      <c r="D4175" s="549" t="s">
        <v>866</v>
      </c>
      <c r="E4175" s="549" t="s">
        <v>977</v>
      </c>
      <c r="F4175" s="549" t="s">
        <v>1212</v>
      </c>
      <c r="G4175" s="549">
        <v>2762</v>
      </c>
      <c r="H4175" s="549" t="s">
        <v>865</v>
      </c>
      <c r="I4175" s="549" t="s">
        <v>976</v>
      </c>
      <c r="J4175" s="549" t="s">
        <v>976</v>
      </c>
      <c r="K4175" s="549" t="s">
        <v>976</v>
      </c>
      <c r="L4175" s="549">
        <v>65686.2</v>
      </c>
      <c r="M4175" s="549">
        <v>4959.3100000000004</v>
      </c>
      <c r="N4175" s="549">
        <v>1451.67</v>
      </c>
      <c r="O4175" s="549">
        <v>992</v>
      </c>
      <c r="P4175" s="549">
        <v>100</v>
      </c>
      <c r="Q4175" s="549">
        <v>7402.98</v>
      </c>
    </row>
    <row r="4176" spans="1:17" x14ac:dyDescent="0.25">
      <c r="A4176" s="549" t="s">
        <v>1118</v>
      </c>
      <c r="B4176" s="549" t="s">
        <v>1119</v>
      </c>
      <c r="C4176" s="549" t="s">
        <v>865</v>
      </c>
      <c r="D4176" s="549" t="s">
        <v>866</v>
      </c>
      <c r="E4176" s="549" t="s">
        <v>977</v>
      </c>
      <c r="F4176" s="549" t="s">
        <v>1212</v>
      </c>
      <c r="G4176" s="549">
        <v>2772</v>
      </c>
      <c r="H4176" s="549" t="s">
        <v>865</v>
      </c>
      <c r="I4176" s="549" t="s">
        <v>976</v>
      </c>
      <c r="J4176" s="549" t="s">
        <v>976</v>
      </c>
      <c r="K4176" s="549" t="s">
        <v>976</v>
      </c>
      <c r="L4176" s="549">
        <v>69468.61</v>
      </c>
      <c r="M4176" s="549">
        <v>5244.88</v>
      </c>
      <c r="N4176" s="549">
        <v>1535.26</v>
      </c>
      <c r="O4176" s="549">
        <v>992</v>
      </c>
      <c r="P4176" s="549">
        <v>100</v>
      </c>
      <c r="Q4176" s="549">
        <v>7772.14</v>
      </c>
    </row>
    <row r="4177" spans="1:17" x14ac:dyDescent="0.25">
      <c r="A4177" s="549" t="s">
        <v>1118</v>
      </c>
      <c r="B4177" s="549" t="s">
        <v>1119</v>
      </c>
      <c r="C4177" s="549" t="s">
        <v>865</v>
      </c>
      <c r="D4177" s="549" t="s">
        <v>866</v>
      </c>
      <c r="E4177" s="549" t="s">
        <v>977</v>
      </c>
      <c r="F4177" s="549" t="s">
        <v>1212</v>
      </c>
      <c r="G4177" s="549">
        <v>2782</v>
      </c>
      <c r="H4177" s="549" t="s">
        <v>865</v>
      </c>
      <c r="I4177" s="549" t="s">
        <v>976</v>
      </c>
      <c r="J4177" s="549" t="s">
        <v>976</v>
      </c>
      <c r="K4177" s="549" t="s">
        <v>976</v>
      </c>
      <c r="L4177" s="549">
        <v>65686.2</v>
      </c>
      <c r="M4177" s="549">
        <v>4959.3100000000004</v>
      </c>
      <c r="N4177" s="549">
        <v>1451.67</v>
      </c>
      <c r="O4177" s="549">
        <v>992</v>
      </c>
      <c r="P4177" s="549">
        <v>100</v>
      </c>
      <c r="Q4177" s="549">
        <v>7402.98</v>
      </c>
    </row>
    <row r="4178" spans="1:17" x14ac:dyDescent="0.25">
      <c r="A4178" s="549" t="s">
        <v>1118</v>
      </c>
      <c r="B4178" s="549" t="s">
        <v>1119</v>
      </c>
      <c r="C4178" s="549" t="s">
        <v>865</v>
      </c>
      <c r="D4178" s="549" t="s">
        <v>866</v>
      </c>
      <c r="E4178" s="549" t="s">
        <v>977</v>
      </c>
      <c r="F4178" s="549" t="s">
        <v>1212</v>
      </c>
      <c r="G4178" s="549">
        <v>2808</v>
      </c>
      <c r="H4178" s="549" t="s">
        <v>865</v>
      </c>
      <c r="I4178" s="549" t="s">
        <v>976</v>
      </c>
      <c r="J4178" s="549" t="s">
        <v>976</v>
      </c>
      <c r="K4178" s="549" t="s">
        <v>976</v>
      </c>
      <c r="L4178" s="549">
        <v>67199.17</v>
      </c>
      <c r="M4178" s="549">
        <v>5073.54</v>
      </c>
      <c r="N4178" s="549">
        <v>1485.1</v>
      </c>
      <c r="O4178" s="549">
        <v>992</v>
      </c>
      <c r="P4178" s="549">
        <v>100</v>
      </c>
      <c r="Q4178" s="549">
        <v>7550.64</v>
      </c>
    </row>
    <row r="4179" spans="1:17" x14ac:dyDescent="0.25">
      <c r="A4179" s="549" t="s">
        <v>1014</v>
      </c>
      <c r="B4179" s="549" t="s">
        <v>1015</v>
      </c>
      <c r="C4179" s="549" t="s">
        <v>519</v>
      </c>
      <c r="D4179" s="549" t="s">
        <v>492</v>
      </c>
      <c r="E4179" s="549" t="s">
        <v>977</v>
      </c>
      <c r="F4179" s="549" t="s">
        <v>1537</v>
      </c>
      <c r="G4179" s="549" t="s">
        <v>1538</v>
      </c>
      <c r="H4179" s="549" t="s">
        <v>519</v>
      </c>
      <c r="I4179" s="549" t="s">
        <v>976</v>
      </c>
      <c r="J4179" s="549" t="s">
        <v>976</v>
      </c>
      <c r="L4179" s="549">
        <v>1259391.6599999999</v>
      </c>
      <c r="M4179" s="549">
        <v>95084.07</v>
      </c>
      <c r="N4179" s="549">
        <v>27832.560000000001</v>
      </c>
      <c r="P4179" s="549">
        <v>3.25</v>
      </c>
      <c r="Q4179" s="549">
        <v>3994.79</v>
      </c>
    </row>
    <row r="4180" spans="1:17" x14ac:dyDescent="0.25">
      <c r="A4180" s="549" t="s">
        <v>1014</v>
      </c>
      <c r="B4180" s="549" t="s">
        <v>1015</v>
      </c>
      <c r="C4180" s="549" t="s">
        <v>519</v>
      </c>
      <c r="D4180" s="549" t="s">
        <v>492</v>
      </c>
      <c r="E4180" s="549" t="s">
        <v>977</v>
      </c>
      <c r="F4180" s="549" t="s">
        <v>1537</v>
      </c>
      <c r="G4180" s="549" t="s">
        <v>1539</v>
      </c>
      <c r="H4180" s="549" t="s">
        <v>519</v>
      </c>
      <c r="I4180" s="549" t="s">
        <v>976</v>
      </c>
      <c r="J4180" s="549" t="s">
        <v>976</v>
      </c>
      <c r="L4180" s="549">
        <v>1259391.6599999999</v>
      </c>
      <c r="M4180" s="549">
        <v>95084.07</v>
      </c>
      <c r="N4180" s="549">
        <v>27832.560000000001</v>
      </c>
      <c r="P4180" s="549">
        <v>3.25</v>
      </c>
      <c r="Q4180" s="549">
        <v>3994.79</v>
      </c>
    </row>
    <row r="4181" spans="1:17" x14ac:dyDescent="0.25">
      <c r="A4181" s="549" t="s">
        <v>1014</v>
      </c>
      <c r="B4181" s="549" t="s">
        <v>1015</v>
      </c>
      <c r="C4181" s="549" t="s">
        <v>519</v>
      </c>
      <c r="D4181" s="549" t="s">
        <v>492</v>
      </c>
      <c r="E4181" s="549" t="s">
        <v>973</v>
      </c>
      <c r="F4181" s="549" t="s">
        <v>1537</v>
      </c>
      <c r="G4181" s="549" t="s">
        <v>1538</v>
      </c>
      <c r="H4181" s="549" t="s">
        <v>519</v>
      </c>
      <c r="I4181" s="549" t="s">
        <v>976</v>
      </c>
      <c r="J4181" s="549" t="s">
        <v>976</v>
      </c>
      <c r="L4181" s="549">
        <v>1259391.6599999999</v>
      </c>
      <c r="M4181" s="549">
        <v>95084.07</v>
      </c>
      <c r="N4181" s="549">
        <v>72289.08</v>
      </c>
      <c r="P4181" s="549">
        <v>0</v>
      </c>
      <c r="Q4181" s="549">
        <v>0</v>
      </c>
    </row>
    <row r="4182" spans="1:17" x14ac:dyDescent="0.25">
      <c r="A4182" s="549" t="s">
        <v>1014</v>
      </c>
      <c r="B4182" s="549" t="s">
        <v>1015</v>
      </c>
      <c r="C4182" s="549" t="s">
        <v>519</v>
      </c>
      <c r="D4182" s="549" t="s">
        <v>492</v>
      </c>
      <c r="E4182" s="549" t="s">
        <v>973</v>
      </c>
      <c r="F4182" s="549" t="s">
        <v>1537</v>
      </c>
      <c r="G4182" s="549" t="s">
        <v>1539</v>
      </c>
      <c r="H4182" s="549" t="s">
        <v>519</v>
      </c>
      <c r="I4182" s="549" t="s">
        <v>976</v>
      </c>
      <c r="J4182" s="549" t="s">
        <v>976</v>
      </c>
      <c r="L4182" s="549">
        <v>1259391.6599999999</v>
      </c>
      <c r="M4182" s="549">
        <v>95084.07</v>
      </c>
      <c r="N4182" s="549">
        <v>72289.08</v>
      </c>
      <c r="P4182" s="549">
        <v>0</v>
      </c>
      <c r="Q4182" s="549">
        <v>0</v>
      </c>
    </row>
    <row r="4183" spans="1:17" x14ac:dyDescent="0.25">
      <c r="A4183" s="549" t="s">
        <v>1014</v>
      </c>
      <c r="B4183" s="549" t="s">
        <v>1015</v>
      </c>
      <c r="C4183" s="549" t="s">
        <v>803</v>
      </c>
      <c r="D4183" s="549" t="s">
        <v>804</v>
      </c>
      <c r="E4183" s="549" t="s">
        <v>977</v>
      </c>
      <c r="F4183" s="549" t="s">
        <v>1537</v>
      </c>
      <c r="G4183" s="549" t="s">
        <v>1540</v>
      </c>
      <c r="H4183" s="549" t="s">
        <v>803</v>
      </c>
      <c r="I4183" s="549" t="s">
        <v>976</v>
      </c>
      <c r="J4183" s="549" t="s">
        <v>976</v>
      </c>
      <c r="L4183" s="549">
        <v>1037954.13</v>
      </c>
      <c r="M4183" s="549">
        <v>78365.539999999994</v>
      </c>
      <c r="N4183" s="549">
        <v>22938.79</v>
      </c>
      <c r="P4183" s="549">
        <v>71.7</v>
      </c>
      <c r="Q4183" s="549">
        <v>72635.199999999997</v>
      </c>
    </row>
    <row r="4184" spans="1:17" x14ac:dyDescent="0.25">
      <c r="A4184" s="549" t="s">
        <v>1014</v>
      </c>
      <c r="B4184" s="549" t="s">
        <v>1015</v>
      </c>
      <c r="C4184" s="549" t="s">
        <v>803</v>
      </c>
      <c r="D4184" s="549" t="s">
        <v>804</v>
      </c>
      <c r="E4184" s="549" t="s">
        <v>973</v>
      </c>
      <c r="F4184" s="549" t="s">
        <v>1537</v>
      </c>
      <c r="G4184" s="549" t="s">
        <v>1540</v>
      </c>
      <c r="H4184" s="549" t="s">
        <v>803</v>
      </c>
      <c r="I4184" s="549" t="s">
        <v>976</v>
      </c>
      <c r="J4184" s="549" t="s">
        <v>976</v>
      </c>
      <c r="L4184" s="549">
        <v>1037954.13</v>
      </c>
      <c r="M4184" s="549">
        <v>78365.539999999994</v>
      </c>
      <c r="N4184" s="549">
        <v>59578.57</v>
      </c>
      <c r="P4184" s="549">
        <v>28.3</v>
      </c>
      <c r="Q4184" s="549">
        <v>39038.18</v>
      </c>
    </row>
    <row r="4185" spans="1:17" x14ac:dyDescent="0.25">
      <c r="A4185" s="549" t="s">
        <v>1014</v>
      </c>
      <c r="B4185" s="549" t="s">
        <v>1015</v>
      </c>
      <c r="C4185" s="549" t="s">
        <v>776</v>
      </c>
      <c r="D4185" s="549" t="s">
        <v>777</v>
      </c>
      <c r="E4185" s="549" t="s">
        <v>977</v>
      </c>
      <c r="F4185" s="549" t="s">
        <v>1537</v>
      </c>
      <c r="G4185" s="549" t="s">
        <v>1540</v>
      </c>
      <c r="H4185" s="549" t="s">
        <v>776</v>
      </c>
      <c r="I4185" s="549" t="s">
        <v>976</v>
      </c>
      <c r="J4185" s="549" t="s">
        <v>976</v>
      </c>
      <c r="L4185" s="549">
        <v>774453.55</v>
      </c>
      <c r="M4185" s="549">
        <v>58471.24</v>
      </c>
      <c r="N4185" s="549">
        <v>17115.419999999998</v>
      </c>
      <c r="P4185" s="549">
        <v>76.77</v>
      </c>
      <c r="Q4185" s="549">
        <v>58027.88</v>
      </c>
    </row>
    <row r="4186" spans="1:17" x14ac:dyDescent="0.25">
      <c r="A4186" s="549" t="s">
        <v>1014</v>
      </c>
      <c r="B4186" s="549" t="s">
        <v>1015</v>
      </c>
      <c r="C4186" s="549" t="s">
        <v>807</v>
      </c>
      <c r="D4186" s="549" t="s">
        <v>808</v>
      </c>
      <c r="E4186" s="549" t="s">
        <v>977</v>
      </c>
      <c r="F4186" s="549" t="s">
        <v>1537</v>
      </c>
      <c r="G4186" s="549" t="s">
        <v>1540</v>
      </c>
      <c r="H4186" s="549" t="s">
        <v>807</v>
      </c>
      <c r="I4186" s="549" t="s">
        <v>976</v>
      </c>
      <c r="J4186" s="549" t="s">
        <v>976</v>
      </c>
      <c r="L4186" s="549">
        <v>874836.87</v>
      </c>
      <c r="M4186" s="549">
        <v>66050.179999999993</v>
      </c>
      <c r="N4186" s="549">
        <v>19333.89</v>
      </c>
      <c r="P4186" s="549">
        <v>99.68</v>
      </c>
      <c r="Q4186" s="549">
        <v>85110.84</v>
      </c>
    </row>
    <row r="4187" spans="1:17" x14ac:dyDescent="0.25">
      <c r="A4187" s="549" t="s">
        <v>1014</v>
      </c>
      <c r="B4187" s="549" t="s">
        <v>1015</v>
      </c>
      <c r="C4187" s="549" t="s">
        <v>807</v>
      </c>
      <c r="D4187" s="549" t="s">
        <v>808</v>
      </c>
      <c r="E4187" s="549" t="s">
        <v>973</v>
      </c>
      <c r="F4187" s="549" t="s">
        <v>1537</v>
      </c>
      <c r="G4187" s="549" t="s">
        <v>1540</v>
      </c>
      <c r="H4187" s="549" t="s">
        <v>807</v>
      </c>
      <c r="I4187" s="549" t="s">
        <v>976</v>
      </c>
      <c r="J4187" s="549" t="s">
        <v>976</v>
      </c>
      <c r="L4187" s="549">
        <v>874836.87</v>
      </c>
      <c r="M4187" s="549">
        <v>66050.179999999993</v>
      </c>
      <c r="N4187" s="549">
        <v>50215.64</v>
      </c>
      <c r="P4187" s="549">
        <v>0.32</v>
      </c>
      <c r="Q4187" s="549">
        <v>372.05</v>
      </c>
    </row>
    <row r="4188" spans="1:17" x14ac:dyDescent="0.25">
      <c r="A4188" s="549" t="s">
        <v>1014</v>
      </c>
      <c r="B4188" s="549" t="s">
        <v>1015</v>
      </c>
      <c r="C4188" s="549" t="s">
        <v>805</v>
      </c>
      <c r="D4188" s="549" t="s">
        <v>806</v>
      </c>
      <c r="E4188" s="549" t="s">
        <v>977</v>
      </c>
      <c r="F4188" s="549" t="s">
        <v>1537</v>
      </c>
      <c r="G4188" s="549" t="s">
        <v>1541</v>
      </c>
      <c r="H4188" s="549" t="s">
        <v>805</v>
      </c>
      <c r="I4188" s="549" t="s">
        <v>976</v>
      </c>
      <c r="J4188" s="549" t="s">
        <v>976</v>
      </c>
      <c r="L4188" s="549">
        <v>918942.16</v>
      </c>
      <c r="M4188" s="549">
        <v>69380.13</v>
      </c>
      <c r="N4188" s="549">
        <v>20308.62</v>
      </c>
      <c r="P4188" s="549">
        <v>100</v>
      </c>
      <c r="Q4188" s="549">
        <v>89688.75</v>
      </c>
    </row>
    <row r="4189" spans="1:17" x14ac:dyDescent="0.25">
      <c r="A4189" s="549" t="s">
        <v>1014</v>
      </c>
      <c r="B4189" s="549" t="s">
        <v>1015</v>
      </c>
      <c r="C4189" s="549" t="s">
        <v>805</v>
      </c>
      <c r="D4189" s="549" t="s">
        <v>806</v>
      </c>
      <c r="E4189" s="549" t="s">
        <v>977</v>
      </c>
      <c r="F4189" s="549" t="s">
        <v>1537</v>
      </c>
      <c r="G4189" s="549" t="s">
        <v>1540</v>
      </c>
      <c r="H4189" s="549" t="s">
        <v>805</v>
      </c>
      <c r="I4189" s="549" t="s">
        <v>976</v>
      </c>
      <c r="J4189" s="549" t="s">
        <v>976</v>
      </c>
      <c r="L4189" s="549">
        <v>918942.16</v>
      </c>
      <c r="M4189" s="549">
        <v>69380.13</v>
      </c>
      <c r="N4189" s="549">
        <v>20308.62</v>
      </c>
      <c r="P4189" s="549">
        <v>100</v>
      </c>
      <c r="Q4189" s="549">
        <v>89688.75</v>
      </c>
    </row>
    <row r="4190" spans="1:17" x14ac:dyDescent="0.25">
      <c r="A4190" s="549" t="s">
        <v>1014</v>
      </c>
      <c r="B4190" s="549" t="s">
        <v>1015</v>
      </c>
      <c r="C4190" s="549" t="s">
        <v>805</v>
      </c>
      <c r="D4190" s="549" t="s">
        <v>806</v>
      </c>
      <c r="E4190" s="549" t="s">
        <v>973</v>
      </c>
      <c r="F4190" s="549" t="s">
        <v>1537</v>
      </c>
      <c r="G4190" s="549" t="s">
        <v>1541</v>
      </c>
      <c r="H4190" s="549" t="s">
        <v>805</v>
      </c>
      <c r="I4190" s="549" t="s">
        <v>976</v>
      </c>
      <c r="J4190" s="549" t="s">
        <v>976</v>
      </c>
      <c r="L4190" s="549">
        <v>918942.16</v>
      </c>
      <c r="M4190" s="549">
        <v>69380.13</v>
      </c>
      <c r="N4190" s="549">
        <v>52747.28</v>
      </c>
      <c r="P4190" s="549">
        <v>0</v>
      </c>
      <c r="Q4190" s="549">
        <v>0</v>
      </c>
    </row>
    <row r="4191" spans="1:17" x14ac:dyDescent="0.25">
      <c r="A4191" s="549" t="s">
        <v>1014</v>
      </c>
      <c r="B4191" s="549" t="s">
        <v>1015</v>
      </c>
      <c r="C4191" s="549" t="s">
        <v>805</v>
      </c>
      <c r="D4191" s="549" t="s">
        <v>806</v>
      </c>
      <c r="E4191" s="549" t="s">
        <v>973</v>
      </c>
      <c r="F4191" s="549" t="s">
        <v>1537</v>
      </c>
      <c r="G4191" s="549" t="s">
        <v>1540</v>
      </c>
      <c r="H4191" s="549" t="s">
        <v>805</v>
      </c>
      <c r="I4191" s="549" t="s">
        <v>976</v>
      </c>
      <c r="J4191" s="549" t="s">
        <v>976</v>
      </c>
      <c r="L4191" s="549">
        <v>918942.16</v>
      </c>
      <c r="M4191" s="549">
        <v>69380.13</v>
      </c>
      <c r="N4191" s="549">
        <v>52747.28</v>
      </c>
      <c r="P4191" s="549">
        <v>0</v>
      </c>
      <c r="Q4191" s="549">
        <v>0</v>
      </c>
    </row>
    <row r="4192" spans="1:17" x14ac:dyDescent="0.25">
      <c r="A4192" s="549" t="s">
        <v>971</v>
      </c>
      <c r="B4192" s="549" t="s">
        <v>972</v>
      </c>
      <c r="C4192" s="549" t="s">
        <v>641</v>
      </c>
      <c r="D4192" s="549" t="s">
        <v>642</v>
      </c>
      <c r="E4192" s="549" t="s">
        <v>973</v>
      </c>
      <c r="F4192" s="549" t="s">
        <v>1537</v>
      </c>
      <c r="G4192" s="549" t="s">
        <v>1541</v>
      </c>
      <c r="H4192" s="549" t="s">
        <v>641</v>
      </c>
      <c r="I4192" s="549" t="s">
        <v>976</v>
      </c>
      <c r="J4192" s="549" t="s">
        <v>976</v>
      </c>
      <c r="L4192" s="549">
        <v>694011.59</v>
      </c>
      <c r="M4192" s="549">
        <v>52397.88</v>
      </c>
      <c r="N4192" s="549">
        <v>39836.269999999997</v>
      </c>
      <c r="P4192" s="549">
        <v>59.84</v>
      </c>
      <c r="Q4192" s="549">
        <v>55192.92</v>
      </c>
    </row>
    <row r="4193" spans="1:17" x14ac:dyDescent="0.25">
      <c r="A4193" s="549" t="s">
        <v>971</v>
      </c>
      <c r="B4193" s="549" t="s">
        <v>972</v>
      </c>
      <c r="C4193" s="549" t="s">
        <v>641</v>
      </c>
      <c r="D4193" s="549" t="s">
        <v>642</v>
      </c>
      <c r="E4193" s="549" t="s">
        <v>977</v>
      </c>
      <c r="F4193" s="549" t="s">
        <v>1537</v>
      </c>
      <c r="G4193" s="549" t="s">
        <v>1541</v>
      </c>
      <c r="H4193" s="549" t="s">
        <v>641</v>
      </c>
      <c r="I4193" s="549" t="s">
        <v>976</v>
      </c>
      <c r="J4193" s="549" t="s">
        <v>976</v>
      </c>
      <c r="L4193" s="549">
        <v>694011.59</v>
      </c>
      <c r="M4193" s="549">
        <v>52397.88</v>
      </c>
      <c r="N4193" s="549">
        <v>15337.66</v>
      </c>
      <c r="P4193" s="549">
        <v>40.159999999999997</v>
      </c>
      <c r="Q4193" s="549">
        <v>27202.59</v>
      </c>
    </row>
    <row r="4194" spans="1:17" x14ac:dyDescent="0.25">
      <c r="A4194" s="549" t="s">
        <v>971</v>
      </c>
      <c r="B4194" s="549" t="s">
        <v>972</v>
      </c>
      <c r="C4194" s="549" t="s">
        <v>646</v>
      </c>
      <c r="D4194" s="549" t="s">
        <v>647</v>
      </c>
      <c r="E4194" s="549" t="s">
        <v>977</v>
      </c>
      <c r="F4194" s="549" t="s">
        <v>1537</v>
      </c>
      <c r="G4194" s="549" t="s">
        <v>1542</v>
      </c>
      <c r="H4194" s="549" t="s">
        <v>646</v>
      </c>
      <c r="I4194" s="549" t="s">
        <v>976</v>
      </c>
      <c r="J4194" s="549" t="s">
        <v>976</v>
      </c>
      <c r="L4194" s="549">
        <v>759560.22</v>
      </c>
      <c r="M4194" s="549">
        <v>57346.8</v>
      </c>
      <c r="N4194" s="549">
        <v>16786.28</v>
      </c>
      <c r="P4194" s="549">
        <v>100</v>
      </c>
      <c r="Q4194" s="549">
        <v>74133.08</v>
      </c>
    </row>
    <row r="4195" spans="1:17" x14ac:dyDescent="0.25">
      <c r="A4195" s="549" t="s">
        <v>971</v>
      </c>
      <c r="B4195" s="549" t="s">
        <v>972</v>
      </c>
      <c r="C4195" s="549" t="s">
        <v>646</v>
      </c>
      <c r="D4195" s="549" t="s">
        <v>647</v>
      </c>
      <c r="E4195" s="549" t="s">
        <v>977</v>
      </c>
      <c r="F4195" s="549" t="s">
        <v>1537</v>
      </c>
      <c r="G4195" s="549" t="s">
        <v>1543</v>
      </c>
      <c r="H4195" s="549" t="s">
        <v>646</v>
      </c>
      <c r="I4195" s="549" t="s">
        <v>976</v>
      </c>
      <c r="J4195" s="549" t="s">
        <v>976</v>
      </c>
      <c r="L4195" s="549">
        <v>759560.22</v>
      </c>
      <c r="M4195" s="549">
        <v>57346.8</v>
      </c>
      <c r="N4195" s="549">
        <v>16786.28</v>
      </c>
      <c r="P4195" s="549">
        <v>100</v>
      </c>
      <c r="Q4195" s="549">
        <v>74133.08</v>
      </c>
    </row>
    <row r="4196" spans="1:17" x14ac:dyDescent="0.25">
      <c r="A4196" s="549" t="s">
        <v>971</v>
      </c>
      <c r="B4196" s="549" t="s">
        <v>972</v>
      </c>
      <c r="C4196" s="549" t="s">
        <v>534</v>
      </c>
      <c r="D4196" s="549" t="s">
        <v>645</v>
      </c>
      <c r="E4196" s="549" t="s">
        <v>977</v>
      </c>
      <c r="F4196" s="549" t="s">
        <v>1537</v>
      </c>
      <c r="G4196" s="549" t="s">
        <v>1540</v>
      </c>
      <c r="H4196" s="549" t="s">
        <v>534</v>
      </c>
      <c r="I4196" s="549" t="s">
        <v>976</v>
      </c>
      <c r="J4196" s="549" t="s">
        <v>976</v>
      </c>
      <c r="L4196" s="549">
        <v>527357.79</v>
      </c>
      <c r="M4196" s="549">
        <v>39815.51</v>
      </c>
      <c r="N4196" s="549">
        <v>11654.61</v>
      </c>
      <c r="P4196" s="549">
        <v>100</v>
      </c>
      <c r="Q4196" s="549">
        <v>51470.12</v>
      </c>
    </row>
    <row r="4197" spans="1:17" x14ac:dyDescent="0.25">
      <c r="A4197" s="549" t="s">
        <v>971</v>
      </c>
      <c r="B4197" s="549" t="s">
        <v>972</v>
      </c>
      <c r="C4197" s="549" t="s">
        <v>534</v>
      </c>
      <c r="D4197" s="549" t="s">
        <v>645</v>
      </c>
      <c r="E4197" s="549" t="s">
        <v>977</v>
      </c>
      <c r="F4197" s="549" t="s">
        <v>1537</v>
      </c>
      <c r="G4197" s="549" t="s">
        <v>1543</v>
      </c>
      <c r="H4197" s="549" t="s">
        <v>534</v>
      </c>
      <c r="I4197" s="549" t="s">
        <v>976</v>
      </c>
      <c r="J4197" s="549" t="s">
        <v>976</v>
      </c>
      <c r="L4197" s="549">
        <v>963805.36</v>
      </c>
      <c r="M4197" s="549">
        <v>72767.3</v>
      </c>
      <c r="N4197" s="549">
        <v>21300.1</v>
      </c>
      <c r="P4197" s="549">
        <v>13.09</v>
      </c>
      <c r="Q4197" s="549">
        <v>12313.42</v>
      </c>
    </row>
    <row r="4198" spans="1:17" x14ac:dyDescent="0.25">
      <c r="A4198" s="549" t="s">
        <v>971</v>
      </c>
      <c r="B4198" s="549" t="s">
        <v>972</v>
      </c>
      <c r="C4198" s="549" t="s">
        <v>650</v>
      </c>
      <c r="D4198" s="549" t="s">
        <v>651</v>
      </c>
      <c r="E4198" s="549" t="s">
        <v>977</v>
      </c>
      <c r="F4198" s="549" t="s">
        <v>1537</v>
      </c>
      <c r="G4198" s="549" t="s">
        <v>1540</v>
      </c>
      <c r="H4198" s="549" t="s">
        <v>650</v>
      </c>
      <c r="I4198" s="549" t="s">
        <v>976</v>
      </c>
      <c r="J4198" s="549" t="s">
        <v>976</v>
      </c>
      <c r="L4198" s="549">
        <v>1244675.6399999999</v>
      </c>
      <c r="M4198" s="549">
        <v>93973.01</v>
      </c>
      <c r="N4198" s="549">
        <v>27507.33</v>
      </c>
      <c r="P4198" s="549">
        <v>100</v>
      </c>
      <c r="Q4198" s="549">
        <v>121480.34</v>
      </c>
    </row>
    <row r="4199" spans="1:17" x14ac:dyDescent="0.25">
      <c r="A4199" s="549" t="s">
        <v>971</v>
      </c>
      <c r="B4199" s="549" t="s">
        <v>972</v>
      </c>
      <c r="C4199" s="549" t="s">
        <v>650</v>
      </c>
      <c r="D4199" s="549" t="s">
        <v>651</v>
      </c>
      <c r="E4199" s="549" t="s">
        <v>977</v>
      </c>
      <c r="F4199" s="549" t="s">
        <v>1537</v>
      </c>
      <c r="G4199" s="549" t="s">
        <v>1541</v>
      </c>
      <c r="H4199" s="549" t="s">
        <v>650</v>
      </c>
      <c r="I4199" s="549" t="s">
        <v>976</v>
      </c>
      <c r="J4199" s="549" t="s">
        <v>976</v>
      </c>
      <c r="L4199" s="549">
        <v>1244675.6399999999</v>
      </c>
      <c r="M4199" s="549">
        <v>93973.01</v>
      </c>
      <c r="N4199" s="549">
        <v>27507.33</v>
      </c>
      <c r="P4199" s="549">
        <v>100</v>
      </c>
      <c r="Q4199" s="549">
        <v>121480.34</v>
      </c>
    </row>
    <row r="4200" spans="1:17" x14ac:dyDescent="0.25">
      <c r="A4200" s="549" t="s">
        <v>971</v>
      </c>
      <c r="B4200" s="549" t="s">
        <v>972</v>
      </c>
      <c r="C4200" s="549" t="s">
        <v>652</v>
      </c>
      <c r="D4200" s="549" t="s">
        <v>653</v>
      </c>
      <c r="E4200" s="549" t="s">
        <v>977</v>
      </c>
      <c r="F4200" s="549" t="s">
        <v>1537</v>
      </c>
      <c r="G4200" s="549" t="s">
        <v>1541</v>
      </c>
      <c r="H4200" s="549" t="s">
        <v>652</v>
      </c>
      <c r="I4200" s="549" t="s">
        <v>976</v>
      </c>
      <c r="J4200" s="549" t="s">
        <v>976</v>
      </c>
      <c r="L4200" s="549">
        <v>956216.79</v>
      </c>
      <c r="M4200" s="549">
        <v>72194.37</v>
      </c>
      <c r="N4200" s="549">
        <v>21132.39</v>
      </c>
      <c r="P4200" s="549">
        <v>100</v>
      </c>
      <c r="Q4200" s="549">
        <v>93326.76</v>
      </c>
    </row>
    <row r="4201" spans="1:17" x14ac:dyDescent="0.25">
      <c r="A4201" s="549" t="s">
        <v>971</v>
      </c>
      <c r="B4201" s="549" t="s">
        <v>972</v>
      </c>
      <c r="C4201" s="549" t="s">
        <v>652</v>
      </c>
      <c r="D4201" s="549" t="s">
        <v>653</v>
      </c>
      <c r="E4201" s="549" t="s">
        <v>977</v>
      </c>
      <c r="F4201" s="549" t="s">
        <v>1537</v>
      </c>
      <c r="G4201" s="549" t="s">
        <v>1544</v>
      </c>
      <c r="H4201" s="549" t="s">
        <v>652</v>
      </c>
      <c r="I4201" s="549" t="s">
        <v>976</v>
      </c>
      <c r="J4201" s="549" t="s">
        <v>976</v>
      </c>
      <c r="L4201" s="549">
        <v>956216.79</v>
      </c>
      <c r="M4201" s="549">
        <v>72194.37</v>
      </c>
      <c r="N4201" s="549">
        <v>21132.39</v>
      </c>
      <c r="P4201" s="549">
        <v>100</v>
      </c>
      <c r="Q4201" s="549">
        <v>93326.76</v>
      </c>
    </row>
    <row r="4202" spans="1:17" x14ac:dyDescent="0.25">
      <c r="A4202" s="549" t="s">
        <v>971</v>
      </c>
      <c r="B4202" s="549" t="s">
        <v>972</v>
      </c>
      <c r="C4202" s="549" t="s">
        <v>652</v>
      </c>
      <c r="D4202" s="549" t="s">
        <v>653</v>
      </c>
      <c r="E4202" s="549" t="s">
        <v>977</v>
      </c>
      <c r="F4202" s="549" t="s">
        <v>1537</v>
      </c>
      <c r="G4202" s="549" t="s">
        <v>1545</v>
      </c>
      <c r="H4202" s="549" t="s">
        <v>652</v>
      </c>
      <c r="I4202" s="549" t="s">
        <v>976</v>
      </c>
      <c r="J4202" s="549" t="s">
        <v>976</v>
      </c>
      <c r="L4202" s="549">
        <v>982449.07</v>
      </c>
      <c r="M4202" s="549">
        <v>74174.899999999994</v>
      </c>
      <c r="N4202" s="549">
        <v>21712.12</v>
      </c>
      <c r="P4202" s="549">
        <v>100</v>
      </c>
      <c r="Q4202" s="549">
        <v>95887.02</v>
      </c>
    </row>
    <row r="4203" spans="1:17" x14ac:dyDescent="0.25">
      <c r="A4203" s="549" t="s">
        <v>971</v>
      </c>
      <c r="B4203" s="549" t="s">
        <v>972</v>
      </c>
      <c r="C4203" s="549" t="s">
        <v>648</v>
      </c>
      <c r="D4203" s="549" t="s">
        <v>649</v>
      </c>
      <c r="E4203" s="549" t="s">
        <v>977</v>
      </c>
      <c r="F4203" s="549" t="s">
        <v>1537</v>
      </c>
      <c r="G4203" s="549" t="s">
        <v>1546</v>
      </c>
      <c r="H4203" s="549" t="s">
        <v>648</v>
      </c>
      <c r="I4203" s="549" t="s">
        <v>976</v>
      </c>
      <c r="J4203" s="549" t="s">
        <v>976</v>
      </c>
      <c r="L4203" s="549">
        <v>1008688.26</v>
      </c>
      <c r="M4203" s="549">
        <v>76155.960000000006</v>
      </c>
      <c r="N4203" s="549">
        <v>22292.01</v>
      </c>
      <c r="P4203" s="549">
        <v>45</v>
      </c>
      <c r="Q4203" s="549">
        <v>44301.59</v>
      </c>
    </row>
    <row r="4204" spans="1:17" x14ac:dyDescent="0.25">
      <c r="A4204" s="549" t="s">
        <v>971</v>
      </c>
      <c r="B4204" s="549" t="s">
        <v>972</v>
      </c>
      <c r="C4204" s="549" t="s">
        <v>648</v>
      </c>
      <c r="D4204" s="549" t="s">
        <v>649</v>
      </c>
      <c r="E4204" s="549" t="s">
        <v>977</v>
      </c>
      <c r="F4204" s="549" t="s">
        <v>1537</v>
      </c>
      <c r="G4204" s="549" t="s">
        <v>1547</v>
      </c>
      <c r="H4204" s="549" t="s">
        <v>648</v>
      </c>
      <c r="I4204" s="549" t="s">
        <v>976</v>
      </c>
      <c r="J4204" s="549" t="s">
        <v>976</v>
      </c>
      <c r="L4204" s="549">
        <v>1008688.26</v>
      </c>
      <c r="M4204" s="549">
        <v>76155.960000000006</v>
      </c>
      <c r="N4204" s="549">
        <v>22292.01</v>
      </c>
      <c r="P4204" s="549">
        <v>45</v>
      </c>
      <c r="Q4204" s="549">
        <v>44301.59</v>
      </c>
    </row>
    <row r="4205" spans="1:17" x14ac:dyDescent="0.25">
      <c r="A4205" s="549" t="s">
        <v>980</v>
      </c>
      <c r="B4205" s="549" t="s">
        <v>981</v>
      </c>
      <c r="C4205" s="549" t="s">
        <v>663</v>
      </c>
      <c r="D4205" s="549" t="s">
        <v>664</v>
      </c>
      <c r="E4205" s="549" t="s">
        <v>977</v>
      </c>
      <c r="F4205" s="549" t="s">
        <v>1537</v>
      </c>
      <c r="G4205" s="549" t="s">
        <v>1540</v>
      </c>
      <c r="H4205" s="549" t="s">
        <v>663</v>
      </c>
      <c r="I4205" s="549" t="s">
        <v>976</v>
      </c>
      <c r="J4205" s="549" t="s">
        <v>976</v>
      </c>
      <c r="L4205" s="549">
        <v>807870.5</v>
      </c>
      <c r="M4205" s="549">
        <v>60994.22</v>
      </c>
      <c r="N4205" s="549">
        <v>17853.939999999999</v>
      </c>
      <c r="P4205" s="549">
        <v>100</v>
      </c>
      <c r="Q4205" s="549">
        <v>78848.160000000003</v>
      </c>
    </row>
    <row r="4206" spans="1:17" x14ac:dyDescent="0.25">
      <c r="A4206" s="549" t="s">
        <v>980</v>
      </c>
      <c r="B4206" s="549" t="s">
        <v>981</v>
      </c>
      <c r="C4206" s="549" t="s">
        <v>663</v>
      </c>
      <c r="D4206" s="549" t="s">
        <v>664</v>
      </c>
      <c r="E4206" s="549" t="s">
        <v>977</v>
      </c>
      <c r="F4206" s="549" t="s">
        <v>1537</v>
      </c>
      <c r="G4206" s="549" t="s">
        <v>1541</v>
      </c>
      <c r="H4206" s="549" t="s">
        <v>663</v>
      </c>
      <c r="I4206" s="549" t="s">
        <v>976</v>
      </c>
      <c r="J4206" s="549" t="s">
        <v>976</v>
      </c>
      <c r="L4206" s="549">
        <v>807870.5</v>
      </c>
      <c r="M4206" s="549">
        <v>60994.22</v>
      </c>
      <c r="N4206" s="549">
        <v>17853.939999999999</v>
      </c>
      <c r="P4206" s="549">
        <v>100</v>
      </c>
      <c r="Q4206" s="549">
        <v>78848.160000000003</v>
      </c>
    </row>
    <row r="4207" spans="1:17" x14ac:dyDescent="0.25">
      <c r="A4207" s="549" t="s">
        <v>1162</v>
      </c>
      <c r="B4207" s="549" t="s">
        <v>1163</v>
      </c>
      <c r="C4207" s="549" t="s">
        <v>665</v>
      </c>
      <c r="D4207" s="549" t="s">
        <v>666</v>
      </c>
      <c r="E4207" s="549" t="s">
        <v>977</v>
      </c>
      <c r="F4207" s="549" t="s">
        <v>1537</v>
      </c>
      <c r="G4207" s="549" t="s">
        <v>1540</v>
      </c>
      <c r="H4207" s="549" t="s">
        <v>665</v>
      </c>
      <c r="I4207" s="549" t="s">
        <v>976</v>
      </c>
      <c r="J4207" s="549" t="s">
        <v>976</v>
      </c>
      <c r="L4207" s="549">
        <v>1866291.82</v>
      </c>
      <c r="M4207" s="549">
        <v>140905.03</v>
      </c>
      <c r="N4207" s="549">
        <v>41245.050000000003</v>
      </c>
      <c r="P4207" s="549">
        <v>100</v>
      </c>
      <c r="Q4207" s="549">
        <v>182150.08</v>
      </c>
    </row>
    <row r="4208" spans="1:17" x14ac:dyDescent="0.25">
      <c r="A4208" s="549" t="s">
        <v>1162</v>
      </c>
      <c r="B4208" s="549" t="s">
        <v>1163</v>
      </c>
      <c r="C4208" s="549" t="s">
        <v>665</v>
      </c>
      <c r="D4208" s="549" t="s">
        <v>666</v>
      </c>
      <c r="E4208" s="549" t="s">
        <v>977</v>
      </c>
      <c r="F4208" s="549" t="s">
        <v>1537</v>
      </c>
      <c r="G4208" s="549" t="s">
        <v>1541</v>
      </c>
      <c r="H4208" s="549" t="s">
        <v>665</v>
      </c>
      <c r="I4208" s="549" t="s">
        <v>976</v>
      </c>
      <c r="J4208" s="549" t="s">
        <v>976</v>
      </c>
      <c r="L4208" s="549">
        <v>2278919.1800000002</v>
      </c>
      <c r="M4208" s="549">
        <v>172058.4</v>
      </c>
      <c r="N4208" s="549">
        <v>50364.11</v>
      </c>
      <c r="P4208" s="549">
        <v>100</v>
      </c>
      <c r="Q4208" s="549">
        <v>222422.51</v>
      </c>
    </row>
    <row r="4209" spans="1:17" x14ac:dyDescent="0.25">
      <c r="A4209" s="549" t="s">
        <v>1164</v>
      </c>
      <c r="B4209" s="549" t="s">
        <v>1165</v>
      </c>
      <c r="C4209" s="549" t="s">
        <v>233</v>
      </c>
      <c r="D4209" s="549" t="s">
        <v>744</v>
      </c>
      <c r="E4209" s="549" t="s">
        <v>973</v>
      </c>
      <c r="F4209" s="549" t="s">
        <v>1537</v>
      </c>
      <c r="G4209" s="549" t="s">
        <v>1545</v>
      </c>
      <c r="H4209" s="549" t="s">
        <v>233</v>
      </c>
      <c r="I4209" s="549" t="s">
        <v>976</v>
      </c>
      <c r="J4209" s="549" t="s">
        <v>976</v>
      </c>
      <c r="L4209" s="549">
        <v>1830273.31</v>
      </c>
      <c r="M4209" s="549">
        <v>138185.63</v>
      </c>
      <c r="N4209" s="549">
        <v>105057.69</v>
      </c>
      <c r="P4209" s="549">
        <v>21.5</v>
      </c>
      <c r="Q4209" s="549">
        <v>52297.31</v>
      </c>
    </row>
    <row r="4210" spans="1:17" x14ac:dyDescent="0.25">
      <c r="A4210" s="549" t="s">
        <v>1164</v>
      </c>
      <c r="B4210" s="549" t="s">
        <v>1165</v>
      </c>
      <c r="C4210" s="549" t="s">
        <v>233</v>
      </c>
      <c r="D4210" s="549" t="s">
        <v>744</v>
      </c>
      <c r="E4210" s="549" t="s">
        <v>977</v>
      </c>
      <c r="F4210" s="549" t="s">
        <v>1537</v>
      </c>
      <c r="G4210" s="549" t="s">
        <v>1545</v>
      </c>
      <c r="H4210" s="549" t="s">
        <v>233</v>
      </c>
      <c r="I4210" s="549" t="s">
        <v>976</v>
      </c>
      <c r="J4210" s="549" t="s">
        <v>976</v>
      </c>
      <c r="L4210" s="549">
        <v>1830273.31</v>
      </c>
      <c r="M4210" s="549">
        <v>138185.63</v>
      </c>
      <c r="N4210" s="549">
        <v>40449.040000000001</v>
      </c>
      <c r="P4210" s="549">
        <v>12.7</v>
      </c>
      <c r="Q4210" s="549">
        <v>22686.6</v>
      </c>
    </row>
    <row r="4211" spans="1:17" x14ac:dyDescent="0.25">
      <c r="A4211" s="549" t="s">
        <v>986</v>
      </c>
      <c r="B4211" s="549" t="s">
        <v>987</v>
      </c>
      <c r="C4211" s="549" t="s">
        <v>511</v>
      </c>
      <c r="D4211" s="549" t="s">
        <v>988</v>
      </c>
      <c r="E4211" s="549" t="s">
        <v>973</v>
      </c>
      <c r="F4211" s="549" t="s">
        <v>1537</v>
      </c>
      <c r="G4211" s="549" t="s">
        <v>1544</v>
      </c>
      <c r="H4211" s="549" t="s">
        <v>697</v>
      </c>
      <c r="I4211" s="549" t="s">
        <v>976</v>
      </c>
      <c r="J4211" s="549" t="s">
        <v>976</v>
      </c>
      <c r="L4211" s="549">
        <v>3595250.44</v>
      </c>
      <c r="M4211" s="549">
        <v>271441.40999999997</v>
      </c>
      <c r="N4211" s="549">
        <v>206367.38</v>
      </c>
      <c r="P4211" s="549">
        <v>56.18</v>
      </c>
      <c r="Q4211" s="549">
        <v>268432.98</v>
      </c>
    </row>
    <row r="4212" spans="1:17" x14ac:dyDescent="0.25">
      <c r="A4212" s="549" t="s">
        <v>986</v>
      </c>
      <c r="B4212" s="549" t="s">
        <v>987</v>
      </c>
      <c r="C4212" s="549" t="s">
        <v>511</v>
      </c>
      <c r="D4212" s="549" t="s">
        <v>988</v>
      </c>
      <c r="E4212" s="549" t="s">
        <v>977</v>
      </c>
      <c r="F4212" s="549" t="s">
        <v>1537</v>
      </c>
      <c r="G4212" s="549" t="s">
        <v>1544</v>
      </c>
      <c r="H4212" s="549" t="s">
        <v>697</v>
      </c>
      <c r="I4212" s="549" t="s">
        <v>976</v>
      </c>
      <c r="J4212" s="549" t="s">
        <v>976</v>
      </c>
      <c r="L4212" s="549">
        <v>3595250.44</v>
      </c>
      <c r="M4212" s="549">
        <v>271441.40999999997</v>
      </c>
      <c r="N4212" s="549">
        <v>79455.03</v>
      </c>
      <c r="P4212" s="549">
        <v>0.15</v>
      </c>
      <c r="Q4212" s="549">
        <v>526.34</v>
      </c>
    </row>
    <row r="4213" spans="1:17" x14ac:dyDescent="0.25">
      <c r="A4213" s="549" t="s">
        <v>993</v>
      </c>
      <c r="B4213" s="549" t="s">
        <v>994</v>
      </c>
      <c r="C4213" s="549" t="s">
        <v>668</v>
      </c>
      <c r="D4213" s="549" t="s">
        <v>669</v>
      </c>
      <c r="E4213" s="549" t="s">
        <v>977</v>
      </c>
      <c r="F4213" s="549" t="s">
        <v>1537</v>
      </c>
      <c r="G4213" s="549" t="s">
        <v>1541</v>
      </c>
      <c r="H4213" s="549" t="s">
        <v>668</v>
      </c>
      <c r="I4213" s="549" t="s">
        <v>976</v>
      </c>
      <c r="J4213" s="549" t="s">
        <v>976</v>
      </c>
      <c r="L4213" s="549">
        <v>855335.68</v>
      </c>
      <c r="M4213" s="549">
        <v>64577.84</v>
      </c>
      <c r="N4213" s="549">
        <v>18902.919999999998</v>
      </c>
      <c r="P4213" s="549">
        <v>89.56</v>
      </c>
      <c r="Q4213" s="549">
        <v>74765.37</v>
      </c>
    </row>
    <row r="4214" spans="1:17" x14ac:dyDescent="0.25">
      <c r="A4214" s="549" t="s">
        <v>993</v>
      </c>
      <c r="B4214" s="549" t="s">
        <v>994</v>
      </c>
      <c r="C4214" s="549" t="s">
        <v>668</v>
      </c>
      <c r="D4214" s="549" t="s">
        <v>669</v>
      </c>
      <c r="E4214" s="549" t="s">
        <v>977</v>
      </c>
      <c r="F4214" s="549" t="s">
        <v>1537</v>
      </c>
      <c r="G4214" s="549" t="s">
        <v>1544</v>
      </c>
      <c r="H4214" s="549" t="s">
        <v>668</v>
      </c>
      <c r="I4214" s="549" t="s">
        <v>976</v>
      </c>
      <c r="J4214" s="549" t="s">
        <v>976</v>
      </c>
      <c r="L4214" s="549">
        <v>855335.68</v>
      </c>
      <c r="M4214" s="549">
        <v>64577.84</v>
      </c>
      <c r="N4214" s="549">
        <v>18902.919999999998</v>
      </c>
      <c r="P4214" s="549">
        <v>89.56</v>
      </c>
      <c r="Q4214" s="549">
        <v>74765.37</v>
      </c>
    </row>
    <row r="4215" spans="1:17" x14ac:dyDescent="0.25">
      <c r="A4215" s="549" t="s">
        <v>993</v>
      </c>
      <c r="B4215" s="549" t="s">
        <v>994</v>
      </c>
      <c r="C4215" s="549" t="s">
        <v>187</v>
      </c>
      <c r="D4215" s="549" t="s">
        <v>667</v>
      </c>
      <c r="E4215" s="549" t="s">
        <v>977</v>
      </c>
      <c r="F4215" s="549" t="s">
        <v>1537</v>
      </c>
      <c r="G4215" s="549" t="s">
        <v>1545</v>
      </c>
      <c r="H4215" s="549" t="s">
        <v>187</v>
      </c>
      <c r="I4215" s="549" t="s">
        <v>976</v>
      </c>
      <c r="J4215" s="549" t="s">
        <v>976</v>
      </c>
      <c r="L4215" s="549">
        <v>2925303.36</v>
      </c>
      <c r="M4215" s="549">
        <v>220860.4</v>
      </c>
      <c r="N4215" s="549">
        <v>64649.2</v>
      </c>
      <c r="P4215" s="549">
        <v>0</v>
      </c>
      <c r="Q4215" s="549">
        <v>0</v>
      </c>
    </row>
    <row r="4216" spans="1:17" x14ac:dyDescent="0.25">
      <c r="A4216" s="549" t="s">
        <v>993</v>
      </c>
      <c r="B4216" s="549" t="s">
        <v>994</v>
      </c>
      <c r="C4216" s="549" t="s">
        <v>187</v>
      </c>
      <c r="D4216" s="549" t="s">
        <v>667</v>
      </c>
      <c r="E4216" s="549" t="s">
        <v>977</v>
      </c>
      <c r="F4216" s="549" t="s">
        <v>1537</v>
      </c>
      <c r="G4216" s="549" t="s">
        <v>1542</v>
      </c>
      <c r="H4216" s="549" t="s">
        <v>187</v>
      </c>
      <c r="I4216" s="549" t="s">
        <v>976</v>
      </c>
      <c r="J4216" s="549" t="s">
        <v>976</v>
      </c>
      <c r="L4216" s="549">
        <v>2925303.36</v>
      </c>
      <c r="M4216" s="549">
        <v>220860.4</v>
      </c>
      <c r="N4216" s="549">
        <v>64649.2</v>
      </c>
      <c r="P4216" s="549">
        <v>18.21</v>
      </c>
      <c r="Q4216" s="549">
        <v>51991.3</v>
      </c>
    </row>
    <row r="4217" spans="1:17" x14ac:dyDescent="0.25">
      <c r="A4217" s="549" t="s">
        <v>993</v>
      </c>
      <c r="B4217" s="549" t="s">
        <v>994</v>
      </c>
      <c r="C4217" s="549" t="s">
        <v>187</v>
      </c>
      <c r="D4217" s="549" t="s">
        <v>667</v>
      </c>
      <c r="E4217" s="549" t="s">
        <v>977</v>
      </c>
      <c r="F4217" s="549" t="s">
        <v>1537</v>
      </c>
      <c r="G4217" s="549" t="s">
        <v>1543</v>
      </c>
      <c r="H4217" s="549" t="s">
        <v>187</v>
      </c>
      <c r="I4217" s="549" t="s">
        <v>976</v>
      </c>
      <c r="J4217" s="549" t="s">
        <v>976</v>
      </c>
      <c r="L4217" s="549">
        <v>2925303.36</v>
      </c>
      <c r="M4217" s="549">
        <v>220860.4</v>
      </c>
      <c r="N4217" s="549">
        <v>64649.2</v>
      </c>
      <c r="P4217" s="549">
        <v>18.21</v>
      </c>
      <c r="Q4217" s="549">
        <v>51991.3</v>
      </c>
    </row>
    <row r="4218" spans="1:17" x14ac:dyDescent="0.25">
      <c r="A4218" s="549" t="s">
        <v>504</v>
      </c>
      <c r="B4218" s="549" t="s">
        <v>996</v>
      </c>
      <c r="C4218" s="549" t="s">
        <v>785</v>
      </c>
      <c r="D4218" s="549" t="s">
        <v>786</v>
      </c>
      <c r="E4218" s="549" t="s">
        <v>977</v>
      </c>
      <c r="F4218" s="549" t="s">
        <v>1537</v>
      </c>
      <c r="G4218" s="549" t="s">
        <v>1543</v>
      </c>
      <c r="H4218" s="549" t="s">
        <v>785</v>
      </c>
      <c r="I4218" s="549" t="s">
        <v>976</v>
      </c>
      <c r="J4218" s="549" t="s">
        <v>976</v>
      </c>
      <c r="L4218" s="549">
        <v>918942.16</v>
      </c>
      <c r="M4218" s="549">
        <v>69380.13</v>
      </c>
      <c r="N4218" s="549">
        <v>20308.62</v>
      </c>
      <c r="P4218" s="549">
        <v>5.15</v>
      </c>
      <c r="Q4218" s="549">
        <v>4618.97</v>
      </c>
    </row>
    <row r="4219" spans="1:17" x14ac:dyDescent="0.25">
      <c r="A4219" s="549" t="s">
        <v>504</v>
      </c>
      <c r="B4219" s="549" t="s">
        <v>996</v>
      </c>
      <c r="C4219" s="549" t="s">
        <v>785</v>
      </c>
      <c r="D4219" s="549" t="s">
        <v>786</v>
      </c>
      <c r="E4219" s="549" t="s">
        <v>977</v>
      </c>
      <c r="F4219" s="549" t="s">
        <v>1537</v>
      </c>
      <c r="G4219" s="549" t="s">
        <v>1548</v>
      </c>
      <c r="H4219" s="549" t="s">
        <v>785</v>
      </c>
      <c r="I4219" s="549" t="s">
        <v>976</v>
      </c>
      <c r="J4219" s="549" t="s">
        <v>976</v>
      </c>
      <c r="L4219" s="549">
        <v>918942.16</v>
      </c>
      <c r="M4219" s="549">
        <v>69380.13</v>
      </c>
      <c r="N4219" s="549">
        <v>20308.62</v>
      </c>
      <c r="P4219" s="549">
        <v>5.15</v>
      </c>
      <c r="Q4219" s="549">
        <v>4618.97</v>
      </c>
    </row>
    <row r="4220" spans="1:17" x14ac:dyDescent="0.25">
      <c r="A4220" s="549" t="s">
        <v>504</v>
      </c>
      <c r="B4220" s="549" t="s">
        <v>996</v>
      </c>
      <c r="C4220" s="549" t="s">
        <v>833</v>
      </c>
      <c r="D4220" s="549" t="s">
        <v>1130</v>
      </c>
      <c r="E4220" s="549" t="s">
        <v>977</v>
      </c>
      <c r="F4220" s="549" t="s">
        <v>1537</v>
      </c>
      <c r="G4220" s="549" t="s">
        <v>1549</v>
      </c>
      <c r="H4220" s="549" t="s">
        <v>833</v>
      </c>
      <c r="I4220" s="549" t="s">
        <v>976</v>
      </c>
      <c r="J4220" s="549" t="s">
        <v>976</v>
      </c>
      <c r="L4220" s="549">
        <v>1839717.59</v>
      </c>
      <c r="M4220" s="549">
        <v>138898.68</v>
      </c>
      <c r="N4220" s="549">
        <v>40657.760000000002</v>
      </c>
      <c r="P4220" s="549">
        <v>11.58</v>
      </c>
      <c r="Q4220" s="549">
        <v>20792.64</v>
      </c>
    </row>
    <row r="4221" spans="1:17" x14ac:dyDescent="0.25">
      <c r="A4221" s="549" t="s">
        <v>504</v>
      </c>
      <c r="B4221" s="549" t="s">
        <v>996</v>
      </c>
      <c r="C4221" s="549" t="s">
        <v>833</v>
      </c>
      <c r="D4221" s="549" t="s">
        <v>1130</v>
      </c>
      <c r="E4221" s="549" t="s">
        <v>977</v>
      </c>
      <c r="F4221" s="549" t="s">
        <v>1537</v>
      </c>
      <c r="G4221" s="549" t="s">
        <v>1550</v>
      </c>
      <c r="H4221" s="549" t="s">
        <v>833</v>
      </c>
      <c r="I4221" s="549" t="s">
        <v>976</v>
      </c>
      <c r="J4221" s="549" t="s">
        <v>976</v>
      </c>
      <c r="L4221" s="549">
        <v>1734665.89</v>
      </c>
      <c r="M4221" s="549">
        <v>130967.27</v>
      </c>
      <c r="N4221" s="549">
        <v>38336.120000000003</v>
      </c>
      <c r="P4221" s="549">
        <v>11.58</v>
      </c>
      <c r="Q4221" s="549">
        <v>19605.330000000002</v>
      </c>
    </row>
    <row r="4222" spans="1:17" x14ac:dyDescent="0.25">
      <c r="A4222" s="549" t="s">
        <v>998</v>
      </c>
      <c r="B4222" s="549" t="s">
        <v>999</v>
      </c>
      <c r="C4222" s="549" t="s">
        <v>509</v>
      </c>
      <c r="D4222" s="549" t="s">
        <v>656</v>
      </c>
      <c r="E4222" s="549" t="s">
        <v>973</v>
      </c>
      <c r="F4222" s="549" t="s">
        <v>1537</v>
      </c>
      <c r="G4222" s="549" t="s">
        <v>1548</v>
      </c>
      <c r="H4222" s="549" t="s">
        <v>509</v>
      </c>
      <c r="I4222" s="549" t="s">
        <v>976</v>
      </c>
      <c r="J4222" s="549" t="s">
        <v>976</v>
      </c>
      <c r="L4222" s="549">
        <v>506303.36</v>
      </c>
      <c r="M4222" s="549">
        <v>38225.9</v>
      </c>
      <c r="N4222" s="549">
        <v>29061.81</v>
      </c>
      <c r="P4222" s="549">
        <v>67.02</v>
      </c>
      <c r="Q4222" s="549">
        <v>45096.22</v>
      </c>
    </row>
    <row r="4223" spans="1:17" x14ac:dyDescent="0.25">
      <c r="A4223" s="549" t="s">
        <v>998</v>
      </c>
      <c r="B4223" s="549" t="s">
        <v>999</v>
      </c>
      <c r="C4223" s="549" t="s">
        <v>509</v>
      </c>
      <c r="D4223" s="549" t="s">
        <v>656</v>
      </c>
      <c r="E4223" s="549" t="s">
        <v>973</v>
      </c>
      <c r="F4223" s="549" t="s">
        <v>1537</v>
      </c>
      <c r="G4223" s="549" t="s">
        <v>1551</v>
      </c>
      <c r="H4223" s="549" t="s">
        <v>509</v>
      </c>
      <c r="I4223" s="549" t="s">
        <v>976</v>
      </c>
      <c r="J4223" s="549" t="s">
        <v>976</v>
      </c>
      <c r="L4223" s="549">
        <v>506303.36</v>
      </c>
      <c r="M4223" s="549">
        <v>38225.9</v>
      </c>
      <c r="N4223" s="549">
        <v>29061.81</v>
      </c>
      <c r="P4223" s="549">
        <v>67.02</v>
      </c>
      <c r="Q4223" s="549">
        <v>45096.22</v>
      </c>
    </row>
    <row r="4224" spans="1:17" x14ac:dyDescent="0.25">
      <c r="A4224" s="549" t="s">
        <v>998</v>
      </c>
      <c r="B4224" s="549" t="s">
        <v>999</v>
      </c>
      <c r="C4224" s="549" t="s">
        <v>509</v>
      </c>
      <c r="D4224" s="549" t="s">
        <v>656</v>
      </c>
      <c r="E4224" s="549" t="s">
        <v>977</v>
      </c>
      <c r="F4224" s="549" t="s">
        <v>1537</v>
      </c>
      <c r="G4224" s="549" t="s">
        <v>1548</v>
      </c>
      <c r="H4224" s="549" t="s">
        <v>509</v>
      </c>
      <c r="I4224" s="549" t="s">
        <v>976</v>
      </c>
      <c r="J4224" s="549" t="s">
        <v>976</v>
      </c>
      <c r="L4224" s="549">
        <v>506303.36</v>
      </c>
      <c r="M4224" s="549">
        <v>38225.9</v>
      </c>
      <c r="N4224" s="549">
        <v>11189.3</v>
      </c>
      <c r="P4224" s="549">
        <v>32.979999999999997</v>
      </c>
      <c r="Q4224" s="549">
        <v>16297.13</v>
      </c>
    </row>
    <row r="4225" spans="1:17" x14ac:dyDescent="0.25">
      <c r="A4225" s="549" t="s">
        <v>998</v>
      </c>
      <c r="B4225" s="549" t="s">
        <v>999</v>
      </c>
      <c r="C4225" s="549" t="s">
        <v>509</v>
      </c>
      <c r="D4225" s="549" t="s">
        <v>656</v>
      </c>
      <c r="E4225" s="549" t="s">
        <v>977</v>
      </c>
      <c r="F4225" s="549" t="s">
        <v>1537</v>
      </c>
      <c r="G4225" s="549" t="s">
        <v>1551</v>
      </c>
      <c r="H4225" s="549" t="s">
        <v>509</v>
      </c>
      <c r="I4225" s="549" t="s">
        <v>976</v>
      </c>
      <c r="J4225" s="549" t="s">
        <v>976</v>
      </c>
      <c r="L4225" s="549">
        <v>506303.36</v>
      </c>
      <c r="M4225" s="549">
        <v>38225.9</v>
      </c>
      <c r="N4225" s="549">
        <v>11189.3</v>
      </c>
      <c r="P4225" s="549">
        <v>32.979999999999997</v>
      </c>
      <c r="Q4225" s="549">
        <v>16297.13</v>
      </c>
    </row>
    <row r="4226" spans="1:17" x14ac:dyDescent="0.25">
      <c r="A4226" s="549" t="s">
        <v>998</v>
      </c>
      <c r="B4226" s="549" t="s">
        <v>999</v>
      </c>
      <c r="C4226" s="549" t="s">
        <v>660</v>
      </c>
      <c r="D4226" s="549" t="s">
        <v>661</v>
      </c>
      <c r="E4226" s="549" t="s">
        <v>973</v>
      </c>
      <c r="F4226" s="549" t="s">
        <v>1537</v>
      </c>
      <c r="G4226" s="549" t="s">
        <v>1552</v>
      </c>
      <c r="H4226" s="549" t="s">
        <v>660</v>
      </c>
      <c r="I4226" s="549" t="s">
        <v>976</v>
      </c>
      <c r="J4226" s="549" t="s">
        <v>976</v>
      </c>
      <c r="L4226" s="549">
        <v>2895149.38</v>
      </c>
      <c r="M4226" s="549">
        <v>218583.78</v>
      </c>
      <c r="N4226" s="549">
        <v>166181.57</v>
      </c>
      <c r="P4226" s="549">
        <v>0</v>
      </c>
      <c r="Q4226" s="549">
        <v>0</v>
      </c>
    </row>
    <row r="4227" spans="1:17" x14ac:dyDescent="0.25">
      <c r="A4227" s="549" t="s">
        <v>998</v>
      </c>
      <c r="B4227" s="549" t="s">
        <v>999</v>
      </c>
      <c r="C4227" s="549" t="s">
        <v>660</v>
      </c>
      <c r="D4227" s="549" t="s">
        <v>661</v>
      </c>
      <c r="E4227" s="549" t="s">
        <v>977</v>
      </c>
      <c r="F4227" s="549" t="s">
        <v>1537</v>
      </c>
      <c r="G4227" s="549" t="s">
        <v>1552</v>
      </c>
      <c r="H4227" s="549" t="s">
        <v>660</v>
      </c>
      <c r="I4227" s="549" t="s">
        <v>976</v>
      </c>
      <c r="J4227" s="549" t="s">
        <v>976</v>
      </c>
      <c r="L4227" s="549">
        <v>2895149.38</v>
      </c>
      <c r="M4227" s="549">
        <v>218583.78</v>
      </c>
      <c r="N4227" s="549">
        <v>63982.8</v>
      </c>
      <c r="P4227" s="549">
        <v>18.559999999999999</v>
      </c>
      <c r="Q4227" s="549">
        <v>52444.36</v>
      </c>
    </row>
    <row r="4228" spans="1:17" x14ac:dyDescent="0.25">
      <c r="A4228" s="549" t="s">
        <v>998</v>
      </c>
      <c r="B4228" s="549" t="s">
        <v>999</v>
      </c>
      <c r="C4228" s="549" t="s">
        <v>658</v>
      </c>
      <c r="D4228" s="549" t="s">
        <v>659</v>
      </c>
      <c r="E4228" s="549" t="s">
        <v>977</v>
      </c>
      <c r="F4228" s="549" t="s">
        <v>1537</v>
      </c>
      <c r="G4228" s="549" t="s">
        <v>1552</v>
      </c>
      <c r="H4228" s="549" t="s">
        <v>660</v>
      </c>
      <c r="I4228" s="549" t="s">
        <v>976</v>
      </c>
      <c r="J4228" s="549" t="s">
        <v>976</v>
      </c>
      <c r="L4228" s="549">
        <v>2895149.38</v>
      </c>
      <c r="M4228" s="549">
        <v>218583.78</v>
      </c>
      <c r="N4228" s="549">
        <v>63982.8</v>
      </c>
      <c r="P4228" s="549">
        <v>33.479999999999997</v>
      </c>
      <c r="Q4228" s="549">
        <v>94603.29</v>
      </c>
    </row>
    <row r="4229" spans="1:17" x14ac:dyDescent="0.25">
      <c r="A4229" s="549" t="s">
        <v>998</v>
      </c>
      <c r="B4229" s="549" t="s">
        <v>999</v>
      </c>
      <c r="C4229" s="549" t="s">
        <v>658</v>
      </c>
      <c r="D4229" s="549" t="s">
        <v>659</v>
      </c>
      <c r="E4229" s="549" t="s">
        <v>977</v>
      </c>
      <c r="F4229" s="549" t="s">
        <v>1537</v>
      </c>
      <c r="G4229" s="549" t="s">
        <v>1553</v>
      </c>
      <c r="H4229" s="549" t="s">
        <v>658</v>
      </c>
      <c r="I4229" s="549" t="s">
        <v>976</v>
      </c>
      <c r="J4229" s="549" t="s">
        <v>976</v>
      </c>
      <c r="L4229" s="549">
        <v>1649386.84</v>
      </c>
      <c r="M4229" s="549">
        <v>124528.71</v>
      </c>
      <c r="N4229" s="549">
        <v>36451.449999999997</v>
      </c>
      <c r="P4229" s="549">
        <v>95.79</v>
      </c>
      <c r="Q4229" s="549">
        <v>154202.9</v>
      </c>
    </row>
    <row r="4230" spans="1:17" x14ac:dyDescent="0.25">
      <c r="A4230" s="549" t="s">
        <v>998</v>
      </c>
      <c r="B4230" s="549" t="s">
        <v>999</v>
      </c>
      <c r="C4230" s="549" t="s">
        <v>654</v>
      </c>
      <c r="D4230" s="549" t="s">
        <v>655</v>
      </c>
      <c r="E4230" s="549" t="s">
        <v>973</v>
      </c>
      <c r="F4230" s="549" t="s">
        <v>1537</v>
      </c>
      <c r="G4230" s="549" t="s">
        <v>1540</v>
      </c>
      <c r="H4230" s="549" t="s">
        <v>654</v>
      </c>
      <c r="I4230" s="549" t="s">
        <v>976</v>
      </c>
      <c r="J4230" s="549" t="s">
        <v>976</v>
      </c>
      <c r="L4230" s="549">
        <v>1104124.6299999999</v>
      </c>
      <c r="M4230" s="549">
        <v>83361.41</v>
      </c>
      <c r="N4230" s="549">
        <v>63376.75</v>
      </c>
      <c r="P4230" s="549">
        <v>13.96</v>
      </c>
      <c r="Q4230" s="549">
        <v>20484.650000000001</v>
      </c>
    </row>
    <row r="4231" spans="1:17" x14ac:dyDescent="0.25">
      <c r="A4231" s="549" t="s">
        <v>998</v>
      </c>
      <c r="B4231" s="549" t="s">
        <v>999</v>
      </c>
      <c r="C4231" s="549" t="s">
        <v>654</v>
      </c>
      <c r="D4231" s="549" t="s">
        <v>655</v>
      </c>
      <c r="E4231" s="549" t="s">
        <v>973</v>
      </c>
      <c r="F4231" s="549" t="s">
        <v>1537</v>
      </c>
      <c r="G4231" s="549" t="s">
        <v>1541</v>
      </c>
      <c r="H4231" s="549" t="s">
        <v>654</v>
      </c>
      <c r="I4231" s="549" t="s">
        <v>976</v>
      </c>
      <c r="J4231" s="549" t="s">
        <v>976</v>
      </c>
      <c r="L4231" s="549">
        <v>873242.88</v>
      </c>
      <c r="M4231" s="549">
        <v>65929.84</v>
      </c>
      <c r="N4231" s="549">
        <v>50124.14</v>
      </c>
      <c r="P4231" s="549">
        <v>13.96</v>
      </c>
      <c r="Q4231" s="549">
        <v>16201.14</v>
      </c>
    </row>
    <row r="4232" spans="1:17" x14ac:dyDescent="0.25">
      <c r="A4232" s="549" t="s">
        <v>998</v>
      </c>
      <c r="B4232" s="549" t="s">
        <v>999</v>
      </c>
      <c r="C4232" s="549" t="s">
        <v>654</v>
      </c>
      <c r="D4232" s="549" t="s">
        <v>655</v>
      </c>
      <c r="E4232" s="549" t="s">
        <v>973</v>
      </c>
      <c r="F4232" s="549" t="s">
        <v>1537</v>
      </c>
      <c r="G4232" s="549" t="s">
        <v>1542</v>
      </c>
      <c r="H4232" s="549" t="s">
        <v>654</v>
      </c>
      <c r="I4232" s="549" t="s">
        <v>976</v>
      </c>
      <c r="J4232" s="549" t="s">
        <v>976</v>
      </c>
      <c r="L4232" s="549">
        <v>1472166.17</v>
      </c>
      <c r="M4232" s="549">
        <v>111148.55</v>
      </c>
      <c r="N4232" s="549">
        <v>84502.34</v>
      </c>
      <c r="P4232" s="549">
        <v>13.96</v>
      </c>
      <c r="Q4232" s="549">
        <v>27312.86</v>
      </c>
    </row>
    <row r="4233" spans="1:17" x14ac:dyDescent="0.25">
      <c r="A4233" s="549" t="s">
        <v>998</v>
      </c>
      <c r="B4233" s="549" t="s">
        <v>999</v>
      </c>
      <c r="C4233" s="549" t="s">
        <v>654</v>
      </c>
      <c r="D4233" s="549" t="s">
        <v>655</v>
      </c>
      <c r="E4233" s="549" t="s">
        <v>977</v>
      </c>
      <c r="F4233" s="549" t="s">
        <v>1537</v>
      </c>
      <c r="G4233" s="549" t="s">
        <v>1540</v>
      </c>
      <c r="H4233" s="549" t="s">
        <v>654</v>
      </c>
      <c r="I4233" s="549" t="s">
        <v>976</v>
      </c>
      <c r="J4233" s="549" t="s">
        <v>976</v>
      </c>
      <c r="L4233" s="549">
        <v>1104124.6299999999</v>
      </c>
      <c r="M4233" s="549">
        <v>83361.41</v>
      </c>
      <c r="N4233" s="549">
        <v>24401.15</v>
      </c>
      <c r="P4233" s="549">
        <v>86.04</v>
      </c>
      <c r="Q4233" s="549">
        <v>92718.91</v>
      </c>
    </row>
    <row r="4234" spans="1:17" x14ac:dyDescent="0.25">
      <c r="A4234" s="549" t="s">
        <v>998</v>
      </c>
      <c r="B4234" s="549" t="s">
        <v>999</v>
      </c>
      <c r="C4234" s="549" t="s">
        <v>654</v>
      </c>
      <c r="D4234" s="549" t="s">
        <v>655</v>
      </c>
      <c r="E4234" s="549" t="s">
        <v>977</v>
      </c>
      <c r="F4234" s="549" t="s">
        <v>1537</v>
      </c>
      <c r="G4234" s="549" t="s">
        <v>1541</v>
      </c>
      <c r="H4234" s="549" t="s">
        <v>654</v>
      </c>
      <c r="I4234" s="549" t="s">
        <v>976</v>
      </c>
      <c r="J4234" s="549" t="s">
        <v>976</v>
      </c>
      <c r="L4234" s="549">
        <v>873242.88</v>
      </c>
      <c r="M4234" s="549">
        <v>65929.84</v>
      </c>
      <c r="N4234" s="549">
        <v>19298.669999999998</v>
      </c>
      <c r="P4234" s="549">
        <v>86.04</v>
      </c>
      <c r="Q4234" s="549">
        <v>73330.61</v>
      </c>
    </row>
    <row r="4235" spans="1:17" x14ac:dyDescent="0.25">
      <c r="A4235" s="549" t="s">
        <v>998</v>
      </c>
      <c r="B4235" s="549" t="s">
        <v>999</v>
      </c>
      <c r="C4235" s="549" t="s">
        <v>654</v>
      </c>
      <c r="D4235" s="549" t="s">
        <v>655</v>
      </c>
      <c r="E4235" s="549" t="s">
        <v>977</v>
      </c>
      <c r="F4235" s="549" t="s">
        <v>1537</v>
      </c>
      <c r="G4235" s="549" t="s">
        <v>1542</v>
      </c>
      <c r="H4235" s="549" t="s">
        <v>654</v>
      </c>
      <c r="I4235" s="549" t="s">
        <v>976</v>
      </c>
      <c r="J4235" s="549" t="s">
        <v>976</v>
      </c>
      <c r="L4235" s="549">
        <v>1472166.17</v>
      </c>
      <c r="M4235" s="549">
        <v>111148.55</v>
      </c>
      <c r="N4235" s="549">
        <v>32534.87</v>
      </c>
      <c r="P4235" s="549">
        <v>86.04</v>
      </c>
      <c r="Q4235" s="549">
        <v>123625.21</v>
      </c>
    </row>
    <row r="4236" spans="1:17" x14ac:dyDescent="0.25">
      <c r="A4236" s="549" t="s">
        <v>998</v>
      </c>
      <c r="B4236" s="549" t="s">
        <v>999</v>
      </c>
      <c r="C4236" s="549" t="s">
        <v>657</v>
      </c>
      <c r="D4236" s="549" t="s">
        <v>1001</v>
      </c>
      <c r="E4236" s="549" t="s">
        <v>977</v>
      </c>
      <c r="F4236" s="549" t="s">
        <v>1537</v>
      </c>
      <c r="G4236" s="549" t="s">
        <v>1540</v>
      </c>
      <c r="H4236" s="549" t="s">
        <v>657</v>
      </c>
      <c r="I4236" s="549" t="s">
        <v>976</v>
      </c>
      <c r="J4236" s="549" t="s">
        <v>976</v>
      </c>
      <c r="L4236" s="549">
        <v>2382481.2799999998</v>
      </c>
      <c r="M4236" s="549">
        <v>179877.34</v>
      </c>
      <c r="N4236" s="549">
        <v>52652.84</v>
      </c>
      <c r="P4236" s="549">
        <v>100</v>
      </c>
      <c r="Q4236" s="549">
        <v>232530.18</v>
      </c>
    </row>
    <row r="4237" spans="1:17" x14ac:dyDescent="0.25">
      <c r="A4237" s="549" t="s">
        <v>998</v>
      </c>
      <c r="B4237" s="549" t="s">
        <v>999</v>
      </c>
      <c r="C4237" s="549" t="s">
        <v>657</v>
      </c>
      <c r="D4237" s="549" t="s">
        <v>1001</v>
      </c>
      <c r="E4237" s="549" t="s">
        <v>977</v>
      </c>
      <c r="F4237" s="549" t="s">
        <v>1537</v>
      </c>
      <c r="G4237" s="549" t="s">
        <v>1541</v>
      </c>
      <c r="H4237" s="549" t="s">
        <v>657</v>
      </c>
      <c r="I4237" s="549" t="s">
        <v>976</v>
      </c>
      <c r="J4237" s="549" t="s">
        <v>976</v>
      </c>
      <c r="L4237" s="549">
        <v>2462133.4700000002</v>
      </c>
      <c r="M4237" s="549">
        <v>185891.08</v>
      </c>
      <c r="N4237" s="549">
        <v>54413.15</v>
      </c>
      <c r="P4237" s="549">
        <v>100</v>
      </c>
      <c r="Q4237" s="549">
        <v>240304.23</v>
      </c>
    </row>
    <row r="4238" spans="1:17" x14ac:dyDescent="0.25">
      <c r="A4238" s="549" t="s">
        <v>1172</v>
      </c>
      <c r="B4238" s="549" t="s">
        <v>1173</v>
      </c>
      <c r="C4238" s="549" t="s">
        <v>677</v>
      </c>
      <c r="D4238" s="549" t="s">
        <v>678</v>
      </c>
      <c r="E4238" s="549" t="s">
        <v>977</v>
      </c>
      <c r="F4238" s="549" t="s">
        <v>1537</v>
      </c>
      <c r="G4238" s="549" t="s">
        <v>1540</v>
      </c>
      <c r="H4238" s="549" t="s">
        <v>677</v>
      </c>
      <c r="I4238" s="549" t="s">
        <v>976</v>
      </c>
      <c r="J4238" s="549" t="s">
        <v>976</v>
      </c>
      <c r="L4238" s="549">
        <v>1834195.55</v>
      </c>
      <c r="M4238" s="549">
        <v>138481.76</v>
      </c>
      <c r="N4238" s="549">
        <v>40535.72</v>
      </c>
      <c r="P4238" s="549">
        <v>100</v>
      </c>
      <c r="Q4238" s="549">
        <v>179017.48</v>
      </c>
    </row>
    <row r="4239" spans="1:17" x14ac:dyDescent="0.25">
      <c r="A4239" s="549" t="s">
        <v>1172</v>
      </c>
      <c r="B4239" s="549" t="s">
        <v>1173</v>
      </c>
      <c r="C4239" s="549" t="s">
        <v>677</v>
      </c>
      <c r="D4239" s="549" t="s">
        <v>678</v>
      </c>
      <c r="E4239" s="549" t="s">
        <v>977</v>
      </c>
      <c r="F4239" s="549" t="s">
        <v>1537</v>
      </c>
      <c r="G4239" s="549" t="s">
        <v>1544</v>
      </c>
      <c r="H4239" s="549" t="s">
        <v>677</v>
      </c>
      <c r="I4239" s="549" t="s">
        <v>976</v>
      </c>
      <c r="J4239" s="549" t="s">
        <v>976</v>
      </c>
      <c r="L4239" s="549">
        <v>1834195.55</v>
      </c>
      <c r="M4239" s="549">
        <v>138481.76</v>
      </c>
      <c r="N4239" s="549">
        <v>40535.72</v>
      </c>
      <c r="P4239" s="549">
        <v>100</v>
      </c>
      <c r="Q4239" s="549">
        <v>179017.48</v>
      </c>
    </row>
    <row r="4240" spans="1:17" x14ac:dyDescent="0.25">
      <c r="A4240" s="549" t="s">
        <v>1003</v>
      </c>
      <c r="B4240" s="549" t="s">
        <v>1004</v>
      </c>
      <c r="C4240" s="549" t="s">
        <v>520</v>
      </c>
      <c r="D4240" s="549" t="s">
        <v>670</v>
      </c>
      <c r="E4240" s="549" t="s">
        <v>977</v>
      </c>
      <c r="F4240" s="549" t="s">
        <v>1537</v>
      </c>
      <c r="G4240" s="549" t="s">
        <v>1554</v>
      </c>
      <c r="H4240" s="549" t="s">
        <v>520</v>
      </c>
      <c r="I4240" s="549" t="s">
        <v>976</v>
      </c>
      <c r="J4240" s="549" t="s">
        <v>976</v>
      </c>
      <c r="L4240" s="549">
        <v>651705.23</v>
      </c>
      <c r="M4240" s="549">
        <v>49203.74</v>
      </c>
      <c r="N4240" s="549">
        <v>14402.69</v>
      </c>
      <c r="P4240" s="549">
        <v>100</v>
      </c>
      <c r="Q4240" s="549">
        <v>63606.43</v>
      </c>
    </row>
    <row r="4241" spans="1:17" x14ac:dyDescent="0.25">
      <c r="A4241" s="549" t="s">
        <v>1003</v>
      </c>
      <c r="B4241" s="549" t="s">
        <v>1004</v>
      </c>
      <c r="C4241" s="549" t="s">
        <v>671</v>
      </c>
      <c r="D4241" s="549" t="s">
        <v>672</v>
      </c>
      <c r="E4241" s="549" t="s">
        <v>973</v>
      </c>
      <c r="F4241" s="549" t="s">
        <v>1537</v>
      </c>
      <c r="G4241" s="549" t="s">
        <v>1540</v>
      </c>
      <c r="H4241" s="549" t="s">
        <v>671</v>
      </c>
      <c r="I4241" s="549" t="s">
        <v>976</v>
      </c>
      <c r="J4241" s="549" t="s">
        <v>976</v>
      </c>
      <c r="L4241" s="549">
        <v>774453.55</v>
      </c>
      <c r="M4241" s="549">
        <v>58471.24</v>
      </c>
      <c r="N4241" s="549">
        <v>44453.63</v>
      </c>
      <c r="P4241" s="549">
        <v>13.33</v>
      </c>
      <c r="Q4241" s="549">
        <v>13719.89</v>
      </c>
    </row>
    <row r="4242" spans="1:17" x14ac:dyDescent="0.25">
      <c r="A4242" s="549" t="s">
        <v>1003</v>
      </c>
      <c r="B4242" s="549" t="s">
        <v>1004</v>
      </c>
      <c r="C4242" s="549" t="s">
        <v>671</v>
      </c>
      <c r="D4242" s="549" t="s">
        <v>672</v>
      </c>
      <c r="E4242" s="549" t="s">
        <v>973</v>
      </c>
      <c r="F4242" s="549" t="s">
        <v>1537</v>
      </c>
      <c r="G4242" s="549" t="s">
        <v>1541</v>
      </c>
      <c r="H4242" s="549" t="s">
        <v>671</v>
      </c>
      <c r="I4242" s="549" t="s">
        <v>976</v>
      </c>
      <c r="J4242" s="549" t="s">
        <v>976</v>
      </c>
      <c r="L4242" s="549">
        <v>774453.55</v>
      </c>
      <c r="M4242" s="549">
        <v>58471.24</v>
      </c>
      <c r="N4242" s="549">
        <v>44453.63</v>
      </c>
      <c r="P4242" s="549">
        <v>13.33</v>
      </c>
      <c r="Q4242" s="549">
        <v>13719.89</v>
      </c>
    </row>
    <row r="4243" spans="1:17" x14ac:dyDescent="0.25">
      <c r="A4243" s="549" t="s">
        <v>1003</v>
      </c>
      <c r="B4243" s="549" t="s">
        <v>1004</v>
      </c>
      <c r="C4243" s="549" t="s">
        <v>671</v>
      </c>
      <c r="D4243" s="549" t="s">
        <v>672</v>
      </c>
      <c r="E4243" s="549" t="s">
        <v>977</v>
      </c>
      <c r="F4243" s="549" t="s">
        <v>1537</v>
      </c>
      <c r="G4243" s="549" t="s">
        <v>1540</v>
      </c>
      <c r="H4243" s="549" t="s">
        <v>671</v>
      </c>
      <c r="I4243" s="549" t="s">
        <v>976</v>
      </c>
      <c r="J4243" s="549" t="s">
        <v>976</v>
      </c>
      <c r="L4243" s="549">
        <v>774453.55</v>
      </c>
      <c r="M4243" s="549">
        <v>58471.24</v>
      </c>
      <c r="N4243" s="549">
        <v>17115.419999999998</v>
      </c>
      <c r="P4243" s="549">
        <v>86.67</v>
      </c>
      <c r="Q4243" s="549">
        <v>65510.96</v>
      </c>
    </row>
    <row r="4244" spans="1:17" x14ac:dyDescent="0.25">
      <c r="A4244" s="549" t="s">
        <v>1003</v>
      </c>
      <c r="B4244" s="549" t="s">
        <v>1004</v>
      </c>
      <c r="C4244" s="549" t="s">
        <v>671</v>
      </c>
      <c r="D4244" s="549" t="s">
        <v>672</v>
      </c>
      <c r="E4244" s="549" t="s">
        <v>977</v>
      </c>
      <c r="F4244" s="549" t="s">
        <v>1537</v>
      </c>
      <c r="G4244" s="549" t="s">
        <v>1541</v>
      </c>
      <c r="H4244" s="549" t="s">
        <v>671</v>
      </c>
      <c r="I4244" s="549" t="s">
        <v>976</v>
      </c>
      <c r="J4244" s="549" t="s">
        <v>976</v>
      </c>
      <c r="L4244" s="549">
        <v>774453.55</v>
      </c>
      <c r="M4244" s="549">
        <v>58471.24</v>
      </c>
      <c r="N4244" s="549">
        <v>17115.419999999998</v>
      </c>
      <c r="P4244" s="549">
        <v>86.67</v>
      </c>
      <c r="Q4244" s="549">
        <v>65510.96</v>
      </c>
    </row>
    <row r="4245" spans="1:17" x14ac:dyDescent="0.25">
      <c r="A4245" s="549" t="s">
        <v>1007</v>
      </c>
      <c r="B4245" s="549" t="s">
        <v>1008</v>
      </c>
      <c r="C4245" s="549" t="s">
        <v>658</v>
      </c>
      <c r="D4245" s="549" t="s">
        <v>659</v>
      </c>
      <c r="E4245" s="549" t="s">
        <v>977</v>
      </c>
      <c r="F4245" s="549" t="s">
        <v>1537</v>
      </c>
      <c r="G4245" s="549" t="s">
        <v>1552</v>
      </c>
      <c r="H4245" s="549" t="s">
        <v>660</v>
      </c>
      <c r="I4245" s="549" t="s">
        <v>976</v>
      </c>
      <c r="J4245" s="549" t="s">
        <v>976</v>
      </c>
      <c r="L4245" s="549">
        <v>2895149.38</v>
      </c>
      <c r="M4245" s="549">
        <v>218583.78</v>
      </c>
      <c r="N4245" s="549">
        <v>63982.8</v>
      </c>
      <c r="P4245" s="549">
        <v>1.47</v>
      </c>
      <c r="Q4245" s="549">
        <v>4153.7299999999996</v>
      </c>
    </row>
    <row r="4246" spans="1:17" x14ac:dyDescent="0.25">
      <c r="A4246" s="549" t="s">
        <v>1007</v>
      </c>
      <c r="B4246" s="549" t="s">
        <v>1008</v>
      </c>
      <c r="C4246" s="549" t="s">
        <v>658</v>
      </c>
      <c r="D4246" s="549" t="s">
        <v>659</v>
      </c>
      <c r="E4246" s="549" t="s">
        <v>977</v>
      </c>
      <c r="F4246" s="549" t="s">
        <v>1537</v>
      </c>
      <c r="G4246" s="549" t="s">
        <v>1553</v>
      </c>
      <c r="H4246" s="549" t="s">
        <v>658</v>
      </c>
      <c r="I4246" s="549" t="s">
        <v>976</v>
      </c>
      <c r="J4246" s="549" t="s">
        <v>976</v>
      </c>
      <c r="L4246" s="549">
        <v>1649386.84</v>
      </c>
      <c r="M4246" s="549">
        <v>124528.71</v>
      </c>
      <c r="N4246" s="549">
        <v>36451.449999999997</v>
      </c>
      <c r="P4246" s="549">
        <v>4.21</v>
      </c>
      <c r="Q4246" s="549">
        <v>6777.26</v>
      </c>
    </row>
    <row r="4247" spans="1:17" x14ac:dyDescent="0.25">
      <c r="A4247" s="549" t="s">
        <v>518</v>
      </c>
      <c r="B4247" s="549" t="s">
        <v>1009</v>
      </c>
      <c r="C4247" s="549" t="s">
        <v>534</v>
      </c>
      <c r="D4247" s="549" t="s">
        <v>645</v>
      </c>
      <c r="E4247" s="549" t="s">
        <v>973</v>
      </c>
      <c r="F4247" s="549" t="s">
        <v>1537</v>
      </c>
      <c r="G4247" s="549" t="s">
        <v>1543</v>
      </c>
      <c r="H4247" s="549" t="s">
        <v>534</v>
      </c>
      <c r="I4247" s="549" t="s">
        <v>976</v>
      </c>
      <c r="J4247" s="549" t="s">
        <v>976</v>
      </c>
      <c r="L4247" s="549">
        <v>963805.36</v>
      </c>
      <c r="M4247" s="549">
        <v>72767.3</v>
      </c>
      <c r="N4247" s="549">
        <v>55322.43</v>
      </c>
      <c r="P4247" s="549">
        <v>86.35</v>
      </c>
      <c r="Q4247" s="549">
        <v>110605.48</v>
      </c>
    </row>
    <row r="4248" spans="1:17" x14ac:dyDescent="0.25">
      <c r="A4248" s="549" t="s">
        <v>518</v>
      </c>
      <c r="B4248" s="549" t="s">
        <v>1009</v>
      </c>
      <c r="C4248" s="549" t="s">
        <v>534</v>
      </c>
      <c r="D4248" s="549" t="s">
        <v>645</v>
      </c>
      <c r="E4248" s="549" t="s">
        <v>977</v>
      </c>
      <c r="F4248" s="549" t="s">
        <v>1537</v>
      </c>
      <c r="G4248" s="549" t="s">
        <v>1543</v>
      </c>
      <c r="H4248" s="549" t="s">
        <v>534</v>
      </c>
      <c r="I4248" s="549" t="s">
        <v>976</v>
      </c>
      <c r="J4248" s="549" t="s">
        <v>976</v>
      </c>
      <c r="L4248" s="549">
        <v>963805.36</v>
      </c>
      <c r="M4248" s="549">
        <v>72767.3</v>
      </c>
      <c r="N4248" s="549">
        <v>21300.1</v>
      </c>
      <c r="P4248" s="549">
        <v>0.56000000000000005</v>
      </c>
      <c r="Q4248" s="549">
        <v>526.78</v>
      </c>
    </row>
    <row r="4249" spans="1:17" x14ac:dyDescent="0.25">
      <c r="A4249" s="549" t="s">
        <v>518</v>
      </c>
      <c r="B4249" s="549" t="s">
        <v>1009</v>
      </c>
      <c r="C4249" s="549" t="s">
        <v>519</v>
      </c>
      <c r="D4249" s="549" t="s">
        <v>492</v>
      </c>
      <c r="E4249" s="549" t="s">
        <v>973</v>
      </c>
      <c r="F4249" s="549" t="s">
        <v>1537</v>
      </c>
      <c r="G4249" s="549" t="s">
        <v>1539</v>
      </c>
      <c r="H4249" s="549" t="s">
        <v>519</v>
      </c>
      <c r="I4249" s="549" t="s">
        <v>976</v>
      </c>
      <c r="J4249" s="549" t="s">
        <v>976</v>
      </c>
      <c r="L4249" s="549">
        <v>1259391.6599999999</v>
      </c>
      <c r="M4249" s="549">
        <v>95084.07</v>
      </c>
      <c r="N4249" s="549">
        <v>72289.08</v>
      </c>
      <c r="P4249" s="549">
        <v>94.78</v>
      </c>
      <c r="Q4249" s="549">
        <v>158636.26999999999</v>
      </c>
    </row>
    <row r="4250" spans="1:17" x14ac:dyDescent="0.25">
      <c r="A4250" s="549" t="s">
        <v>518</v>
      </c>
      <c r="B4250" s="549" t="s">
        <v>1009</v>
      </c>
      <c r="C4250" s="549" t="s">
        <v>519</v>
      </c>
      <c r="D4250" s="549" t="s">
        <v>492</v>
      </c>
      <c r="E4250" s="549" t="s">
        <v>973</v>
      </c>
      <c r="F4250" s="549" t="s">
        <v>1537</v>
      </c>
      <c r="G4250" s="549" t="s">
        <v>1538</v>
      </c>
      <c r="H4250" s="549" t="s">
        <v>519</v>
      </c>
      <c r="I4250" s="549" t="s">
        <v>976</v>
      </c>
      <c r="J4250" s="549" t="s">
        <v>976</v>
      </c>
      <c r="L4250" s="549">
        <v>1259391.6599999999</v>
      </c>
      <c r="M4250" s="549">
        <v>95084.07</v>
      </c>
      <c r="N4250" s="549">
        <v>72289.08</v>
      </c>
      <c r="P4250" s="549">
        <v>94.78</v>
      </c>
      <c r="Q4250" s="549">
        <v>158636.26999999999</v>
      </c>
    </row>
    <row r="4251" spans="1:17" x14ac:dyDescent="0.25">
      <c r="A4251" s="549" t="s">
        <v>518</v>
      </c>
      <c r="B4251" s="549" t="s">
        <v>1009</v>
      </c>
      <c r="C4251" s="549" t="s">
        <v>519</v>
      </c>
      <c r="D4251" s="549" t="s">
        <v>492</v>
      </c>
      <c r="E4251" s="549" t="s">
        <v>977</v>
      </c>
      <c r="F4251" s="549" t="s">
        <v>1537</v>
      </c>
      <c r="G4251" s="549" t="s">
        <v>1539</v>
      </c>
      <c r="H4251" s="549" t="s">
        <v>519</v>
      </c>
      <c r="I4251" s="549" t="s">
        <v>976</v>
      </c>
      <c r="J4251" s="549" t="s">
        <v>976</v>
      </c>
      <c r="L4251" s="549">
        <v>1259391.6599999999</v>
      </c>
      <c r="M4251" s="549">
        <v>95084.07</v>
      </c>
      <c r="N4251" s="549">
        <v>27832.560000000001</v>
      </c>
      <c r="P4251" s="549">
        <v>1.98</v>
      </c>
      <c r="Q4251" s="549">
        <v>2433.75</v>
      </c>
    </row>
    <row r="4252" spans="1:17" x14ac:dyDescent="0.25">
      <c r="A4252" s="549" t="s">
        <v>518</v>
      </c>
      <c r="B4252" s="549" t="s">
        <v>1009</v>
      </c>
      <c r="C4252" s="549" t="s">
        <v>519</v>
      </c>
      <c r="D4252" s="549" t="s">
        <v>492</v>
      </c>
      <c r="E4252" s="549" t="s">
        <v>977</v>
      </c>
      <c r="F4252" s="549" t="s">
        <v>1537</v>
      </c>
      <c r="G4252" s="549" t="s">
        <v>1538</v>
      </c>
      <c r="H4252" s="549" t="s">
        <v>519</v>
      </c>
      <c r="I4252" s="549" t="s">
        <v>976</v>
      </c>
      <c r="J4252" s="549" t="s">
        <v>976</v>
      </c>
      <c r="L4252" s="549">
        <v>1259391.6599999999</v>
      </c>
      <c r="M4252" s="549">
        <v>95084.07</v>
      </c>
      <c r="N4252" s="549">
        <v>27832.560000000001</v>
      </c>
      <c r="P4252" s="549">
        <v>1.98</v>
      </c>
      <c r="Q4252" s="549">
        <v>2433.75</v>
      </c>
    </row>
    <row r="4253" spans="1:17" x14ac:dyDescent="0.25">
      <c r="A4253" s="549" t="s">
        <v>1027</v>
      </c>
      <c r="B4253" s="549" t="s">
        <v>592</v>
      </c>
      <c r="C4253" s="549" t="s">
        <v>883</v>
      </c>
      <c r="D4253" s="549" t="s">
        <v>884</v>
      </c>
      <c r="E4253" s="549" t="s">
        <v>977</v>
      </c>
      <c r="F4253" s="549" t="s">
        <v>1537</v>
      </c>
      <c r="G4253" s="549" t="s">
        <v>1543</v>
      </c>
      <c r="H4253" s="549" t="s">
        <v>883</v>
      </c>
      <c r="I4253" s="549" t="s">
        <v>976</v>
      </c>
      <c r="J4253" s="549" t="s">
        <v>976</v>
      </c>
      <c r="L4253" s="549">
        <v>338687.19</v>
      </c>
      <c r="M4253" s="549">
        <v>25570.880000000001</v>
      </c>
      <c r="N4253" s="549">
        <v>7484.99</v>
      </c>
      <c r="P4253" s="549">
        <v>100</v>
      </c>
      <c r="Q4253" s="549">
        <v>33055.870000000003</v>
      </c>
    </row>
    <row r="4254" spans="1:17" x14ac:dyDescent="0.25">
      <c r="A4254" s="549" t="s">
        <v>1027</v>
      </c>
      <c r="B4254" s="549" t="s">
        <v>592</v>
      </c>
      <c r="C4254" s="549" t="s">
        <v>881</v>
      </c>
      <c r="D4254" s="549" t="s">
        <v>882</v>
      </c>
      <c r="E4254" s="549" t="s">
        <v>977</v>
      </c>
      <c r="F4254" s="549" t="s">
        <v>1537</v>
      </c>
      <c r="G4254" s="549" t="s">
        <v>1541</v>
      </c>
      <c r="H4254" s="549" t="s">
        <v>881</v>
      </c>
      <c r="I4254" s="549" t="s">
        <v>976</v>
      </c>
      <c r="J4254" s="549" t="s">
        <v>976</v>
      </c>
      <c r="L4254" s="549">
        <v>762758.71</v>
      </c>
      <c r="M4254" s="549">
        <v>57588.28</v>
      </c>
      <c r="N4254" s="549">
        <v>16856.97</v>
      </c>
      <c r="P4254" s="549">
        <v>100</v>
      </c>
      <c r="Q4254" s="549">
        <v>74445.25</v>
      </c>
    </row>
    <row r="4255" spans="1:17" x14ac:dyDescent="0.25">
      <c r="A4255" s="549" t="s">
        <v>1027</v>
      </c>
      <c r="B4255" s="549" t="s">
        <v>592</v>
      </c>
      <c r="C4255" s="549" t="s">
        <v>881</v>
      </c>
      <c r="D4255" s="549" t="s">
        <v>882</v>
      </c>
      <c r="E4255" s="549" t="s">
        <v>977</v>
      </c>
      <c r="F4255" s="549" t="s">
        <v>1537</v>
      </c>
      <c r="G4255" s="549" t="s">
        <v>1540</v>
      </c>
      <c r="H4255" s="549" t="s">
        <v>881</v>
      </c>
      <c r="I4255" s="549" t="s">
        <v>976</v>
      </c>
      <c r="J4255" s="549" t="s">
        <v>976</v>
      </c>
      <c r="L4255" s="549">
        <v>762758.71</v>
      </c>
      <c r="M4255" s="549">
        <v>57588.28</v>
      </c>
      <c r="N4255" s="549">
        <v>16856.97</v>
      </c>
      <c r="P4255" s="549">
        <v>100</v>
      </c>
      <c r="Q4255" s="549">
        <v>74445.25</v>
      </c>
    </row>
    <row r="4256" spans="1:17" x14ac:dyDescent="0.25">
      <c r="A4256" s="549" t="s">
        <v>1027</v>
      </c>
      <c r="B4256" s="549" t="s">
        <v>592</v>
      </c>
      <c r="C4256" s="549" t="s">
        <v>881</v>
      </c>
      <c r="D4256" s="549" t="s">
        <v>882</v>
      </c>
      <c r="E4256" s="549" t="s">
        <v>973</v>
      </c>
      <c r="F4256" s="549" t="s">
        <v>1537</v>
      </c>
      <c r="G4256" s="549" t="s">
        <v>1541</v>
      </c>
      <c r="H4256" s="549" t="s">
        <v>881</v>
      </c>
      <c r="I4256" s="549" t="s">
        <v>976</v>
      </c>
      <c r="J4256" s="549" t="s">
        <v>976</v>
      </c>
      <c r="L4256" s="549">
        <v>762758.71</v>
      </c>
      <c r="M4256" s="549">
        <v>57588.28</v>
      </c>
      <c r="N4256" s="549">
        <v>43782.35</v>
      </c>
      <c r="P4256" s="549">
        <v>0</v>
      </c>
      <c r="Q4256" s="549">
        <v>0</v>
      </c>
    </row>
    <row r="4257" spans="1:17" x14ac:dyDescent="0.25">
      <c r="A4257" s="549" t="s">
        <v>1027</v>
      </c>
      <c r="B4257" s="549" t="s">
        <v>592</v>
      </c>
      <c r="C4257" s="549" t="s">
        <v>881</v>
      </c>
      <c r="D4257" s="549" t="s">
        <v>882</v>
      </c>
      <c r="E4257" s="549" t="s">
        <v>973</v>
      </c>
      <c r="F4257" s="549" t="s">
        <v>1537</v>
      </c>
      <c r="G4257" s="549" t="s">
        <v>1540</v>
      </c>
      <c r="H4257" s="549" t="s">
        <v>881</v>
      </c>
      <c r="I4257" s="549" t="s">
        <v>976</v>
      </c>
      <c r="J4257" s="549" t="s">
        <v>976</v>
      </c>
      <c r="L4257" s="549">
        <v>762758.71</v>
      </c>
      <c r="M4257" s="549">
        <v>57588.28</v>
      </c>
      <c r="N4257" s="549">
        <v>43782.35</v>
      </c>
      <c r="P4257" s="549">
        <v>0</v>
      </c>
      <c r="Q4257" s="549">
        <v>0</v>
      </c>
    </row>
    <row r="4258" spans="1:17" x14ac:dyDescent="0.25">
      <c r="A4258" s="549" t="s">
        <v>1018</v>
      </c>
      <c r="B4258" s="549" t="s">
        <v>1019</v>
      </c>
      <c r="C4258" s="549" t="s">
        <v>817</v>
      </c>
      <c r="D4258" s="549" t="s">
        <v>818</v>
      </c>
      <c r="E4258" s="549" t="s">
        <v>977</v>
      </c>
      <c r="F4258" s="549" t="s">
        <v>1537</v>
      </c>
      <c r="G4258" s="549" t="s">
        <v>1540</v>
      </c>
      <c r="H4258" s="549" t="s">
        <v>817</v>
      </c>
      <c r="I4258" s="549" t="s">
        <v>976</v>
      </c>
      <c r="J4258" s="549" t="s">
        <v>976</v>
      </c>
      <c r="L4258" s="549">
        <v>889549.1</v>
      </c>
      <c r="M4258" s="549">
        <v>67160.960000000006</v>
      </c>
      <c r="N4258" s="549">
        <v>19659.04</v>
      </c>
      <c r="P4258" s="549">
        <v>100</v>
      </c>
      <c r="Q4258" s="549">
        <v>86820</v>
      </c>
    </row>
    <row r="4259" spans="1:17" x14ac:dyDescent="0.25">
      <c r="A4259" s="549" t="s">
        <v>1018</v>
      </c>
      <c r="B4259" s="549" t="s">
        <v>1019</v>
      </c>
      <c r="C4259" s="549" t="s">
        <v>817</v>
      </c>
      <c r="D4259" s="549" t="s">
        <v>818</v>
      </c>
      <c r="E4259" s="549" t="s">
        <v>977</v>
      </c>
      <c r="F4259" s="549" t="s">
        <v>1537</v>
      </c>
      <c r="G4259" s="549" t="s">
        <v>1541</v>
      </c>
      <c r="H4259" s="549" t="s">
        <v>817</v>
      </c>
      <c r="I4259" s="549" t="s">
        <v>976</v>
      </c>
      <c r="J4259" s="549" t="s">
        <v>976</v>
      </c>
      <c r="L4259" s="549">
        <v>1182476.01</v>
      </c>
      <c r="M4259" s="549">
        <v>89276.94</v>
      </c>
      <c r="N4259" s="549">
        <v>26132.720000000001</v>
      </c>
      <c r="P4259" s="549">
        <v>100</v>
      </c>
      <c r="Q4259" s="549">
        <v>115409.66</v>
      </c>
    </row>
    <row r="4260" spans="1:17" x14ac:dyDescent="0.25">
      <c r="A4260" s="549" t="s">
        <v>1018</v>
      </c>
      <c r="B4260" s="549" t="s">
        <v>1019</v>
      </c>
      <c r="C4260" s="549" t="s">
        <v>811</v>
      </c>
      <c r="D4260" s="549" t="s">
        <v>812</v>
      </c>
      <c r="E4260" s="549" t="s">
        <v>977</v>
      </c>
      <c r="F4260" s="549" t="s">
        <v>1537</v>
      </c>
      <c r="G4260" s="549" t="s">
        <v>1540</v>
      </c>
      <c r="H4260" s="549" t="s">
        <v>811</v>
      </c>
      <c r="I4260" s="549" t="s">
        <v>976</v>
      </c>
      <c r="J4260" s="549" t="s">
        <v>976</v>
      </c>
      <c r="L4260" s="549">
        <v>759560.22</v>
      </c>
      <c r="M4260" s="549">
        <v>57346.8</v>
      </c>
      <c r="N4260" s="549">
        <v>16786.28</v>
      </c>
      <c r="P4260" s="549">
        <v>100</v>
      </c>
      <c r="Q4260" s="549">
        <v>74133.08</v>
      </c>
    </row>
    <row r="4261" spans="1:17" x14ac:dyDescent="0.25">
      <c r="A4261" s="549" t="s">
        <v>1018</v>
      </c>
      <c r="B4261" s="549" t="s">
        <v>1019</v>
      </c>
      <c r="C4261" s="549" t="s">
        <v>811</v>
      </c>
      <c r="D4261" s="549" t="s">
        <v>812</v>
      </c>
      <c r="E4261" s="549" t="s">
        <v>977</v>
      </c>
      <c r="F4261" s="549" t="s">
        <v>1537</v>
      </c>
      <c r="G4261" s="549" t="s">
        <v>1541</v>
      </c>
      <c r="H4261" s="549" t="s">
        <v>811</v>
      </c>
      <c r="I4261" s="549" t="s">
        <v>976</v>
      </c>
      <c r="J4261" s="549" t="s">
        <v>976</v>
      </c>
      <c r="L4261" s="549">
        <v>759560.22</v>
      </c>
      <c r="M4261" s="549">
        <v>57346.8</v>
      </c>
      <c r="N4261" s="549">
        <v>16786.28</v>
      </c>
      <c r="P4261" s="549">
        <v>100</v>
      </c>
      <c r="Q4261" s="549">
        <v>74133.08</v>
      </c>
    </row>
    <row r="4262" spans="1:17" x14ac:dyDescent="0.25">
      <c r="A4262" s="549" t="s">
        <v>1018</v>
      </c>
      <c r="B4262" s="549" t="s">
        <v>1019</v>
      </c>
      <c r="C4262" s="549" t="s">
        <v>821</v>
      </c>
      <c r="D4262" s="549" t="s">
        <v>822</v>
      </c>
      <c r="E4262" s="549" t="s">
        <v>977</v>
      </c>
      <c r="F4262" s="549" t="s">
        <v>1537</v>
      </c>
      <c r="G4262" s="549" t="s">
        <v>1540</v>
      </c>
      <c r="H4262" s="549" t="s">
        <v>821</v>
      </c>
      <c r="I4262" s="549" t="s">
        <v>976</v>
      </c>
      <c r="J4262" s="549" t="s">
        <v>976</v>
      </c>
      <c r="L4262" s="549">
        <v>1076830.06</v>
      </c>
      <c r="M4262" s="549">
        <v>81300.67</v>
      </c>
      <c r="N4262" s="549">
        <v>23797.94</v>
      </c>
      <c r="P4262" s="549">
        <v>100</v>
      </c>
      <c r="Q4262" s="549">
        <v>105098.61</v>
      </c>
    </row>
    <row r="4263" spans="1:17" x14ac:dyDescent="0.25">
      <c r="A4263" s="549" t="s">
        <v>1018</v>
      </c>
      <c r="B4263" s="549" t="s">
        <v>1019</v>
      </c>
      <c r="C4263" s="549" t="s">
        <v>821</v>
      </c>
      <c r="D4263" s="549" t="s">
        <v>822</v>
      </c>
      <c r="E4263" s="549" t="s">
        <v>977</v>
      </c>
      <c r="F4263" s="549" t="s">
        <v>1537</v>
      </c>
      <c r="G4263" s="549" t="s">
        <v>1541</v>
      </c>
      <c r="H4263" s="549" t="s">
        <v>821</v>
      </c>
      <c r="I4263" s="549" t="s">
        <v>976</v>
      </c>
      <c r="J4263" s="549" t="s">
        <v>976</v>
      </c>
      <c r="L4263" s="549">
        <v>1182476.01</v>
      </c>
      <c r="M4263" s="549">
        <v>89276.94</v>
      </c>
      <c r="N4263" s="549">
        <v>26132.720000000001</v>
      </c>
      <c r="P4263" s="549">
        <v>100</v>
      </c>
      <c r="Q4263" s="549">
        <v>115409.66</v>
      </c>
    </row>
    <row r="4264" spans="1:17" x14ac:dyDescent="0.25">
      <c r="A4264" s="549" t="s">
        <v>1018</v>
      </c>
      <c r="B4264" s="549" t="s">
        <v>1019</v>
      </c>
      <c r="C4264" s="549" t="s">
        <v>823</v>
      </c>
      <c r="D4264" s="549" t="s">
        <v>824</v>
      </c>
      <c r="E4264" s="549" t="s">
        <v>973</v>
      </c>
      <c r="F4264" s="549" t="s">
        <v>1537</v>
      </c>
      <c r="G4264" s="549" t="s">
        <v>1541</v>
      </c>
      <c r="H4264" s="549" t="s">
        <v>823</v>
      </c>
      <c r="I4264" s="549" t="s">
        <v>976</v>
      </c>
      <c r="J4264" s="549" t="s">
        <v>976</v>
      </c>
      <c r="L4264" s="549">
        <v>1437056.38</v>
      </c>
      <c r="M4264" s="549">
        <v>108497.76</v>
      </c>
      <c r="N4264" s="549">
        <v>82487.039999999994</v>
      </c>
      <c r="P4264" s="549">
        <v>0</v>
      </c>
      <c r="Q4264" s="549">
        <v>0</v>
      </c>
    </row>
    <row r="4265" spans="1:17" x14ac:dyDescent="0.25">
      <c r="A4265" s="549" t="s">
        <v>1018</v>
      </c>
      <c r="B4265" s="549" t="s">
        <v>1019</v>
      </c>
      <c r="C4265" s="549" t="s">
        <v>823</v>
      </c>
      <c r="D4265" s="549" t="s">
        <v>824</v>
      </c>
      <c r="E4265" s="549" t="s">
        <v>973</v>
      </c>
      <c r="F4265" s="549" t="s">
        <v>1537</v>
      </c>
      <c r="G4265" s="549" t="s">
        <v>1544</v>
      </c>
      <c r="H4265" s="549" t="s">
        <v>823</v>
      </c>
      <c r="I4265" s="549" t="s">
        <v>976</v>
      </c>
      <c r="J4265" s="549" t="s">
        <v>976</v>
      </c>
      <c r="L4265" s="549">
        <v>894207.9</v>
      </c>
      <c r="M4265" s="549">
        <v>67512.7</v>
      </c>
      <c r="N4265" s="549">
        <v>51327.53</v>
      </c>
      <c r="P4265" s="549">
        <v>0</v>
      </c>
      <c r="Q4265" s="549">
        <v>0</v>
      </c>
    </row>
    <row r="4266" spans="1:17" x14ac:dyDescent="0.25">
      <c r="A4266" s="549" t="s">
        <v>1018</v>
      </c>
      <c r="B4266" s="549" t="s">
        <v>1019</v>
      </c>
      <c r="C4266" s="549" t="s">
        <v>823</v>
      </c>
      <c r="D4266" s="549" t="s">
        <v>824</v>
      </c>
      <c r="E4266" s="549" t="s">
        <v>973</v>
      </c>
      <c r="F4266" s="549" t="s">
        <v>1537</v>
      </c>
      <c r="G4266" s="549" t="s">
        <v>1545</v>
      </c>
      <c r="H4266" s="549" t="s">
        <v>823</v>
      </c>
      <c r="I4266" s="549" t="s">
        <v>976</v>
      </c>
      <c r="J4266" s="549" t="s">
        <v>976</v>
      </c>
      <c r="L4266" s="549">
        <v>894207.9</v>
      </c>
      <c r="M4266" s="549">
        <v>67512.7</v>
      </c>
      <c r="N4266" s="549">
        <v>51327.53</v>
      </c>
      <c r="P4266" s="549">
        <v>0</v>
      </c>
      <c r="Q4266" s="549">
        <v>0</v>
      </c>
    </row>
    <row r="4267" spans="1:17" x14ac:dyDescent="0.25">
      <c r="A4267" s="549" t="s">
        <v>1018</v>
      </c>
      <c r="B4267" s="549" t="s">
        <v>1019</v>
      </c>
      <c r="C4267" s="549" t="s">
        <v>823</v>
      </c>
      <c r="D4267" s="549" t="s">
        <v>824</v>
      </c>
      <c r="E4267" s="549" t="s">
        <v>973</v>
      </c>
      <c r="F4267" s="549" t="s">
        <v>1537</v>
      </c>
      <c r="G4267" s="549" t="s">
        <v>1542</v>
      </c>
      <c r="H4267" s="549" t="s">
        <v>823</v>
      </c>
      <c r="I4267" s="549" t="s">
        <v>976</v>
      </c>
      <c r="J4267" s="549" t="s">
        <v>976</v>
      </c>
      <c r="L4267" s="549">
        <v>1437056.38</v>
      </c>
      <c r="M4267" s="549">
        <v>108497.76</v>
      </c>
      <c r="N4267" s="549">
        <v>82487.039999999994</v>
      </c>
      <c r="P4267" s="549">
        <v>0</v>
      </c>
      <c r="Q4267" s="549">
        <v>0</v>
      </c>
    </row>
    <row r="4268" spans="1:17" x14ac:dyDescent="0.25">
      <c r="A4268" s="549" t="s">
        <v>1018</v>
      </c>
      <c r="B4268" s="549" t="s">
        <v>1019</v>
      </c>
      <c r="C4268" s="549" t="s">
        <v>823</v>
      </c>
      <c r="D4268" s="549" t="s">
        <v>824</v>
      </c>
      <c r="E4268" s="549" t="s">
        <v>977</v>
      </c>
      <c r="F4268" s="549" t="s">
        <v>1537</v>
      </c>
      <c r="G4268" s="549" t="s">
        <v>1541</v>
      </c>
      <c r="H4268" s="549" t="s">
        <v>823</v>
      </c>
      <c r="I4268" s="549" t="s">
        <v>976</v>
      </c>
      <c r="J4268" s="549" t="s">
        <v>976</v>
      </c>
      <c r="L4268" s="549">
        <v>1437056.38</v>
      </c>
      <c r="M4268" s="549">
        <v>108497.76</v>
      </c>
      <c r="N4268" s="549">
        <v>31758.95</v>
      </c>
      <c r="P4268" s="549">
        <v>100</v>
      </c>
      <c r="Q4268" s="549">
        <v>140256.71</v>
      </c>
    </row>
    <row r="4269" spans="1:17" x14ac:dyDescent="0.25">
      <c r="A4269" s="549" t="s">
        <v>1018</v>
      </c>
      <c r="B4269" s="549" t="s">
        <v>1019</v>
      </c>
      <c r="C4269" s="549" t="s">
        <v>823</v>
      </c>
      <c r="D4269" s="549" t="s">
        <v>824</v>
      </c>
      <c r="E4269" s="549" t="s">
        <v>977</v>
      </c>
      <c r="F4269" s="549" t="s">
        <v>1537</v>
      </c>
      <c r="G4269" s="549" t="s">
        <v>1544</v>
      </c>
      <c r="H4269" s="549" t="s">
        <v>823</v>
      </c>
      <c r="I4269" s="549" t="s">
        <v>976</v>
      </c>
      <c r="J4269" s="549" t="s">
        <v>976</v>
      </c>
      <c r="L4269" s="549">
        <v>894207.9</v>
      </c>
      <c r="M4269" s="549">
        <v>67512.7</v>
      </c>
      <c r="N4269" s="549">
        <v>19761.990000000002</v>
      </c>
      <c r="P4269" s="549">
        <v>100</v>
      </c>
      <c r="Q4269" s="549">
        <v>87274.69</v>
      </c>
    </row>
    <row r="4270" spans="1:17" x14ac:dyDescent="0.25">
      <c r="A4270" s="549" t="s">
        <v>1018</v>
      </c>
      <c r="B4270" s="549" t="s">
        <v>1019</v>
      </c>
      <c r="C4270" s="549" t="s">
        <v>823</v>
      </c>
      <c r="D4270" s="549" t="s">
        <v>824</v>
      </c>
      <c r="E4270" s="549" t="s">
        <v>977</v>
      </c>
      <c r="F4270" s="549" t="s">
        <v>1537</v>
      </c>
      <c r="G4270" s="549" t="s">
        <v>1545</v>
      </c>
      <c r="H4270" s="549" t="s">
        <v>823</v>
      </c>
      <c r="I4270" s="549" t="s">
        <v>976</v>
      </c>
      <c r="J4270" s="549" t="s">
        <v>976</v>
      </c>
      <c r="L4270" s="549">
        <v>894207.9</v>
      </c>
      <c r="M4270" s="549">
        <v>67512.7</v>
      </c>
      <c r="N4270" s="549">
        <v>19761.990000000002</v>
      </c>
      <c r="P4270" s="549">
        <v>100</v>
      </c>
      <c r="Q4270" s="549">
        <v>87274.69</v>
      </c>
    </row>
    <row r="4271" spans="1:17" x14ac:dyDescent="0.25">
      <c r="A4271" s="549" t="s">
        <v>1018</v>
      </c>
      <c r="B4271" s="549" t="s">
        <v>1019</v>
      </c>
      <c r="C4271" s="549" t="s">
        <v>823</v>
      </c>
      <c r="D4271" s="549" t="s">
        <v>824</v>
      </c>
      <c r="E4271" s="549" t="s">
        <v>977</v>
      </c>
      <c r="F4271" s="549" t="s">
        <v>1537</v>
      </c>
      <c r="G4271" s="549" t="s">
        <v>1542</v>
      </c>
      <c r="H4271" s="549" t="s">
        <v>823</v>
      </c>
      <c r="I4271" s="549" t="s">
        <v>976</v>
      </c>
      <c r="J4271" s="549" t="s">
        <v>976</v>
      </c>
      <c r="L4271" s="549">
        <v>1437056.38</v>
      </c>
      <c r="M4271" s="549">
        <v>108497.76</v>
      </c>
      <c r="N4271" s="549">
        <v>31758.95</v>
      </c>
      <c r="P4271" s="549">
        <v>100</v>
      </c>
      <c r="Q4271" s="549">
        <v>140256.71</v>
      </c>
    </row>
    <row r="4272" spans="1:17" x14ac:dyDescent="0.25">
      <c r="A4272" s="549" t="s">
        <v>1018</v>
      </c>
      <c r="B4272" s="549" t="s">
        <v>1019</v>
      </c>
      <c r="C4272" s="549" t="s">
        <v>507</v>
      </c>
      <c r="D4272" s="549" t="s">
        <v>816</v>
      </c>
      <c r="E4272" s="549" t="s">
        <v>973</v>
      </c>
      <c r="F4272" s="549" t="s">
        <v>1537</v>
      </c>
      <c r="G4272" s="549" t="s">
        <v>1555</v>
      </c>
      <c r="H4272" s="549" t="s">
        <v>507</v>
      </c>
      <c r="I4272" s="549" t="s">
        <v>976</v>
      </c>
      <c r="J4272" s="549" t="s">
        <v>976</v>
      </c>
      <c r="L4272" s="549">
        <v>3155100.42</v>
      </c>
      <c r="M4272" s="549">
        <v>238210.08</v>
      </c>
      <c r="N4272" s="549">
        <v>181102.76</v>
      </c>
      <c r="P4272" s="549">
        <v>65.73</v>
      </c>
      <c r="Q4272" s="549">
        <v>275614.33</v>
      </c>
    </row>
    <row r="4273" spans="1:17" x14ac:dyDescent="0.25">
      <c r="A4273" s="549" t="s">
        <v>1018</v>
      </c>
      <c r="B4273" s="549" t="s">
        <v>1019</v>
      </c>
      <c r="C4273" s="549" t="s">
        <v>507</v>
      </c>
      <c r="D4273" s="549" t="s">
        <v>816</v>
      </c>
      <c r="E4273" s="549" t="s">
        <v>973</v>
      </c>
      <c r="F4273" s="549" t="s">
        <v>1537</v>
      </c>
      <c r="G4273" s="549" t="s">
        <v>1556</v>
      </c>
      <c r="H4273" s="549" t="s">
        <v>507</v>
      </c>
      <c r="I4273" s="549" t="s">
        <v>976</v>
      </c>
      <c r="J4273" s="549" t="s">
        <v>976</v>
      </c>
      <c r="L4273" s="549">
        <v>2306150.94</v>
      </c>
      <c r="M4273" s="549">
        <v>174114.4</v>
      </c>
      <c r="N4273" s="549">
        <v>132373.06</v>
      </c>
      <c r="P4273" s="549">
        <v>65.73</v>
      </c>
      <c r="Q4273" s="549">
        <v>201454.21</v>
      </c>
    </row>
    <row r="4274" spans="1:17" x14ac:dyDescent="0.25">
      <c r="A4274" s="549" t="s">
        <v>1018</v>
      </c>
      <c r="B4274" s="549" t="s">
        <v>1019</v>
      </c>
      <c r="C4274" s="549" t="s">
        <v>507</v>
      </c>
      <c r="D4274" s="549" t="s">
        <v>816</v>
      </c>
      <c r="E4274" s="549" t="s">
        <v>977</v>
      </c>
      <c r="F4274" s="549" t="s">
        <v>1537</v>
      </c>
      <c r="G4274" s="549" t="s">
        <v>1555</v>
      </c>
      <c r="H4274" s="549" t="s">
        <v>507</v>
      </c>
      <c r="I4274" s="549" t="s">
        <v>976</v>
      </c>
      <c r="J4274" s="549" t="s">
        <v>976</v>
      </c>
      <c r="L4274" s="549">
        <v>3155100.42</v>
      </c>
      <c r="M4274" s="549">
        <v>238210.08</v>
      </c>
      <c r="N4274" s="549">
        <v>69727.72</v>
      </c>
      <c r="P4274" s="549">
        <v>34.270000000000003</v>
      </c>
      <c r="Q4274" s="549">
        <v>105530.28</v>
      </c>
    </row>
    <row r="4275" spans="1:17" x14ac:dyDescent="0.25">
      <c r="A4275" s="549" t="s">
        <v>1018</v>
      </c>
      <c r="B4275" s="549" t="s">
        <v>1019</v>
      </c>
      <c r="C4275" s="549" t="s">
        <v>507</v>
      </c>
      <c r="D4275" s="549" t="s">
        <v>816</v>
      </c>
      <c r="E4275" s="549" t="s">
        <v>977</v>
      </c>
      <c r="F4275" s="549" t="s">
        <v>1537</v>
      </c>
      <c r="G4275" s="549" t="s">
        <v>1556</v>
      </c>
      <c r="H4275" s="549" t="s">
        <v>507</v>
      </c>
      <c r="I4275" s="549" t="s">
        <v>976</v>
      </c>
      <c r="J4275" s="549" t="s">
        <v>976</v>
      </c>
      <c r="L4275" s="549">
        <v>2306150.94</v>
      </c>
      <c r="M4275" s="549">
        <v>174114.4</v>
      </c>
      <c r="N4275" s="549">
        <v>50965.94</v>
      </c>
      <c r="P4275" s="549">
        <v>34.270000000000003</v>
      </c>
      <c r="Q4275" s="549">
        <v>77135.03</v>
      </c>
    </row>
    <row r="4276" spans="1:17" x14ac:dyDescent="0.25">
      <c r="A4276" s="549" t="s">
        <v>1018</v>
      </c>
      <c r="B4276" s="549" t="s">
        <v>1019</v>
      </c>
      <c r="C4276" s="549" t="s">
        <v>819</v>
      </c>
      <c r="D4276" s="549" t="s">
        <v>820</v>
      </c>
      <c r="E4276" s="549" t="s">
        <v>977</v>
      </c>
      <c r="F4276" s="549" t="s">
        <v>1537</v>
      </c>
      <c r="G4276" s="549" t="s">
        <v>1544</v>
      </c>
      <c r="H4276" s="549" t="s">
        <v>819</v>
      </c>
      <c r="I4276" s="549" t="s">
        <v>976</v>
      </c>
      <c r="J4276" s="549" t="s">
        <v>976</v>
      </c>
      <c r="L4276" s="549">
        <v>2477780.5299999998</v>
      </c>
      <c r="M4276" s="549">
        <v>187072.43</v>
      </c>
      <c r="N4276" s="549">
        <v>54758.95</v>
      </c>
      <c r="P4276" s="549">
        <v>100</v>
      </c>
      <c r="Q4276" s="549">
        <v>241831.38</v>
      </c>
    </row>
    <row r="4277" spans="1:17" x14ac:dyDescent="0.25">
      <c r="A4277" s="549" t="s">
        <v>1018</v>
      </c>
      <c r="B4277" s="549" t="s">
        <v>1019</v>
      </c>
      <c r="C4277" s="549" t="s">
        <v>819</v>
      </c>
      <c r="D4277" s="549" t="s">
        <v>820</v>
      </c>
      <c r="E4277" s="549" t="s">
        <v>977</v>
      </c>
      <c r="F4277" s="549" t="s">
        <v>1537</v>
      </c>
      <c r="G4277" s="549" t="s">
        <v>1545</v>
      </c>
      <c r="H4277" s="549" t="s">
        <v>819</v>
      </c>
      <c r="I4277" s="549" t="s">
        <v>976</v>
      </c>
      <c r="J4277" s="549" t="s">
        <v>976</v>
      </c>
      <c r="L4277" s="549">
        <v>2477780.5299999998</v>
      </c>
      <c r="M4277" s="549">
        <v>187072.43</v>
      </c>
      <c r="N4277" s="549">
        <v>54758.95</v>
      </c>
      <c r="P4277" s="549">
        <v>100</v>
      </c>
      <c r="Q4277" s="549">
        <v>241831.38</v>
      </c>
    </row>
    <row r="4278" spans="1:17" x14ac:dyDescent="0.25">
      <c r="A4278" s="549" t="s">
        <v>1174</v>
      </c>
      <c r="B4278" s="549" t="s">
        <v>574</v>
      </c>
      <c r="C4278" s="549" t="s">
        <v>515</v>
      </c>
      <c r="D4278" s="549" t="s">
        <v>675</v>
      </c>
      <c r="E4278" s="549" t="s">
        <v>973</v>
      </c>
      <c r="F4278" s="549" t="s">
        <v>1537</v>
      </c>
      <c r="G4278" s="549" t="s">
        <v>1544</v>
      </c>
      <c r="H4278" s="549" t="s">
        <v>515</v>
      </c>
      <c r="I4278" s="549" t="s">
        <v>976</v>
      </c>
      <c r="J4278" s="549" t="s">
        <v>976</v>
      </c>
      <c r="L4278" s="549">
        <v>923321.28</v>
      </c>
      <c r="M4278" s="549">
        <v>69710.759999999995</v>
      </c>
      <c r="N4278" s="549">
        <v>52998.64</v>
      </c>
      <c r="P4278" s="549">
        <v>37.42</v>
      </c>
      <c r="Q4278" s="549">
        <v>45917.86</v>
      </c>
    </row>
    <row r="4279" spans="1:17" x14ac:dyDescent="0.25">
      <c r="A4279" s="549" t="s">
        <v>1174</v>
      </c>
      <c r="B4279" s="549" t="s">
        <v>574</v>
      </c>
      <c r="C4279" s="549" t="s">
        <v>515</v>
      </c>
      <c r="D4279" s="549" t="s">
        <v>675</v>
      </c>
      <c r="E4279" s="549" t="s">
        <v>973</v>
      </c>
      <c r="F4279" s="549" t="s">
        <v>1537</v>
      </c>
      <c r="G4279" s="549" t="s">
        <v>1545</v>
      </c>
      <c r="H4279" s="549" t="s">
        <v>515</v>
      </c>
      <c r="I4279" s="549" t="s">
        <v>976</v>
      </c>
      <c r="J4279" s="549" t="s">
        <v>976</v>
      </c>
      <c r="L4279" s="549">
        <v>1201855.67</v>
      </c>
      <c r="M4279" s="549">
        <v>90740.1</v>
      </c>
      <c r="N4279" s="549">
        <v>68986.52</v>
      </c>
      <c r="P4279" s="549">
        <v>37.42</v>
      </c>
      <c r="Q4279" s="549">
        <v>59769.7</v>
      </c>
    </row>
    <row r="4280" spans="1:17" x14ac:dyDescent="0.25">
      <c r="A4280" s="549" t="s">
        <v>1174</v>
      </c>
      <c r="B4280" s="549" t="s">
        <v>574</v>
      </c>
      <c r="C4280" s="549" t="s">
        <v>515</v>
      </c>
      <c r="D4280" s="549" t="s">
        <v>675</v>
      </c>
      <c r="E4280" s="549" t="s">
        <v>977</v>
      </c>
      <c r="F4280" s="549" t="s">
        <v>1537</v>
      </c>
      <c r="G4280" s="549" t="s">
        <v>1544</v>
      </c>
      <c r="H4280" s="549" t="s">
        <v>515</v>
      </c>
      <c r="I4280" s="549" t="s">
        <v>976</v>
      </c>
      <c r="J4280" s="549" t="s">
        <v>976</v>
      </c>
      <c r="L4280" s="549">
        <v>923321.28</v>
      </c>
      <c r="M4280" s="549">
        <v>69710.759999999995</v>
      </c>
      <c r="N4280" s="549">
        <v>20405.400000000001</v>
      </c>
      <c r="P4280" s="549">
        <v>62.58</v>
      </c>
      <c r="Q4280" s="549">
        <v>56394.69</v>
      </c>
    </row>
    <row r="4281" spans="1:17" x14ac:dyDescent="0.25">
      <c r="A4281" s="549" t="s">
        <v>1174</v>
      </c>
      <c r="B4281" s="549" t="s">
        <v>574</v>
      </c>
      <c r="C4281" s="549" t="s">
        <v>515</v>
      </c>
      <c r="D4281" s="549" t="s">
        <v>675</v>
      </c>
      <c r="E4281" s="549" t="s">
        <v>977</v>
      </c>
      <c r="F4281" s="549" t="s">
        <v>1537</v>
      </c>
      <c r="G4281" s="549" t="s">
        <v>1545</v>
      </c>
      <c r="H4281" s="549" t="s">
        <v>515</v>
      </c>
      <c r="I4281" s="549" t="s">
        <v>976</v>
      </c>
      <c r="J4281" s="549" t="s">
        <v>976</v>
      </c>
      <c r="L4281" s="549">
        <v>1201855.67</v>
      </c>
      <c r="M4281" s="549">
        <v>90740.1</v>
      </c>
      <c r="N4281" s="549">
        <v>26561.01</v>
      </c>
      <c r="P4281" s="549">
        <v>62.58</v>
      </c>
      <c r="Q4281" s="549">
        <v>73407.03</v>
      </c>
    </row>
    <row r="4282" spans="1:17" x14ac:dyDescent="0.25">
      <c r="A4282" s="549" t="s">
        <v>1174</v>
      </c>
      <c r="B4282" s="549" t="s">
        <v>574</v>
      </c>
      <c r="C4282" s="549" t="s">
        <v>676</v>
      </c>
      <c r="D4282" s="549" t="s">
        <v>466</v>
      </c>
      <c r="E4282" s="549" t="s">
        <v>977</v>
      </c>
      <c r="F4282" s="549" t="s">
        <v>1537</v>
      </c>
      <c r="G4282" s="549" t="s">
        <v>1544</v>
      </c>
      <c r="H4282" s="549" t="s">
        <v>676</v>
      </c>
      <c r="I4282" s="549" t="s">
        <v>976</v>
      </c>
      <c r="J4282" s="549" t="s">
        <v>976</v>
      </c>
      <c r="L4282" s="549">
        <v>1382400.03</v>
      </c>
      <c r="M4282" s="549">
        <v>104371.2</v>
      </c>
      <c r="N4282" s="549">
        <v>30551.040000000001</v>
      </c>
      <c r="P4282" s="549">
        <v>100</v>
      </c>
      <c r="Q4282" s="549">
        <v>134922.23999999999</v>
      </c>
    </row>
    <row r="4283" spans="1:17" x14ac:dyDescent="0.25">
      <c r="A4283" s="549" t="s">
        <v>1174</v>
      </c>
      <c r="B4283" s="549" t="s">
        <v>574</v>
      </c>
      <c r="C4283" s="549" t="s">
        <v>676</v>
      </c>
      <c r="D4283" s="549" t="s">
        <v>466</v>
      </c>
      <c r="E4283" s="549" t="s">
        <v>977</v>
      </c>
      <c r="F4283" s="549" t="s">
        <v>1537</v>
      </c>
      <c r="G4283" s="549" t="s">
        <v>1545</v>
      </c>
      <c r="H4283" s="549" t="s">
        <v>676</v>
      </c>
      <c r="I4283" s="549" t="s">
        <v>976</v>
      </c>
      <c r="J4283" s="549" t="s">
        <v>976</v>
      </c>
      <c r="L4283" s="549">
        <v>1382400.03</v>
      </c>
      <c r="M4283" s="549">
        <v>104371.2</v>
      </c>
      <c r="N4283" s="549">
        <v>30551.040000000001</v>
      </c>
      <c r="P4283" s="549">
        <v>100</v>
      </c>
      <c r="Q4283" s="549">
        <v>134922.23999999999</v>
      </c>
    </row>
    <row r="4284" spans="1:17" x14ac:dyDescent="0.25">
      <c r="A4284" s="549" t="s">
        <v>1023</v>
      </c>
      <c r="B4284" s="549" t="s">
        <v>1024</v>
      </c>
      <c r="C4284" s="549" t="s">
        <v>684</v>
      </c>
      <c r="D4284" s="549" t="s">
        <v>685</v>
      </c>
      <c r="E4284" s="549" t="s">
        <v>973</v>
      </c>
      <c r="F4284" s="549" t="s">
        <v>1537</v>
      </c>
      <c r="G4284" s="549" t="s">
        <v>1548</v>
      </c>
      <c r="H4284" s="549" t="s">
        <v>684</v>
      </c>
      <c r="I4284" s="549" t="s">
        <v>1096</v>
      </c>
      <c r="J4284" s="549" t="s">
        <v>1096</v>
      </c>
      <c r="L4284" s="549">
        <v>1758487.83</v>
      </c>
      <c r="M4284" s="549">
        <v>0</v>
      </c>
      <c r="N4284" s="549">
        <v>0</v>
      </c>
      <c r="P4284" s="549">
        <v>80.36</v>
      </c>
      <c r="Q4284" s="549">
        <v>0</v>
      </c>
    </row>
    <row r="4285" spans="1:17" x14ac:dyDescent="0.25">
      <c r="A4285" s="549" t="s">
        <v>1023</v>
      </c>
      <c r="B4285" s="549" t="s">
        <v>1024</v>
      </c>
      <c r="C4285" s="549" t="s">
        <v>684</v>
      </c>
      <c r="D4285" s="549" t="s">
        <v>685</v>
      </c>
      <c r="E4285" s="549" t="s">
        <v>973</v>
      </c>
      <c r="F4285" s="549" t="s">
        <v>1537</v>
      </c>
      <c r="G4285" s="549" t="s">
        <v>1551</v>
      </c>
      <c r="H4285" s="549" t="s">
        <v>684</v>
      </c>
      <c r="I4285" s="549" t="s">
        <v>1096</v>
      </c>
      <c r="J4285" s="549" t="s">
        <v>1096</v>
      </c>
      <c r="L4285" s="549">
        <v>1758487.83</v>
      </c>
      <c r="M4285" s="549">
        <v>0</v>
      </c>
      <c r="N4285" s="549">
        <v>0</v>
      </c>
      <c r="P4285" s="549">
        <v>80.36</v>
      </c>
      <c r="Q4285" s="549">
        <v>0</v>
      </c>
    </row>
    <row r="4286" spans="1:17" x14ac:dyDescent="0.25">
      <c r="A4286" s="549" t="s">
        <v>1023</v>
      </c>
      <c r="B4286" s="549" t="s">
        <v>1024</v>
      </c>
      <c r="C4286" s="549" t="s">
        <v>684</v>
      </c>
      <c r="D4286" s="549" t="s">
        <v>685</v>
      </c>
      <c r="E4286" s="549" t="s">
        <v>977</v>
      </c>
      <c r="F4286" s="549" t="s">
        <v>1537</v>
      </c>
      <c r="G4286" s="549" t="s">
        <v>1548</v>
      </c>
      <c r="H4286" s="549" t="s">
        <v>684</v>
      </c>
      <c r="I4286" s="549" t="s">
        <v>1096</v>
      </c>
      <c r="J4286" s="549" t="s">
        <v>1096</v>
      </c>
      <c r="L4286" s="549">
        <v>1758487.83</v>
      </c>
      <c r="M4286" s="549">
        <v>0</v>
      </c>
      <c r="N4286" s="549">
        <v>0</v>
      </c>
      <c r="P4286" s="549">
        <v>19.64</v>
      </c>
      <c r="Q4286" s="549">
        <v>0</v>
      </c>
    </row>
    <row r="4287" spans="1:17" x14ac:dyDescent="0.25">
      <c r="A4287" s="549" t="s">
        <v>1023</v>
      </c>
      <c r="B4287" s="549" t="s">
        <v>1024</v>
      </c>
      <c r="C4287" s="549" t="s">
        <v>684</v>
      </c>
      <c r="D4287" s="549" t="s">
        <v>685</v>
      </c>
      <c r="E4287" s="549" t="s">
        <v>977</v>
      </c>
      <c r="F4287" s="549" t="s">
        <v>1537</v>
      </c>
      <c r="G4287" s="549" t="s">
        <v>1551</v>
      </c>
      <c r="H4287" s="549" t="s">
        <v>684</v>
      </c>
      <c r="I4287" s="549" t="s">
        <v>1096</v>
      </c>
      <c r="J4287" s="549" t="s">
        <v>1096</v>
      </c>
      <c r="L4287" s="549">
        <v>1758487.83</v>
      </c>
      <c r="M4287" s="549">
        <v>0</v>
      </c>
      <c r="N4287" s="549">
        <v>0</v>
      </c>
      <c r="P4287" s="549">
        <v>19.64</v>
      </c>
      <c r="Q4287" s="549">
        <v>0</v>
      </c>
    </row>
    <row r="4288" spans="1:17" x14ac:dyDescent="0.25">
      <c r="A4288" s="549" t="s">
        <v>1023</v>
      </c>
      <c r="B4288" s="549" t="s">
        <v>1024</v>
      </c>
      <c r="C4288" s="549" t="s">
        <v>228</v>
      </c>
      <c r="D4288" s="549" t="s">
        <v>683</v>
      </c>
      <c r="E4288" s="549" t="s">
        <v>973</v>
      </c>
      <c r="F4288" s="549" t="s">
        <v>1537</v>
      </c>
      <c r="G4288" s="549" t="s">
        <v>1540</v>
      </c>
      <c r="H4288" s="549" t="s">
        <v>228</v>
      </c>
      <c r="I4288" s="549" t="s">
        <v>976</v>
      </c>
      <c r="J4288" s="549" t="s">
        <v>976</v>
      </c>
      <c r="L4288" s="549">
        <v>911741.39</v>
      </c>
      <c r="M4288" s="549">
        <v>68836.47</v>
      </c>
      <c r="N4288" s="549">
        <v>52333.96</v>
      </c>
      <c r="P4288" s="549">
        <v>1.21</v>
      </c>
      <c r="Q4288" s="549">
        <v>1466.16</v>
      </c>
    </row>
    <row r="4289" spans="1:17" x14ac:dyDescent="0.25">
      <c r="A4289" s="549" t="s">
        <v>1023</v>
      </c>
      <c r="B4289" s="549" t="s">
        <v>1024</v>
      </c>
      <c r="C4289" s="549" t="s">
        <v>228</v>
      </c>
      <c r="D4289" s="549" t="s">
        <v>683</v>
      </c>
      <c r="E4289" s="549" t="s">
        <v>973</v>
      </c>
      <c r="F4289" s="549" t="s">
        <v>1537</v>
      </c>
      <c r="G4289" s="549" t="s">
        <v>1541</v>
      </c>
      <c r="H4289" s="549" t="s">
        <v>228</v>
      </c>
      <c r="I4289" s="549" t="s">
        <v>976</v>
      </c>
      <c r="J4289" s="549" t="s">
        <v>976</v>
      </c>
      <c r="L4289" s="549">
        <v>911741.39</v>
      </c>
      <c r="M4289" s="549">
        <v>68836.47</v>
      </c>
      <c r="N4289" s="549">
        <v>52333.96</v>
      </c>
      <c r="P4289" s="549">
        <v>1.21</v>
      </c>
      <c r="Q4289" s="549">
        <v>1466.16</v>
      </c>
    </row>
    <row r="4290" spans="1:17" x14ac:dyDescent="0.25">
      <c r="A4290" s="549" t="s">
        <v>1023</v>
      </c>
      <c r="B4290" s="549" t="s">
        <v>1024</v>
      </c>
      <c r="C4290" s="549" t="s">
        <v>228</v>
      </c>
      <c r="D4290" s="549" t="s">
        <v>683</v>
      </c>
      <c r="E4290" s="549" t="s">
        <v>977</v>
      </c>
      <c r="F4290" s="549" t="s">
        <v>1537</v>
      </c>
      <c r="G4290" s="549" t="s">
        <v>1540</v>
      </c>
      <c r="H4290" s="549" t="s">
        <v>228</v>
      </c>
      <c r="I4290" s="549" t="s">
        <v>976</v>
      </c>
      <c r="J4290" s="549" t="s">
        <v>976</v>
      </c>
      <c r="L4290" s="549">
        <v>911741.39</v>
      </c>
      <c r="M4290" s="549">
        <v>68836.47</v>
      </c>
      <c r="N4290" s="549">
        <v>20149.48</v>
      </c>
      <c r="P4290" s="549">
        <v>98.79</v>
      </c>
      <c r="Q4290" s="549">
        <v>87909.22</v>
      </c>
    </row>
    <row r="4291" spans="1:17" x14ac:dyDescent="0.25">
      <c r="A4291" s="549" t="s">
        <v>1023</v>
      </c>
      <c r="B4291" s="549" t="s">
        <v>1024</v>
      </c>
      <c r="C4291" s="549" t="s">
        <v>228</v>
      </c>
      <c r="D4291" s="549" t="s">
        <v>683</v>
      </c>
      <c r="E4291" s="549" t="s">
        <v>977</v>
      </c>
      <c r="F4291" s="549" t="s">
        <v>1537</v>
      </c>
      <c r="G4291" s="549" t="s">
        <v>1541</v>
      </c>
      <c r="H4291" s="549" t="s">
        <v>228</v>
      </c>
      <c r="I4291" s="549" t="s">
        <v>976</v>
      </c>
      <c r="J4291" s="549" t="s">
        <v>976</v>
      </c>
      <c r="L4291" s="549">
        <v>911741.39</v>
      </c>
      <c r="M4291" s="549">
        <v>68836.47</v>
      </c>
      <c r="N4291" s="549">
        <v>20149.48</v>
      </c>
      <c r="P4291" s="549">
        <v>98.79</v>
      </c>
      <c r="Q4291" s="549">
        <v>87909.22</v>
      </c>
    </row>
    <row r="4292" spans="1:17" x14ac:dyDescent="0.25">
      <c r="A4292" s="549" t="s">
        <v>1023</v>
      </c>
      <c r="B4292" s="549" t="s">
        <v>1024</v>
      </c>
      <c r="C4292" s="549" t="s">
        <v>681</v>
      </c>
      <c r="D4292" s="549" t="s">
        <v>682</v>
      </c>
      <c r="E4292" s="549" t="s">
        <v>977</v>
      </c>
      <c r="F4292" s="549" t="s">
        <v>1537</v>
      </c>
      <c r="G4292" s="549" t="s">
        <v>1540</v>
      </c>
      <c r="H4292" s="549" t="s">
        <v>681</v>
      </c>
      <c r="I4292" s="549" t="s">
        <v>976</v>
      </c>
      <c r="J4292" s="549" t="s">
        <v>976</v>
      </c>
      <c r="L4292" s="549">
        <v>252336.48</v>
      </c>
      <c r="M4292" s="549">
        <v>19051.400000000001</v>
      </c>
      <c r="N4292" s="549">
        <v>5576.64</v>
      </c>
      <c r="P4292" s="549">
        <v>100</v>
      </c>
      <c r="Q4292" s="549">
        <v>24628.04</v>
      </c>
    </row>
    <row r="4293" spans="1:17" x14ac:dyDescent="0.25">
      <c r="A4293" s="549" t="s">
        <v>1023</v>
      </c>
      <c r="B4293" s="549" t="s">
        <v>1024</v>
      </c>
      <c r="C4293" s="549" t="s">
        <v>681</v>
      </c>
      <c r="D4293" s="549" t="s">
        <v>682</v>
      </c>
      <c r="E4293" s="549" t="s">
        <v>977</v>
      </c>
      <c r="F4293" s="549" t="s">
        <v>1537</v>
      </c>
      <c r="G4293" s="549" t="s">
        <v>1540</v>
      </c>
      <c r="H4293" s="549" t="s">
        <v>679</v>
      </c>
      <c r="I4293" s="549" t="s">
        <v>976</v>
      </c>
      <c r="J4293" s="549" t="s">
        <v>976</v>
      </c>
      <c r="L4293" s="549">
        <v>1729265.03</v>
      </c>
      <c r="M4293" s="549">
        <v>130559.51</v>
      </c>
      <c r="N4293" s="549">
        <v>38216.76</v>
      </c>
      <c r="P4293" s="549">
        <v>13.7</v>
      </c>
      <c r="Q4293" s="549">
        <v>23122.35</v>
      </c>
    </row>
    <row r="4294" spans="1:17" x14ac:dyDescent="0.25">
      <c r="A4294" s="549" t="s">
        <v>1023</v>
      </c>
      <c r="B4294" s="549" t="s">
        <v>1024</v>
      </c>
      <c r="C4294" s="549" t="s">
        <v>681</v>
      </c>
      <c r="D4294" s="549" t="s">
        <v>682</v>
      </c>
      <c r="E4294" s="549" t="s">
        <v>977</v>
      </c>
      <c r="F4294" s="549" t="s">
        <v>1537</v>
      </c>
      <c r="G4294" s="549" t="s">
        <v>1541</v>
      </c>
      <c r="H4294" s="549" t="s">
        <v>679</v>
      </c>
      <c r="I4294" s="549" t="s">
        <v>976</v>
      </c>
      <c r="J4294" s="549" t="s">
        <v>976</v>
      </c>
      <c r="L4294" s="549">
        <v>1729265.03</v>
      </c>
      <c r="M4294" s="549">
        <v>130559.51</v>
      </c>
      <c r="N4294" s="549">
        <v>38216.76</v>
      </c>
      <c r="P4294" s="549">
        <v>13.7</v>
      </c>
      <c r="Q4294" s="549">
        <v>23122.35</v>
      </c>
    </row>
    <row r="4295" spans="1:17" x14ac:dyDescent="0.25">
      <c r="A4295" s="549" t="s">
        <v>1023</v>
      </c>
      <c r="B4295" s="549" t="s">
        <v>1024</v>
      </c>
      <c r="C4295" s="549" t="s">
        <v>681</v>
      </c>
      <c r="D4295" s="549" t="s">
        <v>682</v>
      </c>
      <c r="E4295" s="549" t="s">
        <v>977</v>
      </c>
      <c r="F4295" s="549" t="s">
        <v>1537</v>
      </c>
      <c r="G4295" s="549" t="s">
        <v>1542</v>
      </c>
      <c r="H4295" s="549" t="s">
        <v>679</v>
      </c>
      <c r="I4295" s="549" t="s">
        <v>976</v>
      </c>
      <c r="J4295" s="549" t="s">
        <v>976</v>
      </c>
      <c r="L4295" s="549">
        <v>502978.46</v>
      </c>
      <c r="M4295" s="549">
        <v>37974.870000000003</v>
      </c>
      <c r="N4295" s="549">
        <v>11115.82</v>
      </c>
      <c r="P4295" s="549">
        <v>100</v>
      </c>
      <c r="Q4295" s="549">
        <v>49090.69</v>
      </c>
    </row>
    <row r="4296" spans="1:17" x14ac:dyDescent="0.25">
      <c r="A4296" s="549" t="s">
        <v>1023</v>
      </c>
      <c r="B4296" s="549" t="s">
        <v>1024</v>
      </c>
      <c r="C4296" s="549" t="s">
        <v>679</v>
      </c>
      <c r="D4296" s="549" t="s">
        <v>680</v>
      </c>
      <c r="E4296" s="549" t="s">
        <v>977</v>
      </c>
      <c r="F4296" s="549" t="s">
        <v>1537</v>
      </c>
      <c r="G4296" s="549" t="s">
        <v>1540</v>
      </c>
      <c r="H4296" s="549" t="s">
        <v>679</v>
      </c>
      <c r="I4296" s="549" t="s">
        <v>976</v>
      </c>
      <c r="J4296" s="549" t="s">
        <v>976</v>
      </c>
      <c r="L4296" s="549">
        <v>1729265.03</v>
      </c>
      <c r="M4296" s="549">
        <v>130559.51</v>
      </c>
      <c r="N4296" s="549">
        <v>38216.76</v>
      </c>
      <c r="P4296" s="549">
        <v>86.3</v>
      </c>
      <c r="Q4296" s="549">
        <v>145653.92000000001</v>
      </c>
    </row>
    <row r="4297" spans="1:17" x14ac:dyDescent="0.25">
      <c r="A4297" s="549" t="s">
        <v>1023</v>
      </c>
      <c r="B4297" s="549" t="s">
        <v>1024</v>
      </c>
      <c r="C4297" s="549" t="s">
        <v>679</v>
      </c>
      <c r="D4297" s="549" t="s">
        <v>680</v>
      </c>
      <c r="E4297" s="549" t="s">
        <v>977</v>
      </c>
      <c r="F4297" s="549" t="s">
        <v>1537</v>
      </c>
      <c r="G4297" s="549" t="s">
        <v>1541</v>
      </c>
      <c r="H4297" s="549" t="s">
        <v>679</v>
      </c>
      <c r="I4297" s="549" t="s">
        <v>976</v>
      </c>
      <c r="J4297" s="549" t="s">
        <v>976</v>
      </c>
      <c r="L4297" s="549">
        <v>1729265.03</v>
      </c>
      <c r="M4297" s="549">
        <v>130559.51</v>
      </c>
      <c r="N4297" s="549">
        <v>38216.76</v>
      </c>
      <c r="P4297" s="549">
        <v>86.3</v>
      </c>
      <c r="Q4297" s="549">
        <v>145653.92000000001</v>
      </c>
    </row>
    <row r="4298" spans="1:17" x14ac:dyDescent="0.25">
      <c r="A4298" s="549" t="s">
        <v>1045</v>
      </c>
      <c r="B4298" s="549" t="s">
        <v>1046</v>
      </c>
      <c r="C4298" s="549" t="s">
        <v>1047</v>
      </c>
      <c r="D4298" s="549" t="s">
        <v>494</v>
      </c>
      <c r="E4298" s="549" t="s">
        <v>977</v>
      </c>
      <c r="F4298" s="549" t="s">
        <v>1537</v>
      </c>
      <c r="G4298" s="549" t="s">
        <v>1550</v>
      </c>
      <c r="H4298" s="549" t="s">
        <v>1047</v>
      </c>
      <c r="I4298" s="549" t="s">
        <v>976</v>
      </c>
      <c r="J4298" s="549" t="s">
        <v>976</v>
      </c>
      <c r="L4298" s="549">
        <v>1796471.53</v>
      </c>
      <c r="M4298" s="549">
        <v>135633.60000000001</v>
      </c>
      <c r="N4298" s="549">
        <v>39702.019999999997</v>
      </c>
      <c r="P4298" s="549">
        <v>100</v>
      </c>
      <c r="Q4298" s="549">
        <v>175335.62</v>
      </c>
    </row>
    <row r="4299" spans="1:17" x14ac:dyDescent="0.25">
      <c r="A4299" s="549" t="s">
        <v>1045</v>
      </c>
      <c r="B4299" s="549" t="s">
        <v>1046</v>
      </c>
      <c r="C4299" s="549" t="s">
        <v>1047</v>
      </c>
      <c r="D4299" s="549" t="s">
        <v>494</v>
      </c>
      <c r="E4299" s="549" t="s">
        <v>977</v>
      </c>
      <c r="F4299" s="549" t="s">
        <v>1537</v>
      </c>
      <c r="G4299" s="549" t="s">
        <v>1549</v>
      </c>
      <c r="H4299" s="549" t="s">
        <v>1047</v>
      </c>
      <c r="I4299" s="549" t="s">
        <v>976</v>
      </c>
      <c r="J4299" s="549" t="s">
        <v>976</v>
      </c>
      <c r="L4299" s="549">
        <v>1796471.53</v>
      </c>
      <c r="M4299" s="549">
        <v>135633.60000000001</v>
      </c>
      <c r="N4299" s="549">
        <v>39702.019999999997</v>
      </c>
      <c r="P4299" s="549">
        <v>100</v>
      </c>
      <c r="Q4299" s="549">
        <v>175335.62</v>
      </c>
    </row>
    <row r="4300" spans="1:17" x14ac:dyDescent="0.25">
      <c r="A4300" s="549" t="s">
        <v>1045</v>
      </c>
      <c r="B4300" s="549" t="s">
        <v>1046</v>
      </c>
      <c r="C4300" s="549" t="s">
        <v>1047</v>
      </c>
      <c r="D4300" s="549" t="s">
        <v>494</v>
      </c>
      <c r="E4300" s="549" t="s">
        <v>973</v>
      </c>
      <c r="F4300" s="549" t="s">
        <v>1537</v>
      </c>
      <c r="G4300" s="549" t="s">
        <v>1550</v>
      </c>
      <c r="H4300" s="549" t="s">
        <v>1047</v>
      </c>
      <c r="I4300" s="549" t="s">
        <v>976</v>
      </c>
      <c r="J4300" s="549" t="s">
        <v>976</v>
      </c>
      <c r="L4300" s="549">
        <v>1796471.53</v>
      </c>
      <c r="M4300" s="549">
        <v>135633.60000000001</v>
      </c>
      <c r="N4300" s="549">
        <v>103117.47</v>
      </c>
      <c r="P4300" s="549">
        <v>0</v>
      </c>
      <c r="Q4300" s="549">
        <v>0</v>
      </c>
    </row>
    <row r="4301" spans="1:17" x14ac:dyDescent="0.25">
      <c r="A4301" s="549" t="s">
        <v>1045</v>
      </c>
      <c r="B4301" s="549" t="s">
        <v>1046</v>
      </c>
      <c r="C4301" s="549" t="s">
        <v>1047</v>
      </c>
      <c r="D4301" s="549" t="s">
        <v>494</v>
      </c>
      <c r="E4301" s="549" t="s">
        <v>973</v>
      </c>
      <c r="F4301" s="549" t="s">
        <v>1537</v>
      </c>
      <c r="G4301" s="549" t="s">
        <v>1549</v>
      </c>
      <c r="H4301" s="549" t="s">
        <v>1047</v>
      </c>
      <c r="I4301" s="549" t="s">
        <v>976</v>
      </c>
      <c r="J4301" s="549" t="s">
        <v>976</v>
      </c>
      <c r="L4301" s="549">
        <v>1796471.53</v>
      </c>
      <c r="M4301" s="549">
        <v>135633.60000000001</v>
      </c>
      <c r="N4301" s="549">
        <v>103117.47</v>
      </c>
      <c r="P4301" s="549">
        <v>0</v>
      </c>
      <c r="Q4301" s="549">
        <v>0</v>
      </c>
    </row>
    <row r="4302" spans="1:17" x14ac:dyDescent="0.25">
      <c r="A4302" s="549" t="s">
        <v>1179</v>
      </c>
      <c r="B4302" s="549" t="s">
        <v>577</v>
      </c>
      <c r="C4302" s="549" t="s">
        <v>695</v>
      </c>
      <c r="D4302" s="549" t="s">
        <v>696</v>
      </c>
      <c r="E4302" s="549" t="s">
        <v>977</v>
      </c>
      <c r="F4302" s="549" t="s">
        <v>1537</v>
      </c>
      <c r="G4302" s="549" t="s">
        <v>1540</v>
      </c>
      <c r="H4302" s="549" t="s">
        <v>695</v>
      </c>
      <c r="I4302" s="549" t="s">
        <v>976</v>
      </c>
      <c r="J4302" s="549" t="s">
        <v>976</v>
      </c>
      <c r="L4302" s="549">
        <v>1816090.1</v>
      </c>
      <c r="M4302" s="549">
        <v>137114.79999999999</v>
      </c>
      <c r="N4302" s="549">
        <v>40135.589999999997</v>
      </c>
      <c r="P4302" s="549">
        <v>100</v>
      </c>
      <c r="Q4302" s="549">
        <v>177250.39</v>
      </c>
    </row>
    <row r="4303" spans="1:17" x14ac:dyDescent="0.25">
      <c r="A4303" s="549" t="s">
        <v>514</v>
      </c>
      <c r="B4303" s="549" t="s">
        <v>1032</v>
      </c>
      <c r="C4303" s="549" t="s">
        <v>648</v>
      </c>
      <c r="D4303" s="549" t="s">
        <v>649</v>
      </c>
      <c r="E4303" s="549" t="s">
        <v>977</v>
      </c>
      <c r="F4303" s="549" t="s">
        <v>1537</v>
      </c>
      <c r="G4303" s="549" t="s">
        <v>1546</v>
      </c>
      <c r="H4303" s="549" t="s">
        <v>648</v>
      </c>
      <c r="I4303" s="549" t="s">
        <v>976</v>
      </c>
      <c r="J4303" s="549" t="s">
        <v>976</v>
      </c>
      <c r="L4303" s="549">
        <v>1008688.26</v>
      </c>
      <c r="M4303" s="549">
        <v>76155.960000000006</v>
      </c>
      <c r="N4303" s="549">
        <v>22292.01</v>
      </c>
      <c r="P4303" s="549">
        <v>17.690000000000001</v>
      </c>
      <c r="Q4303" s="549">
        <v>17415.45</v>
      </c>
    </row>
    <row r="4304" spans="1:17" x14ac:dyDescent="0.25">
      <c r="A4304" s="549" t="s">
        <v>514</v>
      </c>
      <c r="B4304" s="549" t="s">
        <v>1032</v>
      </c>
      <c r="C4304" s="549" t="s">
        <v>648</v>
      </c>
      <c r="D4304" s="549" t="s">
        <v>649</v>
      </c>
      <c r="E4304" s="549" t="s">
        <v>977</v>
      </c>
      <c r="F4304" s="549" t="s">
        <v>1537</v>
      </c>
      <c r="G4304" s="549" t="s">
        <v>1547</v>
      </c>
      <c r="H4304" s="549" t="s">
        <v>648</v>
      </c>
      <c r="I4304" s="549" t="s">
        <v>976</v>
      </c>
      <c r="J4304" s="549" t="s">
        <v>976</v>
      </c>
      <c r="L4304" s="549">
        <v>1008688.26</v>
      </c>
      <c r="M4304" s="549">
        <v>76155.960000000006</v>
      </c>
      <c r="N4304" s="549">
        <v>22292.01</v>
      </c>
      <c r="P4304" s="549">
        <v>17.690000000000001</v>
      </c>
      <c r="Q4304" s="549">
        <v>17415.45</v>
      </c>
    </row>
    <row r="4305" spans="1:17" x14ac:dyDescent="0.25">
      <c r="A4305" s="549" t="s">
        <v>514</v>
      </c>
      <c r="B4305" s="549" t="s">
        <v>1032</v>
      </c>
      <c r="C4305" s="549" t="s">
        <v>535</v>
      </c>
      <c r="D4305" s="549" t="s">
        <v>711</v>
      </c>
      <c r="E4305" s="549" t="s">
        <v>973</v>
      </c>
      <c r="F4305" s="549" t="s">
        <v>1537</v>
      </c>
      <c r="G4305" s="549" t="s">
        <v>1539</v>
      </c>
      <c r="H4305" s="549" t="s">
        <v>535</v>
      </c>
      <c r="I4305" s="549" t="s">
        <v>976</v>
      </c>
      <c r="J4305" s="549" t="s">
        <v>976</v>
      </c>
      <c r="L4305" s="549">
        <v>2160389.54</v>
      </c>
      <c r="M4305" s="549">
        <v>163109.41</v>
      </c>
      <c r="N4305" s="549">
        <v>124006.36</v>
      </c>
      <c r="P4305" s="549">
        <v>95.98</v>
      </c>
      <c r="Q4305" s="549">
        <v>275573.71999999997</v>
      </c>
    </row>
    <row r="4306" spans="1:17" x14ac:dyDescent="0.25">
      <c r="A4306" s="549" t="s">
        <v>514</v>
      </c>
      <c r="B4306" s="549" t="s">
        <v>1032</v>
      </c>
      <c r="C4306" s="549" t="s">
        <v>535</v>
      </c>
      <c r="D4306" s="549" t="s">
        <v>711</v>
      </c>
      <c r="E4306" s="549" t="s">
        <v>973</v>
      </c>
      <c r="F4306" s="549" t="s">
        <v>1537</v>
      </c>
      <c r="G4306" s="549" t="s">
        <v>1538</v>
      </c>
      <c r="H4306" s="549" t="s">
        <v>535</v>
      </c>
      <c r="I4306" s="549" t="s">
        <v>976</v>
      </c>
      <c r="J4306" s="549" t="s">
        <v>976</v>
      </c>
      <c r="L4306" s="549">
        <v>2160389.54</v>
      </c>
      <c r="M4306" s="549">
        <v>163109.41</v>
      </c>
      <c r="N4306" s="549">
        <v>124006.36</v>
      </c>
      <c r="P4306" s="549">
        <v>95.98</v>
      </c>
      <c r="Q4306" s="549">
        <v>275573.71999999997</v>
      </c>
    </row>
    <row r="4307" spans="1:17" x14ac:dyDescent="0.25">
      <c r="A4307" s="549" t="s">
        <v>514</v>
      </c>
      <c r="B4307" s="549" t="s">
        <v>1032</v>
      </c>
      <c r="C4307" s="549" t="s">
        <v>535</v>
      </c>
      <c r="D4307" s="549" t="s">
        <v>711</v>
      </c>
      <c r="E4307" s="549" t="s">
        <v>977</v>
      </c>
      <c r="F4307" s="549" t="s">
        <v>1537</v>
      </c>
      <c r="G4307" s="549" t="s">
        <v>1539</v>
      </c>
      <c r="H4307" s="549" t="s">
        <v>535</v>
      </c>
      <c r="I4307" s="549" t="s">
        <v>976</v>
      </c>
      <c r="J4307" s="549" t="s">
        <v>976</v>
      </c>
      <c r="L4307" s="549">
        <v>2160389.54</v>
      </c>
      <c r="M4307" s="549">
        <v>163109.41</v>
      </c>
      <c r="N4307" s="549">
        <v>47744.61</v>
      </c>
      <c r="P4307" s="549">
        <v>0</v>
      </c>
      <c r="Q4307" s="549">
        <v>0</v>
      </c>
    </row>
    <row r="4308" spans="1:17" x14ac:dyDescent="0.25">
      <c r="A4308" s="549" t="s">
        <v>514</v>
      </c>
      <c r="B4308" s="549" t="s">
        <v>1032</v>
      </c>
      <c r="C4308" s="549" t="s">
        <v>535</v>
      </c>
      <c r="D4308" s="549" t="s">
        <v>711</v>
      </c>
      <c r="E4308" s="549" t="s">
        <v>977</v>
      </c>
      <c r="F4308" s="549" t="s">
        <v>1537</v>
      </c>
      <c r="G4308" s="549" t="s">
        <v>1538</v>
      </c>
      <c r="H4308" s="549" t="s">
        <v>535</v>
      </c>
      <c r="I4308" s="549" t="s">
        <v>976</v>
      </c>
      <c r="J4308" s="549" t="s">
        <v>976</v>
      </c>
      <c r="L4308" s="549">
        <v>2160389.54</v>
      </c>
      <c r="M4308" s="549">
        <v>163109.41</v>
      </c>
      <c r="N4308" s="549">
        <v>47744.61</v>
      </c>
      <c r="P4308" s="549">
        <v>0</v>
      </c>
      <c r="Q4308" s="549">
        <v>0</v>
      </c>
    </row>
    <row r="4309" spans="1:17" x14ac:dyDescent="0.25">
      <c r="A4309" s="549" t="s">
        <v>1186</v>
      </c>
      <c r="B4309" s="549" t="s">
        <v>1187</v>
      </c>
      <c r="C4309" s="549" t="s">
        <v>1188</v>
      </c>
      <c r="D4309" s="549" t="s">
        <v>1189</v>
      </c>
      <c r="E4309" s="549" t="s">
        <v>977</v>
      </c>
      <c r="F4309" s="549" t="s">
        <v>1537</v>
      </c>
      <c r="G4309" s="549" t="s">
        <v>1544</v>
      </c>
      <c r="H4309" s="549" t="s">
        <v>1188</v>
      </c>
      <c r="I4309" s="549" t="s">
        <v>976</v>
      </c>
      <c r="J4309" s="549" t="s">
        <v>976</v>
      </c>
      <c r="L4309" s="549">
        <v>830111.58</v>
      </c>
      <c r="M4309" s="549">
        <v>62673.42</v>
      </c>
      <c r="N4309" s="549">
        <v>18345.47</v>
      </c>
      <c r="P4309" s="549">
        <v>100</v>
      </c>
      <c r="Q4309" s="549">
        <v>81018.89</v>
      </c>
    </row>
    <row r="4310" spans="1:17" x14ac:dyDescent="0.25">
      <c r="A4310" s="549" t="s">
        <v>1186</v>
      </c>
      <c r="B4310" s="549" t="s">
        <v>1187</v>
      </c>
      <c r="C4310" s="549" t="s">
        <v>1188</v>
      </c>
      <c r="D4310" s="549" t="s">
        <v>1189</v>
      </c>
      <c r="E4310" s="549" t="s">
        <v>977</v>
      </c>
      <c r="F4310" s="549" t="s">
        <v>1537</v>
      </c>
      <c r="G4310" s="549" t="s">
        <v>1545</v>
      </c>
      <c r="H4310" s="549" t="s">
        <v>1188</v>
      </c>
      <c r="I4310" s="549" t="s">
        <v>976</v>
      </c>
      <c r="J4310" s="549" t="s">
        <v>976</v>
      </c>
      <c r="L4310" s="549">
        <v>830111.58</v>
      </c>
      <c r="M4310" s="549">
        <v>62673.42</v>
      </c>
      <c r="N4310" s="549">
        <v>18345.47</v>
      </c>
      <c r="P4310" s="549">
        <v>100</v>
      </c>
      <c r="Q4310" s="549">
        <v>81018.89</v>
      </c>
    </row>
    <row r="4311" spans="1:17" x14ac:dyDescent="0.25">
      <c r="A4311" s="549" t="s">
        <v>1037</v>
      </c>
      <c r="B4311" s="549" t="s">
        <v>1038</v>
      </c>
      <c r="C4311" s="549" t="s">
        <v>688</v>
      </c>
      <c r="D4311" s="549" t="s">
        <v>689</v>
      </c>
      <c r="E4311" s="549" t="s">
        <v>977</v>
      </c>
      <c r="F4311" s="549" t="s">
        <v>1537</v>
      </c>
      <c r="G4311" s="549" t="s">
        <v>1544</v>
      </c>
      <c r="H4311" s="549" t="s">
        <v>688</v>
      </c>
      <c r="I4311" s="549" t="s">
        <v>976</v>
      </c>
      <c r="J4311" s="549" t="s">
        <v>976</v>
      </c>
      <c r="L4311" s="549">
        <v>687727.44</v>
      </c>
      <c r="M4311" s="549">
        <v>51923.42</v>
      </c>
      <c r="N4311" s="549">
        <v>15198.78</v>
      </c>
      <c r="P4311" s="549">
        <v>100</v>
      </c>
      <c r="Q4311" s="549">
        <v>67122.2</v>
      </c>
    </row>
    <row r="4312" spans="1:17" x14ac:dyDescent="0.25">
      <c r="A4312" s="549" t="s">
        <v>1037</v>
      </c>
      <c r="B4312" s="549" t="s">
        <v>1038</v>
      </c>
      <c r="C4312" s="549" t="s">
        <v>688</v>
      </c>
      <c r="D4312" s="549" t="s">
        <v>689</v>
      </c>
      <c r="E4312" s="549" t="s">
        <v>977</v>
      </c>
      <c r="F4312" s="549" t="s">
        <v>1537</v>
      </c>
      <c r="G4312" s="549" t="s">
        <v>1542</v>
      </c>
      <c r="H4312" s="549" t="s">
        <v>688</v>
      </c>
      <c r="I4312" s="549" t="s">
        <v>976</v>
      </c>
      <c r="J4312" s="549" t="s">
        <v>976</v>
      </c>
      <c r="L4312" s="549">
        <v>687727.44</v>
      </c>
      <c r="M4312" s="549">
        <v>51923.42</v>
      </c>
      <c r="N4312" s="549">
        <v>15198.78</v>
      </c>
      <c r="P4312" s="549">
        <v>100</v>
      </c>
      <c r="Q4312" s="549">
        <v>67122.2</v>
      </c>
    </row>
    <row r="4313" spans="1:17" x14ac:dyDescent="0.25">
      <c r="A4313" s="549" t="s">
        <v>1037</v>
      </c>
      <c r="B4313" s="549" t="s">
        <v>1038</v>
      </c>
      <c r="C4313" s="549" t="s">
        <v>692</v>
      </c>
      <c r="D4313" s="549" t="s">
        <v>462</v>
      </c>
      <c r="E4313" s="549" t="s">
        <v>977</v>
      </c>
      <c r="F4313" s="549" t="s">
        <v>1537</v>
      </c>
      <c r="G4313" s="549" t="s">
        <v>1540</v>
      </c>
      <c r="H4313" s="549" t="s">
        <v>692</v>
      </c>
      <c r="I4313" s="549" t="s">
        <v>976</v>
      </c>
      <c r="J4313" s="549" t="s">
        <v>976</v>
      </c>
      <c r="L4313" s="549">
        <v>706398.95</v>
      </c>
      <c r="M4313" s="549">
        <v>53333.120000000003</v>
      </c>
      <c r="N4313" s="549">
        <v>15611.42</v>
      </c>
      <c r="P4313" s="549">
        <v>100</v>
      </c>
      <c r="Q4313" s="549">
        <v>68944.539999999994</v>
      </c>
    </row>
    <row r="4314" spans="1:17" x14ac:dyDescent="0.25">
      <c r="A4314" s="549" t="s">
        <v>1037</v>
      </c>
      <c r="B4314" s="549" t="s">
        <v>1038</v>
      </c>
      <c r="C4314" s="549" t="s">
        <v>692</v>
      </c>
      <c r="D4314" s="549" t="s">
        <v>462</v>
      </c>
      <c r="E4314" s="549" t="s">
        <v>977</v>
      </c>
      <c r="F4314" s="549" t="s">
        <v>1537</v>
      </c>
      <c r="G4314" s="549" t="s">
        <v>1538</v>
      </c>
      <c r="H4314" s="549" t="s">
        <v>692</v>
      </c>
      <c r="I4314" s="549" t="s">
        <v>976</v>
      </c>
      <c r="J4314" s="549" t="s">
        <v>976</v>
      </c>
      <c r="L4314" s="549">
        <v>1411184.82</v>
      </c>
      <c r="M4314" s="549">
        <v>106544.45</v>
      </c>
      <c r="N4314" s="549">
        <v>31187.18</v>
      </c>
      <c r="P4314" s="549">
        <v>100</v>
      </c>
      <c r="Q4314" s="549">
        <v>137731.63</v>
      </c>
    </row>
    <row r="4315" spans="1:17" x14ac:dyDescent="0.25">
      <c r="A4315" s="549" t="s">
        <v>1037</v>
      </c>
      <c r="B4315" s="549" t="s">
        <v>1038</v>
      </c>
      <c r="C4315" s="549" t="s">
        <v>692</v>
      </c>
      <c r="D4315" s="549" t="s">
        <v>462</v>
      </c>
      <c r="E4315" s="549" t="s">
        <v>977</v>
      </c>
      <c r="F4315" s="549" t="s">
        <v>1537</v>
      </c>
      <c r="G4315" s="549" t="s">
        <v>1557</v>
      </c>
      <c r="H4315" s="549" t="s">
        <v>692</v>
      </c>
      <c r="I4315" s="549" t="s">
        <v>976</v>
      </c>
      <c r="J4315" s="549" t="s">
        <v>976</v>
      </c>
      <c r="L4315" s="549">
        <v>1411184.82</v>
      </c>
      <c r="M4315" s="549">
        <v>106544.45</v>
      </c>
      <c r="N4315" s="549">
        <v>31187.18</v>
      </c>
      <c r="P4315" s="549">
        <v>100</v>
      </c>
      <c r="Q4315" s="549">
        <v>137731.63</v>
      </c>
    </row>
    <row r="4316" spans="1:17" x14ac:dyDescent="0.25">
      <c r="A4316" s="549" t="s">
        <v>1037</v>
      </c>
      <c r="B4316" s="549" t="s">
        <v>1038</v>
      </c>
      <c r="C4316" s="549" t="s">
        <v>690</v>
      </c>
      <c r="D4316" s="549" t="s">
        <v>691</v>
      </c>
      <c r="E4316" s="549" t="s">
        <v>977</v>
      </c>
      <c r="F4316" s="549" t="s">
        <v>1537</v>
      </c>
      <c r="G4316" s="549" t="s">
        <v>1540</v>
      </c>
      <c r="H4316" s="549" t="s">
        <v>690</v>
      </c>
      <c r="I4316" s="549" t="s">
        <v>976</v>
      </c>
      <c r="J4316" s="549" t="s">
        <v>976</v>
      </c>
      <c r="L4316" s="549">
        <v>1071042.5900000001</v>
      </c>
      <c r="M4316" s="549">
        <v>80863.72</v>
      </c>
      <c r="N4316" s="549">
        <v>23670.04</v>
      </c>
      <c r="P4316" s="549">
        <v>100</v>
      </c>
      <c r="Q4316" s="549">
        <v>104533.75999999999</v>
      </c>
    </row>
    <row r="4317" spans="1:17" x14ac:dyDescent="0.25">
      <c r="A4317" s="549" t="s">
        <v>1037</v>
      </c>
      <c r="B4317" s="549" t="s">
        <v>1038</v>
      </c>
      <c r="C4317" s="549" t="s">
        <v>690</v>
      </c>
      <c r="D4317" s="549" t="s">
        <v>691</v>
      </c>
      <c r="E4317" s="549" t="s">
        <v>977</v>
      </c>
      <c r="F4317" s="549" t="s">
        <v>1537</v>
      </c>
      <c r="G4317" s="549" t="s">
        <v>1541</v>
      </c>
      <c r="H4317" s="549" t="s">
        <v>690</v>
      </c>
      <c r="I4317" s="549" t="s">
        <v>976</v>
      </c>
      <c r="J4317" s="549" t="s">
        <v>976</v>
      </c>
      <c r="L4317" s="549">
        <v>1071042.5900000001</v>
      </c>
      <c r="M4317" s="549">
        <v>80863.72</v>
      </c>
      <c r="N4317" s="549">
        <v>23670.04</v>
      </c>
      <c r="P4317" s="549">
        <v>100</v>
      </c>
      <c r="Q4317" s="549">
        <v>104533.75999999999</v>
      </c>
    </row>
    <row r="4318" spans="1:17" x14ac:dyDescent="0.25">
      <c r="A4318" s="549" t="s">
        <v>1037</v>
      </c>
      <c r="B4318" s="549" t="s">
        <v>1038</v>
      </c>
      <c r="C4318" s="549" t="s">
        <v>686</v>
      </c>
      <c r="D4318" s="549" t="s">
        <v>687</v>
      </c>
      <c r="E4318" s="549" t="s">
        <v>977</v>
      </c>
      <c r="F4318" s="549" t="s">
        <v>1537</v>
      </c>
      <c r="G4318" s="549" t="s">
        <v>1544</v>
      </c>
      <c r="H4318" s="549" t="s">
        <v>686</v>
      </c>
      <c r="I4318" s="549" t="s">
        <v>976</v>
      </c>
      <c r="J4318" s="549" t="s">
        <v>976</v>
      </c>
      <c r="L4318" s="549">
        <v>717668.73</v>
      </c>
      <c r="M4318" s="549">
        <v>54183.99</v>
      </c>
      <c r="N4318" s="549">
        <v>15860.48</v>
      </c>
      <c r="P4318" s="549">
        <v>100</v>
      </c>
      <c r="Q4318" s="549">
        <v>70044.47</v>
      </c>
    </row>
    <row r="4319" spans="1:17" x14ac:dyDescent="0.25">
      <c r="A4319" s="549" t="s">
        <v>1091</v>
      </c>
      <c r="B4319" s="549" t="s">
        <v>1092</v>
      </c>
      <c r="C4319" s="549" t="s">
        <v>853</v>
      </c>
      <c r="D4319" s="549" t="s">
        <v>854</v>
      </c>
      <c r="E4319" s="549" t="s">
        <v>977</v>
      </c>
      <c r="F4319" s="549" t="s">
        <v>1537</v>
      </c>
      <c r="G4319" s="549" t="s">
        <v>1544</v>
      </c>
      <c r="H4319" s="549" t="s">
        <v>668</v>
      </c>
      <c r="I4319" s="549" t="s">
        <v>976</v>
      </c>
      <c r="J4319" s="549" t="s">
        <v>976</v>
      </c>
      <c r="L4319" s="549">
        <v>855335.68</v>
      </c>
      <c r="M4319" s="549">
        <v>64577.84</v>
      </c>
      <c r="N4319" s="549">
        <v>18902.919999999998</v>
      </c>
      <c r="P4319" s="549">
        <v>10.44</v>
      </c>
      <c r="Q4319" s="549">
        <v>8715.39</v>
      </c>
    </row>
    <row r="4320" spans="1:17" x14ac:dyDescent="0.25">
      <c r="A4320" s="549" t="s">
        <v>1091</v>
      </c>
      <c r="B4320" s="549" t="s">
        <v>1092</v>
      </c>
      <c r="C4320" s="549" t="s">
        <v>853</v>
      </c>
      <c r="D4320" s="549" t="s">
        <v>854</v>
      </c>
      <c r="E4320" s="549" t="s">
        <v>977</v>
      </c>
      <c r="F4320" s="549" t="s">
        <v>1537</v>
      </c>
      <c r="G4320" s="549" t="s">
        <v>1541</v>
      </c>
      <c r="H4320" s="549" t="s">
        <v>668</v>
      </c>
      <c r="I4320" s="549" t="s">
        <v>976</v>
      </c>
      <c r="J4320" s="549" t="s">
        <v>976</v>
      </c>
      <c r="L4320" s="549">
        <v>855335.68</v>
      </c>
      <c r="M4320" s="549">
        <v>64577.84</v>
      </c>
      <c r="N4320" s="549">
        <v>18902.919999999998</v>
      </c>
      <c r="P4320" s="549">
        <v>10.44</v>
      </c>
      <c r="Q4320" s="549">
        <v>8715.39</v>
      </c>
    </row>
    <row r="4321" spans="1:17" x14ac:dyDescent="0.25">
      <c r="A4321" s="549" t="s">
        <v>1091</v>
      </c>
      <c r="B4321" s="549" t="s">
        <v>1092</v>
      </c>
      <c r="C4321" s="549" t="s">
        <v>855</v>
      </c>
      <c r="D4321" s="549" t="s">
        <v>856</v>
      </c>
      <c r="E4321" s="549" t="s">
        <v>977</v>
      </c>
      <c r="F4321" s="549" t="s">
        <v>1537</v>
      </c>
      <c r="G4321" s="549" t="s">
        <v>1542</v>
      </c>
      <c r="H4321" s="549" t="s">
        <v>855</v>
      </c>
      <c r="I4321" s="549" t="s">
        <v>976</v>
      </c>
      <c r="J4321" s="549" t="s">
        <v>976</v>
      </c>
      <c r="L4321" s="549">
        <v>2430130.91</v>
      </c>
      <c r="M4321" s="549">
        <v>183474.88</v>
      </c>
      <c r="N4321" s="549">
        <v>53705.89</v>
      </c>
      <c r="P4321" s="549">
        <v>100</v>
      </c>
      <c r="Q4321" s="549">
        <v>237180.77</v>
      </c>
    </row>
    <row r="4322" spans="1:17" x14ac:dyDescent="0.25">
      <c r="A4322" s="549" t="s">
        <v>1091</v>
      </c>
      <c r="B4322" s="549" t="s">
        <v>1092</v>
      </c>
      <c r="C4322" s="549" t="s">
        <v>855</v>
      </c>
      <c r="D4322" s="549" t="s">
        <v>856</v>
      </c>
      <c r="E4322" s="549" t="s">
        <v>977</v>
      </c>
      <c r="F4322" s="549" t="s">
        <v>1537</v>
      </c>
      <c r="G4322" s="549" t="s">
        <v>1545</v>
      </c>
      <c r="H4322" s="549" t="s">
        <v>855</v>
      </c>
      <c r="I4322" s="549" t="s">
        <v>976</v>
      </c>
      <c r="J4322" s="549" t="s">
        <v>976</v>
      </c>
      <c r="L4322" s="549">
        <v>2610817.21</v>
      </c>
      <c r="M4322" s="549">
        <v>197116.7</v>
      </c>
      <c r="N4322" s="549">
        <v>57699.06</v>
      </c>
      <c r="P4322" s="549">
        <v>100</v>
      </c>
      <c r="Q4322" s="549">
        <v>254815.76</v>
      </c>
    </row>
    <row r="4323" spans="1:17" x14ac:dyDescent="0.25">
      <c r="A4323" s="549" t="s">
        <v>1091</v>
      </c>
      <c r="B4323" s="549" t="s">
        <v>1092</v>
      </c>
      <c r="C4323" s="549" t="s">
        <v>855</v>
      </c>
      <c r="D4323" s="549" t="s">
        <v>856</v>
      </c>
      <c r="E4323" s="549" t="s">
        <v>973</v>
      </c>
      <c r="F4323" s="549" t="s">
        <v>1537</v>
      </c>
      <c r="G4323" s="549" t="s">
        <v>1542</v>
      </c>
      <c r="H4323" s="549" t="s">
        <v>855</v>
      </c>
      <c r="I4323" s="549" t="s">
        <v>976</v>
      </c>
      <c r="J4323" s="549" t="s">
        <v>976</v>
      </c>
      <c r="L4323" s="549">
        <v>2430130.91</v>
      </c>
      <c r="M4323" s="549">
        <v>183474.88</v>
      </c>
      <c r="N4323" s="549">
        <v>139489.51</v>
      </c>
      <c r="P4323" s="549">
        <v>0</v>
      </c>
      <c r="Q4323" s="549">
        <v>0</v>
      </c>
    </row>
    <row r="4324" spans="1:17" x14ac:dyDescent="0.25">
      <c r="A4324" s="549" t="s">
        <v>1091</v>
      </c>
      <c r="B4324" s="549" t="s">
        <v>1092</v>
      </c>
      <c r="C4324" s="549" t="s">
        <v>855</v>
      </c>
      <c r="D4324" s="549" t="s">
        <v>856</v>
      </c>
      <c r="E4324" s="549" t="s">
        <v>973</v>
      </c>
      <c r="F4324" s="549" t="s">
        <v>1537</v>
      </c>
      <c r="G4324" s="549" t="s">
        <v>1545</v>
      </c>
      <c r="H4324" s="549" t="s">
        <v>855</v>
      </c>
      <c r="I4324" s="549" t="s">
        <v>976</v>
      </c>
      <c r="J4324" s="549" t="s">
        <v>976</v>
      </c>
      <c r="L4324" s="549">
        <v>2610817.21</v>
      </c>
      <c r="M4324" s="549">
        <v>197116.7</v>
      </c>
      <c r="N4324" s="549">
        <v>149860.91</v>
      </c>
      <c r="P4324" s="549">
        <v>0</v>
      </c>
      <c r="Q4324" s="549">
        <v>0</v>
      </c>
    </row>
    <row r="4325" spans="1:17" x14ac:dyDescent="0.25">
      <c r="A4325" s="549" t="s">
        <v>1064</v>
      </c>
      <c r="B4325" s="549" t="s">
        <v>581</v>
      </c>
      <c r="C4325" s="549" t="s">
        <v>716</v>
      </c>
      <c r="D4325" s="549" t="s">
        <v>717</v>
      </c>
      <c r="E4325" s="549" t="s">
        <v>977</v>
      </c>
      <c r="F4325" s="549" t="s">
        <v>1537</v>
      </c>
      <c r="G4325" s="549" t="s">
        <v>1541</v>
      </c>
      <c r="H4325" s="549" t="s">
        <v>716</v>
      </c>
      <c r="I4325" s="549" t="s">
        <v>976</v>
      </c>
      <c r="J4325" s="549" t="s">
        <v>976</v>
      </c>
      <c r="L4325" s="549">
        <v>1711760.44</v>
      </c>
      <c r="M4325" s="549">
        <v>129237.91</v>
      </c>
      <c r="N4325" s="549">
        <v>37829.910000000003</v>
      </c>
      <c r="P4325" s="549">
        <v>100</v>
      </c>
      <c r="Q4325" s="549">
        <v>167067.82</v>
      </c>
    </row>
    <row r="4326" spans="1:17" x14ac:dyDescent="0.25">
      <c r="A4326" s="549" t="s">
        <v>1064</v>
      </c>
      <c r="B4326" s="549" t="s">
        <v>581</v>
      </c>
      <c r="C4326" s="549" t="s">
        <v>716</v>
      </c>
      <c r="D4326" s="549" t="s">
        <v>717</v>
      </c>
      <c r="E4326" s="549" t="s">
        <v>977</v>
      </c>
      <c r="F4326" s="549" t="s">
        <v>1537</v>
      </c>
      <c r="G4326" s="549" t="s">
        <v>1544</v>
      </c>
      <c r="H4326" s="549" t="s">
        <v>716</v>
      </c>
      <c r="I4326" s="549" t="s">
        <v>976</v>
      </c>
      <c r="J4326" s="549" t="s">
        <v>976</v>
      </c>
      <c r="L4326" s="549">
        <v>1711760.44</v>
      </c>
      <c r="M4326" s="549">
        <v>129237.91</v>
      </c>
      <c r="N4326" s="549">
        <v>37829.910000000003</v>
      </c>
      <c r="P4326" s="549">
        <v>100</v>
      </c>
      <c r="Q4326" s="549">
        <v>167067.82</v>
      </c>
    </row>
    <row r="4327" spans="1:17" x14ac:dyDescent="0.25">
      <c r="A4327" s="549" t="s">
        <v>1064</v>
      </c>
      <c r="B4327" s="549" t="s">
        <v>581</v>
      </c>
      <c r="C4327" s="549" t="s">
        <v>718</v>
      </c>
      <c r="D4327" s="549" t="s">
        <v>719</v>
      </c>
      <c r="E4327" s="549" t="s">
        <v>977</v>
      </c>
      <c r="F4327" s="549" t="s">
        <v>1537</v>
      </c>
      <c r="G4327" s="549" t="s">
        <v>1540</v>
      </c>
      <c r="H4327" s="549" t="s">
        <v>718</v>
      </c>
      <c r="I4327" s="549" t="s">
        <v>976</v>
      </c>
      <c r="J4327" s="549" t="s">
        <v>976</v>
      </c>
      <c r="L4327" s="549">
        <v>1136996.1599999999</v>
      </c>
      <c r="M4327" s="549">
        <v>85843.21</v>
      </c>
      <c r="N4327" s="549">
        <v>25127.62</v>
      </c>
      <c r="P4327" s="549">
        <v>100</v>
      </c>
      <c r="Q4327" s="549">
        <v>110970.83</v>
      </c>
    </row>
    <row r="4328" spans="1:17" x14ac:dyDescent="0.25">
      <c r="A4328" s="549" t="s">
        <v>1064</v>
      </c>
      <c r="B4328" s="549" t="s">
        <v>581</v>
      </c>
      <c r="C4328" s="549" t="s">
        <v>718</v>
      </c>
      <c r="D4328" s="549" t="s">
        <v>719</v>
      </c>
      <c r="E4328" s="549" t="s">
        <v>977</v>
      </c>
      <c r="F4328" s="549" t="s">
        <v>1537</v>
      </c>
      <c r="G4328" s="549" t="s">
        <v>1541</v>
      </c>
      <c r="H4328" s="549" t="s">
        <v>718</v>
      </c>
      <c r="I4328" s="549" t="s">
        <v>976</v>
      </c>
      <c r="J4328" s="549" t="s">
        <v>976</v>
      </c>
      <c r="L4328" s="549">
        <v>1136996.1599999999</v>
      </c>
      <c r="M4328" s="549">
        <v>85843.21</v>
      </c>
      <c r="N4328" s="549">
        <v>25127.62</v>
      </c>
      <c r="P4328" s="549">
        <v>100</v>
      </c>
      <c r="Q4328" s="549">
        <v>110970.83</v>
      </c>
    </row>
    <row r="4329" spans="1:17" x14ac:dyDescent="0.25">
      <c r="A4329" s="549" t="s">
        <v>1064</v>
      </c>
      <c r="B4329" s="549" t="s">
        <v>581</v>
      </c>
      <c r="C4329" s="549" t="s">
        <v>714</v>
      </c>
      <c r="D4329" s="549" t="s">
        <v>715</v>
      </c>
      <c r="E4329" s="549" t="s">
        <v>977</v>
      </c>
      <c r="F4329" s="549" t="s">
        <v>1537</v>
      </c>
      <c r="G4329" s="549" t="s">
        <v>1540</v>
      </c>
      <c r="H4329" s="549" t="s">
        <v>714</v>
      </c>
      <c r="I4329" s="549" t="s">
        <v>976</v>
      </c>
      <c r="J4329" s="549" t="s">
        <v>976</v>
      </c>
      <c r="L4329" s="549">
        <v>952013.68</v>
      </c>
      <c r="M4329" s="549">
        <v>71877.03</v>
      </c>
      <c r="N4329" s="549">
        <v>21039.5</v>
      </c>
      <c r="P4329" s="549">
        <v>100</v>
      </c>
      <c r="Q4329" s="549">
        <v>92916.53</v>
      </c>
    </row>
    <row r="4330" spans="1:17" x14ac:dyDescent="0.25">
      <c r="A4330" s="549" t="s">
        <v>1064</v>
      </c>
      <c r="B4330" s="549" t="s">
        <v>581</v>
      </c>
      <c r="C4330" s="549" t="s">
        <v>714</v>
      </c>
      <c r="D4330" s="549" t="s">
        <v>715</v>
      </c>
      <c r="E4330" s="549" t="s">
        <v>977</v>
      </c>
      <c r="F4330" s="549" t="s">
        <v>1537</v>
      </c>
      <c r="G4330" s="549" t="s">
        <v>1541</v>
      </c>
      <c r="H4330" s="549" t="s">
        <v>714</v>
      </c>
      <c r="I4330" s="549" t="s">
        <v>976</v>
      </c>
      <c r="J4330" s="549" t="s">
        <v>976</v>
      </c>
      <c r="L4330" s="549">
        <v>952013.68</v>
      </c>
      <c r="M4330" s="549">
        <v>71877.03</v>
      </c>
      <c r="N4330" s="549">
        <v>21039.5</v>
      </c>
      <c r="P4330" s="549">
        <v>100</v>
      </c>
      <c r="Q4330" s="549">
        <v>92916.53</v>
      </c>
    </row>
    <row r="4331" spans="1:17" x14ac:dyDescent="0.25">
      <c r="A4331" s="549" t="s">
        <v>1069</v>
      </c>
      <c r="B4331" s="549" t="s">
        <v>1070</v>
      </c>
      <c r="C4331" s="549" t="s">
        <v>187</v>
      </c>
      <c r="D4331" s="549" t="s">
        <v>667</v>
      </c>
      <c r="E4331" s="549" t="s">
        <v>973</v>
      </c>
      <c r="F4331" s="549" t="s">
        <v>1537</v>
      </c>
      <c r="G4331" s="549" t="s">
        <v>1545</v>
      </c>
      <c r="H4331" s="549" t="s">
        <v>187</v>
      </c>
      <c r="I4331" s="549" t="s">
        <v>976</v>
      </c>
      <c r="J4331" s="549" t="s">
        <v>976</v>
      </c>
      <c r="L4331" s="549">
        <v>2925303.36</v>
      </c>
      <c r="M4331" s="549">
        <v>220860.4</v>
      </c>
      <c r="N4331" s="549">
        <v>167912.41</v>
      </c>
      <c r="P4331" s="549">
        <v>5.39</v>
      </c>
      <c r="Q4331" s="549">
        <v>20954.849999999999</v>
      </c>
    </row>
    <row r="4332" spans="1:17" x14ac:dyDescent="0.25">
      <c r="A4332" s="549" t="s">
        <v>1069</v>
      </c>
      <c r="B4332" s="549" t="s">
        <v>1070</v>
      </c>
      <c r="C4332" s="549" t="s">
        <v>187</v>
      </c>
      <c r="D4332" s="549" t="s">
        <v>667</v>
      </c>
      <c r="E4332" s="549" t="s">
        <v>973</v>
      </c>
      <c r="F4332" s="549" t="s">
        <v>1537</v>
      </c>
      <c r="G4332" s="549" t="s">
        <v>1542</v>
      </c>
      <c r="H4332" s="549" t="s">
        <v>187</v>
      </c>
      <c r="I4332" s="549" t="s">
        <v>976</v>
      </c>
      <c r="J4332" s="549" t="s">
        <v>976</v>
      </c>
      <c r="L4332" s="549">
        <v>2925303.36</v>
      </c>
      <c r="M4332" s="549">
        <v>220860.4</v>
      </c>
      <c r="N4332" s="549">
        <v>167912.41</v>
      </c>
      <c r="P4332" s="549">
        <v>4.41</v>
      </c>
      <c r="Q4332" s="549">
        <v>17144.88</v>
      </c>
    </row>
    <row r="4333" spans="1:17" x14ac:dyDescent="0.25">
      <c r="A4333" s="549" t="s">
        <v>1069</v>
      </c>
      <c r="B4333" s="549" t="s">
        <v>1070</v>
      </c>
      <c r="C4333" s="549" t="s">
        <v>187</v>
      </c>
      <c r="D4333" s="549" t="s">
        <v>667</v>
      </c>
      <c r="E4333" s="549" t="s">
        <v>973</v>
      </c>
      <c r="F4333" s="549" t="s">
        <v>1537</v>
      </c>
      <c r="G4333" s="549" t="s">
        <v>1543</v>
      </c>
      <c r="H4333" s="549" t="s">
        <v>187</v>
      </c>
      <c r="I4333" s="549" t="s">
        <v>976</v>
      </c>
      <c r="J4333" s="549" t="s">
        <v>976</v>
      </c>
      <c r="L4333" s="549">
        <v>2925303.36</v>
      </c>
      <c r="M4333" s="549">
        <v>220860.4</v>
      </c>
      <c r="N4333" s="549">
        <v>167912.41</v>
      </c>
      <c r="P4333" s="549">
        <v>4.41</v>
      </c>
      <c r="Q4333" s="549">
        <v>17144.88</v>
      </c>
    </row>
    <row r="4334" spans="1:17" x14ac:dyDescent="0.25">
      <c r="A4334" s="549" t="s">
        <v>1069</v>
      </c>
      <c r="B4334" s="549" t="s">
        <v>1070</v>
      </c>
      <c r="C4334" s="549" t="s">
        <v>187</v>
      </c>
      <c r="D4334" s="549" t="s">
        <v>667</v>
      </c>
      <c r="E4334" s="549" t="s">
        <v>977</v>
      </c>
      <c r="F4334" s="549" t="s">
        <v>1537</v>
      </c>
      <c r="G4334" s="549" t="s">
        <v>1545</v>
      </c>
      <c r="H4334" s="549" t="s">
        <v>187</v>
      </c>
      <c r="I4334" s="549" t="s">
        <v>976</v>
      </c>
      <c r="J4334" s="549" t="s">
        <v>976</v>
      </c>
      <c r="L4334" s="549">
        <v>2925303.36</v>
      </c>
      <c r="M4334" s="549">
        <v>220860.4</v>
      </c>
      <c r="N4334" s="549">
        <v>64649.2</v>
      </c>
      <c r="P4334" s="549">
        <v>94.61</v>
      </c>
      <c r="Q4334" s="549">
        <v>270120.63</v>
      </c>
    </row>
    <row r="4335" spans="1:17" x14ac:dyDescent="0.25">
      <c r="A4335" s="549" t="s">
        <v>1069</v>
      </c>
      <c r="B4335" s="549" t="s">
        <v>1070</v>
      </c>
      <c r="C4335" s="549" t="s">
        <v>187</v>
      </c>
      <c r="D4335" s="549" t="s">
        <v>667</v>
      </c>
      <c r="E4335" s="549" t="s">
        <v>977</v>
      </c>
      <c r="F4335" s="549" t="s">
        <v>1537</v>
      </c>
      <c r="G4335" s="549" t="s">
        <v>1542</v>
      </c>
      <c r="H4335" s="549" t="s">
        <v>187</v>
      </c>
      <c r="I4335" s="549" t="s">
        <v>976</v>
      </c>
      <c r="J4335" s="549" t="s">
        <v>976</v>
      </c>
      <c r="L4335" s="549">
        <v>2925303.36</v>
      </c>
      <c r="M4335" s="549">
        <v>220860.4</v>
      </c>
      <c r="N4335" s="549">
        <v>64649.2</v>
      </c>
      <c r="P4335" s="549">
        <v>77.38</v>
      </c>
      <c r="Q4335" s="549">
        <v>220927.33</v>
      </c>
    </row>
    <row r="4336" spans="1:17" x14ac:dyDescent="0.25">
      <c r="A4336" s="549" t="s">
        <v>1069</v>
      </c>
      <c r="B4336" s="549" t="s">
        <v>1070</v>
      </c>
      <c r="C4336" s="549" t="s">
        <v>187</v>
      </c>
      <c r="D4336" s="549" t="s">
        <v>667</v>
      </c>
      <c r="E4336" s="549" t="s">
        <v>977</v>
      </c>
      <c r="F4336" s="549" t="s">
        <v>1537</v>
      </c>
      <c r="G4336" s="549" t="s">
        <v>1543</v>
      </c>
      <c r="H4336" s="549" t="s">
        <v>187</v>
      </c>
      <c r="I4336" s="549" t="s">
        <v>976</v>
      </c>
      <c r="J4336" s="549" t="s">
        <v>976</v>
      </c>
      <c r="L4336" s="549">
        <v>2925303.36</v>
      </c>
      <c r="M4336" s="549">
        <v>220860.4</v>
      </c>
      <c r="N4336" s="549">
        <v>64649.2</v>
      </c>
      <c r="P4336" s="549">
        <v>77.38</v>
      </c>
      <c r="Q4336" s="549">
        <v>220927.33</v>
      </c>
    </row>
    <row r="4337" spans="1:17" x14ac:dyDescent="0.25">
      <c r="A4337" s="549" t="s">
        <v>1071</v>
      </c>
      <c r="B4337" s="549" t="s">
        <v>1072</v>
      </c>
      <c r="C4337" s="549" t="s">
        <v>731</v>
      </c>
      <c r="D4337" s="549" t="s">
        <v>732</v>
      </c>
      <c r="E4337" s="549" t="s">
        <v>977</v>
      </c>
      <c r="F4337" s="549" t="s">
        <v>1537</v>
      </c>
      <c r="G4337" s="549" t="s">
        <v>1541</v>
      </c>
      <c r="H4337" s="549" t="s">
        <v>731</v>
      </c>
      <c r="I4337" s="549" t="s">
        <v>976</v>
      </c>
      <c r="J4337" s="549" t="s">
        <v>976</v>
      </c>
      <c r="L4337" s="549">
        <v>899369.5</v>
      </c>
      <c r="M4337" s="549">
        <v>67902.399999999994</v>
      </c>
      <c r="N4337" s="549">
        <v>19876.07</v>
      </c>
      <c r="P4337" s="549">
        <v>100</v>
      </c>
      <c r="Q4337" s="549">
        <v>87778.47</v>
      </c>
    </row>
    <row r="4338" spans="1:17" x14ac:dyDescent="0.25">
      <c r="A4338" s="549" t="s">
        <v>1071</v>
      </c>
      <c r="B4338" s="549" t="s">
        <v>1072</v>
      </c>
      <c r="C4338" s="549" t="s">
        <v>731</v>
      </c>
      <c r="D4338" s="549" t="s">
        <v>732</v>
      </c>
      <c r="E4338" s="549" t="s">
        <v>977</v>
      </c>
      <c r="F4338" s="549" t="s">
        <v>1537</v>
      </c>
      <c r="G4338" s="549" t="s">
        <v>1544</v>
      </c>
      <c r="H4338" s="549" t="s">
        <v>731</v>
      </c>
      <c r="I4338" s="549" t="s">
        <v>976</v>
      </c>
      <c r="J4338" s="549" t="s">
        <v>976</v>
      </c>
      <c r="L4338" s="549">
        <v>899369.5</v>
      </c>
      <c r="M4338" s="549">
        <v>67902.399999999994</v>
      </c>
      <c r="N4338" s="549">
        <v>19876.07</v>
      </c>
      <c r="P4338" s="549">
        <v>100</v>
      </c>
      <c r="Q4338" s="549">
        <v>87778.47</v>
      </c>
    </row>
    <row r="4339" spans="1:17" x14ac:dyDescent="0.25">
      <c r="A4339" s="549" t="s">
        <v>1071</v>
      </c>
      <c r="B4339" s="549" t="s">
        <v>1072</v>
      </c>
      <c r="C4339" s="549" t="s">
        <v>731</v>
      </c>
      <c r="D4339" s="549" t="s">
        <v>732</v>
      </c>
      <c r="E4339" s="549" t="s">
        <v>977</v>
      </c>
      <c r="F4339" s="549" t="s">
        <v>1537</v>
      </c>
      <c r="G4339" s="549" t="s">
        <v>1542</v>
      </c>
      <c r="H4339" s="549" t="s">
        <v>731</v>
      </c>
      <c r="I4339" s="549" t="s">
        <v>976</v>
      </c>
      <c r="J4339" s="549" t="s">
        <v>976</v>
      </c>
      <c r="L4339" s="549">
        <v>741995.06</v>
      </c>
      <c r="M4339" s="549">
        <v>56020.63</v>
      </c>
      <c r="N4339" s="549">
        <v>16398.09</v>
      </c>
      <c r="P4339" s="549">
        <v>100</v>
      </c>
      <c r="Q4339" s="549">
        <v>72418.720000000001</v>
      </c>
    </row>
    <row r="4340" spans="1:17" x14ac:dyDescent="0.25">
      <c r="A4340" s="549" t="s">
        <v>1071</v>
      </c>
      <c r="B4340" s="549" t="s">
        <v>1072</v>
      </c>
      <c r="C4340" s="549" t="s">
        <v>731</v>
      </c>
      <c r="D4340" s="549" t="s">
        <v>732</v>
      </c>
      <c r="E4340" s="549" t="s">
        <v>977</v>
      </c>
      <c r="F4340" s="549" t="s">
        <v>1537</v>
      </c>
      <c r="G4340" s="549" t="s">
        <v>1543</v>
      </c>
      <c r="H4340" s="549" t="s">
        <v>731</v>
      </c>
      <c r="I4340" s="549" t="s">
        <v>976</v>
      </c>
      <c r="J4340" s="549" t="s">
        <v>976</v>
      </c>
      <c r="L4340" s="549">
        <v>989326.75</v>
      </c>
      <c r="M4340" s="549">
        <v>74694.17</v>
      </c>
      <c r="N4340" s="549">
        <v>21864.12</v>
      </c>
      <c r="P4340" s="549">
        <v>100</v>
      </c>
      <c r="Q4340" s="549">
        <v>96558.29</v>
      </c>
    </row>
    <row r="4341" spans="1:17" x14ac:dyDescent="0.25">
      <c r="A4341" s="549" t="s">
        <v>1071</v>
      </c>
      <c r="B4341" s="549" t="s">
        <v>1072</v>
      </c>
      <c r="C4341" s="549" t="s">
        <v>731</v>
      </c>
      <c r="D4341" s="549" t="s">
        <v>732</v>
      </c>
      <c r="E4341" s="549" t="s">
        <v>977</v>
      </c>
      <c r="F4341" s="549" t="s">
        <v>1537</v>
      </c>
      <c r="G4341" s="549" t="s">
        <v>1548</v>
      </c>
      <c r="H4341" s="549" t="s">
        <v>731</v>
      </c>
      <c r="I4341" s="549" t="s">
        <v>976</v>
      </c>
      <c r="J4341" s="549" t="s">
        <v>976</v>
      </c>
      <c r="L4341" s="549">
        <v>741995.06</v>
      </c>
      <c r="M4341" s="549">
        <v>56020.63</v>
      </c>
      <c r="N4341" s="549">
        <v>16398.09</v>
      </c>
      <c r="P4341" s="549">
        <v>100</v>
      </c>
      <c r="Q4341" s="549">
        <v>72418.720000000001</v>
      </c>
    </row>
    <row r="4342" spans="1:17" x14ac:dyDescent="0.25">
      <c r="A4342" s="549" t="s">
        <v>1071</v>
      </c>
      <c r="B4342" s="549" t="s">
        <v>1072</v>
      </c>
      <c r="C4342" s="549" t="s">
        <v>723</v>
      </c>
      <c r="D4342" s="549" t="s">
        <v>724</v>
      </c>
      <c r="E4342" s="549" t="s">
        <v>977</v>
      </c>
      <c r="F4342" s="549" t="s">
        <v>1537</v>
      </c>
      <c r="G4342" s="549" t="s">
        <v>1540</v>
      </c>
      <c r="H4342" s="549" t="s">
        <v>723</v>
      </c>
      <c r="I4342" s="549" t="s">
        <v>976</v>
      </c>
      <c r="J4342" s="549" t="s">
        <v>976</v>
      </c>
      <c r="L4342" s="549">
        <v>394267.66</v>
      </c>
      <c r="M4342" s="549">
        <v>29767.21</v>
      </c>
      <c r="N4342" s="549">
        <v>8713.32</v>
      </c>
      <c r="P4342" s="549">
        <v>100</v>
      </c>
      <c r="Q4342" s="549">
        <v>38480.53</v>
      </c>
    </row>
    <row r="4343" spans="1:17" x14ac:dyDescent="0.25">
      <c r="A4343" s="549" t="s">
        <v>1071</v>
      </c>
      <c r="B4343" s="549" t="s">
        <v>1072</v>
      </c>
      <c r="C4343" s="549" t="s">
        <v>729</v>
      </c>
      <c r="D4343" s="549" t="s">
        <v>730</v>
      </c>
      <c r="E4343" s="549" t="s">
        <v>977</v>
      </c>
      <c r="F4343" s="549" t="s">
        <v>1537</v>
      </c>
      <c r="G4343" s="549" t="s">
        <v>1541</v>
      </c>
      <c r="H4343" s="549" t="s">
        <v>729</v>
      </c>
      <c r="I4343" s="549" t="s">
        <v>976</v>
      </c>
      <c r="J4343" s="549" t="s">
        <v>976</v>
      </c>
      <c r="L4343" s="549">
        <v>1062922.21</v>
      </c>
      <c r="M4343" s="549">
        <v>80250.63</v>
      </c>
      <c r="N4343" s="549">
        <v>23490.58</v>
      </c>
      <c r="P4343" s="549">
        <v>100</v>
      </c>
      <c r="Q4343" s="549">
        <v>103741.21</v>
      </c>
    </row>
    <row r="4344" spans="1:17" x14ac:dyDescent="0.25">
      <c r="A4344" s="549" t="s">
        <v>1071</v>
      </c>
      <c r="B4344" s="549" t="s">
        <v>1072</v>
      </c>
      <c r="C4344" s="549" t="s">
        <v>729</v>
      </c>
      <c r="D4344" s="549" t="s">
        <v>730</v>
      </c>
      <c r="E4344" s="549" t="s">
        <v>977</v>
      </c>
      <c r="F4344" s="549" t="s">
        <v>1537</v>
      </c>
      <c r="G4344" s="549" t="s">
        <v>1544</v>
      </c>
      <c r="H4344" s="549" t="s">
        <v>729</v>
      </c>
      <c r="I4344" s="549" t="s">
        <v>976</v>
      </c>
      <c r="J4344" s="549" t="s">
        <v>976</v>
      </c>
      <c r="L4344" s="549">
        <v>797191.65</v>
      </c>
      <c r="M4344" s="549">
        <v>60187.97</v>
      </c>
      <c r="N4344" s="549">
        <v>17617.939999999999</v>
      </c>
      <c r="P4344" s="549">
        <v>100</v>
      </c>
      <c r="Q4344" s="549">
        <v>77805.91</v>
      </c>
    </row>
    <row r="4345" spans="1:17" x14ac:dyDescent="0.25">
      <c r="A4345" s="549" t="s">
        <v>1071</v>
      </c>
      <c r="B4345" s="549" t="s">
        <v>1072</v>
      </c>
      <c r="C4345" s="549" t="s">
        <v>729</v>
      </c>
      <c r="D4345" s="549" t="s">
        <v>730</v>
      </c>
      <c r="E4345" s="549" t="s">
        <v>977</v>
      </c>
      <c r="F4345" s="549" t="s">
        <v>1537</v>
      </c>
      <c r="G4345" s="549" t="s">
        <v>1545</v>
      </c>
      <c r="H4345" s="549" t="s">
        <v>729</v>
      </c>
      <c r="I4345" s="549" t="s">
        <v>976</v>
      </c>
      <c r="J4345" s="549" t="s">
        <v>976</v>
      </c>
      <c r="L4345" s="549">
        <v>1062922.21</v>
      </c>
      <c r="M4345" s="549">
        <v>80250.63</v>
      </c>
      <c r="N4345" s="549">
        <v>23490.58</v>
      </c>
      <c r="P4345" s="549">
        <v>100</v>
      </c>
      <c r="Q4345" s="549">
        <v>103741.21</v>
      </c>
    </row>
    <row r="4346" spans="1:17" x14ac:dyDescent="0.25">
      <c r="A4346" s="549" t="s">
        <v>1071</v>
      </c>
      <c r="B4346" s="549" t="s">
        <v>1072</v>
      </c>
      <c r="C4346" s="549" t="s">
        <v>729</v>
      </c>
      <c r="D4346" s="549" t="s">
        <v>730</v>
      </c>
      <c r="E4346" s="549" t="s">
        <v>977</v>
      </c>
      <c r="F4346" s="549" t="s">
        <v>1537</v>
      </c>
      <c r="G4346" s="549" t="s">
        <v>1542</v>
      </c>
      <c r="H4346" s="549" t="s">
        <v>729</v>
      </c>
      <c r="I4346" s="549" t="s">
        <v>976</v>
      </c>
      <c r="J4346" s="549" t="s">
        <v>976</v>
      </c>
      <c r="L4346" s="549">
        <v>2341000.84</v>
      </c>
      <c r="M4346" s="549">
        <v>176745.56</v>
      </c>
      <c r="N4346" s="549">
        <v>51736.12</v>
      </c>
      <c r="P4346" s="549">
        <v>100</v>
      </c>
      <c r="Q4346" s="549">
        <v>228481.68</v>
      </c>
    </row>
    <row r="4347" spans="1:17" x14ac:dyDescent="0.25">
      <c r="A4347" s="549" t="s">
        <v>1071</v>
      </c>
      <c r="B4347" s="549" t="s">
        <v>1072</v>
      </c>
      <c r="C4347" s="549" t="s">
        <v>729</v>
      </c>
      <c r="D4347" s="549" t="s">
        <v>730</v>
      </c>
      <c r="E4347" s="549" t="s">
        <v>977</v>
      </c>
      <c r="F4347" s="549" t="s">
        <v>1537</v>
      </c>
      <c r="G4347" s="549" t="s">
        <v>1543</v>
      </c>
      <c r="H4347" s="549" t="s">
        <v>729</v>
      </c>
      <c r="I4347" s="549" t="s">
        <v>976</v>
      </c>
      <c r="J4347" s="549" t="s">
        <v>976</v>
      </c>
      <c r="L4347" s="549">
        <v>2341000.84</v>
      </c>
      <c r="M4347" s="549">
        <v>176745.56</v>
      </c>
      <c r="N4347" s="549">
        <v>51736.12</v>
      </c>
      <c r="P4347" s="549">
        <v>100</v>
      </c>
      <c r="Q4347" s="549">
        <v>228481.68</v>
      </c>
    </row>
    <row r="4348" spans="1:17" x14ac:dyDescent="0.25">
      <c r="A4348" s="549" t="s">
        <v>1071</v>
      </c>
      <c r="B4348" s="549" t="s">
        <v>1072</v>
      </c>
      <c r="C4348" s="549" t="s">
        <v>725</v>
      </c>
      <c r="D4348" s="549" t="s">
        <v>726</v>
      </c>
      <c r="E4348" s="549" t="s">
        <v>977</v>
      </c>
      <c r="F4348" s="549" t="s">
        <v>1537</v>
      </c>
      <c r="G4348" s="549" t="s">
        <v>1540</v>
      </c>
      <c r="H4348" s="549" t="s">
        <v>725</v>
      </c>
      <c r="I4348" s="549" t="s">
        <v>976</v>
      </c>
      <c r="J4348" s="549" t="s">
        <v>976</v>
      </c>
      <c r="L4348" s="549">
        <v>311127.81</v>
      </c>
      <c r="M4348" s="549">
        <v>23490.15</v>
      </c>
      <c r="N4348" s="549">
        <v>6875.92</v>
      </c>
      <c r="P4348" s="549">
        <v>100</v>
      </c>
      <c r="Q4348" s="549">
        <v>30366.07</v>
      </c>
    </row>
    <row r="4349" spans="1:17" x14ac:dyDescent="0.25">
      <c r="A4349" s="549" t="s">
        <v>1071</v>
      </c>
      <c r="B4349" s="549" t="s">
        <v>1072</v>
      </c>
      <c r="C4349" s="549" t="s">
        <v>512</v>
      </c>
      <c r="D4349" s="549" t="s">
        <v>722</v>
      </c>
      <c r="E4349" s="549" t="s">
        <v>977</v>
      </c>
      <c r="F4349" s="549" t="s">
        <v>1537</v>
      </c>
      <c r="G4349" s="549" t="s">
        <v>1543</v>
      </c>
      <c r="H4349" s="549" t="s">
        <v>512</v>
      </c>
      <c r="I4349" s="549" t="s">
        <v>976</v>
      </c>
      <c r="J4349" s="549" t="s">
        <v>976</v>
      </c>
      <c r="L4349" s="549">
        <v>578823.81000000006</v>
      </c>
      <c r="M4349" s="549">
        <v>43701.2</v>
      </c>
      <c r="N4349" s="549">
        <v>12792.01</v>
      </c>
      <c r="P4349" s="549">
        <v>100</v>
      </c>
      <c r="Q4349" s="549">
        <v>56493.21</v>
      </c>
    </row>
    <row r="4350" spans="1:17" x14ac:dyDescent="0.25">
      <c r="A4350" s="549" t="s">
        <v>1071</v>
      </c>
      <c r="B4350" s="549" t="s">
        <v>1072</v>
      </c>
      <c r="C4350" s="549" t="s">
        <v>727</v>
      </c>
      <c r="D4350" s="549" t="s">
        <v>728</v>
      </c>
      <c r="E4350" s="549" t="s">
        <v>977</v>
      </c>
      <c r="F4350" s="549" t="s">
        <v>1537</v>
      </c>
      <c r="G4350" s="549" t="s">
        <v>1542</v>
      </c>
      <c r="H4350" s="549" t="s">
        <v>727</v>
      </c>
      <c r="I4350" s="549" t="s">
        <v>976</v>
      </c>
      <c r="J4350" s="549" t="s">
        <v>976</v>
      </c>
      <c r="L4350" s="549">
        <v>703867.4</v>
      </c>
      <c r="M4350" s="549">
        <v>53141.99</v>
      </c>
      <c r="N4350" s="549">
        <v>15555.47</v>
      </c>
      <c r="P4350" s="549">
        <v>100</v>
      </c>
      <c r="Q4350" s="549">
        <v>68697.460000000006</v>
      </c>
    </row>
    <row r="4351" spans="1:17" x14ac:dyDescent="0.25">
      <c r="A4351" s="549" t="s">
        <v>1071</v>
      </c>
      <c r="B4351" s="549" t="s">
        <v>1072</v>
      </c>
      <c r="C4351" s="549" t="s">
        <v>727</v>
      </c>
      <c r="D4351" s="549" t="s">
        <v>728</v>
      </c>
      <c r="E4351" s="549" t="s">
        <v>977</v>
      </c>
      <c r="F4351" s="549" t="s">
        <v>1537</v>
      </c>
      <c r="G4351" s="549" t="s">
        <v>1551</v>
      </c>
      <c r="H4351" s="549" t="s">
        <v>727</v>
      </c>
      <c r="I4351" s="549" t="s">
        <v>976</v>
      </c>
      <c r="J4351" s="549" t="s">
        <v>976</v>
      </c>
      <c r="L4351" s="549">
        <v>703867.4</v>
      </c>
      <c r="M4351" s="549">
        <v>53141.99</v>
      </c>
      <c r="N4351" s="549">
        <v>15555.47</v>
      </c>
      <c r="P4351" s="549">
        <v>100</v>
      </c>
      <c r="Q4351" s="549">
        <v>68697.460000000006</v>
      </c>
    </row>
    <row r="4352" spans="1:17" x14ac:dyDescent="0.25">
      <c r="A4352" s="549" t="s">
        <v>1071</v>
      </c>
      <c r="B4352" s="549" t="s">
        <v>1072</v>
      </c>
      <c r="C4352" s="549" t="s">
        <v>733</v>
      </c>
      <c r="D4352" s="549" t="s">
        <v>734</v>
      </c>
      <c r="E4352" s="549" t="s">
        <v>977</v>
      </c>
      <c r="F4352" s="549" t="s">
        <v>1537</v>
      </c>
      <c r="G4352" s="549" t="s">
        <v>1540</v>
      </c>
      <c r="H4352" s="549" t="s">
        <v>733</v>
      </c>
      <c r="I4352" s="549" t="s">
        <v>976</v>
      </c>
      <c r="J4352" s="549" t="s">
        <v>976</v>
      </c>
      <c r="L4352" s="549">
        <v>2511376.15</v>
      </c>
      <c r="M4352" s="549">
        <v>189608.9</v>
      </c>
      <c r="N4352" s="549">
        <v>55501.41</v>
      </c>
      <c r="P4352" s="549">
        <v>100</v>
      </c>
      <c r="Q4352" s="549">
        <v>245110.31</v>
      </c>
    </row>
    <row r="4353" spans="1:17" x14ac:dyDescent="0.25">
      <c r="A4353" s="549" t="s">
        <v>1071</v>
      </c>
      <c r="B4353" s="549" t="s">
        <v>1072</v>
      </c>
      <c r="C4353" s="549" t="s">
        <v>733</v>
      </c>
      <c r="D4353" s="549" t="s">
        <v>734</v>
      </c>
      <c r="E4353" s="549" t="s">
        <v>977</v>
      </c>
      <c r="F4353" s="549" t="s">
        <v>1537</v>
      </c>
      <c r="G4353" s="549" t="s">
        <v>1541</v>
      </c>
      <c r="H4353" s="549" t="s">
        <v>733</v>
      </c>
      <c r="I4353" s="549" t="s">
        <v>976</v>
      </c>
      <c r="J4353" s="549" t="s">
        <v>976</v>
      </c>
      <c r="L4353" s="549">
        <v>2511376.15</v>
      </c>
      <c r="M4353" s="549">
        <v>189608.9</v>
      </c>
      <c r="N4353" s="549">
        <v>55501.41</v>
      </c>
      <c r="P4353" s="549">
        <v>100</v>
      </c>
      <c r="Q4353" s="549">
        <v>245110.31</v>
      </c>
    </row>
    <row r="4354" spans="1:17" x14ac:dyDescent="0.25">
      <c r="A4354" s="549" t="s">
        <v>1071</v>
      </c>
      <c r="B4354" s="549" t="s">
        <v>1072</v>
      </c>
      <c r="C4354" s="549" t="s">
        <v>735</v>
      </c>
      <c r="D4354" s="549" t="s">
        <v>736</v>
      </c>
      <c r="E4354" s="549" t="s">
        <v>977</v>
      </c>
      <c r="F4354" s="549" t="s">
        <v>1537</v>
      </c>
      <c r="G4354" s="549" t="s">
        <v>1542</v>
      </c>
      <c r="H4354" s="549" t="s">
        <v>731</v>
      </c>
      <c r="I4354" s="549" t="s">
        <v>976</v>
      </c>
      <c r="J4354" s="549" t="s">
        <v>976</v>
      </c>
      <c r="L4354" s="549">
        <v>741995.06</v>
      </c>
      <c r="M4354" s="549">
        <v>56020.63</v>
      </c>
      <c r="N4354" s="549">
        <v>16398.09</v>
      </c>
      <c r="P4354" s="549">
        <v>0</v>
      </c>
      <c r="Q4354" s="549">
        <v>0</v>
      </c>
    </row>
    <row r="4355" spans="1:17" x14ac:dyDescent="0.25">
      <c r="A4355" s="549" t="s">
        <v>1071</v>
      </c>
      <c r="B4355" s="549" t="s">
        <v>1072</v>
      </c>
      <c r="C4355" s="549" t="s">
        <v>735</v>
      </c>
      <c r="D4355" s="549" t="s">
        <v>736</v>
      </c>
      <c r="E4355" s="549" t="s">
        <v>977</v>
      </c>
      <c r="F4355" s="549" t="s">
        <v>1537</v>
      </c>
      <c r="G4355" s="549" t="s">
        <v>1543</v>
      </c>
      <c r="H4355" s="549" t="s">
        <v>731</v>
      </c>
      <c r="I4355" s="549" t="s">
        <v>976</v>
      </c>
      <c r="J4355" s="549" t="s">
        <v>976</v>
      </c>
      <c r="L4355" s="549">
        <v>989326.75</v>
      </c>
      <c r="M4355" s="549">
        <v>74694.17</v>
      </c>
      <c r="N4355" s="549">
        <v>21864.12</v>
      </c>
      <c r="P4355" s="549">
        <v>0</v>
      </c>
      <c r="Q4355" s="549">
        <v>0</v>
      </c>
    </row>
    <row r="4356" spans="1:17" x14ac:dyDescent="0.25">
      <c r="A4356" s="549" t="s">
        <v>1071</v>
      </c>
      <c r="B4356" s="549" t="s">
        <v>1072</v>
      </c>
      <c r="C4356" s="549" t="s">
        <v>735</v>
      </c>
      <c r="D4356" s="549" t="s">
        <v>736</v>
      </c>
      <c r="E4356" s="549" t="s">
        <v>977</v>
      </c>
      <c r="F4356" s="549" t="s">
        <v>1537</v>
      </c>
      <c r="G4356" s="549" t="s">
        <v>1548</v>
      </c>
      <c r="H4356" s="549" t="s">
        <v>731</v>
      </c>
      <c r="I4356" s="549" t="s">
        <v>976</v>
      </c>
      <c r="J4356" s="549" t="s">
        <v>976</v>
      </c>
      <c r="L4356" s="549">
        <v>741995.06</v>
      </c>
      <c r="M4356" s="549">
        <v>56020.63</v>
      </c>
      <c r="N4356" s="549">
        <v>16398.09</v>
      </c>
      <c r="P4356" s="549">
        <v>0</v>
      </c>
      <c r="Q4356" s="549">
        <v>0</v>
      </c>
    </row>
    <row r="4357" spans="1:17" x14ac:dyDescent="0.25">
      <c r="A4357" s="549" t="s">
        <v>1071</v>
      </c>
      <c r="B4357" s="549" t="s">
        <v>1072</v>
      </c>
      <c r="C4357" s="549" t="s">
        <v>720</v>
      </c>
      <c r="D4357" s="549" t="s">
        <v>721</v>
      </c>
      <c r="E4357" s="549" t="s">
        <v>973</v>
      </c>
      <c r="F4357" s="549" t="s">
        <v>1537</v>
      </c>
      <c r="G4357" s="549" t="s">
        <v>1540</v>
      </c>
      <c r="H4357" s="549" t="s">
        <v>720</v>
      </c>
      <c r="I4357" s="549" t="s">
        <v>976</v>
      </c>
      <c r="J4357" s="549" t="s">
        <v>976</v>
      </c>
      <c r="L4357" s="549">
        <v>1190315.6499999999</v>
      </c>
      <c r="M4357" s="549">
        <v>89868.83</v>
      </c>
      <c r="N4357" s="549">
        <v>68324.12</v>
      </c>
      <c r="P4357" s="549">
        <v>0</v>
      </c>
      <c r="Q4357" s="549">
        <v>0</v>
      </c>
    </row>
    <row r="4358" spans="1:17" x14ac:dyDescent="0.25">
      <c r="A4358" s="549" t="s">
        <v>1071</v>
      </c>
      <c r="B4358" s="549" t="s">
        <v>1072</v>
      </c>
      <c r="C4358" s="549" t="s">
        <v>720</v>
      </c>
      <c r="D4358" s="549" t="s">
        <v>721</v>
      </c>
      <c r="E4358" s="549" t="s">
        <v>973</v>
      </c>
      <c r="F4358" s="549" t="s">
        <v>1537</v>
      </c>
      <c r="G4358" s="549" t="s">
        <v>1541</v>
      </c>
      <c r="H4358" s="549" t="s">
        <v>720</v>
      </c>
      <c r="I4358" s="549" t="s">
        <v>976</v>
      </c>
      <c r="J4358" s="549" t="s">
        <v>976</v>
      </c>
      <c r="L4358" s="549">
        <v>1190315.6499999999</v>
      </c>
      <c r="M4358" s="549">
        <v>89868.83</v>
      </c>
      <c r="N4358" s="549">
        <v>68324.12</v>
      </c>
      <c r="P4358" s="549">
        <v>0</v>
      </c>
      <c r="Q4358" s="549">
        <v>0</v>
      </c>
    </row>
    <row r="4359" spans="1:17" x14ac:dyDescent="0.25">
      <c r="A4359" s="549" t="s">
        <v>1071</v>
      </c>
      <c r="B4359" s="549" t="s">
        <v>1072</v>
      </c>
      <c r="C4359" s="549" t="s">
        <v>720</v>
      </c>
      <c r="D4359" s="549" t="s">
        <v>721</v>
      </c>
      <c r="E4359" s="549" t="s">
        <v>977</v>
      </c>
      <c r="F4359" s="549" t="s">
        <v>1537</v>
      </c>
      <c r="G4359" s="549" t="s">
        <v>1540</v>
      </c>
      <c r="H4359" s="549" t="s">
        <v>720</v>
      </c>
      <c r="I4359" s="549" t="s">
        <v>976</v>
      </c>
      <c r="J4359" s="549" t="s">
        <v>976</v>
      </c>
      <c r="L4359" s="549">
        <v>1190315.6499999999</v>
      </c>
      <c r="M4359" s="549">
        <v>89868.83</v>
      </c>
      <c r="N4359" s="549">
        <v>26305.98</v>
      </c>
      <c r="P4359" s="549">
        <v>100</v>
      </c>
      <c r="Q4359" s="549">
        <v>116174.81</v>
      </c>
    </row>
    <row r="4360" spans="1:17" x14ac:dyDescent="0.25">
      <c r="A4360" s="549" t="s">
        <v>1071</v>
      </c>
      <c r="B4360" s="549" t="s">
        <v>1072</v>
      </c>
      <c r="C4360" s="549" t="s">
        <v>720</v>
      </c>
      <c r="D4360" s="549" t="s">
        <v>721</v>
      </c>
      <c r="E4360" s="549" t="s">
        <v>977</v>
      </c>
      <c r="F4360" s="549" t="s">
        <v>1537</v>
      </c>
      <c r="G4360" s="549" t="s">
        <v>1541</v>
      </c>
      <c r="H4360" s="549" t="s">
        <v>720</v>
      </c>
      <c r="I4360" s="549" t="s">
        <v>976</v>
      </c>
      <c r="J4360" s="549" t="s">
        <v>976</v>
      </c>
      <c r="L4360" s="549">
        <v>1190315.6499999999</v>
      </c>
      <c r="M4360" s="549">
        <v>89868.83</v>
      </c>
      <c r="N4360" s="549">
        <v>26305.98</v>
      </c>
      <c r="P4360" s="549">
        <v>100</v>
      </c>
      <c r="Q4360" s="549">
        <v>116174.81</v>
      </c>
    </row>
    <row r="4361" spans="1:17" x14ac:dyDescent="0.25">
      <c r="A4361" s="549" t="s">
        <v>1078</v>
      </c>
      <c r="B4361" s="549" t="s">
        <v>1079</v>
      </c>
      <c r="C4361" s="549" t="s">
        <v>739</v>
      </c>
      <c r="D4361" s="549" t="s">
        <v>740</v>
      </c>
      <c r="E4361" s="549" t="s">
        <v>977</v>
      </c>
      <c r="F4361" s="549" t="s">
        <v>1537</v>
      </c>
      <c r="G4361" s="549" t="s">
        <v>1540</v>
      </c>
      <c r="H4361" s="549" t="s">
        <v>739</v>
      </c>
      <c r="I4361" s="549" t="s">
        <v>976</v>
      </c>
      <c r="J4361" s="549" t="s">
        <v>976</v>
      </c>
      <c r="L4361" s="549">
        <v>1435014.13</v>
      </c>
      <c r="M4361" s="549">
        <v>108343.57</v>
      </c>
      <c r="N4361" s="549">
        <v>31713.81</v>
      </c>
      <c r="P4361" s="549">
        <v>100</v>
      </c>
      <c r="Q4361" s="549">
        <v>140057.38</v>
      </c>
    </row>
    <row r="4362" spans="1:17" x14ac:dyDescent="0.25">
      <c r="A4362" s="549" t="s">
        <v>1078</v>
      </c>
      <c r="B4362" s="549" t="s">
        <v>1079</v>
      </c>
      <c r="C4362" s="549" t="s">
        <v>739</v>
      </c>
      <c r="D4362" s="549" t="s">
        <v>740</v>
      </c>
      <c r="E4362" s="549" t="s">
        <v>977</v>
      </c>
      <c r="F4362" s="549" t="s">
        <v>1537</v>
      </c>
      <c r="G4362" s="549" t="s">
        <v>1541</v>
      </c>
      <c r="H4362" s="549" t="s">
        <v>739</v>
      </c>
      <c r="I4362" s="549" t="s">
        <v>976</v>
      </c>
      <c r="J4362" s="549" t="s">
        <v>976</v>
      </c>
      <c r="L4362" s="549">
        <v>1435014.13</v>
      </c>
      <c r="M4362" s="549">
        <v>108343.57</v>
      </c>
      <c r="N4362" s="549">
        <v>31713.81</v>
      </c>
      <c r="P4362" s="549">
        <v>100</v>
      </c>
      <c r="Q4362" s="549">
        <v>140057.38</v>
      </c>
    </row>
    <row r="4363" spans="1:17" x14ac:dyDescent="0.25">
      <c r="A4363" s="549" t="s">
        <v>1078</v>
      </c>
      <c r="B4363" s="549" t="s">
        <v>1079</v>
      </c>
      <c r="C4363" s="549" t="s">
        <v>741</v>
      </c>
      <c r="D4363" s="549" t="s">
        <v>455</v>
      </c>
      <c r="E4363" s="549" t="s">
        <v>973</v>
      </c>
      <c r="F4363" s="549" t="s">
        <v>1537</v>
      </c>
      <c r="G4363" s="549" t="s">
        <v>1540</v>
      </c>
      <c r="H4363" s="549" t="s">
        <v>741</v>
      </c>
      <c r="I4363" s="549" t="s">
        <v>976</v>
      </c>
      <c r="J4363" s="549" t="s">
        <v>976</v>
      </c>
      <c r="L4363" s="549">
        <v>1435816.38</v>
      </c>
      <c r="M4363" s="549">
        <v>108404.14</v>
      </c>
      <c r="N4363" s="549">
        <v>82415.86</v>
      </c>
      <c r="P4363" s="549">
        <v>0</v>
      </c>
      <c r="Q4363" s="549">
        <v>0</v>
      </c>
    </row>
    <row r="4364" spans="1:17" x14ac:dyDescent="0.25">
      <c r="A4364" s="549" t="s">
        <v>1078</v>
      </c>
      <c r="B4364" s="549" t="s">
        <v>1079</v>
      </c>
      <c r="C4364" s="549" t="s">
        <v>741</v>
      </c>
      <c r="D4364" s="549" t="s">
        <v>455</v>
      </c>
      <c r="E4364" s="549" t="s">
        <v>973</v>
      </c>
      <c r="F4364" s="549" t="s">
        <v>1537</v>
      </c>
      <c r="G4364" s="549" t="s">
        <v>1541</v>
      </c>
      <c r="H4364" s="549" t="s">
        <v>741</v>
      </c>
      <c r="I4364" s="549" t="s">
        <v>976</v>
      </c>
      <c r="J4364" s="549" t="s">
        <v>976</v>
      </c>
      <c r="L4364" s="549">
        <v>1435816.38</v>
      </c>
      <c r="M4364" s="549">
        <v>108404.14</v>
      </c>
      <c r="N4364" s="549">
        <v>82415.86</v>
      </c>
      <c r="P4364" s="549">
        <v>0</v>
      </c>
      <c r="Q4364" s="549">
        <v>0</v>
      </c>
    </row>
    <row r="4365" spans="1:17" x14ac:dyDescent="0.25">
      <c r="A4365" s="549" t="s">
        <v>1078</v>
      </c>
      <c r="B4365" s="549" t="s">
        <v>1079</v>
      </c>
      <c r="C4365" s="549" t="s">
        <v>741</v>
      </c>
      <c r="D4365" s="549" t="s">
        <v>455</v>
      </c>
      <c r="E4365" s="549" t="s">
        <v>977</v>
      </c>
      <c r="F4365" s="549" t="s">
        <v>1537</v>
      </c>
      <c r="G4365" s="549" t="s">
        <v>1540</v>
      </c>
      <c r="H4365" s="549" t="s">
        <v>741</v>
      </c>
      <c r="I4365" s="549" t="s">
        <v>976</v>
      </c>
      <c r="J4365" s="549" t="s">
        <v>976</v>
      </c>
      <c r="L4365" s="549">
        <v>1435816.38</v>
      </c>
      <c r="M4365" s="549">
        <v>108404.14</v>
      </c>
      <c r="N4365" s="549">
        <v>31731.54</v>
      </c>
      <c r="P4365" s="549">
        <v>100</v>
      </c>
      <c r="Q4365" s="549">
        <v>140135.67999999999</v>
      </c>
    </row>
    <row r="4366" spans="1:17" x14ac:dyDescent="0.25">
      <c r="A4366" s="549" t="s">
        <v>1078</v>
      </c>
      <c r="B4366" s="549" t="s">
        <v>1079</v>
      </c>
      <c r="C4366" s="549" t="s">
        <v>741</v>
      </c>
      <c r="D4366" s="549" t="s">
        <v>455</v>
      </c>
      <c r="E4366" s="549" t="s">
        <v>977</v>
      </c>
      <c r="F4366" s="549" t="s">
        <v>1537</v>
      </c>
      <c r="G4366" s="549" t="s">
        <v>1541</v>
      </c>
      <c r="H4366" s="549" t="s">
        <v>741</v>
      </c>
      <c r="I4366" s="549" t="s">
        <v>976</v>
      </c>
      <c r="J4366" s="549" t="s">
        <v>976</v>
      </c>
      <c r="L4366" s="549">
        <v>1435816.38</v>
      </c>
      <c r="M4366" s="549">
        <v>108404.14</v>
      </c>
      <c r="N4366" s="549">
        <v>31731.54</v>
      </c>
      <c r="P4366" s="549">
        <v>100</v>
      </c>
      <c r="Q4366" s="549">
        <v>140135.67999999999</v>
      </c>
    </row>
    <row r="4367" spans="1:17" x14ac:dyDescent="0.25">
      <c r="A4367" s="549" t="s">
        <v>1078</v>
      </c>
      <c r="B4367" s="549" t="s">
        <v>1079</v>
      </c>
      <c r="C4367" s="549" t="s">
        <v>737</v>
      </c>
      <c r="D4367" s="549" t="s">
        <v>738</v>
      </c>
      <c r="E4367" s="549" t="s">
        <v>977</v>
      </c>
      <c r="F4367" s="549" t="s">
        <v>1537</v>
      </c>
      <c r="G4367" s="549" t="s">
        <v>1540</v>
      </c>
      <c r="H4367" s="549" t="s">
        <v>737</v>
      </c>
      <c r="I4367" s="549" t="s">
        <v>976</v>
      </c>
      <c r="J4367" s="549" t="s">
        <v>976</v>
      </c>
      <c r="L4367" s="549">
        <v>564711.88</v>
      </c>
      <c r="M4367" s="549">
        <v>42635.75</v>
      </c>
      <c r="N4367" s="549">
        <v>12480.13</v>
      </c>
      <c r="P4367" s="549">
        <v>100</v>
      </c>
      <c r="Q4367" s="549">
        <v>55115.88</v>
      </c>
    </row>
    <row r="4368" spans="1:17" x14ac:dyDescent="0.25">
      <c r="A4368" s="549" t="s">
        <v>1147</v>
      </c>
      <c r="B4368" s="549" t="s">
        <v>1148</v>
      </c>
      <c r="C4368" s="549" t="s">
        <v>539</v>
      </c>
      <c r="D4368" s="549" t="s">
        <v>1149</v>
      </c>
      <c r="E4368" s="549" t="s">
        <v>973</v>
      </c>
      <c r="F4368" s="549" t="s">
        <v>1537</v>
      </c>
      <c r="G4368" s="549" t="s">
        <v>1540</v>
      </c>
      <c r="H4368" s="549" t="s">
        <v>539</v>
      </c>
      <c r="I4368" s="549" t="s">
        <v>976</v>
      </c>
      <c r="J4368" s="549" t="s">
        <v>976</v>
      </c>
      <c r="L4368" s="549">
        <v>1682705.69</v>
      </c>
      <c r="M4368" s="549">
        <v>127044.28</v>
      </c>
      <c r="N4368" s="549">
        <v>96587.31</v>
      </c>
      <c r="P4368" s="549">
        <v>0</v>
      </c>
      <c r="Q4368" s="549">
        <v>0</v>
      </c>
    </row>
    <row r="4369" spans="1:17" x14ac:dyDescent="0.25">
      <c r="A4369" s="549" t="s">
        <v>1147</v>
      </c>
      <c r="B4369" s="549" t="s">
        <v>1148</v>
      </c>
      <c r="C4369" s="549" t="s">
        <v>539</v>
      </c>
      <c r="D4369" s="549" t="s">
        <v>1149</v>
      </c>
      <c r="E4369" s="549" t="s">
        <v>973</v>
      </c>
      <c r="F4369" s="549" t="s">
        <v>1537</v>
      </c>
      <c r="G4369" s="549" t="s">
        <v>1541</v>
      </c>
      <c r="H4369" s="549" t="s">
        <v>539</v>
      </c>
      <c r="I4369" s="549" t="s">
        <v>976</v>
      </c>
      <c r="J4369" s="549" t="s">
        <v>976</v>
      </c>
      <c r="L4369" s="549">
        <v>1629430.4</v>
      </c>
      <c r="M4369" s="549">
        <v>123022</v>
      </c>
      <c r="N4369" s="549">
        <v>93529.3</v>
      </c>
      <c r="P4369" s="549">
        <v>0</v>
      </c>
      <c r="Q4369" s="549">
        <v>0</v>
      </c>
    </row>
    <row r="4370" spans="1:17" x14ac:dyDescent="0.25">
      <c r="A4370" s="549" t="s">
        <v>1147</v>
      </c>
      <c r="B4370" s="549" t="s">
        <v>1148</v>
      </c>
      <c r="C4370" s="549" t="s">
        <v>539</v>
      </c>
      <c r="D4370" s="549" t="s">
        <v>1149</v>
      </c>
      <c r="E4370" s="549" t="s">
        <v>973</v>
      </c>
      <c r="F4370" s="549" t="s">
        <v>1537</v>
      </c>
      <c r="G4370" s="549" t="s">
        <v>1544</v>
      </c>
      <c r="H4370" s="549" t="s">
        <v>539</v>
      </c>
      <c r="I4370" s="549" t="s">
        <v>976</v>
      </c>
      <c r="J4370" s="549" t="s">
        <v>976</v>
      </c>
      <c r="L4370" s="549">
        <v>1629430.4</v>
      </c>
      <c r="M4370" s="549">
        <v>123022</v>
      </c>
      <c r="N4370" s="549">
        <v>93529.3</v>
      </c>
      <c r="P4370" s="549">
        <v>0</v>
      </c>
      <c r="Q4370" s="549">
        <v>0</v>
      </c>
    </row>
    <row r="4371" spans="1:17" x14ac:dyDescent="0.25">
      <c r="A4371" s="549" t="s">
        <v>1147</v>
      </c>
      <c r="B4371" s="549" t="s">
        <v>1148</v>
      </c>
      <c r="C4371" s="549" t="s">
        <v>539</v>
      </c>
      <c r="D4371" s="549" t="s">
        <v>1149</v>
      </c>
      <c r="E4371" s="549" t="s">
        <v>977</v>
      </c>
      <c r="F4371" s="549" t="s">
        <v>1537</v>
      </c>
      <c r="G4371" s="549" t="s">
        <v>1540</v>
      </c>
      <c r="H4371" s="549" t="s">
        <v>539</v>
      </c>
      <c r="I4371" s="549" t="s">
        <v>976</v>
      </c>
      <c r="J4371" s="549" t="s">
        <v>976</v>
      </c>
      <c r="L4371" s="549">
        <v>1682705.69</v>
      </c>
      <c r="M4371" s="549">
        <v>127044.28</v>
      </c>
      <c r="N4371" s="549">
        <v>37187.800000000003</v>
      </c>
      <c r="P4371" s="549">
        <v>100</v>
      </c>
      <c r="Q4371" s="549">
        <v>164232.07999999999</v>
      </c>
    </row>
    <row r="4372" spans="1:17" x14ac:dyDescent="0.25">
      <c r="A4372" s="549" t="s">
        <v>1147</v>
      </c>
      <c r="B4372" s="549" t="s">
        <v>1148</v>
      </c>
      <c r="C4372" s="549" t="s">
        <v>539</v>
      </c>
      <c r="D4372" s="549" t="s">
        <v>1149</v>
      </c>
      <c r="E4372" s="549" t="s">
        <v>977</v>
      </c>
      <c r="F4372" s="549" t="s">
        <v>1537</v>
      </c>
      <c r="G4372" s="549" t="s">
        <v>1541</v>
      </c>
      <c r="H4372" s="549" t="s">
        <v>539</v>
      </c>
      <c r="I4372" s="549" t="s">
        <v>976</v>
      </c>
      <c r="J4372" s="549" t="s">
        <v>976</v>
      </c>
      <c r="L4372" s="549">
        <v>1629430.4</v>
      </c>
      <c r="M4372" s="549">
        <v>123022</v>
      </c>
      <c r="N4372" s="549">
        <v>36010.410000000003</v>
      </c>
      <c r="P4372" s="549">
        <v>100</v>
      </c>
      <c r="Q4372" s="549">
        <v>159032.41</v>
      </c>
    </row>
    <row r="4373" spans="1:17" x14ac:dyDescent="0.25">
      <c r="A4373" s="549" t="s">
        <v>1147</v>
      </c>
      <c r="B4373" s="549" t="s">
        <v>1148</v>
      </c>
      <c r="C4373" s="549" t="s">
        <v>539</v>
      </c>
      <c r="D4373" s="549" t="s">
        <v>1149</v>
      </c>
      <c r="E4373" s="549" t="s">
        <v>977</v>
      </c>
      <c r="F4373" s="549" t="s">
        <v>1537</v>
      </c>
      <c r="G4373" s="549" t="s">
        <v>1544</v>
      </c>
      <c r="H4373" s="549" t="s">
        <v>539</v>
      </c>
      <c r="I4373" s="549" t="s">
        <v>976</v>
      </c>
      <c r="J4373" s="549" t="s">
        <v>976</v>
      </c>
      <c r="L4373" s="549">
        <v>1629430.4</v>
      </c>
      <c r="M4373" s="549">
        <v>123022</v>
      </c>
      <c r="N4373" s="549">
        <v>36010.410000000003</v>
      </c>
      <c r="P4373" s="549">
        <v>100</v>
      </c>
      <c r="Q4373" s="549">
        <v>159032.41</v>
      </c>
    </row>
    <row r="4374" spans="1:17" x14ac:dyDescent="0.25">
      <c r="A4374" s="549" t="s">
        <v>1094</v>
      </c>
      <c r="B4374" s="549" t="s">
        <v>580</v>
      </c>
      <c r="C4374" s="549" t="s">
        <v>535</v>
      </c>
      <c r="D4374" s="549" t="s">
        <v>711</v>
      </c>
      <c r="E4374" s="549" t="s">
        <v>977</v>
      </c>
      <c r="F4374" s="549" t="s">
        <v>1537</v>
      </c>
      <c r="G4374" s="549" t="s">
        <v>1558</v>
      </c>
      <c r="H4374" s="549" t="s">
        <v>535</v>
      </c>
      <c r="I4374" s="549" t="s">
        <v>976</v>
      </c>
      <c r="J4374" s="549" t="s">
        <v>976</v>
      </c>
      <c r="L4374" s="549">
        <v>529298.18000000005</v>
      </c>
      <c r="M4374" s="549">
        <v>39962.01</v>
      </c>
      <c r="N4374" s="549">
        <v>11697.49</v>
      </c>
      <c r="P4374" s="549">
        <v>100</v>
      </c>
      <c r="Q4374" s="549">
        <v>51659.5</v>
      </c>
    </row>
    <row r="4375" spans="1:17" x14ac:dyDescent="0.25">
      <c r="A4375" s="549" t="s">
        <v>1094</v>
      </c>
      <c r="B4375" s="549" t="s">
        <v>580</v>
      </c>
      <c r="C4375" s="549" t="s">
        <v>535</v>
      </c>
      <c r="D4375" s="549" t="s">
        <v>711</v>
      </c>
      <c r="E4375" s="549" t="s">
        <v>977</v>
      </c>
      <c r="F4375" s="549" t="s">
        <v>1537</v>
      </c>
      <c r="G4375" s="549" t="s">
        <v>1538</v>
      </c>
      <c r="H4375" s="549" t="s">
        <v>535</v>
      </c>
      <c r="I4375" s="549" t="s">
        <v>976</v>
      </c>
      <c r="J4375" s="549" t="s">
        <v>976</v>
      </c>
      <c r="L4375" s="549">
        <v>2160389.54</v>
      </c>
      <c r="M4375" s="549">
        <v>163109.41</v>
      </c>
      <c r="N4375" s="549">
        <v>47744.61</v>
      </c>
      <c r="P4375" s="549">
        <v>4.0199999999999996</v>
      </c>
      <c r="Q4375" s="549">
        <v>8476.33</v>
      </c>
    </row>
    <row r="4376" spans="1:17" x14ac:dyDescent="0.25">
      <c r="A4376" s="549" t="s">
        <v>1094</v>
      </c>
      <c r="B4376" s="549" t="s">
        <v>580</v>
      </c>
      <c r="C4376" s="549" t="s">
        <v>535</v>
      </c>
      <c r="D4376" s="549" t="s">
        <v>711</v>
      </c>
      <c r="E4376" s="549" t="s">
        <v>977</v>
      </c>
      <c r="F4376" s="549" t="s">
        <v>1537</v>
      </c>
      <c r="G4376" s="549" t="s">
        <v>1539</v>
      </c>
      <c r="H4376" s="549" t="s">
        <v>535</v>
      </c>
      <c r="I4376" s="549" t="s">
        <v>976</v>
      </c>
      <c r="J4376" s="549" t="s">
        <v>976</v>
      </c>
      <c r="L4376" s="549">
        <v>2160389.54</v>
      </c>
      <c r="M4376" s="549">
        <v>163109.41</v>
      </c>
      <c r="N4376" s="549">
        <v>47744.61</v>
      </c>
      <c r="P4376" s="549">
        <v>4.0199999999999996</v>
      </c>
      <c r="Q4376" s="549">
        <v>8476.33</v>
      </c>
    </row>
    <row r="4377" spans="1:17" x14ac:dyDescent="0.25">
      <c r="A4377" s="549" t="s">
        <v>1094</v>
      </c>
      <c r="B4377" s="549" t="s">
        <v>580</v>
      </c>
      <c r="C4377" s="549" t="s">
        <v>535</v>
      </c>
      <c r="D4377" s="549" t="s">
        <v>711</v>
      </c>
      <c r="E4377" s="549" t="s">
        <v>973</v>
      </c>
      <c r="F4377" s="549" t="s">
        <v>1537</v>
      </c>
      <c r="G4377" s="549" t="s">
        <v>1558</v>
      </c>
      <c r="H4377" s="549" t="s">
        <v>535</v>
      </c>
      <c r="I4377" s="549" t="s">
        <v>976</v>
      </c>
      <c r="J4377" s="549" t="s">
        <v>976</v>
      </c>
      <c r="L4377" s="549">
        <v>529298.18000000005</v>
      </c>
      <c r="M4377" s="549">
        <v>39962.01</v>
      </c>
      <c r="N4377" s="549">
        <v>30381.72</v>
      </c>
      <c r="P4377" s="549">
        <v>0</v>
      </c>
      <c r="Q4377" s="549">
        <v>0</v>
      </c>
    </row>
    <row r="4378" spans="1:17" x14ac:dyDescent="0.25">
      <c r="A4378" s="549" t="s">
        <v>1094</v>
      </c>
      <c r="B4378" s="549" t="s">
        <v>580</v>
      </c>
      <c r="C4378" s="549" t="s">
        <v>535</v>
      </c>
      <c r="D4378" s="549" t="s">
        <v>711</v>
      </c>
      <c r="E4378" s="549" t="s">
        <v>973</v>
      </c>
      <c r="F4378" s="549" t="s">
        <v>1537</v>
      </c>
      <c r="G4378" s="549" t="s">
        <v>1538</v>
      </c>
      <c r="H4378" s="549" t="s">
        <v>535</v>
      </c>
      <c r="I4378" s="549" t="s">
        <v>976</v>
      </c>
      <c r="J4378" s="549" t="s">
        <v>976</v>
      </c>
      <c r="L4378" s="549">
        <v>2160389.54</v>
      </c>
      <c r="M4378" s="549">
        <v>163109.41</v>
      </c>
      <c r="N4378" s="549">
        <v>124006.36</v>
      </c>
      <c r="P4378" s="549">
        <v>0</v>
      </c>
      <c r="Q4378" s="549">
        <v>0</v>
      </c>
    </row>
    <row r="4379" spans="1:17" x14ac:dyDescent="0.25">
      <c r="A4379" s="549" t="s">
        <v>1094</v>
      </c>
      <c r="B4379" s="549" t="s">
        <v>580</v>
      </c>
      <c r="C4379" s="549" t="s">
        <v>535</v>
      </c>
      <c r="D4379" s="549" t="s">
        <v>711</v>
      </c>
      <c r="E4379" s="549" t="s">
        <v>973</v>
      </c>
      <c r="F4379" s="549" t="s">
        <v>1537</v>
      </c>
      <c r="G4379" s="549" t="s">
        <v>1539</v>
      </c>
      <c r="H4379" s="549" t="s">
        <v>535</v>
      </c>
      <c r="I4379" s="549" t="s">
        <v>976</v>
      </c>
      <c r="J4379" s="549" t="s">
        <v>976</v>
      </c>
      <c r="L4379" s="549">
        <v>2160389.54</v>
      </c>
      <c r="M4379" s="549">
        <v>163109.41</v>
      </c>
      <c r="N4379" s="549">
        <v>124006.36</v>
      </c>
      <c r="P4379" s="549">
        <v>0</v>
      </c>
      <c r="Q4379" s="549">
        <v>0</v>
      </c>
    </row>
    <row r="4380" spans="1:17" x14ac:dyDescent="0.25">
      <c r="A4380" s="549" t="s">
        <v>1094</v>
      </c>
      <c r="B4380" s="549" t="s">
        <v>580</v>
      </c>
      <c r="C4380" s="549" t="s">
        <v>648</v>
      </c>
      <c r="D4380" s="549" t="s">
        <v>649</v>
      </c>
      <c r="E4380" s="549" t="s">
        <v>977</v>
      </c>
      <c r="F4380" s="549" t="s">
        <v>1537</v>
      </c>
      <c r="G4380" s="549" t="s">
        <v>1547</v>
      </c>
      <c r="H4380" s="549" t="s">
        <v>648</v>
      </c>
      <c r="I4380" s="549" t="s">
        <v>976</v>
      </c>
      <c r="J4380" s="549" t="s">
        <v>976</v>
      </c>
      <c r="L4380" s="549">
        <v>1008688.26</v>
      </c>
      <c r="M4380" s="549">
        <v>76155.960000000006</v>
      </c>
      <c r="N4380" s="549">
        <v>22292.01</v>
      </c>
      <c r="P4380" s="549">
        <v>37.31</v>
      </c>
      <c r="Q4380" s="549">
        <v>36730.94</v>
      </c>
    </row>
    <row r="4381" spans="1:17" x14ac:dyDescent="0.25">
      <c r="A4381" s="549" t="s">
        <v>1094</v>
      </c>
      <c r="B4381" s="549" t="s">
        <v>580</v>
      </c>
      <c r="C4381" s="549" t="s">
        <v>648</v>
      </c>
      <c r="D4381" s="549" t="s">
        <v>649</v>
      </c>
      <c r="E4381" s="549" t="s">
        <v>977</v>
      </c>
      <c r="F4381" s="549" t="s">
        <v>1537</v>
      </c>
      <c r="G4381" s="549" t="s">
        <v>1546</v>
      </c>
      <c r="H4381" s="549" t="s">
        <v>648</v>
      </c>
      <c r="I4381" s="549" t="s">
        <v>976</v>
      </c>
      <c r="J4381" s="549" t="s">
        <v>976</v>
      </c>
      <c r="L4381" s="549">
        <v>1008688.26</v>
      </c>
      <c r="M4381" s="549">
        <v>76155.960000000006</v>
      </c>
      <c r="N4381" s="549">
        <v>22292.01</v>
      </c>
      <c r="P4381" s="549">
        <v>37.31</v>
      </c>
      <c r="Q4381" s="549">
        <v>36730.94</v>
      </c>
    </row>
    <row r="4382" spans="1:17" x14ac:dyDescent="0.25">
      <c r="A4382" s="549" t="s">
        <v>1083</v>
      </c>
      <c r="B4382" s="549" t="s">
        <v>584</v>
      </c>
      <c r="C4382" s="549" t="s">
        <v>768</v>
      </c>
      <c r="D4382" s="549" t="s">
        <v>769</v>
      </c>
      <c r="E4382" s="549" t="s">
        <v>977</v>
      </c>
      <c r="F4382" s="549" t="s">
        <v>1537</v>
      </c>
      <c r="G4382" s="549" t="s">
        <v>1540</v>
      </c>
      <c r="H4382" s="549" t="s">
        <v>768</v>
      </c>
      <c r="I4382" s="549" t="s">
        <v>976</v>
      </c>
      <c r="J4382" s="549" t="s">
        <v>976</v>
      </c>
      <c r="L4382" s="549">
        <v>4725792.84</v>
      </c>
      <c r="M4382" s="549">
        <v>356797.36</v>
      </c>
      <c r="N4382" s="549">
        <v>104440.02</v>
      </c>
      <c r="P4382" s="549">
        <v>100</v>
      </c>
      <c r="Q4382" s="549">
        <v>461237.38</v>
      </c>
    </row>
    <row r="4383" spans="1:17" x14ac:dyDescent="0.25">
      <c r="A4383" s="549" t="s">
        <v>1083</v>
      </c>
      <c r="B4383" s="549" t="s">
        <v>584</v>
      </c>
      <c r="C4383" s="549" t="s">
        <v>770</v>
      </c>
      <c r="D4383" s="549" t="s">
        <v>771</v>
      </c>
      <c r="E4383" s="549" t="s">
        <v>973</v>
      </c>
      <c r="F4383" s="549" t="s">
        <v>1537</v>
      </c>
      <c r="G4383" s="549" t="s">
        <v>1559</v>
      </c>
      <c r="H4383" s="549" t="s">
        <v>770</v>
      </c>
      <c r="I4383" s="549" t="s">
        <v>976</v>
      </c>
      <c r="J4383" s="549" t="s">
        <v>976</v>
      </c>
      <c r="L4383" s="549">
        <v>2126390.33</v>
      </c>
      <c r="M4383" s="549">
        <v>160542.47</v>
      </c>
      <c r="N4383" s="549">
        <v>122054.8</v>
      </c>
      <c r="P4383" s="549">
        <v>3.56</v>
      </c>
      <c r="Q4383" s="549">
        <v>10060.459999999999</v>
      </c>
    </row>
    <row r="4384" spans="1:17" x14ac:dyDescent="0.25">
      <c r="A4384" s="549" t="s">
        <v>1083</v>
      </c>
      <c r="B4384" s="549" t="s">
        <v>584</v>
      </c>
      <c r="C4384" s="549" t="s">
        <v>770</v>
      </c>
      <c r="D4384" s="549" t="s">
        <v>771</v>
      </c>
      <c r="E4384" s="549" t="s">
        <v>973</v>
      </c>
      <c r="F4384" s="549" t="s">
        <v>1537</v>
      </c>
      <c r="G4384" s="549" t="s">
        <v>1560</v>
      </c>
      <c r="H4384" s="549" t="s">
        <v>770</v>
      </c>
      <c r="I4384" s="549" t="s">
        <v>976</v>
      </c>
      <c r="J4384" s="549" t="s">
        <v>976</v>
      </c>
      <c r="L4384" s="549">
        <v>2126390.33</v>
      </c>
      <c r="M4384" s="549">
        <v>160542.47</v>
      </c>
      <c r="N4384" s="549">
        <v>122054.8</v>
      </c>
      <c r="P4384" s="549">
        <v>3.56</v>
      </c>
      <c r="Q4384" s="549">
        <v>10060.459999999999</v>
      </c>
    </row>
    <row r="4385" spans="1:17" x14ac:dyDescent="0.25">
      <c r="A4385" s="549" t="s">
        <v>1083</v>
      </c>
      <c r="B4385" s="549" t="s">
        <v>584</v>
      </c>
      <c r="C4385" s="549" t="s">
        <v>770</v>
      </c>
      <c r="D4385" s="549" t="s">
        <v>771</v>
      </c>
      <c r="E4385" s="549" t="s">
        <v>977</v>
      </c>
      <c r="F4385" s="549" t="s">
        <v>1537</v>
      </c>
      <c r="G4385" s="549" t="s">
        <v>1559</v>
      </c>
      <c r="H4385" s="549" t="s">
        <v>770</v>
      </c>
      <c r="I4385" s="549" t="s">
        <v>976</v>
      </c>
      <c r="J4385" s="549" t="s">
        <v>976</v>
      </c>
      <c r="L4385" s="549">
        <v>2126390.33</v>
      </c>
      <c r="M4385" s="549">
        <v>160542.47</v>
      </c>
      <c r="N4385" s="549">
        <v>46993.23</v>
      </c>
      <c r="P4385" s="549">
        <v>96.44</v>
      </c>
      <c r="Q4385" s="549">
        <v>200147.43</v>
      </c>
    </row>
    <row r="4386" spans="1:17" x14ac:dyDescent="0.25">
      <c r="A4386" s="549" t="s">
        <v>1083</v>
      </c>
      <c r="B4386" s="549" t="s">
        <v>584</v>
      </c>
      <c r="C4386" s="549" t="s">
        <v>770</v>
      </c>
      <c r="D4386" s="549" t="s">
        <v>771</v>
      </c>
      <c r="E4386" s="549" t="s">
        <v>977</v>
      </c>
      <c r="F4386" s="549" t="s">
        <v>1537</v>
      </c>
      <c r="G4386" s="549" t="s">
        <v>1560</v>
      </c>
      <c r="H4386" s="549" t="s">
        <v>770</v>
      </c>
      <c r="I4386" s="549" t="s">
        <v>976</v>
      </c>
      <c r="J4386" s="549" t="s">
        <v>976</v>
      </c>
      <c r="L4386" s="549">
        <v>2126390.33</v>
      </c>
      <c r="M4386" s="549">
        <v>160542.47</v>
      </c>
      <c r="N4386" s="549">
        <v>46993.23</v>
      </c>
      <c r="P4386" s="549">
        <v>96.44</v>
      </c>
      <c r="Q4386" s="549">
        <v>200147.43</v>
      </c>
    </row>
    <row r="4387" spans="1:17" x14ac:dyDescent="0.25">
      <c r="A4387" s="549" t="s">
        <v>1083</v>
      </c>
      <c r="B4387" s="549" t="s">
        <v>584</v>
      </c>
      <c r="C4387" s="549" t="s">
        <v>745</v>
      </c>
      <c r="D4387" s="549" t="s">
        <v>746</v>
      </c>
      <c r="E4387" s="549" t="s">
        <v>973</v>
      </c>
      <c r="F4387" s="549" t="s">
        <v>1537</v>
      </c>
      <c r="G4387" s="549" t="s">
        <v>1541</v>
      </c>
      <c r="H4387" s="549" t="s">
        <v>745</v>
      </c>
      <c r="I4387" s="549" t="s">
        <v>976</v>
      </c>
      <c r="J4387" s="549" t="s">
        <v>976</v>
      </c>
      <c r="L4387" s="549">
        <v>908526.7</v>
      </c>
      <c r="M4387" s="549">
        <v>68593.77</v>
      </c>
      <c r="N4387" s="549">
        <v>52149.43</v>
      </c>
      <c r="P4387" s="549">
        <v>21.66</v>
      </c>
      <c r="Q4387" s="549">
        <v>26152.98</v>
      </c>
    </row>
    <row r="4388" spans="1:17" x14ac:dyDescent="0.25">
      <c r="A4388" s="549" t="s">
        <v>1083</v>
      </c>
      <c r="B4388" s="549" t="s">
        <v>584</v>
      </c>
      <c r="C4388" s="549" t="s">
        <v>745</v>
      </c>
      <c r="D4388" s="549" t="s">
        <v>746</v>
      </c>
      <c r="E4388" s="549" t="s">
        <v>973</v>
      </c>
      <c r="F4388" s="549" t="s">
        <v>1537</v>
      </c>
      <c r="G4388" s="549" t="s">
        <v>1544</v>
      </c>
      <c r="H4388" s="549" t="s">
        <v>745</v>
      </c>
      <c r="I4388" s="549" t="s">
        <v>976</v>
      </c>
      <c r="J4388" s="549" t="s">
        <v>976</v>
      </c>
      <c r="L4388" s="549">
        <v>908526.7</v>
      </c>
      <c r="M4388" s="549">
        <v>68593.77</v>
      </c>
      <c r="N4388" s="549">
        <v>52149.43</v>
      </c>
      <c r="P4388" s="549">
        <v>21.66</v>
      </c>
      <c r="Q4388" s="549">
        <v>26152.98</v>
      </c>
    </row>
    <row r="4389" spans="1:17" x14ac:dyDescent="0.25">
      <c r="A4389" s="549" t="s">
        <v>1083</v>
      </c>
      <c r="B4389" s="549" t="s">
        <v>584</v>
      </c>
      <c r="C4389" s="549" t="s">
        <v>745</v>
      </c>
      <c r="D4389" s="549" t="s">
        <v>746</v>
      </c>
      <c r="E4389" s="549" t="s">
        <v>977</v>
      </c>
      <c r="F4389" s="549" t="s">
        <v>1537</v>
      </c>
      <c r="G4389" s="549" t="s">
        <v>1541</v>
      </c>
      <c r="H4389" s="549" t="s">
        <v>745</v>
      </c>
      <c r="I4389" s="549" t="s">
        <v>976</v>
      </c>
      <c r="J4389" s="549" t="s">
        <v>976</v>
      </c>
      <c r="L4389" s="549">
        <v>908526.7</v>
      </c>
      <c r="M4389" s="549">
        <v>68593.77</v>
      </c>
      <c r="N4389" s="549">
        <v>20078.439999999999</v>
      </c>
      <c r="P4389" s="549">
        <v>78.34</v>
      </c>
      <c r="Q4389" s="549">
        <v>69465.81</v>
      </c>
    </row>
    <row r="4390" spans="1:17" x14ac:dyDescent="0.25">
      <c r="A4390" s="549" t="s">
        <v>1083</v>
      </c>
      <c r="B4390" s="549" t="s">
        <v>584</v>
      </c>
      <c r="C4390" s="549" t="s">
        <v>745</v>
      </c>
      <c r="D4390" s="549" t="s">
        <v>746</v>
      </c>
      <c r="E4390" s="549" t="s">
        <v>977</v>
      </c>
      <c r="F4390" s="549" t="s">
        <v>1537</v>
      </c>
      <c r="G4390" s="549" t="s">
        <v>1544</v>
      </c>
      <c r="H4390" s="549" t="s">
        <v>745</v>
      </c>
      <c r="I4390" s="549" t="s">
        <v>976</v>
      </c>
      <c r="J4390" s="549" t="s">
        <v>976</v>
      </c>
      <c r="L4390" s="549">
        <v>908526.7</v>
      </c>
      <c r="M4390" s="549">
        <v>68593.77</v>
      </c>
      <c r="N4390" s="549">
        <v>20078.439999999999</v>
      </c>
      <c r="P4390" s="549">
        <v>78.34</v>
      </c>
      <c r="Q4390" s="549">
        <v>69465.81</v>
      </c>
    </row>
    <row r="4391" spans="1:17" x14ac:dyDescent="0.25">
      <c r="A4391" s="549" t="s">
        <v>1083</v>
      </c>
      <c r="B4391" s="549" t="s">
        <v>584</v>
      </c>
      <c r="C4391" s="549" t="s">
        <v>787</v>
      </c>
      <c r="D4391" s="549" t="s">
        <v>788</v>
      </c>
      <c r="E4391" s="549" t="s">
        <v>973</v>
      </c>
      <c r="F4391" s="549" t="s">
        <v>1537</v>
      </c>
      <c r="G4391" s="549" t="s">
        <v>1540</v>
      </c>
      <c r="H4391" s="549" t="s">
        <v>787</v>
      </c>
      <c r="I4391" s="549" t="s">
        <v>976</v>
      </c>
      <c r="J4391" s="549" t="s">
        <v>976</v>
      </c>
      <c r="L4391" s="549">
        <v>872442.39</v>
      </c>
      <c r="M4391" s="549">
        <v>65869.399999999994</v>
      </c>
      <c r="N4391" s="549">
        <v>50078.19</v>
      </c>
      <c r="P4391" s="549">
        <v>49.8</v>
      </c>
      <c r="Q4391" s="549">
        <v>57741.9</v>
      </c>
    </row>
    <row r="4392" spans="1:17" x14ac:dyDescent="0.25">
      <c r="A4392" s="549" t="s">
        <v>1083</v>
      </c>
      <c r="B4392" s="549" t="s">
        <v>584</v>
      </c>
      <c r="C4392" s="549" t="s">
        <v>787</v>
      </c>
      <c r="D4392" s="549" t="s">
        <v>788</v>
      </c>
      <c r="E4392" s="549" t="s">
        <v>973</v>
      </c>
      <c r="F4392" s="549" t="s">
        <v>1537</v>
      </c>
      <c r="G4392" s="549" t="s">
        <v>1541</v>
      </c>
      <c r="H4392" s="549" t="s">
        <v>787</v>
      </c>
      <c r="I4392" s="549" t="s">
        <v>976</v>
      </c>
      <c r="J4392" s="549" t="s">
        <v>976</v>
      </c>
      <c r="L4392" s="549">
        <v>872442.39</v>
      </c>
      <c r="M4392" s="549">
        <v>65869.399999999994</v>
      </c>
      <c r="N4392" s="549">
        <v>50078.19</v>
      </c>
      <c r="P4392" s="549">
        <v>49.8</v>
      </c>
      <c r="Q4392" s="549">
        <v>57741.9</v>
      </c>
    </row>
    <row r="4393" spans="1:17" x14ac:dyDescent="0.25">
      <c r="A4393" s="549" t="s">
        <v>1083</v>
      </c>
      <c r="B4393" s="549" t="s">
        <v>584</v>
      </c>
      <c r="C4393" s="549" t="s">
        <v>787</v>
      </c>
      <c r="D4393" s="549" t="s">
        <v>788</v>
      </c>
      <c r="E4393" s="549" t="s">
        <v>977</v>
      </c>
      <c r="F4393" s="549" t="s">
        <v>1537</v>
      </c>
      <c r="G4393" s="549" t="s">
        <v>1540</v>
      </c>
      <c r="H4393" s="549" t="s">
        <v>787</v>
      </c>
      <c r="I4393" s="549" t="s">
        <v>976</v>
      </c>
      <c r="J4393" s="549" t="s">
        <v>976</v>
      </c>
      <c r="L4393" s="549">
        <v>872442.39</v>
      </c>
      <c r="M4393" s="549">
        <v>65869.399999999994</v>
      </c>
      <c r="N4393" s="549">
        <v>19280.98</v>
      </c>
      <c r="P4393" s="549">
        <v>50.2</v>
      </c>
      <c r="Q4393" s="549">
        <v>42745.49</v>
      </c>
    </row>
    <row r="4394" spans="1:17" x14ac:dyDescent="0.25">
      <c r="A4394" s="549" t="s">
        <v>1083</v>
      </c>
      <c r="B4394" s="549" t="s">
        <v>584</v>
      </c>
      <c r="C4394" s="549" t="s">
        <v>787</v>
      </c>
      <c r="D4394" s="549" t="s">
        <v>788</v>
      </c>
      <c r="E4394" s="549" t="s">
        <v>977</v>
      </c>
      <c r="F4394" s="549" t="s">
        <v>1537</v>
      </c>
      <c r="G4394" s="549" t="s">
        <v>1541</v>
      </c>
      <c r="H4394" s="549" t="s">
        <v>787</v>
      </c>
      <c r="I4394" s="549" t="s">
        <v>976</v>
      </c>
      <c r="J4394" s="549" t="s">
        <v>976</v>
      </c>
      <c r="L4394" s="549">
        <v>872442.39</v>
      </c>
      <c r="M4394" s="549">
        <v>65869.399999999994</v>
      </c>
      <c r="N4394" s="549">
        <v>19280.98</v>
      </c>
      <c r="P4394" s="549">
        <v>50.2</v>
      </c>
      <c r="Q4394" s="549">
        <v>42745.49</v>
      </c>
    </row>
    <row r="4395" spans="1:17" x14ac:dyDescent="0.25">
      <c r="A4395" s="549" t="s">
        <v>1083</v>
      </c>
      <c r="B4395" s="549" t="s">
        <v>584</v>
      </c>
      <c r="C4395" s="549" t="s">
        <v>756</v>
      </c>
      <c r="D4395" s="549" t="s">
        <v>757</v>
      </c>
      <c r="E4395" s="549" t="s">
        <v>977</v>
      </c>
      <c r="F4395" s="549" t="s">
        <v>1537</v>
      </c>
      <c r="G4395" s="549" t="s">
        <v>1540</v>
      </c>
      <c r="H4395" s="549" t="s">
        <v>756</v>
      </c>
      <c r="I4395" s="549" t="s">
        <v>976</v>
      </c>
      <c r="J4395" s="549" t="s">
        <v>976</v>
      </c>
      <c r="L4395" s="549">
        <v>872442.39</v>
      </c>
      <c r="M4395" s="549">
        <v>65869.399999999994</v>
      </c>
      <c r="N4395" s="549">
        <v>19280.98</v>
      </c>
      <c r="P4395" s="549">
        <v>100</v>
      </c>
      <c r="Q4395" s="549">
        <v>85150.38</v>
      </c>
    </row>
    <row r="4396" spans="1:17" x14ac:dyDescent="0.25">
      <c r="A4396" s="549" t="s">
        <v>1083</v>
      </c>
      <c r="B4396" s="549" t="s">
        <v>584</v>
      </c>
      <c r="C4396" s="549" t="s">
        <v>756</v>
      </c>
      <c r="D4396" s="549" t="s">
        <v>757</v>
      </c>
      <c r="E4396" s="549" t="s">
        <v>977</v>
      </c>
      <c r="F4396" s="549" t="s">
        <v>1537</v>
      </c>
      <c r="G4396" s="549" t="s">
        <v>1541</v>
      </c>
      <c r="H4396" s="549" t="s">
        <v>756</v>
      </c>
      <c r="I4396" s="549" t="s">
        <v>976</v>
      </c>
      <c r="J4396" s="549" t="s">
        <v>976</v>
      </c>
      <c r="L4396" s="549">
        <v>1159736.08</v>
      </c>
      <c r="M4396" s="549">
        <v>87560.07</v>
      </c>
      <c r="N4396" s="549">
        <v>25630.17</v>
      </c>
      <c r="P4396" s="549">
        <v>100</v>
      </c>
      <c r="Q4396" s="549">
        <v>113190.24</v>
      </c>
    </row>
    <row r="4397" spans="1:17" x14ac:dyDescent="0.25">
      <c r="A4397" s="549" t="s">
        <v>1083</v>
      </c>
      <c r="B4397" s="549" t="s">
        <v>584</v>
      </c>
      <c r="C4397" s="549" t="s">
        <v>789</v>
      </c>
      <c r="D4397" s="549" t="s">
        <v>790</v>
      </c>
      <c r="E4397" s="549" t="s">
        <v>973</v>
      </c>
      <c r="F4397" s="549" t="s">
        <v>1537</v>
      </c>
      <c r="G4397" s="549" t="s">
        <v>1542</v>
      </c>
      <c r="H4397" s="549" t="s">
        <v>789</v>
      </c>
      <c r="I4397" s="549" t="s">
        <v>976</v>
      </c>
      <c r="J4397" s="549" t="s">
        <v>976</v>
      </c>
      <c r="L4397" s="549">
        <v>918942.16</v>
      </c>
      <c r="M4397" s="549">
        <v>69380.13</v>
      </c>
      <c r="N4397" s="549">
        <v>52747.28</v>
      </c>
      <c r="P4397" s="549">
        <v>37.85</v>
      </c>
      <c r="Q4397" s="549">
        <v>46225.22</v>
      </c>
    </row>
    <row r="4398" spans="1:17" x14ac:dyDescent="0.25">
      <c r="A4398" s="549" t="s">
        <v>1083</v>
      </c>
      <c r="B4398" s="549" t="s">
        <v>584</v>
      </c>
      <c r="C4398" s="549" t="s">
        <v>789</v>
      </c>
      <c r="D4398" s="549" t="s">
        <v>790</v>
      </c>
      <c r="E4398" s="549" t="s">
        <v>973</v>
      </c>
      <c r="F4398" s="549" t="s">
        <v>1537</v>
      </c>
      <c r="G4398" s="549" t="s">
        <v>1543</v>
      </c>
      <c r="H4398" s="549" t="s">
        <v>789</v>
      </c>
      <c r="I4398" s="549" t="s">
        <v>976</v>
      </c>
      <c r="J4398" s="549" t="s">
        <v>976</v>
      </c>
      <c r="L4398" s="549">
        <v>918942.16</v>
      </c>
      <c r="M4398" s="549">
        <v>69380.13</v>
      </c>
      <c r="N4398" s="549">
        <v>52747.28</v>
      </c>
      <c r="P4398" s="549">
        <v>37.85</v>
      </c>
      <c r="Q4398" s="549">
        <v>46225.22</v>
      </c>
    </row>
    <row r="4399" spans="1:17" x14ac:dyDescent="0.25">
      <c r="A4399" s="549" t="s">
        <v>1083</v>
      </c>
      <c r="B4399" s="549" t="s">
        <v>584</v>
      </c>
      <c r="C4399" s="549" t="s">
        <v>789</v>
      </c>
      <c r="D4399" s="549" t="s">
        <v>790</v>
      </c>
      <c r="E4399" s="549" t="s">
        <v>977</v>
      </c>
      <c r="F4399" s="549" t="s">
        <v>1537</v>
      </c>
      <c r="G4399" s="549" t="s">
        <v>1542</v>
      </c>
      <c r="H4399" s="549" t="s">
        <v>789</v>
      </c>
      <c r="I4399" s="549" t="s">
        <v>976</v>
      </c>
      <c r="J4399" s="549" t="s">
        <v>976</v>
      </c>
      <c r="L4399" s="549">
        <v>918942.16</v>
      </c>
      <c r="M4399" s="549">
        <v>69380.13</v>
      </c>
      <c r="N4399" s="549">
        <v>20308.62</v>
      </c>
      <c r="P4399" s="549">
        <v>62.15</v>
      </c>
      <c r="Q4399" s="549">
        <v>55741.56</v>
      </c>
    </row>
    <row r="4400" spans="1:17" x14ac:dyDescent="0.25">
      <c r="A4400" s="549" t="s">
        <v>1083</v>
      </c>
      <c r="B4400" s="549" t="s">
        <v>584</v>
      </c>
      <c r="C4400" s="549" t="s">
        <v>789</v>
      </c>
      <c r="D4400" s="549" t="s">
        <v>790</v>
      </c>
      <c r="E4400" s="549" t="s">
        <v>977</v>
      </c>
      <c r="F4400" s="549" t="s">
        <v>1537</v>
      </c>
      <c r="G4400" s="549" t="s">
        <v>1543</v>
      </c>
      <c r="H4400" s="549" t="s">
        <v>789</v>
      </c>
      <c r="I4400" s="549" t="s">
        <v>976</v>
      </c>
      <c r="J4400" s="549" t="s">
        <v>976</v>
      </c>
      <c r="L4400" s="549">
        <v>918942.16</v>
      </c>
      <c r="M4400" s="549">
        <v>69380.13</v>
      </c>
      <c r="N4400" s="549">
        <v>20308.62</v>
      </c>
      <c r="P4400" s="549">
        <v>62.15</v>
      </c>
      <c r="Q4400" s="549">
        <v>55741.56</v>
      </c>
    </row>
    <row r="4401" spans="1:17" x14ac:dyDescent="0.25">
      <c r="A4401" s="549" t="s">
        <v>1083</v>
      </c>
      <c r="B4401" s="549" t="s">
        <v>584</v>
      </c>
      <c r="C4401" s="549" t="s">
        <v>233</v>
      </c>
      <c r="D4401" s="549" t="s">
        <v>744</v>
      </c>
      <c r="E4401" s="549" t="s">
        <v>973</v>
      </c>
      <c r="F4401" s="549" t="s">
        <v>1537</v>
      </c>
      <c r="G4401" s="549" t="s">
        <v>1561</v>
      </c>
      <c r="H4401" s="549" t="s">
        <v>233</v>
      </c>
      <c r="I4401" s="549" t="s">
        <v>976</v>
      </c>
      <c r="J4401" s="549" t="s">
        <v>976</v>
      </c>
      <c r="L4401" s="549">
        <v>2068582.68</v>
      </c>
      <c r="M4401" s="549">
        <v>156177.99</v>
      </c>
      <c r="N4401" s="549">
        <v>118736.65</v>
      </c>
      <c r="P4401" s="549">
        <v>0</v>
      </c>
      <c r="Q4401" s="549">
        <v>0</v>
      </c>
    </row>
    <row r="4402" spans="1:17" x14ac:dyDescent="0.25">
      <c r="A4402" s="549" t="s">
        <v>1083</v>
      </c>
      <c r="B4402" s="549" t="s">
        <v>584</v>
      </c>
      <c r="C4402" s="549" t="s">
        <v>233</v>
      </c>
      <c r="D4402" s="549" t="s">
        <v>744</v>
      </c>
      <c r="E4402" s="549" t="s">
        <v>973</v>
      </c>
      <c r="F4402" s="549" t="s">
        <v>1537</v>
      </c>
      <c r="G4402" s="549" t="s">
        <v>1541</v>
      </c>
      <c r="H4402" s="549" t="s">
        <v>233</v>
      </c>
      <c r="I4402" s="549" t="s">
        <v>976</v>
      </c>
      <c r="J4402" s="549" t="s">
        <v>976</v>
      </c>
      <c r="L4402" s="549">
        <v>1147139.1599999999</v>
      </c>
      <c r="M4402" s="549">
        <v>86609.01</v>
      </c>
      <c r="N4402" s="549">
        <v>65845.789999999994</v>
      </c>
      <c r="P4402" s="549">
        <v>0</v>
      </c>
      <c r="Q4402" s="549">
        <v>0</v>
      </c>
    </row>
    <row r="4403" spans="1:17" x14ac:dyDescent="0.25">
      <c r="A4403" s="549" t="s">
        <v>1083</v>
      </c>
      <c r="B4403" s="549" t="s">
        <v>584</v>
      </c>
      <c r="C4403" s="549" t="s">
        <v>233</v>
      </c>
      <c r="D4403" s="549" t="s">
        <v>744</v>
      </c>
      <c r="E4403" s="549" t="s">
        <v>973</v>
      </c>
      <c r="F4403" s="549" t="s">
        <v>1537</v>
      </c>
      <c r="G4403" s="549" t="s">
        <v>1562</v>
      </c>
      <c r="H4403" s="549" t="s">
        <v>233</v>
      </c>
      <c r="I4403" s="549" t="s">
        <v>976</v>
      </c>
      <c r="J4403" s="549" t="s">
        <v>976</v>
      </c>
      <c r="L4403" s="549">
        <v>456802.55</v>
      </c>
      <c r="M4403" s="549">
        <v>34488.589999999997</v>
      </c>
      <c r="N4403" s="549">
        <v>26220.47</v>
      </c>
      <c r="P4403" s="549">
        <v>0</v>
      </c>
      <c r="Q4403" s="549">
        <v>0</v>
      </c>
    </row>
    <row r="4404" spans="1:17" x14ac:dyDescent="0.25">
      <c r="A4404" s="549" t="s">
        <v>1083</v>
      </c>
      <c r="B4404" s="549" t="s">
        <v>584</v>
      </c>
      <c r="C4404" s="549" t="s">
        <v>233</v>
      </c>
      <c r="D4404" s="549" t="s">
        <v>744</v>
      </c>
      <c r="E4404" s="549" t="s">
        <v>973</v>
      </c>
      <c r="F4404" s="549" t="s">
        <v>1537</v>
      </c>
      <c r="G4404" s="549" t="s">
        <v>1563</v>
      </c>
      <c r="H4404" s="549" t="s">
        <v>233</v>
      </c>
      <c r="I4404" s="549" t="s">
        <v>976</v>
      </c>
      <c r="J4404" s="549" t="s">
        <v>976</v>
      </c>
      <c r="L4404" s="549">
        <v>499414.24</v>
      </c>
      <c r="M4404" s="549">
        <v>37705.78</v>
      </c>
      <c r="N4404" s="549">
        <v>28666.38</v>
      </c>
      <c r="P4404" s="549">
        <v>0</v>
      </c>
      <c r="Q4404" s="549">
        <v>0</v>
      </c>
    </row>
    <row r="4405" spans="1:17" x14ac:dyDescent="0.25">
      <c r="A4405" s="549" t="s">
        <v>1083</v>
      </c>
      <c r="B4405" s="549" t="s">
        <v>584</v>
      </c>
      <c r="C4405" s="549" t="s">
        <v>233</v>
      </c>
      <c r="D4405" s="549" t="s">
        <v>744</v>
      </c>
      <c r="E4405" s="549" t="s">
        <v>973</v>
      </c>
      <c r="F4405" s="549" t="s">
        <v>1537</v>
      </c>
      <c r="G4405" s="549" t="s">
        <v>1545</v>
      </c>
      <c r="H4405" s="549" t="s">
        <v>233</v>
      </c>
      <c r="I4405" s="549" t="s">
        <v>976</v>
      </c>
      <c r="J4405" s="549" t="s">
        <v>976</v>
      </c>
      <c r="L4405" s="549">
        <v>1830273.31</v>
      </c>
      <c r="M4405" s="549">
        <v>138185.63</v>
      </c>
      <c r="N4405" s="549">
        <v>105057.69</v>
      </c>
      <c r="P4405" s="549">
        <v>0</v>
      </c>
      <c r="Q4405" s="549">
        <v>0</v>
      </c>
    </row>
    <row r="4406" spans="1:17" x14ac:dyDescent="0.25">
      <c r="A4406" s="549" t="s">
        <v>1083</v>
      </c>
      <c r="B4406" s="549" t="s">
        <v>584</v>
      </c>
      <c r="C4406" s="549" t="s">
        <v>233</v>
      </c>
      <c r="D4406" s="549" t="s">
        <v>744</v>
      </c>
      <c r="E4406" s="549" t="s">
        <v>977</v>
      </c>
      <c r="F4406" s="549" t="s">
        <v>1537</v>
      </c>
      <c r="G4406" s="549" t="s">
        <v>1561</v>
      </c>
      <c r="H4406" s="549" t="s">
        <v>233</v>
      </c>
      <c r="I4406" s="549" t="s">
        <v>976</v>
      </c>
      <c r="J4406" s="549" t="s">
        <v>976</v>
      </c>
      <c r="L4406" s="549">
        <v>2068582.68</v>
      </c>
      <c r="M4406" s="549">
        <v>156177.99</v>
      </c>
      <c r="N4406" s="549">
        <v>45715.68</v>
      </c>
      <c r="P4406" s="549">
        <v>100</v>
      </c>
      <c r="Q4406" s="549">
        <v>201893.67</v>
      </c>
    </row>
    <row r="4407" spans="1:17" x14ac:dyDescent="0.25">
      <c r="A4407" s="549" t="s">
        <v>1083</v>
      </c>
      <c r="B4407" s="549" t="s">
        <v>584</v>
      </c>
      <c r="C4407" s="549" t="s">
        <v>233</v>
      </c>
      <c r="D4407" s="549" t="s">
        <v>744</v>
      </c>
      <c r="E4407" s="549" t="s">
        <v>977</v>
      </c>
      <c r="F4407" s="549" t="s">
        <v>1537</v>
      </c>
      <c r="G4407" s="549" t="s">
        <v>1541</v>
      </c>
      <c r="H4407" s="549" t="s">
        <v>233</v>
      </c>
      <c r="I4407" s="549" t="s">
        <v>976</v>
      </c>
      <c r="J4407" s="549" t="s">
        <v>976</v>
      </c>
      <c r="L4407" s="549">
        <v>1147139.1599999999</v>
      </c>
      <c r="M4407" s="549">
        <v>86609.01</v>
      </c>
      <c r="N4407" s="549">
        <v>25351.78</v>
      </c>
      <c r="P4407" s="549">
        <v>100</v>
      </c>
      <c r="Q4407" s="549">
        <v>111960.79</v>
      </c>
    </row>
    <row r="4408" spans="1:17" x14ac:dyDescent="0.25">
      <c r="A4408" s="549" t="s">
        <v>1083</v>
      </c>
      <c r="B4408" s="549" t="s">
        <v>584</v>
      </c>
      <c r="C4408" s="549" t="s">
        <v>233</v>
      </c>
      <c r="D4408" s="549" t="s">
        <v>744</v>
      </c>
      <c r="E4408" s="549" t="s">
        <v>977</v>
      </c>
      <c r="F4408" s="549" t="s">
        <v>1537</v>
      </c>
      <c r="G4408" s="549" t="s">
        <v>1562</v>
      </c>
      <c r="H4408" s="549" t="s">
        <v>233</v>
      </c>
      <c r="I4408" s="549" t="s">
        <v>976</v>
      </c>
      <c r="J4408" s="549" t="s">
        <v>976</v>
      </c>
      <c r="L4408" s="549">
        <v>456802.55</v>
      </c>
      <c r="M4408" s="549">
        <v>34488.589999999997</v>
      </c>
      <c r="N4408" s="549">
        <v>10095.34</v>
      </c>
      <c r="P4408" s="549">
        <v>100</v>
      </c>
      <c r="Q4408" s="549">
        <v>44583.93</v>
      </c>
    </row>
    <row r="4409" spans="1:17" x14ac:dyDescent="0.25">
      <c r="A4409" s="549" t="s">
        <v>1083</v>
      </c>
      <c r="B4409" s="549" t="s">
        <v>584</v>
      </c>
      <c r="C4409" s="549" t="s">
        <v>233</v>
      </c>
      <c r="D4409" s="549" t="s">
        <v>744</v>
      </c>
      <c r="E4409" s="549" t="s">
        <v>977</v>
      </c>
      <c r="F4409" s="549" t="s">
        <v>1537</v>
      </c>
      <c r="G4409" s="549" t="s">
        <v>1563</v>
      </c>
      <c r="H4409" s="549" t="s">
        <v>233</v>
      </c>
      <c r="I4409" s="549" t="s">
        <v>976</v>
      </c>
      <c r="J4409" s="549" t="s">
        <v>976</v>
      </c>
      <c r="L4409" s="549">
        <v>499414.24</v>
      </c>
      <c r="M4409" s="549">
        <v>37705.78</v>
      </c>
      <c r="N4409" s="549">
        <v>11037.05</v>
      </c>
      <c r="P4409" s="549">
        <v>100</v>
      </c>
      <c r="Q4409" s="549">
        <v>48742.83</v>
      </c>
    </row>
    <row r="4410" spans="1:17" x14ac:dyDescent="0.25">
      <c r="A4410" s="549" t="s">
        <v>1083</v>
      </c>
      <c r="B4410" s="549" t="s">
        <v>584</v>
      </c>
      <c r="C4410" s="549" t="s">
        <v>233</v>
      </c>
      <c r="D4410" s="549" t="s">
        <v>744</v>
      </c>
      <c r="E4410" s="549" t="s">
        <v>977</v>
      </c>
      <c r="F4410" s="549" t="s">
        <v>1537</v>
      </c>
      <c r="G4410" s="549" t="s">
        <v>1545</v>
      </c>
      <c r="H4410" s="549" t="s">
        <v>233</v>
      </c>
      <c r="I4410" s="549" t="s">
        <v>976</v>
      </c>
      <c r="J4410" s="549" t="s">
        <v>976</v>
      </c>
      <c r="L4410" s="549">
        <v>1830273.31</v>
      </c>
      <c r="M4410" s="549">
        <v>138185.63</v>
      </c>
      <c r="N4410" s="549">
        <v>40449.040000000001</v>
      </c>
      <c r="P4410" s="549">
        <v>65.8</v>
      </c>
      <c r="Q4410" s="549">
        <v>117541.61</v>
      </c>
    </row>
    <row r="4411" spans="1:17" x14ac:dyDescent="0.25">
      <c r="A4411" s="549" t="s">
        <v>1083</v>
      </c>
      <c r="B4411" s="549" t="s">
        <v>584</v>
      </c>
      <c r="C4411" s="549" t="s">
        <v>758</v>
      </c>
      <c r="D4411" s="549" t="s">
        <v>759</v>
      </c>
      <c r="E4411" s="549" t="s">
        <v>977</v>
      </c>
      <c r="F4411" s="549" t="s">
        <v>1537</v>
      </c>
      <c r="G4411" s="549" t="s">
        <v>1544</v>
      </c>
      <c r="H4411" s="549" t="s">
        <v>758</v>
      </c>
      <c r="I4411" s="549" t="s">
        <v>976</v>
      </c>
      <c r="J4411" s="549" t="s">
        <v>976</v>
      </c>
      <c r="L4411" s="549">
        <v>1231423.75</v>
      </c>
      <c r="M4411" s="549">
        <v>92972.49</v>
      </c>
      <c r="N4411" s="549">
        <v>27214.46</v>
      </c>
      <c r="P4411" s="549">
        <v>100</v>
      </c>
      <c r="Q4411" s="549">
        <v>120186.95</v>
      </c>
    </row>
    <row r="4412" spans="1:17" x14ac:dyDescent="0.25">
      <c r="A4412" s="549" t="s">
        <v>1083</v>
      </c>
      <c r="B4412" s="549" t="s">
        <v>584</v>
      </c>
      <c r="C4412" s="549" t="s">
        <v>758</v>
      </c>
      <c r="D4412" s="549" t="s">
        <v>759</v>
      </c>
      <c r="E4412" s="549" t="s">
        <v>977</v>
      </c>
      <c r="F4412" s="549" t="s">
        <v>1537</v>
      </c>
      <c r="G4412" s="549" t="s">
        <v>1545</v>
      </c>
      <c r="H4412" s="549" t="s">
        <v>758</v>
      </c>
      <c r="I4412" s="549" t="s">
        <v>976</v>
      </c>
      <c r="J4412" s="549" t="s">
        <v>976</v>
      </c>
      <c r="L4412" s="549">
        <v>1231423.75</v>
      </c>
      <c r="M4412" s="549">
        <v>92972.49</v>
      </c>
      <c r="N4412" s="549">
        <v>27214.46</v>
      </c>
      <c r="P4412" s="549">
        <v>100</v>
      </c>
      <c r="Q4412" s="549">
        <v>120186.95</v>
      </c>
    </row>
    <row r="4413" spans="1:17" x14ac:dyDescent="0.25">
      <c r="A4413" s="549" t="s">
        <v>1083</v>
      </c>
      <c r="B4413" s="549" t="s">
        <v>584</v>
      </c>
      <c r="C4413" s="549" t="s">
        <v>747</v>
      </c>
      <c r="D4413" s="549" t="s">
        <v>748</v>
      </c>
      <c r="E4413" s="549" t="s">
        <v>973</v>
      </c>
      <c r="F4413" s="549" t="s">
        <v>1537</v>
      </c>
      <c r="G4413" s="549" t="s">
        <v>1541</v>
      </c>
      <c r="H4413" s="549" t="s">
        <v>747</v>
      </c>
      <c r="I4413" s="549" t="s">
        <v>976</v>
      </c>
      <c r="J4413" s="549" t="s">
        <v>976</v>
      </c>
      <c r="L4413" s="549">
        <v>2126390.33</v>
      </c>
      <c r="M4413" s="549">
        <v>160542.47</v>
      </c>
      <c r="N4413" s="549">
        <v>122054.8</v>
      </c>
      <c r="P4413" s="549">
        <v>22.98</v>
      </c>
      <c r="Q4413" s="549">
        <v>64940.85</v>
      </c>
    </row>
    <row r="4414" spans="1:17" x14ac:dyDescent="0.25">
      <c r="A4414" s="549" t="s">
        <v>1083</v>
      </c>
      <c r="B4414" s="549" t="s">
        <v>584</v>
      </c>
      <c r="C4414" s="549" t="s">
        <v>747</v>
      </c>
      <c r="D4414" s="549" t="s">
        <v>748</v>
      </c>
      <c r="E4414" s="549" t="s">
        <v>973</v>
      </c>
      <c r="F4414" s="549" t="s">
        <v>1537</v>
      </c>
      <c r="G4414" s="549" t="s">
        <v>1544</v>
      </c>
      <c r="H4414" s="549" t="s">
        <v>747</v>
      </c>
      <c r="I4414" s="549" t="s">
        <v>976</v>
      </c>
      <c r="J4414" s="549" t="s">
        <v>976</v>
      </c>
      <c r="L4414" s="549">
        <v>2126390.33</v>
      </c>
      <c r="M4414" s="549">
        <v>160542.47</v>
      </c>
      <c r="N4414" s="549">
        <v>122054.8</v>
      </c>
      <c r="P4414" s="549">
        <v>22.98</v>
      </c>
      <c r="Q4414" s="549">
        <v>64940.85</v>
      </c>
    </row>
    <row r="4415" spans="1:17" x14ac:dyDescent="0.25">
      <c r="A4415" s="549" t="s">
        <v>1083</v>
      </c>
      <c r="B4415" s="549" t="s">
        <v>584</v>
      </c>
      <c r="C4415" s="549" t="s">
        <v>747</v>
      </c>
      <c r="D4415" s="549" t="s">
        <v>748</v>
      </c>
      <c r="E4415" s="549" t="s">
        <v>977</v>
      </c>
      <c r="F4415" s="549" t="s">
        <v>1537</v>
      </c>
      <c r="G4415" s="549" t="s">
        <v>1541</v>
      </c>
      <c r="H4415" s="549" t="s">
        <v>747</v>
      </c>
      <c r="I4415" s="549" t="s">
        <v>976</v>
      </c>
      <c r="J4415" s="549" t="s">
        <v>976</v>
      </c>
      <c r="L4415" s="549">
        <v>2126390.33</v>
      </c>
      <c r="M4415" s="549">
        <v>160542.47</v>
      </c>
      <c r="N4415" s="549">
        <v>46993.23</v>
      </c>
      <c r="P4415" s="549">
        <v>77.02</v>
      </c>
      <c r="Q4415" s="549">
        <v>159844</v>
      </c>
    </row>
    <row r="4416" spans="1:17" x14ac:dyDescent="0.25">
      <c r="A4416" s="549" t="s">
        <v>1083</v>
      </c>
      <c r="B4416" s="549" t="s">
        <v>584</v>
      </c>
      <c r="C4416" s="549" t="s">
        <v>747</v>
      </c>
      <c r="D4416" s="549" t="s">
        <v>748</v>
      </c>
      <c r="E4416" s="549" t="s">
        <v>977</v>
      </c>
      <c r="F4416" s="549" t="s">
        <v>1537</v>
      </c>
      <c r="G4416" s="549" t="s">
        <v>1544</v>
      </c>
      <c r="H4416" s="549" t="s">
        <v>747</v>
      </c>
      <c r="I4416" s="549" t="s">
        <v>976</v>
      </c>
      <c r="J4416" s="549" t="s">
        <v>976</v>
      </c>
      <c r="L4416" s="549">
        <v>2126390.33</v>
      </c>
      <c r="M4416" s="549">
        <v>160542.47</v>
      </c>
      <c r="N4416" s="549">
        <v>46993.23</v>
      </c>
      <c r="P4416" s="549">
        <v>77.02</v>
      </c>
      <c r="Q4416" s="549">
        <v>159844</v>
      </c>
    </row>
    <row r="4417" spans="1:17" x14ac:dyDescent="0.25">
      <c r="A4417" s="549" t="s">
        <v>1083</v>
      </c>
      <c r="B4417" s="549" t="s">
        <v>584</v>
      </c>
      <c r="C4417" s="549" t="s">
        <v>751</v>
      </c>
      <c r="D4417" s="549" t="s">
        <v>752</v>
      </c>
      <c r="E4417" s="549" t="s">
        <v>977</v>
      </c>
      <c r="F4417" s="549" t="s">
        <v>1537</v>
      </c>
      <c r="G4417" s="549" t="s">
        <v>1541</v>
      </c>
      <c r="H4417" s="549" t="s">
        <v>751</v>
      </c>
      <c r="I4417" s="549" t="s">
        <v>976</v>
      </c>
      <c r="J4417" s="549" t="s">
        <v>976</v>
      </c>
      <c r="L4417" s="549">
        <v>908526.7</v>
      </c>
      <c r="M4417" s="549">
        <v>68593.77</v>
      </c>
      <c r="N4417" s="549">
        <v>20078.439999999999</v>
      </c>
      <c r="P4417" s="549">
        <v>100</v>
      </c>
      <c r="Q4417" s="549">
        <v>88672.21</v>
      </c>
    </row>
    <row r="4418" spans="1:17" x14ac:dyDescent="0.25">
      <c r="A4418" s="549" t="s">
        <v>1083</v>
      </c>
      <c r="B4418" s="549" t="s">
        <v>584</v>
      </c>
      <c r="C4418" s="549" t="s">
        <v>751</v>
      </c>
      <c r="D4418" s="549" t="s">
        <v>752</v>
      </c>
      <c r="E4418" s="549" t="s">
        <v>977</v>
      </c>
      <c r="F4418" s="549" t="s">
        <v>1537</v>
      </c>
      <c r="G4418" s="549" t="s">
        <v>1544</v>
      </c>
      <c r="H4418" s="549" t="s">
        <v>751</v>
      </c>
      <c r="I4418" s="549" t="s">
        <v>976</v>
      </c>
      <c r="J4418" s="549" t="s">
        <v>976</v>
      </c>
      <c r="L4418" s="549">
        <v>908526.7</v>
      </c>
      <c r="M4418" s="549">
        <v>68593.77</v>
      </c>
      <c r="N4418" s="549">
        <v>20078.439999999999</v>
      </c>
      <c r="P4418" s="549">
        <v>100</v>
      </c>
      <c r="Q4418" s="549">
        <v>88672.21</v>
      </c>
    </row>
    <row r="4419" spans="1:17" x14ac:dyDescent="0.25">
      <c r="A4419" s="549" t="s">
        <v>1083</v>
      </c>
      <c r="B4419" s="549" t="s">
        <v>584</v>
      </c>
      <c r="C4419" s="549" t="s">
        <v>766</v>
      </c>
      <c r="D4419" s="549" t="s">
        <v>767</v>
      </c>
      <c r="E4419" s="549" t="s">
        <v>977</v>
      </c>
      <c r="F4419" s="549" t="s">
        <v>1537</v>
      </c>
      <c r="G4419" s="549" t="s">
        <v>1540</v>
      </c>
      <c r="H4419" s="549" t="s">
        <v>766</v>
      </c>
      <c r="I4419" s="549" t="s">
        <v>976</v>
      </c>
      <c r="J4419" s="549" t="s">
        <v>976</v>
      </c>
      <c r="L4419" s="549">
        <v>936960.63</v>
      </c>
      <c r="M4419" s="549">
        <v>70740.53</v>
      </c>
      <c r="N4419" s="549">
        <v>20706.830000000002</v>
      </c>
      <c r="P4419" s="549">
        <v>100</v>
      </c>
      <c r="Q4419" s="549">
        <v>91447.360000000001</v>
      </c>
    </row>
    <row r="4420" spans="1:17" x14ac:dyDescent="0.25">
      <c r="A4420" s="549" t="s">
        <v>1083</v>
      </c>
      <c r="B4420" s="549" t="s">
        <v>584</v>
      </c>
      <c r="C4420" s="549" t="s">
        <v>749</v>
      </c>
      <c r="D4420" s="549" t="s">
        <v>750</v>
      </c>
      <c r="E4420" s="549" t="s">
        <v>977</v>
      </c>
      <c r="F4420" s="549" t="s">
        <v>1537</v>
      </c>
      <c r="G4420" s="549" t="s">
        <v>1541</v>
      </c>
      <c r="H4420" s="549" t="s">
        <v>749</v>
      </c>
      <c r="I4420" s="549" t="s">
        <v>976</v>
      </c>
      <c r="J4420" s="549" t="s">
        <v>976</v>
      </c>
      <c r="L4420" s="549">
        <v>891990.53</v>
      </c>
      <c r="M4420" s="549">
        <v>67345.289999999994</v>
      </c>
      <c r="N4420" s="549">
        <v>19712.990000000002</v>
      </c>
      <c r="P4420" s="549">
        <v>100</v>
      </c>
      <c r="Q4420" s="549">
        <v>87058.28</v>
      </c>
    </row>
    <row r="4421" spans="1:17" x14ac:dyDescent="0.25">
      <c r="A4421" s="549" t="s">
        <v>1083</v>
      </c>
      <c r="B4421" s="549" t="s">
        <v>584</v>
      </c>
      <c r="C4421" s="549" t="s">
        <v>785</v>
      </c>
      <c r="D4421" s="549" t="s">
        <v>786</v>
      </c>
      <c r="E4421" s="549" t="s">
        <v>977</v>
      </c>
      <c r="F4421" s="549" t="s">
        <v>1537</v>
      </c>
      <c r="G4421" s="549" t="s">
        <v>1543</v>
      </c>
      <c r="H4421" s="549" t="s">
        <v>785</v>
      </c>
      <c r="I4421" s="549" t="s">
        <v>976</v>
      </c>
      <c r="J4421" s="549" t="s">
        <v>976</v>
      </c>
      <c r="L4421" s="549">
        <v>918942.16</v>
      </c>
      <c r="M4421" s="549">
        <v>69380.13</v>
      </c>
      <c r="N4421" s="549">
        <v>20308.62</v>
      </c>
      <c r="P4421" s="549">
        <v>94.85</v>
      </c>
      <c r="Q4421" s="549">
        <v>85069.78</v>
      </c>
    </row>
    <row r="4422" spans="1:17" x14ac:dyDescent="0.25">
      <c r="A4422" s="549" t="s">
        <v>1083</v>
      </c>
      <c r="B4422" s="549" t="s">
        <v>584</v>
      </c>
      <c r="C4422" s="549" t="s">
        <v>785</v>
      </c>
      <c r="D4422" s="549" t="s">
        <v>786</v>
      </c>
      <c r="E4422" s="549" t="s">
        <v>977</v>
      </c>
      <c r="F4422" s="549" t="s">
        <v>1537</v>
      </c>
      <c r="G4422" s="549" t="s">
        <v>1548</v>
      </c>
      <c r="H4422" s="549" t="s">
        <v>785</v>
      </c>
      <c r="I4422" s="549" t="s">
        <v>976</v>
      </c>
      <c r="J4422" s="549" t="s">
        <v>976</v>
      </c>
      <c r="L4422" s="549">
        <v>918942.16</v>
      </c>
      <c r="M4422" s="549">
        <v>69380.13</v>
      </c>
      <c r="N4422" s="549">
        <v>20308.62</v>
      </c>
      <c r="P4422" s="549">
        <v>94.85</v>
      </c>
      <c r="Q4422" s="549">
        <v>85069.78</v>
      </c>
    </row>
    <row r="4423" spans="1:17" x14ac:dyDescent="0.25">
      <c r="A4423" s="549" t="s">
        <v>1083</v>
      </c>
      <c r="B4423" s="549" t="s">
        <v>584</v>
      </c>
      <c r="C4423" s="549" t="s">
        <v>776</v>
      </c>
      <c r="D4423" s="549" t="s">
        <v>777</v>
      </c>
      <c r="E4423" s="549" t="s">
        <v>977</v>
      </c>
      <c r="F4423" s="549" t="s">
        <v>1537</v>
      </c>
      <c r="G4423" s="549" t="s">
        <v>1540</v>
      </c>
      <c r="H4423" s="549" t="s">
        <v>776</v>
      </c>
      <c r="I4423" s="549" t="s">
        <v>976</v>
      </c>
      <c r="J4423" s="549" t="s">
        <v>976</v>
      </c>
      <c r="L4423" s="549">
        <v>774453.55</v>
      </c>
      <c r="M4423" s="549">
        <v>58471.24</v>
      </c>
      <c r="N4423" s="549">
        <v>17115.419999999998</v>
      </c>
      <c r="P4423" s="549">
        <v>23.23</v>
      </c>
      <c r="Q4423" s="549">
        <v>17558.78</v>
      </c>
    </row>
    <row r="4424" spans="1:17" x14ac:dyDescent="0.25">
      <c r="A4424" s="549" t="s">
        <v>1083</v>
      </c>
      <c r="B4424" s="549" t="s">
        <v>584</v>
      </c>
      <c r="C4424" s="549" t="s">
        <v>753</v>
      </c>
      <c r="D4424" s="549" t="s">
        <v>754</v>
      </c>
      <c r="E4424" s="549" t="s">
        <v>977</v>
      </c>
      <c r="F4424" s="549" t="s">
        <v>1537</v>
      </c>
      <c r="G4424" s="549" t="s">
        <v>1545</v>
      </c>
      <c r="H4424" s="549" t="s">
        <v>753</v>
      </c>
      <c r="I4424" s="549" t="s">
        <v>976</v>
      </c>
      <c r="J4424" s="549" t="s">
        <v>976</v>
      </c>
      <c r="L4424" s="549">
        <v>951812.67</v>
      </c>
      <c r="M4424" s="549">
        <v>71861.86</v>
      </c>
      <c r="N4424" s="549">
        <v>21035.06</v>
      </c>
      <c r="P4424" s="549">
        <v>100</v>
      </c>
      <c r="Q4424" s="549">
        <v>92896.92</v>
      </c>
    </row>
    <row r="4425" spans="1:17" x14ac:dyDescent="0.25">
      <c r="A4425" s="549" t="s">
        <v>1083</v>
      </c>
      <c r="B4425" s="549" t="s">
        <v>584</v>
      </c>
      <c r="C4425" s="549" t="s">
        <v>753</v>
      </c>
      <c r="D4425" s="549" t="s">
        <v>754</v>
      </c>
      <c r="E4425" s="549" t="s">
        <v>977</v>
      </c>
      <c r="F4425" s="549" t="s">
        <v>1537</v>
      </c>
      <c r="G4425" s="549" t="s">
        <v>1542</v>
      </c>
      <c r="H4425" s="549" t="s">
        <v>753</v>
      </c>
      <c r="I4425" s="549" t="s">
        <v>976</v>
      </c>
      <c r="J4425" s="549" t="s">
        <v>976</v>
      </c>
      <c r="L4425" s="549">
        <v>951812.67</v>
      </c>
      <c r="M4425" s="549">
        <v>71861.86</v>
      </c>
      <c r="N4425" s="549">
        <v>21035.06</v>
      </c>
      <c r="P4425" s="549">
        <v>100</v>
      </c>
      <c r="Q4425" s="549">
        <v>92896.92</v>
      </c>
    </row>
    <row r="4426" spans="1:17" x14ac:dyDescent="0.25">
      <c r="A4426" s="549" t="s">
        <v>1083</v>
      </c>
      <c r="B4426" s="549" t="s">
        <v>584</v>
      </c>
      <c r="C4426" s="549" t="s">
        <v>538</v>
      </c>
      <c r="D4426" s="549" t="s">
        <v>755</v>
      </c>
      <c r="E4426" s="549" t="s">
        <v>977</v>
      </c>
      <c r="F4426" s="549" t="s">
        <v>1537</v>
      </c>
      <c r="G4426" s="549" t="s">
        <v>1542</v>
      </c>
      <c r="H4426" s="549" t="s">
        <v>538</v>
      </c>
      <c r="I4426" s="549" t="s">
        <v>976</v>
      </c>
      <c r="J4426" s="549" t="s">
        <v>976</v>
      </c>
      <c r="L4426" s="549">
        <v>918942.16</v>
      </c>
      <c r="M4426" s="549">
        <v>69380.13</v>
      </c>
      <c r="N4426" s="549">
        <v>20308.62</v>
      </c>
      <c r="P4426" s="549">
        <v>100</v>
      </c>
      <c r="Q4426" s="549">
        <v>89688.75</v>
      </c>
    </row>
    <row r="4427" spans="1:17" x14ac:dyDescent="0.25">
      <c r="A4427" s="549" t="s">
        <v>1083</v>
      </c>
      <c r="B4427" s="549" t="s">
        <v>584</v>
      </c>
      <c r="C4427" s="549" t="s">
        <v>538</v>
      </c>
      <c r="D4427" s="549" t="s">
        <v>755</v>
      </c>
      <c r="E4427" s="549" t="s">
        <v>977</v>
      </c>
      <c r="F4427" s="549" t="s">
        <v>1537</v>
      </c>
      <c r="G4427" s="549" t="s">
        <v>1543</v>
      </c>
      <c r="H4427" s="549" t="s">
        <v>538</v>
      </c>
      <c r="I4427" s="549" t="s">
        <v>976</v>
      </c>
      <c r="J4427" s="549" t="s">
        <v>976</v>
      </c>
      <c r="L4427" s="549">
        <v>918942.16</v>
      </c>
      <c r="M4427" s="549">
        <v>69380.13</v>
      </c>
      <c r="N4427" s="549">
        <v>20308.62</v>
      </c>
      <c r="P4427" s="549">
        <v>100</v>
      </c>
      <c r="Q4427" s="549">
        <v>89688.75</v>
      </c>
    </row>
    <row r="4428" spans="1:17" x14ac:dyDescent="0.25">
      <c r="A4428" s="549" t="s">
        <v>1083</v>
      </c>
      <c r="B4428" s="549" t="s">
        <v>584</v>
      </c>
      <c r="C4428" s="549" t="s">
        <v>780</v>
      </c>
      <c r="D4428" s="549" t="s">
        <v>781</v>
      </c>
      <c r="E4428" s="549" t="s">
        <v>973</v>
      </c>
      <c r="F4428" s="549" t="s">
        <v>1537</v>
      </c>
      <c r="G4428" s="549" t="s">
        <v>1540</v>
      </c>
      <c r="H4428" s="549" t="s">
        <v>780</v>
      </c>
      <c r="I4428" s="549" t="s">
        <v>976</v>
      </c>
      <c r="J4428" s="549" t="s">
        <v>976</v>
      </c>
      <c r="L4428" s="549">
        <v>1156454.3799999999</v>
      </c>
      <c r="M4428" s="549">
        <v>87312.31</v>
      </c>
      <c r="N4428" s="549">
        <v>66380.479999999996</v>
      </c>
      <c r="P4428" s="549">
        <v>9.99</v>
      </c>
      <c r="Q4428" s="549">
        <v>15353.91</v>
      </c>
    </row>
    <row r="4429" spans="1:17" x14ac:dyDescent="0.25">
      <c r="A4429" s="549" t="s">
        <v>1083</v>
      </c>
      <c r="B4429" s="549" t="s">
        <v>584</v>
      </c>
      <c r="C4429" s="549" t="s">
        <v>780</v>
      </c>
      <c r="D4429" s="549" t="s">
        <v>781</v>
      </c>
      <c r="E4429" s="549" t="s">
        <v>973</v>
      </c>
      <c r="F4429" s="549" t="s">
        <v>1537</v>
      </c>
      <c r="G4429" s="549" t="s">
        <v>1541</v>
      </c>
      <c r="H4429" s="549" t="s">
        <v>780</v>
      </c>
      <c r="I4429" s="549" t="s">
        <v>976</v>
      </c>
      <c r="J4429" s="549" t="s">
        <v>976</v>
      </c>
      <c r="L4429" s="549">
        <v>1156454.3799999999</v>
      </c>
      <c r="M4429" s="549">
        <v>87312.31</v>
      </c>
      <c r="N4429" s="549">
        <v>66380.479999999996</v>
      </c>
      <c r="P4429" s="549">
        <v>9.99</v>
      </c>
      <c r="Q4429" s="549">
        <v>15353.91</v>
      </c>
    </row>
    <row r="4430" spans="1:17" x14ac:dyDescent="0.25">
      <c r="A4430" s="549" t="s">
        <v>1083</v>
      </c>
      <c r="B4430" s="549" t="s">
        <v>584</v>
      </c>
      <c r="C4430" s="549" t="s">
        <v>780</v>
      </c>
      <c r="D4430" s="549" t="s">
        <v>781</v>
      </c>
      <c r="E4430" s="549" t="s">
        <v>977</v>
      </c>
      <c r="F4430" s="549" t="s">
        <v>1537</v>
      </c>
      <c r="G4430" s="549" t="s">
        <v>1540</v>
      </c>
      <c r="H4430" s="549" t="s">
        <v>780</v>
      </c>
      <c r="I4430" s="549" t="s">
        <v>976</v>
      </c>
      <c r="J4430" s="549" t="s">
        <v>976</v>
      </c>
      <c r="L4430" s="549">
        <v>1156454.3799999999</v>
      </c>
      <c r="M4430" s="549">
        <v>87312.31</v>
      </c>
      <c r="N4430" s="549">
        <v>25557.64</v>
      </c>
      <c r="P4430" s="549">
        <v>90.01</v>
      </c>
      <c r="Q4430" s="549">
        <v>101594.24000000001</v>
      </c>
    </row>
    <row r="4431" spans="1:17" x14ac:dyDescent="0.25">
      <c r="A4431" s="549" t="s">
        <v>1083</v>
      </c>
      <c r="B4431" s="549" t="s">
        <v>584</v>
      </c>
      <c r="C4431" s="549" t="s">
        <v>780</v>
      </c>
      <c r="D4431" s="549" t="s">
        <v>781</v>
      </c>
      <c r="E4431" s="549" t="s">
        <v>977</v>
      </c>
      <c r="F4431" s="549" t="s">
        <v>1537</v>
      </c>
      <c r="G4431" s="549" t="s">
        <v>1541</v>
      </c>
      <c r="H4431" s="549" t="s">
        <v>780</v>
      </c>
      <c r="I4431" s="549" t="s">
        <v>976</v>
      </c>
      <c r="J4431" s="549" t="s">
        <v>976</v>
      </c>
      <c r="L4431" s="549">
        <v>1156454.3799999999</v>
      </c>
      <c r="M4431" s="549">
        <v>87312.31</v>
      </c>
      <c r="N4431" s="549">
        <v>25557.64</v>
      </c>
      <c r="P4431" s="549">
        <v>90.01</v>
      </c>
      <c r="Q4431" s="549">
        <v>101594.24000000001</v>
      </c>
    </row>
    <row r="4432" spans="1:17" x14ac:dyDescent="0.25">
      <c r="A4432" s="549" t="s">
        <v>1083</v>
      </c>
      <c r="B4432" s="549" t="s">
        <v>584</v>
      </c>
      <c r="C4432" s="549" t="s">
        <v>762</v>
      </c>
      <c r="D4432" s="549" t="s">
        <v>763</v>
      </c>
      <c r="E4432" s="549" t="s">
        <v>977</v>
      </c>
      <c r="F4432" s="549" t="s">
        <v>1537</v>
      </c>
      <c r="G4432" s="549" t="s">
        <v>1540</v>
      </c>
      <c r="H4432" s="549" t="s">
        <v>762</v>
      </c>
      <c r="I4432" s="549" t="s">
        <v>976</v>
      </c>
      <c r="J4432" s="549" t="s">
        <v>976</v>
      </c>
      <c r="L4432" s="549">
        <v>1993353.85</v>
      </c>
      <c r="M4432" s="549">
        <v>150498.22</v>
      </c>
      <c r="N4432" s="549">
        <v>44053.120000000003</v>
      </c>
      <c r="P4432" s="549">
        <v>100</v>
      </c>
      <c r="Q4432" s="549">
        <v>194551.34</v>
      </c>
    </row>
    <row r="4433" spans="1:17" x14ac:dyDescent="0.25">
      <c r="A4433" s="549" t="s">
        <v>1083</v>
      </c>
      <c r="B4433" s="549" t="s">
        <v>584</v>
      </c>
      <c r="C4433" s="549" t="s">
        <v>742</v>
      </c>
      <c r="D4433" s="549" t="s">
        <v>743</v>
      </c>
      <c r="E4433" s="549" t="s">
        <v>977</v>
      </c>
      <c r="F4433" s="549" t="s">
        <v>1537</v>
      </c>
      <c r="G4433" s="549" t="s">
        <v>1540</v>
      </c>
      <c r="H4433" s="549" t="s">
        <v>742</v>
      </c>
      <c r="I4433" s="549" t="s">
        <v>976</v>
      </c>
      <c r="J4433" s="549" t="s">
        <v>976</v>
      </c>
      <c r="L4433" s="549">
        <v>896598.63</v>
      </c>
      <c r="M4433" s="549">
        <v>67693.2</v>
      </c>
      <c r="N4433" s="549">
        <v>19814.830000000002</v>
      </c>
      <c r="P4433" s="549">
        <v>100</v>
      </c>
      <c r="Q4433" s="549">
        <v>87508.03</v>
      </c>
    </row>
    <row r="4434" spans="1:17" x14ac:dyDescent="0.25">
      <c r="A4434" s="549" t="s">
        <v>1083</v>
      </c>
      <c r="B4434" s="549" t="s">
        <v>584</v>
      </c>
      <c r="C4434" s="549" t="s">
        <v>742</v>
      </c>
      <c r="D4434" s="549" t="s">
        <v>743</v>
      </c>
      <c r="E4434" s="549" t="s">
        <v>977</v>
      </c>
      <c r="F4434" s="549" t="s">
        <v>1537</v>
      </c>
      <c r="G4434" s="549" t="s">
        <v>1541</v>
      </c>
      <c r="H4434" s="549" t="s">
        <v>742</v>
      </c>
      <c r="I4434" s="549" t="s">
        <v>976</v>
      </c>
      <c r="J4434" s="549" t="s">
        <v>976</v>
      </c>
      <c r="L4434" s="549">
        <v>896598.63</v>
      </c>
      <c r="M4434" s="549">
        <v>67693.2</v>
      </c>
      <c r="N4434" s="549">
        <v>19814.830000000002</v>
      </c>
      <c r="P4434" s="549">
        <v>100</v>
      </c>
      <c r="Q4434" s="549">
        <v>87508.03</v>
      </c>
    </row>
    <row r="4435" spans="1:17" x14ac:dyDescent="0.25">
      <c r="A4435" s="549" t="s">
        <v>1083</v>
      </c>
      <c r="B4435" s="549" t="s">
        <v>584</v>
      </c>
      <c r="C4435" s="549" t="s">
        <v>742</v>
      </c>
      <c r="D4435" s="549" t="s">
        <v>743</v>
      </c>
      <c r="E4435" s="549" t="s">
        <v>977</v>
      </c>
      <c r="F4435" s="549" t="s">
        <v>1537</v>
      </c>
      <c r="G4435" s="549" t="s">
        <v>1544</v>
      </c>
      <c r="H4435" s="549" t="s">
        <v>742</v>
      </c>
      <c r="I4435" s="549" t="s">
        <v>976</v>
      </c>
      <c r="J4435" s="549" t="s">
        <v>976</v>
      </c>
      <c r="L4435" s="549">
        <v>896598.63</v>
      </c>
      <c r="M4435" s="549">
        <v>67693.2</v>
      </c>
      <c r="N4435" s="549">
        <v>19814.830000000002</v>
      </c>
      <c r="P4435" s="549">
        <v>100</v>
      </c>
      <c r="Q4435" s="549">
        <v>87508.03</v>
      </c>
    </row>
    <row r="4436" spans="1:17" x14ac:dyDescent="0.25">
      <c r="A4436" s="549" t="s">
        <v>1083</v>
      </c>
      <c r="B4436" s="549" t="s">
        <v>584</v>
      </c>
      <c r="C4436" s="549" t="s">
        <v>760</v>
      </c>
      <c r="D4436" s="549" t="s">
        <v>761</v>
      </c>
      <c r="E4436" s="549" t="s">
        <v>977</v>
      </c>
      <c r="F4436" s="549" t="s">
        <v>1537</v>
      </c>
      <c r="G4436" s="549" t="s">
        <v>1540</v>
      </c>
      <c r="H4436" s="549" t="s">
        <v>760</v>
      </c>
      <c r="I4436" s="549" t="s">
        <v>976</v>
      </c>
      <c r="J4436" s="549" t="s">
        <v>976</v>
      </c>
      <c r="L4436" s="549">
        <v>1993353.85</v>
      </c>
      <c r="M4436" s="549">
        <v>150498.22</v>
      </c>
      <c r="N4436" s="549">
        <v>44053.120000000003</v>
      </c>
      <c r="P4436" s="549">
        <v>100</v>
      </c>
      <c r="Q4436" s="549">
        <v>194551.34</v>
      </c>
    </row>
    <row r="4437" spans="1:17" x14ac:dyDescent="0.25">
      <c r="A4437" s="549" t="s">
        <v>1083</v>
      </c>
      <c r="B4437" s="549" t="s">
        <v>584</v>
      </c>
      <c r="C4437" s="549" t="s">
        <v>760</v>
      </c>
      <c r="D4437" s="549" t="s">
        <v>761</v>
      </c>
      <c r="E4437" s="549" t="s">
        <v>977</v>
      </c>
      <c r="F4437" s="549" t="s">
        <v>1537</v>
      </c>
      <c r="G4437" s="549" t="s">
        <v>1541</v>
      </c>
      <c r="H4437" s="549" t="s">
        <v>760</v>
      </c>
      <c r="I4437" s="549" t="s">
        <v>976</v>
      </c>
      <c r="J4437" s="549" t="s">
        <v>976</v>
      </c>
      <c r="L4437" s="549">
        <v>1531386.89</v>
      </c>
      <c r="M4437" s="549">
        <v>115619.71</v>
      </c>
      <c r="N4437" s="549">
        <v>33843.65</v>
      </c>
      <c r="P4437" s="549">
        <v>100</v>
      </c>
      <c r="Q4437" s="549">
        <v>149463.35999999999</v>
      </c>
    </row>
    <row r="4438" spans="1:17" x14ac:dyDescent="0.25">
      <c r="A4438" s="549" t="s">
        <v>1083</v>
      </c>
      <c r="B4438" s="549" t="s">
        <v>584</v>
      </c>
      <c r="C4438" s="549" t="s">
        <v>772</v>
      </c>
      <c r="D4438" s="549" t="s">
        <v>773</v>
      </c>
      <c r="E4438" s="549" t="s">
        <v>977</v>
      </c>
      <c r="F4438" s="549" t="s">
        <v>1537</v>
      </c>
      <c r="G4438" s="549" t="s">
        <v>1540</v>
      </c>
      <c r="H4438" s="549" t="s">
        <v>772</v>
      </c>
      <c r="I4438" s="549" t="s">
        <v>976</v>
      </c>
      <c r="J4438" s="549" t="s">
        <v>976</v>
      </c>
      <c r="L4438" s="549">
        <v>889549.1</v>
      </c>
      <c r="M4438" s="549">
        <v>67160.960000000006</v>
      </c>
      <c r="N4438" s="549">
        <v>19659.04</v>
      </c>
      <c r="P4438" s="549">
        <v>100</v>
      </c>
      <c r="Q4438" s="549">
        <v>86820</v>
      </c>
    </row>
    <row r="4439" spans="1:17" x14ac:dyDescent="0.25">
      <c r="A4439" s="549" t="s">
        <v>1083</v>
      </c>
      <c r="B4439" s="549" t="s">
        <v>584</v>
      </c>
      <c r="C4439" s="549" t="s">
        <v>772</v>
      </c>
      <c r="D4439" s="549" t="s">
        <v>773</v>
      </c>
      <c r="E4439" s="549" t="s">
        <v>977</v>
      </c>
      <c r="F4439" s="549" t="s">
        <v>1537</v>
      </c>
      <c r="G4439" s="549" t="s">
        <v>1541</v>
      </c>
      <c r="H4439" s="549" t="s">
        <v>772</v>
      </c>
      <c r="I4439" s="549" t="s">
        <v>976</v>
      </c>
      <c r="J4439" s="549" t="s">
        <v>976</v>
      </c>
      <c r="L4439" s="549">
        <v>889549.1</v>
      </c>
      <c r="M4439" s="549">
        <v>67160.960000000006</v>
      </c>
      <c r="N4439" s="549">
        <v>19659.04</v>
      </c>
      <c r="P4439" s="549">
        <v>100</v>
      </c>
      <c r="Q4439" s="549">
        <v>86820</v>
      </c>
    </row>
    <row r="4440" spans="1:17" x14ac:dyDescent="0.25">
      <c r="A4440" s="549" t="s">
        <v>1083</v>
      </c>
      <c r="B4440" s="549" t="s">
        <v>584</v>
      </c>
      <c r="C4440" s="549" t="s">
        <v>778</v>
      </c>
      <c r="D4440" s="549" t="s">
        <v>779</v>
      </c>
      <c r="E4440" s="549" t="s">
        <v>977</v>
      </c>
      <c r="F4440" s="549" t="s">
        <v>1537</v>
      </c>
      <c r="G4440" s="549" t="s">
        <v>1540</v>
      </c>
      <c r="H4440" s="549" t="s">
        <v>778</v>
      </c>
      <c r="I4440" s="549" t="s">
        <v>976</v>
      </c>
      <c r="J4440" s="549" t="s">
        <v>976</v>
      </c>
      <c r="L4440" s="549">
        <v>759560.2</v>
      </c>
      <c r="M4440" s="549">
        <v>57346.8</v>
      </c>
      <c r="N4440" s="549">
        <v>16786.28</v>
      </c>
      <c r="P4440" s="549">
        <v>100</v>
      </c>
      <c r="Q4440" s="549">
        <v>74133.08</v>
      </c>
    </row>
    <row r="4441" spans="1:17" x14ac:dyDescent="0.25">
      <c r="A4441" s="549" t="s">
        <v>1151</v>
      </c>
      <c r="B4441" s="549" t="s">
        <v>791</v>
      </c>
      <c r="C4441" s="549" t="s">
        <v>796</v>
      </c>
      <c r="D4441" s="549" t="s">
        <v>493</v>
      </c>
      <c r="E4441" s="549" t="s">
        <v>977</v>
      </c>
      <c r="F4441" s="549" t="s">
        <v>1537</v>
      </c>
      <c r="G4441" s="549" t="s">
        <v>1541</v>
      </c>
      <c r="H4441" s="549" t="s">
        <v>796</v>
      </c>
      <c r="I4441" s="549" t="s">
        <v>976</v>
      </c>
      <c r="J4441" s="549" t="s">
        <v>976</v>
      </c>
      <c r="L4441" s="549">
        <v>1297719.94</v>
      </c>
      <c r="M4441" s="549">
        <v>97977.86</v>
      </c>
      <c r="N4441" s="549">
        <v>28679.61</v>
      </c>
      <c r="P4441" s="549">
        <v>100</v>
      </c>
      <c r="Q4441" s="549">
        <v>126657.47</v>
      </c>
    </row>
    <row r="4442" spans="1:17" x14ac:dyDescent="0.25">
      <c r="A4442" s="549" t="s">
        <v>1151</v>
      </c>
      <c r="B4442" s="549" t="s">
        <v>791</v>
      </c>
      <c r="C4442" s="549" t="s">
        <v>796</v>
      </c>
      <c r="D4442" s="549" t="s">
        <v>493</v>
      </c>
      <c r="E4442" s="549" t="s">
        <v>977</v>
      </c>
      <c r="F4442" s="549" t="s">
        <v>1537</v>
      </c>
      <c r="G4442" s="549" t="s">
        <v>1544</v>
      </c>
      <c r="H4442" s="549" t="s">
        <v>796</v>
      </c>
      <c r="I4442" s="549" t="s">
        <v>976</v>
      </c>
      <c r="J4442" s="549" t="s">
        <v>976</v>
      </c>
      <c r="L4442" s="549">
        <v>1595382.68</v>
      </c>
      <c r="M4442" s="549">
        <v>120451.39</v>
      </c>
      <c r="N4442" s="549">
        <v>35257.96</v>
      </c>
      <c r="P4442" s="549">
        <v>100</v>
      </c>
      <c r="Q4442" s="549">
        <v>155709.35</v>
      </c>
    </row>
    <row r="4443" spans="1:17" x14ac:dyDescent="0.25">
      <c r="A4443" s="549" t="s">
        <v>1151</v>
      </c>
      <c r="B4443" s="549" t="s">
        <v>791</v>
      </c>
      <c r="C4443" s="549" t="s">
        <v>792</v>
      </c>
      <c r="D4443" s="549" t="s">
        <v>793</v>
      </c>
      <c r="E4443" s="549" t="s">
        <v>973</v>
      </c>
      <c r="F4443" s="549" t="s">
        <v>1537</v>
      </c>
      <c r="G4443" s="549" t="s">
        <v>1540</v>
      </c>
      <c r="H4443" s="549" t="s">
        <v>792</v>
      </c>
      <c r="I4443" s="549" t="s">
        <v>976</v>
      </c>
      <c r="J4443" s="549" t="s">
        <v>976</v>
      </c>
      <c r="L4443" s="549">
        <v>1859260.97</v>
      </c>
      <c r="M4443" s="549">
        <v>140374.20000000001</v>
      </c>
      <c r="N4443" s="549">
        <v>106721.58</v>
      </c>
      <c r="P4443" s="549">
        <v>44.51</v>
      </c>
      <c r="Q4443" s="549">
        <v>109982.33</v>
      </c>
    </row>
    <row r="4444" spans="1:17" x14ac:dyDescent="0.25">
      <c r="A4444" s="549" t="s">
        <v>1151</v>
      </c>
      <c r="B4444" s="549" t="s">
        <v>791</v>
      </c>
      <c r="C4444" s="549" t="s">
        <v>792</v>
      </c>
      <c r="D4444" s="549" t="s">
        <v>793</v>
      </c>
      <c r="E4444" s="549" t="s">
        <v>973</v>
      </c>
      <c r="F4444" s="549" t="s">
        <v>1537</v>
      </c>
      <c r="G4444" s="549" t="s">
        <v>1541</v>
      </c>
      <c r="H4444" s="549" t="s">
        <v>792</v>
      </c>
      <c r="I4444" s="549" t="s">
        <v>976</v>
      </c>
      <c r="J4444" s="549" t="s">
        <v>976</v>
      </c>
      <c r="L4444" s="549">
        <v>1859260.97</v>
      </c>
      <c r="M4444" s="549">
        <v>140374.20000000001</v>
      </c>
      <c r="N4444" s="549">
        <v>106721.58</v>
      </c>
      <c r="P4444" s="549">
        <v>44.51</v>
      </c>
      <c r="Q4444" s="549">
        <v>109982.33</v>
      </c>
    </row>
    <row r="4445" spans="1:17" x14ac:dyDescent="0.25">
      <c r="A4445" s="549" t="s">
        <v>1151</v>
      </c>
      <c r="B4445" s="549" t="s">
        <v>791</v>
      </c>
      <c r="C4445" s="549" t="s">
        <v>792</v>
      </c>
      <c r="D4445" s="549" t="s">
        <v>793</v>
      </c>
      <c r="E4445" s="549" t="s">
        <v>977</v>
      </c>
      <c r="F4445" s="549" t="s">
        <v>1537</v>
      </c>
      <c r="G4445" s="549" t="s">
        <v>1540</v>
      </c>
      <c r="H4445" s="549" t="s">
        <v>792</v>
      </c>
      <c r="I4445" s="549" t="s">
        <v>976</v>
      </c>
      <c r="J4445" s="549" t="s">
        <v>976</v>
      </c>
      <c r="L4445" s="549">
        <v>1859260.97</v>
      </c>
      <c r="M4445" s="549">
        <v>140374.20000000001</v>
      </c>
      <c r="N4445" s="549">
        <v>41089.67</v>
      </c>
      <c r="P4445" s="549">
        <v>55.49</v>
      </c>
      <c r="Q4445" s="549">
        <v>100694.3</v>
      </c>
    </row>
    <row r="4446" spans="1:17" x14ac:dyDescent="0.25">
      <c r="A4446" s="549" t="s">
        <v>1151</v>
      </c>
      <c r="B4446" s="549" t="s">
        <v>791</v>
      </c>
      <c r="C4446" s="549" t="s">
        <v>792</v>
      </c>
      <c r="D4446" s="549" t="s">
        <v>793</v>
      </c>
      <c r="E4446" s="549" t="s">
        <v>977</v>
      </c>
      <c r="F4446" s="549" t="s">
        <v>1537</v>
      </c>
      <c r="G4446" s="549" t="s">
        <v>1541</v>
      </c>
      <c r="H4446" s="549" t="s">
        <v>792</v>
      </c>
      <c r="I4446" s="549" t="s">
        <v>976</v>
      </c>
      <c r="J4446" s="549" t="s">
        <v>976</v>
      </c>
      <c r="L4446" s="549">
        <v>1859260.97</v>
      </c>
      <c r="M4446" s="549">
        <v>140374.20000000001</v>
      </c>
      <c r="N4446" s="549">
        <v>41089.67</v>
      </c>
      <c r="P4446" s="549">
        <v>55.49</v>
      </c>
      <c r="Q4446" s="549">
        <v>100694.3</v>
      </c>
    </row>
    <row r="4447" spans="1:17" x14ac:dyDescent="0.25">
      <c r="A4447" s="549" t="s">
        <v>1116</v>
      </c>
      <c r="B4447" s="549" t="s">
        <v>589</v>
      </c>
      <c r="C4447" s="549" t="s">
        <v>851</v>
      </c>
      <c r="D4447" s="549" t="s">
        <v>852</v>
      </c>
      <c r="E4447" s="549" t="s">
        <v>977</v>
      </c>
      <c r="F4447" s="549" t="s">
        <v>1537</v>
      </c>
      <c r="G4447" s="549" t="s">
        <v>1541</v>
      </c>
      <c r="H4447" s="549" t="s">
        <v>851</v>
      </c>
      <c r="I4447" s="549" t="s">
        <v>976</v>
      </c>
      <c r="J4447" s="549" t="s">
        <v>976</v>
      </c>
      <c r="L4447" s="549">
        <v>1152884.05</v>
      </c>
      <c r="M4447" s="549">
        <v>87042.75</v>
      </c>
      <c r="N4447" s="549">
        <v>25478.74</v>
      </c>
      <c r="P4447" s="549">
        <v>100</v>
      </c>
      <c r="Q4447" s="549">
        <v>112521.49</v>
      </c>
    </row>
    <row r="4448" spans="1:17" x14ac:dyDescent="0.25">
      <c r="A4448" s="549" t="s">
        <v>1116</v>
      </c>
      <c r="B4448" s="549" t="s">
        <v>589</v>
      </c>
      <c r="C4448" s="549" t="s">
        <v>851</v>
      </c>
      <c r="D4448" s="549" t="s">
        <v>852</v>
      </c>
      <c r="E4448" s="549" t="s">
        <v>977</v>
      </c>
      <c r="F4448" s="549" t="s">
        <v>1537</v>
      </c>
      <c r="G4448" s="549" t="s">
        <v>1540</v>
      </c>
      <c r="H4448" s="549" t="s">
        <v>851</v>
      </c>
      <c r="I4448" s="549" t="s">
        <v>976</v>
      </c>
      <c r="J4448" s="549" t="s">
        <v>976</v>
      </c>
      <c r="L4448" s="549">
        <v>1152884.05</v>
      </c>
      <c r="M4448" s="549">
        <v>87042.75</v>
      </c>
      <c r="N4448" s="549">
        <v>25478.74</v>
      </c>
      <c r="P4448" s="549">
        <v>100</v>
      </c>
      <c r="Q4448" s="549">
        <v>112521.49</v>
      </c>
    </row>
    <row r="4449" spans="1:17" x14ac:dyDescent="0.25">
      <c r="A4449" s="549" t="s">
        <v>1116</v>
      </c>
      <c r="B4449" s="549" t="s">
        <v>589</v>
      </c>
      <c r="C4449" s="549" t="s">
        <v>851</v>
      </c>
      <c r="D4449" s="549" t="s">
        <v>852</v>
      </c>
      <c r="E4449" s="549" t="s">
        <v>973</v>
      </c>
      <c r="F4449" s="549" t="s">
        <v>1537</v>
      </c>
      <c r="G4449" s="549" t="s">
        <v>1541</v>
      </c>
      <c r="H4449" s="549" t="s">
        <v>851</v>
      </c>
      <c r="I4449" s="549" t="s">
        <v>976</v>
      </c>
      <c r="J4449" s="549" t="s">
        <v>976</v>
      </c>
      <c r="L4449" s="549">
        <v>1152884.05</v>
      </c>
      <c r="M4449" s="549">
        <v>87042.75</v>
      </c>
      <c r="N4449" s="549">
        <v>66175.539999999994</v>
      </c>
      <c r="P4449" s="549">
        <v>0</v>
      </c>
      <c r="Q4449" s="549">
        <v>0</v>
      </c>
    </row>
    <row r="4450" spans="1:17" x14ac:dyDescent="0.25">
      <c r="A4450" s="549" t="s">
        <v>1116</v>
      </c>
      <c r="B4450" s="549" t="s">
        <v>589</v>
      </c>
      <c r="C4450" s="549" t="s">
        <v>851</v>
      </c>
      <c r="D4450" s="549" t="s">
        <v>852</v>
      </c>
      <c r="E4450" s="549" t="s">
        <v>973</v>
      </c>
      <c r="F4450" s="549" t="s">
        <v>1537</v>
      </c>
      <c r="G4450" s="549" t="s">
        <v>1540</v>
      </c>
      <c r="H4450" s="549" t="s">
        <v>851</v>
      </c>
      <c r="I4450" s="549" t="s">
        <v>976</v>
      </c>
      <c r="J4450" s="549" t="s">
        <v>976</v>
      </c>
      <c r="L4450" s="549">
        <v>1152884.05</v>
      </c>
      <c r="M4450" s="549">
        <v>87042.75</v>
      </c>
      <c r="N4450" s="549">
        <v>66175.539999999994</v>
      </c>
      <c r="P4450" s="549">
        <v>0</v>
      </c>
      <c r="Q4450" s="549">
        <v>0</v>
      </c>
    </row>
    <row r="4451" spans="1:17" x14ac:dyDescent="0.25">
      <c r="A4451" s="549" t="s">
        <v>1116</v>
      </c>
      <c r="B4451" s="549" t="s">
        <v>589</v>
      </c>
      <c r="C4451" s="549" t="s">
        <v>849</v>
      </c>
      <c r="D4451" s="549" t="s">
        <v>850</v>
      </c>
      <c r="E4451" s="549" t="s">
        <v>977</v>
      </c>
      <c r="F4451" s="549" t="s">
        <v>1537</v>
      </c>
      <c r="G4451" s="549" t="s">
        <v>1545</v>
      </c>
      <c r="H4451" s="549" t="s">
        <v>849</v>
      </c>
      <c r="I4451" s="549" t="s">
        <v>976</v>
      </c>
      <c r="J4451" s="549" t="s">
        <v>976</v>
      </c>
      <c r="L4451" s="549">
        <v>1152884.05</v>
      </c>
      <c r="M4451" s="549">
        <v>87042.75</v>
      </c>
      <c r="N4451" s="549">
        <v>25478.74</v>
      </c>
      <c r="P4451" s="549">
        <v>100</v>
      </c>
      <c r="Q4451" s="549">
        <v>112521.49</v>
      </c>
    </row>
    <row r="4452" spans="1:17" x14ac:dyDescent="0.25">
      <c r="A4452" s="549" t="s">
        <v>1116</v>
      </c>
      <c r="B4452" s="549" t="s">
        <v>589</v>
      </c>
      <c r="C4452" s="549" t="s">
        <v>849</v>
      </c>
      <c r="D4452" s="549" t="s">
        <v>850</v>
      </c>
      <c r="E4452" s="549" t="s">
        <v>977</v>
      </c>
      <c r="F4452" s="549" t="s">
        <v>1537</v>
      </c>
      <c r="G4452" s="549" t="s">
        <v>1544</v>
      </c>
      <c r="H4452" s="549" t="s">
        <v>849</v>
      </c>
      <c r="I4452" s="549" t="s">
        <v>976</v>
      </c>
      <c r="J4452" s="549" t="s">
        <v>976</v>
      </c>
      <c r="L4452" s="549">
        <v>1152884.05</v>
      </c>
      <c r="M4452" s="549">
        <v>87042.75</v>
      </c>
      <c r="N4452" s="549">
        <v>25478.74</v>
      </c>
      <c r="P4452" s="549">
        <v>100</v>
      </c>
      <c r="Q4452" s="549">
        <v>112521.49</v>
      </c>
    </row>
    <row r="4453" spans="1:17" x14ac:dyDescent="0.25">
      <c r="A4453" s="549" t="s">
        <v>1116</v>
      </c>
      <c r="B4453" s="549" t="s">
        <v>589</v>
      </c>
      <c r="C4453" s="549" t="s">
        <v>849</v>
      </c>
      <c r="D4453" s="549" t="s">
        <v>850</v>
      </c>
      <c r="E4453" s="549" t="s">
        <v>973</v>
      </c>
      <c r="F4453" s="549" t="s">
        <v>1537</v>
      </c>
      <c r="G4453" s="549" t="s">
        <v>1545</v>
      </c>
      <c r="H4453" s="549" t="s">
        <v>849</v>
      </c>
      <c r="I4453" s="549" t="s">
        <v>976</v>
      </c>
      <c r="J4453" s="549" t="s">
        <v>976</v>
      </c>
      <c r="L4453" s="549">
        <v>1152884.05</v>
      </c>
      <c r="M4453" s="549">
        <v>87042.75</v>
      </c>
      <c r="N4453" s="549">
        <v>66175.539999999994</v>
      </c>
      <c r="P4453" s="549">
        <v>0</v>
      </c>
      <c r="Q4453" s="549">
        <v>0</v>
      </c>
    </row>
    <row r="4454" spans="1:17" x14ac:dyDescent="0.25">
      <c r="A4454" s="549" t="s">
        <v>1116</v>
      </c>
      <c r="B4454" s="549" t="s">
        <v>589</v>
      </c>
      <c r="C4454" s="549" t="s">
        <v>849</v>
      </c>
      <c r="D4454" s="549" t="s">
        <v>850</v>
      </c>
      <c r="E4454" s="549" t="s">
        <v>973</v>
      </c>
      <c r="F4454" s="549" t="s">
        <v>1537</v>
      </c>
      <c r="G4454" s="549" t="s">
        <v>1544</v>
      </c>
      <c r="H4454" s="549" t="s">
        <v>849</v>
      </c>
      <c r="I4454" s="549" t="s">
        <v>976</v>
      </c>
      <c r="J4454" s="549" t="s">
        <v>976</v>
      </c>
      <c r="L4454" s="549">
        <v>1152884.05</v>
      </c>
      <c r="M4454" s="549">
        <v>87042.75</v>
      </c>
      <c r="N4454" s="549">
        <v>66175.539999999994</v>
      </c>
      <c r="P4454" s="549">
        <v>0</v>
      </c>
      <c r="Q4454" s="549">
        <v>0</v>
      </c>
    </row>
    <row r="4455" spans="1:17" x14ac:dyDescent="0.25">
      <c r="A4455" s="549" t="s">
        <v>1153</v>
      </c>
      <c r="B4455" s="549" t="s">
        <v>585</v>
      </c>
      <c r="C4455" s="549" t="s">
        <v>799</v>
      </c>
      <c r="D4455" s="549" t="s">
        <v>800</v>
      </c>
      <c r="E4455" s="549" t="s">
        <v>977</v>
      </c>
      <c r="F4455" s="549" t="s">
        <v>1537</v>
      </c>
      <c r="G4455" s="549" t="s">
        <v>1540</v>
      </c>
      <c r="H4455" s="549" t="s">
        <v>799</v>
      </c>
      <c r="I4455" s="549" t="s">
        <v>976</v>
      </c>
      <c r="J4455" s="549" t="s">
        <v>976</v>
      </c>
      <c r="L4455" s="549">
        <v>846388.27</v>
      </c>
      <c r="M4455" s="549">
        <v>63902.31</v>
      </c>
      <c r="N4455" s="549">
        <v>18705.18</v>
      </c>
      <c r="P4455" s="549">
        <v>100</v>
      </c>
      <c r="Q4455" s="549">
        <v>82607.490000000005</v>
      </c>
    </row>
    <row r="4456" spans="1:17" x14ac:dyDescent="0.25">
      <c r="A4456" s="549" t="s">
        <v>1202</v>
      </c>
      <c r="B4456" s="549" t="s">
        <v>1203</v>
      </c>
      <c r="C4456" s="549" t="s">
        <v>843</v>
      </c>
      <c r="D4456" s="549" t="s">
        <v>844</v>
      </c>
      <c r="E4456" s="549" t="s">
        <v>977</v>
      </c>
      <c r="F4456" s="549" t="s">
        <v>1537</v>
      </c>
      <c r="G4456" s="549" t="s">
        <v>1548</v>
      </c>
      <c r="H4456" s="549" t="s">
        <v>843</v>
      </c>
      <c r="I4456" s="549" t="s">
        <v>976</v>
      </c>
      <c r="J4456" s="549" t="s">
        <v>976</v>
      </c>
      <c r="L4456" s="549">
        <v>2967370.08</v>
      </c>
      <c r="M4456" s="549">
        <v>224036.44</v>
      </c>
      <c r="N4456" s="549">
        <v>65578.880000000005</v>
      </c>
      <c r="P4456" s="549">
        <v>0.03</v>
      </c>
      <c r="Q4456" s="549">
        <v>86.88</v>
      </c>
    </row>
    <row r="4457" spans="1:17" x14ac:dyDescent="0.25">
      <c r="A4457" s="549" t="s">
        <v>1202</v>
      </c>
      <c r="B4457" s="549" t="s">
        <v>1203</v>
      </c>
      <c r="C4457" s="549" t="s">
        <v>843</v>
      </c>
      <c r="D4457" s="549" t="s">
        <v>844</v>
      </c>
      <c r="E4457" s="549" t="s">
        <v>977</v>
      </c>
      <c r="F4457" s="549" t="s">
        <v>1537</v>
      </c>
      <c r="G4457" s="549" t="s">
        <v>1560</v>
      </c>
      <c r="H4457" s="549" t="s">
        <v>843</v>
      </c>
      <c r="I4457" s="549" t="s">
        <v>976</v>
      </c>
      <c r="J4457" s="549" t="s">
        <v>976</v>
      </c>
      <c r="L4457" s="549">
        <v>2845655.36</v>
      </c>
      <c r="M4457" s="549">
        <v>214846.98</v>
      </c>
      <c r="N4457" s="549">
        <v>62888.98</v>
      </c>
      <c r="P4457" s="549">
        <v>0.03</v>
      </c>
      <c r="Q4457" s="549">
        <v>83.32</v>
      </c>
    </row>
    <row r="4458" spans="1:17" x14ac:dyDescent="0.25">
      <c r="A4458" s="549" t="s">
        <v>1204</v>
      </c>
      <c r="B4458" s="549" t="s">
        <v>1205</v>
      </c>
      <c r="C4458" s="549" t="s">
        <v>228</v>
      </c>
      <c r="D4458" s="549" t="s">
        <v>683</v>
      </c>
      <c r="E4458" s="549" t="s">
        <v>973</v>
      </c>
      <c r="F4458" s="549" t="s">
        <v>1537</v>
      </c>
      <c r="G4458" s="549" t="s">
        <v>1543</v>
      </c>
      <c r="H4458" s="549" t="s">
        <v>228</v>
      </c>
      <c r="I4458" s="549" t="s">
        <v>976</v>
      </c>
      <c r="J4458" s="549" t="s">
        <v>976</v>
      </c>
      <c r="L4458" s="549">
        <v>1441674.88</v>
      </c>
      <c r="M4458" s="549">
        <v>108846.45</v>
      </c>
      <c r="N4458" s="549">
        <v>82752.14</v>
      </c>
      <c r="P4458" s="549">
        <v>42.08</v>
      </c>
      <c r="Q4458" s="549">
        <v>80624.69</v>
      </c>
    </row>
    <row r="4459" spans="1:17" x14ac:dyDescent="0.25">
      <c r="A4459" s="549" t="s">
        <v>1204</v>
      </c>
      <c r="B4459" s="549" t="s">
        <v>1205</v>
      </c>
      <c r="C4459" s="549" t="s">
        <v>228</v>
      </c>
      <c r="D4459" s="549" t="s">
        <v>683</v>
      </c>
      <c r="E4459" s="549" t="s">
        <v>973</v>
      </c>
      <c r="F4459" s="549" t="s">
        <v>1537</v>
      </c>
      <c r="G4459" s="549" t="s">
        <v>1548</v>
      </c>
      <c r="H4459" s="549" t="s">
        <v>228</v>
      </c>
      <c r="I4459" s="549" t="s">
        <v>976</v>
      </c>
      <c r="J4459" s="549" t="s">
        <v>976</v>
      </c>
      <c r="L4459" s="549">
        <v>1441674.88</v>
      </c>
      <c r="M4459" s="549">
        <v>108846.45</v>
      </c>
      <c r="N4459" s="549">
        <v>82752.14</v>
      </c>
      <c r="P4459" s="549">
        <v>42.08</v>
      </c>
      <c r="Q4459" s="549">
        <v>80624.69</v>
      </c>
    </row>
    <row r="4460" spans="1:17" x14ac:dyDescent="0.25">
      <c r="A4460" s="549" t="s">
        <v>1204</v>
      </c>
      <c r="B4460" s="549" t="s">
        <v>1205</v>
      </c>
      <c r="C4460" s="549" t="s">
        <v>228</v>
      </c>
      <c r="D4460" s="549" t="s">
        <v>683</v>
      </c>
      <c r="E4460" s="549" t="s">
        <v>977</v>
      </c>
      <c r="F4460" s="549" t="s">
        <v>1537</v>
      </c>
      <c r="G4460" s="549" t="s">
        <v>1543</v>
      </c>
      <c r="H4460" s="549" t="s">
        <v>228</v>
      </c>
      <c r="I4460" s="549" t="s">
        <v>976</v>
      </c>
      <c r="J4460" s="549" t="s">
        <v>976</v>
      </c>
      <c r="L4460" s="549">
        <v>1441674.88</v>
      </c>
      <c r="M4460" s="549">
        <v>108846.45</v>
      </c>
      <c r="N4460" s="549">
        <v>31861.01</v>
      </c>
      <c r="P4460" s="549">
        <v>57.92</v>
      </c>
      <c r="Q4460" s="549">
        <v>81497.759999999995</v>
      </c>
    </row>
    <row r="4461" spans="1:17" x14ac:dyDescent="0.25">
      <c r="A4461" s="549" t="s">
        <v>1204</v>
      </c>
      <c r="B4461" s="549" t="s">
        <v>1205</v>
      </c>
      <c r="C4461" s="549" t="s">
        <v>228</v>
      </c>
      <c r="D4461" s="549" t="s">
        <v>683</v>
      </c>
      <c r="E4461" s="549" t="s">
        <v>977</v>
      </c>
      <c r="F4461" s="549" t="s">
        <v>1537</v>
      </c>
      <c r="G4461" s="549" t="s">
        <v>1548</v>
      </c>
      <c r="H4461" s="549" t="s">
        <v>228</v>
      </c>
      <c r="I4461" s="549" t="s">
        <v>976</v>
      </c>
      <c r="J4461" s="549" t="s">
        <v>976</v>
      </c>
      <c r="L4461" s="549">
        <v>1441674.88</v>
      </c>
      <c r="M4461" s="549">
        <v>108846.45</v>
      </c>
      <c r="N4461" s="549">
        <v>31861.01</v>
      </c>
      <c r="P4461" s="549">
        <v>57.92</v>
      </c>
      <c r="Q4461" s="549">
        <v>81497.759999999995</v>
      </c>
    </row>
    <row r="4462" spans="1:17" x14ac:dyDescent="0.25">
      <c r="A4462" s="549" t="s">
        <v>1097</v>
      </c>
      <c r="B4462" s="549" t="s">
        <v>579</v>
      </c>
      <c r="C4462" s="549" t="s">
        <v>705</v>
      </c>
      <c r="D4462" s="549" t="s">
        <v>706</v>
      </c>
      <c r="E4462" s="549" t="s">
        <v>977</v>
      </c>
      <c r="F4462" s="549" t="s">
        <v>1537</v>
      </c>
      <c r="G4462" s="549" t="s">
        <v>1540</v>
      </c>
      <c r="H4462" s="549" t="s">
        <v>705</v>
      </c>
      <c r="I4462" s="549" t="s">
        <v>976</v>
      </c>
      <c r="J4462" s="549" t="s">
        <v>976</v>
      </c>
      <c r="L4462" s="549">
        <v>3645177.41</v>
      </c>
      <c r="M4462" s="549">
        <v>275210.89</v>
      </c>
      <c r="N4462" s="549">
        <v>80558.42</v>
      </c>
      <c r="P4462" s="549">
        <v>5.28</v>
      </c>
      <c r="Q4462" s="549">
        <v>18784.62</v>
      </c>
    </row>
    <row r="4463" spans="1:17" x14ac:dyDescent="0.25">
      <c r="A4463" s="549" t="s">
        <v>1097</v>
      </c>
      <c r="B4463" s="549" t="s">
        <v>579</v>
      </c>
      <c r="C4463" s="549" t="s">
        <v>705</v>
      </c>
      <c r="D4463" s="549" t="s">
        <v>706</v>
      </c>
      <c r="E4463" s="549" t="s">
        <v>977</v>
      </c>
      <c r="F4463" s="549" t="s">
        <v>1537</v>
      </c>
      <c r="G4463" s="549" t="s">
        <v>1541</v>
      </c>
      <c r="H4463" s="549" t="s">
        <v>705</v>
      </c>
      <c r="I4463" s="549" t="s">
        <v>976</v>
      </c>
      <c r="J4463" s="549" t="s">
        <v>976</v>
      </c>
      <c r="L4463" s="549">
        <v>3184800.74</v>
      </c>
      <c r="M4463" s="549">
        <v>240452.46</v>
      </c>
      <c r="N4463" s="549">
        <v>70384.100000000006</v>
      </c>
      <c r="P4463" s="549">
        <v>1.76</v>
      </c>
      <c r="Q4463" s="549">
        <v>5470.72</v>
      </c>
    </row>
    <row r="4464" spans="1:17" x14ac:dyDescent="0.25">
      <c r="A4464" s="549" t="s">
        <v>1097</v>
      </c>
      <c r="B4464" s="549" t="s">
        <v>579</v>
      </c>
      <c r="C4464" s="549" t="s">
        <v>701</v>
      </c>
      <c r="D4464" s="549" t="s">
        <v>702</v>
      </c>
      <c r="E4464" s="549" t="s">
        <v>977</v>
      </c>
      <c r="F4464" s="549" t="s">
        <v>1537</v>
      </c>
      <c r="G4464" s="549" t="s">
        <v>1542</v>
      </c>
      <c r="H4464" s="549" t="s">
        <v>701</v>
      </c>
      <c r="I4464" s="549" t="s">
        <v>976</v>
      </c>
      <c r="J4464" s="549" t="s">
        <v>976</v>
      </c>
      <c r="L4464" s="549">
        <v>802366.41</v>
      </c>
      <c r="M4464" s="549">
        <v>60578.66</v>
      </c>
      <c r="N4464" s="549">
        <v>17732.3</v>
      </c>
      <c r="P4464" s="549">
        <v>100</v>
      </c>
      <c r="Q4464" s="549">
        <v>78310.960000000006</v>
      </c>
    </row>
    <row r="4465" spans="1:17" x14ac:dyDescent="0.25">
      <c r="A4465" s="549" t="s">
        <v>1097</v>
      </c>
      <c r="B4465" s="549" t="s">
        <v>579</v>
      </c>
      <c r="C4465" s="549" t="s">
        <v>701</v>
      </c>
      <c r="D4465" s="549" t="s">
        <v>702</v>
      </c>
      <c r="E4465" s="549" t="s">
        <v>977</v>
      </c>
      <c r="F4465" s="549" t="s">
        <v>1537</v>
      </c>
      <c r="G4465" s="549" t="s">
        <v>1543</v>
      </c>
      <c r="H4465" s="549" t="s">
        <v>701</v>
      </c>
      <c r="I4465" s="549" t="s">
        <v>976</v>
      </c>
      <c r="J4465" s="549" t="s">
        <v>976</v>
      </c>
      <c r="L4465" s="549">
        <v>802366.41</v>
      </c>
      <c r="M4465" s="549">
        <v>60578.66</v>
      </c>
      <c r="N4465" s="549">
        <v>17732.3</v>
      </c>
      <c r="P4465" s="549">
        <v>100</v>
      </c>
      <c r="Q4465" s="549">
        <v>78310.960000000006</v>
      </c>
    </row>
    <row r="4466" spans="1:17" x14ac:dyDescent="0.25">
      <c r="A4466" s="549" t="s">
        <v>1097</v>
      </c>
      <c r="B4466" s="549" t="s">
        <v>579</v>
      </c>
      <c r="C4466" s="549" t="s">
        <v>701</v>
      </c>
      <c r="D4466" s="549" t="s">
        <v>702</v>
      </c>
      <c r="E4466" s="549" t="s">
        <v>977</v>
      </c>
      <c r="F4466" s="549" t="s">
        <v>1537</v>
      </c>
      <c r="G4466" s="549" t="s">
        <v>1544</v>
      </c>
      <c r="H4466" s="549" t="s">
        <v>697</v>
      </c>
      <c r="I4466" s="549" t="s">
        <v>976</v>
      </c>
      <c r="J4466" s="549" t="s">
        <v>976</v>
      </c>
      <c r="L4466" s="549">
        <v>3595250.44</v>
      </c>
      <c r="M4466" s="549">
        <v>271441.40999999997</v>
      </c>
      <c r="N4466" s="549">
        <v>79455.03</v>
      </c>
      <c r="P4466" s="549">
        <v>32.04</v>
      </c>
      <c r="Q4466" s="549">
        <v>112427.22</v>
      </c>
    </row>
    <row r="4467" spans="1:17" x14ac:dyDescent="0.25">
      <c r="A4467" s="549" t="s">
        <v>1097</v>
      </c>
      <c r="B4467" s="549" t="s">
        <v>579</v>
      </c>
      <c r="C4467" s="549" t="s">
        <v>703</v>
      </c>
      <c r="D4467" s="549" t="s">
        <v>704</v>
      </c>
      <c r="E4467" s="549" t="s">
        <v>977</v>
      </c>
      <c r="F4467" s="549" t="s">
        <v>1537</v>
      </c>
      <c r="G4467" s="549" t="s">
        <v>1544</v>
      </c>
      <c r="H4467" s="549" t="s">
        <v>697</v>
      </c>
      <c r="I4467" s="549" t="s">
        <v>976</v>
      </c>
      <c r="J4467" s="549" t="s">
        <v>976</v>
      </c>
      <c r="L4467" s="549">
        <v>3595250.44</v>
      </c>
      <c r="M4467" s="549">
        <v>271441.40999999997</v>
      </c>
      <c r="N4467" s="549">
        <v>79455.03</v>
      </c>
      <c r="P4467" s="549">
        <v>11.63</v>
      </c>
      <c r="Q4467" s="549">
        <v>40809.26</v>
      </c>
    </row>
    <row r="4468" spans="1:17" x14ac:dyDescent="0.25">
      <c r="A4468" s="549" t="s">
        <v>1097</v>
      </c>
      <c r="B4468" s="549" t="s">
        <v>579</v>
      </c>
      <c r="C4468" s="549" t="s">
        <v>699</v>
      </c>
      <c r="D4468" s="549" t="s">
        <v>700</v>
      </c>
      <c r="E4468" s="549" t="s">
        <v>977</v>
      </c>
      <c r="F4468" s="549" t="s">
        <v>1537</v>
      </c>
      <c r="G4468" s="549" t="s">
        <v>1540</v>
      </c>
      <c r="H4468" s="549" t="s">
        <v>699</v>
      </c>
      <c r="I4468" s="549" t="s">
        <v>976</v>
      </c>
      <c r="J4468" s="549" t="s">
        <v>976</v>
      </c>
      <c r="L4468" s="549">
        <v>715194.61</v>
      </c>
      <c r="M4468" s="549">
        <v>53997.19</v>
      </c>
      <c r="N4468" s="549">
        <v>15805.8</v>
      </c>
      <c r="P4468" s="549">
        <v>100</v>
      </c>
      <c r="Q4468" s="549">
        <v>69802.990000000005</v>
      </c>
    </row>
    <row r="4469" spans="1:17" x14ac:dyDescent="0.25">
      <c r="A4469" s="549" t="s">
        <v>1097</v>
      </c>
      <c r="B4469" s="549" t="s">
        <v>579</v>
      </c>
      <c r="C4469" s="549" t="s">
        <v>697</v>
      </c>
      <c r="D4469" s="549" t="s">
        <v>698</v>
      </c>
      <c r="E4469" s="549" t="s">
        <v>977</v>
      </c>
      <c r="F4469" s="549" t="s">
        <v>1537</v>
      </c>
      <c r="G4469" s="549" t="s">
        <v>1559</v>
      </c>
      <c r="H4469" s="549" t="s">
        <v>697</v>
      </c>
      <c r="I4469" s="549" t="s">
        <v>976</v>
      </c>
      <c r="J4469" s="549" t="s">
        <v>976</v>
      </c>
      <c r="L4469" s="549">
        <v>3155100.42</v>
      </c>
      <c r="M4469" s="549">
        <v>238210.08</v>
      </c>
      <c r="N4469" s="549">
        <v>69727.72</v>
      </c>
      <c r="P4469" s="549">
        <v>100</v>
      </c>
      <c r="Q4469" s="549">
        <v>307937.8</v>
      </c>
    </row>
    <row r="4470" spans="1:17" x14ac:dyDescent="0.25">
      <c r="A4470" s="549" t="s">
        <v>1097</v>
      </c>
      <c r="B4470" s="549" t="s">
        <v>579</v>
      </c>
      <c r="C4470" s="549" t="s">
        <v>697</v>
      </c>
      <c r="D4470" s="549" t="s">
        <v>698</v>
      </c>
      <c r="E4470" s="549" t="s">
        <v>977</v>
      </c>
      <c r="F4470" s="549" t="s">
        <v>1537</v>
      </c>
      <c r="G4470" s="549" t="s">
        <v>1551</v>
      </c>
      <c r="H4470" s="549" t="s">
        <v>697</v>
      </c>
      <c r="I4470" s="549" t="s">
        <v>976</v>
      </c>
      <c r="J4470" s="549" t="s">
        <v>976</v>
      </c>
      <c r="L4470" s="549">
        <v>1758486.97</v>
      </c>
      <c r="M4470" s="549">
        <v>132765.76999999999</v>
      </c>
      <c r="N4470" s="549">
        <v>38862.559999999998</v>
      </c>
      <c r="P4470" s="549">
        <v>100</v>
      </c>
      <c r="Q4470" s="549">
        <v>171628.33</v>
      </c>
    </row>
    <row r="4471" spans="1:17" x14ac:dyDescent="0.25">
      <c r="A4471" s="549" t="s">
        <v>1097</v>
      </c>
      <c r="B4471" s="549" t="s">
        <v>579</v>
      </c>
      <c r="C4471" s="549" t="s">
        <v>697</v>
      </c>
      <c r="D4471" s="549" t="s">
        <v>698</v>
      </c>
      <c r="E4471" s="549" t="s">
        <v>977</v>
      </c>
      <c r="F4471" s="549" t="s">
        <v>1537</v>
      </c>
      <c r="G4471" s="549" t="s">
        <v>1560</v>
      </c>
      <c r="H4471" s="549" t="s">
        <v>697</v>
      </c>
      <c r="I4471" s="549" t="s">
        <v>976</v>
      </c>
      <c r="J4471" s="549" t="s">
        <v>976</v>
      </c>
      <c r="L4471" s="549">
        <v>1758486.97</v>
      </c>
      <c r="M4471" s="549">
        <v>132765.76999999999</v>
      </c>
      <c r="N4471" s="549">
        <v>38862.559999999998</v>
      </c>
      <c r="P4471" s="549">
        <v>100</v>
      </c>
      <c r="Q4471" s="549">
        <v>171628.33</v>
      </c>
    </row>
    <row r="4472" spans="1:17" x14ac:dyDescent="0.25">
      <c r="A4472" s="549" t="s">
        <v>1108</v>
      </c>
      <c r="B4472" s="549" t="s">
        <v>1109</v>
      </c>
      <c r="C4472" s="549" t="s">
        <v>770</v>
      </c>
      <c r="D4472" s="549" t="s">
        <v>771</v>
      </c>
      <c r="E4472" s="549" t="s">
        <v>973</v>
      </c>
      <c r="F4472" s="549" t="s">
        <v>1537</v>
      </c>
      <c r="G4472" s="549" t="s">
        <v>1564</v>
      </c>
      <c r="H4472" s="549" t="s">
        <v>770</v>
      </c>
      <c r="I4472" s="549" t="s">
        <v>976</v>
      </c>
      <c r="J4472" s="549" t="s">
        <v>976</v>
      </c>
      <c r="L4472" s="549">
        <v>920839.56</v>
      </c>
      <c r="M4472" s="549">
        <v>69523.39</v>
      </c>
      <c r="N4472" s="549">
        <v>52856.19</v>
      </c>
      <c r="P4472" s="549">
        <v>0.12</v>
      </c>
      <c r="Q4472" s="549">
        <v>146.86000000000001</v>
      </c>
    </row>
    <row r="4473" spans="1:17" x14ac:dyDescent="0.25">
      <c r="A4473" s="549" t="s">
        <v>1108</v>
      </c>
      <c r="B4473" s="549" t="s">
        <v>1109</v>
      </c>
      <c r="C4473" s="549" t="s">
        <v>770</v>
      </c>
      <c r="D4473" s="549" t="s">
        <v>771</v>
      </c>
      <c r="E4473" s="549" t="s">
        <v>977</v>
      </c>
      <c r="F4473" s="549" t="s">
        <v>1537</v>
      </c>
      <c r="G4473" s="549" t="s">
        <v>1564</v>
      </c>
      <c r="H4473" s="549" t="s">
        <v>770</v>
      </c>
      <c r="I4473" s="549" t="s">
        <v>976</v>
      </c>
      <c r="J4473" s="549" t="s">
        <v>976</v>
      </c>
      <c r="L4473" s="549">
        <v>920839.56</v>
      </c>
      <c r="M4473" s="549">
        <v>69523.39</v>
      </c>
      <c r="N4473" s="549">
        <v>20350.55</v>
      </c>
      <c r="P4473" s="549">
        <v>99.88</v>
      </c>
      <c r="Q4473" s="549">
        <v>89766.09</v>
      </c>
    </row>
    <row r="4474" spans="1:17" x14ac:dyDescent="0.25">
      <c r="A4474" s="549" t="s">
        <v>1108</v>
      </c>
      <c r="B4474" s="549" t="s">
        <v>1109</v>
      </c>
      <c r="C4474" s="549" t="s">
        <v>855</v>
      </c>
      <c r="D4474" s="549" t="s">
        <v>856</v>
      </c>
      <c r="E4474" s="549" t="s">
        <v>973</v>
      </c>
      <c r="F4474" s="549" t="s">
        <v>1537</v>
      </c>
      <c r="G4474" s="549" t="s">
        <v>1548</v>
      </c>
      <c r="H4474" s="549" t="s">
        <v>855</v>
      </c>
      <c r="I4474" s="549" t="s">
        <v>976</v>
      </c>
      <c r="J4474" s="549" t="s">
        <v>976</v>
      </c>
      <c r="L4474" s="549">
        <v>903131.11</v>
      </c>
      <c r="M4474" s="549">
        <v>68186.399999999994</v>
      </c>
      <c r="N4474" s="549">
        <v>51839.73</v>
      </c>
      <c r="P4474" s="549">
        <v>6.4</v>
      </c>
      <c r="Q4474" s="549">
        <v>7681.67</v>
      </c>
    </row>
    <row r="4475" spans="1:17" x14ac:dyDescent="0.25">
      <c r="A4475" s="549" t="s">
        <v>1108</v>
      </c>
      <c r="B4475" s="549" t="s">
        <v>1109</v>
      </c>
      <c r="C4475" s="549" t="s">
        <v>855</v>
      </c>
      <c r="D4475" s="549" t="s">
        <v>856</v>
      </c>
      <c r="E4475" s="549" t="s">
        <v>977</v>
      </c>
      <c r="F4475" s="549" t="s">
        <v>1537</v>
      </c>
      <c r="G4475" s="549" t="s">
        <v>1548</v>
      </c>
      <c r="H4475" s="549" t="s">
        <v>855</v>
      </c>
      <c r="I4475" s="549" t="s">
        <v>976</v>
      </c>
      <c r="J4475" s="549" t="s">
        <v>976</v>
      </c>
      <c r="L4475" s="549">
        <v>903131.11</v>
      </c>
      <c r="M4475" s="549">
        <v>68186.399999999994</v>
      </c>
      <c r="N4475" s="549">
        <v>19959.2</v>
      </c>
      <c r="P4475" s="549">
        <v>93.6</v>
      </c>
      <c r="Q4475" s="549">
        <v>82504.28</v>
      </c>
    </row>
    <row r="4476" spans="1:17" x14ac:dyDescent="0.25">
      <c r="A4476" s="549" t="s">
        <v>1108</v>
      </c>
      <c r="B4476" s="549" t="s">
        <v>1109</v>
      </c>
      <c r="C4476" s="549" t="s">
        <v>1047</v>
      </c>
      <c r="D4476" s="549" t="s">
        <v>494</v>
      </c>
      <c r="E4476" s="549" t="s">
        <v>973</v>
      </c>
      <c r="F4476" s="549" t="s">
        <v>1537</v>
      </c>
      <c r="G4476" s="549" t="s">
        <v>1541</v>
      </c>
      <c r="H4476" s="549" t="s">
        <v>1047</v>
      </c>
      <c r="I4476" s="549" t="s">
        <v>976</v>
      </c>
      <c r="J4476" s="549" t="s">
        <v>976</v>
      </c>
      <c r="L4476" s="549">
        <v>881923.53</v>
      </c>
      <c r="M4476" s="549">
        <v>66585.23</v>
      </c>
      <c r="N4476" s="549">
        <v>50622.41</v>
      </c>
      <c r="P4476" s="549">
        <v>11.47</v>
      </c>
      <c r="Q4476" s="549">
        <v>13443.72</v>
      </c>
    </row>
    <row r="4477" spans="1:17" x14ac:dyDescent="0.25">
      <c r="A4477" s="549" t="s">
        <v>1108</v>
      </c>
      <c r="B4477" s="549" t="s">
        <v>1109</v>
      </c>
      <c r="C4477" s="549" t="s">
        <v>1047</v>
      </c>
      <c r="D4477" s="549" t="s">
        <v>494</v>
      </c>
      <c r="E4477" s="549" t="s">
        <v>977</v>
      </c>
      <c r="F4477" s="549" t="s">
        <v>1537</v>
      </c>
      <c r="G4477" s="549" t="s">
        <v>1541</v>
      </c>
      <c r="H4477" s="549" t="s">
        <v>1047</v>
      </c>
      <c r="I4477" s="549" t="s">
        <v>976</v>
      </c>
      <c r="J4477" s="549" t="s">
        <v>976</v>
      </c>
      <c r="L4477" s="549">
        <v>881923.53</v>
      </c>
      <c r="M4477" s="549">
        <v>66585.23</v>
      </c>
      <c r="N4477" s="549">
        <v>19490.509999999998</v>
      </c>
      <c r="P4477" s="549">
        <v>88.53</v>
      </c>
      <c r="Q4477" s="549">
        <v>76202.850000000006</v>
      </c>
    </row>
    <row r="4478" spans="1:17" x14ac:dyDescent="0.25">
      <c r="A4478" s="549" t="s">
        <v>1108</v>
      </c>
      <c r="B4478" s="549" t="s">
        <v>1109</v>
      </c>
      <c r="C4478" s="549" t="s">
        <v>1206</v>
      </c>
      <c r="D4478" s="549" t="s">
        <v>1207</v>
      </c>
      <c r="E4478" s="549" t="s">
        <v>973</v>
      </c>
      <c r="F4478" s="549" t="s">
        <v>1537</v>
      </c>
      <c r="G4478" s="549" t="s">
        <v>1551</v>
      </c>
      <c r="H4478" s="549" t="s">
        <v>1206</v>
      </c>
      <c r="I4478" s="549" t="s">
        <v>976</v>
      </c>
      <c r="J4478" s="549" t="s">
        <v>976</v>
      </c>
      <c r="L4478" s="549">
        <v>903131.11</v>
      </c>
      <c r="M4478" s="549">
        <v>68186.399999999994</v>
      </c>
      <c r="N4478" s="549">
        <v>51839.73</v>
      </c>
      <c r="P4478" s="549">
        <v>14.17</v>
      </c>
      <c r="Q4478" s="549">
        <v>17007.7</v>
      </c>
    </row>
    <row r="4479" spans="1:17" x14ac:dyDescent="0.25">
      <c r="A4479" s="549" t="s">
        <v>1108</v>
      </c>
      <c r="B4479" s="549" t="s">
        <v>1109</v>
      </c>
      <c r="C4479" s="549" t="s">
        <v>1206</v>
      </c>
      <c r="D4479" s="549" t="s">
        <v>1207</v>
      </c>
      <c r="E4479" s="549" t="s">
        <v>977</v>
      </c>
      <c r="F4479" s="549" t="s">
        <v>1537</v>
      </c>
      <c r="G4479" s="549" t="s">
        <v>1551</v>
      </c>
      <c r="H4479" s="549" t="s">
        <v>1206</v>
      </c>
      <c r="I4479" s="549" t="s">
        <v>976</v>
      </c>
      <c r="J4479" s="549" t="s">
        <v>976</v>
      </c>
      <c r="L4479" s="549">
        <v>903131.11</v>
      </c>
      <c r="M4479" s="549">
        <v>68186.399999999994</v>
      </c>
      <c r="N4479" s="549">
        <v>19959.2</v>
      </c>
      <c r="P4479" s="549">
        <v>85.83</v>
      </c>
      <c r="Q4479" s="549">
        <v>75655.37</v>
      </c>
    </row>
    <row r="4480" spans="1:17" x14ac:dyDescent="0.25">
      <c r="A4480" s="549" t="s">
        <v>1118</v>
      </c>
      <c r="B4480" s="549" t="s">
        <v>1119</v>
      </c>
      <c r="C4480" s="549" t="s">
        <v>873</v>
      </c>
      <c r="D4480" s="549" t="s">
        <v>874</v>
      </c>
      <c r="E4480" s="549" t="s">
        <v>977</v>
      </c>
      <c r="F4480" s="549" t="s">
        <v>1537</v>
      </c>
      <c r="G4480" s="549" t="s">
        <v>1542</v>
      </c>
      <c r="H4480" s="549" t="s">
        <v>873</v>
      </c>
      <c r="I4480" s="549" t="s">
        <v>976</v>
      </c>
      <c r="J4480" s="549" t="s">
        <v>976</v>
      </c>
      <c r="L4480" s="549">
        <v>2477780.5299999998</v>
      </c>
      <c r="M4480" s="549">
        <v>187072.43</v>
      </c>
      <c r="N4480" s="549">
        <v>54758.95</v>
      </c>
      <c r="P4480" s="549">
        <v>100</v>
      </c>
      <c r="Q4480" s="549">
        <v>241831.38</v>
      </c>
    </row>
    <row r="4481" spans="1:17" x14ac:dyDescent="0.25">
      <c r="A4481" s="549" t="s">
        <v>1118</v>
      </c>
      <c r="B4481" s="549" t="s">
        <v>1119</v>
      </c>
      <c r="C4481" s="549" t="s">
        <v>873</v>
      </c>
      <c r="D4481" s="549" t="s">
        <v>874</v>
      </c>
      <c r="E4481" s="549" t="s">
        <v>977</v>
      </c>
      <c r="F4481" s="549" t="s">
        <v>1537</v>
      </c>
      <c r="G4481" s="549" t="s">
        <v>1544</v>
      </c>
      <c r="H4481" s="549" t="s">
        <v>873</v>
      </c>
      <c r="I4481" s="549" t="s">
        <v>976</v>
      </c>
      <c r="J4481" s="549" t="s">
        <v>976</v>
      </c>
      <c r="L4481" s="549">
        <v>2477780.5299999998</v>
      </c>
      <c r="M4481" s="549">
        <v>187072.43</v>
      </c>
      <c r="N4481" s="549">
        <v>54758.95</v>
      </c>
      <c r="P4481" s="549">
        <v>100</v>
      </c>
      <c r="Q4481" s="549">
        <v>241831.38</v>
      </c>
    </row>
    <row r="4482" spans="1:17" x14ac:dyDescent="0.25">
      <c r="A4482" s="549" t="s">
        <v>1118</v>
      </c>
      <c r="B4482" s="549" t="s">
        <v>1119</v>
      </c>
      <c r="C4482" s="549" t="s">
        <v>861</v>
      </c>
      <c r="D4482" s="549" t="s">
        <v>862</v>
      </c>
      <c r="E4482" s="549" t="s">
        <v>977</v>
      </c>
      <c r="F4482" s="549" t="s">
        <v>1537</v>
      </c>
      <c r="G4482" s="549" t="s">
        <v>1541</v>
      </c>
      <c r="H4482" s="549" t="s">
        <v>861</v>
      </c>
      <c r="I4482" s="549" t="s">
        <v>976</v>
      </c>
      <c r="J4482" s="549" t="s">
        <v>976</v>
      </c>
      <c r="L4482" s="549">
        <v>990094.22</v>
      </c>
      <c r="M4482" s="549">
        <v>74752.11</v>
      </c>
      <c r="N4482" s="549">
        <v>21881.08</v>
      </c>
      <c r="P4482" s="549">
        <v>100</v>
      </c>
      <c r="Q4482" s="549">
        <v>96633.19</v>
      </c>
    </row>
    <row r="4483" spans="1:17" x14ac:dyDescent="0.25">
      <c r="A4483" s="549" t="s">
        <v>1118</v>
      </c>
      <c r="B4483" s="549" t="s">
        <v>1119</v>
      </c>
      <c r="C4483" s="549" t="s">
        <v>861</v>
      </c>
      <c r="D4483" s="549" t="s">
        <v>862</v>
      </c>
      <c r="E4483" s="549" t="s">
        <v>977</v>
      </c>
      <c r="F4483" s="549" t="s">
        <v>1537</v>
      </c>
      <c r="G4483" s="549" t="s">
        <v>1540</v>
      </c>
      <c r="H4483" s="549" t="s">
        <v>861</v>
      </c>
      <c r="I4483" s="549" t="s">
        <v>976</v>
      </c>
      <c r="J4483" s="549" t="s">
        <v>976</v>
      </c>
      <c r="L4483" s="549">
        <v>936960.63</v>
      </c>
      <c r="M4483" s="549">
        <v>70740.53</v>
      </c>
      <c r="N4483" s="549">
        <v>20706.830000000002</v>
      </c>
      <c r="P4483" s="549">
        <v>100</v>
      </c>
      <c r="Q4483" s="549">
        <v>91447.360000000001</v>
      </c>
    </row>
    <row r="4484" spans="1:17" x14ac:dyDescent="0.25">
      <c r="A4484" s="549" t="s">
        <v>1118</v>
      </c>
      <c r="B4484" s="549" t="s">
        <v>1119</v>
      </c>
      <c r="C4484" s="549" t="s">
        <v>863</v>
      </c>
      <c r="D4484" s="549" t="s">
        <v>864</v>
      </c>
      <c r="E4484" s="549" t="s">
        <v>977</v>
      </c>
      <c r="F4484" s="549" t="s">
        <v>1537</v>
      </c>
      <c r="G4484" s="549" t="s">
        <v>1545</v>
      </c>
      <c r="H4484" s="549" t="s">
        <v>863</v>
      </c>
      <c r="I4484" s="549" t="s">
        <v>976</v>
      </c>
      <c r="J4484" s="549" t="s">
        <v>976</v>
      </c>
      <c r="L4484" s="549">
        <v>1182476.01</v>
      </c>
      <c r="M4484" s="549">
        <v>89276.94</v>
      </c>
      <c r="N4484" s="549">
        <v>26132.720000000001</v>
      </c>
      <c r="P4484" s="549">
        <v>100</v>
      </c>
      <c r="Q4484" s="549">
        <v>115409.66</v>
      </c>
    </row>
    <row r="4485" spans="1:17" x14ac:dyDescent="0.25">
      <c r="A4485" s="549" t="s">
        <v>1118</v>
      </c>
      <c r="B4485" s="549" t="s">
        <v>1119</v>
      </c>
      <c r="C4485" s="549" t="s">
        <v>863</v>
      </c>
      <c r="D4485" s="549" t="s">
        <v>864</v>
      </c>
      <c r="E4485" s="549" t="s">
        <v>977</v>
      </c>
      <c r="F4485" s="549" t="s">
        <v>1537</v>
      </c>
      <c r="G4485" s="549" t="s">
        <v>1544</v>
      </c>
      <c r="H4485" s="549" t="s">
        <v>863</v>
      </c>
      <c r="I4485" s="549" t="s">
        <v>976</v>
      </c>
      <c r="J4485" s="549" t="s">
        <v>976</v>
      </c>
      <c r="L4485" s="549">
        <v>1182476.01</v>
      </c>
      <c r="M4485" s="549">
        <v>89276.94</v>
      </c>
      <c r="N4485" s="549">
        <v>26132.720000000001</v>
      </c>
      <c r="P4485" s="549">
        <v>100</v>
      </c>
      <c r="Q4485" s="549">
        <v>115409.66</v>
      </c>
    </row>
    <row r="4486" spans="1:17" x14ac:dyDescent="0.25">
      <c r="A4486" s="549" t="s">
        <v>1118</v>
      </c>
      <c r="B4486" s="549" t="s">
        <v>1119</v>
      </c>
      <c r="C4486" s="549" t="s">
        <v>863</v>
      </c>
      <c r="D4486" s="549" t="s">
        <v>864</v>
      </c>
      <c r="E4486" s="549" t="s">
        <v>977</v>
      </c>
      <c r="F4486" s="549" t="s">
        <v>1537</v>
      </c>
      <c r="G4486" s="549" t="s">
        <v>1541</v>
      </c>
      <c r="H4486" s="549" t="s">
        <v>863</v>
      </c>
      <c r="I4486" s="549" t="s">
        <v>976</v>
      </c>
      <c r="J4486" s="549" t="s">
        <v>976</v>
      </c>
      <c r="L4486" s="549">
        <v>974966.14</v>
      </c>
      <c r="M4486" s="549">
        <v>73609.94</v>
      </c>
      <c r="N4486" s="549">
        <v>21546.75</v>
      </c>
      <c r="P4486" s="549">
        <v>100</v>
      </c>
      <c r="Q4486" s="549">
        <v>95156.69</v>
      </c>
    </row>
    <row r="4487" spans="1:17" x14ac:dyDescent="0.25">
      <c r="A4487" s="549" t="s">
        <v>1118</v>
      </c>
      <c r="B4487" s="549" t="s">
        <v>1119</v>
      </c>
      <c r="C4487" s="549" t="s">
        <v>863</v>
      </c>
      <c r="D4487" s="549" t="s">
        <v>864</v>
      </c>
      <c r="E4487" s="549" t="s">
        <v>977</v>
      </c>
      <c r="F4487" s="549" t="s">
        <v>1537</v>
      </c>
      <c r="G4487" s="549" t="s">
        <v>1540</v>
      </c>
      <c r="H4487" s="549" t="s">
        <v>863</v>
      </c>
      <c r="I4487" s="549" t="s">
        <v>976</v>
      </c>
      <c r="J4487" s="549" t="s">
        <v>976</v>
      </c>
      <c r="L4487" s="549">
        <v>974966.14</v>
      </c>
      <c r="M4487" s="549">
        <v>73609.94</v>
      </c>
      <c r="N4487" s="549">
        <v>21546.75</v>
      </c>
      <c r="P4487" s="549">
        <v>100</v>
      </c>
      <c r="Q4487" s="549">
        <v>95156.69</v>
      </c>
    </row>
    <row r="4488" spans="1:17" x14ac:dyDescent="0.25">
      <c r="A4488" s="549" t="s">
        <v>1118</v>
      </c>
      <c r="B4488" s="549" t="s">
        <v>1119</v>
      </c>
      <c r="C4488" s="549" t="s">
        <v>865</v>
      </c>
      <c r="D4488" s="549" t="s">
        <v>866</v>
      </c>
      <c r="E4488" s="549" t="s">
        <v>977</v>
      </c>
      <c r="F4488" s="549" t="s">
        <v>1537</v>
      </c>
      <c r="G4488" s="549" t="s">
        <v>1550</v>
      </c>
      <c r="H4488" s="549" t="s">
        <v>865</v>
      </c>
      <c r="I4488" s="549" t="s">
        <v>976</v>
      </c>
      <c r="J4488" s="549" t="s">
        <v>976</v>
      </c>
      <c r="L4488" s="549">
        <v>1866291.82</v>
      </c>
      <c r="M4488" s="549">
        <v>140905.03</v>
      </c>
      <c r="N4488" s="549">
        <v>41245.050000000003</v>
      </c>
      <c r="P4488" s="549">
        <v>50</v>
      </c>
      <c r="Q4488" s="549">
        <v>91075.04</v>
      </c>
    </row>
    <row r="4489" spans="1:17" x14ac:dyDescent="0.25">
      <c r="A4489" s="549" t="s">
        <v>1118</v>
      </c>
      <c r="B4489" s="549" t="s">
        <v>1119</v>
      </c>
      <c r="C4489" s="549" t="s">
        <v>865</v>
      </c>
      <c r="D4489" s="549" t="s">
        <v>866</v>
      </c>
      <c r="E4489" s="549" t="s">
        <v>977</v>
      </c>
      <c r="F4489" s="549" t="s">
        <v>1537</v>
      </c>
      <c r="G4489" s="549" t="s">
        <v>1549</v>
      </c>
      <c r="H4489" s="549" t="s">
        <v>865</v>
      </c>
      <c r="I4489" s="549" t="s">
        <v>976</v>
      </c>
      <c r="J4489" s="549" t="s">
        <v>976</v>
      </c>
      <c r="L4489" s="549">
        <v>1890575.23</v>
      </c>
      <c r="M4489" s="549">
        <v>142738.43</v>
      </c>
      <c r="N4489" s="549">
        <v>41781.71</v>
      </c>
      <c r="P4489" s="549">
        <v>100</v>
      </c>
      <c r="Q4489" s="549">
        <v>184520.14</v>
      </c>
    </row>
    <row r="4490" spans="1:17" x14ac:dyDescent="0.25">
      <c r="A4490" s="549" t="s">
        <v>1118</v>
      </c>
      <c r="B4490" s="549" t="s">
        <v>1119</v>
      </c>
      <c r="C4490" s="549" t="s">
        <v>875</v>
      </c>
      <c r="D4490" s="549" t="s">
        <v>876</v>
      </c>
      <c r="E4490" s="549" t="s">
        <v>977</v>
      </c>
      <c r="F4490" s="549" t="s">
        <v>1537</v>
      </c>
      <c r="G4490" s="549" t="s">
        <v>1543</v>
      </c>
      <c r="H4490" s="549" t="s">
        <v>875</v>
      </c>
      <c r="I4490" s="549" t="s">
        <v>976</v>
      </c>
      <c r="J4490" s="549" t="s">
        <v>976</v>
      </c>
      <c r="L4490" s="549">
        <v>1480471.04</v>
      </c>
      <c r="M4490" s="549">
        <v>111775.56</v>
      </c>
      <c r="N4490" s="549">
        <v>32718.41</v>
      </c>
      <c r="P4490" s="549">
        <v>100</v>
      </c>
      <c r="Q4490" s="549">
        <v>144493.97</v>
      </c>
    </row>
    <row r="4491" spans="1:17" x14ac:dyDescent="0.25">
      <c r="A4491" s="549" t="s">
        <v>1118</v>
      </c>
      <c r="B4491" s="549" t="s">
        <v>1119</v>
      </c>
      <c r="C4491" s="549" t="s">
        <v>875</v>
      </c>
      <c r="D4491" s="549" t="s">
        <v>876</v>
      </c>
      <c r="E4491" s="549" t="s">
        <v>977</v>
      </c>
      <c r="F4491" s="549" t="s">
        <v>1537</v>
      </c>
      <c r="G4491" s="549" t="s">
        <v>1542</v>
      </c>
      <c r="H4491" s="549" t="s">
        <v>875</v>
      </c>
      <c r="I4491" s="549" t="s">
        <v>976</v>
      </c>
      <c r="J4491" s="549" t="s">
        <v>976</v>
      </c>
      <c r="L4491" s="549">
        <v>1480471.04</v>
      </c>
      <c r="M4491" s="549">
        <v>111775.56</v>
      </c>
      <c r="N4491" s="549">
        <v>32718.41</v>
      </c>
      <c r="P4491" s="549">
        <v>100</v>
      </c>
      <c r="Q4491" s="549">
        <v>144493.97</v>
      </c>
    </row>
    <row r="4492" spans="1:17" x14ac:dyDescent="0.25">
      <c r="A4492" s="549" t="s">
        <v>1118</v>
      </c>
      <c r="B4492" s="549" t="s">
        <v>1119</v>
      </c>
      <c r="C4492" s="549" t="s">
        <v>869</v>
      </c>
      <c r="D4492" s="549" t="s">
        <v>870</v>
      </c>
      <c r="E4492" s="549" t="s">
        <v>977</v>
      </c>
      <c r="F4492" s="549" t="s">
        <v>1537</v>
      </c>
      <c r="G4492" s="549" t="s">
        <v>1542</v>
      </c>
      <c r="H4492" s="549" t="s">
        <v>869</v>
      </c>
      <c r="I4492" s="549" t="s">
        <v>976</v>
      </c>
      <c r="J4492" s="549" t="s">
        <v>976</v>
      </c>
      <c r="L4492" s="549">
        <v>2132156</v>
      </c>
      <c r="M4492" s="549">
        <v>160977.78</v>
      </c>
      <c r="N4492" s="549">
        <v>47120.65</v>
      </c>
      <c r="P4492" s="549">
        <v>100</v>
      </c>
      <c r="Q4492" s="549">
        <v>208098.43</v>
      </c>
    </row>
    <row r="4493" spans="1:17" x14ac:dyDescent="0.25">
      <c r="A4493" s="549" t="s">
        <v>1118</v>
      </c>
      <c r="B4493" s="549" t="s">
        <v>1119</v>
      </c>
      <c r="C4493" s="549" t="s">
        <v>869</v>
      </c>
      <c r="D4493" s="549" t="s">
        <v>870</v>
      </c>
      <c r="E4493" s="549" t="s">
        <v>977</v>
      </c>
      <c r="F4493" s="549" t="s">
        <v>1537</v>
      </c>
      <c r="G4493" s="549" t="s">
        <v>1545</v>
      </c>
      <c r="H4493" s="549" t="s">
        <v>869</v>
      </c>
      <c r="I4493" s="549" t="s">
        <v>976</v>
      </c>
      <c r="J4493" s="549" t="s">
        <v>976</v>
      </c>
      <c r="L4493" s="549">
        <v>1774694.94</v>
      </c>
      <c r="M4493" s="549">
        <v>133989.47</v>
      </c>
      <c r="N4493" s="549">
        <v>39220.76</v>
      </c>
      <c r="P4493" s="549">
        <v>100</v>
      </c>
      <c r="Q4493" s="549">
        <v>173210.23</v>
      </c>
    </row>
    <row r="4494" spans="1:17" x14ac:dyDescent="0.25">
      <c r="A4494" s="549" t="s">
        <v>1118</v>
      </c>
      <c r="B4494" s="549" t="s">
        <v>1119</v>
      </c>
      <c r="C4494" s="549" t="s">
        <v>869</v>
      </c>
      <c r="D4494" s="549" t="s">
        <v>870</v>
      </c>
      <c r="E4494" s="549" t="s">
        <v>977</v>
      </c>
      <c r="F4494" s="549" t="s">
        <v>1537</v>
      </c>
      <c r="G4494" s="549" t="s">
        <v>1544</v>
      </c>
      <c r="H4494" s="549" t="s">
        <v>869</v>
      </c>
      <c r="I4494" s="549" t="s">
        <v>976</v>
      </c>
      <c r="J4494" s="549" t="s">
        <v>976</v>
      </c>
      <c r="L4494" s="549">
        <v>1774694.94</v>
      </c>
      <c r="M4494" s="549">
        <v>133989.47</v>
      </c>
      <c r="N4494" s="549">
        <v>39220.76</v>
      </c>
      <c r="P4494" s="549">
        <v>100</v>
      </c>
      <c r="Q4494" s="549">
        <v>173210.23</v>
      </c>
    </row>
    <row r="4495" spans="1:17" x14ac:dyDescent="0.25">
      <c r="A4495" s="549" t="s">
        <v>1118</v>
      </c>
      <c r="B4495" s="549" t="s">
        <v>1119</v>
      </c>
      <c r="C4495" s="549" t="s">
        <v>869</v>
      </c>
      <c r="D4495" s="549" t="s">
        <v>870</v>
      </c>
      <c r="E4495" s="549" t="s">
        <v>977</v>
      </c>
      <c r="F4495" s="549" t="s">
        <v>1537</v>
      </c>
      <c r="G4495" s="549" t="s">
        <v>1550</v>
      </c>
      <c r="H4495" s="549" t="s">
        <v>869</v>
      </c>
      <c r="I4495" s="549" t="s">
        <v>976</v>
      </c>
      <c r="J4495" s="549" t="s">
        <v>976</v>
      </c>
      <c r="L4495" s="549">
        <v>613163.54</v>
      </c>
      <c r="M4495" s="549">
        <v>46293.85</v>
      </c>
      <c r="N4495" s="549">
        <v>13550.91</v>
      </c>
      <c r="P4495" s="549">
        <v>100</v>
      </c>
      <c r="Q4495" s="549">
        <v>59844.76</v>
      </c>
    </row>
    <row r="4496" spans="1:17" x14ac:dyDescent="0.25">
      <c r="A4496" s="549" t="s">
        <v>1118</v>
      </c>
      <c r="B4496" s="549" t="s">
        <v>1119</v>
      </c>
      <c r="C4496" s="549" t="s">
        <v>869</v>
      </c>
      <c r="D4496" s="549" t="s">
        <v>870</v>
      </c>
      <c r="E4496" s="549" t="s">
        <v>977</v>
      </c>
      <c r="F4496" s="549" t="s">
        <v>1537</v>
      </c>
      <c r="G4496" s="549" t="s">
        <v>1549</v>
      </c>
      <c r="H4496" s="549" t="s">
        <v>869</v>
      </c>
      <c r="I4496" s="549" t="s">
        <v>976</v>
      </c>
      <c r="J4496" s="549" t="s">
        <v>976</v>
      </c>
      <c r="L4496" s="549">
        <v>613163.54</v>
      </c>
      <c r="M4496" s="549">
        <v>46293.85</v>
      </c>
      <c r="N4496" s="549">
        <v>13550.91</v>
      </c>
      <c r="P4496" s="549">
        <v>100</v>
      </c>
      <c r="Q4496" s="549">
        <v>59844.76</v>
      </c>
    </row>
    <row r="4497" spans="1:17" x14ac:dyDescent="0.25">
      <c r="A4497" s="549" t="s">
        <v>1111</v>
      </c>
      <c r="B4497" s="549" t="s">
        <v>1112</v>
      </c>
      <c r="C4497" s="549" t="s">
        <v>827</v>
      </c>
      <c r="D4497" s="549" t="s">
        <v>828</v>
      </c>
      <c r="E4497" s="549" t="s">
        <v>977</v>
      </c>
      <c r="F4497" s="549" t="s">
        <v>1537</v>
      </c>
      <c r="G4497" s="549" t="s">
        <v>1544</v>
      </c>
      <c r="H4497" s="549" t="s">
        <v>827</v>
      </c>
      <c r="I4497" s="549" t="s">
        <v>976</v>
      </c>
      <c r="J4497" s="549" t="s">
        <v>976</v>
      </c>
      <c r="L4497" s="549">
        <v>2559624.7200000002</v>
      </c>
      <c r="M4497" s="549">
        <v>193251.67</v>
      </c>
      <c r="N4497" s="549">
        <v>56567.71</v>
      </c>
      <c r="P4497" s="549">
        <v>100</v>
      </c>
      <c r="Q4497" s="549">
        <v>249819.38</v>
      </c>
    </row>
    <row r="4498" spans="1:17" x14ac:dyDescent="0.25">
      <c r="A4498" s="549" t="s">
        <v>1111</v>
      </c>
      <c r="B4498" s="549" t="s">
        <v>1112</v>
      </c>
      <c r="C4498" s="549" t="s">
        <v>827</v>
      </c>
      <c r="D4498" s="549" t="s">
        <v>828</v>
      </c>
      <c r="E4498" s="549" t="s">
        <v>977</v>
      </c>
      <c r="F4498" s="549" t="s">
        <v>1537</v>
      </c>
      <c r="G4498" s="549" t="s">
        <v>1543</v>
      </c>
      <c r="H4498" s="549" t="s">
        <v>827</v>
      </c>
      <c r="I4498" s="549" t="s">
        <v>976</v>
      </c>
      <c r="J4498" s="549" t="s">
        <v>976</v>
      </c>
      <c r="L4498" s="549">
        <v>2559624.7200000002</v>
      </c>
      <c r="M4498" s="549">
        <v>193251.67</v>
      </c>
      <c r="N4498" s="549">
        <v>56567.71</v>
      </c>
      <c r="P4498" s="549">
        <v>100</v>
      </c>
      <c r="Q4498" s="549">
        <v>249819.38</v>
      </c>
    </row>
    <row r="4499" spans="1:17" x14ac:dyDescent="0.25">
      <c r="A4499" s="549" t="s">
        <v>1111</v>
      </c>
      <c r="B4499" s="549" t="s">
        <v>1112</v>
      </c>
      <c r="C4499" s="549" t="s">
        <v>838</v>
      </c>
      <c r="D4499" s="549" t="s">
        <v>839</v>
      </c>
      <c r="E4499" s="549" t="s">
        <v>977</v>
      </c>
      <c r="F4499" s="549" t="s">
        <v>1537</v>
      </c>
      <c r="G4499" s="549" t="s">
        <v>1540</v>
      </c>
      <c r="H4499" s="549" t="s">
        <v>838</v>
      </c>
      <c r="I4499" s="549" t="s">
        <v>976</v>
      </c>
      <c r="J4499" s="549" t="s">
        <v>976</v>
      </c>
      <c r="L4499" s="549">
        <v>1680992</v>
      </c>
      <c r="M4499" s="549">
        <v>126914.9</v>
      </c>
      <c r="N4499" s="549">
        <v>37149.919999999998</v>
      </c>
      <c r="P4499" s="549">
        <v>100</v>
      </c>
      <c r="Q4499" s="549">
        <v>164064.82</v>
      </c>
    </row>
    <row r="4500" spans="1:17" x14ac:dyDescent="0.25">
      <c r="A4500" s="549" t="s">
        <v>1111</v>
      </c>
      <c r="B4500" s="549" t="s">
        <v>1112</v>
      </c>
      <c r="C4500" s="549" t="s">
        <v>838</v>
      </c>
      <c r="D4500" s="549" t="s">
        <v>839</v>
      </c>
      <c r="E4500" s="549" t="s">
        <v>977</v>
      </c>
      <c r="F4500" s="549" t="s">
        <v>1537</v>
      </c>
      <c r="G4500" s="549" t="s">
        <v>1541</v>
      </c>
      <c r="H4500" s="549" t="s">
        <v>838</v>
      </c>
      <c r="I4500" s="549" t="s">
        <v>976</v>
      </c>
      <c r="J4500" s="549" t="s">
        <v>976</v>
      </c>
      <c r="L4500" s="549">
        <v>3189242.16</v>
      </c>
      <c r="M4500" s="549">
        <v>240787.78</v>
      </c>
      <c r="N4500" s="549">
        <v>70482.25</v>
      </c>
      <c r="P4500" s="549">
        <v>100</v>
      </c>
      <c r="Q4500" s="549">
        <v>311270.03000000003</v>
      </c>
    </row>
    <row r="4501" spans="1:17" x14ac:dyDescent="0.25">
      <c r="A4501" s="549" t="s">
        <v>1111</v>
      </c>
      <c r="B4501" s="549" t="s">
        <v>1112</v>
      </c>
      <c r="C4501" s="549" t="s">
        <v>840</v>
      </c>
      <c r="D4501" s="549" t="s">
        <v>841</v>
      </c>
      <c r="E4501" s="549" t="s">
        <v>977</v>
      </c>
      <c r="F4501" s="549" t="s">
        <v>1537</v>
      </c>
      <c r="G4501" s="549" t="s">
        <v>1544</v>
      </c>
      <c r="H4501" s="549" t="s">
        <v>840</v>
      </c>
      <c r="I4501" s="549" t="s">
        <v>976</v>
      </c>
      <c r="J4501" s="549" t="s">
        <v>976</v>
      </c>
      <c r="L4501" s="549">
        <v>1250794.42</v>
      </c>
      <c r="M4501" s="549">
        <v>94434.98</v>
      </c>
      <c r="N4501" s="549">
        <v>27642.560000000001</v>
      </c>
      <c r="P4501" s="549">
        <v>100</v>
      </c>
      <c r="Q4501" s="549">
        <v>122077.54</v>
      </c>
    </row>
    <row r="4502" spans="1:17" x14ac:dyDescent="0.25">
      <c r="A4502" s="549" t="s">
        <v>1111</v>
      </c>
      <c r="B4502" s="549" t="s">
        <v>1112</v>
      </c>
      <c r="C4502" s="549" t="s">
        <v>833</v>
      </c>
      <c r="D4502" s="549" t="s">
        <v>1130</v>
      </c>
      <c r="E4502" s="549" t="s">
        <v>977</v>
      </c>
      <c r="F4502" s="549" t="s">
        <v>1537</v>
      </c>
      <c r="G4502" s="549" t="s">
        <v>1549</v>
      </c>
      <c r="H4502" s="549" t="s">
        <v>833</v>
      </c>
      <c r="I4502" s="549" t="s">
        <v>976</v>
      </c>
      <c r="J4502" s="549" t="s">
        <v>976</v>
      </c>
      <c r="L4502" s="549">
        <v>1839717.59</v>
      </c>
      <c r="M4502" s="549">
        <v>138898.68</v>
      </c>
      <c r="N4502" s="549">
        <v>40657.760000000002</v>
      </c>
      <c r="P4502" s="549">
        <v>88.42</v>
      </c>
      <c r="Q4502" s="549">
        <v>158763.79999999999</v>
      </c>
    </row>
    <row r="4503" spans="1:17" x14ac:dyDescent="0.25">
      <c r="A4503" s="549" t="s">
        <v>1111</v>
      </c>
      <c r="B4503" s="549" t="s">
        <v>1112</v>
      </c>
      <c r="C4503" s="549" t="s">
        <v>833</v>
      </c>
      <c r="D4503" s="549" t="s">
        <v>1130</v>
      </c>
      <c r="E4503" s="549" t="s">
        <v>977</v>
      </c>
      <c r="F4503" s="549" t="s">
        <v>1537</v>
      </c>
      <c r="G4503" s="549" t="s">
        <v>1550</v>
      </c>
      <c r="H4503" s="549" t="s">
        <v>833</v>
      </c>
      <c r="I4503" s="549" t="s">
        <v>976</v>
      </c>
      <c r="J4503" s="549" t="s">
        <v>976</v>
      </c>
      <c r="L4503" s="549">
        <v>1734665.89</v>
      </c>
      <c r="M4503" s="549">
        <v>130967.27</v>
      </c>
      <c r="N4503" s="549">
        <v>38336.120000000003</v>
      </c>
      <c r="P4503" s="549">
        <v>88.42</v>
      </c>
      <c r="Q4503" s="549">
        <v>149698.06</v>
      </c>
    </row>
    <row r="4504" spans="1:17" x14ac:dyDescent="0.25">
      <c r="A4504" s="549" t="s">
        <v>1111</v>
      </c>
      <c r="B4504" s="549" t="s">
        <v>1112</v>
      </c>
      <c r="C4504" s="549" t="s">
        <v>836</v>
      </c>
      <c r="D4504" s="549" t="s">
        <v>837</v>
      </c>
      <c r="E4504" s="549" t="s">
        <v>977</v>
      </c>
      <c r="F4504" s="549" t="s">
        <v>1537</v>
      </c>
      <c r="G4504" s="549" t="s">
        <v>1540</v>
      </c>
      <c r="H4504" s="549" t="s">
        <v>836</v>
      </c>
      <c r="I4504" s="549" t="s">
        <v>976</v>
      </c>
      <c r="J4504" s="549" t="s">
        <v>976</v>
      </c>
      <c r="L4504" s="549">
        <v>2559624.7200000002</v>
      </c>
      <c r="M4504" s="549">
        <v>193251.67</v>
      </c>
      <c r="N4504" s="549">
        <v>56567.71</v>
      </c>
      <c r="P4504" s="549">
        <v>100</v>
      </c>
      <c r="Q4504" s="549">
        <v>249819.38</v>
      </c>
    </row>
    <row r="4505" spans="1:17" x14ac:dyDescent="0.25">
      <c r="A4505" s="549" t="s">
        <v>1111</v>
      </c>
      <c r="B4505" s="549" t="s">
        <v>1112</v>
      </c>
      <c r="C4505" s="549" t="s">
        <v>836</v>
      </c>
      <c r="D4505" s="549" t="s">
        <v>837</v>
      </c>
      <c r="E4505" s="549" t="s">
        <v>977</v>
      </c>
      <c r="F4505" s="549" t="s">
        <v>1537</v>
      </c>
      <c r="G4505" s="549" t="s">
        <v>1541</v>
      </c>
      <c r="H4505" s="549" t="s">
        <v>836</v>
      </c>
      <c r="I4505" s="549" t="s">
        <v>976</v>
      </c>
      <c r="J4505" s="549" t="s">
        <v>976</v>
      </c>
      <c r="L4505" s="549">
        <v>2559624.7200000002</v>
      </c>
      <c r="M4505" s="549">
        <v>193251.67</v>
      </c>
      <c r="N4505" s="549">
        <v>56567.71</v>
      </c>
      <c r="P4505" s="549">
        <v>100</v>
      </c>
      <c r="Q4505" s="549">
        <v>249819.38</v>
      </c>
    </row>
    <row r="4506" spans="1:17" x14ac:dyDescent="0.25">
      <c r="A4506" s="549" t="s">
        <v>1111</v>
      </c>
      <c r="B4506" s="549" t="s">
        <v>1112</v>
      </c>
      <c r="C4506" s="549" t="s">
        <v>843</v>
      </c>
      <c r="D4506" s="549" t="s">
        <v>844</v>
      </c>
      <c r="E4506" s="549" t="s">
        <v>973</v>
      </c>
      <c r="F4506" s="549" t="s">
        <v>1537</v>
      </c>
      <c r="G4506" s="549" t="s">
        <v>1548</v>
      </c>
      <c r="H4506" s="549" t="s">
        <v>843</v>
      </c>
      <c r="I4506" s="549" t="s">
        <v>976</v>
      </c>
      <c r="J4506" s="549" t="s">
        <v>976</v>
      </c>
      <c r="L4506" s="549">
        <v>2967370.08</v>
      </c>
      <c r="M4506" s="549">
        <v>224036.44</v>
      </c>
      <c r="N4506" s="549">
        <v>170327.04000000001</v>
      </c>
      <c r="P4506" s="549">
        <v>0</v>
      </c>
      <c r="Q4506" s="549">
        <v>0</v>
      </c>
    </row>
    <row r="4507" spans="1:17" x14ac:dyDescent="0.25">
      <c r="A4507" s="549" t="s">
        <v>1111</v>
      </c>
      <c r="B4507" s="549" t="s">
        <v>1112</v>
      </c>
      <c r="C4507" s="549" t="s">
        <v>843</v>
      </c>
      <c r="D4507" s="549" t="s">
        <v>844</v>
      </c>
      <c r="E4507" s="549" t="s">
        <v>973</v>
      </c>
      <c r="F4507" s="549" t="s">
        <v>1537</v>
      </c>
      <c r="G4507" s="549" t="s">
        <v>1560</v>
      </c>
      <c r="H4507" s="549" t="s">
        <v>843</v>
      </c>
      <c r="I4507" s="549" t="s">
        <v>976</v>
      </c>
      <c r="J4507" s="549" t="s">
        <v>976</v>
      </c>
      <c r="L4507" s="549">
        <v>2845655.36</v>
      </c>
      <c r="M4507" s="549">
        <v>214846.98</v>
      </c>
      <c r="N4507" s="549">
        <v>163340.62</v>
      </c>
      <c r="P4507" s="549">
        <v>0</v>
      </c>
      <c r="Q4507" s="549">
        <v>0</v>
      </c>
    </row>
    <row r="4508" spans="1:17" x14ac:dyDescent="0.25">
      <c r="A4508" s="549" t="s">
        <v>1111</v>
      </c>
      <c r="B4508" s="549" t="s">
        <v>1112</v>
      </c>
      <c r="C4508" s="549" t="s">
        <v>843</v>
      </c>
      <c r="D4508" s="549" t="s">
        <v>844</v>
      </c>
      <c r="E4508" s="549" t="s">
        <v>977</v>
      </c>
      <c r="F4508" s="549" t="s">
        <v>1537</v>
      </c>
      <c r="G4508" s="549" t="s">
        <v>1548</v>
      </c>
      <c r="H4508" s="549" t="s">
        <v>843</v>
      </c>
      <c r="I4508" s="549" t="s">
        <v>976</v>
      </c>
      <c r="J4508" s="549" t="s">
        <v>976</v>
      </c>
      <c r="L4508" s="549">
        <v>2967370.08</v>
      </c>
      <c r="M4508" s="549">
        <v>224036.44</v>
      </c>
      <c r="N4508" s="549">
        <v>65578.880000000005</v>
      </c>
      <c r="P4508" s="549">
        <v>99.97</v>
      </c>
      <c r="Q4508" s="549">
        <v>289528.44</v>
      </c>
    </row>
    <row r="4509" spans="1:17" x14ac:dyDescent="0.25">
      <c r="A4509" s="549" t="s">
        <v>1111</v>
      </c>
      <c r="B4509" s="549" t="s">
        <v>1112</v>
      </c>
      <c r="C4509" s="549" t="s">
        <v>843</v>
      </c>
      <c r="D4509" s="549" t="s">
        <v>844</v>
      </c>
      <c r="E4509" s="549" t="s">
        <v>977</v>
      </c>
      <c r="F4509" s="549" t="s">
        <v>1537</v>
      </c>
      <c r="G4509" s="549" t="s">
        <v>1560</v>
      </c>
      <c r="H4509" s="549" t="s">
        <v>843</v>
      </c>
      <c r="I4509" s="549" t="s">
        <v>976</v>
      </c>
      <c r="J4509" s="549" t="s">
        <v>976</v>
      </c>
      <c r="L4509" s="549">
        <v>2845655.36</v>
      </c>
      <c r="M4509" s="549">
        <v>214846.98</v>
      </c>
      <c r="N4509" s="549">
        <v>62888.98</v>
      </c>
      <c r="P4509" s="549">
        <v>99.97</v>
      </c>
      <c r="Q4509" s="549">
        <v>277652.64</v>
      </c>
    </row>
    <row r="4510" spans="1:17" x14ac:dyDescent="0.25">
      <c r="A4510" s="549" t="s">
        <v>1111</v>
      </c>
      <c r="B4510" s="549" t="s">
        <v>1112</v>
      </c>
      <c r="C4510" s="549" t="s">
        <v>845</v>
      </c>
      <c r="D4510" s="549" t="s">
        <v>846</v>
      </c>
      <c r="E4510" s="549" t="s">
        <v>977</v>
      </c>
      <c r="F4510" s="549" t="s">
        <v>1537</v>
      </c>
      <c r="G4510" s="549" t="s">
        <v>1542</v>
      </c>
      <c r="H4510" s="549" t="s">
        <v>845</v>
      </c>
      <c r="I4510" s="549" t="s">
        <v>976</v>
      </c>
      <c r="J4510" s="549" t="s">
        <v>976</v>
      </c>
      <c r="L4510" s="549">
        <v>2925303.36</v>
      </c>
      <c r="M4510" s="549">
        <v>220860.4</v>
      </c>
      <c r="N4510" s="549">
        <v>64649.2</v>
      </c>
      <c r="P4510" s="549">
        <v>100</v>
      </c>
      <c r="Q4510" s="549">
        <v>285509.59999999998</v>
      </c>
    </row>
    <row r="4511" spans="1:17" x14ac:dyDescent="0.25">
      <c r="A4511" s="549" t="s">
        <v>1111</v>
      </c>
      <c r="B4511" s="549" t="s">
        <v>1112</v>
      </c>
      <c r="C4511" s="549" t="s">
        <v>845</v>
      </c>
      <c r="D4511" s="549" t="s">
        <v>846</v>
      </c>
      <c r="E4511" s="549" t="s">
        <v>977</v>
      </c>
      <c r="F4511" s="549" t="s">
        <v>1537</v>
      </c>
      <c r="G4511" s="549" t="s">
        <v>1551</v>
      </c>
      <c r="H4511" s="549" t="s">
        <v>845</v>
      </c>
      <c r="I4511" s="549" t="s">
        <v>976</v>
      </c>
      <c r="J4511" s="549" t="s">
        <v>976</v>
      </c>
      <c r="L4511" s="549">
        <v>2925303.36</v>
      </c>
      <c r="M4511" s="549">
        <v>220860.4</v>
      </c>
      <c r="N4511" s="549">
        <v>64649.2</v>
      </c>
      <c r="P4511" s="549">
        <v>100</v>
      </c>
      <c r="Q4511" s="549">
        <v>285509.59999999998</v>
      </c>
    </row>
    <row r="4512" spans="1:17" x14ac:dyDescent="0.25">
      <c r="A4512" s="549" t="s">
        <v>1111</v>
      </c>
      <c r="B4512" s="549" t="s">
        <v>1112</v>
      </c>
      <c r="C4512" s="549" t="s">
        <v>39</v>
      </c>
      <c r="D4512" s="549" t="s">
        <v>842</v>
      </c>
      <c r="E4512" s="549" t="s">
        <v>977</v>
      </c>
      <c r="F4512" s="549" t="s">
        <v>1537</v>
      </c>
      <c r="G4512" s="549" t="s">
        <v>1540</v>
      </c>
      <c r="H4512" s="549" t="s">
        <v>39</v>
      </c>
      <c r="I4512" s="549" t="s">
        <v>976</v>
      </c>
      <c r="J4512" s="549" t="s">
        <v>976</v>
      </c>
      <c r="L4512" s="549">
        <v>855335.68</v>
      </c>
      <c r="M4512" s="549">
        <v>64577.84</v>
      </c>
      <c r="N4512" s="549">
        <v>18902.919999999998</v>
      </c>
      <c r="P4512" s="549">
        <v>100</v>
      </c>
      <c r="Q4512" s="549">
        <v>83480.759999999995</v>
      </c>
    </row>
    <row r="4513" spans="1:17" x14ac:dyDescent="0.25">
      <c r="A4513" s="549" t="s">
        <v>1111</v>
      </c>
      <c r="B4513" s="549" t="s">
        <v>1112</v>
      </c>
      <c r="C4513" s="549" t="s">
        <v>829</v>
      </c>
      <c r="D4513" s="549" t="s">
        <v>830</v>
      </c>
      <c r="E4513" s="549" t="s">
        <v>977</v>
      </c>
      <c r="F4513" s="549" t="s">
        <v>1537</v>
      </c>
      <c r="G4513" s="549" t="s">
        <v>1540</v>
      </c>
      <c r="H4513" s="549" t="s">
        <v>829</v>
      </c>
      <c r="I4513" s="549" t="s">
        <v>976</v>
      </c>
      <c r="J4513" s="549" t="s">
        <v>976</v>
      </c>
      <c r="L4513" s="549">
        <v>3342699.58</v>
      </c>
      <c r="M4513" s="549">
        <v>252373.82</v>
      </c>
      <c r="N4513" s="549">
        <v>73873.66</v>
      </c>
      <c r="P4513" s="549">
        <v>100</v>
      </c>
      <c r="Q4513" s="549">
        <v>326247.48</v>
      </c>
    </row>
    <row r="4514" spans="1:17" x14ac:dyDescent="0.25">
      <c r="A4514" s="549" t="s">
        <v>1111</v>
      </c>
      <c r="B4514" s="549" t="s">
        <v>1112</v>
      </c>
      <c r="C4514" s="549" t="s">
        <v>829</v>
      </c>
      <c r="D4514" s="549" t="s">
        <v>830</v>
      </c>
      <c r="E4514" s="549" t="s">
        <v>977</v>
      </c>
      <c r="F4514" s="549" t="s">
        <v>1537</v>
      </c>
      <c r="G4514" s="549" t="s">
        <v>1541</v>
      </c>
      <c r="H4514" s="549" t="s">
        <v>829</v>
      </c>
      <c r="I4514" s="549" t="s">
        <v>976</v>
      </c>
      <c r="J4514" s="549" t="s">
        <v>976</v>
      </c>
      <c r="L4514" s="549">
        <v>1706437.44</v>
      </c>
      <c r="M4514" s="549">
        <v>128836.03</v>
      </c>
      <c r="N4514" s="549">
        <v>37712.269999999997</v>
      </c>
      <c r="P4514" s="549">
        <v>100</v>
      </c>
      <c r="Q4514" s="549">
        <v>166548.29999999999</v>
      </c>
    </row>
  </sheetData>
  <sheetProtection password="CFC7" sheet="1" objects="1" scenarios="1" selectLockedCells="1" selectUnlockedCells="1"/>
  <mergeCells count="1">
    <mergeCell ref="Y3:AA3"/>
  </mergeCells>
  <pageMargins left="0.7" right="0.7" top="0.75" bottom="0.75" header="0.3" footer="0.3"/>
  <legacyDrawing r:id="rId1"/>
  <tableParts count="1">
    <tablePart r:id="rId2"/>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35"/>
  <sheetViews>
    <sheetView zoomScale="85" zoomScaleNormal="85" workbookViewId="0">
      <selection activeCell="G31" sqref="G2:G31"/>
    </sheetView>
  </sheetViews>
  <sheetFormatPr defaultRowHeight="15" x14ac:dyDescent="0.25"/>
  <cols>
    <col min="1" max="1" width="20.28515625" style="15" bestFit="1" customWidth="1"/>
    <col min="2" max="2" width="17.85546875" style="19" customWidth="1"/>
    <col min="3" max="5" width="20.7109375" style="19" hidden="1" customWidth="1"/>
    <col min="6" max="6" width="16.28515625" style="15" customWidth="1"/>
    <col min="7" max="7" width="18.28515625" style="15" customWidth="1"/>
    <col min="8" max="8" width="14.28515625" customWidth="1"/>
    <col min="12" max="12" width="21.140625" style="27" customWidth="1"/>
    <col min="13" max="13" width="14.42578125" style="27" customWidth="1"/>
    <col min="14" max="14" width="22.140625" style="27" customWidth="1"/>
    <col min="15" max="15" width="13.85546875" style="27" customWidth="1"/>
    <col min="16" max="16" width="45.28515625" bestFit="1" customWidth="1"/>
    <col min="17" max="17" width="70.85546875" bestFit="1" customWidth="1"/>
  </cols>
  <sheetData>
    <row r="1" spans="1:15" x14ac:dyDescent="0.25">
      <c r="A1" s="59" t="s">
        <v>74</v>
      </c>
      <c r="B1" s="13"/>
      <c r="C1" s="13"/>
      <c r="D1" s="13"/>
      <c r="E1" s="13"/>
      <c r="F1" s="13"/>
      <c r="G1" s="7"/>
      <c r="I1" t="s">
        <v>635</v>
      </c>
      <c r="M1" s="56"/>
    </row>
    <row r="2" spans="1:15" ht="45" x14ac:dyDescent="0.25">
      <c r="A2" s="19"/>
      <c r="B2" s="72" t="str">
        <f>'Charges as $ per MWh'!C$2</f>
        <v xml:space="preserve">Status quo </v>
      </c>
      <c r="C2" s="71"/>
      <c r="D2" s="71"/>
      <c r="E2" s="71"/>
      <c r="F2" s="6" t="s">
        <v>108</v>
      </c>
      <c r="G2" s="43" t="s">
        <v>75</v>
      </c>
      <c r="H2" s="167" t="s">
        <v>634</v>
      </c>
      <c r="I2" s="167" t="str">
        <f>'Charges as $ per MWh'!N3</f>
        <v xml:space="preserve">ACOT + Status quo </v>
      </c>
      <c r="J2" s="27"/>
      <c r="K2" s="27"/>
      <c r="M2" s="54"/>
      <c r="O2" s="54"/>
    </row>
    <row r="3" spans="1:15" x14ac:dyDescent="0.25">
      <c r="A3" s="13" t="str">
        <f>'Charges as $ per MWh'!B4</f>
        <v>Alpine Energy</v>
      </c>
      <c r="B3" s="31">
        <f>'Charges as $ per MWh'!C4*$G3/1000</f>
        <v>110.52982065356088</v>
      </c>
      <c r="C3" s="31">
        <f ca="1">'Charges as $ per MWh'!D4*$G3/1000</f>
        <v>104.2751458907438</v>
      </c>
      <c r="D3" s="31">
        <f ca="1">'Charges as $ per MWh'!I4*$G3/1000</f>
        <v>167.05949638222683</v>
      </c>
      <c r="E3" s="31">
        <f>'Charges as $ per MWh'!J4*$G3/1000</f>
        <v>6619.4942815980003</v>
      </c>
      <c r="F3" s="31">
        <f ca="1">'Charges as $ per MWh'!D4*$G3/1000</f>
        <v>104.2751458907438</v>
      </c>
      <c r="G3" s="30">
        <v>8339.43</v>
      </c>
      <c r="H3" s="129">
        <f>'Charges as $ per MWh'!M4*G3/1000</f>
        <v>0</v>
      </c>
      <c r="I3" s="129">
        <f>'Charges as $ per MWh'!N4*G3/1000</f>
        <v>110.52982065356088</v>
      </c>
      <c r="J3" s="27"/>
      <c r="K3" s="27"/>
      <c r="L3" s="56"/>
      <c r="M3" s="31"/>
      <c r="N3" s="5"/>
      <c r="O3" s="31"/>
    </row>
    <row r="4" spans="1:15" x14ac:dyDescent="0.25">
      <c r="A4" s="13" t="str">
        <f>'Charges as $ per MWh'!B5</f>
        <v>Aurora Energy</v>
      </c>
      <c r="B4" s="31">
        <f>'Charges as $ per MWh'!C5*$G4/1000</f>
        <v>131.42420665195013</v>
      </c>
      <c r="C4" s="31">
        <f ca="1">'Charges as $ per MWh'!D5*$G4/1000</f>
        <v>117.71576449319295</v>
      </c>
      <c r="D4" s="31">
        <f ca="1">'Charges as $ per MWh'!I5*$G4/1000</f>
        <v>164.93017690410241</v>
      </c>
      <c r="E4" s="31">
        <f>'Charges as $ per MWh'!J5*$G4/1000</f>
        <v>11117.36910373333</v>
      </c>
      <c r="F4" s="31">
        <f ca="1">'Charges as $ per MWh'!D5*$G4/1000</f>
        <v>117.71576449319295</v>
      </c>
      <c r="G4" s="30">
        <v>8233.1366666666654</v>
      </c>
      <c r="H4" s="129">
        <f>'Charges as $ per MWh'!M5*G4/1000</f>
        <v>43.652720810622661</v>
      </c>
      <c r="I4" s="129">
        <f>'Charges as $ per MWh'!N5*G4/1000</f>
        <v>175.07692746257277</v>
      </c>
      <c r="J4" s="38"/>
      <c r="K4" s="27"/>
      <c r="L4" s="56"/>
      <c r="M4" s="31"/>
      <c r="N4" s="5"/>
      <c r="O4" s="31"/>
    </row>
    <row r="5" spans="1:15" x14ac:dyDescent="0.25">
      <c r="A5" s="13" t="str">
        <f>'Charges as $ per MWh'!B6</f>
        <v>Buller Electricity</v>
      </c>
      <c r="B5" s="31">
        <f>'Charges as $ per MWh'!C6*$G5/1000</f>
        <v>65.345083735553217</v>
      </c>
      <c r="C5" s="31">
        <f ca="1">'Charges as $ per MWh'!D6*$G5/1000</f>
        <v>91.821356886587068</v>
      </c>
      <c r="D5" s="31">
        <f ca="1">'Charges as $ per MWh'!I6*$G5/1000</f>
        <v>109.79924566076677</v>
      </c>
      <c r="E5" s="31">
        <f>'Charges as $ per MWh'!J6*$G5/1000</f>
        <v>587.00837145600008</v>
      </c>
      <c r="F5" s="31">
        <f ca="1">'Charges as $ per MWh'!D6*$G5/1000</f>
        <v>91.821356886587068</v>
      </c>
      <c r="G5" s="30">
        <v>5481.06</v>
      </c>
      <c r="H5" s="129">
        <f>'Charges as $ per MWh'!M6*G5/1000</f>
        <v>0</v>
      </c>
      <c r="I5" s="129">
        <f>'Charges as $ per MWh'!N6*G5/1000</f>
        <v>65.345083735553217</v>
      </c>
      <c r="J5" s="38"/>
      <c r="K5" s="27"/>
      <c r="L5" s="56"/>
      <c r="M5" s="31"/>
      <c r="N5" s="5"/>
      <c r="O5" s="31"/>
    </row>
    <row r="6" spans="1:15" s="15" customFormat="1" x14ac:dyDescent="0.25">
      <c r="A6" s="13" t="str">
        <f>'Charges as $ per MWh'!B7</f>
        <v>Centralines</v>
      </c>
      <c r="B6" s="31">
        <f>'Charges as $ per MWh'!C7*$G6/1000</f>
        <v>125.88014758826037</v>
      </c>
      <c r="C6" s="31">
        <f ca="1">'Charges as $ per MWh'!D7*$G6/1000</f>
        <v>97.286959020167117</v>
      </c>
      <c r="D6" s="31">
        <f ca="1">'Charges as $ per MWh'!I7*$G6/1000</f>
        <v>139.35016413939684</v>
      </c>
      <c r="E6" s="31">
        <f>'Charges as $ per MWh'!J7*$G6/1000</f>
        <v>787.65722326800005</v>
      </c>
      <c r="F6" s="31">
        <f ca="1">'Charges as $ per MWh'!D7*$G6/1000</f>
        <v>97.286959020167117</v>
      </c>
      <c r="G6" s="30">
        <v>6956.21</v>
      </c>
      <c r="H6" s="129">
        <f>'Charges as $ per MWh'!M7*G6/1000</f>
        <v>0</v>
      </c>
      <c r="I6" s="129">
        <f>'Charges as $ per MWh'!N7*G6/1000</f>
        <v>125.88014758826037</v>
      </c>
      <c r="J6" s="38"/>
      <c r="K6" s="27"/>
      <c r="L6" s="56"/>
      <c r="M6" s="31"/>
      <c r="N6" s="5"/>
      <c r="O6" s="31"/>
    </row>
    <row r="7" spans="1:15" x14ac:dyDescent="0.25">
      <c r="A7" s="13" t="str">
        <f>'Charges as $ per MWh'!B8</f>
        <v>Counties Power</v>
      </c>
      <c r="B7" s="31">
        <f>'Charges as $ per MWh'!C8*$G7/1000</f>
        <v>143.69764232993012</v>
      </c>
      <c r="C7" s="31">
        <f ca="1">'Charges as $ per MWh'!D8*$G7/1000</f>
        <v>176.23385348344769</v>
      </c>
      <c r="D7" s="31">
        <f ca="1">'Charges as $ per MWh'!I8*$G7/1000</f>
        <v>160.21780218976738</v>
      </c>
      <c r="E7" s="31">
        <f>'Charges as $ per MWh'!J8*$G7/1000</f>
        <v>4530.0545484499999</v>
      </c>
      <c r="F7" s="31">
        <f ca="1">'Charges as $ per MWh'!D8*$G7/1000</f>
        <v>176.23385348344769</v>
      </c>
      <c r="G7" s="30">
        <v>7997.9</v>
      </c>
      <c r="H7" s="129">
        <f>'Charges as $ per MWh'!M8*G7/1000</f>
        <v>0</v>
      </c>
      <c r="I7" s="129">
        <f>'Charges as $ per MWh'!N8*G7/1000</f>
        <v>143.69764232993012</v>
      </c>
      <c r="J7" s="38"/>
      <c r="K7" s="27"/>
      <c r="L7" s="56"/>
      <c r="M7" s="31"/>
      <c r="N7" s="5"/>
      <c r="O7" s="31"/>
    </row>
    <row r="8" spans="1:15" x14ac:dyDescent="0.25">
      <c r="A8" s="13" t="str">
        <f>'Charges as $ per MWh'!B9</f>
        <v>Eastland Network</v>
      </c>
      <c r="B8" s="31">
        <f>'Charges as $ per MWh'!C9*$G8/1000</f>
        <v>111.05164677965597</v>
      </c>
      <c r="C8" s="31">
        <f ca="1">'Charges as $ per MWh'!D9*$G8/1000</f>
        <v>86.95739948227677</v>
      </c>
      <c r="D8" s="31">
        <f ca="1">'Charges as $ per MWh'!I9*$G8/1000</f>
        <v>126.58806968447301</v>
      </c>
      <c r="E8" s="31">
        <f>'Charges as $ per MWh'!J9*$G8/1000</f>
        <v>1910.92057428</v>
      </c>
      <c r="F8" s="31">
        <f ca="1">'Charges as $ per MWh'!D9*$G8/1000</f>
        <v>86.95739948227677</v>
      </c>
      <c r="G8" s="30">
        <v>6319.14</v>
      </c>
      <c r="H8" s="129">
        <f>'Charges as $ per MWh'!M9*G8/1000</f>
        <v>55.281773281201183</v>
      </c>
      <c r="I8" s="129">
        <f>'Charges as $ per MWh'!N9*G8/1000</f>
        <v>166.33342006085715</v>
      </c>
      <c r="J8" s="38"/>
      <c r="K8" s="27"/>
      <c r="L8" s="56"/>
      <c r="M8" s="31"/>
      <c r="N8" s="5"/>
      <c r="O8" s="31"/>
    </row>
    <row r="9" spans="1:15" x14ac:dyDescent="0.25">
      <c r="A9" s="13" t="str">
        <f>'Charges as $ per MWh'!B10</f>
        <v>Electra</v>
      </c>
      <c r="B9" s="31">
        <f>'Charges as $ per MWh'!C10*$G9/1000</f>
        <v>94.890834387922084</v>
      </c>
      <c r="C9" s="31">
        <f ca="1">'Charges as $ per MWh'!D10*$G9/1000</f>
        <v>109.23030913006954</v>
      </c>
      <c r="D9" s="31">
        <f ca="1">'Charges as $ per MWh'!I10*$G9/1000</f>
        <v>129.5176201154901</v>
      </c>
      <c r="E9" s="31">
        <f>'Charges as $ per MWh'!J10*$G9/1000</f>
        <v>2801.0676965799998</v>
      </c>
      <c r="F9" s="31">
        <f ca="1">'Charges as $ per MWh'!D10*$G9/1000</f>
        <v>109.23030913006954</v>
      </c>
      <c r="G9" s="30">
        <v>6465.38</v>
      </c>
      <c r="H9" s="129">
        <f>'Charges as $ per MWh'!M10*G9/1000</f>
        <v>20.615409897008821</v>
      </c>
      <c r="I9" s="129">
        <f>'Charges as $ per MWh'!N10*G9/1000</f>
        <v>115.50624428493092</v>
      </c>
      <c r="J9" s="38"/>
      <c r="K9" s="27"/>
      <c r="L9" s="5"/>
      <c r="M9" s="31"/>
      <c r="N9" s="5"/>
      <c r="O9" s="31"/>
    </row>
    <row r="10" spans="1:15" x14ac:dyDescent="0.25">
      <c r="A10" s="13" t="str">
        <f>'Charges as $ per MWh'!B11</f>
        <v>Electricity Ashburton</v>
      </c>
      <c r="B10" s="31">
        <f>'Charges as $ per MWh'!C11*$G10/1000</f>
        <v>50.543882012367838</v>
      </c>
      <c r="C10" s="31">
        <f ca="1">'Charges as $ per MWh'!D11*$G10/1000</f>
        <v>167.54645838709399</v>
      </c>
      <c r="D10" s="31">
        <f ca="1">'Charges as $ per MWh'!I11*$G10/1000</f>
        <v>174.77721109129169</v>
      </c>
      <c r="E10" s="31">
        <f>'Charges as $ per MWh'!J11*$G10/1000</f>
        <v>5471.793157311</v>
      </c>
      <c r="F10" s="31">
        <f ca="1">'Charges as $ per MWh'!D11*$G10/1000</f>
        <v>167.54645838709399</v>
      </c>
      <c r="G10" s="30">
        <v>8724.69</v>
      </c>
      <c r="H10" s="129">
        <f>'Charges as $ per MWh'!M11*G10/1000</f>
        <v>15.198186983297299</v>
      </c>
      <c r="I10" s="129">
        <f>'Charges as $ per MWh'!N11*G10/1000</f>
        <v>65.742068995665136</v>
      </c>
      <c r="J10" s="38"/>
      <c r="K10" s="27"/>
      <c r="L10" s="5"/>
      <c r="M10" s="31"/>
      <c r="N10" s="5"/>
      <c r="O10" s="31"/>
    </row>
    <row r="11" spans="1:15" x14ac:dyDescent="0.25">
      <c r="A11" s="13" t="str">
        <f>'Charges as $ per MWh'!B12</f>
        <v>Electricity Invercargill</v>
      </c>
      <c r="B11" s="31">
        <f>'Charges as $ per MWh'!C12*$G11/1000</f>
        <v>181.90148797327376</v>
      </c>
      <c r="C11" s="31">
        <f ca="1">'Charges as $ per MWh'!D12*$G11/1000</f>
        <v>118.04167773966761</v>
      </c>
      <c r="D11" s="31">
        <f ca="1">'Charges as $ per MWh'!I12*$G11/1000</f>
        <v>169.86604736270749</v>
      </c>
      <c r="E11" s="31">
        <f>'Charges as $ per MWh'!J12*$G11/1000</f>
        <v>2187.4016055780003</v>
      </c>
      <c r="F11" s="31">
        <f ca="1">'Charges as $ per MWh'!D12*$G11/1000</f>
        <v>118.04167773966761</v>
      </c>
      <c r="G11" s="30">
        <v>8479.5300000000007</v>
      </c>
      <c r="H11" s="129">
        <f>'Charges as $ per MWh'!M12*G11/1000</f>
        <v>0</v>
      </c>
      <c r="I11" s="129">
        <f>'Charges as $ per MWh'!N12*G11/1000</f>
        <v>181.90148797327376</v>
      </c>
      <c r="J11" s="38"/>
      <c r="K11" s="27"/>
      <c r="L11" s="5"/>
      <c r="M11" s="31"/>
      <c r="N11" s="56"/>
      <c r="O11" s="31"/>
    </row>
    <row r="12" spans="1:15" x14ac:dyDescent="0.25">
      <c r="A12" s="13" t="str">
        <f>'Charges as $ per MWh'!B13</f>
        <v>Horizon</v>
      </c>
      <c r="B12" s="31">
        <f>'Charges as $ per MWh'!C13*$G12/1000</f>
        <v>41.175807489181508</v>
      </c>
      <c r="C12" s="31">
        <f ca="1">'Charges as $ per MWh'!D13*$G12/1000</f>
        <v>86.927989401085824</v>
      </c>
      <c r="D12" s="31">
        <f ca="1">'Charges as $ per MWh'!I13*$G12/1000</f>
        <v>126.63855154365082</v>
      </c>
      <c r="E12" s="31">
        <f>'Charges as $ per MWh'!J13*$G12/1000</f>
        <v>3152.0112842999997</v>
      </c>
      <c r="F12" s="31">
        <f ca="1">'Charges as $ per MWh'!D13*$G12/1000</f>
        <v>86.927989401085824</v>
      </c>
      <c r="G12" s="30">
        <v>6321.66</v>
      </c>
      <c r="H12" s="129">
        <f>'Charges as $ per MWh'!M13*G12/1000</f>
        <v>43.043619689038813</v>
      </c>
      <c r="I12" s="129">
        <f>'Charges as $ per MWh'!N13*G12/1000</f>
        <v>84.219427178220315</v>
      </c>
      <c r="J12" s="38"/>
      <c r="K12" s="27"/>
      <c r="L12" s="5"/>
      <c r="M12" s="31"/>
      <c r="N12" s="56"/>
      <c r="O12" s="31"/>
    </row>
    <row r="13" spans="1:15" s="15" customFormat="1" x14ac:dyDescent="0.25">
      <c r="A13" s="13" t="str">
        <f>'Charges as $ per MWh'!B14</f>
        <v>Lakeland Network</v>
      </c>
      <c r="B13" s="31">
        <f>'Charges as $ per MWh'!C14*$G13/1000</f>
        <v>171.5148850020544</v>
      </c>
      <c r="C13" s="31">
        <f ca="1">'Charges as $ per MWh'!D14*$G13/1000</f>
        <v>138.14443865872164</v>
      </c>
      <c r="D13" s="31">
        <f ca="1">'Charges as $ per MWh'!I14*$G13/1000</f>
        <v>185.2930631376409</v>
      </c>
      <c r="E13" s="31">
        <f>'Charges as $ per MWh'!J14*$G13/1000</f>
        <v>102.96086890049999</v>
      </c>
      <c r="F13" s="31">
        <f ca="1">'Charges as $ per MWh'!D14*$G13/1000</f>
        <v>138.14443865872164</v>
      </c>
      <c r="G13" s="30">
        <v>9249.6299999999992</v>
      </c>
      <c r="H13" s="129">
        <f>'Charges as $ per MWh'!M14*G13/1000</f>
        <v>0</v>
      </c>
      <c r="I13" s="129">
        <f>'Charges as $ per MWh'!N14*G13/1000</f>
        <v>171.5148850020544</v>
      </c>
      <c r="J13" s="38"/>
      <c r="K13" s="27"/>
      <c r="L13" s="5"/>
      <c r="M13" s="31"/>
      <c r="N13" s="56"/>
      <c r="O13" s="31"/>
    </row>
    <row r="14" spans="1:15" x14ac:dyDescent="0.25">
      <c r="A14" s="13" t="str">
        <f>'Charges as $ per MWh'!B15</f>
        <v>Mainpower</v>
      </c>
      <c r="B14" s="31">
        <f>'Charges as $ per MWh'!C15*$G14/1000</f>
        <v>153.38536451576175</v>
      </c>
      <c r="C14" s="31">
        <f ca="1">'Charges as $ per MWh'!D15*$G14/1000</f>
        <v>134.26043949886935</v>
      </c>
      <c r="D14" s="31">
        <f ca="1">'Charges as $ per MWh'!I15*$G14/1000</f>
        <v>178.03028613569037</v>
      </c>
      <c r="E14" s="31">
        <f>'Charges as $ per MWh'!J15*$G14/1000</f>
        <v>4866.9124928279998</v>
      </c>
      <c r="F14" s="31">
        <f ca="1">'Charges as $ per MWh'!D15*$G14/1000</f>
        <v>134.26043949886935</v>
      </c>
      <c r="G14" s="30">
        <v>8887.08</v>
      </c>
      <c r="H14" s="129">
        <f>'Charges as $ per MWh'!M15*G14/1000</f>
        <v>14.840493785049315</v>
      </c>
      <c r="I14" s="129">
        <f>'Charges as $ per MWh'!N15*G14/1000</f>
        <v>168.22585830081107</v>
      </c>
      <c r="J14" s="38"/>
      <c r="K14" s="27"/>
      <c r="L14" s="5"/>
      <c r="M14" s="31"/>
      <c r="N14" s="56"/>
      <c r="O14" s="31"/>
    </row>
    <row r="15" spans="1:15" x14ac:dyDescent="0.25">
      <c r="A15" s="13" t="str">
        <f>'Charges as $ per MWh'!B16</f>
        <v>Marlborough Lines</v>
      </c>
      <c r="B15" s="31">
        <f>'Charges as $ per MWh'!C16*$G15/1000</f>
        <v>121.59095536460042</v>
      </c>
      <c r="C15" s="31">
        <f ca="1">'Charges as $ per MWh'!D16*$G15/1000</f>
        <v>90.897246183088114</v>
      </c>
      <c r="D15" s="31">
        <f ca="1">'Charges as $ per MWh'!I16*$G15/1000</f>
        <v>144.52675827834051</v>
      </c>
      <c r="E15" s="31">
        <f>'Charges as $ per MWh'!J16*$G15/1000</f>
        <v>2827.0697693979996</v>
      </c>
      <c r="F15" s="31">
        <f ca="1">'Charges as $ per MWh'!D16*$G15/1000</f>
        <v>90.897246183088114</v>
      </c>
      <c r="G15" s="30">
        <v>7214.62</v>
      </c>
      <c r="H15" s="129">
        <f>'Charges as $ per MWh'!M16*G15/1000</f>
        <v>2.8699558848741455</v>
      </c>
      <c r="I15" s="129">
        <f>'Charges as $ per MWh'!N16*G15/1000</f>
        <v>124.46091124947455</v>
      </c>
      <c r="J15" s="38"/>
      <c r="K15" s="27"/>
      <c r="L15" s="5"/>
      <c r="M15" s="31"/>
      <c r="N15" s="56"/>
      <c r="O15" s="31"/>
    </row>
    <row r="16" spans="1:15" x14ac:dyDescent="0.25">
      <c r="A16" s="13" t="str">
        <f>'Charges as $ per MWh'!B17</f>
        <v>Network Tasman</v>
      </c>
      <c r="B16" s="31">
        <f>'Charges as $ per MWh'!C17*$G16/1000</f>
        <v>102.56996336132256</v>
      </c>
      <c r="C16" s="31">
        <f ca="1">'Charges as $ per MWh'!D17*$G16/1000</f>
        <v>98.523921664529041</v>
      </c>
      <c r="D16" s="31">
        <f ca="1">'Charges as $ per MWh'!I17*$G16/1000</f>
        <v>139.80279811087405</v>
      </c>
      <c r="E16" s="31">
        <f>'Charges as $ per MWh'!J17*$G16/1000</f>
        <v>5093.8514037955001</v>
      </c>
      <c r="F16" s="31">
        <f ca="1">'Charges as $ per MWh'!D17*$G16/1000</f>
        <v>98.523921664529041</v>
      </c>
      <c r="G16" s="30">
        <v>6978.8050000000003</v>
      </c>
      <c r="H16" s="129">
        <f>'Charges as $ per MWh'!M17*G16/1000</f>
        <v>0.69797314876454153</v>
      </c>
      <c r="I16" s="129">
        <f>'Charges as $ per MWh'!N17*G16/1000</f>
        <v>103.2679365100871</v>
      </c>
      <c r="J16" s="38"/>
      <c r="K16" s="27"/>
      <c r="L16" s="5"/>
      <c r="M16" s="31"/>
      <c r="N16" s="56"/>
      <c r="O16" s="31"/>
    </row>
    <row r="17" spans="1:15" x14ac:dyDescent="0.25">
      <c r="A17" s="13" t="str">
        <f>'Charges as $ per MWh'!B18</f>
        <v>Network Waitaki</v>
      </c>
      <c r="B17" s="31">
        <f>'Charges as $ per MWh'!C18*$G17/1000</f>
        <v>90.223923287347688</v>
      </c>
      <c r="C17" s="31">
        <f ca="1">'Charges as $ per MWh'!D18*$G17/1000</f>
        <v>111.50783758474226</v>
      </c>
      <c r="D17" s="31">
        <f ca="1">'Charges as $ per MWh'!I18*$G17/1000</f>
        <v>151.78272423579881</v>
      </c>
      <c r="E17" s="31">
        <f>'Charges as $ per MWh'!J18*$G17/1000</f>
        <v>2037.978606933</v>
      </c>
      <c r="F17" s="31">
        <f ca="1">'Charges as $ per MWh'!D18*$G17/1000</f>
        <v>111.50783758474226</v>
      </c>
      <c r="G17" s="30">
        <v>7576.83</v>
      </c>
      <c r="H17" s="129">
        <f>'Charges as $ per MWh'!M18*G17/1000</f>
        <v>0</v>
      </c>
      <c r="I17" s="129">
        <f>'Charges as $ per MWh'!N18*G17/1000</f>
        <v>90.223923287347688</v>
      </c>
      <c r="J17" s="38"/>
      <c r="K17" s="27"/>
      <c r="L17" s="5"/>
      <c r="M17" s="31"/>
      <c r="N17" s="56"/>
      <c r="O17" s="31"/>
    </row>
    <row r="18" spans="1:15" ht="15.75" customHeight="1" x14ac:dyDescent="0.25">
      <c r="A18" s="13" t="str">
        <f>'Charges as $ per MWh'!B19</f>
        <v>Northpower</v>
      </c>
      <c r="B18" s="31">
        <f>'Charges as $ per MWh'!C19*$G18/1000</f>
        <v>109.33948145879314</v>
      </c>
      <c r="C18" s="31">
        <f ca="1">'Charges as $ per MWh'!D19*$G18/1000</f>
        <v>172.55541976590018</v>
      </c>
      <c r="D18" s="31">
        <f ca="1">'Charges as $ per MWh'!I19*$G18/1000</f>
        <v>127.5776743842285</v>
      </c>
      <c r="E18" s="31">
        <f>'Charges as $ per MWh'!J19*$G18/1000</f>
        <v>4832.2908490620002</v>
      </c>
      <c r="F18" s="31">
        <f ca="1">'Charges as $ per MWh'!D19*$G18/1000</f>
        <v>172.55541976590018</v>
      </c>
      <c r="G18" s="30">
        <v>6368.54</v>
      </c>
      <c r="H18" s="129">
        <f>'Charges as $ per MWh'!M19*G18/1000</f>
        <v>27.680717756627025</v>
      </c>
      <c r="I18" s="129">
        <f>'Charges as $ per MWh'!N19*G18/1000</f>
        <v>137.02019921542018</v>
      </c>
      <c r="J18" s="38"/>
      <c r="K18" s="27"/>
    </row>
    <row r="19" spans="1:15" s="15" customFormat="1" ht="15.75" customHeight="1" x14ac:dyDescent="0.25">
      <c r="A19" s="13" t="str">
        <f>'Charges as $ per MWh'!B20</f>
        <v>Orion</v>
      </c>
      <c r="B19" s="31">
        <f>'Charges as $ per MWh'!C20*$G19/1000</f>
        <v>173.2907615447819</v>
      </c>
      <c r="C19" s="31">
        <f ca="1">'Charges as $ per MWh'!D20*$G19/1000</f>
        <v>129.02197499921826</v>
      </c>
      <c r="D19" s="31">
        <f ca="1">'Charges as $ per MWh'!I20*$G19/1000</f>
        <v>176.08533228347858</v>
      </c>
      <c r="E19" s="31">
        <f>'Charges as $ per MWh'!J20*$G19/1000</f>
        <v>28495.670861679999</v>
      </c>
      <c r="F19" s="31">
        <f ca="1">'Charges as $ per MWh'!D20*$G19/1000</f>
        <v>129.02197499921826</v>
      </c>
      <c r="G19" s="30">
        <v>8789.99</v>
      </c>
      <c r="H19" s="129">
        <f>'Charges as $ per MWh'!M20*G19/1000</f>
        <v>3.3237089358254837</v>
      </c>
      <c r="I19" s="129">
        <f>'Charges as $ per MWh'!N20*G19/1000</f>
        <v>176.61447048060739</v>
      </c>
      <c r="J19" s="38"/>
      <c r="K19" s="27"/>
      <c r="L19" s="27"/>
      <c r="M19" s="27"/>
      <c r="N19" s="27"/>
      <c r="O19" s="27"/>
    </row>
    <row r="20" spans="1:15" x14ac:dyDescent="0.25">
      <c r="A20" s="13" t="str">
        <f>'Charges as $ per MWh'!B21</f>
        <v>OtagoNet JV</v>
      </c>
      <c r="B20" s="31">
        <f>'Charges as $ per MWh'!C21*$G20/1000</f>
        <v>65.325986627274759</v>
      </c>
      <c r="C20" s="31">
        <f ca="1">'Charges as $ per MWh'!D21*$G20/1000</f>
        <v>77.593527548092396</v>
      </c>
      <c r="D20" s="31">
        <f ca="1">'Charges as $ per MWh'!I21*$G20/1000</f>
        <v>139.87281164175758</v>
      </c>
      <c r="E20" s="31">
        <f>'Charges as $ per MWh'!J21*$G20/1000</f>
        <v>2965.2815666500001</v>
      </c>
      <c r="F20" s="31">
        <f ca="1">'Charges as $ per MWh'!D21*$G20/1000</f>
        <v>77.593527548092396</v>
      </c>
      <c r="G20" s="30">
        <v>6982.3</v>
      </c>
      <c r="H20" s="129">
        <f>'Charges as $ per MWh'!M21*G20/1000</f>
        <v>16.728473495209986</v>
      </c>
      <c r="I20" s="129">
        <f>'Charges as $ per MWh'!N21*G20/1000</f>
        <v>82.054460122484741</v>
      </c>
      <c r="J20" s="38"/>
      <c r="K20" s="27"/>
    </row>
    <row r="21" spans="1:15" x14ac:dyDescent="0.25">
      <c r="A21" s="13" t="str">
        <f>'Charges as $ per MWh'!B22</f>
        <v>Powerco</v>
      </c>
      <c r="B21" s="31">
        <f>'Charges as $ per MWh'!C22*$G21/1000</f>
        <v>107.8817188905639</v>
      </c>
      <c r="C21" s="31">
        <f ca="1">'Charges as $ per MWh'!D22*$G21/1000</f>
        <v>105.43823366019809</v>
      </c>
      <c r="D21" s="31">
        <f ca="1">'Charges as $ per MWh'!I22*$G21/1000</f>
        <v>127.62191278595509</v>
      </c>
      <c r="E21" s="31">
        <f>'Charges as $ per MWh'!J22*$G21/1000</f>
        <v>27924.181274938332</v>
      </c>
      <c r="F21" s="31">
        <f ca="1">'Charges as $ per MWh'!D22*$G21/1000</f>
        <v>105.43823366019809</v>
      </c>
      <c r="G21" s="30">
        <v>6370.748333333333</v>
      </c>
      <c r="H21" s="129">
        <f>'Charges as $ per MWh'!M22*G21/1000</f>
        <v>13.379445881697574</v>
      </c>
      <c r="I21" s="129">
        <f>'Charges as $ per MWh'!N22*G21/1000</f>
        <v>121.26116477226147</v>
      </c>
      <c r="J21" s="38"/>
      <c r="K21" s="27"/>
    </row>
    <row r="22" spans="1:15" x14ac:dyDescent="0.25">
      <c r="A22" s="13" t="str">
        <f>'Charges as $ per MWh'!B23</f>
        <v>Scanpower</v>
      </c>
      <c r="B22" s="31">
        <f>'Charges as $ per MWh'!C23*$G22/1000</f>
        <v>129.12040323372025</v>
      </c>
      <c r="C22" s="31">
        <f ca="1">'Charges as $ per MWh'!D23*$G22/1000</f>
        <v>101.24244742914442</v>
      </c>
      <c r="D22" s="31">
        <f ca="1">'Charges as $ per MWh'!I23*$G22/1000</f>
        <v>142.43676924341153</v>
      </c>
      <c r="E22" s="31">
        <f>'Charges as $ per MWh'!J23*$G22/1000</f>
        <v>592.98005476050014</v>
      </c>
      <c r="F22" s="31">
        <f ca="1">'Charges as $ per MWh'!D23*$G22/1000</f>
        <v>101.24244742914442</v>
      </c>
      <c r="G22" s="30">
        <v>7110.29</v>
      </c>
      <c r="H22" s="129">
        <f>'Charges as $ per MWh'!M23*G22/1000</f>
        <v>0</v>
      </c>
      <c r="I22" s="129">
        <f>'Charges as $ per MWh'!N23*G22/1000</f>
        <v>129.12040323372025</v>
      </c>
      <c r="J22" s="38"/>
      <c r="K22" s="27"/>
    </row>
    <row r="23" spans="1:15" s="15" customFormat="1" x14ac:dyDescent="0.25">
      <c r="A23" s="13" t="str">
        <f>'Charges as $ per MWh'!B24</f>
        <v>The Lines Company</v>
      </c>
      <c r="B23" s="31">
        <f>'Charges as $ per MWh'!C24*$G23/1000</f>
        <v>101.58157689502769</v>
      </c>
      <c r="C23" s="31">
        <f ca="1">'Charges as $ per MWh'!D24*$G23/1000</f>
        <v>142.97193502580939</v>
      </c>
      <c r="D23" s="31">
        <f ca="1">'Charges as $ per MWh'!I24*$G23/1000</f>
        <v>160.91292937765232</v>
      </c>
      <c r="E23" s="31">
        <f>'Charges as $ per MWh'!J24*$G23/1000</f>
        <v>2339.4786847999999</v>
      </c>
      <c r="F23" s="31">
        <f ca="1">'Charges as $ per MWh'!D24*$G23/1000</f>
        <v>142.97193502580939</v>
      </c>
      <c r="G23" s="30">
        <v>8032.6</v>
      </c>
      <c r="H23" s="129">
        <f>'Charges as $ per MWh'!M24*G23/1000</f>
        <v>37.247190580659776</v>
      </c>
      <c r="I23" s="129">
        <f>'Charges as $ per MWh'!N24*G23/1000</f>
        <v>138.82876747568747</v>
      </c>
      <c r="J23" s="38"/>
      <c r="K23" s="27"/>
      <c r="L23" s="27"/>
      <c r="M23" s="27"/>
      <c r="N23" s="27"/>
      <c r="O23" s="27"/>
    </row>
    <row r="24" spans="1:15" x14ac:dyDescent="0.25">
      <c r="A24" s="13" t="str">
        <f>'Charges as $ per MWh'!B25</f>
        <v>The Power Company</v>
      </c>
      <c r="B24" s="31">
        <f>'Charges as $ per MWh'!C25*$G24/1000</f>
        <v>106.88626174444498</v>
      </c>
      <c r="C24" s="31">
        <f ca="1">'Charges as $ per MWh'!D25*$G24/1000</f>
        <v>110.84057059559294</v>
      </c>
      <c r="D24" s="31">
        <f ca="1">'Charges as $ per MWh'!I25*$G24/1000</f>
        <v>170.6112557600942</v>
      </c>
      <c r="E24" s="31">
        <f>'Charges as $ per MWh'!J25*$G24/1000</f>
        <v>6583.5907011779991</v>
      </c>
      <c r="F24" s="31">
        <f ca="1">'Charges as $ per MWh'!D25*$G24/1000</f>
        <v>110.84057059559294</v>
      </c>
      <c r="G24" s="30">
        <v>8516.73</v>
      </c>
      <c r="H24" s="129">
        <f>'Charges as $ per MWh'!M25*G24/1000</f>
        <v>23.586934858870151</v>
      </c>
      <c r="I24" s="129">
        <f>'Charges as $ per MWh'!N25*G24/1000</f>
        <v>130.47319660331513</v>
      </c>
      <c r="J24" s="38"/>
      <c r="K24" s="27"/>
    </row>
    <row r="25" spans="1:15" x14ac:dyDescent="0.25">
      <c r="A25" s="13" t="str">
        <f>'Charges as $ per MWh'!B26</f>
        <v>Top Energy</v>
      </c>
      <c r="B25" s="31">
        <f>'Charges as $ per MWh'!C26*$G25/1000</f>
        <v>72.600383910427666</v>
      </c>
      <c r="C25" s="31">
        <f ca="1">'Charges as $ per MWh'!D26*$G25/1000</f>
        <v>159.63988383015055</v>
      </c>
      <c r="D25" s="31">
        <f ca="1">'Charges as $ per MWh'!I26*$G25/1000</f>
        <v>121.48719833429602</v>
      </c>
      <c r="E25" s="31">
        <f>'Charges as $ per MWh'!J26*$G25/1000</f>
        <v>2173.201997225</v>
      </c>
      <c r="F25" s="31">
        <f ca="1">'Charges as $ per MWh'!D26*$G25/1000</f>
        <v>159.63988383015055</v>
      </c>
      <c r="G25" s="30">
        <v>6064.51</v>
      </c>
      <c r="H25" s="129">
        <f>'Charges as $ per MWh'!M26*G25/1000</f>
        <v>66.795813939577627</v>
      </c>
      <c r="I25" s="129">
        <f>'Charges as $ per MWh'!N26*G25/1000</f>
        <v>139.39619785000534</v>
      </c>
      <c r="J25" s="38"/>
      <c r="K25" s="27"/>
    </row>
    <row r="26" spans="1:15" x14ac:dyDescent="0.25">
      <c r="A26" s="13" t="str">
        <f>'Charges as $ per MWh'!B27</f>
        <v>Unison</v>
      </c>
      <c r="B26" s="31">
        <f>'Charges as $ per MWh'!C27*$G26/1000</f>
        <v>133.01222823900989</v>
      </c>
      <c r="C26" s="31">
        <f ca="1">'Charges as $ per MWh'!D27*$G26/1000</f>
        <v>108.01538161919621</v>
      </c>
      <c r="D26" s="31">
        <f ca="1">'Charges as $ per MWh'!I27*$G26/1000</f>
        <v>142.25848013758514</v>
      </c>
      <c r="E26" s="31">
        <f>'Charges as $ per MWh'!J27*$G26/1000</f>
        <v>11576.352212669999</v>
      </c>
      <c r="F26" s="31">
        <f ca="1">'Charges as $ per MWh'!D27*$G26/1000</f>
        <v>108.01538161919621</v>
      </c>
      <c r="G26" s="30">
        <v>7101.3899999999994</v>
      </c>
      <c r="H26" s="129">
        <f>'Charges as $ per MWh'!M27*G26/1000</f>
        <v>26.1251263415393</v>
      </c>
      <c r="I26" s="129">
        <f>'Charges as $ per MWh'!N27*G26/1000</f>
        <v>159.13735458054921</v>
      </c>
      <c r="J26" s="38"/>
      <c r="K26" s="27"/>
    </row>
    <row r="27" spans="1:15" x14ac:dyDescent="0.25">
      <c r="A27" s="13" t="str">
        <f>'Charges as $ per MWh'!B28</f>
        <v>Vector</v>
      </c>
      <c r="B27" s="31">
        <f>'Charges as $ per MWh'!C28*$G27/1000</f>
        <v>151.28198791562548</v>
      </c>
      <c r="C27" s="31">
        <f ca="1">'Charges as $ per MWh'!D28*$G27/1000</f>
        <v>217.33317469173963</v>
      </c>
      <c r="D27" s="31">
        <f ca="1">'Charges as $ per MWh'!I28*$G27/1000</f>
        <v>142.61415688746689</v>
      </c>
      <c r="E27" s="31">
        <f>'Charges as $ per MWh'!J28*$G27/1000</f>
        <v>59901.034204165</v>
      </c>
      <c r="F27" s="31">
        <f ca="1">'Charges as $ per MWh'!D28*$G27/1000</f>
        <v>217.33317469173963</v>
      </c>
      <c r="G27" s="30">
        <v>7119.1450000000004</v>
      </c>
      <c r="H27" s="129">
        <f>'Charges as $ per MWh'!M28*G27/1000</f>
        <v>8.0163682008733712</v>
      </c>
      <c r="I27" s="129">
        <f>'Charges as $ per MWh'!N28*G27/1000</f>
        <v>159.29835611649884</v>
      </c>
      <c r="J27" s="38"/>
      <c r="K27" s="27"/>
    </row>
    <row r="28" spans="1:15" x14ac:dyDescent="0.25">
      <c r="A28" s="13" t="str">
        <f>'Charges as $ per MWh'!B29</f>
        <v>Waipa Power</v>
      </c>
      <c r="B28" s="31">
        <f>'Charges as $ per MWh'!C29*$G28/1000</f>
        <v>130.86806045851569</v>
      </c>
      <c r="C28" s="31">
        <f ca="1">'Charges as $ per MWh'!D29*$G28/1000</f>
        <v>121.32674099802841</v>
      </c>
      <c r="D28" s="31">
        <f ca="1">'Charges as $ per MWh'!I29*$G28/1000</f>
        <v>153.21404520336014</v>
      </c>
      <c r="E28" s="31">
        <f>'Charges as $ per MWh'!J29*$G28/1000</f>
        <v>2882.0493440959999</v>
      </c>
      <c r="F28" s="31">
        <f ca="1">'Charges as $ per MWh'!D29*$G28/1000</f>
        <v>121.32674099802841</v>
      </c>
      <c r="G28" s="30">
        <v>7648.28</v>
      </c>
      <c r="H28" s="129">
        <f>'Charges as $ per MWh'!M29*G28/1000</f>
        <v>0</v>
      </c>
      <c r="I28" s="129">
        <f>'Charges as $ per MWh'!N29*G28/1000</f>
        <v>130.86806045851569</v>
      </c>
      <c r="J28" s="38"/>
      <c r="K28" s="27"/>
    </row>
    <row r="29" spans="1:15" x14ac:dyDescent="0.25">
      <c r="A29" s="13" t="str">
        <f>'Charges as $ per MWh'!B30</f>
        <v>WEL</v>
      </c>
      <c r="B29" s="31">
        <f>'Charges as $ per MWh'!C30*$G29/1000</f>
        <v>111.28796808636574</v>
      </c>
      <c r="C29" s="31">
        <f ca="1">'Charges as $ per MWh'!D30*$G29/1000</f>
        <v>124.92457547645053</v>
      </c>
      <c r="D29" s="31">
        <f ca="1">'Charges as $ per MWh'!I30*$G29/1000</f>
        <v>140.74422468708883</v>
      </c>
      <c r="E29" s="31">
        <f>'Charges as $ per MWh'!J30*$G29/1000</f>
        <v>8744.8095118000001</v>
      </c>
      <c r="F29" s="31">
        <f ca="1">'Charges as $ per MWh'!D30*$G29/1000</f>
        <v>124.92457547645053</v>
      </c>
      <c r="G29" s="30">
        <v>7025.8</v>
      </c>
      <c r="H29" s="129">
        <f>'Charges as $ per MWh'!M30*G29/1000</f>
        <v>21.014646324179644</v>
      </c>
      <c r="I29" s="129">
        <f>'Charges as $ per MWh'!N30*G29/1000</f>
        <v>132.30261441054537</v>
      </c>
      <c r="J29" s="38"/>
      <c r="K29" s="27"/>
    </row>
    <row r="30" spans="1:15" x14ac:dyDescent="0.25">
      <c r="A30" s="13" t="str">
        <f>'Charges as $ per MWh'!B31</f>
        <v>Wellington Electricity</v>
      </c>
      <c r="B30" s="31">
        <f>'Charges as $ per MWh'!C31*$G30/1000</f>
        <v>160.49077186827455</v>
      </c>
      <c r="C30" s="31">
        <f ca="1">'Charges as $ per MWh'!D31*$G30/1000</f>
        <v>125.45872845755034</v>
      </c>
      <c r="D30" s="31">
        <f ca="1">'Charges as $ per MWh'!I31*$G30/1000</f>
        <v>143.42617361832905</v>
      </c>
      <c r="E30" s="31">
        <f>'Charges as $ per MWh'!J31*$G30/1000</f>
        <v>17644.744972800003</v>
      </c>
      <c r="F30" s="31">
        <f ca="1">'Charges as $ per MWh'!D31*$G30/1000</f>
        <v>125.45872845755034</v>
      </c>
      <c r="G30" s="30">
        <v>7159.68</v>
      </c>
      <c r="H30" s="129">
        <f>'Charges as $ per MWh'!M31*G30/1000</f>
        <v>0.51013135439585144</v>
      </c>
      <c r="I30" s="129">
        <f>'Charges as $ per MWh'!N31*G30/1000</f>
        <v>161.00090322267039</v>
      </c>
      <c r="J30" s="38"/>
      <c r="K30" s="27"/>
    </row>
    <row r="31" spans="1:15" x14ac:dyDescent="0.25">
      <c r="A31" s="13" t="str">
        <f>'Charges as $ per MWh'!B32</f>
        <v>Westpower</v>
      </c>
      <c r="B31" s="31">
        <f>'Charges as $ per MWh'!C32*$G31/1000</f>
        <v>34.792304936745047</v>
      </c>
      <c r="C31" s="31">
        <f ca="1">'Charges as $ per MWh'!D32*$G31/1000</f>
        <v>101.12824526367096</v>
      </c>
      <c r="D31" s="31">
        <f ca="1">'Charges as $ per MWh'!I32*$G31/1000</f>
        <v>123.21940720854415</v>
      </c>
      <c r="E31" s="31">
        <f>'Charges as $ per MWh'!J32*$G31/1000</f>
        <v>1743.3476574799997</v>
      </c>
      <c r="F31" s="31">
        <f ca="1">'Charges as $ per MWh'!D32*$G31/1000</f>
        <v>101.12824526367096</v>
      </c>
      <c r="G31" s="30">
        <v>6150.98</v>
      </c>
      <c r="H31" s="129">
        <f>'Charges as $ per MWh'!M32*G31/1000</f>
        <v>17.730732748583403</v>
      </c>
      <c r="I31" s="129">
        <f>'Charges as $ per MWh'!N32*G31/1000</f>
        <v>52.523037685328447</v>
      </c>
      <c r="J31" s="38"/>
      <c r="K31" s="27"/>
    </row>
    <row r="32" spans="1:15" x14ac:dyDescent="0.25">
      <c r="A32" s="19"/>
      <c r="F32" s="19"/>
      <c r="I32" s="19"/>
      <c r="J32" s="19"/>
      <c r="K32" s="19"/>
    </row>
    <row r="35" spans="1:1" x14ac:dyDescent="0.25">
      <c r="A35" s="26" t="s">
        <v>85</v>
      </c>
    </row>
  </sheetData>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129"/>
  <sheetViews>
    <sheetView topLeftCell="P28" zoomScale="85" zoomScaleNormal="85" workbookViewId="0">
      <pane ySplit="10515" topLeftCell="A62"/>
      <selection activeCell="Q34" sqref="Q34"/>
      <selection pane="bottomLeft" activeCell="F51" sqref="F51"/>
    </sheetView>
  </sheetViews>
  <sheetFormatPr defaultRowHeight="15" x14ac:dyDescent="0.25"/>
  <cols>
    <col min="1" max="1" width="20.28515625" style="19" bestFit="1" customWidth="1"/>
    <col min="2" max="2" width="21" style="19" customWidth="1"/>
    <col min="3" max="4" width="28.7109375" style="19" customWidth="1"/>
    <col min="5" max="5" width="22.85546875" style="19" customWidth="1"/>
    <col min="6" max="6" width="23.140625" style="19" customWidth="1"/>
    <col min="7" max="7" width="26.5703125" style="19" customWidth="1"/>
    <col min="8" max="8" width="30.7109375" style="19" customWidth="1"/>
    <col min="9" max="15" width="9.140625" style="19"/>
    <col min="16" max="16" width="20.85546875" style="19" customWidth="1"/>
    <col min="17" max="24" width="9.140625" style="19"/>
    <col min="25" max="25" width="10" style="19" customWidth="1"/>
    <col min="26" max="26" width="9.140625" style="19"/>
    <col min="27" max="28" width="14.7109375" style="19" customWidth="1"/>
    <col min="29" max="29" width="9.140625" style="37"/>
    <col min="30" max="30" width="9.140625" style="19"/>
    <col min="31" max="31" width="11.7109375" style="19" bestFit="1" customWidth="1"/>
    <col min="32" max="32" width="9.140625" style="19"/>
    <col min="33" max="33" width="10.7109375" style="19" customWidth="1"/>
    <col min="34" max="16384" width="9.140625" style="19"/>
  </cols>
  <sheetData>
    <row r="1" spans="1:29" x14ac:dyDescent="0.25">
      <c r="A1" s="113" t="s">
        <v>73</v>
      </c>
      <c r="B1" s="114"/>
      <c r="C1" s="13"/>
      <c r="D1" s="13"/>
      <c r="F1" s="13"/>
      <c r="G1" s="13"/>
      <c r="H1" s="69" t="s">
        <v>86</v>
      </c>
    </row>
    <row r="2" spans="1:29" s="70" customFormat="1" ht="45.75" customHeight="1" x14ac:dyDescent="0.25">
      <c r="A2" s="120"/>
      <c r="B2" s="121" t="s">
        <v>1637</v>
      </c>
      <c r="C2" s="188" t="s">
        <v>1636</v>
      </c>
      <c r="D2" s="285"/>
      <c r="E2" s="357" t="s">
        <v>1639</v>
      </c>
      <c r="F2" s="168" t="s">
        <v>631</v>
      </c>
      <c r="G2" s="57"/>
      <c r="H2" s="55"/>
      <c r="AC2" s="45"/>
    </row>
    <row r="3" spans="1:29" x14ac:dyDescent="0.25">
      <c r="A3" s="117" t="str">
        <f>'Charges as residential impact'!A3</f>
        <v>Alpine Energy</v>
      </c>
      <c r="B3" s="122">
        <f ca="1">('Charges as $ per MWh'!D4-'Charges as $ per MWh'!C4)/10</f>
        <v>-7.5001226256675407E-2</v>
      </c>
      <c r="C3" s="187">
        <f ca="1">('Charges as $ per MWh'!D4-'Charges as $ per MWh'!N4)/10</f>
        <v>-7.5001226256675407E-2</v>
      </c>
      <c r="D3" s="353"/>
      <c r="E3" s="354"/>
      <c r="F3" s="169">
        <f>-('Charges as $ per MWh'!M4)/10</f>
        <v>0</v>
      </c>
      <c r="G3" s="38"/>
      <c r="H3" s="38"/>
    </row>
    <row r="4" spans="1:29" x14ac:dyDescent="0.25">
      <c r="A4" s="117" t="str">
        <f>'Charges as residential impact'!A4</f>
        <v>Aurora Energy</v>
      </c>
      <c r="B4" s="122">
        <f ca="1">('Charges as $ per MWh'!D5-'Charges as $ per MWh'!C5)/10</f>
        <v>-0.16650327467851067</v>
      </c>
      <c r="C4" s="187">
        <f ca="1">('Charges as $ per MWh'!D5-'Charges as $ per MWh'!N5)/10</f>
        <v>-0.696710929160411</v>
      </c>
      <c r="D4" s="355"/>
      <c r="E4" s="356"/>
      <c r="F4" s="169">
        <f>-('Charges as $ per MWh'!M5)/10</f>
        <v>-0.53020765448190055</v>
      </c>
      <c r="G4" s="38"/>
      <c r="H4" s="38"/>
    </row>
    <row r="5" spans="1:29" x14ac:dyDescent="0.25">
      <c r="A5" s="117" t="str">
        <f>'Charges as residential impact'!A5</f>
        <v>Buller Electricity</v>
      </c>
      <c r="B5" s="122">
        <f ca="1">('Charges as $ per MWh'!D6-'Charges as $ per MWh'!C6)/10</f>
        <v>0.48305023391522506</v>
      </c>
      <c r="C5" s="187">
        <f ca="1">('Charges as $ per MWh'!D6-'Charges as $ per MWh'!N6)/10</f>
        <v>0.48305023391522506</v>
      </c>
      <c r="D5" s="169"/>
      <c r="F5" s="169">
        <f>-('Charges as $ per MWh'!M6)/10</f>
        <v>0</v>
      </c>
      <c r="G5" s="38"/>
      <c r="H5" s="38"/>
    </row>
    <row r="6" spans="1:29" x14ac:dyDescent="0.25">
      <c r="A6" s="117" t="str">
        <f>'Charges as residential impact'!A6</f>
        <v>Centralines</v>
      </c>
      <c r="B6" s="122">
        <f ca="1">('Charges as $ per MWh'!D7-'Charges as $ per MWh'!C7)/10</f>
        <v>-0.41104550564306203</v>
      </c>
      <c r="C6" s="187">
        <f ca="1">('Charges as $ per MWh'!D7-'Charges as $ per MWh'!N7)/10</f>
        <v>-0.41104550564306203</v>
      </c>
      <c r="D6" s="169"/>
      <c r="F6" s="169">
        <f>-('Charges as $ per MWh'!M7)/10</f>
        <v>0</v>
      </c>
      <c r="G6" s="38"/>
      <c r="H6" s="38"/>
    </row>
    <row r="7" spans="1:29" x14ac:dyDescent="0.25">
      <c r="A7" s="117" t="str">
        <f>'Charges as residential impact'!A7</f>
        <v>Counties Power</v>
      </c>
      <c r="B7" s="122">
        <f ca="1">('Charges as $ per MWh'!D8-'Charges as $ per MWh'!C8)/10</f>
        <v>0.40680942689352906</v>
      </c>
      <c r="C7" s="187">
        <f ca="1">('Charges as $ per MWh'!D8-'Charges as $ per MWh'!N8)/10</f>
        <v>0.40680942689352906</v>
      </c>
      <c r="D7" s="169"/>
      <c r="F7" s="169">
        <f>-('Charges as $ per MWh'!M8)/10</f>
        <v>0</v>
      </c>
      <c r="G7" s="38"/>
      <c r="H7" s="38"/>
    </row>
    <row r="8" spans="1:29" x14ac:dyDescent="0.25">
      <c r="A8" s="117" t="str">
        <f>'Charges as residential impact'!A8</f>
        <v>Eastland Network</v>
      </c>
      <c r="B8" s="122">
        <f ca="1">('Charges as $ per MWh'!D9-'Charges as $ per MWh'!C9)/10</f>
        <v>-0.38128997454367519</v>
      </c>
      <c r="C8" s="187">
        <f ca="1">('Charges as $ per MWh'!D9-'Charges as $ per MWh'!N9)/10</f>
        <v>-1.2561206205050113</v>
      </c>
      <c r="D8" s="169"/>
      <c r="F8" s="169">
        <f>-('Charges as $ per MWh'!M9)/10</f>
        <v>-0.8748306459613362</v>
      </c>
      <c r="G8" s="38"/>
      <c r="H8" s="38"/>
    </row>
    <row r="9" spans="1:29" x14ac:dyDescent="0.25">
      <c r="A9" s="117" t="str">
        <f>'Charges as residential impact'!A9</f>
        <v>Electra</v>
      </c>
      <c r="B9" s="122">
        <f ca="1">('Charges as $ per MWh'!D10-'Charges as $ per MWh'!C10)/10</f>
        <v>0.22178858384422034</v>
      </c>
      <c r="C9" s="187">
        <f ca="1">('Charges as $ per MWh'!D10-'Charges as $ per MWh'!N10)/10</f>
        <v>-9.7069857531365142E-2</v>
      </c>
      <c r="D9" s="169"/>
      <c r="F9" s="169">
        <f>-('Charges as $ per MWh'!M10)/10</f>
        <v>-0.31885844137558539</v>
      </c>
      <c r="G9" s="38"/>
      <c r="H9" s="38"/>
    </row>
    <row r="10" spans="1:29" x14ac:dyDescent="0.25">
      <c r="A10" s="117" t="str">
        <f>'Charges as residential impact'!A10</f>
        <v>Electricity Ashburton</v>
      </c>
      <c r="B10" s="122">
        <f ca="1">('Charges as $ per MWh'!D11-'Charges as $ per MWh'!C11)/10</f>
        <v>1.3410513883556452</v>
      </c>
      <c r="C10" s="187">
        <f ca="1">('Charges as $ per MWh'!D11-'Charges as $ per MWh'!N11)/10</f>
        <v>1.1668539442825918</v>
      </c>
      <c r="D10" s="169"/>
      <c r="F10" s="169">
        <f>-('Charges as $ per MWh'!M11)/10</f>
        <v>-0.17419744407305357</v>
      </c>
      <c r="G10" s="38"/>
      <c r="H10" s="38"/>
    </row>
    <row r="11" spans="1:29" x14ac:dyDescent="0.25">
      <c r="A11" s="117" t="str">
        <f>'Charges as residential impact'!A11</f>
        <v>Electricity Invercargill</v>
      </c>
      <c r="B11" s="122">
        <f ca="1">('Charges as $ per MWh'!D12-'Charges as $ per MWh'!C12)/10</f>
        <v>-0.75310554044394151</v>
      </c>
      <c r="C11" s="187">
        <f ca="1">('Charges as $ per MWh'!D12-'Charges as $ per MWh'!N12)/10</f>
        <v>-0.75310554044394151</v>
      </c>
      <c r="D11" s="169"/>
      <c r="F11" s="169">
        <f>-('Charges as $ per MWh'!M12)/10</f>
        <v>0</v>
      </c>
      <c r="G11" s="38"/>
      <c r="H11" s="38"/>
    </row>
    <row r="12" spans="1:29" x14ac:dyDescent="0.25">
      <c r="A12" s="117" t="str">
        <f>'Charges as residential impact'!A12</f>
        <v>Horizon</v>
      </c>
      <c r="B12" s="122">
        <f ca="1">('Charges as $ per MWh'!D13-'Charges as $ per MWh'!C13)/10</f>
        <v>0.72373683355169882</v>
      </c>
      <c r="C12" s="187">
        <f ca="1">('Charges as $ per MWh'!D13-'Charges as $ per MWh'!N13)/10</f>
        <v>4.2845743410204126E-2</v>
      </c>
      <c r="D12" s="169"/>
      <c r="F12" s="169">
        <f>-('Charges as $ per MWh'!M13)/10</f>
        <v>-0.68089109014149474</v>
      </c>
      <c r="G12" s="38"/>
      <c r="H12" s="38"/>
    </row>
    <row r="13" spans="1:29" x14ac:dyDescent="0.25">
      <c r="A13" s="117" t="str">
        <f>'Charges as residential impact'!A13</f>
        <v>Lakeland Network</v>
      </c>
      <c r="B13" s="122">
        <f ca="1">('Charges as $ per MWh'!D14-'Charges as $ per MWh'!C14)/10</f>
        <v>-0.3607760131306092</v>
      </c>
      <c r="C13" s="187">
        <f ca="1">('Charges as $ per MWh'!D14-'Charges as $ per MWh'!N14)/10</f>
        <v>-0.3607760131306092</v>
      </c>
      <c r="D13" s="169"/>
      <c r="F13" s="169">
        <f>-('Charges as $ per MWh'!M14)/10</f>
        <v>0</v>
      </c>
      <c r="G13" s="38"/>
      <c r="H13" s="38"/>
    </row>
    <row r="14" spans="1:29" x14ac:dyDescent="0.25">
      <c r="A14" s="117" t="str">
        <f>'Charges as residential impact'!A14</f>
        <v>Mainpower</v>
      </c>
      <c r="B14" s="122">
        <f ca="1">('Charges as $ per MWh'!D15-'Charges as $ per MWh'!C15)/10</f>
        <v>-0.21519919947713309</v>
      </c>
      <c r="C14" s="187">
        <f ca="1">('Charges as $ per MWh'!D15-'Charges as $ per MWh'!N15)/10</f>
        <v>-0.38218873692980948</v>
      </c>
      <c r="D14" s="169"/>
      <c r="F14" s="169">
        <f>-('Charges as $ per MWh'!M15)/10</f>
        <v>-0.16698953745267642</v>
      </c>
      <c r="G14" s="38"/>
      <c r="H14" s="38"/>
    </row>
    <row r="15" spans="1:29" x14ac:dyDescent="0.25">
      <c r="A15" s="117" t="str">
        <f>'Charges as residential impact'!A15</f>
        <v>Marlborough Lines</v>
      </c>
      <c r="B15" s="122">
        <f ca="1">('Charges as $ per MWh'!D16-'Charges as $ per MWh'!C16)/10</f>
        <v>-0.42543764164311232</v>
      </c>
      <c r="C15" s="187">
        <f ca="1">('Charges as $ per MWh'!D16-'Charges as $ per MWh'!N16)/10</f>
        <v>-0.46521736510566658</v>
      </c>
      <c r="D15" s="169"/>
      <c r="F15" s="169">
        <f>-('Charges as $ per MWh'!M16)/10</f>
        <v>-3.9779723462554442E-2</v>
      </c>
      <c r="G15" s="38"/>
      <c r="H15" s="38"/>
    </row>
    <row r="16" spans="1:29" x14ac:dyDescent="0.25">
      <c r="A16" s="117" t="str">
        <f>'Charges as residential impact'!A16</f>
        <v>Network Tasman</v>
      </c>
      <c r="B16" s="122">
        <f ca="1">('Charges as $ per MWh'!D17-'Charges as $ per MWh'!C17)/10</f>
        <v>-5.7976139135475259E-2</v>
      </c>
      <c r="C16" s="187">
        <f ca="1">('Charges as $ per MWh'!D17-'Charges as $ per MWh'!N17)/10</f>
        <v>-6.7977466708957296E-2</v>
      </c>
      <c r="D16" s="283"/>
      <c r="F16" s="169">
        <f>-('Charges as $ per MWh'!M17)/10</f>
        <v>-1.0001327573482014E-2</v>
      </c>
      <c r="G16" s="38"/>
      <c r="H16" s="38"/>
    </row>
    <row r="17" spans="1:36" x14ac:dyDescent="0.25">
      <c r="A17" s="117" t="str">
        <f>'Charges as residential impact'!A17</f>
        <v>Network Waitaki</v>
      </c>
      <c r="B17" s="122">
        <f ca="1">('Charges as $ per MWh'!D18-'Charges as $ per MWh'!C18)/10</f>
        <v>0.28090790340280269</v>
      </c>
      <c r="C17" s="187">
        <f ca="1">('Charges as $ per MWh'!D18-'Charges as $ per MWh'!N18)/10</f>
        <v>0.28090790340280269</v>
      </c>
      <c r="D17" s="169"/>
      <c r="F17" s="169">
        <f>-('Charges as $ per MWh'!M18)/10</f>
        <v>0</v>
      </c>
      <c r="G17" s="38"/>
      <c r="H17" s="38"/>
    </row>
    <row r="18" spans="1:36" x14ac:dyDescent="0.25">
      <c r="A18" s="117" t="str">
        <f>'Charges as residential impact'!A18</f>
        <v>Northpower</v>
      </c>
      <c r="B18" s="122">
        <f ca="1">('Charges as $ per MWh'!D19-'Charges as $ per MWh'!C19)/10</f>
        <v>0.99262842515093008</v>
      </c>
      <c r="C18" s="187">
        <f ca="1">('Charges as $ per MWh'!D19-'Charges as $ per MWh'!N19)/10</f>
        <v>0.55798064470789266</v>
      </c>
      <c r="D18" s="169"/>
      <c r="F18" s="169">
        <f>-('Charges as $ per MWh'!M19)/10</f>
        <v>-0.43464778044303759</v>
      </c>
      <c r="G18" s="38"/>
      <c r="H18" s="38"/>
    </row>
    <row r="19" spans="1:36" x14ac:dyDescent="0.25">
      <c r="A19" s="117" t="str">
        <f>'Charges as residential impact'!A19</f>
        <v>Orion</v>
      </c>
      <c r="B19" s="122">
        <f ca="1">('Charges as $ per MWh'!D20-'Charges as $ per MWh'!C20)/10</f>
        <v>-0.50362726858123419</v>
      </c>
      <c r="C19" s="187">
        <f ca="1">('Charges as $ per MWh'!D20-'Charges as $ per MWh'!N20)/10</f>
        <v>-0.54143969994720254</v>
      </c>
      <c r="D19" s="169"/>
      <c r="F19" s="169">
        <f>-('Charges as $ per MWh'!M20)/10</f>
        <v>-3.7812431365968381E-2</v>
      </c>
      <c r="G19" s="38"/>
      <c r="H19" s="38"/>
    </row>
    <row r="20" spans="1:36" x14ac:dyDescent="0.25">
      <c r="A20" s="117" t="str">
        <f>'Charges as residential impact'!A20</f>
        <v>OtagoNet JV</v>
      </c>
      <c r="B20" s="122">
        <f ca="1">('Charges as $ per MWh'!D21-'Charges as $ per MWh'!C21)/10</f>
        <v>0.17569484153957352</v>
      </c>
      <c r="C20" s="187">
        <f ca="1">('Charges as $ per MWh'!D21-'Charges as $ per MWh'!N21)/10</f>
        <v>-6.3889156501329758E-2</v>
      </c>
      <c r="D20" s="169"/>
      <c r="F20" s="169">
        <f>-('Charges as $ per MWh'!M21)/10</f>
        <v>-0.23958399804090322</v>
      </c>
      <c r="G20" s="38"/>
      <c r="H20" s="38"/>
    </row>
    <row r="21" spans="1:36" x14ac:dyDescent="0.25">
      <c r="A21" s="117" t="str">
        <f>'Charges as residential impact'!A21</f>
        <v>Powerco</v>
      </c>
      <c r="B21" s="122">
        <f ca="1">('Charges as $ per MWh'!D22-'Charges as $ per MWh'!C22)/10</f>
        <v>-3.8354759951525354E-2</v>
      </c>
      <c r="C21" s="187">
        <f ca="1">('Charges as $ per MWh'!D22-'Charges as $ per MWh'!N22)/10</f>
        <v>-0.24836848489641133</v>
      </c>
      <c r="D21" s="169"/>
      <c r="F21" s="169">
        <f>-('Charges as $ per MWh'!M22)/10</f>
        <v>-0.21001372494488599</v>
      </c>
      <c r="G21" s="38"/>
      <c r="H21" s="38"/>
    </row>
    <row r="22" spans="1:36" x14ac:dyDescent="0.25">
      <c r="A22" s="117" t="str">
        <f>'Charges as residential impact'!A22</f>
        <v>Scanpower</v>
      </c>
      <c r="B22" s="122">
        <f ca="1">('Charges as $ per MWh'!D23-'Charges as $ per MWh'!C23)/10</f>
        <v>-0.39207902637692482</v>
      </c>
      <c r="C22" s="187">
        <f ca="1">('Charges as $ per MWh'!D23-'Charges as $ per MWh'!N23)/10</f>
        <v>-0.39207902637692482</v>
      </c>
      <c r="D22" s="169"/>
      <c r="F22" s="169">
        <f>-('Charges as $ per MWh'!M23)/10</f>
        <v>0</v>
      </c>
      <c r="G22" s="38"/>
      <c r="H22" s="38"/>
    </row>
    <row r="23" spans="1:36" x14ac:dyDescent="0.25">
      <c r="A23" s="117" t="str">
        <f>'Charges as residential impact'!A23</f>
        <v>The Lines Company</v>
      </c>
      <c r="B23" s="122">
        <f ca="1">('Charges as $ per MWh'!D24-'Charges as $ per MWh'!C24)/10</f>
        <v>0.515279711809149</v>
      </c>
      <c r="C23" s="187">
        <f ca="1">('Charges as $ per MWh'!D24-'Charges as $ per MWh'!N24)/10</f>
        <v>5.1579408287751607E-2</v>
      </c>
      <c r="D23" s="169"/>
      <c r="F23" s="169">
        <f>-('Charges as $ per MWh'!M24)/10</f>
        <v>-0.46370030352139746</v>
      </c>
      <c r="G23" s="38"/>
      <c r="H23" s="38"/>
    </row>
    <row r="24" spans="1:36" x14ac:dyDescent="0.25">
      <c r="A24" s="117" t="str">
        <f>'Charges as residential impact'!A24</f>
        <v>The Power Company</v>
      </c>
      <c r="B24" s="122">
        <f ca="1">('Charges as $ per MWh'!D25-'Charges as $ per MWh'!C25)/10</f>
        <v>4.6429895642434896E-2</v>
      </c>
      <c r="C24" s="187">
        <f ca="1">('Charges as $ per MWh'!D25-'Charges as $ per MWh'!N25)/10</f>
        <v>-0.23051835631424514</v>
      </c>
      <c r="D24" s="169"/>
      <c r="F24" s="169">
        <f>-('Charges as $ per MWh'!M25)/10</f>
        <v>-0.27694825195667999</v>
      </c>
      <c r="G24" s="38"/>
      <c r="H24" s="38"/>
    </row>
    <row r="25" spans="1:36" x14ac:dyDescent="0.25">
      <c r="A25" s="117" t="str">
        <f>'Charges as residential impact'!A25</f>
        <v>Top Energy</v>
      </c>
      <c r="B25" s="122">
        <f ca="1">('Charges as $ per MWh'!D26-'Charges as $ per MWh'!C26)/10</f>
        <v>1.4352272470442442</v>
      </c>
      <c r="C25" s="187">
        <f ca="1">('Charges as $ per MWh'!D26-'Charges as $ per MWh'!N26)/10</f>
        <v>0.33380579766782892</v>
      </c>
      <c r="D25" s="169"/>
      <c r="F25" s="169">
        <f>-('Charges as $ per MWh'!M26)/10</f>
        <v>-1.101421449376415</v>
      </c>
      <c r="G25" s="38"/>
      <c r="H25" s="38"/>
    </row>
    <row r="26" spans="1:36" x14ac:dyDescent="0.25">
      <c r="A26" s="117" t="str">
        <f>'Charges as residential impact'!A26</f>
        <v>Unison</v>
      </c>
      <c r="B26" s="122">
        <f ca="1">('Charges as $ per MWh'!D27-'Charges as $ per MWh'!C27)/10</f>
        <v>-0.35199934970215241</v>
      </c>
      <c r="C26" s="187">
        <f ca="1">('Charges as $ per MWh'!D27-'Charges as $ per MWh'!N27)/10</f>
        <v>-0.71988685259298502</v>
      </c>
      <c r="D26" s="169"/>
      <c r="F26" s="169">
        <f>-('Charges as $ per MWh'!M27)/10</f>
        <v>-0.36788750289083266</v>
      </c>
      <c r="G26" s="38"/>
      <c r="H26" s="38"/>
    </row>
    <row r="27" spans="1:36" x14ac:dyDescent="0.25">
      <c r="A27" s="117" t="str">
        <f>'Charges as residential impact'!A27</f>
        <v>Vector</v>
      </c>
      <c r="B27" s="122">
        <f ca="1">('Charges as $ per MWh'!D28-'Charges as $ per MWh'!C28)/10</f>
        <v>0.9277966213093588</v>
      </c>
      <c r="C27" s="187">
        <f ca="1">('Charges as $ per MWh'!D28-'Charges as $ per MWh'!N28)/10</f>
        <v>0.81519365844129865</v>
      </c>
      <c r="D27" s="169"/>
      <c r="F27" s="169">
        <f>-('Charges as $ per MWh'!M28)/10</f>
        <v>-0.11260296286806029</v>
      </c>
      <c r="G27" s="38"/>
      <c r="H27" s="38"/>
      <c r="AI27" s="19">
        <f>28.4/1.15</f>
        <v>24.695652173913043</v>
      </c>
    </row>
    <row r="28" spans="1:36" x14ac:dyDescent="0.25">
      <c r="A28" s="117" t="str">
        <f>'Charges as residential impact'!A28</f>
        <v>Waipa Power</v>
      </c>
      <c r="B28" s="122">
        <f ca="1">('Charges as $ per MWh'!D29-'Charges as $ per MWh'!C29)/10</f>
        <v>-0.12475117883350588</v>
      </c>
      <c r="C28" s="187">
        <f ca="1">('Charges as $ per MWh'!D29-'Charges as $ per MWh'!N29)/10</f>
        <v>-0.12475117883350588</v>
      </c>
      <c r="D28" s="169"/>
      <c r="F28" s="169">
        <f>-('Charges as $ per MWh'!M29)/10</f>
        <v>0</v>
      </c>
      <c r="G28" s="38"/>
      <c r="H28" s="38"/>
    </row>
    <row r="29" spans="1:36" x14ac:dyDescent="0.25">
      <c r="A29" s="117" t="str">
        <f>'Charges as residential impact'!A29</f>
        <v>WEL</v>
      </c>
      <c r="B29" s="122">
        <f ca="1">('Charges as $ per MWh'!D30-'Charges as $ per MWh'!C30)/10</f>
        <v>0.19409330453592161</v>
      </c>
      <c r="C29" s="187">
        <f ca="1">('Charges as $ per MWh'!D30-'Charges as $ per MWh'!N30)/10</f>
        <v>-0.1050135064205481</v>
      </c>
      <c r="D29" s="169"/>
      <c r="F29" s="169">
        <f>-('Charges as $ per MWh'!M30)/10</f>
        <v>-0.29910681095646963</v>
      </c>
      <c r="G29" s="38"/>
      <c r="H29" s="38"/>
      <c r="P29" s="19" t="s">
        <v>625</v>
      </c>
      <c r="AJ29" s="19">
        <f>2/(28.4/1.15)</f>
        <v>8.098591549295775E-2</v>
      </c>
    </row>
    <row r="30" spans="1:36" x14ac:dyDescent="0.25">
      <c r="A30" s="117" t="str">
        <f>'Charges as residential impact'!A30</f>
        <v>Wellington Electricity</v>
      </c>
      <c r="B30" s="122">
        <f ca="1">('Charges as $ per MWh'!D31-'Charges as $ per MWh'!C31)/10</f>
        <v>-0.48929621729915596</v>
      </c>
      <c r="C30" s="187">
        <f ca="1">('Charges as $ per MWh'!D31-'Charges as $ per MWh'!N31)/10</f>
        <v>-0.49642127532403785</v>
      </c>
      <c r="D30" s="169"/>
      <c r="F30" s="169">
        <f>-('Charges as $ per MWh'!M31)/10</f>
        <v>-7.1250580248817183E-3</v>
      </c>
      <c r="G30" s="38"/>
      <c r="H30" s="38"/>
      <c r="P30" s="178" t="s">
        <v>626</v>
      </c>
      <c r="AJ30" s="460">
        <f ca="1">('Charges as $ per MWh'!Y6/10)/Deltas!AJ33</f>
        <v>8.0781066066742305E-2</v>
      </c>
    </row>
    <row r="31" spans="1:36" x14ac:dyDescent="0.25">
      <c r="A31" s="117" t="str">
        <f>'Charges as residential impact'!A31</f>
        <v>Westpower</v>
      </c>
      <c r="B31" s="122">
        <f ca="1">('Charges as $ per MWh'!D32-'Charges as $ per MWh'!C32)/10</f>
        <v>1.0784613236740475</v>
      </c>
      <c r="C31" s="187">
        <f ca="1">('Charges as $ per MWh'!D32-'Charges as $ per MWh'!N32)/10</f>
        <v>0.79020266003697814</v>
      </c>
      <c r="D31" s="169"/>
      <c r="F31" s="169">
        <f>-('Charges as $ per MWh'!M32)/10</f>
        <v>-0.28825866363706931</v>
      </c>
      <c r="G31" s="38"/>
      <c r="H31" s="38"/>
      <c r="AE31" s="19">
        <v>2015</v>
      </c>
      <c r="AF31" s="5"/>
      <c r="AG31" s="242" t="s">
        <v>892</v>
      </c>
    </row>
    <row r="32" spans="1:36" x14ac:dyDescent="0.25">
      <c r="C32" s="170"/>
      <c r="D32" s="170"/>
      <c r="E32" s="170"/>
      <c r="H32" s="27"/>
      <c r="W32" s="544" t="s">
        <v>895</v>
      </c>
      <c r="X32" s="544"/>
      <c r="Y32" s="214" t="s">
        <v>632</v>
      </c>
      <c r="Z32" s="214" t="s">
        <v>892</v>
      </c>
      <c r="AA32" s="214" t="s">
        <v>632</v>
      </c>
      <c r="AE32" s="241" t="s">
        <v>898</v>
      </c>
      <c r="AF32" s="242"/>
      <c r="AG32" s="242"/>
      <c r="AH32" s="19" t="s">
        <v>901</v>
      </c>
    </row>
    <row r="33" spans="1:38" ht="39" customHeight="1" x14ac:dyDescent="0.25">
      <c r="A33" s="113" t="s">
        <v>630</v>
      </c>
      <c r="B33" s="114"/>
      <c r="C33" s="170"/>
      <c r="D33" s="170"/>
      <c r="E33" s="170"/>
      <c r="F33" s="13"/>
      <c r="G33" s="13"/>
      <c r="H33" s="56"/>
      <c r="Q33" s="223" t="s">
        <v>890</v>
      </c>
      <c r="R33" s="223" t="s">
        <v>891</v>
      </c>
      <c r="S33" s="223" t="s">
        <v>894</v>
      </c>
      <c r="W33" s="245" t="s">
        <v>893</v>
      </c>
      <c r="X33" s="245" t="s">
        <v>896</v>
      </c>
      <c r="Y33" s="85" t="s">
        <v>637</v>
      </c>
      <c r="Z33" s="85" t="s">
        <v>900</v>
      </c>
      <c r="AB33" s="236" t="s">
        <v>897</v>
      </c>
      <c r="AC33" s="231"/>
      <c r="AD33" s="27"/>
      <c r="AE33" s="242" t="s">
        <v>899</v>
      </c>
      <c r="AF33" s="242" t="s">
        <v>541</v>
      </c>
      <c r="AG33" s="236" t="s">
        <v>903</v>
      </c>
      <c r="AH33" s="236" t="s">
        <v>902</v>
      </c>
      <c r="AJ33" s="459">
        <f>SUM(AJ34:AJ62)/SUM(AF34:AF62)</f>
        <v>24.79848902237503</v>
      </c>
      <c r="AL33" s="19" t="s">
        <v>1674</v>
      </c>
    </row>
    <row r="34" spans="1:38" ht="27.75" customHeight="1" x14ac:dyDescent="0.25">
      <c r="B34" s="258" t="str">
        <f>B2</f>
        <v>Proposal assuming continuation of ACOT</v>
      </c>
      <c r="C34" s="188" t="str">
        <f>C2</f>
        <v>Proposal assuming ACOT discontinued</v>
      </c>
      <c r="D34" s="168"/>
      <c r="F34" s="168" t="s">
        <v>636</v>
      </c>
      <c r="P34" s="175" t="s">
        <v>0</v>
      </c>
      <c r="Q34" s="176">
        <v>25.795716484438817</v>
      </c>
      <c r="R34" s="222">
        <v>9.4724062499999988</v>
      </c>
      <c r="S34" s="225">
        <v>16.323310234438818</v>
      </c>
      <c r="T34" s="222"/>
      <c r="U34" s="19" t="s">
        <v>0</v>
      </c>
      <c r="W34" s="246">
        <f>Q34/1.15</f>
        <v>22.431057812555494</v>
      </c>
      <c r="X34" s="246">
        <f>R34/1.15</f>
        <v>8.2368749999999995</v>
      </c>
      <c r="Y34" s="19">
        <f ca="1">'Charges as $ per MWh'!D4</f>
        <v>12.503869675834416</v>
      </c>
      <c r="Z34" s="19">
        <f ca="1">Y34*100/1000</f>
        <v>1.2503869675834416</v>
      </c>
      <c r="AA34" s="195">
        <f>'Charges as $ per MWh'!C4</f>
        <v>13.25388193840117</v>
      </c>
      <c r="AB34" s="195">
        <f>X34-AA34/10</f>
        <v>6.911486806159882</v>
      </c>
      <c r="AC34" s="461" t="s">
        <v>1672</v>
      </c>
      <c r="AD34" s="229"/>
      <c r="AE34" s="243">
        <v>51134</v>
      </c>
      <c r="AF34" s="243">
        <v>806</v>
      </c>
      <c r="AG34" s="244">
        <f>AE34*1000*100/(AF34*1000*1000)</f>
        <v>6.3441687344913156</v>
      </c>
      <c r="AH34" s="237">
        <f>AG34-'Charges as $ per MWh'!C4/10</f>
        <v>5.0187805406511981</v>
      </c>
      <c r="AJ34" s="19">
        <f>AF34*W34</f>
        <v>18079.432596919727</v>
      </c>
      <c r="AL34" s="19">
        <f>W34*AF34</f>
        <v>18079.432596919727</v>
      </c>
    </row>
    <row r="35" spans="1:38" ht="15.75" x14ac:dyDescent="0.25">
      <c r="A35" s="117" t="str">
        <f>A3</f>
        <v>Alpine Energy</v>
      </c>
      <c r="B35" s="123">
        <f t="shared" ref="B35:B63" ca="1" si="0">B3/F35</f>
        <v>-3.3436330503635206E-3</v>
      </c>
      <c r="C35" s="189">
        <f t="shared" ref="C35:C63" ca="1" si="1">C3/F35</f>
        <v>-3.3436330503635206E-3</v>
      </c>
      <c r="D35" s="171"/>
      <c r="F35" s="172">
        <f t="shared" ref="F35:F63" si="2">W34</f>
        <v>22.431057812555494</v>
      </c>
      <c r="P35" s="175" t="s">
        <v>623</v>
      </c>
      <c r="Q35" s="176">
        <v>31.096154215491321</v>
      </c>
      <c r="R35" s="222">
        <v>14.74567375</v>
      </c>
      <c r="S35" s="225">
        <v>16.350480465491323</v>
      </c>
      <c r="T35" s="222"/>
      <c r="U35" s="19" t="s">
        <v>1</v>
      </c>
      <c r="W35" s="246">
        <f>AVERAGE(Q35:Q37)/1.15</f>
        <v>24.072314416102458</v>
      </c>
      <c r="X35" s="246">
        <f>AVERAGE(R35:R37)/1.15</f>
        <v>9.8005916666666675</v>
      </c>
      <c r="Y35" s="19">
        <f ca="1">'Charges as $ per MWh'!D5</f>
        <v>14.297802800940545</v>
      </c>
      <c r="Z35" s="19">
        <f t="shared" ref="Z35:Z62" ca="1" si="3">Y35*100/1000</f>
        <v>1.4297802800940544</v>
      </c>
      <c r="AA35" s="195">
        <f>'Charges as $ per MWh'!C5</f>
        <v>15.962835547725652</v>
      </c>
      <c r="AB35" s="195">
        <f t="shared" ref="AB35:AB62" si="4">X35-AA35/10</f>
        <v>8.2043081118941021</v>
      </c>
      <c r="AC35" s="231" t="s">
        <v>1672</v>
      </c>
      <c r="AD35" s="230"/>
      <c r="AE35" s="243">
        <v>89333</v>
      </c>
      <c r="AF35" s="243">
        <v>1347</v>
      </c>
      <c r="AG35" s="244">
        <f t="shared" ref="AG35:AG62" si="5">AE35*1000*100/(AF35*1000*1000)</f>
        <v>6.6319970304380105</v>
      </c>
      <c r="AH35" s="237">
        <f>AG35-'Charges as $ per MWh'!C5/10</f>
        <v>5.0357134756654451</v>
      </c>
      <c r="AJ35" s="19">
        <f t="shared" ref="AJ35:AJ62" si="6">AF35*W35</f>
        <v>32425.40751849001</v>
      </c>
      <c r="AL35" s="19">
        <f t="shared" ref="AL35:AL62" si="7">W35*AF35</f>
        <v>32425.40751849001</v>
      </c>
    </row>
    <row r="36" spans="1:38" ht="15.75" x14ac:dyDescent="0.25">
      <c r="A36" s="117" t="str">
        <f>A4</f>
        <v>Aurora Energy</v>
      </c>
      <c r="B36" s="123">
        <f t="shared" ca="1" si="0"/>
        <v>-6.9167954439450681E-3</v>
      </c>
      <c r="C36" s="189">
        <f t="shared" ca="1" si="1"/>
        <v>-2.8942415636377988E-2</v>
      </c>
      <c r="D36" s="171"/>
      <c r="F36" s="172">
        <f t="shared" si="2"/>
        <v>24.072314416102458</v>
      </c>
      <c r="P36" s="175" t="s">
        <v>621</v>
      </c>
      <c r="Q36" s="176">
        <v>24.401409105472705</v>
      </c>
      <c r="R36" s="222">
        <v>8.1122437499999993</v>
      </c>
      <c r="S36" s="225">
        <v>16.289165355472704</v>
      </c>
      <c r="T36" s="222"/>
      <c r="U36" s="19" t="s">
        <v>2</v>
      </c>
      <c r="W36" s="246">
        <f t="shared" ref="W36:X38" si="8">Q38/1.15</f>
        <v>31.31951806864706</v>
      </c>
      <c r="X36" s="246">
        <f t="shared" si="8"/>
        <v>14.388843749999998</v>
      </c>
      <c r="Y36" s="19">
        <f ca="1">'Charges as $ per MWh'!D6</f>
        <v>16.752481616071901</v>
      </c>
      <c r="Z36" s="19">
        <f t="shared" ca="1" si="3"/>
        <v>1.6752481616071899</v>
      </c>
      <c r="AA36" s="195">
        <f>'Charges as $ per MWh'!C6</f>
        <v>11.92197927691965</v>
      </c>
      <c r="AB36" s="195">
        <f t="shared" si="4"/>
        <v>13.196645822308033</v>
      </c>
      <c r="AC36" s="231" t="s">
        <v>1672</v>
      </c>
      <c r="AD36" s="27"/>
      <c r="AE36" s="243">
        <v>7605</v>
      </c>
      <c r="AF36" s="243">
        <v>58</v>
      </c>
      <c r="AG36" s="244">
        <f t="shared" si="5"/>
        <v>13.112068965517242</v>
      </c>
      <c r="AH36" s="237">
        <f>AG36-'Charges as $ per MWh'!C6/10</f>
        <v>11.919871037825278</v>
      </c>
      <c r="AJ36" s="19">
        <f t="shared" si="6"/>
        <v>1816.5320479815296</v>
      </c>
      <c r="AL36" s="19">
        <f t="shared" si="7"/>
        <v>1816.5320479815296</v>
      </c>
    </row>
    <row r="37" spans="1:38" ht="15.75" x14ac:dyDescent="0.25">
      <c r="A37" s="117" t="str">
        <f>A5</f>
        <v>Buller Electricity</v>
      </c>
      <c r="B37" s="123">
        <f t="shared" ca="1" si="0"/>
        <v>1.5423297154715505E-2</v>
      </c>
      <c r="C37" s="189">
        <f t="shared" ca="1" si="1"/>
        <v>1.5423297154715505E-2</v>
      </c>
      <c r="D37" s="171"/>
      <c r="F37" s="172">
        <f t="shared" si="2"/>
        <v>31.31951806864706</v>
      </c>
      <c r="P37" s="175" t="s">
        <v>622</v>
      </c>
      <c r="Q37" s="176">
        <v>27.551921414589444</v>
      </c>
      <c r="R37" s="222">
        <v>10.954123749999999</v>
      </c>
      <c r="S37" s="225">
        <v>16.597797664589443</v>
      </c>
      <c r="T37" s="222"/>
      <c r="U37" s="19" t="s">
        <v>100</v>
      </c>
      <c r="W37" s="246">
        <f t="shared" si="8"/>
        <v>28.427920215764779</v>
      </c>
      <c r="X37" s="246">
        <f t="shared" si="8"/>
        <v>15.20484375</v>
      </c>
      <c r="Y37" s="19">
        <f ca="1">'Charges as $ per MWh'!D7</f>
        <v>13.985627090062998</v>
      </c>
      <c r="Z37" s="19">
        <f t="shared" ca="1" si="3"/>
        <v>1.3985627090063</v>
      </c>
      <c r="AA37" s="195">
        <f>'Charges as $ per MWh'!C7</f>
        <v>18.096082146493618</v>
      </c>
      <c r="AB37" s="195">
        <f t="shared" si="4"/>
        <v>13.395235535350638</v>
      </c>
      <c r="AC37" s="231" t="s">
        <v>1673</v>
      </c>
      <c r="AD37" s="232"/>
      <c r="AE37" s="243">
        <v>12182</v>
      </c>
      <c r="AF37" s="243">
        <v>115</v>
      </c>
      <c r="AG37" s="244">
        <f t="shared" si="5"/>
        <v>10.593043478260869</v>
      </c>
      <c r="AH37" s="237">
        <f>AG37-'Charges as $ per MWh'!C7/10</f>
        <v>8.7834352636115067</v>
      </c>
      <c r="AJ37" s="19">
        <f t="shared" si="6"/>
        <v>3269.2108248129493</v>
      </c>
      <c r="AL37" s="19">
        <f t="shared" si="7"/>
        <v>3269.2108248129493</v>
      </c>
    </row>
    <row r="38" spans="1:38" ht="15.75" x14ac:dyDescent="0.25">
      <c r="A38" s="117" t="s">
        <v>100</v>
      </c>
      <c r="B38" s="123">
        <f t="shared" ca="1" si="0"/>
        <v>-1.4459218350244125E-2</v>
      </c>
      <c r="C38" s="189">
        <f t="shared" ca="1" si="1"/>
        <v>-1.4459218350244125E-2</v>
      </c>
      <c r="D38" s="171"/>
      <c r="F38" s="172">
        <f t="shared" si="2"/>
        <v>28.427920215764779</v>
      </c>
      <c r="P38" s="175" t="s">
        <v>2</v>
      </c>
      <c r="Q38" s="176">
        <v>36.017445778944115</v>
      </c>
      <c r="R38" s="222">
        <v>16.547170312499997</v>
      </c>
      <c r="S38" s="225">
        <v>19.470275466444118</v>
      </c>
      <c r="T38" s="222"/>
      <c r="U38" s="19" t="s">
        <v>5</v>
      </c>
      <c r="W38" s="246">
        <f t="shared" si="8"/>
        <v>24.855811121430857</v>
      </c>
      <c r="X38" s="246">
        <f t="shared" si="8"/>
        <v>10.476843750000002</v>
      </c>
      <c r="Y38" s="19">
        <f ca="1">'Charges as $ per MWh'!D8</f>
        <v>22.035015877098701</v>
      </c>
      <c r="Z38" s="19">
        <f t="shared" ca="1" si="3"/>
        <v>2.2035015877098698</v>
      </c>
      <c r="AA38" s="195">
        <f>'Charges as $ per MWh'!C8</f>
        <v>17.96692160816341</v>
      </c>
      <c r="AB38" s="195">
        <f t="shared" si="4"/>
        <v>8.6801515891836605</v>
      </c>
      <c r="AC38" s="231" t="s">
        <v>1673</v>
      </c>
      <c r="AD38" s="233"/>
      <c r="AE38" s="243">
        <v>46359</v>
      </c>
      <c r="AF38" s="243">
        <v>567</v>
      </c>
      <c r="AG38" s="244">
        <f t="shared" si="5"/>
        <v>8.1761904761904756</v>
      </c>
      <c r="AH38" s="237">
        <f>AG38-'Charges as $ per MWh'!C8/10</f>
        <v>6.3794983153741347</v>
      </c>
      <c r="AJ38" s="19">
        <f t="shared" si="6"/>
        <v>14093.244905851296</v>
      </c>
      <c r="AL38" s="19">
        <f t="shared" si="7"/>
        <v>14093.244905851296</v>
      </c>
    </row>
    <row r="39" spans="1:38" ht="15.75" x14ac:dyDescent="0.25">
      <c r="A39" s="117" t="str">
        <f t="shared" ref="A39:A44" si="9">A7</f>
        <v>Counties Power</v>
      </c>
      <c r="B39" s="123">
        <f t="shared" ca="1" si="0"/>
        <v>1.6366773343508997E-2</v>
      </c>
      <c r="C39" s="189">
        <f t="shared" ca="1" si="1"/>
        <v>1.6366773343508997E-2</v>
      </c>
      <c r="D39" s="171"/>
      <c r="F39" s="172">
        <f t="shared" si="2"/>
        <v>24.855811121430857</v>
      </c>
      <c r="P39" s="175" t="s">
        <v>100</v>
      </c>
      <c r="Q39" s="176">
        <v>32.692108248129493</v>
      </c>
      <c r="R39" s="222">
        <v>17.485570312499998</v>
      </c>
      <c r="S39" s="225">
        <v>15.206537935629495</v>
      </c>
      <c r="T39" s="222"/>
      <c r="U39" s="19" t="s">
        <v>7</v>
      </c>
      <c r="W39" s="246">
        <f>Q42/1.15</f>
        <v>28.02814048183313</v>
      </c>
      <c r="X39" s="246">
        <f>R42/1.15</f>
        <v>12.63093070652174</v>
      </c>
      <c r="Y39" s="19">
        <f ca="1">'Charges as $ per MWh'!D9</f>
        <v>13.760954731542071</v>
      </c>
      <c r="Z39" s="19">
        <f t="shared" ca="1" si="3"/>
        <v>1.3760954731542072</v>
      </c>
      <c r="AA39" s="195">
        <f>'Charges as $ per MWh'!C9</f>
        <v>17.573854476978823</v>
      </c>
      <c r="AB39" s="195">
        <f t="shared" si="4"/>
        <v>10.873545258823858</v>
      </c>
      <c r="AC39" s="231" t="s">
        <v>1673</v>
      </c>
      <c r="AD39" s="233"/>
      <c r="AE39" s="243">
        <v>40514</v>
      </c>
      <c r="AF39" s="243">
        <v>666</v>
      </c>
      <c r="AG39" s="244">
        <f t="shared" si="5"/>
        <v>6.0831831831831833</v>
      </c>
      <c r="AH39" s="237">
        <f>AG39-'Charges as $ per MWh'!C9/10</f>
        <v>4.3257977354853008</v>
      </c>
      <c r="AJ39" s="19">
        <f t="shared" si="6"/>
        <v>18666.741560900864</v>
      </c>
      <c r="AL39" s="19">
        <f t="shared" si="7"/>
        <v>18666.741560900864</v>
      </c>
    </row>
    <row r="40" spans="1:38" ht="15.75" x14ac:dyDescent="0.25">
      <c r="A40" s="117" t="str">
        <f t="shared" si="9"/>
        <v>Eastland Network</v>
      </c>
      <c r="B40" s="123">
        <f t="shared" ca="1" si="0"/>
        <v>-1.3603827010600797E-2</v>
      </c>
      <c r="C40" s="189">
        <f t="shared" ca="1" si="1"/>
        <v>-4.4816409469589508E-2</v>
      </c>
      <c r="D40" s="171"/>
      <c r="F40" s="172">
        <f t="shared" si="2"/>
        <v>28.02814048183313</v>
      </c>
      <c r="P40" s="175" t="s">
        <v>5</v>
      </c>
      <c r="Q40" s="176">
        <v>28.584182789645485</v>
      </c>
      <c r="R40" s="222">
        <v>12.048370312500001</v>
      </c>
      <c r="S40" s="225">
        <v>16.535812477145484</v>
      </c>
      <c r="T40" s="222"/>
      <c r="U40" s="19" t="s">
        <v>8</v>
      </c>
      <c r="W40" s="246">
        <f>Q43/1.15</f>
        <v>23.165063411213197</v>
      </c>
      <c r="X40" s="246">
        <f>R43/1.15</f>
        <v>9.4268437499999997</v>
      </c>
      <c r="Y40" s="19">
        <f ca="1">'Charges as $ per MWh'!D10</f>
        <v>16.894646429145624</v>
      </c>
      <c r="Z40" s="19">
        <f t="shared" ca="1" si="3"/>
        <v>1.6894646429145623</v>
      </c>
      <c r="AA40" s="195">
        <f>'Charges as $ per MWh'!C10</f>
        <v>14.67676059070342</v>
      </c>
      <c r="AB40" s="195">
        <f t="shared" si="4"/>
        <v>7.9591676909296574</v>
      </c>
      <c r="AC40" s="231" t="s">
        <v>1673</v>
      </c>
      <c r="AD40" s="232"/>
      <c r="AE40" s="243">
        <v>33347</v>
      </c>
      <c r="AF40" s="243">
        <v>300</v>
      </c>
      <c r="AG40" s="244">
        <f t="shared" si="5"/>
        <v>11.115666666666666</v>
      </c>
      <c r="AH40" s="237">
        <f>AG40-'Charges as $ per MWh'!C10/10</f>
        <v>9.6479906075963235</v>
      </c>
      <c r="AJ40" s="19">
        <f t="shared" si="6"/>
        <v>6949.5190233639587</v>
      </c>
      <c r="AL40" s="19">
        <f t="shared" si="7"/>
        <v>6949.5190233639587</v>
      </c>
    </row>
    <row r="41" spans="1:38" ht="15.75" x14ac:dyDescent="0.25">
      <c r="A41" s="117" t="str">
        <f t="shared" si="9"/>
        <v>Electra</v>
      </c>
      <c r="B41" s="123">
        <f t="shared" ca="1" si="0"/>
        <v>9.5742705257116697E-3</v>
      </c>
      <c r="C41" s="189">
        <f t="shared" ca="1" si="1"/>
        <v>-4.1903557874302154E-3</v>
      </c>
      <c r="D41" s="171"/>
      <c r="F41" s="172">
        <f t="shared" si="2"/>
        <v>23.165063411213197</v>
      </c>
      <c r="P41" s="175" t="s">
        <v>620</v>
      </c>
      <c r="Q41" s="176">
        <v>26.785875105605001</v>
      </c>
      <c r="R41" s="222">
        <v>7.8807703124999993</v>
      </c>
      <c r="S41" s="225">
        <v>18.905104793105046</v>
      </c>
      <c r="T41" s="222"/>
      <c r="U41" s="19" t="s">
        <v>9</v>
      </c>
      <c r="W41" s="246">
        <f>Q41/1.15</f>
        <v>23.292065309221741</v>
      </c>
      <c r="X41" s="246">
        <f>R41/1.15</f>
        <v>6.8528437499999999</v>
      </c>
      <c r="Y41" s="19">
        <f ca="1">'Charges as $ per MWh'!D11</f>
        <v>19.203714789533379</v>
      </c>
      <c r="Z41" s="19">
        <f t="shared" ca="1" si="3"/>
        <v>1.9203714789533379</v>
      </c>
      <c r="AA41" s="195">
        <f>'Charges as $ per MWh'!C11</f>
        <v>5.7932009059769269</v>
      </c>
      <c r="AB41" s="195">
        <f t="shared" si="4"/>
        <v>6.2735236594023069</v>
      </c>
      <c r="AC41" s="231" t="s">
        <v>1672</v>
      </c>
      <c r="AD41" s="232"/>
      <c r="AE41" s="243">
        <v>37731</v>
      </c>
      <c r="AF41" s="243">
        <v>431</v>
      </c>
      <c r="AG41" s="244">
        <f t="shared" si="5"/>
        <v>8.7542923433874709</v>
      </c>
      <c r="AH41" s="237">
        <f>AG41-'Charges as $ per MWh'!C11/10</f>
        <v>8.1749722527897788</v>
      </c>
      <c r="AJ41" s="19">
        <f t="shared" si="6"/>
        <v>10038.880148274569</v>
      </c>
      <c r="AL41" s="19">
        <f t="shared" si="7"/>
        <v>10038.880148274569</v>
      </c>
    </row>
    <row r="42" spans="1:38" ht="15.75" x14ac:dyDescent="0.25">
      <c r="A42" s="117" t="str">
        <f t="shared" si="9"/>
        <v>Electricity Ashburton</v>
      </c>
      <c r="B42" s="123">
        <f t="shared" ca="1" si="0"/>
        <v>5.7575460593642561E-2</v>
      </c>
      <c r="C42" s="189">
        <f t="shared" ca="1" si="1"/>
        <v>5.009662856391759E-2</v>
      </c>
      <c r="D42" s="171"/>
      <c r="F42" s="172">
        <f t="shared" si="2"/>
        <v>23.292065309221741</v>
      </c>
      <c r="P42" s="175" t="s">
        <v>605</v>
      </c>
      <c r="Q42" s="176">
        <v>32.232361554108095</v>
      </c>
      <c r="R42" s="222">
        <v>14.525570312499999</v>
      </c>
      <c r="S42" s="225">
        <v>17.706791241608094</v>
      </c>
      <c r="T42" s="222"/>
      <c r="U42" s="19" t="s">
        <v>101</v>
      </c>
      <c r="W42" s="246">
        <f>Q44/1.15</f>
        <v>22.462940933286799</v>
      </c>
      <c r="X42" s="246">
        <f>R44/1.15</f>
        <v>8.642371594161423</v>
      </c>
      <c r="Y42" s="19">
        <f ca="1">'Charges as $ per MWh'!D12</f>
        <v>13.920780720118637</v>
      </c>
      <c r="Z42" s="19">
        <f t="shared" ca="1" si="3"/>
        <v>1.3920780720118637</v>
      </c>
      <c r="AA42" s="195">
        <f>'Charges as $ per MWh'!C12</f>
        <v>21.451836124558053</v>
      </c>
      <c r="AB42" s="195">
        <f t="shared" si="4"/>
        <v>6.4971879817056175</v>
      </c>
      <c r="AC42" s="231" t="s">
        <v>1672</v>
      </c>
      <c r="AD42" s="232"/>
      <c r="AE42" s="243">
        <v>19979</v>
      </c>
      <c r="AF42" s="243">
        <v>273</v>
      </c>
      <c r="AG42" s="244">
        <f t="shared" si="5"/>
        <v>7.3183150183150181</v>
      </c>
      <c r="AH42" s="237">
        <f>AG42-'Charges as $ per MWh'!C12/10</f>
        <v>5.1731314058592126</v>
      </c>
      <c r="AJ42" s="19">
        <f t="shared" si="6"/>
        <v>6132.3828747872958</v>
      </c>
      <c r="AL42" s="19">
        <f t="shared" si="7"/>
        <v>6132.3828747872958</v>
      </c>
    </row>
    <row r="43" spans="1:38" ht="15.75" x14ac:dyDescent="0.25">
      <c r="A43" s="117" t="str">
        <f t="shared" si="9"/>
        <v>Electricity Invercargill</v>
      </c>
      <c r="B43" s="123">
        <f t="shared" ca="1" si="0"/>
        <v>-3.3526577961479169E-2</v>
      </c>
      <c r="C43" s="189">
        <f t="shared" ca="1" si="1"/>
        <v>-3.3526577961479169E-2</v>
      </c>
      <c r="D43" s="171"/>
      <c r="F43" s="172">
        <f t="shared" si="2"/>
        <v>22.462940933286799</v>
      </c>
      <c r="P43" s="175" t="s">
        <v>8</v>
      </c>
      <c r="Q43" s="176">
        <v>26.639822922895174</v>
      </c>
      <c r="R43" s="222">
        <v>10.840870312499998</v>
      </c>
      <c r="S43" s="225">
        <v>15.798952610395176</v>
      </c>
      <c r="T43" s="222"/>
      <c r="U43" s="19" t="s">
        <v>11</v>
      </c>
      <c r="W43" s="246">
        <f>Q45/1.15</f>
        <v>25.071882160422994</v>
      </c>
      <c r="X43" s="246">
        <f>R45/1.15</f>
        <v>10.667843749999999</v>
      </c>
      <c r="Y43" s="19">
        <f ca="1">'Charges as $ per MWh'!D13</f>
        <v>13.750816937495188</v>
      </c>
      <c r="Z43" s="19">
        <f t="shared" ca="1" si="3"/>
        <v>1.3750816937495187</v>
      </c>
      <c r="AA43" s="195">
        <f>'Charges as $ per MWh'!C13</f>
        <v>6.5134486019781992</v>
      </c>
      <c r="AB43" s="195">
        <f t="shared" si="4"/>
        <v>10.016498889802179</v>
      </c>
      <c r="AC43" s="231" t="s">
        <v>1673</v>
      </c>
      <c r="AD43" s="232"/>
      <c r="AE43" s="243">
        <v>31817</v>
      </c>
      <c r="AF43" s="243">
        <v>539</v>
      </c>
      <c r="AG43" s="244">
        <f t="shared" si="5"/>
        <v>5.9029684601113175</v>
      </c>
      <c r="AH43" s="237">
        <f>AG43-'Charges as $ per MWh'!C13/10</f>
        <v>5.2516235999134979</v>
      </c>
      <c r="AJ43" s="19">
        <f t="shared" si="6"/>
        <v>13513.744484467994</v>
      </c>
      <c r="AL43" s="19">
        <f t="shared" si="7"/>
        <v>13513.744484467994</v>
      </c>
    </row>
    <row r="44" spans="1:38" ht="15.75" x14ac:dyDescent="0.25">
      <c r="A44" s="117" t="str">
        <f t="shared" si="9"/>
        <v>Horizon</v>
      </c>
      <c r="B44" s="123">
        <f t="shared" ca="1" si="0"/>
        <v>2.8866473961581849E-2</v>
      </c>
      <c r="C44" s="189">
        <f t="shared" ca="1" si="1"/>
        <v>1.7089161131204544E-3</v>
      </c>
      <c r="D44" s="171"/>
      <c r="F44" s="172">
        <f t="shared" si="2"/>
        <v>25.071882160422994</v>
      </c>
      <c r="P44" s="175" t="s">
        <v>101</v>
      </c>
      <c r="Q44" s="176">
        <v>25.832382073279817</v>
      </c>
      <c r="R44" s="222">
        <v>9.9387273332856356</v>
      </c>
      <c r="S44" s="225">
        <v>15.893654739994181</v>
      </c>
      <c r="T44" s="222"/>
      <c r="U44" s="19" t="s">
        <v>102</v>
      </c>
      <c r="W44" s="246">
        <f>W35</f>
        <v>24.072314416102458</v>
      </c>
      <c r="X44" s="246">
        <f>X35</f>
        <v>9.8005916666666675</v>
      </c>
      <c r="Y44" s="19">
        <f ca="1">'Charges as $ per MWh'!D14</f>
        <v>14.935131314303559</v>
      </c>
      <c r="Z44" s="19">
        <f t="shared" ca="1" si="3"/>
        <v>1.493513131430356</v>
      </c>
      <c r="AA44" s="195">
        <f>'Charges as $ per MWh'!C14</f>
        <v>18.542891445609651</v>
      </c>
      <c r="AB44" s="195">
        <f t="shared" si="4"/>
        <v>7.946302522105702</v>
      </c>
      <c r="AC44" s="231" t="s">
        <v>1672</v>
      </c>
      <c r="AD44" s="232"/>
      <c r="AE44" s="243"/>
      <c r="AF44" s="243"/>
      <c r="AG44" s="244"/>
      <c r="AH44" s="237"/>
      <c r="AJ44" s="19">
        <f t="shared" si="6"/>
        <v>0</v>
      </c>
      <c r="AL44" s="19">
        <f t="shared" si="7"/>
        <v>0</v>
      </c>
    </row>
    <row r="45" spans="1:38" ht="15.75" x14ac:dyDescent="0.25">
      <c r="A45" s="117" t="s">
        <v>102</v>
      </c>
      <c r="B45" s="123">
        <f t="shared" ca="1" si="0"/>
        <v>-1.4987176010349833E-2</v>
      </c>
      <c r="C45" s="189">
        <f t="shared" ca="1" si="1"/>
        <v>-1.4987176010349833E-2</v>
      </c>
      <c r="D45" s="171"/>
      <c r="F45" s="172">
        <f t="shared" si="2"/>
        <v>24.072314416102458</v>
      </c>
      <c r="P45" s="175" t="s">
        <v>602</v>
      </c>
      <c r="Q45" s="176">
        <v>28.832664484486443</v>
      </c>
      <c r="R45" s="222">
        <v>12.268020312499999</v>
      </c>
      <c r="S45" s="225">
        <v>16.564644171986444</v>
      </c>
      <c r="T45" s="222"/>
      <c r="U45" s="19" t="s">
        <v>12</v>
      </c>
      <c r="W45" s="246">
        <f>AVERAGE(Q46:Q47)/1.15</f>
        <v>23.759677705458277</v>
      </c>
      <c r="X45" s="246">
        <f>AVERAGE(R46:R47)/1.15</f>
        <v>9.2303437500000012</v>
      </c>
      <c r="Y45" s="19">
        <f ca="1">'Charges as $ per MWh'!D15</f>
        <v>15.10737379418992</v>
      </c>
      <c r="Z45" s="19">
        <f t="shared" ca="1" si="3"/>
        <v>1.510737379418992</v>
      </c>
      <c r="AA45" s="195">
        <f>'Charges as $ per MWh'!C15</f>
        <v>17.259365788961251</v>
      </c>
      <c r="AB45" s="195">
        <f t="shared" si="4"/>
        <v>7.5044071711038765</v>
      </c>
      <c r="AC45" s="231" t="s">
        <v>1672</v>
      </c>
      <c r="AD45" s="232"/>
      <c r="AE45" s="243">
        <v>52909</v>
      </c>
      <c r="AF45" s="243">
        <v>646</v>
      </c>
      <c r="AG45" s="244">
        <f t="shared" si="5"/>
        <v>8.1902476780185758</v>
      </c>
      <c r="AH45" s="237">
        <f>AG45-'Charges as $ per MWh'!C15/10</f>
        <v>6.4643110991224511</v>
      </c>
      <c r="AJ45" s="19">
        <f t="shared" si="6"/>
        <v>15348.751797726047</v>
      </c>
      <c r="AL45" s="19">
        <f t="shared" si="7"/>
        <v>15348.751797726047</v>
      </c>
    </row>
    <row r="46" spans="1:38" ht="15.75" x14ac:dyDescent="0.25">
      <c r="A46" s="117" t="str">
        <f t="shared" ref="A46:A63" si="10">A14</f>
        <v>Mainpower</v>
      </c>
      <c r="B46" s="123">
        <f t="shared" ca="1" si="0"/>
        <v>-9.0573282240985816E-3</v>
      </c>
      <c r="C46" s="189">
        <f t="shared" ca="1" si="1"/>
        <v>-1.6085602745445061E-2</v>
      </c>
      <c r="D46" s="171"/>
      <c r="F46" s="172">
        <f t="shared" si="2"/>
        <v>23.759677705458277</v>
      </c>
      <c r="P46" s="175" t="s">
        <v>618</v>
      </c>
      <c r="Q46" s="176">
        <v>26.233608733426479</v>
      </c>
      <c r="R46" s="222">
        <v>9.5195203124999992</v>
      </c>
      <c r="S46" s="225">
        <v>16.71408842092648</v>
      </c>
      <c r="T46" s="222"/>
      <c r="U46" s="19" t="s">
        <v>13</v>
      </c>
      <c r="W46" s="246">
        <f>Q48/1.15</f>
        <v>28.701213855154663</v>
      </c>
      <c r="X46" s="246">
        <f>R48/1.15</f>
        <v>12.268043749999999</v>
      </c>
      <c r="Y46" s="19">
        <f ca="1">'Charges as $ per MWh'!D16</f>
        <v>12.599034485958805</v>
      </c>
      <c r="Z46" s="19">
        <f t="shared" ca="1" si="3"/>
        <v>1.2599034485958804</v>
      </c>
      <c r="AA46" s="195">
        <f>'Charges as $ per MWh'!C16</f>
        <v>16.853410902389928</v>
      </c>
      <c r="AB46" s="195">
        <f t="shared" si="4"/>
        <v>10.582702659761006</v>
      </c>
      <c r="AC46" s="231" t="s">
        <v>1672</v>
      </c>
      <c r="AD46" s="232"/>
      <c r="AE46" s="243">
        <v>34527</v>
      </c>
      <c r="AF46" s="243">
        <v>397</v>
      </c>
      <c r="AG46" s="244">
        <f t="shared" si="5"/>
        <v>8.6969773299748105</v>
      </c>
      <c r="AH46" s="237">
        <f>AG46-'Charges as $ per MWh'!C16/10</f>
        <v>7.0116362397358181</v>
      </c>
      <c r="AJ46" s="19">
        <f t="shared" si="6"/>
        <v>11394.381900496401</v>
      </c>
      <c r="AL46" s="19">
        <f t="shared" si="7"/>
        <v>11394.381900496401</v>
      </c>
    </row>
    <row r="47" spans="1:38" ht="15.75" x14ac:dyDescent="0.25">
      <c r="A47" s="117" t="str">
        <f t="shared" si="10"/>
        <v>Marlborough Lines</v>
      </c>
      <c r="B47" s="123">
        <f t="shared" ca="1" si="0"/>
        <v>-1.4822984274816825E-2</v>
      </c>
      <c r="C47" s="189">
        <f t="shared" ca="1" si="1"/>
        <v>-1.6208978737047901E-2</v>
      </c>
      <c r="D47" s="171"/>
      <c r="F47" s="172">
        <f t="shared" si="2"/>
        <v>28.701213855154663</v>
      </c>
      <c r="P47" s="175" t="s">
        <v>617</v>
      </c>
      <c r="Q47" s="176">
        <v>28.413649989127549</v>
      </c>
      <c r="R47" s="222">
        <v>11.710270312499999</v>
      </c>
      <c r="S47" s="225">
        <v>16.703379676627549</v>
      </c>
      <c r="T47" s="222"/>
      <c r="U47" s="19" t="s">
        <v>19</v>
      </c>
      <c r="W47" s="246">
        <f t="shared" ref="W47:X51" si="11">Q50/1.15</f>
        <v>23.365561985673427</v>
      </c>
      <c r="X47" s="246">
        <f t="shared" si="11"/>
        <v>7.8628437500000006</v>
      </c>
      <c r="Y47" s="19">
        <f ca="1">'Charges as $ per MWh'!D17</f>
        <v>14.117592003864422</v>
      </c>
      <c r="Z47" s="19">
        <f t="shared" ca="1" si="3"/>
        <v>1.4117592003864423</v>
      </c>
      <c r="AA47" s="195">
        <f>'Charges as $ per MWh'!C17</f>
        <v>14.697353395219174</v>
      </c>
      <c r="AB47" s="195">
        <f t="shared" si="4"/>
        <v>6.3931084104780833</v>
      </c>
      <c r="AC47" s="231" t="s">
        <v>1672</v>
      </c>
      <c r="AD47" s="232"/>
      <c r="AE47" s="243">
        <v>42339</v>
      </c>
      <c r="AF47" s="243">
        <v>627</v>
      </c>
      <c r="AG47" s="244">
        <f t="shared" si="5"/>
        <v>6.7526315789473683</v>
      </c>
      <c r="AH47" s="237">
        <f>AG47-'Charges as $ per MWh'!C17/10</f>
        <v>5.2828962394254511</v>
      </c>
      <c r="AJ47" s="19">
        <f t="shared" si="6"/>
        <v>14650.207365017239</v>
      </c>
      <c r="AL47" s="19">
        <f t="shared" si="7"/>
        <v>14650.207365017239</v>
      </c>
    </row>
    <row r="48" spans="1:38" ht="15.75" x14ac:dyDescent="0.25">
      <c r="A48" s="117" t="str">
        <f t="shared" si="10"/>
        <v>Network Tasman</v>
      </c>
      <c r="B48" s="123">
        <f t="shared" ca="1" si="0"/>
        <v>-2.4812644853576932E-3</v>
      </c>
      <c r="C48" s="189">
        <f t="shared" ca="1" si="1"/>
        <v>-2.9093015931154413E-3</v>
      </c>
      <c r="D48" s="171"/>
      <c r="F48" s="172">
        <f t="shared" si="2"/>
        <v>23.365561985673427</v>
      </c>
      <c r="P48" s="175" t="s">
        <v>616</v>
      </c>
      <c r="Q48" s="176">
        <v>33.006395933427861</v>
      </c>
      <c r="R48" s="222">
        <v>14.108250312499997</v>
      </c>
      <c r="S48" s="225">
        <v>18.898145620927863</v>
      </c>
      <c r="T48" s="222"/>
      <c r="U48" s="19" t="s">
        <v>20</v>
      </c>
      <c r="W48" s="246">
        <f t="shared" si="11"/>
        <v>22.543420301375054</v>
      </c>
      <c r="X48" s="246">
        <f t="shared" si="11"/>
        <v>8.1326549999999997</v>
      </c>
      <c r="Y48" s="19">
        <f ca="1">'Charges as $ per MWh'!D18</f>
        <v>14.71695122956992</v>
      </c>
      <c r="Z48" s="19">
        <f t="shared" ca="1" si="3"/>
        <v>1.4716951229569921</v>
      </c>
      <c r="AA48" s="195">
        <f>'Charges as $ per MWh'!C18</f>
        <v>11.907872195541893</v>
      </c>
      <c r="AB48" s="195">
        <f t="shared" si="4"/>
        <v>6.9418677804458104</v>
      </c>
      <c r="AC48" s="231" t="s">
        <v>1672</v>
      </c>
      <c r="AD48" s="232"/>
      <c r="AE48" s="243">
        <v>16953</v>
      </c>
      <c r="AF48" s="243">
        <v>292</v>
      </c>
      <c r="AG48" s="244">
        <f t="shared" si="5"/>
        <v>5.8058219178082195</v>
      </c>
      <c r="AH48" s="237">
        <f>AG48-'Charges as $ per MWh'!C18/10</f>
        <v>4.6150346982540302</v>
      </c>
      <c r="AJ48" s="19">
        <f t="shared" si="6"/>
        <v>6582.678728001516</v>
      </c>
      <c r="AL48" s="19">
        <f t="shared" si="7"/>
        <v>6582.678728001516</v>
      </c>
    </row>
    <row r="49" spans="1:38" ht="15.75" x14ac:dyDescent="0.25">
      <c r="A49" s="117" t="str">
        <f t="shared" si="10"/>
        <v>Network Waitaki</v>
      </c>
      <c r="B49" s="123">
        <f t="shared" ca="1" si="0"/>
        <v>1.2460749063249666E-2</v>
      </c>
      <c r="C49" s="189">
        <f t="shared" ca="1" si="1"/>
        <v>1.2460749063249666E-2</v>
      </c>
      <c r="D49" s="171"/>
      <c r="F49" s="172">
        <f t="shared" si="2"/>
        <v>22.543420301375054</v>
      </c>
      <c r="P49" s="175" t="s">
        <v>615</v>
      </c>
      <c r="Q49" s="176">
        <v>29.753269681124127</v>
      </c>
      <c r="R49" s="222">
        <v>9.6655703124999999</v>
      </c>
      <c r="S49" s="225">
        <v>20.087699368624129</v>
      </c>
      <c r="T49" s="222"/>
      <c r="U49" s="19" t="s">
        <v>23</v>
      </c>
      <c r="W49" s="246">
        <f t="shared" si="11"/>
        <v>24.672184868078368</v>
      </c>
      <c r="X49" s="246">
        <f t="shared" si="11"/>
        <v>9.7848437500000003</v>
      </c>
      <c r="Y49" s="19">
        <f ca="1">'Charges as $ per MWh'!D19</f>
        <v>27.094973065396495</v>
      </c>
      <c r="Z49" s="19">
        <f t="shared" ca="1" si="3"/>
        <v>2.7094973065396495</v>
      </c>
      <c r="AA49" s="195">
        <f>'Charges as $ per MWh'!C19</f>
        <v>17.168688813887194</v>
      </c>
      <c r="AB49" s="195">
        <f t="shared" si="4"/>
        <v>8.0679748686112802</v>
      </c>
      <c r="AC49" s="231" t="s">
        <v>1673</v>
      </c>
      <c r="AD49" s="232"/>
      <c r="AE49" s="243">
        <v>63340</v>
      </c>
      <c r="AF49" s="243">
        <v>1035</v>
      </c>
      <c r="AG49" s="244">
        <f t="shared" si="5"/>
        <v>6.1198067632850242</v>
      </c>
      <c r="AH49" s="237">
        <f>AG49-'Charges as $ per MWh'!C19/10</f>
        <v>4.402937881896305</v>
      </c>
      <c r="AJ49" s="19">
        <f t="shared" si="6"/>
        <v>25535.711338461111</v>
      </c>
      <c r="AL49" s="19">
        <f t="shared" si="7"/>
        <v>25535.711338461111</v>
      </c>
    </row>
    <row r="50" spans="1:38" ht="15.75" x14ac:dyDescent="0.25">
      <c r="A50" s="117" t="str">
        <f t="shared" si="10"/>
        <v>Northpower</v>
      </c>
      <c r="B50" s="123">
        <f t="shared" ca="1" si="0"/>
        <v>4.023269242097903E-2</v>
      </c>
      <c r="C50" s="189">
        <f t="shared" ca="1" si="1"/>
        <v>2.2615777552389582E-2</v>
      </c>
      <c r="D50" s="171"/>
      <c r="F50" s="172">
        <f t="shared" si="2"/>
        <v>24.672184868078368</v>
      </c>
      <c r="P50" s="175" t="s">
        <v>19</v>
      </c>
      <c r="Q50" s="176">
        <v>26.870396283524439</v>
      </c>
      <c r="R50" s="222">
        <v>9.0422703124999995</v>
      </c>
      <c r="S50" s="225">
        <v>17.828125971024441</v>
      </c>
      <c r="T50" s="222"/>
      <c r="U50" s="19" t="s">
        <v>25</v>
      </c>
      <c r="W50" s="246">
        <f t="shared" si="11"/>
        <v>23.486739417620459</v>
      </c>
      <c r="X50" s="246">
        <f t="shared" si="11"/>
        <v>9.5669842681062498</v>
      </c>
      <c r="Y50" s="19">
        <f ca="1">'Charges as $ per MWh'!D20</f>
        <v>14.678284616844646</v>
      </c>
      <c r="Z50" s="19">
        <f t="shared" ca="1" si="3"/>
        <v>1.4678284616844646</v>
      </c>
      <c r="AA50" s="195">
        <f>'Charges as $ per MWh'!C20</f>
        <v>19.714557302656988</v>
      </c>
      <c r="AB50" s="195">
        <f t="shared" si="4"/>
        <v>7.5955285378405506</v>
      </c>
      <c r="AC50" s="231" t="s">
        <v>1672</v>
      </c>
      <c r="AD50" s="232"/>
      <c r="AE50" s="243">
        <v>242069</v>
      </c>
      <c r="AF50" s="243">
        <v>3271</v>
      </c>
      <c r="AG50" s="244">
        <f t="shared" si="5"/>
        <v>7.4004585753592176</v>
      </c>
      <c r="AH50" s="237">
        <f>AG50-'Charges as $ per MWh'!C20/10</f>
        <v>5.4290028450935193</v>
      </c>
      <c r="AJ50" s="19">
        <f t="shared" si="6"/>
        <v>76825.124635036525</v>
      </c>
      <c r="AL50" s="19">
        <f t="shared" si="7"/>
        <v>76825.124635036525</v>
      </c>
    </row>
    <row r="51" spans="1:38" ht="15.75" x14ac:dyDescent="0.25">
      <c r="A51" s="117" t="str">
        <f t="shared" si="10"/>
        <v>Orion</v>
      </c>
      <c r="B51" s="123">
        <f t="shared" ca="1" si="0"/>
        <v>-2.1443047484207105E-2</v>
      </c>
      <c r="C51" s="189">
        <f t="shared" ca="1" si="1"/>
        <v>-2.3052995578475153E-2</v>
      </c>
      <c r="D51" s="171"/>
      <c r="F51" s="172">
        <f t="shared" si="2"/>
        <v>23.486739417620459</v>
      </c>
      <c r="P51" s="175" t="s">
        <v>20</v>
      </c>
      <c r="Q51" s="176">
        <v>25.924933346581309</v>
      </c>
      <c r="R51" s="222">
        <v>9.3525532499999997</v>
      </c>
      <c r="S51" s="225">
        <v>16.572380096581309</v>
      </c>
      <c r="T51" s="222"/>
      <c r="U51" s="19" t="s">
        <v>103</v>
      </c>
      <c r="W51" s="246">
        <f t="shared" si="11"/>
        <v>33.825874391226506</v>
      </c>
      <c r="X51" s="246">
        <f t="shared" si="11"/>
        <v>17.03184375</v>
      </c>
      <c r="Y51" s="19">
        <f ca="1">'Charges as $ per MWh'!D21</f>
        <v>11.112889384313535</v>
      </c>
      <c r="Z51" s="19">
        <f t="shared" ca="1" si="3"/>
        <v>1.1112889384313536</v>
      </c>
      <c r="AA51" s="195">
        <f>'Charges as $ per MWh'!C21</f>
        <v>9.3559409689177997</v>
      </c>
      <c r="AB51" s="195">
        <f t="shared" si="4"/>
        <v>16.09624965310822</v>
      </c>
      <c r="AC51" s="231" t="s">
        <v>1672</v>
      </c>
      <c r="AD51" s="232"/>
      <c r="AE51" s="243">
        <v>35105</v>
      </c>
      <c r="AF51" s="243">
        <v>426</v>
      </c>
      <c r="AG51" s="244">
        <f t="shared" si="5"/>
        <v>8.240610328638498</v>
      </c>
      <c r="AH51" s="237">
        <f>AG51-'Charges as $ per MWh'!C21/10</f>
        <v>7.305016231746718</v>
      </c>
      <c r="AJ51" s="19">
        <f t="shared" si="6"/>
        <v>14409.822490662491</v>
      </c>
      <c r="AL51" s="19">
        <f t="shared" si="7"/>
        <v>14409.822490662491</v>
      </c>
    </row>
    <row r="52" spans="1:38" ht="15.75" x14ac:dyDescent="0.25">
      <c r="A52" s="117" t="str">
        <f t="shared" si="10"/>
        <v>OtagoNet JV</v>
      </c>
      <c r="B52" s="123">
        <f t="shared" ca="1" si="0"/>
        <v>5.1940960788627501E-3</v>
      </c>
      <c r="C52" s="189">
        <f t="shared" ca="1" si="1"/>
        <v>-1.8887658530979715E-3</v>
      </c>
      <c r="D52" s="171"/>
      <c r="F52" s="172">
        <f t="shared" si="2"/>
        <v>33.825874391226506</v>
      </c>
      <c r="P52" s="175" t="s">
        <v>23</v>
      </c>
      <c r="Q52" s="176">
        <v>28.373012598290121</v>
      </c>
      <c r="R52" s="222">
        <v>11.2525703125</v>
      </c>
      <c r="S52" s="225">
        <v>17.120442285790119</v>
      </c>
      <c r="T52" s="222"/>
      <c r="U52" s="19" t="s">
        <v>28</v>
      </c>
      <c r="W52" s="246">
        <f>AVERAGE(Q55:Q61)/1.15</f>
        <v>26.228663673903906</v>
      </c>
      <c r="X52" s="246">
        <f>AVERAGE(R55:R61)/1.15</f>
        <v>10.695424570262096</v>
      </c>
      <c r="Y52" s="19">
        <f ca="1">'Charges as $ per MWh'!D22</f>
        <v>16.550368676238417</v>
      </c>
      <c r="Z52" s="19">
        <f t="shared" ca="1" si="3"/>
        <v>1.6550368676238418</v>
      </c>
      <c r="AA52" s="195">
        <f>'Charges as $ per MWh'!C22</f>
        <v>16.933916275753671</v>
      </c>
      <c r="AB52" s="195">
        <f t="shared" si="4"/>
        <v>9.0020329426867285</v>
      </c>
      <c r="AC52" s="231" t="s">
        <v>1673</v>
      </c>
      <c r="AD52" s="232"/>
      <c r="AE52" s="243">
        <v>367197</v>
      </c>
      <c r="AF52" s="243">
        <v>4715</v>
      </c>
      <c r="AG52" s="244">
        <f t="shared" si="5"/>
        <v>7.7878472958642631</v>
      </c>
      <c r="AH52" s="237">
        <f>AG52-'Charges as $ per MWh'!C22/10</f>
        <v>6.0944556682888962</v>
      </c>
      <c r="AJ52" s="19">
        <f t="shared" si="6"/>
        <v>123668.14922245692</v>
      </c>
      <c r="AL52" s="19">
        <f t="shared" si="7"/>
        <v>123668.14922245692</v>
      </c>
    </row>
    <row r="53" spans="1:38" ht="15.75" x14ac:dyDescent="0.25">
      <c r="A53" s="117" t="str">
        <f t="shared" si="10"/>
        <v>Powerco</v>
      </c>
      <c r="B53" s="123">
        <f t="shared" ca="1" si="0"/>
        <v>-1.462322306175524E-3</v>
      </c>
      <c r="C53" s="189">
        <f t="shared" ca="1" si="1"/>
        <v>-9.4693533755409922E-3</v>
      </c>
      <c r="D53" s="171"/>
      <c r="F53" s="172">
        <f t="shared" si="2"/>
        <v>26.228663673903906</v>
      </c>
      <c r="P53" s="175" t="s">
        <v>619</v>
      </c>
      <c r="Q53" s="176">
        <v>27.009750330263525</v>
      </c>
      <c r="R53" s="222">
        <v>11.002031908322186</v>
      </c>
      <c r="S53" s="225">
        <v>16.007718421941341</v>
      </c>
      <c r="T53" s="222"/>
      <c r="U53" s="19" t="s">
        <v>31</v>
      </c>
      <c r="W53" s="246">
        <f>Q62/1.15</f>
        <v>25.199030381175191</v>
      </c>
      <c r="X53" s="246">
        <f>R62/1.15</f>
        <v>11.947998950000001</v>
      </c>
      <c r="Y53" s="19">
        <f ca="1">'Charges as $ per MWh'!D23</f>
        <v>14.238863313471661</v>
      </c>
      <c r="Z53" s="19">
        <f t="shared" ca="1" si="3"/>
        <v>1.4238863313471661</v>
      </c>
      <c r="AA53" s="195">
        <f>'Charges as $ per MWh'!C23</f>
        <v>18.15965357724091</v>
      </c>
      <c r="AB53" s="195">
        <f t="shared" si="4"/>
        <v>10.13203359227591</v>
      </c>
      <c r="AC53" s="231" t="s">
        <v>1673</v>
      </c>
      <c r="AD53" s="232"/>
      <c r="AE53" s="243">
        <v>8404</v>
      </c>
      <c r="AF53" s="243">
        <v>83</v>
      </c>
      <c r="AG53" s="244">
        <f t="shared" si="5"/>
        <v>10.125301204819277</v>
      </c>
      <c r="AH53" s="237">
        <f>AG53-'Charges as $ per MWh'!C23/10</f>
        <v>8.3093358470951859</v>
      </c>
      <c r="AJ53" s="19">
        <f t="shared" si="6"/>
        <v>2091.5195216375409</v>
      </c>
      <c r="AL53" s="19">
        <f t="shared" si="7"/>
        <v>2091.5195216375409</v>
      </c>
    </row>
    <row r="54" spans="1:38" ht="15.75" x14ac:dyDescent="0.25">
      <c r="A54" s="117" t="str">
        <f t="shared" si="10"/>
        <v>Scanpower</v>
      </c>
      <c r="B54" s="123">
        <f t="shared" ca="1" si="0"/>
        <v>-1.5559290196730169E-2</v>
      </c>
      <c r="C54" s="189">
        <f t="shared" ca="1" si="1"/>
        <v>-1.5559290196730169E-2</v>
      </c>
      <c r="D54" s="171"/>
      <c r="F54" s="172">
        <f t="shared" si="2"/>
        <v>25.199030381175191</v>
      </c>
      <c r="P54" s="175" t="s">
        <v>583</v>
      </c>
      <c r="Q54" s="176">
        <v>38.899755549910481</v>
      </c>
      <c r="R54" s="222">
        <v>19.586620312499999</v>
      </c>
      <c r="S54" s="225">
        <v>19.313135237410481</v>
      </c>
      <c r="T54" s="222"/>
      <c r="U54" s="19" t="s">
        <v>32</v>
      </c>
      <c r="W54" s="246">
        <f>AVERAGE(Q63:Q64)/1.15</f>
        <v>26.77212752964406</v>
      </c>
      <c r="X54" s="246">
        <f>AVERAGE(R63:R64)/1.15</f>
        <v>11.528730000000001</v>
      </c>
      <c r="Y54" s="19">
        <f ca="1">'Charges as $ per MWh'!D24</f>
        <v>17.798961111696013</v>
      </c>
      <c r="Z54" s="19">
        <f t="shared" ca="1" si="3"/>
        <v>1.7798961111696012</v>
      </c>
      <c r="AA54" s="195">
        <f>'Charges as $ per MWh'!C24</f>
        <v>12.646163993604523</v>
      </c>
      <c r="AB54" s="195">
        <f t="shared" si="4"/>
        <v>10.264113600639549</v>
      </c>
      <c r="AC54" s="231" t="s">
        <v>1673</v>
      </c>
      <c r="AD54" s="232"/>
      <c r="AE54" s="243">
        <v>38458</v>
      </c>
      <c r="AF54" s="243">
        <v>361</v>
      </c>
      <c r="AG54" s="244">
        <f t="shared" si="5"/>
        <v>10.653185595567868</v>
      </c>
      <c r="AH54" s="237">
        <f>AG54-'Charges as $ per MWh'!C24/10</f>
        <v>9.3885691962074151</v>
      </c>
      <c r="AJ54" s="19">
        <f t="shared" si="6"/>
        <v>9664.7380382015053</v>
      </c>
      <c r="AL54" s="19">
        <f t="shared" si="7"/>
        <v>9664.7380382015053</v>
      </c>
    </row>
    <row r="55" spans="1:38" ht="15.75" x14ac:dyDescent="0.25">
      <c r="A55" s="117" t="str">
        <f t="shared" si="10"/>
        <v>The Lines Company</v>
      </c>
      <c r="B55" s="123">
        <f t="shared" ca="1" si="0"/>
        <v>1.9246872002928926E-2</v>
      </c>
      <c r="C55" s="189">
        <f t="shared" ca="1" si="1"/>
        <v>1.9266084935027712E-3</v>
      </c>
      <c r="D55" s="171"/>
      <c r="F55" s="172">
        <f t="shared" si="2"/>
        <v>26.77212752964406</v>
      </c>
      <c r="P55" s="175" t="s">
        <v>599</v>
      </c>
      <c r="Q55" s="176">
        <v>32.283462254024329</v>
      </c>
      <c r="R55" s="222">
        <v>11.696470312499999</v>
      </c>
      <c r="S55" s="225">
        <v>20.586991941524332</v>
      </c>
      <c r="T55" s="222"/>
      <c r="U55" s="19" t="s">
        <v>105</v>
      </c>
      <c r="W55" s="246">
        <f>Q65/1.15</f>
        <v>25.883852202068788</v>
      </c>
      <c r="X55" s="246">
        <f>R65/1.15</f>
        <v>10.898325924088315</v>
      </c>
      <c r="Y55" s="19">
        <f ca="1">'Charges as $ per MWh'!D25</f>
        <v>13.014451625869663</v>
      </c>
      <c r="Z55" s="19">
        <f t="shared" ca="1" si="3"/>
        <v>1.3014451625869663</v>
      </c>
      <c r="AA55" s="195">
        <f>'Charges as $ per MWh'!C25</f>
        <v>12.550152669445314</v>
      </c>
      <c r="AB55" s="195">
        <f t="shared" si="4"/>
        <v>9.6433106571437843</v>
      </c>
      <c r="AC55" s="231" t="s">
        <v>1672</v>
      </c>
      <c r="AD55" s="232"/>
      <c r="AE55" s="243">
        <v>56711</v>
      </c>
      <c r="AF55" s="243">
        <v>754</v>
      </c>
      <c r="AG55" s="244">
        <f t="shared" si="5"/>
        <v>7.521352785145889</v>
      </c>
      <c r="AH55" s="237">
        <f>AG55-'Charges as $ per MWh'!C25/10</f>
        <v>6.2663375182013574</v>
      </c>
      <c r="AJ55" s="19">
        <f t="shared" si="6"/>
        <v>19516.424560359865</v>
      </c>
      <c r="AL55" s="19">
        <f t="shared" si="7"/>
        <v>19516.424560359865</v>
      </c>
    </row>
    <row r="56" spans="1:38" ht="15.75" x14ac:dyDescent="0.25">
      <c r="A56" s="117" t="str">
        <f t="shared" si="10"/>
        <v>The Power Company</v>
      </c>
      <c r="B56" s="123">
        <f t="shared" ca="1" si="0"/>
        <v>1.7937784252501623E-3</v>
      </c>
      <c r="C56" s="189">
        <f t="shared" ca="1" si="1"/>
        <v>-8.9058751577874018E-3</v>
      </c>
      <c r="D56" s="171"/>
      <c r="F56" s="172">
        <f t="shared" si="2"/>
        <v>25.883852202068788</v>
      </c>
      <c r="P56" s="175" t="s">
        <v>600</v>
      </c>
      <c r="Q56" s="176">
        <v>29.837680970312483</v>
      </c>
      <c r="R56" s="222">
        <v>12.837270312499999</v>
      </c>
      <c r="S56" s="225">
        <v>17.000410657812484</v>
      </c>
      <c r="T56" s="222"/>
      <c r="U56" s="19" t="s">
        <v>34</v>
      </c>
      <c r="W56" s="246">
        <f>Q66/1.15</f>
        <v>32.774738441529557</v>
      </c>
      <c r="X56" s="246">
        <f>R66/1.15</f>
        <v>16.582843750000002</v>
      </c>
      <c r="Y56" s="19">
        <f ca="1">'Charges as $ per MWh'!D26</f>
        <v>26.323624469272961</v>
      </c>
      <c r="Z56" s="19">
        <f t="shared" ca="1" si="3"/>
        <v>2.6323624469272957</v>
      </c>
      <c r="AA56" s="195">
        <f>'Charges as $ per MWh'!C26</f>
        <v>11.971351998830519</v>
      </c>
      <c r="AB56" s="195">
        <f t="shared" si="4"/>
        <v>15.38570855011695</v>
      </c>
      <c r="AC56" s="231" t="s">
        <v>1673</v>
      </c>
      <c r="AD56" s="232"/>
      <c r="AE56" s="243">
        <v>38611</v>
      </c>
      <c r="AF56" s="243">
        <v>357</v>
      </c>
      <c r="AG56" s="244">
        <f t="shared" si="5"/>
        <v>10.815406162464987</v>
      </c>
      <c r="AH56" s="237">
        <f>AG56-'Charges as $ per MWh'!C26/10</f>
        <v>9.6182709625819349</v>
      </c>
      <c r="AJ56" s="19">
        <f t="shared" si="6"/>
        <v>11700.581623626053</v>
      </c>
      <c r="AL56" s="19">
        <f t="shared" si="7"/>
        <v>11700.581623626053</v>
      </c>
    </row>
    <row r="57" spans="1:38" ht="15.75" x14ac:dyDescent="0.25">
      <c r="A57" s="117" t="str">
        <f t="shared" si="10"/>
        <v>Top Energy</v>
      </c>
      <c r="B57" s="123">
        <f t="shared" ca="1" si="0"/>
        <v>4.3790654488508066E-2</v>
      </c>
      <c r="C57" s="189">
        <f t="shared" ca="1" si="1"/>
        <v>1.0184850087006541E-2</v>
      </c>
      <c r="D57" s="171"/>
      <c r="F57" s="172">
        <f t="shared" si="2"/>
        <v>32.774738441529557</v>
      </c>
      <c r="P57" s="175" t="s">
        <v>613</v>
      </c>
      <c r="Q57" s="176">
        <v>28.368788085739261</v>
      </c>
      <c r="R57" s="222">
        <v>11.30283374754427</v>
      </c>
      <c r="S57" s="225">
        <v>17.065954338194992</v>
      </c>
      <c r="T57" s="222"/>
      <c r="U57" s="19" t="s">
        <v>36</v>
      </c>
      <c r="W57" s="246">
        <f>AVERAGE(Q67:Q69)/1.15</f>
        <v>26.434909455323027</v>
      </c>
      <c r="X57" s="246">
        <f>AVERAGE(R67:R69)/1.15</f>
        <v>11.951510416666668</v>
      </c>
      <c r="Y57" s="19">
        <f ca="1">'Charges as $ per MWh'!D27</f>
        <v>15.210456209164153</v>
      </c>
      <c r="Z57" s="19">
        <f t="shared" ca="1" si="3"/>
        <v>1.5210456209164154</v>
      </c>
      <c r="AA57" s="195">
        <f>'Charges as $ per MWh'!C27</f>
        <v>18.730449706185677</v>
      </c>
      <c r="AB57" s="195">
        <f t="shared" si="4"/>
        <v>10.078465446048101</v>
      </c>
      <c r="AC57" s="231" t="s">
        <v>1673</v>
      </c>
      <c r="AD57" s="232"/>
      <c r="AE57" s="243">
        <v>141720</v>
      </c>
      <c r="AF57" s="243">
        <v>1637</v>
      </c>
      <c r="AG57" s="244">
        <f t="shared" si="5"/>
        <v>8.6572999389126455</v>
      </c>
      <c r="AH57" s="237">
        <f>AG57-'Charges as $ per MWh'!C27/10</f>
        <v>6.7842549682940776</v>
      </c>
      <c r="AJ57" s="19">
        <f t="shared" si="6"/>
        <v>43273.946778363796</v>
      </c>
      <c r="AL57" s="19">
        <f t="shared" si="7"/>
        <v>43273.946778363796</v>
      </c>
    </row>
    <row r="58" spans="1:38" ht="15.75" x14ac:dyDescent="0.25">
      <c r="A58" s="117" t="str">
        <f t="shared" si="10"/>
        <v>Unison</v>
      </c>
      <c r="B58" s="123">
        <f t="shared" ca="1" si="0"/>
        <v>-1.3315700978551019E-2</v>
      </c>
      <c r="C58" s="189">
        <f t="shared" ca="1" si="1"/>
        <v>-2.7232431183834678E-2</v>
      </c>
      <c r="D58" s="171"/>
      <c r="F58" s="172">
        <f t="shared" si="2"/>
        <v>26.434909455323027</v>
      </c>
      <c r="P58" s="175" t="s">
        <v>606</v>
      </c>
      <c r="Q58" s="176">
        <v>28.134833749249115</v>
      </c>
      <c r="R58" s="222">
        <v>11.30283374754427</v>
      </c>
      <c r="S58" s="225">
        <v>16.832000001704845</v>
      </c>
      <c r="T58" s="222"/>
      <c r="U58" s="19" t="s">
        <v>37</v>
      </c>
      <c r="W58" s="246">
        <f>AVERAGE(Q70:Q71)/1.15</f>
        <v>23.896811773758618</v>
      </c>
      <c r="X58" s="246">
        <f>AVERAGE(R70:R71)/1.15</f>
        <v>9.9848437499999996</v>
      </c>
      <c r="Y58" s="19">
        <f ca="1">'Charges as $ per MWh'!D28</f>
        <v>30.527988219335274</v>
      </c>
      <c r="Z58" s="19">
        <f t="shared" ca="1" si="3"/>
        <v>3.0527988219335276</v>
      </c>
      <c r="AA58" s="195">
        <f>'Charges as $ per MWh'!C28</f>
        <v>21.250022006241686</v>
      </c>
      <c r="AB58" s="195">
        <f t="shared" si="4"/>
        <v>7.8598415493758313</v>
      </c>
      <c r="AC58" s="231" t="s">
        <v>1673</v>
      </c>
      <c r="AD58" s="232"/>
      <c r="AE58" s="243">
        <v>625681</v>
      </c>
      <c r="AF58" s="243">
        <v>8685</v>
      </c>
      <c r="AG58" s="244">
        <f t="shared" si="5"/>
        <v>7.2041565918249857</v>
      </c>
      <c r="AH58" s="237">
        <f>AG58-'Charges as $ per MWh'!C28/10</f>
        <v>5.0791543912008166</v>
      </c>
      <c r="AJ58" s="19">
        <f t="shared" si="6"/>
        <v>207543.81025509359</v>
      </c>
      <c r="AL58" s="19">
        <f t="shared" si="7"/>
        <v>207543.81025509359</v>
      </c>
    </row>
    <row r="59" spans="1:38" ht="15.75" x14ac:dyDescent="0.25">
      <c r="A59" s="117" t="str">
        <f t="shared" si="10"/>
        <v>Vector</v>
      </c>
      <c r="B59" s="123">
        <f t="shared" ca="1" si="0"/>
        <v>3.8825121530571022E-2</v>
      </c>
      <c r="C59" s="189">
        <f t="shared" ca="1" si="1"/>
        <v>3.4113071909302684E-2</v>
      </c>
      <c r="D59" s="171"/>
      <c r="F59" s="172">
        <f t="shared" si="2"/>
        <v>23.896811773758618</v>
      </c>
      <c r="P59" s="175" t="s">
        <v>611</v>
      </c>
      <c r="Q59" s="176">
        <v>28.647166816228193</v>
      </c>
      <c r="R59" s="226">
        <v>11.30283374754427</v>
      </c>
      <c r="S59" s="226">
        <v>17.344333068683923</v>
      </c>
      <c r="T59" s="222"/>
      <c r="U59" s="19" t="s">
        <v>38</v>
      </c>
      <c r="W59" s="246">
        <f t="shared" ref="W59:X62" si="12">Q72/1.15</f>
        <v>22.031981922884874</v>
      </c>
      <c r="X59" s="246">
        <f t="shared" si="12"/>
        <v>6.7488437499999998</v>
      </c>
      <c r="Y59" s="19">
        <f ca="1">'Charges as $ per MWh'!D29</f>
        <v>15.863271349640497</v>
      </c>
      <c r="Z59" s="19">
        <f t="shared" ca="1" si="3"/>
        <v>1.5863271349640498</v>
      </c>
      <c r="AA59" s="195">
        <f>'Charges as $ per MWh'!C29</f>
        <v>17.110783137975556</v>
      </c>
      <c r="AB59" s="195">
        <f t="shared" si="4"/>
        <v>5.0377654362024442</v>
      </c>
      <c r="AC59" s="231" t="s">
        <v>1673</v>
      </c>
      <c r="AD59" s="232"/>
      <c r="AE59" s="243">
        <v>23022</v>
      </c>
      <c r="AF59" s="243">
        <v>378</v>
      </c>
      <c r="AG59" s="244">
        <f t="shared" si="5"/>
        <v>6.0904761904761902</v>
      </c>
      <c r="AH59" s="237">
        <f>AG59-'Charges as $ per MWh'!C29/10</f>
        <v>4.3793978766786346</v>
      </c>
      <c r="AJ59" s="19">
        <f t="shared" si="6"/>
        <v>8328.0891668504828</v>
      </c>
      <c r="AL59" s="19">
        <f t="shared" si="7"/>
        <v>8328.0891668504828</v>
      </c>
    </row>
    <row r="60" spans="1:38" ht="15.75" x14ac:dyDescent="0.25">
      <c r="A60" s="117" t="str">
        <f t="shared" si="10"/>
        <v>Waipa Power</v>
      </c>
      <c r="B60" s="123">
        <f t="shared" ca="1" si="0"/>
        <v>-5.6622767425169949E-3</v>
      </c>
      <c r="C60" s="189">
        <f t="shared" ca="1" si="1"/>
        <v>-5.6622767425169949E-3</v>
      </c>
      <c r="D60" s="171"/>
      <c r="F60" s="172">
        <f t="shared" si="2"/>
        <v>22.031981922884874</v>
      </c>
      <c r="P60" s="175" t="s">
        <v>610</v>
      </c>
      <c r="Q60" s="176">
        <v>31.855971547799594</v>
      </c>
      <c r="R60" s="226">
        <v>13.827962961488527</v>
      </c>
      <c r="S60" s="226">
        <v>18.028008586311067</v>
      </c>
      <c r="T60" s="222"/>
      <c r="U60" s="19" t="s">
        <v>39</v>
      </c>
      <c r="W60" s="246">
        <f t="shared" si="12"/>
        <v>24.8344041356284</v>
      </c>
      <c r="X60" s="246">
        <f t="shared" si="12"/>
        <v>11.45484375</v>
      </c>
      <c r="Y60" s="19">
        <f ca="1">'Charges as $ per MWh'!D30</f>
        <v>17.780832855539657</v>
      </c>
      <c r="Z60" s="19">
        <f t="shared" ca="1" si="3"/>
        <v>1.7780832855539657</v>
      </c>
      <c r="AA60" s="195">
        <f>'Charges as $ per MWh'!C30</f>
        <v>15.839899810180441</v>
      </c>
      <c r="AB60" s="195">
        <f t="shared" si="4"/>
        <v>9.8708537689819558</v>
      </c>
      <c r="AC60" s="231" t="s">
        <v>1673</v>
      </c>
      <c r="AD60" s="232"/>
      <c r="AE60" s="243">
        <v>96877</v>
      </c>
      <c r="AF60" s="243">
        <v>1266</v>
      </c>
      <c r="AG60" s="244">
        <f t="shared" si="5"/>
        <v>7.652211690363349</v>
      </c>
      <c r="AH60" s="237">
        <f>AG60-'Charges as $ per MWh'!C30/10</f>
        <v>6.0682217093453055</v>
      </c>
      <c r="AJ60" s="19">
        <f t="shared" si="6"/>
        <v>31440.355635705553</v>
      </c>
      <c r="AL60" s="19">
        <f t="shared" si="7"/>
        <v>31440.355635705553</v>
      </c>
    </row>
    <row r="61" spans="1:38" ht="15.75" x14ac:dyDescent="0.25">
      <c r="A61" s="117" t="str">
        <f t="shared" si="10"/>
        <v>WEL</v>
      </c>
      <c r="B61" s="123">
        <f t="shared" ca="1" si="0"/>
        <v>7.8155007656281073E-3</v>
      </c>
      <c r="C61" s="189">
        <f t="shared" ca="1" si="1"/>
        <v>-4.2285494689961838E-3</v>
      </c>
      <c r="D61" s="171"/>
      <c r="F61" s="172">
        <f t="shared" si="2"/>
        <v>24.8344041356284</v>
      </c>
      <c r="P61" s="175" t="s">
        <v>612</v>
      </c>
      <c r="Q61" s="176">
        <v>32.012839151573473</v>
      </c>
      <c r="R61" s="222">
        <v>13.827962961488527</v>
      </c>
      <c r="S61" s="225">
        <v>18.184876190084946</v>
      </c>
      <c r="T61" s="222"/>
      <c r="U61" s="19" t="s">
        <v>40</v>
      </c>
      <c r="W61" s="246">
        <f t="shared" si="12"/>
        <v>23.43425727945699</v>
      </c>
      <c r="X61" s="246">
        <f t="shared" si="12"/>
        <v>9.4048437500000013</v>
      </c>
      <c r="Y61" s="19">
        <f ca="1">'Charges as $ per MWh'!D31</f>
        <v>17.522951927676981</v>
      </c>
      <c r="Z61" s="19">
        <f t="shared" ca="1" si="3"/>
        <v>1.7522951927676982</v>
      </c>
      <c r="AA61" s="195">
        <f>'Charges as $ per MWh'!C31</f>
        <v>22.415914100668541</v>
      </c>
      <c r="AB61" s="195">
        <f t="shared" si="4"/>
        <v>7.1632523399331474</v>
      </c>
      <c r="AC61" s="231" t="s">
        <v>1673</v>
      </c>
      <c r="AD61" s="232"/>
      <c r="AE61" s="243">
        <v>181939</v>
      </c>
      <c r="AF61" s="243">
        <v>2442</v>
      </c>
      <c r="AG61" s="244">
        <f t="shared" si="5"/>
        <v>7.4504095004095001</v>
      </c>
      <c r="AH61" s="237">
        <f>AG61-'Charges as $ per MWh'!C31/10</f>
        <v>5.2088180903426462</v>
      </c>
      <c r="AJ61" s="19">
        <f t="shared" si="6"/>
        <v>57226.456276433972</v>
      </c>
      <c r="AL61" s="19">
        <f t="shared" si="7"/>
        <v>57226.456276433972</v>
      </c>
    </row>
    <row r="62" spans="1:38" ht="15.75" x14ac:dyDescent="0.25">
      <c r="A62" s="117" t="str">
        <f t="shared" si="10"/>
        <v>Wellington Electricity</v>
      </c>
      <c r="B62" s="123">
        <f t="shared" ca="1" si="0"/>
        <v>-2.0879527414256235E-2</v>
      </c>
      <c r="C62" s="189">
        <f t="shared" ca="1" si="1"/>
        <v>-2.1183571956394462E-2</v>
      </c>
      <c r="D62" s="171"/>
      <c r="F62" s="172">
        <f t="shared" si="2"/>
        <v>23.43425727945699</v>
      </c>
      <c r="P62" s="175" t="s">
        <v>31</v>
      </c>
      <c r="Q62" s="176">
        <v>28.978884938351467</v>
      </c>
      <c r="R62" s="222">
        <v>13.740198792499999</v>
      </c>
      <c r="S62" s="225">
        <v>15.238686145851467</v>
      </c>
      <c r="T62" s="222"/>
      <c r="U62" s="19" t="s">
        <v>41</v>
      </c>
      <c r="W62" s="246">
        <f t="shared" si="12"/>
        <v>28.743162235846775</v>
      </c>
      <c r="X62" s="246">
        <f t="shared" si="12"/>
        <v>10.976800000000001</v>
      </c>
      <c r="Y62" s="19">
        <f ca="1">'Charges as $ per MWh'!D32</f>
        <v>16.440997249815634</v>
      </c>
      <c r="Z62" s="19">
        <f t="shared" ca="1" si="3"/>
        <v>1.6440997249815634</v>
      </c>
      <c r="AA62" s="195">
        <f>'Charges as $ per MWh'!C32</f>
        <v>5.6563840130751597</v>
      </c>
      <c r="AB62" s="195">
        <f t="shared" si="4"/>
        <v>10.411161598692484</v>
      </c>
      <c r="AC62" s="231" t="s">
        <v>1672</v>
      </c>
      <c r="AD62" s="232"/>
      <c r="AE62" s="243">
        <v>20361</v>
      </c>
      <c r="AF62" s="243">
        <v>284</v>
      </c>
      <c r="AG62" s="244">
        <f t="shared" si="5"/>
        <v>7.1693661971830984</v>
      </c>
      <c r="AH62" s="237">
        <f>AG62-'Charges as $ per MWh'!C32/10</f>
        <v>6.6037277958755825</v>
      </c>
      <c r="AJ62" s="19">
        <f t="shared" si="6"/>
        <v>8163.058074980484</v>
      </c>
      <c r="AL62" s="19">
        <f t="shared" si="7"/>
        <v>8163.058074980484</v>
      </c>
    </row>
    <row r="63" spans="1:38" ht="15.75" x14ac:dyDescent="0.25">
      <c r="A63" s="117" t="str">
        <f t="shared" si="10"/>
        <v>Westpower</v>
      </c>
      <c r="B63" s="123">
        <f t="shared" ca="1" si="0"/>
        <v>3.7520621942183321E-2</v>
      </c>
      <c r="C63" s="189">
        <f t="shared" ca="1" si="1"/>
        <v>2.7491848445662114E-2</v>
      </c>
      <c r="D63" s="171"/>
      <c r="F63" s="172">
        <f t="shared" si="2"/>
        <v>28.743162235846775</v>
      </c>
      <c r="P63" s="175" t="s">
        <v>607</v>
      </c>
      <c r="Q63" s="176">
        <v>30.400442659090665</v>
      </c>
      <c r="R63" s="222">
        <v>13.6455435</v>
      </c>
      <c r="S63" s="225">
        <v>16.754899159090662</v>
      </c>
      <c r="T63" s="222"/>
      <c r="W63" s="242"/>
      <c r="X63" s="247"/>
      <c r="AA63" s="234"/>
      <c r="AB63" s="231"/>
      <c r="AC63" s="231"/>
      <c r="AD63" s="232"/>
      <c r="AE63" s="243">
        <f>SUM(AE34:AE62)</f>
        <v>2456224</v>
      </c>
      <c r="AF63" s="243">
        <f>SUM(AF34:AF62)</f>
        <v>32758</v>
      </c>
      <c r="AG63" s="247"/>
      <c r="AH63" s="239"/>
      <c r="AL63" s="27"/>
    </row>
    <row r="64" spans="1:38" ht="15.75" x14ac:dyDescent="0.25">
      <c r="A64" s="27"/>
      <c r="B64" s="32"/>
      <c r="C64" s="171"/>
      <c r="D64" s="171"/>
      <c r="E64" s="171"/>
      <c r="F64" s="32"/>
      <c r="P64" s="175" t="s">
        <v>608</v>
      </c>
      <c r="Q64" s="176">
        <v>31.175450659090664</v>
      </c>
      <c r="R64" s="222">
        <v>12.870535500000001</v>
      </c>
      <c r="S64" s="225">
        <v>18.304915159090662</v>
      </c>
      <c r="T64" s="222"/>
      <c r="AA64" s="234"/>
      <c r="AB64" s="231"/>
      <c r="AC64" s="231"/>
      <c r="AD64" s="232"/>
      <c r="AE64" s="240"/>
      <c r="AF64" s="240"/>
      <c r="AG64" s="238"/>
      <c r="AH64" s="239"/>
    </row>
    <row r="65" spans="1:41" ht="15.75" x14ac:dyDescent="0.25">
      <c r="C65" s="170"/>
      <c r="D65" s="170"/>
      <c r="E65" s="170"/>
      <c r="P65" s="175" t="s">
        <v>624</v>
      </c>
      <c r="Q65" s="176">
        <v>29.766430032379105</v>
      </c>
      <c r="R65" s="222">
        <v>12.53307481270156</v>
      </c>
      <c r="S65" s="225">
        <v>17.233355219677545</v>
      </c>
      <c r="T65" s="222"/>
      <c r="AA65" s="234"/>
      <c r="AD65" s="232"/>
      <c r="AE65" s="232"/>
      <c r="AF65" s="232"/>
      <c r="AG65" s="27"/>
      <c r="AL65" s="231" t="s">
        <v>1672</v>
      </c>
      <c r="AM65" s="231">
        <f>SUMIF($AC$34:$AC$62,AL65,$AL$34:$AL$62)</f>
        <v>235383.08473873365</v>
      </c>
      <c r="AN65" s="19">
        <f>SUMIF($AC$34:$AC$62,AL65,$AF$34:$AF$62)</f>
        <v>9612</v>
      </c>
      <c r="AO65" s="19">
        <f>AM65/AN65</f>
        <v>24.488460751012656</v>
      </c>
    </row>
    <row r="66" spans="1:41" ht="15.75" x14ac:dyDescent="0.25">
      <c r="A66" s="113" t="s">
        <v>84</v>
      </c>
      <c r="B66" s="114"/>
      <c r="C66" s="170"/>
      <c r="D66" s="170"/>
      <c r="E66" s="170"/>
      <c r="F66" s="13"/>
      <c r="P66" s="175" t="s">
        <v>34</v>
      </c>
      <c r="Q66" s="176">
        <v>37.69094920775899</v>
      </c>
      <c r="R66" s="222">
        <v>19.0702703125</v>
      </c>
      <c r="S66" s="225">
        <v>18.62067889525899</v>
      </c>
      <c r="T66" s="222"/>
      <c r="AA66" s="234"/>
      <c r="AD66" s="232"/>
      <c r="AE66" s="232"/>
      <c r="AF66" s="232"/>
      <c r="AG66" s="27"/>
      <c r="AL66" s="231" t="s">
        <v>1673</v>
      </c>
      <c r="AM66" s="231">
        <f>SUMIF($AC$34:$AC$62,AL66,$AL$34:$AL$62)</f>
        <v>576965.81865622767</v>
      </c>
      <c r="AN66" s="19">
        <f>SUMIF($AC$34:$AC$62,AL66,$AF$34:$AF$62)</f>
        <v>23146</v>
      </c>
      <c r="AO66" s="19">
        <f>AM66/AN66</f>
        <v>24.927236613506768</v>
      </c>
    </row>
    <row r="67" spans="1:41" ht="27.75" customHeight="1" x14ac:dyDescent="0.25">
      <c r="A67" s="115"/>
      <c r="B67" s="116" t="str">
        <f>B2</f>
        <v>Proposal assuming continuation of ACOT</v>
      </c>
      <c r="C67" s="188" t="str">
        <f>C2</f>
        <v>Proposal assuming ACOT discontinued</v>
      </c>
      <c r="D67" s="168"/>
      <c r="F67" s="55"/>
      <c r="P67" s="175" t="s">
        <v>609</v>
      </c>
      <c r="Q67" s="176">
        <v>29.319663837236419</v>
      </c>
      <c r="R67" s="222">
        <v>14.1275703125</v>
      </c>
      <c r="S67" s="225">
        <v>15.192093524736419</v>
      </c>
      <c r="T67" s="222"/>
      <c r="AA67" s="234"/>
      <c r="AB67" s="231"/>
      <c r="AC67" s="231"/>
      <c r="AD67" s="232"/>
      <c r="AE67" s="232"/>
      <c r="AF67" s="232"/>
      <c r="AG67" s="27"/>
    </row>
    <row r="68" spans="1:41" ht="15.75" x14ac:dyDescent="0.25">
      <c r="A68" s="117" t="str">
        <f>'Charges as residential impact'!A3</f>
        <v>Alpine Energy</v>
      </c>
      <c r="B68" s="118">
        <f ca="1">'Charges as residential impact'!F3-'Charges as residential impact'!$B3</f>
        <v>-6.2546747628170749</v>
      </c>
      <c r="C68" s="191">
        <f ca="1">'Charges as residential impact'!F3-'Charges as residential impact'!I3</f>
        <v>-6.2546747628170749</v>
      </c>
      <c r="D68" s="284"/>
      <c r="F68" s="39"/>
      <c r="P68" s="175" t="s">
        <v>603</v>
      </c>
      <c r="Q68" s="176">
        <v>31.079518802470425</v>
      </c>
      <c r="R68" s="222">
        <v>13.552570312499999</v>
      </c>
      <c r="S68" s="225">
        <v>17.526948489970426</v>
      </c>
      <c r="T68" s="222"/>
      <c r="AA68" s="234"/>
      <c r="AB68" s="231"/>
      <c r="AC68" s="231"/>
      <c r="AD68" s="232"/>
      <c r="AE68" s="232"/>
      <c r="AF68" s="232"/>
      <c r="AG68" s="27"/>
    </row>
    <row r="69" spans="1:41" ht="15.75" x14ac:dyDescent="0.25">
      <c r="A69" s="117" t="str">
        <f>'Charges as residential impact'!A4</f>
        <v>Aurora Energy</v>
      </c>
      <c r="B69" s="118">
        <f ca="1">'Charges as residential impact'!F4-'Charges as residential impact'!$B4</f>
        <v>-13.70844215875718</v>
      </c>
      <c r="C69" s="191">
        <f ca="1">'Charges as residential impact'!F4-'Charges as residential impact'!I4</f>
        <v>-57.361162969379819</v>
      </c>
      <c r="D69" s="284"/>
      <c r="F69" s="39"/>
      <c r="P69" s="175" t="s">
        <v>604</v>
      </c>
      <c r="Q69" s="176">
        <v>30.801254981157594</v>
      </c>
      <c r="R69" s="222">
        <v>13.552570312499999</v>
      </c>
      <c r="S69" s="225">
        <v>17.248684668657596</v>
      </c>
      <c r="T69" s="222"/>
      <c r="AA69" s="234"/>
      <c r="AB69" s="231"/>
      <c r="AC69" s="231"/>
      <c r="AD69" s="232"/>
      <c r="AE69" s="232"/>
      <c r="AF69" s="232"/>
      <c r="AG69" s="27"/>
    </row>
    <row r="70" spans="1:41" ht="15.75" x14ac:dyDescent="0.25">
      <c r="A70" s="117" t="str">
        <f>'Charges as residential impact'!A5</f>
        <v>Buller Electricity</v>
      </c>
      <c r="B70" s="118">
        <f ca="1">'Charges as residential impact'!F5-'Charges as residential impact'!$B5</f>
        <v>26.476273151033851</v>
      </c>
      <c r="C70" s="191">
        <f ca="1">'Charges as residential impact'!F5-'Charges as residential impact'!I5</f>
        <v>26.476273151033851</v>
      </c>
      <c r="D70" s="284"/>
      <c r="F70" s="39"/>
      <c r="P70" s="175" t="s">
        <v>598</v>
      </c>
      <c r="Q70" s="176">
        <v>27.367188727250621</v>
      </c>
      <c r="R70" s="222">
        <v>11.482570312499998</v>
      </c>
      <c r="S70" s="225">
        <v>15.884618414750623</v>
      </c>
      <c r="T70" s="222"/>
      <c r="AA70" s="234"/>
      <c r="AB70" s="231"/>
      <c r="AC70" s="231"/>
      <c r="AD70" s="232"/>
      <c r="AE70" s="232"/>
      <c r="AF70" s="232"/>
      <c r="AG70" s="27"/>
    </row>
    <row r="71" spans="1:41" ht="15.75" x14ac:dyDescent="0.25">
      <c r="A71" s="117" t="s">
        <v>100</v>
      </c>
      <c r="B71" s="118">
        <f ca="1">'Charges as residential impact'!F6-'Charges as residential impact'!$B6</f>
        <v>-28.593188568093254</v>
      </c>
      <c r="C71" s="191">
        <f ca="1">'Charges as residential impact'!F6-'Charges as residential impact'!I6</f>
        <v>-28.593188568093254</v>
      </c>
      <c r="D71" s="284"/>
      <c r="F71" s="39"/>
      <c r="P71" s="175" t="s">
        <v>597</v>
      </c>
      <c r="Q71" s="176">
        <v>27.595478352394196</v>
      </c>
      <c r="R71" s="222">
        <v>11.482570312499998</v>
      </c>
      <c r="S71" s="225">
        <v>16.112908039894197</v>
      </c>
      <c r="T71" s="222"/>
      <c r="AA71" s="234"/>
      <c r="AB71" s="231"/>
      <c r="AC71" s="231"/>
      <c r="AD71" s="232"/>
      <c r="AE71" s="232"/>
      <c r="AF71" s="232"/>
      <c r="AG71" s="27"/>
    </row>
    <row r="72" spans="1:41" ht="15.75" x14ac:dyDescent="0.25">
      <c r="A72" s="117" t="str">
        <f>'Charges as residential impact'!A7</f>
        <v>Counties Power</v>
      </c>
      <c r="B72" s="118">
        <f ca="1">'Charges as residential impact'!F7-'Charges as residential impact'!$B7</f>
        <v>32.53621115351757</v>
      </c>
      <c r="C72" s="191">
        <f ca="1">'Charges as residential impact'!F7-'Charges as residential impact'!I7</f>
        <v>32.53621115351757</v>
      </c>
      <c r="D72" s="284"/>
      <c r="F72" s="39"/>
      <c r="P72" s="175" t="s">
        <v>601</v>
      </c>
      <c r="Q72" s="176">
        <v>25.336779211317602</v>
      </c>
      <c r="R72" s="222">
        <v>7.7611703124999991</v>
      </c>
      <c r="S72" s="225">
        <v>17.575608898817602</v>
      </c>
      <c r="T72" s="222"/>
      <c r="AA72" s="234"/>
      <c r="AB72" s="231"/>
      <c r="AC72" s="231"/>
      <c r="AD72" s="232"/>
      <c r="AE72" s="232"/>
      <c r="AF72" s="232"/>
      <c r="AG72" s="27"/>
    </row>
    <row r="73" spans="1:41" ht="15.75" x14ac:dyDescent="0.25">
      <c r="A73" s="117" t="str">
        <f>'Charges as residential impact'!A8</f>
        <v>Eastland Network</v>
      </c>
      <c r="B73" s="118">
        <f ca="1">'Charges as residential impact'!F8-'Charges as residential impact'!$B8</f>
        <v>-24.094247297379198</v>
      </c>
      <c r="C73" s="191">
        <f ca="1">'Charges as residential impact'!F8-'Charges as residential impact'!I8</f>
        <v>-79.376020578580381</v>
      </c>
      <c r="D73" s="284"/>
      <c r="F73" s="39"/>
      <c r="P73" s="175" t="s">
        <v>590</v>
      </c>
      <c r="Q73" s="176">
        <v>28.559564755972659</v>
      </c>
      <c r="R73" s="222">
        <v>13.173070312499998</v>
      </c>
      <c r="S73" s="225">
        <v>15.38649444347266</v>
      </c>
      <c r="T73" s="222"/>
      <c r="AA73" s="234"/>
      <c r="AB73" s="231"/>
      <c r="AC73" s="231"/>
      <c r="AD73" s="232"/>
      <c r="AE73" s="232"/>
      <c r="AF73" s="232"/>
      <c r="AG73" s="27"/>
    </row>
    <row r="74" spans="1:41" ht="15.75" x14ac:dyDescent="0.25">
      <c r="A74" s="117" t="str">
        <f>'Charges as residential impact'!A9</f>
        <v>Electra</v>
      </c>
      <c r="B74" s="118">
        <f ca="1">'Charges as residential impact'!F9-'Charges as residential impact'!$B9</f>
        <v>14.339474742147459</v>
      </c>
      <c r="C74" s="191">
        <f ca="1">'Charges as residential impact'!F9-'Charges as residential impact'!I9</f>
        <v>-6.2759351548613722</v>
      </c>
      <c r="D74" s="284"/>
      <c r="F74" s="39"/>
      <c r="P74" s="175" t="s">
        <v>614</v>
      </c>
      <c r="Q74" s="176">
        <v>26.949395871375536</v>
      </c>
      <c r="R74" s="222">
        <v>10.8155703125</v>
      </c>
      <c r="S74" s="225">
        <v>16.133825558875536</v>
      </c>
      <c r="T74" s="222"/>
      <c r="AA74" s="234"/>
      <c r="AB74" s="231"/>
      <c r="AC74" s="231"/>
      <c r="AD74" s="232"/>
      <c r="AE74" s="232"/>
      <c r="AF74" s="232"/>
      <c r="AG74" s="27"/>
    </row>
    <row r="75" spans="1:41" ht="15.75" x14ac:dyDescent="0.25">
      <c r="A75" s="117" t="str">
        <f>'Charges as residential impact'!A10</f>
        <v>Electricity Ashburton</v>
      </c>
      <c r="B75" s="118">
        <f ca="1">'Charges as residential impact'!F10-'Charges as residential impact'!$B10</f>
        <v>117.00257637472615</v>
      </c>
      <c r="C75" s="191">
        <f ca="1">'Charges as residential impact'!F10-'Charges as residential impact'!I10</f>
        <v>101.80438939142886</v>
      </c>
      <c r="D75" s="284"/>
      <c r="F75" s="39"/>
      <c r="P75" s="175" t="s">
        <v>41</v>
      </c>
      <c r="Q75" s="176">
        <v>33.054636571223789</v>
      </c>
      <c r="R75" s="222">
        <v>12.62332</v>
      </c>
      <c r="S75" s="225">
        <v>20.431316571223789</v>
      </c>
      <c r="T75" s="222"/>
      <c r="AA75" s="234"/>
      <c r="AB75" s="231"/>
      <c r="AC75" s="231"/>
      <c r="AD75" s="232"/>
      <c r="AE75" s="232"/>
      <c r="AF75" s="232"/>
      <c r="AG75" s="27"/>
    </row>
    <row r="76" spans="1:41" ht="15.75" x14ac:dyDescent="0.25">
      <c r="A76" s="117" t="str">
        <f>'Charges as residential impact'!A11</f>
        <v>Electricity Invercargill</v>
      </c>
      <c r="B76" s="118">
        <f ca="1">'Charges as residential impact'!F11-'Charges as residential impact'!$B11</f>
        <v>-63.859810233606154</v>
      </c>
      <c r="C76" s="191">
        <f ca="1">'Charges as residential impact'!F11-'Charges as residential impact'!I11</f>
        <v>-63.859810233606154</v>
      </c>
      <c r="D76" s="284"/>
      <c r="F76" s="39"/>
      <c r="P76" s="175"/>
      <c r="Q76" s="177"/>
      <c r="R76" s="177"/>
      <c r="S76" s="177"/>
      <c r="AA76" s="234"/>
      <c r="AB76" s="231"/>
      <c r="AC76" s="231"/>
      <c r="AD76" s="232"/>
      <c r="AE76" s="232"/>
      <c r="AF76" s="232"/>
      <c r="AG76" s="27"/>
    </row>
    <row r="77" spans="1:41" ht="15.75" x14ac:dyDescent="0.25">
      <c r="A77" s="117" t="str">
        <f>'Charges as residential impact'!A12</f>
        <v>Horizon</v>
      </c>
      <c r="B77" s="118">
        <f ca="1">'Charges as residential impact'!F12-'Charges as residential impact'!$B12</f>
        <v>45.752181911904316</v>
      </c>
      <c r="C77" s="191">
        <f ca="1">'Charges as residential impact'!F12-'Charges as residential impact'!I12</f>
        <v>2.7085622228655097</v>
      </c>
      <c r="D77" s="284"/>
      <c r="F77" s="39"/>
      <c r="P77" s="173"/>
      <c r="Q77" s="174"/>
      <c r="R77" s="174"/>
      <c r="S77" s="174"/>
      <c r="AA77" s="234"/>
      <c r="AB77" s="231"/>
      <c r="AC77" s="231"/>
      <c r="AD77" s="232"/>
      <c r="AE77" s="232"/>
      <c r="AF77" s="232"/>
      <c r="AG77" s="27"/>
    </row>
    <row r="78" spans="1:41" ht="15.75" x14ac:dyDescent="0.25">
      <c r="A78" s="117" t="s">
        <v>102</v>
      </c>
      <c r="B78" s="118">
        <f ca="1">'Charges as residential impact'!F13-'Charges as residential impact'!$B13</f>
        <v>-33.370446343332759</v>
      </c>
      <c r="C78" s="191">
        <f ca="1">'Charges as residential impact'!F13-'Charges as residential impact'!I13</f>
        <v>-33.370446343332759</v>
      </c>
      <c r="D78" s="284"/>
      <c r="F78" s="39"/>
      <c r="G78" s="39"/>
      <c r="H78" s="39"/>
      <c r="AA78" s="234"/>
      <c r="AB78" s="231"/>
      <c r="AC78" s="231"/>
      <c r="AD78" s="232"/>
      <c r="AE78" s="232"/>
      <c r="AF78" s="232"/>
      <c r="AG78" s="27"/>
    </row>
    <row r="79" spans="1:41" ht="15.75" x14ac:dyDescent="0.25">
      <c r="A79" s="117" t="str">
        <f>'Charges as residential impact'!A14</f>
        <v>Mainpower</v>
      </c>
      <c r="B79" s="118">
        <f ca="1">'Charges as residential impact'!F14-'Charges as residential impact'!$B14</f>
        <v>-19.124925016892405</v>
      </c>
      <c r="C79" s="191">
        <f ca="1">'Charges as residential impact'!F14-'Charges as residential impact'!I14</f>
        <v>-33.965418801941723</v>
      </c>
      <c r="D79" s="284"/>
      <c r="F79" s="39"/>
      <c r="G79" s="39"/>
      <c r="H79" s="39"/>
      <c r="AA79" s="234"/>
      <c r="AB79" s="231"/>
      <c r="AC79" s="231"/>
      <c r="AD79" s="232"/>
      <c r="AE79" s="232"/>
      <c r="AF79" s="232"/>
      <c r="AG79" s="27"/>
    </row>
    <row r="80" spans="1:41" ht="15.75" x14ac:dyDescent="0.25">
      <c r="A80" s="117" t="str">
        <f>'Charges as residential impact'!A15</f>
        <v>Marlborough Lines</v>
      </c>
      <c r="B80" s="118">
        <f ca="1">'Charges as residential impact'!F15-'Charges as residential impact'!$B15</f>
        <v>-30.693709181512304</v>
      </c>
      <c r="C80" s="191">
        <f ca="1">'Charges as residential impact'!F15-'Charges as residential impact'!I15</f>
        <v>-33.563665066386434</v>
      </c>
      <c r="D80" s="284"/>
      <c r="F80" s="39"/>
      <c r="G80" s="39"/>
      <c r="H80" s="39"/>
      <c r="AA80" s="234"/>
      <c r="AB80" s="231"/>
      <c r="AC80" s="231"/>
      <c r="AD80" s="232"/>
      <c r="AE80" s="232"/>
      <c r="AF80" s="232"/>
      <c r="AG80" s="27"/>
    </row>
    <row r="81" spans="1:33" ht="15.75" x14ac:dyDescent="0.25">
      <c r="A81" s="117" t="str">
        <f>'Charges as residential impact'!A16</f>
        <v>Network Tasman</v>
      </c>
      <c r="B81" s="118">
        <f ca="1">'Charges as residential impact'!F16-'Charges as residential impact'!$B16</f>
        <v>-4.0460416967935231</v>
      </c>
      <c r="C81" s="191">
        <f ca="1">'Charges as residential impact'!F16-'Charges as residential impact'!I16</f>
        <v>-4.7440148455580555</v>
      </c>
      <c r="D81" s="284"/>
      <c r="F81" s="39"/>
      <c r="G81" s="39"/>
      <c r="H81" s="39"/>
      <c r="AA81" s="234"/>
      <c r="AB81" s="231"/>
      <c r="AC81" s="231"/>
      <c r="AD81" s="232"/>
      <c r="AE81" s="232"/>
      <c r="AF81" s="232"/>
      <c r="AG81" s="27"/>
    </row>
    <row r="82" spans="1:33" ht="15.75" x14ac:dyDescent="0.25">
      <c r="A82" s="117" t="str">
        <f>'Charges as residential impact'!A17</f>
        <v>Network Waitaki</v>
      </c>
      <c r="B82" s="118">
        <f ca="1">'Charges as residential impact'!F17-'Charges as residential impact'!$B17</f>
        <v>21.283914297394574</v>
      </c>
      <c r="C82" s="191">
        <f ca="1">'Charges as residential impact'!F17-'Charges as residential impact'!I17</f>
        <v>21.283914297394574</v>
      </c>
      <c r="D82" s="284"/>
      <c r="F82" s="39"/>
      <c r="G82" s="39"/>
      <c r="H82" s="39"/>
      <c r="AA82" s="234"/>
      <c r="AB82" s="231"/>
      <c r="AC82" s="231"/>
      <c r="AD82" s="235"/>
      <c r="AE82" s="235"/>
      <c r="AF82" s="235"/>
      <c r="AG82" s="27"/>
    </row>
    <row r="83" spans="1:33" ht="15.75" x14ac:dyDescent="0.25">
      <c r="A83" s="117" t="str">
        <f>'Charges as residential impact'!A18</f>
        <v>Northpower</v>
      </c>
      <c r="B83" s="118">
        <f ca="1">'Charges as residential impact'!F18-'Charges as residential impact'!$B18</f>
        <v>63.215938307107038</v>
      </c>
      <c r="C83" s="191">
        <f ca="1">'Charges as residential impact'!F18-'Charges as residential impact'!I18</f>
        <v>35.535220550480005</v>
      </c>
      <c r="D83" s="284"/>
      <c r="F83" s="39"/>
      <c r="G83" s="39"/>
      <c r="H83" s="39"/>
      <c r="AA83" s="173"/>
      <c r="AB83" s="224"/>
      <c r="AC83" s="224"/>
      <c r="AD83" s="174"/>
      <c r="AE83" s="227"/>
      <c r="AF83" s="228"/>
    </row>
    <row r="84" spans="1:33" x14ac:dyDescent="0.25">
      <c r="A84" s="117" t="str">
        <f>'Charges as residential impact'!A19</f>
        <v>Orion</v>
      </c>
      <c r="B84" s="118">
        <f ca="1">'Charges as residential impact'!F19-'Charges as residential impact'!$B19</f>
        <v>-44.268786545563643</v>
      </c>
      <c r="C84" s="191">
        <f ca="1">'Charges as residential impact'!F19-'Charges as residential impact'!I19</f>
        <v>-47.592495481389136</v>
      </c>
      <c r="D84" s="284"/>
      <c r="F84" s="39"/>
      <c r="G84" s="39"/>
      <c r="H84" s="39"/>
    </row>
    <row r="85" spans="1:33" x14ac:dyDescent="0.25">
      <c r="A85" s="117" t="str">
        <f>'Charges as residential impact'!A20</f>
        <v>OtagoNet JV</v>
      </c>
      <c r="B85" s="118">
        <f ca="1">'Charges as residential impact'!F20-'Charges as residential impact'!$B20</f>
        <v>12.267540920817638</v>
      </c>
      <c r="C85" s="191">
        <f ca="1">'Charges as residential impact'!F20-'Charges as residential impact'!I20</f>
        <v>-4.4609325743923449</v>
      </c>
      <c r="D85" s="284"/>
      <c r="F85" s="39"/>
      <c r="G85" s="39"/>
      <c r="H85" s="39"/>
    </row>
    <row r="86" spans="1:33" x14ac:dyDescent="0.25">
      <c r="A86" s="117" t="str">
        <f>'Charges as residential impact'!A21</f>
        <v>Powerco</v>
      </c>
      <c r="B86" s="118">
        <f ca="1">'Charges as residential impact'!F21-'Charges as residential impact'!$B21</f>
        <v>-2.443485230365809</v>
      </c>
      <c r="C86" s="191">
        <f ca="1">'Charges as residential impact'!F21-'Charges as residential impact'!I21</f>
        <v>-15.822931112063372</v>
      </c>
      <c r="D86" s="284"/>
      <c r="F86" s="39"/>
      <c r="G86" s="39"/>
      <c r="H86" s="39"/>
    </row>
    <row r="87" spans="1:33" x14ac:dyDescent="0.25">
      <c r="A87" s="117" t="str">
        <f>'Charges as residential impact'!A22</f>
        <v>Scanpower</v>
      </c>
      <c r="B87" s="118">
        <f ca="1">'Charges as residential impact'!F22-'Charges as residential impact'!$B22</f>
        <v>-27.877955804575834</v>
      </c>
      <c r="C87" s="191">
        <f ca="1">'Charges as residential impact'!F22-'Charges as residential impact'!I22</f>
        <v>-27.877955804575834</v>
      </c>
      <c r="D87" s="284"/>
      <c r="F87" s="39"/>
      <c r="G87" s="39"/>
      <c r="H87" s="39"/>
    </row>
    <row r="88" spans="1:33" x14ac:dyDescent="0.25">
      <c r="A88" s="117" t="str">
        <f>'Charges as residential impact'!A23</f>
        <v>The Lines Company</v>
      </c>
      <c r="B88" s="118">
        <f ca="1">'Charges as residential impact'!F23-'Charges as residential impact'!$B23</f>
        <v>41.390358130781692</v>
      </c>
      <c r="C88" s="191">
        <f ca="1">'Charges as residential impact'!F23-'Charges as residential impact'!I23</f>
        <v>4.1431675501219161</v>
      </c>
      <c r="D88" s="284"/>
      <c r="F88" s="39"/>
      <c r="G88" s="39"/>
      <c r="H88" s="39"/>
    </row>
    <row r="89" spans="1:33" x14ac:dyDescent="0.25">
      <c r="A89" s="117" t="str">
        <f>'Charges as residential impact'!A24</f>
        <v>The Power Company</v>
      </c>
      <c r="B89" s="118">
        <f ca="1">'Charges as residential impact'!F24-'Charges as residential impact'!$B24</f>
        <v>3.9543088511479567</v>
      </c>
      <c r="C89" s="191">
        <f ca="1">'Charges as residential impact'!F24-'Charges as residential impact'!I24</f>
        <v>-19.632626007722195</v>
      </c>
      <c r="D89" s="284"/>
      <c r="F89" s="39"/>
      <c r="G89" s="39"/>
      <c r="H89" s="39"/>
    </row>
    <row r="90" spans="1:33" x14ac:dyDescent="0.25">
      <c r="A90" s="117" t="str">
        <f>'Charges as residential impact'!A25</f>
        <v>Top Energy</v>
      </c>
      <c r="B90" s="118">
        <f ca="1">'Charges as residential impact'!F25-'Charges as residential impact'!$B25</f>
        <v>87.039499919722886</v>
      </c>
      <c r="C90" s="191">
        <f ca="1">'Charges as residential impact'!F25-'Charges as residential impact'!I25</f>
        <v>20.243685980145216</v>
      </c>
      <c r="D90" s="284"/>
      <c r="F90" s="39"/>
      <c r="G90" s="39"/>
      <c r="H90" s="39"/>
    </row>
    <row r="91" spans="1:33" x14ac:dyDescent="0.25">
      <c r="A91" s="117" t="str">
        <f>'Charges as residential impact'!A26</f>
        <v>Unison</v>
      </c>
      <c r="B91" s="118">
        <f ca="1">'Charges as residential impact'!F26-'Charges as residential impact'!$B26</f>
        <v>-24.996846619813681</v>
      </c>
      <c r="C91" s="191">
        <f ca="1">'Charges as residential impact'!F26-'Charges as residential impact'!I26</f>
        <v>-51.121972961353009</v>
      </c>
      <c r="D91" s="284"/>
      <c r="F91" s="39"/>
      <c r="G91" s="39"/>
      <c r="H91" s="39"/>
    </row>
    <row r="92" spans="1:33" x14ac:dyDescent="0.25">
      <c r="A92" s="117" t="str">
        <f>'Charges as residential impact'!A27</f>
        <v>Vector</v>
      </c>
      <c r="B92" s="118">
        <f ca="1">'Charges as residential impact'!F27-'Charges as residential impact'!$B27</f>
        <v>66.05118677611415</v>
      </c>
      <c r="C92" s="191">
        <f ca="1">'Charges as residential impact'!F27-'Charges as residential impact'!I27</f>
        <v>58.034818575240791</v>
      </c>
      <c r="D92" s="284"/>
      <c r="F92" s="39"/>
      <c r="G92" s="39"/>
      <c r="H92" s="39"/>
    </row>
    <row r="93" spans="1:33" x14ac:dyDescent="0.25">
      <c r="A93" s="117" t="str">
        <f>'Charges as residential impact'!A28</f>
        <v>Waipa Power</v>
      </c>
      <c r="B93" s="118">
        <f ca="1">'Charges as residential impact'!F28-'Charges as residential impact'!$B28</f>
        <v>-9.5413194604872729</v>
      </c>
      <c r="C93" s="191">
        <f ca="1">'Charges as residential impact'!F28-'Charges as residential impact'!I28</f>
        <v>-9.5413194604872729</v>
      </c>
      <c r="D93" s="284"/>
      <c r="F93" s="39"/>
      <c r="G93" s="39"/>
      <c r="H93" s="39"/>
    </row>
    <row r="94" spans="1:33" x14ac:dyDescent="0.25">
      <c r="A94" s="117" t="str">
        <f>'Charges as residential impact'!A29</f>
        <v>WEL</v>
      </c>
      <c r="B94" s="118">
        <f ca="1">'Charges as residential impact'!F29-'Charges as residential impact'!$B29</f>
        <v>13.636607390084791</v>
      </c>
      <c r="C94" s="191">
        <f ca="1">'Charges as residential impact'!F29-'Charges as residential impact'!I29</f>
        <v>-7.378038934094846</v>
      </c>
      <c r="D94" s="284"/>
      <c r="F94" s="39"/>
      <c r="G94" s="39"/>
      <c r="H94" s="39"/>
    </row>
    <row r="95" spans="1:33" x14ac:dyDescent="0.25">
      <c r="A95" s="115" t="str">
        <f>'Charges as residential impact'!A30</f>
        <v>Wellington Electricity</v>
      </c>
      <c r="B95" s="119">
        <f ca="1">'Charges as residential impact'!F30-'Charges as residential impact'!$B30</f>
        <v>-35.032043410724214</v>
      </c>
      <c r="C95" s="191">
        <f ca="1">'Charges as residential impact'!F30-'Charges as residential impact'!I30</f>
        <v>-35.542174765120052</v>
      </c>
      <c r="D95" s="284"/>
      <c r="F95" s="33"/>
      <c r="G95" s="33"/>
      <c r="H95" s="31"/>
    </row>
    <row r="96" spans="1:33" x14ac:dyDescent="0.25">
      <c r="A96" s="115" t="str">
        <f>'Charges as residential impact'!A31</f>
        <v>Westpower</v>
      </c>
      <c r="B96" s="119">
        <f ca="1">'Charges as residential impact'!F31-'Charges as residential impact'!$B31</f>
        <v>66.335940326925908</v>
      </c>
      <c r="C96" s="191">
        <f ca="1">'Charges as residential impact'!F31-'Charges as residential impact'!I31</f>
        <v>48.605207578342515</v>
      </c>
      <c r="D96" s="284"/>
      <c r="F96" s="33"/>
      <c r="G96" s="33"/>
      <c r="H96" s="31"/>
    </row>
    <row r="97" spans="5:8" x14ac:dyDescent="0.25">
      <c r="H97" s="27"/>
    </row>
    <row r="98" spans="5:8" ht="24.75" customHeight="1" x14ac:dyDescent="0.25">
      <c r="H98" s="27"/>
    </row>
    <row r="99" spans="5:8" ht="90" customHeight="1" x14ac:dyDescent="0.25">
      <c r="E99" s="70"/>
      <c r="F99" s="70"/>
      <c r="G99" s="70"/>
      <c r="H99" s="27"/>
    </row>
    <row r="100" spans="5:8" x14ac:dyDescent="0.25">
      <c r="E100" s="195"/>
      <c r="F100" s="195"/>
      <c r="G100" s="195"/>
    </row>
    <row r="101" spans="5:8" x14ac:dyDescent="0.25">
      <c r="E101" s="195"/>
      <c r="F101" s="195"/>
      <c r="G101" s="195"/>
    </row>
    <row r="102" spans="5:8" x14ac:dyDescent="0.25">
      <c r="E102" s="195"/>
      <c r="F102" s="195"/>
      <c r="G102" s="195"/>
    </row>
    <row r="103" spans="5:8" x14ac:dyDescent="0.25">
      <c r="E103" s="195"/>
      <c r="F103" s="195"/>
      <c r="G103" s="195"/>
    </row>
    <row r="104" spans="5:8" x14ac:dyDescent="0.25">
      <c r="E104" s="195"/>
      <c r="F104" s="195"/>
      <c r="G104" s="278"/>
    </row>
    <row r="105" spans="5:8" x14ac:dyDescent="0.25">
      <c r="E105" s="195"/>
      <c r="F105" s="195"/>
      <c r="G105" s="195"/>
    </row>
    <row r="106" spans="5:8" x14ac:dyDescent="0.25">
      <c r="E106" s="195"/>
      <c r="F106" s="195"/>
      <c r="G106" s="195"/>
    </row>
    <row r="107" spans="5:8" x14ac:dyDescent="0.25">
      <c r="E107" s="195"/>
      <c r="F107" s="195"/>
      <c r="G107" s="195"/>
    </row>
    <row r="108" spans="5:8" x14ac:dyDescent="0.25">
      <c r="E108" s="195"/>
      <c r="F108" s="195"/>
      <c r="G108" s="195"/>
    </row>
    <row r="109" spans="5:8" x14ac:dyDescent="0.25">
      <c r="E109" s="195"/>
      <c r="F109" s="195"/>
      <c r="G109" s="278"/>
    </row>
    <row r="110" spans="5:8" x14ac:dyDescent="0.25">
      <c r="E110" s="195"/>
      <c r="F110" s="195"/>
      <c r="G110" s="195"/>
    </row>
    <row r="111" spans="5:8" x14ac:dyDescent="0.25">
      <c r="E111" s="195"/>
      <c r="F111" s="195"/>
      <c r="G111" s="195"/>
    </row>
    <row r="112" spans="5:8" x14ac:dyDescent="0.25">
      <c r="E112" s="195"/>
      <c r="F112" s="195"/>
      <c r="G112" s="195"/>
    </row>
    <row r="113" spans="5:7" x14ac:dyDescent="0.25">
      <c r="E113" s="195"/>
      <c r="F113" s="195"/>
      <c r="G113" s="195"/>
    </row>
    <row r="114" spans="5:7" x14ac:dyDescent="0.25">
      <c r="E114" s="195"/>
      <c r="F114" s="195"/>
      <c r="G114" s="278"/>
    </row>
    <row r="115" spans="5:7" x14ac:dyDescent="0.25">
      <c r="E115" s="195"/>
      <c r="F115" s="195"/>
      <c r="G115" s="195"/>
    </row>
    <row r="116" spans="5:7" x14ac:dyDescent="0.25">
      <c r="E116" s="195"/>
      <c r="F116" s="195"/>
      <c r="G116" s="195"/>
    </row>
    <row r="117" spans="5:7" x14ac:dyDescent="0.25">
      <c r="E117" s="195"/>
      <c r="F117" s="195"/>
      <c r="G117" s="195"/>
    </row>
    <row r="118" spans="5:7" x14ac:dyDescent="0.25">
      <c r="E118" s="195"/>
      <c r="F118" s="195"/>
      <c r="G118" s="195"/>
    </row>
    <row r="119" spans="5:7" x14ac:dyDescent="0.25">
      <c r="E119" s="195"/>
      <c r="F119" s="195"/>
      <c r="G119" s="278"/>
    </row>
    <row r="120" spans="5:7" x14ac:dyDescent="0.25">
      <c r="E120" s="195"/>
      <c r="F120" s="195"/>
      <c r="G120" s="195"/>
    </row>
    <row r="121" spans="5:7" x14ac:dyDescent="0.25">
      <c r="E121" s="195"/>
      <c r="F121" s="195"/>
      <c r="G121" s="195"/>
    </row>
    <row r="122" spans="5:7" x14ac:dyDescent="0.25">
      <c r="E122" s="195"/>
      <c r="F122" s="195"/>
      <c r="G122" s="195"/>
    </row>
    <row r="123" spans="5:7" x14ac:dyDescent="0.25">
      <c r="E123" s="195"/>
      <c r="F123" s="195"/>
      <c r="G123" s="195"/>
    </row>
    <row r="124" spans="5:7" x14ac:dyDescent="0.25">
      <c r="E124" s="195"/>
      <c r="F124" s="195"/>
      <c r="G124" s="278"/>
    </row>
    <row r="125" spans="5:7" x14ac:dyDescent="0.25">
      <c r="E125" s="195"/>
      <c r="F125" s="195"/>
      <c r="G125" s="195"/>
    </row>
    <row r="126" spans="5:7" x14ac:dyDescent="0.25">
      <c r="E126" s="195"/>
      <c r="F126" s="195"/>
      <c r="G126" s="195"/>
    </row>
    <row r="127" spans="5:7" x14ac:dyDescent="0.25">
      <c r="E127" s="195"/>
      <c r="F127" s="195"/>
      <c r="G127" s="195"/>
    </row>
    <row r="128" spans="5:7" x14ac:dyDescent="0.25">
      <c r="E128" s="195"/>
      <c r="F128" s="195"/>
      <c r="G128" s="195"/>
    </row>
    <row r="129" spans="7:7" x14ac:dyDescent="0.25">
      <c r="G129" s="70"/>
    </row>
  </sheetData>
  <sortState ref="AA40:AF83">
    <sortCondition ref="AA40"/>
  </sortState>
  <mergeCells count="1">
    <mergeCell ref="W32:X32"/>
  </mergeCells>
  <hyperlinks>
    <hyperlink ref="P30" r:id="rId1"/>
  </hyperlinks>
  <pageMargins left="0.7" right="0.7" top="0.75" bottom="0.75" header="0.3" footer="0.3"/>
  <pageSetup paperSize="9" orientation="portrait" verticalDpi="0" r:id="rId2"/>
  <drawing r:id="rId3"/>
  <legacyDrawing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1"/>
  <sheetViews>
    <sheetView topLeftCell="B1" zoomScale="85" zoomScaleNormal="85" workbookViewId="0">
      <selection activeCell="K16" sqref="K16"/>
    </sheetView>
  </sheetViews>
  <sheetFormatPr defaultRowHeight="15" x14ac:dyDescent="0.25"/>
  <cols>
    <col min="1" max="1" width="12.42578125" style="19" bestFit="1" customWidth="1"/>
    <col min="2" max="2" width="21.85546875" style="19" bestFit="1" customWidth="1"/>
    <col min="3" max="3" width="32.7109375" style="37" customWidth="1"/>
    <col min="4" max="5" width="18.7109375" style="37" hidden="1" customWidth="1"/>
    <col min="6" max="6" width="3.7109375" style="37" customWidth="1"/>
    <col min="7" max="7" width="16.7109375" style="37" customWidth="1"/>
    <col min="8" max="8" width="23.85546875" style="37" customWidth="1"/>
    <col min="9" max="9" width="22.140625" style="37" customWidth="1"/>
    <col min="10" max="10" width="22.7109375" style="37" customWidth="1"/>
    <col min="11" max="11" width="17.140625" style="37" customWidth="1"/>
    <col min="12" max="12" width="26.85546875" style="37" customWidth="1"/>
    <col min="13" max="13" width="9.42578125" style="37" customWidth="1"/>
    <col min="14" max="14" width="22" style="37" customWidth="1"/>
    <col min="15" max="15" width="12.85546875" style="37" customWidth="1"/>
    <col min="16" max="16" width="18.85546875" style="37" bestFit="1" customWidth="1"/>
    <col min="17" max="17" width="17.28515625" style="37" bestFit="1" customWidth="1"/>
    <col min="18" max="18" width="10.28515625" style="37" bestFit="1" customWidth="1"/>
    <col min="19" max="19" width="4.42578125" style="19" customWidth="1"/>
    <col min="20" max="16384" width="9.140625" style="19"/>
  </cols>
  <sheetData>
    <row r="1" spans="1:18" x14ac:dyDescent="0.25">
      <c r="C1" s="58"/>
      <c r="D1" s="541" t="s">
        <v>43</v>
      </c>
      <c r="E1" s="541"/>
      <c r="F1" s="52" t="s">
        <v>59</v>
      </c>
      <c r="G1" s="52" t="s">
        <v>55</v>
      </c>
      <c r="H1" s="52"/>
      <c r="I1" s="52"/>
      <c r="J1" s="52"/>
      <c r="K1" s="52"/>
      <c r="L1" s="52"/>
    </row>
    <row r="2" spans="1:18" ht="84.75" customHeight="1" x14ac:dyDescent="0.25">
      <c r="C2" s="58" t="s">
        <v>1603</v>
      </c>
      <c r="D2" s="45" t="s">
        <v>77</v>
      </c>
      <c r="E2" s="45" t="s">
        <v>78</v>
      </c>
      <c r="F2" s="45" t="s">
        <v>61</v>
      </c>
      <c r="G2" s="201" t="s">
        <v>909</v>
      </c>
      <c r="H2" s="45"/>
      <c r="I2" s="45"/>
      <c r="J2" s="45"/>
      <c r="K2" s="45"/>
      <c r="L2" s="53"/>
    </row>
    <row r="3" spans="1:18" x14ac:dyDescent="0.25">
      <c r="A3" s="46"/>
      <c r="C3" s="204" t="str">
        <f>C2</f>
        <v xml:space="preserve">Status quo </v>
      </c>
      <c r="D3" s="202"/>
      <c r="E3" s="202"/>
      <c r="F3" s="202"/>
      <c r="G3" s="203" t="str">
        <f>G2</f>
        <v>Proposal</v>
      </c>
      <c r="H3" s="202" t="s">
        <v>888</v>
      </c>
      <c r="J3" s="545" t="s">
        <v>1638</v>
      </c>
      <c r="K3" s="545"/>
      <c r="L3" s="352"/>
      <c r="M3" s="44"/>
    </row>
    <row r="4" spans="1:18" x14ac:dyDescent="0.25">
      <c r="A4" s="46" t="s">
        <v>68</v>
      </c>
      <c r="B4" s="115" t="s">
        <v>1598</v>
      </c>
      <c r="C4" s="202">
        <v>0</v>
      </c>
      <c r="D4" s="202"/>
      <c r="E4" s="202"/>
      <c r="F4" s="202"/>
      <c r="G4" s="203">
        <f ca="1">SUM('Charges as $M per year'!D35:D44)*'Charges to party by investment'!$AM$85</f>
        <v>11.774868852904547</v>
      </c>
      <c r="H4" s="202">
        <f t="shared" ref="H4:H10" ca="1" si="0">G4-C4</f>
        <v>11.774868852904547</v>
      </c>
      <c r="I4" s="34"/>
      <c r="J4" s="349" t="s">
        <v>1569</v>
      </c>
      <c r="K4" s="350" t="s">
        <v>909</v>
      </c>
      <c r="L4" s="409"/>
      <c r="M4" s="44"/>
    </row>
    <row r="5" spans="1:18" x14ac:dyDescent="0.25">
      <c r="A5" s="46" t="s">
        <v>69</v>
      </c>
      <c r="B5" s="115" t="s">
        <v>1597</v>
      </c>
      <c r="C5" s="202">
        <f>SUM('Charges as $M per year'!B128:B132)</f>
        <v>139.99999999999989</v>
      </c>
      <c r="D5" s="202" t="e">
        <f>SUMIF(#REF!,D$12&amp;"#"&amp;$A5,#REF!)</f>
        <v>#REF!</v>
      </c>
      <c r="E5" s="202" t="e">
        <f>SUMIF(#REF!,E$12&amp;"#"&amp;$A5,#REF!)</f>
        <v>#REF!</v>
      </c>
      <c r="F5" s="202" t="e">
        <f>SUMIF(#REF!,F$12&amp;"#"&amp;$A5,#REF!)</f>
        <v>#REF!</v>
      </c>
      <c r="G5" s="203">
        <f ca="1">SUM('Charges as $M per year'!D35:D44)*'Charges to party by investment'!$AM$99</f>
        <v>57.882919375877897</v>
      </c>
      <c r="H5" s="202">
        <f t="shared" ca="1" si="0"/>
        <v>-82.117080624121996</v>
      </c>
      <c r="I5" s="34"/>
      <c r="J5" s="351">
        <f>(C5+C4)*1000/Volumes!$F$19</f>
        <v>3.2884949584171168</v>
      </c>
      <c r="K5" s="351" t="e">
        <f>(E5+E4)*1000/Volumes!$F$19</f>
        <v>#REF!</v>
      </c>
      <c r="L5" s="409"/>
      <c r="M5" s="44"/>
    </row>
    <row r="6" spans="1:18" x14ac:dyDescent="0.25">
      <c r="A6" s="46" t="s">
        <v>67</v>
      </c>
      <c r="B6" s="115" t="s">
        <v>80</v>
      </c>
      <c r="C6" s="202">
        <f>'Charges as $M per year'!C80+'Charges as $M per year'!C97+'Charges as $M per year'!C112+'Charges as $M per year'!C114</f>
        <v>206.29296569490941</v>
      </c>
      <c r="D6" s="202" t="e">
        <f>SUMIF(#REF!,D$12&amp;"#"&amp;$A6,#REF!)</f>
        <v>#REF!</v>
      </c>
      <c r="E6" s="202" t="e">
        <f>SUMIF(#REF!,E$12&amp;"#"&amp;$A6,#REF!)</f>
        <v>#REF!</v>
      </c>
      <c r="F6" s="202" t="e">
        <f>SUMIF(#REF!,F$12&amp;"#"&amp;$A6,#REF!)</f>
        <v>#REF!</v>
      </c>
      <c r="G6" s="203">
        <f ca="1">'Charges as $M per year'!D8+'Charges as $M per year'!D19+'Charges as $M per year'!D26+'Charges as $M per year'!D28</f>
        <v>299.33759905364684</v>
      </c>
      <c r="H6" s="202">
        <f t="shared" ca="1" si="0"/>
        <v>93.044633358737428</v>
      </c>
      <c r="I6" s="34"/>
      <c r="J6" s="34"/>
      <c r="K6" s="34"/>
      <c r="L6" s="409"/>
      <c r="M6" s="44"/>
    </row>
    <row r="7" spans="1:18" x14ac:dyDescent="0.25">
      <c r="A7" s="46" t="s">
        <v>63</v>
      </c>
      <c r="B7" s="115" t="s">
        <v>81</v>
      </c>
      <c r="C7" s="202">
        <f>SUMIF('Charges as $M per year'!$B$73:$B$119,"N",'Charges as $M per year'!$C$73:$C$119)-C6</f>
        <v>234.29347332811079</v>
      </c>
      <c r="D7" s="202" t="e">
        <f>SUMIF(#REF!,D$12&amp;"#"&amp;$A7,#REF!)</f>
        <v>#REF!</v>
      </c>
      <c r="E7" s="202" t="e">
        <f>SUMIF(#REF!,E$12&amp;"#"&amp;$A7,#REF!)</f>
        <v>#REF!</v>
      </c>
      <c r="F7" s="202" t="e">
        <f>SUMIF(#REF!,F$12&amp;"#"&amp;$A7,#REF!)</f>
        <v>#REF!</v>
      </c>
      <c r="G7" s="203">
        <f ca="1">'Charges as $M per year'!D7+'Charges as $M per year'!D9+'Charges as $M per year'!D10+'Charges as $M per year'!D13+'Charges as $M per year'!D22+'Charges as $M per year'!D23+'Charges as $M per year'!D24+'Charges as $M per year'!D27+'Charges as $M per year'!D29+'Charges as $M per year'!D30+'Charges as $M per year'!D31</f>
        <v>194.92430172536098</v>
      </c>
      <c r="H7" s="202">
        <f t="shared" ca="1" si="0"/>
        <v>-39.369171602749816</v>
      </c>
      <c r="I7" s="34"/>
      <c r="J7" s="34"/>
      <c r="K7" s="34"/>
      <c r="L7" s="409"/>
      <c r="M7" s="44"/>
    </row>
    <row r="8" spans="1:18" x14ac:dyDescent="0.25">
      <c r="A8" s="46" t="s">
        <v>65</v>
      </c>
      <c r="B8" s="115" t="s">
        <v>82</v>
      </c>
      <c r="C8" s="202">
        <f>SUMIF('Charges as $M per year'!$B$73:$B$119,"S",'Charges as $M per year'!$C$73:$C$119)-C9-C10</f>
        <v>131.49885825683609</v>
      </c>
      <c r="D8" s="202" t="e">
        <f>SUMIF(#REF!,D$12&amp;"#"&amp;$A8,#REF!)</f>
        <v>#REF!</v>
      </c>
      <c r="E8" s="202" t="e">
        <f>SUMIF(#REF!,E$12&amp;"#"&amp;$A8,#REF!)</f>
        <v>#REF!</v>
      </c>
      <c r="F8" s="202" t="e">
        <f>SUMIF(#REF!,F$12&amp;"#"&amp;$A8,#REF!)</f>
        <v>#REF!</v>
      </c>
      <c r="G8" s="203">
        <f ca="1">'Charges as $M per year'!D4+'Charges as $M per year'!D5+'Charges as $M per year'!D6+'Charges as $M per year'!D11+'Charges as $M per year'!D12+'Charges as $M per year'!D14+'Charges as $M per year'!D15+'Charges as $M per year'!D16+'Charges as $M per year'!D17+'Charges as $M per year'!D18+'Charges as $M per year'!D20+'Charges as $M per year'!D21+'Charges as $M per year'!D25+'Charges as $M per year'!D32</f>
        <v>141.32450036687484</v>
      </c>
      <c r="H8" s="202">
        <f t="shared" ca="1" si="0"/>
        <v>9.825642110038757</v>
      </c>
      <c r="I8" s="34"/>
      <c r="J8" s="34"/>
      <c r="K8" s="34"/>
      <c r="L8" s="409"/>
      <c r="M8" s="44"/>
    </row>
    <row r="9" spans="1:18" x14ac:dyDescent="0.25">
      <c r="A9" s="46" t="s">
        <v>66</v>
      </c>
      <c r="B9" s="115" t="s">
        <v>44</v>
      </c>
      <c r="C9" s="202">
        <f>'Charges as $M per year'!C103</f>
        <v>60.844865743536097</v>
      </c>
      <c r="D9" s="202" t="e">
        <f>SUMIF(#REF!,D$12&amp;"#"&amp;$A9,#REF!)</f>
        <v>#REF!</v>
      </c>
      <c r="E9" s="202" t="e">
        <f>SUMIF(#REF!,E$12&amp;"#"&amp;$A9,#REF!)</f>
        <v>#REF!</v>
      </c>
      <c r="F9" s="202" t="e">
        <f>SUMIF(#REF!,F$12&amp;"#"&amp;$A9,#REF!)</f>
        <v>#REF!</v>
      </c>
      <c r="G9" s="203">
        <f ca="1">'Charges as $M per year'!D53</f>
        <v>39.975736995246649</v>
      </c>
      <c r="H9" s="202">
        <f t="shared" ca="1" si="0"/>
        <v>-20.869128748289448</v>
      </c>
      <c r="I9" s="34"/>
      <c r="J9" s="34"/>
      <c r="K9" s="34"/>
      <c r="L9" s="409"/>
      <c r="M9" s="44"/>
    </row>
    <row r="10" spans="1:18" x14ac:dyDescent="0.25">
      <c r="A10" s="46" t="s">
        <v>64</v>
      </c>
      <c r="B10" s="115" t="s">
        <v>83</v>
      </c>
      <c r="C10" s="202">
        <f>'Charges as $M per year'!C119+'Charges as $M per year'!C108+'Charges as $M per year'!C107+'Charges as $M per year'!C105+'Charges as $M per year'!C98+'Charges as $M per year'!C94+'Charges as $M per year'!C89+'Charges as $M per year'!C81+'Charges as $M per year'!C77</f>
        <v>22.1280788584695</v>
      </c>
      <c r="D10" s="202" t="e">
        <f>SUMIF(#REF!,D$12&amp;"#"&amp;$A10,#REF!)</f>
        <v>#REF!</v>
      </c>
      <c r="E10" s="202" t="e">
        <f>SUMIF(#REF!,E$12&amp;"#"&amp;$A10,#REF!)</f>
        <v>#REF!</v>
      </c>
      <c r="F10" s="202" t="e">
        <f>SUMIF(#REF!,F$12&amp;"#"&amp;$A10,#REF!)</f>
        <v>#REF!</v>
      </c>
      <c r="G10" s="203">
        <f ca="1">'Charges as $M per year'!D47+'Charges as $M per year'!D48+'Charges as $M per year'!D49+'Charges as $M per year'!D50+'Charges as $M per year'!D51+'Charges as $M per year'!D52+'Charges as $M per year'!D54+'Charges as $M per year'!D55+'Charges as $M per year'!D57+'Charges as $M per year'!D56</f>
        <v>48.670106665775094</v>
      </c>
      <c r="H10" s="202">
        <f t="shared" ca="1" si="0"/>
        <v>26.542027807305594</v>
      </c>
      <c r="I10" s="34"/>
      <c r="J10" s="34"/>
      <c r="K10" s="34"/>
      <c r="L10" s="409"/>
      <c r="M10" s="44"/>
    </row>
    <row r="11" spans="1:18" s="74" customFormat="1" x14ac:dyDescent="0.25">
      <c r="C11" s="78" t="s">
        <v>107</v>
      </c>
      <c r="D11" s="78" t="s">
        <v>70</v>
      </c>
      <c r="E11" s="78" t="s">
        <v>76</v>
      </c>
      <c r="F11" s="78" t="s">
        <v>60</v>
      </c>
      <c r="G11" s="78" t="s">
        <v>55</v>
      </c>
      <c r="H11" s="75"/>
      <c r="I11" s="75"/>
      <c r="J11" s="75"/>
      <c r="K11" s="75"/>
      <c r="L11" s="75"/>
      <c r="M11" s="76"/>
      <c r="N11" s="76"/>
      <c r="O11" s="76"/>
      <c r="P11" s="76"/>
      <c r="Q11" s="76"/>
      <c r="R11" s="76"/>
    </row>
    <row r="12" spans="1:18" s="74" customFormat="1" x14ac:dyDescent="0.25">
      <c r="C12" s="78" t="s">
        <v>106</v>
      </c>
      <c r="D12" s="75" t="s">
        <v>58</v>
      </c>
      <c r="E12" s="75" t="s">
        <v>79</v>
      </c>
      <c r="F12" s="75" t="s">
        <v>62</v>
      </c>
      <c r="G12" s="75"/>
      <c r="H12" s="75"/>
      <c r="I12" s="75"/>
      <c r="J12" s="75"/>
      <c r="K12" s="75"/>
      <c r="L12" s="75"/>
      <c r="M12" s="76"/>
      <c r="N12" s="76"/>
      <c r="O12" s="76"/>
      <c r="P12" s="76"/>
      <c r="Q12" s="76"/>
      <c r="R12" s="76"/>
    </row>
    <row r="13" spans="1:18" x14ac:dyDescent="0.25">
      <c r="C13" s="77"/>
      <c r="D13" s="77"/>
      <c r="E13" s="77"/>
      <c r="F13" s="77"/>
      <c r="G13" s="77"/>
      <c r="H13" s="77"/>
      <c r="I13" s="77"/>
      <c r="J13" s="77"/>
      <c r="K13" s="77"/>
      <c r="L13" s="77"/>
    </row>
    <row r="14" spans="1:18" x14ac:dyDescent="0.25">
      <c r="D14" s="541" t="s">
        <v>43</v>
      </c>
      <c r="E14" s="541"/>
      <c r="F14" s="52"/>
      <c r="G14" s="52"/>
      <c r="H14" s="52"/>
      <c r="I14" s="52"/>
      <c r="J14" s="52"/>
      <c r="K14" s="52"/>
      <c r="L14" s="52"/>
    </row>
    <row r="15" spans="1:18" x14ac:dyDescent="0.25">
      <c r="G15" s="45"/>
      <c r="H15" s="45"/>
      <c r="I15" s="45"/>
      <c r="J15" s="45"/>
      <c r="K15" s="45"/>
      <c r="L15" s="45"/>
      <c r="M15" s="53"/>
    </row>
    <row r="16" spans="1:18" x14ac:dyDescent="0.25">
      <c r="D16" s="34"/>
      <c r="E16" s="34"/>
      <c r="F16" s="34"/>
      <c r="G16" s="34"/>
      <c r="H16" s="34"/>
      <c r="I16" s="34"/>
      <c r="J16" s="34"/>
      <c r="K16" s="34"/>
      <c r="L16" s="34"/>
    </row>
    <row r="17" spans="2:12" x14ac:dyDescent="0.25">
      <c r="D17" s="34"/>
      <c r="E17" s="34"/>
      <c r="F17" s="34"/>
      <c r="G17" s="34"/>
      <c r="H17" s="34"/>
      <c r="I17" s="34"/>
      <c r="J17" s="34"/>
      <c r="K17" s="34"/>
      <c r="L17" s="34"/>
    </row>
    <row r="18" spans="2:12" x14ac:dyDescent="0.25">
      <c r="B18" s="13"/>
      <c r="H18" s="34"/>
      <c r="I18" s="34"/>
      <c r="J18" s="34"/>
      <c r="K18" s="34"/>
      <c r="L18" s="34"/>
    </row>
    <row r="19" spans="2:12" x14ac:dyDescent="0.25">
      <c r="B19" s="13"/>
      <c r="H19" s="34"/>
      <c r="I19" s="34"/>
      <c r="J19" s="34"/>
      <c r="K19" s="34"/>
      <c r="L19" s="34"/>
    </row>
    <row r="20" spans="2:12" x14ac:dyDescent="0.25">
      <c r="B20" s="13"/>
      <c r="H20" s="34"/>
      <c r="I20" s="34"/>
      <c r="J20" s="34"/>
      <c r="K20" s="34"/>
      <c r="L20" s="34"/>
    </row>
    <row r="21" spans="2:12" x14ac:dyDescent="0.25">
      <c r="B21" s="13"/>
      <c r="H21" s="34"/>
      <c r="I21" s="34"/>
      <c r="J21" s="34"/>
      <c r="K21" s="34"/>
      <c r="L21" s="34"/>
    </row>
    <row r="22" spans="2:12" x14ac:dyDescent="0.25">
      <c r="B22" s="13"/>
      <c r="H22" s="34"/>
      <c r="I22" s="34"/>
      <c r="J22" s="34"/>
      <c r="K22" s="34"/>
      <c r="L22" s="34"/>
    </row>
    <row r="23" spans="2:12" x14ac:dyDescent="0.25">
      <c r="B23" s="13"/>
    </row>
    <row r="24" spans="2:12" x14ac:dyDescent="0.25">
      <c r="B24" s="13"/>
    </row>
    <row r="25" spans="2:12" x14ac:dyDescent="0.25">
      <c r="B25" s="13"/>
    </row>
    <row r="26" spans="2:12" x14ac:dyDescent="0.25">
      <c r="B26" s="13"/>
    </row>
    <row r="27" spans="2:12" x14ac:dyDescent="0.25">
      <c r="B27" s="13"/>
    </row>
    <row r="28" spans="2:12" x14ac:dyDescent="0.25">
      <c r="B28" s="13"/>
    </row>
    <row r="38" spans="28:28" x14ac:dyDescent="0.25">
      <c r="AB38" s="37"/>
    </row>
    <row r="39" spans="28:28" x14ac:dyDescent="0.25">
      <c r="AB39" s="37"/>
    </row>
    <row r="40" spans="28:28" x14ac:dyDescent="0.25">
      <c r="AB40" s="37"/>
    </row>
    <row r="41" spans="28:28" x14ac:dyDescent="0.25">
      <c r="AB41" s="37"/>
    </row>
  </sheetData>
  <mergeCells count="3">
    <mergeCell ref="D1:E1"/>
    <mergeCell ref="D14:E14"/>
    <mergeCell ref="J3:K3"/>
  </mergeCells>
  <pageMargins left="0.7" right="0.7" top="0.75" bottom="0.75"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
  <sheetViews>
    <sheetView zoomScale="85" zoomScaleNormal="85" workbookViewId="0">
      <selection activeCell="G3" sqref="G3"/>
    </sheetView>
  </sheetViews>
  <sheetFormatPr defaultRowHeight="15" x14ac:dyDescent="0.25"/>
  <cols>
    <col min="1" max="1" width="12.42578125" style="15" bestFit="1" customWidth="1"/>
    <col min="2" max="2" width="21.85546875" style="15" bestFit="1" customWidth="1"/>
    <col min="3" max="3" width="31.7109375" style="28" customWidth="1"/>
    <col min="4" max="4" width="16.28515625" style="28" hidden="1" customWidth="1"/>
    <col min="5" max="5" width="25.140625" style="28" hidden="1" customWidth="1"/>
    <col min="6" max="6" width="39.85546875" style="28" hidden="1" customWidth="1"/>
    <col min="7" max="7" width="15.7109375" style="28" customWidth="1"/>
    <col min="8" max="8" width="23.28515625" style="28" customWidth="1"/>
    <col min="9" max="9" width="25.5703125" style="28" bestFit="1" customWidth="1"/>
    <col min="10" max="10" width="23" style="28" customWidth="1"/>
    <col min="11" max="11" width="0.140625" style="28" customWidth="1"/>
    <col min="12" max="12" width="38.28515625" style="28" customWidth="1"/>
    <col min="13" max="13" width="22" style="28" customWidth="1"/>
    <col min="14" max="14" width="12.85546875" style="28" customWidth="1"/>
    <col min="15" max="15" width="18.85546875" style="28" bestFit="1" customWidth="1"/>
    <col min="16" max="16" width="17.28515625" style="28" bestFit="1" customWidth="1"/>
    <col min="17" max="17" width="10.28515625" style="28" bestFit="1" customWidth="1"/>
    <col min="18" max="18" width="4.42578125" style="15" customWidth="1"/>
    <col min="19" max="16384" width="9.140625" style="15"/>
  </cols>
  <sheetData>
    <row r="1" spans="1:17" x14ac:dyDescent="0.25">
      <c r="A1" s="19"/>
      <c r="B1" s="19"/>
      <c r="C1" s="58" t="s">
        <v>1569</v>
      </c>
      <c r="D1" s="541" t="s">
        <v>43</v>
      </c>
      <c r="E1" s="541"/>
      <c r="F1" s="52" t="s">
        <v>59</v>
      </c>
      <c r="G1" s="52"/>
      <c r="H1" s="52"/>
      <c r="I1" s="52"/>
      <c r="J1" s="52"/>
      <c r="K1" s="52"/>
      <c r="L1" s="52"/>
      <c r="M1" s="37"/>
    </row>
    <row r="2" spans="1:17" ht="64.5" customHeight="1" x14ac:dyDescent="0.25">
      <c r="A2" s="19"/>
      <c r="B2" s="19"/>
      <c r="C2" s="80" t="str">
        <f>C1</f>
        <v>Status quo (Post 2017 TPM)</v>
      </c>
      <c r="D2" s="80" t="s">
        <v>77</v>
      </c>
      <c r="E2" s="80" t="s">
        <v>78</v>
      </c>
      <c r="F2" s="80" t="s">
        <v>61</v>
      </c>
      <c r="G2" s="81" t="s">
        <v>909</v>
      </c>
      <c r="H2" s="45"/>
      <c r="I2" s="419"/>
      <c r="J2" s="37"/>
      <c r="K2" s="45"/>
      <c r="L2" s="53"/>
      <c r="M2" s="37"/>
    </row>
    <row r="3" spans="1:17" x14ac:dyDescent="0.25">
      <c r="A3" s="46"/>
      <c r="B3" s="19"/>
      <c r="C3" s="206" t="str">
        <f>C1</f>
        <v>Status quo (Post 2017 TPM)</v>
      </c>
      <c r="D3" s="207">
        <f>'$M by option and group'!D3*1000/Volumes!$I2</f>
        <v>0</v>
      </c>
      <c r="E3" s="207">
        <f>'$M by option and group'!E3*1000/Volumes!$I2</f>
        <v>0</v>
      </c>
      <c r="F3" s="207">
        <f>'$M by option and group'!F3*1000/Volumes!$I2</f>
        <v>0</v>
      </c>
      <c r="G3" s="207" t="str">
        <f>G2</f>
        <v>Proposal</v>
      </c>
      <c r="H3" s="207" t="s">
        <v>888</v>
      </c>
      <c r="I3" s="18"/>
      <c r="J3" s="18"/>
      <c r="K3" s="18"/>
      <c r="L3" s="18"/>
      <c r="M3" s="37"/>
    </row>
    <row r="4" spans="1:17" s="190" customFormat="1" x14ac:dyDescent="0.25">
      <c r="A4" s="46" t="s">
        <v>68</v>
      </c>
      <c r="B4" s="19" t="s">
        <v>1598</v>
      </c>
      <c r="C4" s="325">
        <f>'$M by option and group'!C4*1000/(Volumes!I2)</f>
        <v>0</v>
      </c>
      <c r="D4" s="326"/>
      <c r="E4" s="326"/>
      <c r="F4" s="326"/>
      <c r="G4" s="325">
        <f ca="1">'$M by option and group'!G4*1000/Volumes!I2</f>
        <v>0.47876486923956624</v>
      </c>
      <c r="H4" s="207"/>
      <c r="I4" s="18"/>
      <c r="J4" s="18"/>
      <c r="K4" s="18"/>
      <c r="L4" s="18"/>
      <c r="M4" s="37"/>
      <c r="N4" s="28"/>
      <c r="O4" s="28"/>
      <c r="P4" s="28"/>
      <c r="Q4" s="28"/>
    </row>
    <row r="5" spans="1:17" x14ac:dyDescent="0.25">
      <c r="A5" s="46" t="s">
        <v>69</v>
      </c>
      <c r="B5" s="115" t="s">
        <v>1597</v>
      </c>
      <c r="C5" s="325">
        <f>'$M by option and group'!C5*1000/(Volumes!I3)</f>
        <v>7.7871204649387611</v>
      </c>
      <c r="D5" s="325"/>
      <c r="E5" s="325"/>
      <c r="F5" s="325"/>
      <c r="G5" s="325">
        <f ca="1">'$M by option and group'!G5*1000/Volumes!I3</f>
        <v>3.2195804717307106</v>
      </c>
      <c r="H5" s="205">
        <f t="shared" ref="H5:H10" ca="1" si="0">G5-C5</f>
        <v>-4.5675399932080509</v>
      </c>
      <c r="I5" s="18"/>
      <c r="J5" s="18"/>
      <c r="K5" s="18"/>
      <c r="L5" s="44"/>
      <c r="M5" s="37"/>
    </row>
    <row r="6" spans="1:17" x14ac:dyDescent="0.25">
      <c r="A6" s="46" t="s">
        <v>67</v>
      </c>
      <c r="B6" s="115" t="s">
        <v>80</v>
      </c>
      <c r="C6" s="205">
        <f>'$M by option and group'!C6*1000/Volumes!$L6</f>
        <v>20.295484385406922</v>
      </c>
      <c r="D6" s="205" t="e">
        <f>'$M by option and group'!D6*1000/Volumes!$L6</f>
        <v>#REF!</v>
      </c>
      <c r="E6" s="205" t="e">
        <f>'$M by option and group'!E6*1000/Volumes!$L6</f>
        <v>#REF!</v>
      </c>
      <c r="F6" s="205" t="e">
        <f>'$M by option and group'!F6*1000/Volumes!$L6</f>
        <v>#REF!</v>
      </c>
      <c r="G6" s="205">
        <f ca="1">'$M by option and group'!G6*1000/Volumes!$L6</f>
        <v>29.449387898873969</v>
      </c>
      <c r="H6" s="205">
        <f t="shared" ca="1" si="0"/>
        <v>9.1539035134670463</v>
      </c>
      <c r="I6" s="18"/>
      <c r="J6" s="18"/>
      <c r="K6" s="18"/>
      <c r="L6" s="44"/>
      <c r="M6" s="37"/>
    </row>
    <row r="7" spans="1:17" x14ac:dyDescent="0.25">
      <c r="A7" s="46" t="s">
        <v>63</v>
      </c>
      <c r="B7" s="115" t="s">
        <v>81</v>
      </c>
      <c r="C7" s="205">
        <f>'$M by option and group'!C7*1000/Volumes!$L2</f>
        <v>20.54415311538013</v>
      </c>
      <c r="D7" s="205" t="e">
        <f>'$M by option and group'!D7*1000/Volumes!$L2</f>
        <v>#REF!</v>
      </c>
      <c r="E7" s="205" t="e">
        <f>'$M by option and group'!E7*1000/Volumes!$L2</f>
        <v>#REF!</v>
      </c>
      <c r="F7" s="205" t="e">
        <f>'$M by option and group'!F7*1000/Volumes!$L2</f>
        <v>#REF!</v>
      </c>
      <c r="G7" s="205">
        <f ca="1">'$M by option and group'!G7*1000/Volumes!$L2</f>
        <v>17.092045474720869</v>
      </c>
      <c r="H7" s="205">
        <f t="shared" ca="1" si="0"/>
        <v>-3.4521076406592606</v>
      </c>
      <c r="I7" s="18"/>
      <c r="J7" s="18"/>
      <c r="K7" s="18"/>
      <c r="L7" s="44"/>
      <c r="M7" s="37"/>
    </row>
    <row r="8" spans="1:17" x14ac:dyDescent="0.25">
      <c r="A8" s="46" t="s">
        <v>65</v>
      </c>
      <c r="B8" s="115" t="s">
        <v>82</v>
      </c>
      <c r="C8" s="205">
        <f>'$M by option and group'!C8*1000/Volumes!$L4</f>
        <v>13.998050384119198</v>
      </c>
      <c r="D8" s="205" t="e">
        <f>'$M by option and group'!D8*1000/Volumes!$L4</f>
        <v>#REF!</v>
      </c>
      <c r="E8" s="205" t="e">
        <f>'$M by option and group'!E8*1000/Volumes!$L4</f>
        <v>#REF!</v>
      </c>
      <c r="F8" s="205" t="e">
        <f>'$M by option and group'!F8*1000/Volumes!$L4</f>
        <v>#REF!</v>
      </c>
      <c r="G8" s="205">
        <f ca="1">'$M by option and group'!G8*1000/Volumes!$L4</f>
        <v>15.043989756794291</v>
      </c>
      <c r="H8" s="205">
        <f t="shared" ca="1" si="0"/>
        <v>1.0459393726750932</v>
      </c>
      <c r="I8" s="18"/>
      <c r="J8" s="18"/>
      <c r="K8" s="18"/>
      <c r="L8" s="44"/>
      <c r="M8" s="37"/>
    </row>
    <row r="9" spans="1:17" x14ac:dyDescent="0.25">
      <c r="A9" s="46" t="s">
        <v>66</v>
      </c>
      <c r="B9" s="115" t="s">
        <v>44</v>
      </c>
      <c r="C9" s="205">
        <f>'$M by option and group'!C9*1000/Volumes!$L5</f>
        <v>12.204713431520082</v>
      </c>
      <c r="D9" s="205" t="e">
        <f>'$M by option and group'!D9*1000/Volumes!$L5</f>
        <v>#REF!</v>
      </c>
      <c r="E9" s="205" t="e">
        <f>'$M by option and group'!E9*1000/Volumes!$L5</f>
        <v>#REF!</v>
      </c>
      <c r="F9" s="205" t="e">
        <f>'$M by option and group'!F9*1000/Volumes!$L5</f>
        <v>#REF!</v>
      </c>
      <c r="G9" s="269">
        <f ca="1">'$M by option and group'!G9*1000/Volumes!$L5</f>
        <v>8.0186291526599778</v>
      </c>
      <c r="H9" s="205">
        <f t="shared" ca="1" si="0"/>
        <v>-4.186084278860104</v>
      </c>
      <c r="I9" s="18"/>
      <c r="J9" s="18"/>
      <c r="K9" s="18"/>
      <c r="L9" s="44"/>
      <c r="M9" s="37"/>
    </row>
    <row r="10" spans="1:17" x14ac:dyDescent="0.25">
      <c r="A10" s="46" t="s">
        <v>64</v>
      </c>
      <c r="B10" s="115" t="s">
        <v>83</v>
      </c>
      <c r="C10" s="205">
        <f>'$M by option and group'!C10*1000/Volumes!$L3</f>
        <v>5.9073266557331019</v>
      </c>
      <c r="D10" s="205" t="e">
        <f>'$M by option and group'!D10*1000/Volumes!$L3</f>
        <v>#REF!</v>
      </c>
      <c r="E10" s="205" t="e">
        <f>'$M by option and group'!E10*1000/Volumes!$L3</f>
        <v>#REF!</v>
      </c>
      <c r="F10" s="205" t="e">
        <f>'$M by option and group'!F10*1000/Volumes!$L3</f>
        <v>#REF!</v>
      </c>
      <c r="G10" s="205">
        <f ca="1">'$M by option and group'!G10*1000/Volumes!$L3</f>
        <v>12.993004059819782</v>
      </c>
      <c r="H10" s="205">
        <f t="shared" ca="1" si="0"/>
        <v>7.0856774040866801</v>
      </c>
      <c r="I10" s="18"/>
      <c r="J10" s="18"/>
      <c r="K10" s="18"/>
      <c r="L10" s="44"/>
      <c r="M10" s="37"/>
    </row>
    <row r="11" spans="1:17" x14ac:dyDescent="0.25">
      <c r="A11" s="79"/>
      <c r="B11" s="19"/>
      <c r="C11" s="77" t="str">
        <f>'$M by option and group'!C11</f>
        <v>Status quo (Post 2017)</v>
      </c>
      <c r="D11" s="77" t="str">
        <f>'$M by option and group'!D11</f>
        <v>Base option from TPM Options Paper - Application A</v>
      </c>
      <c r="E11" s="77" t="str">
        <f>'$M by option and group'!E11</f>
        <v>Base option from TPM Options Paper - Application B</v>
      </c>
      <c r="F11" s="77" t="str">
        <f>'$M by option and group'!F11</f>
        <v>1a</v>
      </c>
      <c r="G11" s="77" t="s">
        <v>99</v>
      </c>
      <c r="H11" s="77"/>
      <c r="I11" s="77"/>
      <c r="J11" s="77"/>
      <c r="K11" s="77"/>
      <c r="L11" s="77"/>
      <c r="M11" s="37"/>
    </row>
    <row r="12" spans="1:17" x14ac:dyDescent="0.25">
      <c r="C12" s="35"/>
      <c r="D12" s="35"/>
      <c r="E12" s="35"/>
      <c r="F12" s="35"/>
      <c r="G12" s="35"/>
      <c r="H12" s="35"/>
      <c r="I12" s="35"/>
      <c r="J12" s="35"/>
      <c r="K12" s="35"/>
    </row>
    <row r="13" spans="1:17" x14ac:dyDescent="0.25">
      <c r="A13" s="19"/>
      <c r="B13" s="19"/>
      <c r="C13" s="77"/>
      <c r="D13" s="77"/>
      <c r="E13" s="77"/>
      <c r="F13" s="77"/>
      <c r="G13" s="77"/>
      <c r="H13" s="77"/>
      <c r="I13" s="77"/>
      <c r="J13" s="77"/>
      <c r="K13" s="77"/>
      <c r="L13" s="37"/>
      <c r="M13" s="37"/>
    </row>
    <row r="14" spans="1:17" x14ac:dyDescent="0.25">
      <c r="A14" s="19"/>
      <c r="B14" s="19"/>
      <c r="C14" s="37"/>
      <c r="D14" s="541"/>
      <c r="E14" s="541"/>
      <c r="F14" s="52"/>
      <c r="G14" s="52"/>
      <c r="H14" s="52"/>
      <c r="I14" s="52"/>
      <c r="J14" s="52"/>
      <c r="K14" s="52"/>
      <c r="L14" s="52"/>
      <c r="M14" s="37"/>
    </row>
    <row r="15" spans="1:17" ht="13.5" customHeight="1" x14ac:dyDescent="0.25">
      <c r="A15" s="19"/>
      <c r="B15" s="19"/>
      <c r="C15" s="37"/>
      <c r="D15" s="37"/>
      <c r="E15" s="37"/>
      <c r="F15" s="37"/>
      <c r="G15" s="45"/>
      <c r="H15" s="45"/>
      <c r="I15" s="45"/>
      <c r="J15" s="45"/>
      <c r="K15" s="45"/>
      <c r="L15" s="45"/>
      <c r="M15" s="37"/>
    </row>
    <row r="16" spans="1:17" x14ac:dyDescent="0.25">
      <c r="A16" s="19"/>
      <c r="B16" s="19"/>
      <c r="C16" s="37"/>
      <c r="D16" s="18"/>
      <c r="E16" s="18"/>
      <c r="F16" s="18"/>
      <c r="G16" s="18"/>
      <c r="H16" s="18"/>
      <c r="I16" s="18"/>
      <c r="J16" s="18"/>
      <c r="K16" s="18"/>
      <c r="L16" s="44"/>
      <c r="M16" s="37"/>
    </row>
    <row r="17" spans="1:26" x14ac:dyDescent="0.25">
      <c r="A17" s="19"/>
      <c r="B17" s="19"/>
      <c r="C17" s="37"/>
      <c r="D17" s="18"/>
      <c r="E17" s="18"/>
      <c r="F17" s="18"/>
      <c r="G17" s="18"/>
      <c r="H17" s="18"/>
      <c r="I17" s="18"/>
      <c r="J17" s="18"/>
      <c r="K17" s="18"/>
      <c r="L17" s="44"/>
      <c r="M17" s="37"/>
    </row>
    <row r="18" spans="1:26" x14ac:dyDescent="0.25">
      <c r="A18" s="19"/>
      <c r="B18" s="19"/>
      <c r="C18" s="37"/>
      <c r="D18" s="18"/>
      <c r="E18" s="18"/>
      <c r="F18" s="18"/>
      <c r="G18" s="18"/>
      <c r="H18" s="18"/>
      <c r="I18" s="18"/>
      <c r="J18" s="18"/>
      <c r="K18" s="18"/>
      <c r="L18" s="44"/>
      <c r="M18" s="37"/>
    </row>
    <row r="19" spans="1:26" x14ac:dyDescent="0.25">
      <c r="A19" s="19"/>
      <c r="B19" s="19"/>
      <c r="C19" s="37"/>
      <c r="D19" s="18"/>
      <c r="E19" s="18"/>
      <c r="F19" s="18"/>
      <c r="G19" s="18"/>
      <c r="H19" s="18"/>
      <c r="I19" s="18"/>
      <c r="J19" s="18"/>
      <c r="K19" s="18"/>
      <c r="L19" s="44"/>
      <c r="M19" s="37"/>
    </row>
    <row r="20" spans="1:26" x14ac:dyDescent="0.25">
      <c r="A20" s="19"/>
      <c r="B20" s="19"/>
      <c r="C20" s="37"/>
      <c r="D20" s="18"/>
      <c r="E20" s="18"/>
      <c r="F20" s="18"/>
      <c r="G20" s="18"/>
      <c r="H20" s="18"/>
      <c r="I20" s="18"/>
      <c r="J20" s="18"/>
      <c r="K20" s="18"/>
      <c r="L20" s="44"/>
      <c r="M20" s="37"/>
      <c r="Z20" s="28"/>
    </row>
    <row r="21" spans="1:26" x14ac:dyDescent="0.25">
      <c r="A21" s="19"/>
      <c r="B21" s="19"/>
      <c r="C21" s="37"/>
      <c r="D21" s="18"/>
      <c r="E21" s="18"/>
      <c r="F21" s="18"/>
      <c r="G21" s="18"/>
      <c r="H21" s="18"/>
      <c r="I21" s="18"/>
      <c r="J21" s="18"/>
      <c r="K21" s="18"/>
      <c r="L21" s="44"/>
      <c r="M21" s="37"/>
      <c r="Z21" s="28"/>
    </row>
    <row r="22" spans="1:26" x14ac:dyDescent="0.25">
      <c r="A22" s="19"/>
      <c r="B22" s="19"/>
      <c r="C22" s="37"/>
      <c r="D22" s="18"/>
      <c r="E22" s="18"/>
      <c r="F22" s="18"/>
      <c r="G22" s="18"/>
      <c r="H22" s="18"/>
      <c r="I22" s="18"/>
      <c r="J22" s="18"/>
      <c r="K22" s="18"/>
      <c r="L22" s="44"/>
      <c r="M22" s="37"/>
      <c r="Z22" s="28"/>
    </row>
    <row r="23" spans="1:26" x14ac:dyDescent="0.25">
      <c r="A23" s="19"/>
      <c r="B23" s="19"/>
      <c r="C23" s="37"/>
      <c r="D23" s="37"/>
      <c r="E23" s="37"/>
      <c r="F23" s="37"/>
      <c r="G23" s="37"/>
      <c r="H23" s="37"/>
      <c r="I23" s="37"/>
      <c r="J23" s="37"/>
      <c r="K23" s="37"/>
      <c r="L23" s="37"/>
      <c r="M23" s="37"/>
      <c r="Z23" s="28"/>
    </row>
  </sheetData>
  <mergeCells count="2">
    <mergeCell ref="D1:E1"/>
    <mergeCell ref="D14:E1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62"/>
  <sheetViews>
    <sheetView zoomScale="70" zoomScaleNormal="70" workbookViewId="0">
      <selection activeCell="E29" sqref="E29"/>
    </sheetView>
  </sheetViews>
  <sheetFormatPr defaultRowHeight="15" x14ac:dyDescent="0.25"/>
  <cols>
    <col min="2" max="2" width="21" bestFit="1" customWidth="1"/>
    <col min="3" max="3" width="22.140625" bestFit="1" customWidth="1"/>
    <col min="5" max="5" width="10.7109375" customWidth="1"/>
    <col min="9" max="9" width="13.7109375" customWidth="1"/>
    <col min="10" max="10" width="9.140625" style="190"/>
  </cols>
  <sheetData>
    <row r="1" spans="2:17" x14ac:dyDescent="0.25">
      <c r="D1" s="20"/>
      <c r="E1" s="20"/>
      <c r="F1" s="20"/>
      <c r="G1" s="20"/>
    </row>
    <row r="2" spans="2:17" x14ac:dyDescent="0.25">
      <c r="D2" s="20"/>
      <c r="E2" s="20"/>
      <c r="F2" s="20"/>
      <c r="G2" s="20"/>
    </row>
    <row r="3" spans="2:17" x14ac:dyDescent="0.25">
      <c r="D3" s="20"/>
      <c r="E3" s="20"/>
      <c r="F3" s="27"/>
      <c r="G3" s="20"/>
    </row>
    <row r="4" spans="2:17" x14ac:dyDescent="0.25">
      <c r="D4" s="20"/>
      <c r="E4" s="20"/>
      <c r="F4" s="20"/>
      <c r="G4" s="20"/>
    </row>
    <row r="5" spans="2:17" x14ac:dyDescent="0.25">
      <c r="D5" s="20"/>
      <c r="E5" s="546" t="s">
        <v>910</v>
      </c>
      <c r="F5" s="546"/>
      <c r="G5" s="546"/>
      <c r="H5" s="546"/>
      <c r="I5" s="546"/>
      <c r="L5" s="547" t="s">
        <v>1695</v>
      </c>
      <c r="M5" s="547"/>
      <c r="N5" s="547"/>
      <c r="O5" s="547"/>
      <c r="P5" s="547"/>
    </row>
    <row r="6" spans="2:17" ht="45" x14ac:dyDescent="0.25">
      <c r="B6" s="21" t="s">
        <v>1644</v>
      </c>
      <c r="C6" s="365" t="s">
        <v>1645</v>
      </c>
      <c r="D6" s="20"/>
      <c r="E6" s="367" t="s">
        <v>52</v>
      </c>
      <c r="F6" s="348" t="s">
        <v>541</v>
      </c>
      <c r="G6" s="348" t="s">
        <v>560</v>
      </c>
      <c r="H6" s="368" t="s">
        <v>886</v>
      </c>
      <c r="I6" s="366" t="s">
        <v>885</v>
      </c>
      <c r="L6" s="155" t="s">
        <v>52</v>
      </c>
      <c r="M6" s="155" t="s">
        <v>541</v>
      </c>
      <c r="N6" s="155" t="s">
        <v>560</v>
      </c>
      <c r="O6" s="155" t="s">
        <v>886</v>
      </c>
      <c r="P6" s="155" t="s">
        <v>885</v>
      </c>
    </row>
    <row r="7" spans="2:17" x14ac:dyDescent="0.25">
      <c r="B7" s="20" t="s">
        <v>0</v>
      </c>
      <c r="C7" t="s">
        <v>0</v>
      </c>
      <c r="E7" t="s">
        <v>0</v>
      </c>
      <c r="F7" s="27">
        <f>VLOOKUP(E7,Volumes!$B$2:$C$45,2,0)</f>
        <v>793.7586</v>
      </c>
      <c r="G7" s="20">
        <f>SUMIF('Rev Adequacy'!$BF$27:$BF$257,'Load factors'!E7,'Rev Adequacy'!$BH$27:$BH$257)</f>
        <v>158.68860000000001</v>
      </c>
      <c r="H7" s="50">
        <f t="shared" ref="H7:H46" si="0">F7*1000/(8760*G7)</f>
        <v>0.57100328775203202</v>
      </c>
      <c r="I7" s="129">
        <f>VLOOKUP($E7,'Charges as $ per MWh'!B$4:G$57,5,0)</f>
        <v>7.1008230390749789</v>
      </c>
      <c r="J7" s="129"/>
      <c r="K7" s="190" t="str">
        <f t="shared" ref="K7:K46" si="1">VLOOKUP(L7,$B$7:$C$46,2,0)</f>
        <v>NZ Aluminium Smelter</v>
      </c>
      <c r="L7" s="155" t="s">
        <v>44</v>
      </c>
      <c r="M7" s="155">
        <v>4985.3580000000002</v>
      </c>
      <c r="N7" s="155">
        <v>582.21400000000006</v>
      </c>
      <c r="O7" s="155">
        <v>0.97748387108614343</v>
      </c>
      <c r="P7" s="155">
        <v>4.1479899781383391</v>
      </c>
    </row>
    <row r="8" spans="2:17" x14ac:dyDescent="0.25">
      <c r="B8" s="20" t="s">
        <v>1</v>
      </c>
      <c r="C8" t="s">
        <v>1</v>
      </c>
      <c r="D8" s="20"/>
      <c r="E8" s="27" t="s">
        <v>1</v>
      </c>
      <c r="F8" s="27">
        <f>VLOOKUP(E8,Volumes!$B$2:$C$45,2,0)</f>
        <v>1350.32</v>
      </c>
      <c r="G8" s="20">
        <f>SUMIF('Rev Adequacy'!$BF$27:$BF$257,'Load factors'!E8,'Rev Adequacy'!$BH$27:$BH$257)</f>
        <v>317.79510000000005</v>
      </c>
      <c r="H8" s="50">
        <f t="shared" si="0"/>
        <v>0.48504875852856499</v>
      </c>
      <c r="I8" s="129">
        <f>VLOOKUP($E8,'Charges as $ per MWh'!B$4:G$57,5,0)</f>
        <v>8.3591458173341771</v>
      </c>
      <c r="J8" s="129"/>
      <c r="K8" s="190" t="str">
        <f t="shared" si="1"/>
        <v>Refining NZ</v>
      </c>
      <c r="L8" s="155" t="s">
        <v>904</v>
      </c>
      <c r="M8" s="155">
        <v>262.25099999999998</v>
      </c>
      <c r="N8" s="155">
        <v>35.599199999999996</v>
      </c>
      <c r="O8" s="155">
        <v>0.84095509919108546</v>
      </c>
      <c r="P8" s="155">
        <v>4.8214147282742008</v>
      </c>
    </row>
    <row r="9" spans="2:17" x14ac:dyDescent="0.25">
      <c r="B9" s="20" t="s">
        <v>2</v>
      </c>
      <c r="C9" t="s">
        <v>2</v>
      </c>
      <c r="D9" s="20"/>
      <c r="E9" s="27" t="s">
        <v>2</v>
      </c>
      <c r="F9" s="27">
        <f>VLOOKUP(E9,Volumes!$B$2:$C$45,2,0)</f>
        <v>107.0976</v>
      </c>
      <c r="G9" s="20">
        <f>SUMIF('Rev Adequacy'!$BF$27:$BF$257,'Load factors'!E9,'Rev Adequacy'!$BH$27:$BH$257)</f>
        <v>28.442399999999999</v>
      </c>
      <c r="H9" s="50">
        <f t="shared" si="0"/>
        <v>0.42984253876809042</v>
      </c>
      <c r="I9" s="129">
        <f>VLOOKUP($E9,'Charges as $ per MWh'!B$4:G$57,5,0)</f>
        <v>9.432740911770793</v>
      </c>
      <c r="J9" s="129"/>
      <c r="K9" s="190" t="str">
        <f t="shared" si="1"/>
        <v>Carter Holt Harvey</v>
      </c>
      <c r="L9" s="155" t="s">
        <v>3</v>
      </c>
      <c r="M9" s="155">
        <v>585.33579999999995</v>
      </c>
      <c r="N9" s="155">
        <v>88.964900823974602</v>
      </c>
      <c r="O9" s="155">
        <v>0.75107322811891286</v>
      </c>
      <c r="P9" s="155">
        <v>5.3983994492947778</v>
      </c>
      <c r="Q9" s="195"/>
    </row>
    <row r="10" spans="2:17" x14ac:dyDescent="0.25">
      <c r="B10" s="20" t="s">
        <v>100</v>
      </c>
      <c r="C10" t="s">
        <v>100</v>
      </c>
      <c r="D10" s="20"/>
      <c r="E10" s="27" t="s">
        <v>100</v>
      </c>
      <c r="F10" s="27">
        <f>VLOOKUP(E10,Volumes!$B$2:$C$45,2,0)</f>
        <v>113.2308</v>
      </c>
      <c r="G10" s="20">
        <f>SUMIF('Rev Adequacy'!$BF$27:$BF$257,'Load factors'!E10,'Rev Adequacy'!$BH$27:$BH$257)</f>
        <v>20.4267</v>
      </c>
      <c r="H10" s="50">
        <f t="shared" si="0"/>
        <v>0.6327938634707958</v>
      </c>
      <c r="I10" s="129">
        <f>VLOOKUP($E10,'Charges as $ per MWh'!B$4:G$57,5,0)</f>
        <v>6.407447251176313</v>
      </c>
      <c r="J10" s="129"/>
      <c r="K10" s="190" t="str">
        <f t="shared" si="1"/>
        <v>NZ Steel</v>
      </c>
      <c r="L10" s="155" t="s">
        <v>24</v>
      </c>
      <c r="M10" s="155">
        <v>1065.394</v>
      </c>
      <c r="N10" s="155">
        <v>170.43599999999998</v>
      </c>
      <c r="O10" s="155">
        <v>0.71358351307648149</v>
      </c>
      <c r="P10" s="155">
        <v>5.6820165078878739</v>
      </c>
      <c r="Q10" s="195"/>
    </row>
    <row r="11" spans="2:17" x14ac:dyDescent="0.25">
      <c r="B11" s="20" t="s">
        <v>5</v>
      </c>
      <c r="C11" t="s">
        <v>5</v>
      </c>
      <c r="D11" s="20"/>
      <c r="E11" s="27" t="s">
        <v>5</v>
      </c>
      <c r="F11" s="27">
        <f>VLOOKUP(E11,Volumes!$B$2:$C$45,2,0)</f>
        <v>566.40549999999996</v>
      </c>
      <c r="G11" s="20">
        <f>SUMIF('Rev Adequacy'!$BF$27:$BF$257,'Load factors'!E11,'Rev Adequacy'!$BH$27:$BH$257)</f>
        <v>127.31040000000002</v>
      </c>
      <c r="H11" s="50">
        <f t="shared" si="0"/>
        <v>0.50787808459054895</v>
      </c>
      <c r="I11" s="129">
        <f>VLOOKUP($E11,'Charges as $ per MWh'!B$4:G$57,5,0)</f>
        <v>7.9833988196714607</v>
      </c>
      <c r="J11" s="129"/>
      <c r="K11" s="190" t="str">
        <f t="shared" si="1"/>
        <v>Pan Pac</v>
      </c>
      <c r="L11" s="155" t="s">
        <v>26</v>
      </c>
      <c r="M11" s="155">
        <v>528.91809999999998</v>
      </c>
      <c r="N11" s="155">
        <v>85.140299999999996</v>
      </c>
      <c r="O11" s="155">
        <v>0.70916802664323231</v>
      </c>
      <c r="P11" s="155">
        <v>5.7173943955837325</v>
      </c>
      <c r="Q11" s="195"/>
    </row>
    <row r="12" spans="2:17" x14ac:dyDescent="0.25">
      <c r="B12" s="20" t="s">
        <v>7</v>
      </c>
      <c r="C12" t="s">
        <v>7</v>
      </c>
      <c r="D12" s="20"/>
      <c r="E12" s="27" t="s">
        <v>7</v>
      </c>
      <c r="F12" s="27">
        <f>VLOOKUP(E12,Volumes!$B$2:$C$45,2,0)</f>
        <v>302.40199999999999</v>
      </c>
      <c r="G12" s="20">
        <f>SUMIF('Rev Adequacy'!$BF$27:$BF$257,'Load factors'!E12,'Rev Adequacy'!$BH$27:$BH$257)</f>
        <v>58.113300000000002</v>
      </c>
      <c r="H12" s="50">
        <f t="shared" si="0"/>
        <v>0.59402539961949774</v>
      </c>
      <c r="I12" s="129">
        <f>VLOOKUP($E12,'Charges as $ per MWh'!B$4:G$57,5,0)</f>
        <v>6.8256227825516458</v>
      </c>
      <c r="J12" s="129"/>
      <c r="K12" s="190" t="str">
        <f t="shared" si="1"/>
        <v>Winstones</v>
      </c>
      <c r="L12" s="155" t="s">
        <v>42</v>
      </c>
      <c r="M12" s="155">
        <v>235.63059999999999</v>
      </c>
      <c r="N12" s="155">
        <v>38.988599999999998</v>
      </c>
      <c r="O12" s="155">
        <v>0.68990603201024658</v>
      </c>
      <c r="P12" s="155">
        <v>5.8770225406537264</v>
      </c>
      <c r="Q12" s="195"/>
    </row>
    <row r="13" spans="2:17" x14ac:dyDescent="0.25">
      <c r="B13" s="20" t="s">
        <v>8</v>
      </c>
      <c r="C13" t="s">
        <v>8</v>
      </c>
      <c r="D13" s="20"/>
      <c r="E13" s="27" t="s">
        <v>8</v>
      </c>
      <c r="F13" s="27">
        <f>VLOOKUP(E13,Volumes!$B$2:$C$45,2,0)</f>
        <v>433.24099999999999</v>
      </c>
      <c r="G13" s="20">
        <f>SUMIF('Rev Adequacy'!$BF$27:$BF$257,'Load factors'!E13,'Rev Adequacy'!$BH$27:$BH$257)</f>
        <v>96.763800000000003</v>
      </c>
      <c r="H13" s="50">
        <f t="shared" si="0"/>
        <v>0.51110782296496571</v>
      </c>
      <c r="I13" s="129">
        <f>VLOOKUP($E13,'Charges as $ per MWh'!B$4:G$57,5,0)</f>
        <v>7.932950972137859</v>
      </c>
      <c r="J13" s="129"/>
      <c r="K13" s="190" t="str">
        <f t="shared" si="1"/>
        <v>Daiken MDF</v>
      </c>
      <c r="L13" s="155" t="s">
        <v>6</v>
      </c>
      <c r="M13" s="155">
        <v>68.116209999999995</v>
      </c>
      <c r="N13" s="155">
        <v>11.3736</v>
      </c>
      <c r="O13" s="155">
        <v>0.68367298475071481</v>
      </c>
      <c r="P13" s="155">
        <v>5.9306033608094113</v>
      </c>
      <c r="Q13" s="195"/>
    </row>
    <row r="14" spans="2:17" x14ac:dyDescent="0.25">
      <c r="B14" s="20" t="s">
        <v>9</v>
      </c>
      <c r="C14" t="s">
        <v>9</v>
      </c>
      <c r="D14" s="20"/>
      <c r="E14" s="27" t="s">
        <v>9</v>
      </c>
      <c r="F14" s="27">
        <f>VLOOKUP(E14,Volumes!$B$2:$C$45,2,0)</f>
        <v>627.16189999999995</v>
      </c>
      <c r="G14" s="20">
        <f>SUMIF('Rev Adequacy'!$BF$27:$BF$257,'Load factors'!E14,'Rev Adequacy'!$BH$27:$BH$257)</f>
        <v>197.20050000000003</v>
      </c>
      <c r="H14" s="262">
        <f t="shared" si="0"/>
        <v>0.36305092634609554</v>
      </c>
      <c r="I14" s="129">
        <f>VLOOKUP($E14,'Charges as $ per MWh'!B$4:G$57,5,0)</f>
        <v>11.168111707810256</v>
      </c>
      <c r="J14" s="129"/>
      <c r="K14" s="190" t="str">
        <f t="shared" si="1"/>
        <v>Rayonier</v>
      </c>
      <c r="L14" s="155" t="s">
        <v>30</v>
      </c>
      <c r="M14" s="155">
        <v>53.554029999999997</v>
      </c>
      <c r="N14" s="155">
        <v>9.1181999999999999</v>
      </c>
      <c r="O14" s="155">
        <v>0.67046936284488579</v>
      </c>
      <c r="P14" s="155">
        <v>6.0473953408594872</v>
      </c>
      <c r="Q14" s="195"/>
    </row>
    <row r="15" spans="2:17" x14ac:dyDescent="0.25">
      <c r="B15" s="20" t="s">
        <v>101</v>
      </c>
      <c r="C15" t="s">
        <v>101</v>
      </c>
      <c r="D15" s="20"/>
      <c r="E15" s="27" t="s">
        <v>101</v>
      </c>
      <c r="F15" s="27">
        <f>VLOOKUP(E15,Volumes!$B$2:$C$45,2,0)</f>
        <v>257.96260000000001</v>
      </c>
      <c r="G15" s="20">
        <f>SUMIF('Rev Adequacy'!$BF$27:$BF$257,'Load factors'!E15,'Rev Adequacy'!$BH$27:$BH$257)</f>
        <v>55.567199999999993</v>
      </c>
      <c r="H15" s="50">
        <f t="shared" si="0"/>
        <v>0.529949059663396</v>
      </c>
      <c r="I15" s="129">
        <f>VLOOKUP($E15,'Charges as $ per MWh'!B$4:G$57,5,0)</f>
        <v>7.6509113982247969</v>
      </c>
      <c r="J15" s="129"/>
      <c r="K15" s="190" t="str">
        <f t="shared" si="1"/>
        <v>OtagoNet JV</v>
      </c>
      <c r="L15" s="155" t="s">
        <v>103</v>
      </c>
      <c r="M15" s="155">
        <v>424.68549999999999</v>
      </c>
      <c r="N15" s="155">
        <v>73.287900000000008</v>
      </c>
      <c r="O15" s="155">
        <v>0.6615018292061281</v>
      </c>
      <c r="P15" s="155">
        <v>6.129375796168441</v>
      </c>
      <c r="Q15" s="195"/>
    </row>
    <row r="16" spans="2:17" x14ac:dyDescent="0.25">
      <c r="B16" s="20" t="s">
        <v>11</v>
      </c>
      <c r="C16" t="s">
        <v>11</v>
      </c>
      <c r="D16" s="20"/>
      <c r="E16" s="27" t="s">
        <v>11</v>
      </c>
      <c r="F16" s="27">
        <f>VLOOKUP(E16,Volumes!$B$2:$C$45,2,0)</f>
        <v>498.60500000000002</v>
      </c>
      <c r="G16" s="20">
        <f>SUMIF('Rev Adequacy'!$BF$27:$BF$257,'Load factors'!E16,'Rev Adequacy'!$BH$27:$BH$257)</f>
        <v>94.896899999999988</v>
      </c>
      <c r="H16" s="50">
        <f t="shared" si="0"/>
        <v>0.59979176343414586</v>
      </c>
      <c r="I16" s="129">
        <f>VLOOKUP($E16,'Charges as $ per MWh'!B$4:G$57,5,0)</f>
        <v>6.7600016343044755</v>
      </c>
      <c r="J16" s="129"/>
      <c r="K16" s="190" t="str">
        <f t="shared" si="1"/>
        <v>Methanex</v>
      </c>
      <c r="L16" s="155" t="s">
        <v>15</v>
      </c>
      <c r="M16" s="155">
        <v>53.694110000000002</v>
      </c>
      <c r="N16" s="155">
        <v>9.5024999999999995</v>
      </c>
      <c r="O16" s="155">
        <v>0.64503705465636907</v>
      </c>
      <c r="P16" s="155">
        <v>6.2858300492786379</v>
      </c>
      <c r="Q16" s="195"/>
    </row>
    <row r="17" spans="2:17" x14ac:dyDescent="0.25">
      <c r="B17" s="20" t="s">
        <v>102</v>
      </c>
      <c r="C17" t="s">
        <v>102</v>
      </c>
      <c r="D17" s="20"/>
      <c r="E17" s="27" t="s">
        <v>102</v>
      </c>
      <c r="F17" s="27">
        <f>VLOOKUP(E17,Volumes!$B$2:$C$45,2,0)</f>
        <v>11.131349999999999</v>
      </c>
      <c r="G17" s="20">
        <f>SUMIF('Rev Adequacy'!$BF$27:$BF$257,'Load factors'!E17,'Rev Adequacy'!$BH$27:$BH$257)</f>
        <v>2.7845999999999997</v>
      </c>
      <c r="H17" s="50">
        <f t="shared" si="0"/>
        <v>0.4563319883626088</v>
      </c>
      <c r="I17" s="129">
        <f>VLOOKUP($E17,'Charges as $ per MWh'!B$4:G$57,5,0)</f>
        <v>8.8851831658913714</v>
      </c>
      <c r="J17" s="129"/>
      <c r="K17" s="190" t="str">
        <f t="shared" si="1"/>
        <v>Centralines</v>
      </c>
      <c r="L17" s="155" t="s">
        <v>100</v>
      </c>
      <c r="M17" s="155">
        <v>113.2308</v>
      </c>
      <c r="N17" s="155">
        <v>20.4267</v>
      </c>
      <c r="O17" s="155">
        <v>0.6327938634707958</v>
      </c>
      <c r="P17" s="155">
        <v>6.4074472511763148</v>
      </c>
      <c r="Q17" s="195"/>
    </row>
    <row r="18" spans="2:17" x14ac:dyDescent="0.25">
      <c r="B18" s="20" t="s">
        <v>12</v>
      </c>
      <c r="C18" t="s">
        <v>12</v>
      </c>
      <c r="D18" s="20"/>
      <c r="E18" s="27" t="s">
        <v>12</v>
      </c>
      <c r="F18" s="27">
        <f>VLOOKUP(E18,Volumes!$B$2:$C$45,2,0)</f>
        <v>547.63909999999998</v>
      </c>
      <c r="G18" s="20">
        <f>SUMIF('Rev Adequacy'!$BF$27:$BF$257,'Load factors'!E18,'Rev Adequacy'!$BH$27:$BH$257)</f>
        <v>127.3272</v>
      </c>
      <c r="H18" s="50">
        <f t="shared" si="0"/>
        <v>0.49098605007754653</v>
      </c>
      <c r="I18" s="129">
        <f>VLOOKUP($E18,'Charges as $ per MWh'!B$4:G$57,5,0)</f>
        <v>8.2580621189070555</v>
      </c>
      <c r="J18" s="129"/>
      <c r="K18" s="190" t="str">
        <f t="shared" si="1"/>
        <v>Northpower</v>
      </c>
      <c r="L18" s="155" t="s">
        <v>23</v>
      </c>
      <c r="M18" s="155">
        <v>758.77530000000002</v>
      </c>
      <c r="N18" s="155">
        <v>138.15690000000001</v>
      </c>
      <c r="O18" s="155">
        <v>0.6269551859625313</v>
      </c>
      <c r="P18" s="155">
        <v>6.4671182116986348</v>
      </c>
      <c r="Q18" s="195"/>
    </row>
    <row r="19" spans="2:17" x14ac:dyDescent="0.25">
      <c r="B19" s="20" t="s">
        <v>13</v>
      </c>
      <c r="C19" t="s">
        <v>13</v>
      </c>
      <c r="D19" s="20"/>
      <c r="E19" s="27" t="s">
        <v>13</v>
      </c>
      <c r="F19" s="27">
        <f>VLOOKUP(E19,Volumes!$B$2:$C$45,2,0)</f>
        <v>391.85289999999998</v>
      </c>
      <c r="G19" s="20">
        <f>SUMIF('Rev Adequacy'!$BF$27:$BF$257,'Load factors'!E19,'Rev Adequacy'!$BH$27:$BH$257)</f>
        <v>76.263600000000011</v>
      </c>
      <c r="H19" s="50">
        <f t="shared" si="0"/>
        <v>0.58654543202845988</v>
      </c>
      <c r="I19" s="129">
        <f>VLOOKUP($E19,'Charges as $ per MWh'!B$4:G$57,5,0)</f>
        <v>6.9126670836649788</v>
      </c>
      <c r="J19" s="129"/>
      <c r="K19" s="190" t="str">
        <f t="shared" si="1"/>
        <v>Scanpower</v>
      </c>
      <c r="L19" s="155" t="s">
        <v>31</v>
      </c>
      <c r="M19" s="155">
        <v>83.397450000000006</v>
      </c>
      <c r="N19" s="155">
        <v>15.372</v>
      </c>
      <c r="O19" s="155">
        <v>0.61932454132936965</v>
      </c>
      <c r="P19" s="155">
        <v>6.5467990213242251</v>
      </c>
      <c r="Q19" s="195"/>
    </row>
    <row r="20" spans="2:17" x14ac:dyDescent="0.25">
      <c r="B20" s="20" t="s">
        <v>19</v>
      </c>
      <c r="C20" t="s">
        <v>19</v>
      </c>
      <c r="D20" s="20"/>
      <c r="E20" s="27" t="s">
        <v>19</v>
      </c>
      <c r="F20" s="27">
        <f>VLOOKUP(E20,Volumes!$B$2:$C$45,2,0)</f>
        <v>729.90309999999999</v>
      </c>
      <c r="G20" s="20">
        <f>SUMIF('Rev Adequacy'!$BF$27:$BF$257,'Load factors'!E20,'Rev Adequacy'!$BH$27:$BH$257)</f>
        <v>160.67520000000002</v>
      </c>
      <c r="H20" s="50">
        <f t="shared" si="0"/>
        <v>0.51857580814897197</v>
      </c>
      <c r="I20" s="129">
        <f>VLOOKUP($E20,'Charges as $ per MWh'!B$4:G$57,5,0)</f>
        <v>7.8187089280732911</v>
      </c>
      <c r="J20" s="129"/>
      <c r="K20" s="190" t="str">
        <f t="shared" si="1"/>
        <v>Horizon</v>
      </c>
      <c r="L20" s="155" t="s">
        <v>11</v>
      </c>
      <c r="M20" s="155">
        <v>498.60500000000002</v>
      </c>
      <c r="N20" s="155">
        <v>94.896899999999988</v>
      </c>
      <c r="O20" s="155">
        <v>0.59979176343414586</v>
      </c>
      <c r="P20" s="155">
        <v>6.7600016343044782</v>
      </c>
      <c r="Q20" s="195"/>
    </row>
    <row r="21" spans="2:17" x14ac:dyDescent="0.25">
      <c r="B21" s="20" t="s">
        <v>20</v>
      </c>
      <c r="C21" t="s">
        <v>20</v>
      </c>
      <c r="D21" s="20"/>
      <c r="E21" s="27" t="s">
        <v>20</v>
      </c>
      <c r="F21" s="27">
        <f>VLOOKUP(E21,Volumes!$B$2:$C$45,2,0)</f>
        <v>268.9751</v>
      </c>
      <c r="G21" s="20">
        <f>SUMIF('Rev Adequacy'!$BF$27:$BF$257,'Load factors'!E21,'Rev Adequacy'!$BH$27:$BH$257)</f>
        <v>63.86099999999999</v>
      </c>
      <c r="H21" s="50">
        <f t="shared" si="0"/>
        <v>0.48080863267603396</v>
      </c>
      <c r="I21" s="129">
        <f>VLOOKUP($E21,'Charges as $ per MWh'!B$4:G$57,5,0)</f>
        <v>8.4328629427690647</v>
      </c>
      <c r="J21" s="129"/>
      <c r="K21" s="190" t="str">
        <f t="shared" si="1"/>
        <v>Eastland Network</v>
      </c>
      <c r="L21" s="155" t="s">
        <v>7</v>
      </c>
      <c r="M21" s="155">
        <v>302.40199999999999</v>
      </c>
      <c r="N21" s="155">
        <v>58.113300000000002</v>
      </c>
      <c r="O21" s="155">
        <v>0.59402539961949774</v>
      </c>
      <c r="P21" s="155">
        <v>6.8256227825516484</v>
      </c>
      <c r="Q21" s="195"/>
    </row>
    <row r="22" spans="2:17" x14ac:dyDescent="0.25">
      <c r="B22" s="20" t="s">
        <v>23</v>
      </c>
      <c r="C22" t="s">
        <v>23</v>
      </c>
      <c r="D22" s="20"/>
      <c r="E22" s="27" t="s">
        <v>23</v>
      </c>
      <c r="F22" s="27">
        <f>VLOOKUP(E22,Volumes!$B$2:$C$45,2,0)</f>
        <v>758.77530000000002</v>
      </c>
      <c r="G22" s="20">
        <f>SUMIF('Rev Adequacy'!$BF$27:$BF$257,'Load factors'!E22,'Rev Adequacy'!$BH$27:$BH$257)</f>
        <v>138.15690000000001</v>
      </c>
      <c r="H22" s="50">
        <f t="shared" si="0"/>
        <v>0.6269551859625313</v>
      </c>
      <c r="I22" s="129">
        <f>VLOOKUP($E22,'Charges as $ per MWh'!B$4:G$57,5,0)</f>
        <v>6.4671182116986321</v>
      </c>
      <c r="J22" s="129"/>
      <c r="K22" s="190" t="str">
        <f t="shared" si="1"/>
        <v>Marlborough Lines</v>
      </c>
      <c r="L22" s="155" t="s">
        <v>13</v>
      </c>
      <c r="M22" s="155">
        <v>391.85289999999998</v>
      </c>
      <c r="N22" s="155">
        <v>76.263600000000011</v>
      </c>
      <c r="O22" s="155">
        <v>0.58654543202845988</v>
      </c>
      <c r="P22" s="155">
        <v>6.9126670836649824</v>
      </c>
      <c r="Q22" s="195"/>
    </row>
    <row r="23" spans="2:17" x14ac:dyDescent="0.25">
      <c r="B23" s="20" t="s">
        <v>25</v>
      </c>
      <c r="C23" t="s">
        <v>25</v>
      </c>
      <c r="D23" s="20"/>
      <c r="E23" s="27" t="s">
        <v>25</v>
      </c>
      <c r="F23" s="27">
        <f>VLOOKUP(E23,Volumes!$B$2:$C$45,2,0)</f>
        <v>3241.8319999999999</v>
      </c>
      <c r="G23" s="20">
        <f>SUMIF('Rev Adequacy'!$BF$27:$BF$257,'Load factors'!E23,'Rev Adequacy'!$BH$27:$BH$257)</f>
        <v>734.50650000000007</v>
      </c>
      <c r="H23" s="50">
        <f t="shared" si="0"/>
        <v>0.50383780962962399</v>
      </c>
      <c r="I23" s="129">
        <f>VLOOKUP($E23,'Charges as $ per MWh'!B$4:G$57,5,0)</f>
        <v>8.0474176879217527</v>
      </c>
      <c r="J23" s="129"/>
      <c r="K23" s="190" t="str">
        <f t="shared" si="1"/>
        <v>Alpine Energy</v>
      </c>
      <c r="L23" s="155" t="s">
        <v>0</v>
      </c>
      <c r="M23" s="155">
        <v>793.7586</v>
      </c>
      <c r="N23" s="155">
        <v>158.68860000000001</v>
      </c>
      <c r="O23" s="155">
        <v>0.57100328775203202</v>
      </c>
      <c r="P23" s="155">
        <v>7.1008230390749816</v>
      </c>
      <c r="Q23" s="195"/>
    </row>
    <row r="24" spans="2:17" x14ac:dyDescent="0.25">
      <c r="B24" s="20" t="s">
        <v>103</v>
      </c>
      <c r="C24" t="s">
        <v>103</v>
      </c>
      <c r="D24" s="20"/>
      <c r="E24" s="27" t="s">
        <v>103</v>
      </c>
      <c r="F24" s="27">
        <f>VLOOKUP(E24,Volumes!$B$2:$C$45,2,0)</f>
        <v>424.68549999999999</v>
      </c>
      <c r="G24" s="20">
        <f>SUMIF('Rev Adequacy'!$BF$27:$BF$257,'Load factors'!E24,'Rev Adequacy'!$BH$27:$BH$257)</f>
        <v>73.287900000000008</v>
      </c>
      <c r="H24" s="50">
        <f t="shared" si="0"/>
        <v>0.6615018292061281</v>
      </c>
      <c r="I24" s="129">
        <f>VLOOKUP($E24,'Charges as $ per MWh'!B$4:G$57,5,0)</f>
        <v>6.1293757961684392</v>
      </c>
      <c r="J24" s="129"/>
      <c r="K24" s="190" t="str">
        <f t="shared" si="1"/>
        <v>Top Energy</v>
      </c>
      <c r="L24" s="155" t="s">
        <v>34</v>
      </c>
      <c r="M24" s="155">
        <v>358.34750000000003</v>
      </c>
      <c r="N24" s="155">
        <v>72.2988</v>
      </c>
      <c r="O24" s="155">
        <v>0.56580813040392774</v>
      </c>
      <c r="P24" s="155">
        <v>7.1660216302700279</v>
      </c>
      <c r="Q24" s="195"/>
    </row>
    <row r="25" spans="2:17" x14ac:dyDescent="0.25">
      <c r="B25" s="20" t="s">
        <v>28</v>
      </c>
      <c r="C25" t="s">
        <v>28</v>
      </c>
      <c r="D25" s="20"/>
      <c r="E25" s="27" t="s">
        <v>28</v>
      </c>
      <c r="F25" s="27">
        <f>VLOOKUP(E25,Volumes!$B$2:$C$45,2,0)</f>
        <v>4383.1869999999999</v>
      </c>
      <c r="G25" s="20">
        <f>SUMIF('Rev Adequacy'!$BF$27:$BF$257,'Load factors'!E25,'Rev Adequacy'!$BH$27:$BH$257)</f>
        <v>984.16919999999982</v>
      </c>
      <c r="H25" s="50">
        <f t="shared" si="0"/>
        <v>0.50841238761118335</v>
      </c>
      <c r="I25" s="129">
        <f>VLOOKUP($E25,'Charges as $ per MWh'!B$4:G$57,5,0)</f>
        <v>7.9750088704723048</v>
      </c>
      <c r="J25" s="129"/>
      <c r="K25" s="190" t="str">
        <f t="shared" si="1"/>
        <v>The Power Company</v>
      </c>
      <c r="L25" s="155" t="s">
        <v>105</v>
      </c>
      <c r="M25" s="155">
        <v>773.01859999999999</v>
      </c>
      <c r="N25" s="155">
        <v>155.9699</v>
      </c>
      <c r="O25" s="155">
        <v>0.56577668139872705</v>
      </c>
      <c r="P25" s="155">
        <v>7.1664199574880403</v>
      </c>
      <c r="Q25" s="195"/>
    </row>
    <row r="26" spans="2:17" x14ac:dyDescent="0.25">
      <c r="B26" s="20" t="s">
        <v>31</v>
      </c>
      <c r="C26" t="s">
        <v>31</v>
      </c>
      <c r="D26" s="20"/>
      <c r="E26" s="27" t="s">
        <v>31</v>
      </c>
      <c r="F26" s="27">
        <f>VLOOKUP(E26,Volumes!$B$2:$C$45,2,0)</f>
        <v>83.397450000000006</v>
      </c>
      <c r="G26" s="20">
        <f>SUMIF('Rev Adequacy'!$BF$27:$BF$257,'Load factors'!E26,'Rev Adequacy'!$BH$27:$BH$257)</f>
        <v>15.372</v>
      </c>
      <c r="H26" s="50">
        <f t="shared" si="0"/>
        <v>0.61932454132936965</v>
      </c>
      <c r="I26" s="129">
        <f>VLOOKUP($E26,'Charges as $ per MWh'!B$4:G$57,5,0)</f>
        <v>6.5467990213242224</v>
      </c>
      <c r="J26" s="129"/>
      <c r="K26" s="190" t="str">
        <f t="shared" si="1"/>
        <v>Waipa Power</v>
      </c>
      <c r="L26" s="155" t="s">
        <v>38</v>
      </c>
      <c r="M26" s="155">
        <v>376.82319999999999</v>
      </c>
      <c r="N26" s="155">
        <v>77.498400000000004</v>
      </c>
      <c r="O26" s="155">
        <v>0.55506109844801266</v>
      </c>
      <c r="P26" s="155">
        <v>7.3047693531290516</v>
      </c>
      <c r="Q26" s="195"/>
    </row>
    <row r="27" spans="2:17" x14ac:dyDescent="0.25">
      <c r="B27" s="20" t="s">
        <v>32</v>
      </c>
      <c r="C27" t="s">
        <v>32</v>
      </c>
      <c r="D27" s="20"/>
      <c r="E27" s="27" t="s">
        <v>32</v>
      </c>
      <c r="F27" s="27">
        <f>VLOOKUP(E27,Volumes!$B$2:$C$45,2,0)</f>
        <v>291.24799999999999</v>
      </c>
      <c r="G27" s="20">
        <f>SUMIF('Rev Adequacy'!$BF$27:$BF$257,'Load factors'!E27,'Rev Adequacy'!$BH$27:$BH$257)</f>
        <v>76.221599999999995</v>
      </c>
      <c r="H27" s="50">
        <f t="shared" si="0"/>
        <v>0.43619510197207728</v>
      </c>
      <c r="I27" s="129">
        <f>VLOOKUP($E27,'Charges as $ per MWh'!B$4:G$57,5,0)</f>
        <v>9.2953664145379182</v>
      </c>
      <c r="J27" s="129"/>
      <c r="K27" s="190" t="str">
        <f t="shared" si="1"/>
        <v>Unison</v>
      </c>
      <c r="L27" s="155" t="s">
        <v>36</v>
      </c>
      <c r="M27" s="155">
        <v>1630.153</v>
      </c>
      <c r="N27" s="155">
        <v>344.33699999999999</v>
      </c>
      <c r="O27" s="155">
        <v>0.54043139457611367</v>
      </c>
      <c r="P27" s="155">
        <v>7.5025125145392471</v>
      </c>
      <c r="Q27" s="195"/>
    </row>
    <row r="28" spans="2:17" x14ac:dyDescent="0.25">
      <c r="B28" s="20" t="s">
        <v>105</v>
      </c>
      <c r="C28" t="s">
        <v>105</v>
      </c>
      <c r="D28" s="20"/>
      <c r="E28" s="27" t="s">
        <v>105</v>
      </c>
      <c r="F28" s="27">
        <f>VLOOKUP(E28,Volumes!$B$2:$C$45,2,0)</f>
        <v>773.01859999999999</v>
      </c>
      <c r="G28" s="20">
        <f>SUMIF('Rev Adequacy'!$BF$27:$BF$257,'Load factors'!E28,'Rev Adequacy'!$BH$27:$BH$257)</f>
        <v>155.9699</v>
      </c>
      <c r="H28" s="50">
        <f t="shared" si="0"/>
        <v>0.56577668139872705</v>
      </c>
      <c r="I28" s="129">
        <f>VLOOKUP($E28,'Charges as $ per MWh'!B$4:G$57,5,0)</f>
        <v>7.1664199574880385</v>
      </c>
      <c r="J28" s="129"/>
      <c r="K28" s="190" t="str">
        <f t="shared" si="1"/>
        <v>Electricity Invercargill</v>
      </c>
      <c r="L28" s="155" t="s">
        <v>101</v>
      </c>
      <c r="M28" s="155">
        <v>257.96260000000001</v>
      </c>
      <c r="N28" s="155">
        <v>55.567199999999993</v>
      </c>
      <c r="O28" s="155">
        <v>0.529949059663396</v>
      </c>
      <c r="P28" s="155">
        <v>7.6509113982247996</v>
      </c>
      <c r="Q28" s="195"/>
    </row>
    <row r="29" spans="2:17" x14ac:dyDescent="0.25">
      <c r="B29" s="20" t="s">
        <v>34</v>
      </c>
      <c r="C29" t="s">
        <v>34</v>
      </c>
      <c r="D29" s="20"/>
      <c r="E29" s="27" t="s">
        <v>34</v>
      </c>
      <c r="F29" s="27">
        <f>VLOOKUP(E29,Volumes!$B$2:$C$45,2,0)</f>
        <v>358.34750000000003</v>
      </c>
      <c r="G29" s="20">
        <f>SUMIF('Rev Adequacy'!$BF$27:$BF$257,'Load factors'!E29,'Rev Adequacy'!$BH$27:$BH$257)</f>
        <v>72.2988</v>
      </c>
      <c r="H29" s="50">
        <f t="shared" si="0"/>
        <v>0.56580813040392774</v>
      </c>
      <c r="I29" s="129">
        <f>VLOOKUP($E29,'Charges as $ per MWh'!B$4:G$57,5,0)</f>
        <v>7.1660216302700253</v>
      </c>
      <c r="J29" s="129"/>
      <c r="K29" s="190" t="str">
        <f t="shared" si="1"/>
        <v>Network Tasman</v>
      </c>
      <c r="L29" s="155" t="s">
        <v>19</v>
      </c>
      <c r="M29" s="155">
        <v>729.90309999999999</v>
      </c>
      <c r="N29" s="155">
        <v>160.67520000000002</v>
      </c>
      <c r="O29" s="155">
        <v>0.51857580814897197</v>
      </c>
      <c r="P29" s="155">
        <v>7.8187089280732929</v>
      </c>
      <c r="Q29" s="195"/>
    </row>
    <row r="30" spans="2:17" x14ac:dyDescent="0.25">
      <c r="B30" s="20" t="s">
        <v>36</v>
      </c>
      <c r="C30" t="s">
        <v>36</v>
      </c>
      <c r="D30" s="20"/>
      <c r="E30" s="27" t="s">
        <v>36</v>
      </c>
      <c r="F30" s="27">
        <f>VLOOKUP(E30,Volumes!$B$2:$C$45,2,0)</f>
        <v>1630.153</v>
      </c>
      <c r="G30" s="20">
        <f>SUMIF('Rev Adequacy'!$BF$27:$BF$257,'Load factors'!E30,'Rev Adequacy'!$BH$27:$BH$257)</f>
        <v>344.33699999999999</v>
      </c>
      <c r="H30" s="50">
        <f t="shared" si="0"/>
        <v>0.54043139457611367</v>
      </c>
      <c r="I30" s="129">
        <f>VLOOKUP($E30,'Charges as $ per MWh'!B$4:G$57,5,0)</f>
        <v>7.5025125145392435</v>
      </c>
      <c r="J30" s="129"/>
      <c r="K30" s="190" t="str">
        <f t="shared" si="1"/>
        <v>Electra</v>
      </c>
      <c r="L30" s="155" t="s">
        <v>8</v>
      </c>
      <c r="M30" s="155">
        <v>433.24099999999999</v>
      </c>
      <c r="N30" s="155">
        <v>96.763800000000003</v>
      </c>
      <c r="O30" s="155">
        <v>0.51110782296496571</v>
      </c>
      <c r="P30" s="155">
        <v>7.9329509721378608</v>
      </c>
      <c r="Q30" s="195"/>
    </row>
    <row r="31" spans="2:17" x14ac:dyDescent="0.25">
      <c r="B31" s="20" t="s">
        <v>37</v>
      </c>
      <c r="C31" t="s">
        <v>37</v>
      </c>
      <c r="D31" s="20"/>
      <c r="E31" s="27" t="s">
        <v>37</v>
      </c>
      <c r="F31" s="27">
        <f>VLOOKUP(E31,Volumes!$B$2:$C$45,2,0)</f>
        <v>8414.0769999999993</v>
      </c>
      <c r="G31" s="20">
        <f>SUMIF('Rev Adequacy'!$BF$27:$BF$257,'Load factors'!E31,'Rev Adequacy'!$BH$27:$BH$257)</f>
        <v>2191.1694000000007</v>
      </c>
      <c r="H31" s="50">
        <f t="shared" si="0"/>
        <v>0.43835546127075364</v>
      </c>
      <c r="I31" s="129">
        <f>VLOOKUP($E31,'Charges as $ per MWh'!B$4:G$57,5,0)</f>
        <v>9.2495558041030943</v>
      </c>
      <c r="J31" s="129"/>
      <c r="K31" s="190" t="str">
        <f t="shared" si="1"/>
        <v>Powerco</v>
      </c>
      <c r="L31" s="155" t="s">
        <v>28</v>
      </c>
      <c r="M31" s="155">
        <v>4383.1869999999999</v>
      </c>
      <c r="N31" s="155">
        <v>984.16919999999982</v>
      </c>
      <c r="O31" s="155">
        <v>0.50841238761118335</v>
      </c>
      <c r="P31" s="155">
        <v>7.9750088704723074</v>
      </c>
      <c r="Q31" s="195"/>
    </row>
    <row r="32" spans="2:17" x14ac:dyDescent="0.25">
      <c r="B32" s="20" t="s">
        <v>38</v>
      </c>
      <c r="C32" t="s">
        <v>38</v>
      </c>
      <c r="D32" s="20"/>
      <c r="E32" s="27" t="s">
        <v>38</v>
      </c>
      <c r="F32" s="27">
        <f>VLOOKUP(E32,Volumes!$B$2:$C$45,2,0)</f>
        <v>376.82319999999999</v>
      </c>
      <c r="G32" s="20">
        <f>SUMIF('Rev Adequacy'!$BF$27:$BF$257,'Load factors'!E32,'Rev Adequacy'!$BH$27:$BH$257)</f>
        <v>77.498400000000004</v>
      </c>
      <c r="H32" s="50">
        <f t="shared" si="0"/>
        <v>0.55506109844801266</v>
      </c>
      <c r="I32" s="129">
        <f>VLOOKUP($E32,'Charges as $ per MWh'!B$4:G$57,5,0)</f>
        <v>7.304769353129049</v>
      </c>
      <c r="J32" s="129"/>
      <c r="K32" s="190" t="str">
        <f t="shared" si="1"/>
        <v>Counties Power</v>
      </c>
      <c r="L32" s="155" t="s">
        <v>5</v>
      </c>
      <c r="M32" s="155">
        <v>566.40549999999996</v>
      </c>
      <c r="N32" s="155">
        <v>127.31040000000002</v>
      </c>
      <c r="O32" s="155">
        <v>0.50787808459054895</v>
      </c>
      <c r="P32" s="155">
        <v>7.9833988196714616</v>
      </c>
      <c r="Q32" s="195"/>
    </row>
    <row r="33" spans="2:17" x14ac:dyDescent="0.25">
      <c r="B33" s="20" t="s">
        <v>39</v>
      </c>
      <c r="C33" t="s">
        <v>590</v>
      </c>
      <c r="D33" s="20"/>
      <c r="E33" s="27" t="s">
        <v>39</v>
      </c>
      <c r="F33" s="27">
        <f>VLOOKUP(E33,Volumes!$B$2:$C$45,2,0)</f>
        <v>1244.671</v>
      </c>
      <c r="G33" s="20">
        <f>SUMIF('Rev Adequacy'!$BF$27:$BF$257,'Load factors'!E33,'Rev Adequacy'!$BH$27:$BH$257)</f>
        <v>287.95409999999998</v>
      </c>
      <c r="H33" s="50">
        <f t="shared" si="0"/>
        <v>0.49343187193239241</v>
      </c>
      <c r="I33" s="129">
        <f>VLOOKUP($E33,'Charges as $ per MWh'!B$4:G$57,5,0)</f>
        <v>8.2171289122011348</v>
      </c>
      <c r="J33" s="129"/>
      <c r="K33" s="190" t="str">
        <f t="shared" si="1"/>
        <v>Orion</v>
      </c>
      <c r="L33" s="155" t="s">
        <v>25</v>
      </c>
      <c r="M33" s="155">
        <v>3241.8319999999999</v>
      </c>
      <c r="N33" s="155">
        <v>734.50650000000007</v>
      </c>
      <c r="O33" s="155">
        <v>0.50383780962962399</v>
      </c>
      <c r="P33" s="155">
        <v>8.0474176879217563</v>
      </c>
      <c r="Q33" s="195"/>
    </row>
    <row r="34" spans="2:17" x14ac:dyDescent="0.25">
      <c r="B34" s="20" t="s">
        <v>40</v>
      </c>
      <c r="C34" t="s">
        <v>40</v>
      </c>
      <c r="D34" s="20"/>
      <c r="E34" s="27" t="s">
        <v>40</v>
      </c>
      <c r="F34" s="27">
        <f>VLOOKUP(E34,Volumes!$B$2:$C$45,2,0)</f>
        <v>2464.46</v>
      </c>
      <c r="G34" s="20">
        <f>SUMIF('Rev Adequacy'!$BF$27:$BF$257,'Load factors'!E34,'Rev Adequacy'!$BH$27:$BH$257)</f>
        <v>589.61699999999996</v>
      </c>
      <c r="H34" s="50">
        <f t="shared" si="0"/>
        <v>0.477142026482124</v>
      </c>
      <c r="I34" s="129">
        <f>VLOOKUP($E34,'Charges as $ per MWh'!B$4:G$57,5,0)</f>
        <v>8.4976654245925936</v>
      </c>
      <c r="J34" s="129"/>
      <c r="K34" s="190" t="str">
        <f t="shared" si="1"/>
        <v>WEL Networks</v>
      </c>
      <c r="L34" s="155" t="s">
        <v>39</v>
      </c>
      <c r="M34" s="155">
        <v>1244.671</v>
      </c>
      <c r="N34" s="155">
        <v>287.95409999999998</v>
      </c>
      <c r="O34" s="155">
        <v>0.49343187193239241</v>
      </c>
      <c r="P34" s="155">
        <v>8.2171289122011384</v>
      </c>
      <c r="Q34" s="195"/>
    </row>
    <row r="35" spans="2:17" x14ac:dyDescent="0.25">
      <c r="B35" s="20" t="s">
        <v>41</v>
      </c>
      <c r="C35" t="s">
        <v>41</v>
      </c>
      <c r="D35" s="20"/>
      <c r="E35" s="27" t="s">
        <v>41</v>
      </c>
      <c r="F35" s="27">
        <f>VLOOKUP(E35,Volumes!$B$2:$C$45,2,0)</f>
        <v>283.42599999999999</v>
      </c>
      <c r="G35" s="20">
        <f>SUMIF('Rev Adequacy'!$BF$27:$BF$257,'Load factors'!E35,'Rev Adequacy'!$BH$27:$BH$257)</f>
        <v>74.436599999999999</v>
      </c>
      <c r="H35" s="50">
        <f t="shared" si="0"/>
        <v>0.43465937737679661</v>
      </c>
      <c r="I35" s="129">
        <f>VLOOKUP($E35,'Charges as $ per MWh'!B$4:G$57,5,0)</f>
        <v>9.3282085055359367</v>
      </c>
      <c r="J35" s="129"/>
      <c r="K35" s="190" t="str">
        <f t="shared" si="1"/>
        <v>Mainpower</v>
      </c>
      <c r="L35" s="155" t="s">
        <v>12</v>
      </c>
      <c r="M35" s="155">
        <v>547.63909999999998</v>
      </c>
      <c r="N35" s="155">
        <v>127.3272</v>
      </c>
      <c r="O35" s="155">
        <v>0.49098605007754653</v>
      </c>
      <c r="P35" s="155">
        <v>8.2580621189070555</v>
      </c>
      <c r="Q35" s="195"/>
    </row>
    <row r="36" spans="2:17" x14ac:dyDescent="0.25">
      <c r="B36" s="20" t="s">
        <v>3</v>
      </c>
      <c r="C36" t="s">
        <v>1671</v>
      </c>
      <c r="D36" s="20"/>
      <c r="E36" s="27" t="s">
        <v>3</v>
      </c>
      <c r="F36" s="27">
        <f>VLOOKUP(E36,Volumes!$B$2:$C$45,2,0)</f>
        <v>585.33579999999995</v>
      </c>
      <c r="G36" s="20">
        <f>SUMIF('Rev Adequacy'!$BF$27:$BF$257,'Load factors'!E36,'Rev Adequacy'!$BH$27:$BH$257)</f>
        <v>88.964900823974602</v>
      </c>
      <c r="H36" s="50">
        <f t="shared" si="0"/>
        <v>0.75107322811891286</v>
      </c>
      <c r="I36" s="129">
        <f>VLOOKUP($E36,'Charges as $ per MWh'!B$4:G$57,5,0)</f>
        <v>5.398399449294776</v>
      </c>
      <c r="J36" s="129"/>
      <c r="K36" s="190" t="str">
        <f t="shared" si="1"/>
        <v>Aurora Energy</v>
      </c>
      <c r="L36" s="155" t="s">
        <v>1</v>
      </c>
      <c r="M36" s="155">
        <v>1350.32</v>
      </c>
      <c r="N36" s="155">
        <v>317.79510000000005</v>
      </c>
      <c r="O36" s="155">
        <v>0.48504875852856499</v>
      </c>
      <c r="P36" s="155">
        <v>8.3591458173341806</v>
      </c>
      <c r="Q36" s="195"/>
    </row>
    <row r="37" spans="2:17" x14ac:dyDescent="0.25">
      <c r="B37" s="20" t="s">
        <v>6</v>
      </c>
      <c r="C37" t="s">
        <v>6</v>
      </c>
      <c r="D37" s="20"/>
      <c r="E37" s="27" t="s">
        <v>6</v>
      </c>
      <c r="F37" s="27">
        <f>VLOOKUP(E37,Volumes!$B$2:$C$45,2,0)</f>
        <v>68.116209999999995</v>
      </c>
      <c r="G37" s="20">
        <f>SUMIF('Rev Adequacy'!$BF$27:$BF$257,'Load factors'!E37,'Rev Adequacy'!$BH$27:$BH$257)</f>
        <v>11.3736</v>
      </c>
      <c r="H37" s="50">
        <f t="shared" si="0"/>
        <v>0.68367298475071481</v>
      </c>
      <c r="I37" s="129">
        <f>VLOOKUP($E37,'Charges as $ per MWh'!B$4:G$57,5,0)</f>
        <v>5.9306033608094095</v>
      </c>
      <c r="J37" s="129"/>
      <c r="K37" s="190" t="str">
        <f t="shared" si="1"/>
        <v>Network Waitaki</v>
      </c>
      <c r="L37" s="155" t="s">
        <v>20</v>
      </c>
      <c r="M37" s="155">
        <v>268.9751</v>
      </c>
      <c r="N37" s="155">
        <v>63.86099999999999</v>
      </c>
      <c r="O37" s="155">
        <v>0.48080863267603396</v>
      </c>
      <c r="P37" s="155">
        <v>8.4328629427690682</v>
      </c>
      <c r="Q37" s="195"/>
    </row>
    <row r="38" spans="2:17" x14ac:dyDescent="0.25">
      <c r="B38" s="20" t="s">
        <v>51</v>
      </c>
      <c r="C38" t="s">
        <v>51</v>
      </c>
      <c r="D38" s="20"/>
      <c r="E38" s="27" t="s">
        <v>51</v>
      </c>
      <c r="F38" s="27">
        <f>VLOOKUP(E38,Volumes!$B$2:$C$45,2,0)</f>
        <v>39.945360000000001</v>
      </c>
      <c r="G38" s="20">
        <f>SUMIF('Rev Adequacy'!$BF$27:$BF$257,'Load factors'!E38,'Rev Adequacy'!$BH$27:$BH$257)</f>
        <v>37.226699999999994</v>
      </c>
      <c r="H38" s="50">
        <f t="shared" si="0"/>
        <v>0.1224919910370709</v>
      </c>
      <c r="I38" s="129">
        <f>VLOOKUP($E38,'Charges as $ per MWh'!B$4:G$57,5,0)</f>
        <v>33.100884937286317</v>
      </c>
      <c r="J38" s="129"/>
      <c r="K38" s="190" t="str">
        <f t="shared" si="1"/>
        <v>Wellington Electricity</v>
      </c>
      <c r="L38" s="155" t="s">
        <v>40</v>
      </c>
      <c r="M38" s="155">
        <v>2464.46</v>
      </c>
      <c r="N38" s="155">
        <v>589.61699999999996</v>
      </c>
      <c r="O38" s="155">
        <v>0.477142026482124</v>
      </c>
      <c r="P38" s="155">
        <v>8.4976654245925971</v>
      </c>
    </row>
    <row r="39" spans="2:17" x14ac:dyDescent="0.25">
      <c r="B39" s="20" t="s">
        <v>15</v>
      </c>
      <c r="C39" t="s">
        <v>15</v>
      </c>
      <c r="D39" s="20"/>
      <c r="E39" s="27" t="s">
        <v>15</v>
      </c>
      <c r="F39" s="27">
        <f>VLOOKUP(E39,Volumes!$B$2:$C$45,2,0)</f>
        <v>53.694110000000002</v>
      </c>
      <c r="G39" s="20">
        <f>SUMIF('Rev Adequacy'!$BF$27:$BF$257,'Load factors'!E39,'Rev Adequacy'!$BH$27:$BH$257)</f>
        <v>9.5024999999999995</v>
      </c>
      <c r="H39" s="50">
        <f t="shared" si="0"/>
        <v>0.64503705465636907</v>
      </c>
      <c r="I39" s="129">
        <f>VLOOKUP($E39,'Charges as $ per MWh'!B$4:G$57,5,0)</f>
        <v>6.2858300492786343</v>
      </c>
      <c r="J39" s="129"/>
      <c r="K39" s="190" t="str">
        <f t="shared" si="1"/>
        <v>Norske Skog</v>
      </c>
      <c r="L39" s="155" t="s">
        <v>22</v>
      </c>
      <c r="M39" s="155">
        <v>476.35980000000001</v>
      </c>
      <c r="N39" s="155">
        <v>113.97</v>
      </c>
      <c r="O39" s="155">
        <v>0.47713409320645545</v>
      </c>
      <c r="P39" s="155">
        <v>8.4978067146896858</v>
      </c>
    </row>
    <row r="40" spans="2:17" x14ac:dyDescent="0.25">
      <c r="B40" s="20" t="s">
        <v>22</v>
      </c>
      <c r="C40" t="s">
        <v>22</v>
      </c>
      <c r="D40" s="20"/>
      <c r="E40" s="27" t="s">
        <v>22</v>
      </c>
      <c r="F40" s="27">
        <f>VLOOKUP(E40,Volumes!$B$2:$C$45,2,0)</f>
        <v>476.35980000000001</v>
      </c>
      <c r="G40" s="20">
        <f>SUMIF('Rev Adequacy'!$BF$27:$BF$257,'Load factors'!E40,'Rev Adequacy'!$BH$27:$BH$257)</f>
        <v>113.97</v>
      </c>
      <c r="H40" s="50">
        <f t="shared" si="0"/>
        <v>0.47713409320645545</v>
      </c>
      <c r="I40" s="129">
        <f>VLOOKUP($E40,'Charges as $ per MWh'!B$4:G$57,5,0)</f>
        <v>8.4978067146896823</v>
      </c>
      <c r="J40" s="129"/>
      <c r="K40" s="190" t="str">
        <f t="shared" si="1"/>
        <v>Lakeland Network</v>
      </c>
      <c r="L40" s="155" t="s">
        <v>102</v>
      </c>
      <c r="M40" s="155">
        <v>11.131349999999999</v>
      </c>
      <c r="N40" s="155">
        <v>2.7845999999999997</v>
      </c>
      <c r="O40" s="155">
        <v>0.4563319883626088</v>
      </c>
      <c r="P40" s="155">
        <v>8.8851831658913749</v>
      </c>
    </row>
    <row r="41" spans="2:17" x14ac:dyDescent="0.25">
      <c r="B41" s="20" t="s">
        <v>24</v>
      </c>
      <c r="C41" t="s">
        <v>24</v>
      </c>
      <c r="D41" s="20"/>
      <c r="E41" s="27" t="s">
        <v>24</v>
      </c>
      <c r="F41" s="27">
        <f>VLOOKUP(E41,Volumes!$B$2:$C$45,2,0)</f>
        <v>1065.394</v>
      </c>
      <c r="G41" s="20">
        <f>SUMIF('Rev Adequacy'!$BF$27:$BF$257,'Load factors'!E41,'Rev Adequacy'!$BH$27:$BH$257)</f>
        <v>170.43599999999998</v>
      </c>
      <c r="H41" s="50">
        <f t="shared" si="0"/>
        <v>0.71358351307648149</v>
      </c>
      <c r="I41" s="129">
        <f>VLOOKUP($E41,'Charges as $ per MWh'!B$4:G$57,5,0)</f>
        <v>5.6820165078878722</v>
      </c>
      <c r="J41" s="129"/>
      <c r="K41" s="190" t="str">
        <f t="shared" si="1"/>
        <v>Vector</v>
      </c>
      <c r="L41" s="155" t="s">
        <v>37</v>
      </c>
      <c r="M41" s="155">
        <v>8414.0769999999993</v>
      </c>
      <c r="N41" s="155">
        <v>2191.1694000000007</v>
      </c>
      <c r="O41" s="155">
        <v>0.43835546127075364</v>
      </c>
      <c r="P41" s="155">
        <v>9.2495558041030979</v>
      </c>
    </row>
    <row r="42" spans="2:17" x14ac:dyDescent="0.25">
      <c r="B42" s="20" t="s">
        <v>44</v>
      </c>
      <c r="C42" t="s">
        <v>1617</v>
      </c>
      <c r="D42" s="27" t="s">
        <v>54</v>
      </c>
      <c r="E42" s="27" t="s">
        <v>44</v>
      </c>
      <c r="F42" s="27">
        <f>VLOOKUP(E42,Volumes!$B$2:$C$45,2,0)</f>
        <v>4985.3580000000002</v>
      </c>
      <c r="G42" s="20">
        <f>SUMIF('Rev Adequacy'!$BF$27:$BF$257,'Load factors'!D42,'Rev Adequacy'!$BH$27:$BH$257)</f>
        <v>582.21400000000006</v>
      </c>
      <c r="H42" s="50">
        <f t="shared" si="0"/>
        <v>0.97748387108614343</v>
      </c>
      <c r="I42" s="129">
        <f>VLOOKUP($E42,'Charges as $ per MWh'!B$4:G$57,5,0)</f>
        <v>4.1479899781383374</v>
      </c>
      <c r="J42" s="129"/>
      <c r="K42" s="190" t="str">
        <f t="shared" si="1"/>
        <v>The Lines Company</v>
      </c>
      <c r="L42" s="155" t="s">
        <v>32</v>
      </c>
      <c r="M42" s="155">
        <v>291.24799999999999</v>
      </c>
      <c r="N42" s="155">
        <v>76.221599999999995</v>
      </c>
      <c r="O42" s="155">
        <v>0.43619510197207728</v>
      </c>
      <c r="P42" s="155">
        <v>9.2953664145379218</v>
      </c>
    </row>
    <row r="43" spans="2:17" x14ac:dyDescent="0.25">
      <c r="B43" s="20" t="s">
        <v>26</v>
      </c>
      <c r="C43" t="s">
        <v>1615</v>
      </c>
      <c r="D43" s="20"/>
      <c r="E43" s="27" t="s">
        <v>26</v>
      </c>
      <c r="F43" s="27">
        <f>VLOOKUP(E43,Volumes!$B$2:$C$45,2,0)</f>
        <v>528.91809999999998</v>
      </c>
      <c r="G43" s="20">
        <f>SUMIF('Rev Adequacy'!$BF$27:$BF$257,'Load factors'!E43,'Rev Adequacy'!$BH$27:$BH$257)</f>
        <v>85.140299999999996</v>
      </c>
      <c r="H43" s="50">
        <f t="shared" si="0"/>
        <v>0.70916802664323231</v>
      </c>
      <c r="I43" s="129">
        <f>VLOOKUP($E43,'Charges as $ per MWh'!B$4:G$57,5,0)</f>
        <v>5.7173943955837307</v>
      </c>
      <c r="J43" s="129"/>
      <c r="K43" s="190" t="str">
        <f t="shared" si="1"/>
        <v>Westpower</v>
      </c>
      <c r="L43" s="155" t="s">
        <v>41</v>
      </c>
      <c r="M43" s="155">
        <v>283.42599999999999</v>
      </c>
      <c r="N43" s="155">
        <v>74.436599999999999</v>
      </c>
      <c r="O43" s="155">
        <v>0.43465937737679661</v>
      </c>
      <c r="P43" s="155">
        <v>9.3282085055359403</v>
      </c>
    </row>
    <row r="44" spans="2:17" x14ac:dyDescent="0.25">
      <c r="B44" s="20" t="s">
        <v>30</v>
      </c>
      <c r="C44" t="s">
        <v>30</v>
      </c>
      <c r="D44" s="20"/>
      <c r="E44" s="27" t="s">
        <v>30</v>
      </c>
      <c r="F44" s="27">
        <f>VLOOKUP(E44,Volumes!$B$2:$C$45,2,0)</f>
        <v>53.554029999999997</v>
      </c>
      <c r="G44" s="20">
        <f>SUMIF('Rev Adequacy'!$BF$27:$BF$257,'Load factors'!E44,'Rev Adequacy'!$BH$27:$BH$257)</f>
        <v>9.1181999999999999</v>
      </c>
      <c r="H44" s="50">
        <f t="shared" si="0"/>
        <v>0.67046936284488579</v>
      </c>
      <c r="I44" s="129">
        <f>VLOOKUP($E44,'Charges as $ per MWh'!B$4:G$57,5,0)</f>
        <v>6.0473953408594854</v>
      </c>
      <c r="J44" s="129"/>
      <c r="K44" s="190" t="str">
        <f t="shared" si="1"/>
        <v>Buller Electricity</v>
      </c>
      <c r="L44" s="155" t="s">
        <v>2</v>
      </c>
      <c r="M44" s="155">
        <v>107.0976</v>
      </c>
      <c r="N44" s="155">
        <v>28.442399999999999</v>
      </c>
      <c r="O44" s="155">
        <v>0.42984253876809042</v>
      </c>
      <c r="P44" s="155">
        <v>9.4327409117707948</v>
      </c>
    </row>
    <row r="45" spans="2:17" x14ac:dyDescent="0.25">
      <c r="B45" s="20" t="s">
        <v>904</v>
      </c>
      <c r="C45" t="s">
        <v>1616</v>
      </c>
      <c r="D45" s="20"/>
      <c r="E45" s="27" t="s">
        <v>904</v>
      </c>
      <c r="F45" s="27">
        <f>VLOOKUP(E45,Volumes!$B$2:$C$45,2,0)</f>
        <v>262.25099999999998</v>
      </c>
      <c r="G45" s="20">
        <f>SUMIF('Rev Adequacy'!$BF$27:$BF$257,'Load factors'!E45,'Rev Adequacy'!$BH$27:$BH$257)</f>
        <v>35.599199999999996</v>
      </c>
      <c r="H45" s="50">
        <f t="shared" si="0"/>
        <v>0.84095509919108546</v>
      </c>
      <c r="I45" s="129">
        <f>VLOOKUP($E45,'Charges as $ per MWh'!B$4:G$57,5,0)</f>
        <v>4.821414728274199</v>
      </c>
      <c r="J45" s="129"/>
      <c r="K45" s="190" t="str">
        <f t="shared" si="1"/>
        <v>Electricity Ashburton</v>
      </c>
      <c r="L45" s="155" t="s">
        <v>9</v>
      </c>
      <c r="M45" s="155">
        <v>627.16189999999995</v>
      </c>
      <c r="N45" s="155">
        <v>197.20050000000003</v>
      </c>
      <c r="O45" s="155">
        <v>0.36305092634609554</v>
      </c>
      <c r="P45" s="155">
        <v>11.16811170781026</v>
      </c>
    </row>
    <row r="46" spans="2:17" x14ac:dyDescent="0.25">
      <c r="B46" s="20" t="s">
        <v>42</v>
      </c>
      <c r="C46" t="s">
        <v>42</v>
      </c>
      <c r="D46" s="20"/>
      <c r="E46" s="27" t="s">
        <v>42</v>
      </c>
      <c r="F46" s="27">
        <f>VLOOKUP(E46,Volumes!$B$2:$C$45,2,0)</f>
        <v>235.63059999999999</v>
      </c>
      <c r="G46" s="20">
        <f>SUMIF('Rev Adequacy'!$BF$27:$BF$257,'Load factors'!E46,'Rev Adequacy'!$BH$27:$BH$257)</f>
        <v>38.988599999999998</v>
      </c>
      <c r="H46" s="50">
        <f t="shared" si="0"/>
        <v>0.68990603201024658</v>
      </c>
      <c r="I46" s="129">
        <f>VLOOKUP($E46,'Charges as $ per MWh'!B$4:G$57,5,0)</f>
        <v>5.8770225406537238</v>
      </c>
      <c r="J46" s="129"/>
      <c r="K46" s="190" t="str">
        <f t="shared" si="1"/>
        <v>Kiwirail</v>
      </c>
      <c r="L46" s="155" t="s">
        <v>51</v>
      </c>
      <c r="M46" s="155">
        <v>39.945360000000001</v>
      </c>
      <c r="N46" s="155">
        <v>37.226699999999994</v>
      </c>
      <c r="O46" s="155">
        <v>0.1224919910370709</v>
      </c>
      <c r="P46" s="155">
        <v>33.100884937286324</v>
      </c>
    </row>
    <row r="47" spans="2:17" x14ac:dyDescent="0.25">
      <c r="B47" s="332" t="s">
        <v>4</v>
      </c>
      <c r="C47" s="13" t="s">
        <v>4</v>
      </c>
      <c r="D47" s="20"/>
      <c r="E47" s="27"/>
      <c r="F47" s="27"/>
      <c r="G47" s="20"/>
      <c r="H47" s="50"/>
      <c r="J47" s="129"/>
    </row>
    <row r="48" spans="2:17" x14ac:dyDescent="0.25">
      <c r="B48" s="332" t="s">
        <v>10</v>
      </c>
      <c r="C48" s="13" t="s">
        <v>10</v>
      </c>
      <c r="D48" s="20"/>
      <c r="E48" s="27"/>
      <c r="F48" s="27"/>
      <c r="G48" s="20"/>
      <c r="H48" s="50"/>
      <c r="J48" s="129"/>
    </row>
    <row r="49" spans="2:10" x14ac:dyDescent="0.25">
      <c r="B49" s="332" t="s">
        <v>14</v>
      </c>
      <c r="C49" s="13" t="s">
        <v>14</v>
      </c>
      <c r="D49" s="20"/>
      <c r="E49" s="27"/>
      <c r="F49" s="27"/>
      <c r="G49" s="20"/>
      <c r="H49" s="50"/>
      <c r="J49" s="129"/>
    </row>
    <row r="50" spans="2:10" x14ac:dyDescent="0.25">
      <c r="B50" s="332" t="s">
        <v>1620</v>
      </c>
      <c r="C50" s="13" t="s">
        <v>16</v>
      </c>
      <c r="D50" s="20"/>
      <c r="E50" s="20"/>
      <c r="F50" s="20"/>
      <c r="G50" s="20"/>
    </row>
    <row r="51" spans="2:10" x14ac:dyDescent="0.25">
      <c r="B51" s="332" t="s">
        <v>1613</v>
      </c>
      <c r="C51" s="13" t="s">
        <v>17</v>
      </c>
      <c r="D51" s="20"/>
      <c r="E51" s="20"/>
      <c r="F51" s="20"/>
      <c r="G51" s="20"/>
    </row>
    <row r="52" spans="2:10" x14ac:dyDescent="0.25">
      <c r="B52" s="332" t="s">
        <v>1614</v>
      </c>
      <c r="C52" s="13" t="s">
        <v>18</v>
      </c>
      <c r="D52" s="20"/>
    </row>
    <row r="53" spans="2:10" x14ac:dyDescent="0.25">
      <c r="B53" s="332" t="s">
        <v>21</v>
      </c>
      <c r="C53" s="13" t="s">
        <v>21</v>
      </c>
      <c r="D53" s="20"/>
    </row>
    <row r="54" spans="2:10" x14ac:dyDescent="0.25">
      <c r="B54" s="332" t="s">
        <v>27</v>
      </c>
      <c r="C54" s="13" t="s">
        <v>27</v>
      </c>
      <c r="D54" s="20"/>
    </row>
    <row r="55" spans="2:10" x14ac:dyDescent="0.25">
      <c r="B55" s="332" t="s">
        <v>33</v>
      </c>
      <c r="C55" s="13" t="s">
        <v>33</v>
      </c>
      <c r="D55" s="20"/>
    </row>
    <row r="56" spans="2:10" x14ac:dyDescent="0.25">
      <c r="B56" s="332" t="s">
        <v>35</v>
      </c>
      <c r="C56" s="13" t="s">
        <v>35</v>
      </c>
      <c r="D56" s="95"/>
    </row>
    <row r="57" spans="2:10" x14ac:dyDescent="0.25">
      <c r="B57" s="27"/>
      <c r="C57" s="369"/>
      <c r="D57" s="20"/>
    </row>
    <row r="58" spans="2:10" x14ac:dyDescent="0.25">
      <c r="B58" s="20"/>
      <c r="C58" s="95"/>
      <c r="D58" s="20"/>
    </row>
    <row r="59" spans="2:10" x14ac:dyDescent="0.25">
      <c r="B59" s="20"/>
      <c r="C59" s="95"/>
      <c r="D59" s="20"/>
    </row>
    <row r="60" spans="2:10" x14ac:dyDescent="0.25">
      <c r="B60" s="20"/>
      <c r="C60" s="95"/>
      <c r="D60" s="20"/>
    </row>
    <row r="61" spans="2:10" x14ac:dyDescent="0.25">
      <c r="B61" s="20"/>
      <c r="C61" s="95"/>
      <c r="D61" s="20"/>
    </row>
    <row r="62" spans="2:10" x14ac:dyDescent="0.25">
      <c r="B62" s="20"/>
      <c r="C62" s="95"/>
      <c r="D62" s="20"/>
    </row>
    <row r="63" spans="2:10" x14ac:dyDescent="0.25">
      <c r="B63" s="20"/>
      <c r="C63" s="95"/>
      <c r="D63" s="20"/>
    </row>
    <row r="64" spans="2:10" x14ac:dyDescent="0.25">
      <c r="B64" s="20"/>
      <c r="C64" s="95"/>
      <c r="D64" s="20"/>
    </row>
    <row r="65" spans="2:4" x14ac:dyDescent="0.25">
      <c r="B65" s="20"/>
      <c r="C65" s="95"/>
      <c r="D65" s="20"/>
    </row>
    <row r="66" spans="2:4" x14ac:dyDescent="0.25">
      <c r="B66" s="20"/>
      <c r="C66" s="95"/>
      <c r="D66" s="20"/>
    </row>
    <row r="67" spans="2:4" x14ac:dyDescent="0.25">
      <c r="B67" s="20"/>
      <c r="C67" s="95"/>
      <c r="D67" s="20"/>
    </row>
    <row r="68" spans="2:4" x14ac:dyDescent="0.25">
      <c r="B68" s="20"/>
      <c r="C68" s="95"/>
      <c r="D68" s="20"/>
    </row>
    <row r="69" spans="2:4" x14ac:dyDescent="0.25">
      <c r="B69" s="20"/>
      <c r="C69" s="95"/>
      <c r="D69" s="20"/>
    </row>
    <row r="70" spans="2:4" x14ac:dyDescent="0.25">
      <c r="B70" s="20"/>
      <c r="C70" s="95"/>
      <c r="D70" s="20"/>
    </row>
    <row r="71" spans="2:4" x14ac:dyDescent="0.25">
      <c r="B71" s="20"/>
      <c r="C71" s="95"/>
      <c r="D71" s="20"/>
    </row>
    <row r="72" spans="2:4" x14ac:dyDescent="0.25">
      <c r="B72" s="20"/>
      <c r="C72" s="95"/>
      <c r="D72" s="20"/>
    </row>
    <row r="73" spans="2:4" x14ac:dyDescent="0.25">
      <c r="B73" s="20"/>
      <c r="C73" s="95"/>
      <c r="D73" s="20"/>
    </row>
    <row r="74" spans="2:4" x14ac:dyDescent="0.25">
      <c r="B74" s="20"/>
      <c r="C74" s="95"/>
      <c r="D74" s="20"/>
    </row>
    <row r="75" spans="2:4" x14ac:dyDescent="0.25">
      <c r="B75" s="20"/>
      <c r="C75" s="95"/>
      <c r="D75" s="20"/>
    </row>
    <row r="76" spans="2:4" x14ac:dyDescent="0.25">
      <c r="B76" s="20"/>
      <c r="C76" s="95"/>
      <c r="D76" s="20"/>
    </row>
    <row r="77" spans="2:4" x14ac:dyDescent="0.25">
      <c r="B77" s="20"/>
      <c r="C77" s="95"/>
      <c r="D77" s="20"/>
    </row>
    <row r="78" spans="2:4" x14ac:dyDescent="0.25">
      <c r="B78" s="20"/>
      <c r="C78" s="95"/>
      <c r="D78" s="20"/>
    </row>
    <row r="79" spans="2:4" x14ac:dyDescent="0.25">
      <c r="B79" s="20"/>
      <c r="C79" s="95"/>
      <c r="D79" s="20"/>
    </row>
    <row r="80" spans="2:4" x14ac:dyDescent="0.25">
      <c r="B80" s="20"/>
      <c r="C80" s="95"/>
      <c r="D80" s="20"/>
    </row>
    <row r="81" spans="2:4" x14ac:dyDescent="0.25">
      <c r="B81" s="20"/>
      <c r="C81" s="95"/>
      <c r="D81" s="20"/>
    </row>
    <row r="82" spans="2:4" x14ac:dyDescent="0.25">
      <c r="B82" s="20"/>
      <c r="C82" s="95"/>
      <c r="D82" s="20"/>
    </row>
    <row r="83" spans="2:4" x14ac:dyDescent="0.25">
      <c r="B83" s="20"/>
      <c r="C83" s="95"/>
      <c r="D83" s="20"/>
    </row>
    <row r="84" spans="2:4" x14ac:dyDescent="0.25">
      <c r="B84" s="20"/>
      <c r="C84" s="95"/>
      <c r="D84" s="20"/>
    </row>
    <row r="85" spans="2:4" x14ac:dyDescent="0.25">
      <c r="B85" s="20"/>
      <c r="C85" s="95"/>
      <c r="D85" s="20"/>
    </row>
    <row r="86" spans="2:4" x14ac:dyDescent="0.25">
      <c r="B86" s="20"/>
      <c r="C86" s="95"/>
      <c r="D86" s="20"/>
    </row>
    <row r="87" spans="2:4" x14ac:dyDescent="0.25">
      <c r="B87" s="20"/>
      <c r="C87" s="95"/>
      <c r="D87" s="20"/>
    </row>
    <row r="88" spans="2:4" x14ac:dyDescent="0.25">
      <c r="B88" s="20"/>
      <c r="C88" s="259"/>
      <c r="D88" s="95"/>
    </row>
    <row r="89" spans="2:4" x14ac:dyDescent="0.25">
      <c r="B89" s="20"/>
      <c r="C89" s="95"/>
      <c r="D89" s="20"/>
    </row>
    <row r="90" spans="2:4" x14ac:dyDescent="0.25">
      <c r="B90" s="20"/>
      <c r="C90" s="95"/>
      <c r="D90" s="20"/>
    </row>
    <row r="91" spans="2:4" x14ac:dyDescent="0.25">
      <c r="B91" s="20"/>
      <c r="C91" s="95"/>
      <c r="D91" s="20"/>
    </row>
    <row r="92" spans="2:4" x14ac:dyDescent="0.25">
      <c r="B92" s="20"/>
      <c r="C92" s="95"/>
      <c r="D92" s="20"/>
    </row>
    <row r="93" spans="2:4" x14ac:dyDescent="0.25">
      <c r="B93" s="20"/>
      <c r="C93" s="95"/>
      <c r="D93" s="20"/>
    </row>
    <row r="94" spans="2:4" x14ac:dyDescent="0.25">
      <c r="B94" s="20"/>
      <c r="C94" s="95"/>
      <c r="D94" s="20"/>
    </row>
    <row r="95" spans="2:4" x14ac:dyDescent="0.25">
      <c r="B95" s="20"/>
      <c r="C95" s="259"/>
      <c r="D95" s="95"/>
    </row>
    <row r="96" spans="2:4" x14ac:dyDescent="0.25">
      <c r="B96" s="20"/>
      <c r="C96" s="95"/>
      <c r="D96" s="20"/>
    </row>
    <row r="97" spans="2:4" x14ac:dyDescent="0.25">
      <c r="B97" s="20"/>
      <c r="C97" s="95"/>
      <c r="D97" s="20"/>
    </row>
    <row r="98" spans="2:4" x14ac:dyDescent="0.25">
      <c r="B98" s="20"/>
      <c r="C98" s="95"/>
      <c r="D98" s="20"/>
    </row>
    <row r="99" spans="2:4" x14ac:dyDescent="0.25">
      <c r="B99" s="20"/>
      <c r="C99" s="95"/>
      <c r="D99" s="20"/>
    </row>
    <row r="100" spans="2:4" x14ac:dyDescent="0.25">
      <c r="B100" s="20"/>
      <c r="C100" s="95"/>
      <c r="D100" s="20"/>
    </row>
    <row r="101" spans="2:4" x14ac:dyDescent="0.25">
      <c r="B101" s="20"/>
      <c r="C101" s="95"/>
      <c r="D101" s="20"/>
    </row>
    <row r="102" spans="2:4" x14ac:dyDescent="0.25">
      <c r="B102" s="20"/>
      <c r="C102" s="95"/>
      <c r="D102" s="20"/>
    </row>
    <row r="103" spans="2:4" x14ac:dyDescent="0.25">
      <c r="B103" s="20"/>
      <c r="C103" s="95"/>
      <c r="D103" s="20"/>
    </row>
    <row r="104" spans="2:4" x14ac:dyDescent="0.25">
      <c r="B104" s="20"/>
      <c r="C104" s="95"/>
      <c r="D104" s="20"/>
    </row>
    <row r="105" spans="2:4" x14ac:dyDescent="0.25">
      <c r="B105" s="20"/>
      <c r="C105" s="95"/>
      <c r="D105" s="20"/>
    </row>
    <row r="106" spans="2:4" x14ac:dyDescent="0.25">
      <c r="B106" s="20"/>
      <c r="C106" s="95"/>
      <c r="D106" s="20"/>
    </row>
    <row r="107" spans="2:4" x14ac:dyDescent="0.25">
      <c r="B107" s="20"/>
      <c r="C107" s="95"/>
      <c r="D107" s="20"/>
    </row>
    <row r="108" spans="2:4" x14ac:dyDescent="0.25">
      <c r="B108" s="20"/>
      <c r="C108" s="95"/>
      <c r="D108" s="20"/>
    </row>
    <row r="109" spans="2:4" x14ac:dyDescent="0.25">
      <c r="B109" s="20"/>
      <c r="C109" s="95"/>
      <c r="D109" s="20"/>
    </row>
    <row r="110" spans="2:4" x14ac:dyDescent="0.25">
      <c r="B110" s="20"/>
      <c r="C110" s="95"/>
      <c r="D110" s="20"/>
    </row>
    <row r="111" spans="2:4" x14ac:dyDescent="0.25">
      <c r="B111" s="20"/>
      <c r="C111" s="95"/>
      <c r="D111" s="20"/>
    </row>
    <row r="112" spans="2:4" x14ac:dyDescent="0.25">
      <c r="B112" s="20"/>
      <c r="C112" s="95"/>
      <c r="D112" s="20"/>
    </row>
    <row r="113" spans="2:4" x14ac:dyDescent="0.25">
      <c r="B113" s="20"/>
      <c r="C113" s="95"/>
      <c r="D113" s="20"/>
    </row>
    <row r="114" spans="2:4" x14ac:dyDescent="0.25">
      <c r="B114" s="20"/>
      <c r="C114" s="95"/>
      <c r="D114" s="20"/>
    </row>
    <row r="115" spans="2:4" x14ac:dyDescent="0.25">
      <c r="B115" s="20"/>
      <c r="C115" s="95"/>
      <c r="D115" s="20"/>
    </row>
    <row r="116" spans="2:4" x14ac:dyDescent="0.25">
      <c r="B116" s="20"/>
      <c r="C116" s="95"/>
      <c r="D116" s="20"/>
    </row>
    <row r="117" spans="2:4" x14ac:dyDescent="0.25">
      <c r="B117" s="20"/>
      <c r="C117" s="95"/>
      <c r="D117" s="20"/>
    </row>
    <row r="118" spans="2:4" x14ac:dyDescent="0.25">
      <c r="B118" s="20"/>
      <c r="C118" s="95"/>
      <c r="D118" s="20"/>
    </row>
    <row r="119" spans="2:4" x14ac:dyDescent="0.25">
      <c r="B119" s="20"/>
      <c r="C119" s="95"/>
      <c r="D119" s="20"/>
    </row>
    <row r="120" spans="2:4" x14ac:dyDescent="0.25">
      <c r="B120" s="20"/>
      <c r="C120" s="95"/>
      <c r="D120" s="20"/>
    </row>
    <row r="121" spans="2:4" x14ac:dyDescent="0.25">
      <c r="B121" s="20"/>
      <c r="C121" s="95"/>
      <c r="D121" s="20"/>
    </row>
    <row r="122" spans="2:4" x14ac:dyDescent="0.25">
      <c r="B122" s="20"/>
      <c r="C122" s="95"/>
      <c r="D122" s="20"/>
    </row>
    <row r="123" spans="2:4" x14ac:dyDescent="0.25">
      <c r="B123" s="20"/>
      <c r="C123" s="95"/>
      <c r="D123" s="20"/>
    </row>
    <row r="124" spans="2:4" x14ac:dyDescent="0.25">
      <c r="B124" s="20"/>
      <c r="C124" s="95"/>
      <c r="D124" s="20"/>
    </row>
    <row r="125" spans="2:4" x14ac:dyDescent="0.25">
      <c r="B125" s="20"/>
      <c r="C125" s="95"/>
      <c r="D125" s="20"/>
    </row>
    <row r="126" spans="2:4" x14ac:dyDescent="0.25">
      <c r="B126" s="20"/>
      <c r="C126" s="95"/>
      <c r="D126" s="20"/>
    </row>
    <row r="127" spans="2:4" x14ac:dyDescent="0.25">
      <c r="B127" s="20"/>
      <c r="C127" s="95"/>
      <c r="D127" s="20"/>
    </row>
    <row r="128" spans="2:4" x14ac:dyDescent="0.25">
      <c r="B128" s="20"/>
      <c r="C128" s="95"/>
      <c r="D128" s="20"/>
    </row>
    <row r="129" spans="2:4" x14ac:dyDescent="0.25">
      <c r="B129" s="20"/>
      <c r="C129" s="95"/>
      <c r="D129" s="20"/>
    </row>
    <row r="130" spans="2:4" x14ac:dyDescent="0.25">
      <c r="B130" s="20"/>
      <c r="C130" s="95"/>
      <c r="D130" s="20"/>
    </row>
    <row r="131" spans="2:4" x14ac:dyDescent="0.25">
      <c r="B131" s="20"/>
      <c r="C131" s="95"/>
      <c r="D131" s="20"/>
    </row>
    <row r="132" spans="2:4" x14ac:dyDescent="0.25">
      <c r="B132" s="20"/>
      <c r="C132" s="95"/>
      <c r="D132" s="20"/>
    </row>
    <row r="133" spans="2:4" x14ac:dyDescent="0.25">
      <c r="B133" s="20"/>
      <c r="C133" s="95"/>
      <c r="D133" s="20"/>
    </row>
    <row r="134" spans="2:4" x14ac:dyDescent="0.25">
      <c r="B134" s="20"/>
      <c r="C134" s="95"/>
      <c r="D134" s="20"/>
    </row>
    <row r="135" spans="2:4" x14ac:dyDescent="0.25">
      <c r="B135" s="20"/>
      <c r="C135" s="95"/>
      <c r="D135" s="20"/>
    </row>
    <row r="136" spans="2:4" x14ac:dyDescent="0.25">
      <c r="B136" s="20"/>
      <c r="C136" s="95"/>
      <c r="D136" s="20"/>
    </row>
    <row r="137" spans="2:4" x14ac:dyDescent="0.25">
      <c r="B137" s="20"/>
      <c r="C137" s="95"/>
      <c r="D137" s="20"/>
    </row>
    <row r="138" spans="2:4" x14ac:dyDescent="0.25">
      <c r="B138" s="20"/>
      <c r="C138" s="95"/>
      <c r="D138" s="20"/>
    </row>
    <row r="139" spans="2:4" x14ac:dyDescent="0.25">
      <c r="B139" s="20"/>
      <c r="C139" s="95"/>
      <c r="D139" s="20"/>
    </row>
    <row r="140" spans="2:4" x14ac:dyDescent="0.25">
      <c r="B140" s="20"/>
      <c r="C140" s="95"/>
      <c r="D140" s="20"/>
    </row>
    <row r="141" spans="2:4" x14ac:dyDescent="0.25">
      <c r="B141" s="20"/>
      <c r="C141" s="95"/>
      <c r="D141" s="20"/>
    </row>
    <row r="142" spans="2:4" x14ac:dyDescent="0.25">
      <c r="B142" s="20"/>
      <c r="C142" s="95"/>
      <c r="D142" s="20"/>
    </row>
    <row r="143" spans="2:4" x14ac:dyDescent="0.25">
      <c r="B143" s="20"/>
      <c r="C143" s="95"/>
      <c r="D143" s="20"/>
    </row>
    <row r="144" spans="2:4" x14ac:dyDescent="0.25">
      <c r="B144" s="20"/>
      <c r="C144" s="95"/>
      <c r="D144" s="20"/>
    </row>
    <row r="145" spans="2:4" x14ac:dyDescent="0.25">
      <c r="B145" s="20"/>
      <c r="C145" s="95"/>
      <c r="D145" s="20"/>
    </row>
    <row r="146" spans="2:4" x14ac:dyDescent="0.25">
      <c r="B146" s="20"/>
      <c r="C146" s="95"/>
      <c r="D146" s="20"/>
    </row>
    <row r="147" spans="2:4" x14ac:dyDescent="0.25">
      <c r="B147" s="20"/>
      <c r="C147" s="95"/>
      <c r="D147" s="20"/>
    </row>
    <row r="148" spans="2:4" x14ac:dyDescent="0.25">
      <c r="B148" s="20"/>
      <c r="C148" s="95"/>
      <c r="D148" s="20"/>
    </row>
    <row r="149" spans="2:4" x14ac:dyDescent="0.25">
      <c r="B149" s="20"/>
      <c r="C149" s="95"/>
      <c r="D149" s="20"/>
    </row>
    <row r="150" spans="2:4" x14ac:dyDescent="0.25">
      <c r="B150" s="20"/>
      <c r="C150" s="95"/>
      <c r="D150" s="20"/>
    </row>
    <row r="151" spans="2:4" x14ac:dyDescent="0.25">
      <c r="B151" s="20"/>
      <c r="C151" s="95"/>
      <c r="D151" s="20"/>
    </row>
    <row r="152" spans="2:4" x14ac:dyDescent="0.25">
      <c r="B152" s="20"/>
      <c r="C152" s="95"/>
      <c r="D152" s="20"/>
    </row>
    <row r="153" spans="2:4" x14ac:dyDescent="0.25">
      <c r="B153" s="20"/>
      <c r="C153" s="95"/>
      <c r="D153" s="20"/>
    </row>
    <row r="154" spans="2:4" x14ac:dyDescent="0.25">
      <c r="B154" s="20"/>
      <c r="C154" s="95"/>
      <c r="D154" s="20"/>
    </row>
    <row r="155" spans="2:4" x14ac:dyDescent="0.25">
      <c r="B155" s="20"/>
      <c r="C155" s="95"/>
      <c r="D155" s="20"/>
    </row>
    <row r="156" spans="2:4" x14ac:dyDescent="0.25">
      <c r="B156" s="20"/>
      <c r="C156" s="95"/>
      <c r="D156" s="20"/>
    </row>
    <row r="157" spans="2:4" x14ac:dyDescent="0.25">
      <c r="B157" s="20"/>
      <c r="C157" s="95"/>
      <c r="D157" s="20"/>
    </row>
    <row r="158" spans="2:4" x14ac:dyDescent="0.25">
      <c r="B158" s="20"/>
      <c r="C158" s="95"/>
      <c r="D158" s="20"/>
    </row>
    <row r="159" spans="2:4" x14ac:dyDescent="0.25">
      <c r="B159" s="20"/>
      <c r="C159" s="95"/>
      <c r="D159" s="20"/>
    </row>
    <row r="160" spans="2:4" x14ac:dyDescent="0.25">
      <c r="B160" s="20"/>
      <c r="C160" s="95"/>
      <c r="D160" s="20"/>
    </row>
    <row r="161" spans="2:4" x14ac:dyDescent="0.25">
      <c r="B161" s="20"/>
      <c r="C161" s="95"/>
      <c r="D161" s="20"/>
    </row>
    <row r="162" spans="2:4" x14ac:dyDescent="0.25">
      <c r="B162" s="20"/>
      <c r="C162" s="95"/>
      <c r="D162" s="20"/>
    </row>
    <row r="163" spans="2:4" x14ac:dyDescent="0.25">
      <c r="B163" s="20"/>
      <c r="C163" s="95"/>
      <c r="D163" s="20"/>
    </row>
    <row r="164" spans="2:4" x14ac:dyDescent="0.25">
      <c r="B164" s="20"/>
      <c r="C164" s="95"/>
      <c r="D164" s="20"/>
    </row>
    <row r="165" spans="2:4" x14ac:dyDescent="0.25">
      <c r="B165" s="20"/>
      <c r="C165" s="95"/>
      <c r="D165" s="20"/>
    </row>
    <row r="166" spans="2:4" x14ac:dyDescent="0.25">
      <c r="B166" s="20"/>
      <c r="C166" s="95"/>
      <c r="D166" s="20"/>
    </row>
    <row r="167" spans="2:4" x14ac:dyDescent="0.25">
      <c r="B167" s="20"/>
      <c r="C167" s="95"/>
      <c r="D167" s="20"/>
    </row>
    <row r="168" spans="2:4" x14ac:dyDescent="0.25">
      <c r="B168" s="20"/>
      <c r="C168" s="95"/>
      <c r="D168" s="20"/>
    </row>
    <row r="169" spans="2:4" x14ac:dyDescent="0.25">
      <c r="B169" s="20"/>
      <c r="C169" s="95"/>
      <c r="D169" s="20"/>
    </row>
    <row r="170" spans="2:4" x14ac:dyDescent="0.25">
      <c r="B170" s="20"/>
      <c r="C170" s="95"/>
      <c r="D170" s="20"/>
    </row>
    <row r="171" spans="2:4" x14ac:dyDescent="0.25">
      <c r="B171" s="20"/>
      <c r="C171" s="95"/>
      <c r="D171" s="20"/>
    </row>
    <row r="172" spans="2:4" x14ac:dyDescent="0.25">
      <c r="B172" s="20"/>
      <c r="C172" s="95"/>
      <c r="D172" s="20"/>
    </row>
    <row r="173" spans="2:4" x14ac:dyDescent="0.25">
      <c r="B173" s="20"/>
      <c r="C173" s="95"/>
      <c r="D173" s="20"/>
    </row>
    <row r="174" spans="2:4" x14ac:dyDescent="0.25">
      <c r="B174" s="20"/>
      <c r="C174" s="95"/>
      <c r="D174" s="20"/>
    </row>
    <row r="175" spans="2:4" x14ac:dyDescent="0.25">
      <c r="B175" s="20"/>
      <c r="C175" s="95"/>
      <c r="D175" s="20"/>
    </row>
    <row r="176" spans="2:4" x14ac:dyDescent="0.25">
      <c r="B176" s="20"/>
      <c r="C176" s="95"/>
      <c r="D176" s="20"/>
    </row>
    <row r="177" spans="2:4" x14ac:dyDescent="0.25">
      <c r="B177" s="20"/>
      <c r="C177" s="95"/>
      <c r="D177" s="20"/>
    </row>
    <row r="178" spans="2:4" x14ac:dyDescent="0.25">
      <c r="B178" s="20"/>
      <c r="C178" s="95"/>
      <c r="D178" s="20"/>
    </row>
    <row r="179" spans="2:4" x14ac:dyDescent="0.25">
      <c r="B179" s="20"/>
      <c r="C179" s="95"/>
      <c r="D179" s="20"/>
    </row>
    <row r="180" spans="2:4" x14ac:dyDescent="0.25">
      <c r="B180" s="20"/>
      <c r="C180" s="95"/>
      <c r="D180" s="20"/>
    </row>
    <row r="181" spans="2:4" x14ac:dyDescent="0.25">
      <c r="B181" s="20"/>
      <c r="C181" s="95"/>
      <c r="D181" s="20"/>
    </row>
    <row r="182" spans="2:4" x14ac:dyDescent="0.25">
      <c r="B182" s="20"/>
      <c r="C182" s="95"/>
      <c r="D182" s="20"/>
    </row>
    <row r="183" spans="2:4" x14ac:dyDescent="0.25">
      <c r="B183" s="20"/>
      <c r="C183" s="95"/>
      <c r="D183" s="20"/>
    </row>
    <row r="184" spans="2:4" x14ac:dyDescent="0.25">
      <c r="B184" s="20"/>
      <c r="C184" s="95"/>
      <c r="D184" s="20"/>
    </row>
    <row r="185" spans="2:4" x14ac:dyDescent="0.25">
      <c r="B185" s="20"/>
      <c r="C185" s="95"/>
      <c r="D185" s="20"/>
    </row>
    <row r="186" spans="2:4" x14ac:dyDescent="0.25">
      <c r="B186" s="20"/>
      <c r="C186" s="95"/>
      <c r="D186" s="20"/>
    </row>
    <row r="187" spans="2:4" x14ac:dyDescent="0.25">
      <c r="B187" s="20"/>
      <c r="C187" s="95"/>
      <c r="D187" s="20"/>
    </row>
    <row r="188" spans="2:4" x14ac:dyDescent="0.25">
      <c r="B188" s="20"/>
      <c r="C188" s="95"/>
      <c r="D188" s="20"/>
    </row>
    <row r="189" spans="2:4" x14ac:dyDescent="0.25">
      <c r="B189" s="20"/>
      <c r="C189" s="95"/>
      <c r="D189" s="20"/>
    </row>
    <row r="190" spans="2:4" x14ac:dyDescent="0.25">
      <c r="B190" s="20"/>
      <c r="C190" s="95"/>
      <c r="D190" s="20"/>
    </row>
    <row r="191" spans="2:4" x14ac:dyDescent="0.25">
      <c r="B191" s="20"/>
      <c r="C191" s="95"/>
      <c r="D191" s="20"/>
    </row>
    <row r="192" spans="2:4" x14ac:dyDescent="0.25">
      <c r="B192" s="20"/>
      <c r="C192" s="95"/>
      <c r="D192" s="20"/>
    </row>
    <row r="193" spans="2:4" x14ac:dyDescent="0.25">
      <c r="B193" s="20"/>
      <c r="C193" s="95"/>
      <c r="D193" s="20"/>
    </row>
    <row r="194" spans="2:4" x14ac:dyDescent="0.25">
      <c r="B194" s="20"/>
      <c r="C194" s="95"/>
      <c r="D194" s="20"/>
    </row>
    <row r="195" spans="2:4" x14ac:dyDescent="0.25">
      <c r="B195" s="20"/>
      <c r="C195" s="95"/>
      <c r="D195" s="20"/>
    </row>
    <row r="196" spans="2:4" x14ac:dyDescent="0.25">
      <c r="B196" s="20"/>
      <c r="C196" s="95"/>
      <c r="D196" s="20"/>
    </row>
    <row r="197" spans="2:4" x14ac:dyDescent="0.25">
      <c r="B197" s="20"/>
      <c r="C197" s="95"/>
      <c r="D197" s="20"/>
    </row>
    <row r="198" spans="2:4" x14ac:dyDescent="0.25">
      <c r="B198" s="20"/>
      <c r="C198" s="95"/>
      <c r="D198" s="20"/>
    </row>
    <row r="199" spans="2:4" x14ac:dyDescent="0.25">
      <c r="B199" s="20"/>
      <c r="C199" s="95"/>
      <c r="D199" s="20"/>
    </row>
    <row r="200" spans="2:4" x14ac:dyDescent="0.25">
      <c r="B200" s="20"/>
      <c r="C200" s="95"/>
      <c r="D200" s="20"/>
    </row>
    <row r="201" spans="2:4" x14ac:dyDescent="0.25">
      <c r="B201" s="20"/>
      <c r="C201" s="95"/>
      <c r="D201" s="20"/>
    </row>
    <row r="202" spans="2:4" x14ac:dyDescent="0.25">
      <c r="B202" s="20"/>
      <c r="C202" s="95"/>
      <c r="D202" s="20"/>
    </row>
    <row r="203" spans="2:4" x14ac:dyDescent="0.25">
      <c r="B203" s="20"/>
      <c r="C203" s="95"/>
      <c r="D203" s="20"/>
    </row>
    <row r="204" spans="2:4" x14ac:dyDescent="0.25">
      <c r="B204" s="20"/>
      <c r="C204" s="95"/>
      <c r="D204" s="20"/>
    </row>
    <row r="205" spans="2:4" x14ac:dyDescent="0.25">
      <c r="B205" s="20"/>
      <c r="C205" s="95"/>
      <c r="D205" s="20"/>
    </row>
    <row r="206" spans="2:4" x14ac:dyDescent="0.25">
      <c r="B206" s="20"/>
      <c r="C206" s="95"/>
      <c r="D206" s="20"/>
    </row>
    <row r="207" spans="2:4" x14ac:dyDescent="0.25">
      <c r="B207" s="20"/>
      <c r="C207" s="95"/>
      <c r="D207" s="20"/>
    </row>
    <row r="208" spans="2:4" x14ac:dyDescent="0.25">
      <c r="B208" s="20"/>
      <c r="C208" s="95"/>
      <c r="D208" s="20"/>
    </row>
    <row r="209" spans="2:4" x14ac:dyDescent="0.25">
      <c r="B209" s="20"/>
      <c r="C209" s="95"/>
      <c r="D209" s="20"/>
    </row>
    <row r="210" spans="2:4" x14ac:dyDescent="0.25">
      <c r="B210" s="20"/>
      <c r="C210" s="95"/>
      <c r="D210" s="20"/>
    </row>
    <row r="211" spans="2:4" x14ac:dyDescent="0.25">
      <c r="B211" s="20"/>
      <c r="C211" s="95"/>
      <c r="D211" s="20"/>
    </row>
    <row r="212" spans="2:4" x14ac:dyDescent="0.25">
      <c r="B212" s="20"/>
      <c r="C212" s="95"/>
      <c r="D212" s="20"/>
    </row>
    <row r="213" spans="2:4" x14ac:dyDescent="0.25">
      <c r="B213" s="20"/>
      <c r="C213" s="95"/>
      <c r="D213" s="20"/>
    </row>
    <row r="214" spans="2:4" x14ac:dyDescent="0.25">
      <c r="B214" s="20"/>
      <c r="C214" s="95"/>
      <c r="D214" s="20"/>
    </row>
    <row r="215" spans="2:4" x14ac:dyDescent="0.25">
      <c r="B215" s="20"/>
      <c r="C215" s="95"/>
      <c r="D215" s="20"/>
    </row>
    <row r="216" spans="2:4" x14ac:dyDescent="0.25">
      <c r="B216" s="20"/>
      <c r="C216" s="95"/>
      <c r="D216" s="20"/>
    </row>
    <row r="217" spans="2:4" x14ac:dyDescent="0.25">
      <c r="B217" s="20"/>
      <c r="C217" s="95"/>
      <c r="D217" s="20"/>
    </row>
    <row r="218" spans="2:4" x14ac:dyDescent="0.25">
      <c r="B218" s="20"/>
      <c r="C218" s="95"/>
      <c r="D218" s="20"/>
    </row>
    <row r="219" spans="2:4" x14ac:dyDescent="0.25">
      <c r="B219" s="20"/>
      <c r="C219" s="95"/>
      <c r="D219" s="20"/>
    </row>
    <row r="220" spans="2:4" x14ac:dyDescent="0.25">
      <c r="B220" s="20"/>
      <c r="C220" s="95"/>
      <c r="D220" s="20"/>
    </row>
    <row r="221" spans="2:4" x14ac:dyDescent="0.25">
      <c r="B221" s="20"/>
      <c r="C221" s="95"/>
      <c r="D221" s="20"/>
    </row>
    <row r="222" spans="2:4" x14ac:dyDescent="0.25">
      <c r="B222" s="20"/>
      <c r="C222" s="95"/>
      <c r="D222" s="20"/>
    </row>
    <row r="223" spans="2:4" x14ac:dyDescent="0.25">
      <c r="B223" s="20"/>
      <c r="C223" s="95"/>
      <c r="D223" s="20"/>
    </row>
    <row r="224" spans="2:4" x14ac:dyDescent="0.25">
      <c r="B224" s="20"/>
      <c r="C224" s="95"/>
      <c r="D224" s="20"/>
    </row>
    <row r="225" spans="2:4" x14ac:dyDescent="0.25">
      <c r="B225" s="20"/>
      <c r="C225" s="95"/>
      <c r="D225" s="20"/>
    </row>
    <row r="226" spans="2:4" x14ac:dyDescent="0.25">
      <c r="B226" s="20"/>
      <c r="C226" s="95"/>
      <c r="D226" s="20"/>
    </row>
    <row r="227" spans="2:4" x14ac:dyDescent="0.25">
      <c r="B227" s="20"/>
      <c r="C227" s="95"/>
      <c r="D227" s="20"/>
    </row>
    <row r="228" spans="2:4" x14ac:dyDescent="0.25">
      <c r="B228" s="20"/>
      <c r="C228" s="95"/>
      <c r="D228" s="20"/>
    </row>
    <row r="229" spans="2:4" x14ac:dyDescent="0.25">
      <c r="B229" s="20"/>
      <c r="C229" s="95"/>
      <c r="D229" s="20"/>
    </row>
    <row r="230" spans="2:4" x14ac:dyDescent="0.25">
      <c r="B230" s="20"/>
      <c r="C230" s="95"/>
      <c r="D230" s="20"/>
    </row>
    <row r="231" spans="2:4" x14ac:dyDescent="0.25">
      <c r="B231" s="20"/>
      <c r="C231" s="20"/>
      <c r="D231" s="20"/>
    </row>
    <row r="232" spans="2:4" x14ac:dyDescent="0.25">
      <c r="B232" s="20"/>
      <c r="C232" s="20"/>
      <c r="D232" s="20"/>
    </row>
    <row r="233" spans="2:4" x14ac:dyDescent="0.25">
      <c r="B233" s="20"/>
      <c r="C233" s="20"/>
      <c r="D233" s="20"/>
    </row>
    <row r="234" spans="2:4" x14ac:dyDescent="0.25">
      <c r="B234" s="20"/>
      <c r="C234" s="20"/>
      <c r="D234" s="20"/>
    </row>
    <row r="235" spans="2:4" x14ac:dyDescent="0.25">
      <c r="B235" s="20"/>
      <c r="C235" s="20"/>
      <c r="D235" s="20"/>
    </row>
    <row r="236" spans="2:4" x14ac:dyDescent="0.25">
      <c r="B236" s="20"/>
      <c r="C236" s="20"/>
      <c r="D236" s="20"/>
    </row>
    <row r="237" spans="2:4" x14ac:dyDescent="0.25">
      <c r="B237" s="20"/>
      <c r="C237" s="20"/>
      <c r="D237" s="20"/>
    </row>
    <row r="238" spans="2:4" x14ac:dyDescent="0.25">
      <c r="B238" s="20"/>
      <c r="C238" s="20"/>
      <c r="D238" s="20"/>
    </row>
    <row r="239" spans="2:4" x14ac:dyDescent="0.25">
      <c r="B239" s="20"/>
      <c r="C239" s="20"/>
      <c r="D239" s="20"/>
    </row>
    <row r="240" spans="2:4" x14ac:dyDescent="0.25">
      <c r="B240" s="20"/>
      <c r="C240" s="20"/>
      <c r="D240" s="20"/>
    </row>
    <row r="241" spans="2:4" x14ac:dyDescent="0.25">
      <c r="B241" s="20"/>
      <c r="C241" s="20"/>
      <c r="D241" s="20"/>
    </row>
    <row r="242" spans="2:4" x14ac:dyDescent="0.25">
      <c r="B242" s="20"/>
      <c r="C242" s="20"/>
      <c r="D242" s="20"/>
    </row>
    <row r="243" spans="2:4" x14ac:dyDescent="0.25">
      <c r="B243" s="20"/>
      <c r="C243" s="20"/>
      <c r="D243" s="20"/>
    </row>
    <row r="244" spans="2:4" x14ac:dyDescent="0.25">
      <c r="B244" s="20"/>
      <c r="C244" s="20"/>
      <c r="D244" s="20"/>
    </row>
    <row r="245" spans="2:4" x14ac:dyDescent="0.25">
      <c r="B245" s="20"/>
      <c r="C245" s="20"/>
      <c r="D245" s="20"/>
    </row>
    <row r="246" spans="2:4" x14ac:dyDescent="0.25">
      <c r="B246" s="20"/>
      <c r="C246" s="20"/>
      <c r="D246" s="20"/>
    </row>
    <row r="247" spans="2:4" x14ac:dyDescent="0.25">
      <c r="B247" s="20"/>
      <c r="C247" s="20"/>
      <c r="D247" s="20"/>
    </row>
    <row r="248" spans="2:4" x14ac:dyDescent="0.25">
      <c r="B248" s="20"/>
      <c r="C248" s="20"/>
      <c r="D248" s="20"/>
    </row>
    <row r="249" spans="2:4" x14ac:dyDescent="0.25">
      <c r="C249" s="20"/>
      <c r="D249" s="20"/>
    </row>
    <row r="250" spans="2:4" x14ac:dyDescent="0.25">
      <c r="C250" s="20"/>
      <c r="D250" s="20"/>
    </row>
    <row r="251" spans="2:4" x14ac:dyDescent="0.25">
      <c r="C251" s="20"/>
      <c r="D251" s="20"/>
    </row>
    <row r="252" spans="2:4" x14ac:dyDescent="0.25">
      <c r="C252" s="20"/>
      <c r="D252" s="20"/>
    </row>
    <row r="253" spans="2:4" x14ac:dyDescent="0.25">
      <c r="C253" s="20"/>
      <c r="D253" s="20"/>
    </row>
    <row r="254" spans="2:4" x14ac:dyDescent="0.25">
      <c r="C254" s="20"/>
      <c r="D254" s="20"/>
    </row>
    <row r="255" spans="2:4" x14ac:dyDescent="0.25">
      <c r="C255" s="20"/>
      <c r="D255" s="20"/>
    </row>
    <row r="256" spans="2:4" x14ac:dyDescent="0.25">
      <c r="C256" s="20"/>
      <c r="D256" s="20"/>
    </row>
    <row r="257" spans="3:4" x14ac:dyDescent="0.25">
      <c r="C257" s="20"/>
      <c r="D257" s="20"/>
    </row>
    <row r="258" spans="3:4" x14ac:dyDescent="0.25">
      <c r="C258" s="20"/>
      <c r="D258" s="20"/>
    </row>
    <row r="259" spans="3:4" x14ac:dyDescent="0.25">
      <c r="C259" s="20"/>
      <c r="D259" s="20"/>
    </row>
    <row r="260" spans="3:4" x14ac:dyDescent="0.25">
      <c r="C260" s="20"/>
      <c r="D260" s="20"/>
    </row>
    <row r="261" spans="3:4" x14ac:dyDescent="0.25">
      <c r="C261" s="20"/>
      <c r="D261" s="20"/>
    </row>
    <row r="262" spans="3:4" x14ac:dyDescent="0.25">
      <c r="C262" s="20"/>
      <c r="D262" s="20"/>
    </row>
  </sheetData>
  <sortState ref="L7:P46">
    <sortCondition descending="1" ref="O7:O46"/>
  </sortState>
  <mergeCells count="2">
    <mergeCell ref="E5:I5"/>
    <mergeCell ref="L5:P5"/>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53"/>
  <sheetViews>
    <sheetView topLeftCell="G1" zoomScale="85" zoomScaleNormal="85" workbookViewId="0">
      <selection activeCell="K15" sqref="K15"/>
    </sheetView>
  </sheetViews>
  <sheetFormatPr defaultRowHeight="15" x14ac:dyDescent="0.25"/>
  <cols>
    <col min="1" max="1" width="9.140625" style="20"/>
    <col min="2" max="2" width="20.28515625" style="20" bestFit="1" customWidth="1"/>
    <col min="3" max="3" width="44.42578125" style="20" bestFit="1" customWidth="1"/>
    <col min="4" max="4" width="9.140625" style="20"/>
    <col min="5" max="5" width="20.7109375" style="20" bestFit="1" customWidth="1"/>
    <col min="6" max="6" width="51.5703125" style="20" bestFit="1" customWidth="1"/>
    <col min="7" max="7" width="9.140625" style="20"/>
    <col min="8" max="8" width="6.28515625" style="20" bestFit="1" customWidth="1"/>
    <col min="9" max="9" width="61.85546875" style="20" bestFit="1" customWidth="1"/>
    <col min="10" max="10" width="9.140625" style="20"/>
    <col min="11" max="11" width="21.85546875" style="20" bestFit="1" customWidth="1"/>
    <col min="12" max="12" width="21.5703125" style="20" bestFit="1" customWidth="1"/>
    <col min="13" max="13" width="9.140625" style="20"/>
    <col min="14" max="14" width="21.85546875" style="20" bestFit="1" customWidth="1"/>
    <col min="15" max="15" width="21.5703125" style="20" bestFit="1" customWidth="1"/>
    <col min="16" max="18" width="9.140625" style="20"/>
    <col min="19" max="19" width="14.5703125" style="20" customWidth="1"/>
    <col min="20" max="16384" width="9.140625" style="20"/>
  </cols>
  <sheetData>
    <row r="1" spans="2:26" x14ac:dyDescent="0.25">
      <c r="B1" s="27" t="s">
        <v>52</v>
      </c>
      <c r="C1" s="27" t="s">
        <v>942</v>
      </c>
      <c r="D1" s="27"/>
      <c r="E1" s="27" t="s">
        <v>91</v>
      </c>
      <c r="F1" s="27" t="s">
        <v>92</v>
      </c>
      <c r="G1" s="27"/>
      <c r="H1" s="27" t="s">
        <v>93</v>
      </c>
      <c r="I1" s="27" t="s">
        <v>94</v>
      </c>
      <c r="K1" s="20" t="s">
        <v>97</v>
      </c>
      <c r="L1" s="20" t="s">
        <v>98</v>
      </c>
      <c r="V1" s="93"/>
      <c r="Z1" s="316"/>
    </row>
    <row r="2" spans="2:26" x14ac:dyDescent="0.25">
      <c r="B2" s="27" t="s">
        <v>0</v>
      </c>
      <c r="C2" s="458">
        <v>793.7586</v>
      </c>
      <c r="D2" s="83"/>
      <c r="E2" s="27" t="s">
        <v>4</v>
      </c>
      <c r="F2" s="27">
        <v>10651.012025451901</v>
      </c>
      <c r="H2" s="27" t="s">
        <v>95</v>
      </c>
      <c r="I2" s="20">
        <f>I7-I11</f>
        <v>24594.262464593223</v>
      </c>
      <c r="K2" s="20" t="s">
        <v>81</v>
      </c>
      <c r="L2" s="20">
        <v>11404.3870298411</v>
      </c>
      <c r="R2" s="421"/>
      <c r="S2" s="421"/>
      <c r="T2" s="422"/>
      <c r="U2" s="421"/>
    </row>
    <row r="3" spans="2:26" x14ac:dyDescent="0.25">
      <c r="B3" s="27" t="s">
        <v>1</v>
      </c>
      <c r="C3" s="374">
        <v>1350.32</v>
      </c>
      <c r="D3" s="83"/>
      <c r="E3" s="27" t="s">
        <v>10</v>
      </c>
      <c r="F3" s="27">
        <v>7423.6117405591003</v>
      </c>
      <c r="H3" s="27" t="s">
        <v>96</v>
      </c>
      <c r="I3" s="20">
        <f>I8-I12</f>
        <v>17978.404293389965</v>
      </c>
      <c r="K3" s="20" t="s">
        <v>83</v>
      </c>
      <c r="L3" s="20">
        <v>3745.8701961223096</v>
      </c>
      <c r="R3" s="421"/>
      <c r="S3" s="421"/>
      <c r="T3" s="422"/>
      <c r="U3" s="422"/>
    </row>
    <row r="4" spans="2:26" x14ac:dyDescent="0.25">
      <c r="B4" s="27" t="s">
        <v>2</v>
      </c>
      <c r="C4" s="374">
        <v>107.0976</v>
      </c>
      <c r="D4" s="83"/>
      <c r="E4" s="27" t="s">
        <v>14</v>
      </c>
      <c r="F4" s="27">
        <v>13468.672578574731</v>
      </c>
      <c r="H4" s="27"/>
      <c r="I4" s="27"/>
      <c r="K4" s="20" t="s">
        <v>82</v>
      </c>
      <c r="L4" s="20">
        <v>9394.0837936989901</v>
      </c>
      <c r="R4" s="421"/>
      <c r="S4" s="421"/>
      <c r="T4" s="422"/>
      <c r="U4" s="422"/>
    </row>
    <row r="5" spans="2:26" x14ac:dyDescent="0.25">
      <c r="B5" s="27" t="s">
        <v>100</v>
      </c>
      <c r="C5" s="374">
        <v>113.2308</v>
      </c>
      <c r="D5" s="83"/>
      <c r="E5" s="27" t="s">
        <v>16</v>
      </c>
      <c r="F5" s="27">
        <v>915.048</v>
      </c>
      <c r="H5" s="27"/>
      <c r="I5" s="27"/>
      <c r="K5" s="20" t="s">
        <v>66</v>
      </c>
      <c r="L5" s="20">
        <v>4985.3580000000002</v>
      </c>
      <c r="R5" s="421"/>
      <c r="S5" s="421"/>
      <c r="T5" s="422"/>
      <c r="U5" s="422"/>
    </row>
    <row r="6" spans="2:26" x14ac:dyDescent="0.25">
      <c r="B6" s="27" t="s">
        <v>3</v>
      </c>
      <c r="C6" s="27">
        <v>585.33579999999995</v>
      </c>
      <c r="D6" s="83"/>
      <c r="E6" s="27" t="s">
        <v>17</v>
      </c>
      <c r="F6" s="27">
        <v>4421.4036502775998</v>
      </c>
      <c r="H6" s="27"/>
      <c r="I6" s="27" t="s">
        <v>1721</v>
      </c>
      <c r="K6" s="20" t="s">
        <v>80</v>
      </c>
      <c r="L6" s="20">
        <v>10164.476086278601</v>
      </c>
      <c r="R6" s="421"/>
      <c r="S6" s="421"/>
      <c r="T6" s="422"/>
      <c r="U6" s="422"/>
    </row>
    <row r="7" spans="2:26" x14ac:dyDescent="0.25">
      <c r="B7" s="27" t="s">
        <v>5</v>
      </c>
      <c r="C7" s="374">
        <v>566.40549999999996</v>
      </c>
      <c r="D7" s="83"/>
      <c r="E7" s="27" t="s">
        <v>18</v>
      </c>
      <c r="F7" s="27">
        <v>1078.7414304141901</v>
      </c>
      <c r="H7" s="20" t="s">
        <v>95</v>
      </c>
      <c r="I7" s="20">
        <v>22489.203417968001</v>
      </c>
      <c r="R7" s="421"/>
      <c r="S7" s="421"/>
      <c r="T7" s="422"/>
      <c r="U7" s="422"/>
    </row>
    <row r="8" spans="2:26" x14ac:dyDescent="0.25">
      <c r="B8" s="27" t="s">
        <v>6</v>
      </c>
      <c r="C8" s="27">
        <v>68.116209999999995</v>
      </c>
      <c r="D8" s="83"/>
      <c r="E8" s="27" t="s">
        <v>21</v>
      </c>
      <c r="F8" s="27">
        <v>655.45440152937101</v>
      </c>
      <c r="H8" s="20" t="s">
        <v>96</v>
      </c>
      <c r="I8" s="27">
        <v>17757.226330396501</v>
      </c>
      <c r="R8" s="421"/>
      <c r="S8" s="421"/>
      <c r="T8" s="422"/>
      <c r="U8" s="422"/>
    </row>
    <row r="9" spans="2:26" x14ac:dyDescent="0.25">
      <c r="B9" s="27" t="s">
        <v>7</v>
      </c>
      <c r="C9" s="374">
        <v>302.40199999999999</v>
      </c>
      <c r="D9" s="83"/>
      <c r="E9" s="27" t="s">
        <v>27</v>
      </c>
      <c r="F9" s="27">
        <v>47.479281498189003</v>
      </c>
      <c r="H9" s="27"/>
      <c r="I9" s="27"/>
      <c r="R9" s="421"/>
      <c r="S9" s="421"/>
      <c r="T9" s="422"/>
      <c r="U9" s="422"/>
    </row>
    <row r="10" spans="2:26" x14ac:dyDescent="0.25">
      <c r="B10" s="27" t="s">
        <v>8</v>
      </c>
      <c r="C10" s="374">
        <v>433.24099999999999</v>
      </c>
      <c r="D10" s="83"/>
      <c r="E10" s="27" t="s">
        <v>104</v>
      </c>
      <c r="F10" s="27">
        <v>0</v>
      </c>
      <c r="H10" s="27"/>
      <c r="I10" s="27" t="s">
        <v>1722</v>
      </c>
      <c r="R10" s="421"/>
      <c r="S10" s="421"/>
      <c r="T10" s="422"/>
      <c r="U10" s="422"/>
    </row>
    <row r="11" spans="2:26" x14ac:dyDescent="0.25">
      <c r="B11" s="27" t="s">
        <v>9</v>
      </c>
      <c r="C11" s="374">
        <v>627.16189999999995</v>
      </c>
      <c r="D11" s="83"/>
      <c r="E11" s="27" t="s">
        <v>33</v>
      </c>
      <c r="F11" s="27">
        <v>971.44171391737405</v>
      </c>
      <c r="H11" s="20" t="s">
        <v>95</v>
      </c>
      <c r="I11" s="27">
        <v>-2105.0590466252202</v>
      </c>
      <c r="R11" s="421"/>
      <c r="S11" s="421"/>
      <c r="T11" s="422"/>
      <c r="U11" s="422"/>
    </row>
    <row r="12" spans="2:26" x14ac:dyDescent="0.25">
      <c r="B12" s="27" t="s">
        <v>101</v>
      </c>
      <c r="C12" s="374">
        <v>257.96260000000001</v>
      </c>
      <c r="D12" s="83"/>
      <c r="E12" s="27" t="s">
        <v>35</v>
      </c>
      <c r="F12" s="27">
        <v>2034.631217783146</v>
      </c>
      <c r="H12" s="20" t="s">
        <v>96</v>
      </c>
      <c r="I12" s="27">
        <v>-221.177962993466</v>
      </c>
      <c r="R12" s="421"/>
      <c r="S12" s="421"/>
      <c r="T12" s="422"/>
      <c r="U12" s="422"/>
    </row>
    <row r="13" spans="2:26" x14ac:dyDescent="0.25">
      <c r="B13" s="27" t="s">
        <v>49</v>
      </c>
      <c r="C13" s="27">
        <v>40.991709999999998</v>
      </c>
      <c r="D13" s="83"/>
      <c r="E13" s="27"/>
      <c r="F13" s="27"/>
      <c r="H13" s="27"/>
      <c r="I13" s="27"/>
      <c r="R13" s="421"/>
      <c r="S13" s="421"/>
      <c r="T13" s="422"/>
      <c r="U13" s="422"/>
    </row>
    <row r="14" spans="2:26" x14ac:dyDescent="0.25">
      <c r="B14" s="27" t="s">
        <v>11</v>
      </c>
      <c r="C14" s="374">
        <v>498.60500000000002</v>
      </c>
      <c r="D14" s="83"/>
      <c r="E14" s="27" t="s">
        <v>1573</v>
      </c>
      <c r="F14" s="27">
        <v>100.279913008809</v>
      </c>
      <c r="G14" s="27"/>
      <c r="H14" s="27"/>
      <c r="I14" s="27"/>
      <c r="R14" s="421"/>
      <c r="S14" s="421"/>
      <c r="T14" s="422"/>
      <c r="U14" s="422"/>
    </row>
    <row r="15" spans="2:26" x14ac:dyDescent="0.25">
      <c r="B15" s="27" t="s">
        <v>51</v>
      </c>
      <c r="C15" s="27">
        <v>39.945360000000001</v>
      </c>
      <c r="D15" s="83"/>
      <c r="E15" s="20" t="s">
        <v>3</v>
      </c>
      <c r="F15" s="20">
        <v>264.71030496883299</v>
      </c>
      <c r="G15" s="27"/>
      <c r="H15" s="27"/>
      <c r="I15" s="27"/>
      <c r="R15" s="421"/>
      <c r="S15" s="421"/>
      <c r="T15" s="422"/>
      <c r="U15" s="422"/>
    </row>
    <row r="16" spans="2:26" x14ac:dyDescent="0.25">
      <c r="B16" s="27" t="s">
        <v>102</v>
      </c>
      <c r="C16" s="27">
        <v>11.131349999999999</v>
      </c>
      <c r="D16" s="83"/>
      <c r="E16" s="20" t="s">
        <v>49</v>
      </c>
      <c r="F16" s="20">
        <v>117.5565</v>
      </c>
      <c r="G16" s="27"/>
      <c r="H16" s="27"/>
      <c r="I16" s="27"/>
      <c r="R16" s="421"/>
      <c r="S16" s="421"/>
      <c r="T16" s="422"/>
      <c r="U16" s="422"/>
    </row>
    <row r="17" spans="2:22" x14ac:dyDescent="0.25">
      <c r="B17" s="27" t="s">
        <v>12</v>
      </c>
      <c r="C17" s="374">
        <v>547.63909999999998</v>
      </c>
      <c r="D17" s="83"/>
      <c r="E17" s="20" t="s">
        <v>24</v>
      </c>
      <c r="F17" s="20">
        <v>422.62400000000002</v>
      </c>
      <c r="G17" s="27"/>
      <c r="H17" s="27"/>
      <c r="I17" s="27"/>
      <c r="R17" s="421"/>
      <c r="S17" s="421"/>
      <c r="T17" s="422"/>
      <c r="U17" s="422"/>
    </row>
    <row r="18" spans="2:22" x14ac:dyDescent="0.25">
      <c r="B18" s="27" t="s">
        <v>13</v>
      </c>
      <c r="C18" s="374">
        <v>391.85289999999998</v>
      </c>
      <c r="D18" s="83"/>
      <c r="E18" s="27"/>
      <c r="G18" s="27"/>
      <c r="H18" s="27"/>
      <c r="I18" s="27"/>
      <c r="R18" s="421"/>
      <c r="S18" s="421"/>
      <c r="T18" s="422"/>
      <c r="U18" s="422"/>
    </row>
    <row r="19" spans="2:22" x14ac:dyDescent="0.25">
      <c r="B19" s="27" t="s">
        <v>15</v>
      </c>
      <c r="C19" s="27">
        <v>53.694110000000002</v>
      </c>
      <c r="D19" s="83"/>
      <c r="F19" s="27">
        <f>SUM(F2:F17)</f>
        <v>42572.666757983243</v>
      </c>
      <c r="G19" s="27"/>
      <c r="H19" s="27"/>
      <c r="I19" s="27"/>
      <c r="R19" s="421"/>
      <c r="S19" s="421"/>
      <c r="T19" s="422"/>
      <c r="U19" s="422"/>
    </row>
    <row r="20" spans="2:22" x14ac:dyDescent="0.25">
      <c r="B20" s="27" t="s">
        <v>19</v>
      </c>
      <c r="C20" s="374">
        <v>729.90309999999999</v>
      </c>
      <c r="D20" s="83"/>
      <c r="G20" s="27"/>
      <c r="H20" s="27"/>
      <c r="I20" s="27"/>
      <c r="R20" s="421"/>
      <c r="S20" s="421"/>
      <c r="T20" s="422"/>
      <c r="U20" s="422"/>
    </row>
    <row r="21" spans="2:22" x14ac:dyDescent="0.25">
      <c r="B21" s="27" t="s">
        <v>20</v>
      </c>
      <c r="C21" s="374">
        <v>268.9751</v>
      </c>
      <c r="D21" s="83"/>
      <c r="G21" s="27"/>
      <c r="H21" s="27"/>
      <c r="I21" s="27"/>
      <c r="U21" s="422"/>
    </row>
    <row r="22" spans="2:22" x14ac:dyDescent="0.25">
      <c r="B22" s="27" t="s">
        <v>22</v>
      </c>
      <c r="C22" s="27">
        <v>476.35980000000001</v>
      </c>
      <c r="D22" s="83"/>
      <c r="G22" s="27"/>
      <c r="H22" s="27"/>
      <c r="I22" s="27"/>
      <c r="U22" s="422"/>
    </row>
    <row r="23" spans="2:22" x14ac:dyDescent="0.25">
      <c r="B23" s="27" t="s">
        <v>23</v>
      </c>
      <c r="C23" s="374">
        <v>758.77530000000002</v>
      </c>
      <c r="D23" s="83"/>
      <c r="G23" s="27"/>
      <c r="H23" s="27"/>
      <c r="I23" s="27"/>
      <c r="S23" s="421"/>
      <c r="T23" s="422"/>
      <c r="U23" s="422"/>
    </row>
    <row r="24" spans="2:22" x14ac:dyDescent="0.25">
      <c r="B24" s="27" t="s">
        <v>24</v>
      </c>
      <c r="C24" s="27">
        <v>1065.394</v>
      </c>
      <c r="D24" s="83"/>
      <c r="G24" s="27"/>
      <c r="H24" s="27"/>
      <c r="I24" s="27"/>
      <c r="S24" s="423"/>
      <c r="T24" s="424"/>
      <c r="U24" s="424"/>
      <c r="V24" s="98"/>
    </row>
    <row r="25" spans="2:22" x14ac:dyDescent="0.25">
      <c r="B25" s="27" t="s">
        <v>25</v>
      </c>
      <c r="C25" s="374">
        <v>3241.8319999999999</v>
      </c>
      <c r="D25" s="83"/>
      <c r="G25" s="27"/>
      <c r="H25" s="27"/>
      <c r="I25" s="27"/>
      <c r="S25" s="421"/>
      <c r="T25" s="422"/>
      <c r="U25" s="422"/>
    </row>
    <row r="26" spans="2:22" x14ac:dyDescent="0.25">
      <c r="B26" s="27" t="s">
        <v>103</v>
      </c>
      <c r="C26" s="374">
        <v>424.68549999999999</v>
      </c>
      <c r="D26" s="83"/>
      <c r="G26" s="27"/>
      <c r="H26" s="27"/>
      <c r="I26" s="27"/>
      <c r="S26" s="421"/>
      <c r="T26" s="422"/>
      <c r="U26" s="422"/>
    </row>
    <row r="27" spans="2:22" x14ac:dyDescent="0.25">
      <c r="B27" s="27" t="s">
        <v>53</v>
      </c>
      <c r="C27" s="27">
        <v>121.90170000000001</v>
      </c>
      <c r="D27" s="83"/>
      <c r="G27" s="27"/>
      <c r="H27" s="27"/>
      <c r="I27" s="27"/>
      <c r="S27" s="421"/>
      <c r="T27" s="422"/>
      <c r="U27" s="422"/>
    </row>
    <row r="28" spans="2:22" x14ac:dyDescent="0.25">
      <c r="B28" s="27" t="s">
        <v>44</v>
      </c>
      <c r="C28" s="27">
        <v>4985.3580000000002</v>
      </c>
      <c r="D28" s="83"/>
      <c r="G28" s="27"/>
      <c r="H28" s="27"/>
      <c r="I28" s="27"/>
      <c r="S28" s="421"/>
      <c r="T28" s="422"/>
      <c r="U28" s="422"/>
    </row>
    <row r="29" spans="2:22" x14ac:dyDescent="0.25">
      <c r="B29" s="27" t="s">
        <v>50</v>
      </c>
      <c r="C29" s="27">
        <v>201.96279999999999</v>
      </c>
      <c r="D29" s="83"/>
      <c r="G29" s="27"/>
      <c r="H29" s="27"/>
      <c r="I29" s="27"/>
      <c r="S29" s="421"/>
      <c r="T29" s="422"/>
      <c r="U29" s="422"/>
    </row>
    <row r="30" spans="2:22" x14ac:dyDescent="0.25">
      <c r="B30" s="27" t="s">
        <v>26</v>
      </c>
      <c r="C30" s="27">
        <v>528.91809999999998</v>
      </c>
      <c r="D30" s="83"/>
      <c r="G30" s="27"/>
      <c r="H30" s="27"/>
      <c r="I30" s="27"/>
      <c r="S30" s="421"/>
      <c r="T30" s="422"/>
      <c r="U30" s="422"/>
    </row>
    <row r="31" spans="2:22" x14ac:dyDescent="0.25">
      <c r="B31" s="27" t="s">
        <v>28</v>
      </c>
      <c r="C31" s="374">
        <v>4383.1869999999999</v>
      </c>
      <c r="D31" s="83"/>
      <c r="G31" s="27"/>
      <c r="H31" s="27"/>
      <c r="I31" s="27"/>
      <c r="S31" s="421"/>
      <c r="T31" s="422"/>
      <c r="U31" s="422"/>
    </row>
    <row r="32" spans="2:22" x14ac:dyDescent="0.25">
      <c r="B32" s="27" t="s">
        <v>30</v>
      </c>
      <c r="C32" s="27">
        <v>53.554029999999997</v>
      </c>
      <c r="D32" s="83"/>
      <c r="E32" s="27"/>
      <c r="F32" s="27"/>
      <c r="G32" s="27"/>
      <c r="H32" s="27"/>
      <c r="I32" s="27"/>
      <c r="S32" s="421"/>
      <c r="T32" s="422"/>
      <c r="U32" s="422"/>
    </row>
    <row r="33" spans="2:21" x14ac:dyDescent="0.25">
      <c r="B33" s="27" t="s">
        <v>31</v>
      </c>
      <c r="C33" s="374">
        <v>83.397450000000006</v>
      </c>
      <c r="D33" s="83"/>
      <c r="E33" s="27"/>
      <c r="F33" s="27"/>
      <c r="G33" s="27"/>
      <c r="H33" s="27"/>
      <c r="I33" s="27"/>
      <c r="S33" s="421"/>
      <c r="T33" s="422"/>
      <c r="U33" s="422"/>
    </row>
    <row r="34" spans="2:21" x14ac:dyDescent="0.25">
      <c r="B34" s="27" t="s">
        <v>32</v>
      </c>
      <c r="C34" s="374">
        <v>291.24799999999999</v>
      </c>
      <c r="D34" s="83"/>
      <c r="E34" s="27"/>
      <c r="F34" s="27"/>
      <c r="G34" s="27"/>
      <c r="H34" s="27"/>
      <c r="I34" s="27"/>
      <c r="S34" s="421"/>
      <c r="T34" s="422"/>
      <c r="U34" s="422"/>
    </row>
    <row r="35" spans="2:21" x14ac:dyDescent="0.25">
      <c r="B35" s="27" t="s">
        <v>105</v>
      </c>
      <c r="C35" s="374">
        <v>773.01859999999999</v>
      </c>
      <c r="D35" s="83"/>
      <c r="E35" s="27"/>
      <c r="F35" s="27"/>
      <c r="G35" s="27"/>
      <c r="H35" s="27"/>
      <c r="I35" s="27"/>
      <c r="S35" s="421"/>
      <c r="T35" s="422"/>
      <c r="U35" s="425"/>
    </row>
    <row r="36" spans="2:21" x14ac:dyDescent="0.25">
      <c r="B36" s="27" t="s">
        <v>34</v>
      </c>
      <c r="C36" s="374">
        <v>358.34750000000003</v>
      </c>
      <c r="D36" s="83"/>
      <c r="E36" s="27"/>
      <c r="F36" s="27"/>
      <c r="G36" s="27"/>
      <c r="H36" s="27"/>
      <c r="I36" s="27"/>
      <c r="S36" s="421"/>
      <c r="T36" s="422"/>
      <c r="U36" s="425"/>
    </row>
    <row r="37" spans="2:21" x14ac:dyDescent="0.25">
      <c r="B37" s="27" t="s">
        <v>36</v>
      </c>
      <c r="C37" s="374">
        <v>1630.153</v>
      </c>
      <c r="D37" s="83"/>
      <c r="E37" s="27"/>
      <c r="F37" s="27"/>
      <c r="G37" s="27"/>
      <c r="H37" s="27"/>
      <c r="I37" s="27"/>
      <c r="S37" s="421"/>
      <c r="T37" s="422"/>
      <c r="U37" s="422"/>
    </row>
    <row r="38" spans="2:21" x14ac:dyDescent="0.25">
      <c r="B38" s="27" t="s">
        <v>37</v>
      </c>
      <c r="C38" s="374">
        <v>8414.0769999999993</v>
      </c>
      <c r="D38" s="83"/>
      <c r="E38" s="27"/>
      <c r="F38" s="27"/>
      <c r="G38" s="27"/>
      <c r="H38" s="27"/>
      <c r="I38" s="27"/>
      <c r="S38" s="421"/>
      <c r="T38" s="422"/>
      <c r="U38" s="422"/>
    </row>
    <row r="39" spans="2:21" x14ac:dyDescent="0.25">
      <c r="B39" s="27" t="s">
        <v>38</v>
      </c>
      <c r="C39" s="374">
        <v>376.82319999999999</v>
      </c>
      <c r="D39" s="83"/>
      <c r="E39" s="27"/>
      <c r="F39" s="27"/>
      <c r="G39" s="27"/>
      <c r="H39" s="27"/>
      <c r="I39" s="27"/>
      <c r="S39" s="421"/>
      <c r="T39" s="422"/>
      <c r="U39" s="422"/>
    </row>
    <row r="40" spans="2:21" x14ac:dyDescent="0.25">
      <c r="B40" s="27" t="s">
        <v>39</v>
      </c>
      <c r="C40" s="374">
        <v>1244.671</v>
      </c>
      <c r="D40" s="83"/>
      <c r="E40" s="27"/>
      <c r="F40" s="27"/>
      <c r="G40" s="27"/>
      <c r="H40" s="27"/>
      <c r="I40" s="27"/>
      <c r="S40" s="421"/>
      <c r="T40" s="422"/>
      <c r="U40" s="422"/>
    </row>
    <row r="41" spans="2:21" x14ac:dyDescent="0.25">
      <c r="B41" s="27" t="s">
        <v>40</v>
      </c>
      <c r="C41" s="374">
        <v>2464.46</v>
      </c>
      <c r="D41" s="83"/>
      <c r="E41" s="27"/>
      <c r="F41" s="27"/>
      <c r="G41" s="27"/>
      <c r="H41" s="27"/>
      <c r="I41" s="27"/>
      <c r="S41" s="421"/>
      <c r="T41" s="422"/>
      <c r="U41" s="422"/>
    </row>
    <row r="42" spans="2:21" x14ac:dyDescent="0.25">
      <c r="B42" s="27" t="s">
        <v>41</v>
      </c>
      <c r="C42" s="374">
        <v>283.42599999999999</v>
      </c>
      <c r="D42" s="83"/>
      <c r="E42" s="27"/>
      <c r="F42" s="27"/>
      <c r="G42" s="27"/>
      <c r="H42" s="27"/>
      <c r="I42" s="27"/>
      <c r="S42" s="421"/>
      <c r="T42" s="422"/>
      <c r="U42" s="422"/>
    </row>
    <row r="43" spans="2:21" x14ac:dyDescent="0.25">
      <c r="B43" s="27" t="s">
        <v>42</v>
      </c>
      <c r="C43" s="27">
        <v>235.63059999999999</v>
      </c>
      <c r="D43" s="83"/>
      <c r="E43" s="27"/>
      <c r="F43" s="27"/>
      <c r="G43" s="27"/>
      <c r="H43" s="27"/>
      <c r="I43" s="27"/>
      <c r="S43" s="421"/>
      <c r="T43" s="422"/>
      <c r="U43" s="422"/>
    </row>
    <row r="44" spans="2:21" x14ac:dyDescent="0.25">
      <c r="B44" s="27" t="s">
        <v>29</v>
      </c>
      <c r="C44" s="31">
        <f>C35+C12+C26</f>
        <v>1455.6667</v>
      </c>
      <c r="D44" s="83"/>
      <c r="E44" s="27"/>
      <c r="F44" s="27"/>
      <c r="G44" s="27"/>
      <c r="H44" s="27"/>
      <c r="I44" s="27"/>
      <c r="S44" s="421"/>
      <c r="T44" s="422"/>
      <c r="U44" s="422"/>
    </row>
    <row r="45" spans="2:21" x14ac:dyDescent="0.25">
      <c r="B45" s="20" t="s">
        <v>904</v>
      </c>
      <c r="C45" s="20">
        <v>262.25099999999998</v>
      </c>
      <c r="D45" s="83"/>
      <c r="E45" s="27"/>
      <c r="F45" s="27"/>
      <c r="G45" s="27"/>
      <c r="H45" s="27"/>
      <c r="I45" s="27"/>
      <c r="S45" s="421"/>
      <c r="T45" s="422"/>
      <c r="U45" s="422"/>
    </row>
    <row r="46" spans="2:21" x14ac:dyDescent="0.25">
      <c r="D46" s="83"/>
      <c r="E46" s="27"/>
      <c r="F46" s="27"/>
      <c r="G46" s="27"/>
      <c r="H46" s="27"/>
      <c r="I46" s="27"/>
      <c r="S46" s="421"/>
      <c r="T46" s="422"/>
      <c r="U46" s="422"/>
    </row>
    <row r="47" spans="2:21" x14ac:dyDescent="0.25">
      <c r="B47" s="420"/>
      <c r="C47" s="95">
        <f>SUM(C2:C45)</f>
        <v>41902.868019999994</v>
      </c>
      <c r="D47" s="83"/>
      <c r="S47" s="421"/>
      <c r="T47" s="422"/>
      <c r="U47" s="425"/>
    </row>
    <row r="48" spans="2:21" x14ac:dyDescent="0.25">
      <c r="B48" s="420"/>
      <c r="D48" s="83"/>
      <c r="S48" s="421"/>
      <c r="T48" s="422"/>
      <c r="U48" s="422"/>
    </row>
    <row r="53" spans="20:21" x14ac:dyDescent="0.25">
      <c r="T53" s="412"/>
      <c r="U53" s="142"/>
    </row>
  </sheetData>
  <pageMargins left="0.7" right="0.7" top="0.75" bottom="0.75" header="0.3" footer="0.3"/>
  <pageSetup paperSize="9" scale="73" fitToWidth="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81"/>
  <sheetViews>
    <sheetView zoomScale="70" zoomScaleNormal="70" workbookViewId="0">
      <selection activeCell="I54" sqref="I54:I61"/>
    </sheetView>
  </sheetViews>
  <sheetFormatPr defaultRowHeight="15" x14ac:dyDescent="0.25"/>
  <cols>
    <col min="1" max="1" width="3.28515625" style="15" customWidth="1"/>
    <col min="2" max="2" width="14.7109375" customWidth="1"/>
    <col min="3" max="3" width="14.7109375" style="15" customWidth="1"/>
    <col min="4" max="4" width="16.42578125" customWidth="1"/>
    <col min="5" max="5" width="18.28515625" bestFit="1" customWidth="1"/>
    <col min="6" max="6" width="12.42578125" customWidth="1"/>
    <col min="7" max="7" width="12.5703125" customWidth="1"/>
    <col min="8" max="8" width="12.5703125" style="25" customWidth="1"/>
    <col min="9" max="9" width="15" customWidth="1"/>
    <col min="10" max="10" width="12.85546875" customWidth="1"/>
    <col min="11" max="11" width="10.140625" customWidth="1"/>
    <col min="13" max="13" width="16.42578125" bestFit="1" customWidth="1"/>
    <col min="14" max="14" width="25.140625" customWidth="1"/>
    <col min="16" max="16" width="14" customWidth="1"/>
    <col min="18" max="18" width="13.7109375" customWidth="1"/>
    <col min="24" max="26" width="9.140625" style="15"/>
    <col min="30" max="30" width="21" customWidth="1"/>
    <col min="31" max="31" width="18.140625" bestFit="1" customWidth="1"/>
    <col min="32" max="32" width="11.28515625" customWidth="1"/>
    <col min="33" max="33" width="11.140625" customWidth="1"/>
    <col min="34" max="34" width="6" bestFit="1" customWidth="1"/>
    <col min="35" max="35" width="5.7109375" bestFit="1" customWidth="1"/>
    <col min="36" max="36" width="7.42578125" customWidth="1"/>
    <col min="37" max="37" width="4" bestFit="1" customWidth="1"/>
  </cols>
  <sheetData>
    <row r="1" spans="1:12" x14ac:dyDescent="0.25">
      <c r="A1" s="190"/>
      <c r="B1" s="16" t="s">
        <v>1657</v>
      </c>
      <c r="C1" s="16"/>
    </row>
    <row r="2" spans="1:12" s="15" customFormat="1" x14ac:dyDescent="0.25">
      <c r="A2" s="190"/>
      <c r="B2" s="16"/>
      <c r="C2" s="16"/>
      <c r="H2" s="25"/>
    </row>
    <row r="3" spans="1:12" ht="30.75" customHeight="1" x14ac:dyDescent="0.25">
      <c r="A3" s="27"/>
      <c r="B3" s="115" t="s">
        <v>1601</v>
      </c>
      <c r="C3" s="115"/>
      <c r="D3" s="115"/>
      <c r="E3" s="115"/>
      <c r="F3" s="115"/>
      <c r="G3" s="27"/>
      <c r="H3" s="230"/>
      <c r="I3" s="376"/>
      <c r="J3" s="376"/>
    </row>
    <row r="4" spans="1:12" x14ac:dyDescent="0.25">
      <c r="A4" s="384"/>
      <c r="B4" s="115"/>
      <c r="C4" s="115"/>
      <c r="D4" s="115" t="s">
        <v>1599</v>
      </c>
      <c r="E4" s="115" t="s">
        <v>1600</v>
      </c>
      <c r="F4" s="114" t="s">
        <v>72</v>
      </c>
      <c r="G4" s="377"/>
      <c r="H4" s="377"/>
      <c r="I4" s="378"/>
      <c r="J4" s="379"/>
    </row>
    <row r="5" spans="1:12" s="15" customFormat="1" x14ac:dyDescent="0.25">
      <c r="A5" s="384"/>
      <c r="B5" s="478" t="s">
        <v>46</v>
      </c>
      <c r="C5" s="490">
        <v>144.69999999999999</v>
      </c>
      <c r="D5" s="482"/>
      <c r="E5" s="482"/>
      <c r="F5" s="114">
        <v>5</v>
      </c>
      <c r="G5" s="377"/>
      <c r="H5" s="377"/>
      <c r="I5" s="380"/>
      <c r="J5" s="379"/>
    </row>
    <row r="6" spans="1:12" s="15" customFormat="1" x14ac:dyDescent="0.25">
      <c r="A6" s="384"/>
      <c r="B6" s="479" t="s">
        <v>944</v>
      </c>
      <c r="C6" s="491">
        <v>825.9</v>
      </c>
      <c r="D6" s="480">
        <f>C6-E6</f>
        <v>700.61298767000005</v>
      </c>
      <c r="E6" s="480">
        <f>Connection!$AB$3/1000000</f>
        <v>125.28701232999994</v>
      </c>
      <c r="F6" s="114">
        <v>45</v>
      </c>
      <c r="G6" s="31"/>
      <c r="H6" s="31"/>
      <c r="I6" s="381"/>
      <c r="J6" s="379"/>
    </row>
    <row r="7" spans="1:12" s="15" customFormat="1" x14ac:dyDescent="0.25">
      <c r="A7" s="384"/>
      <c r="B7" s="115" t="s">
        <v>593</v>
      </c>
      <c r="C7" s="113">
        <v>970.59999999999991</v>
      </c>
      <c r="D7" s="481"/>
      <c r="E7" s="481"/>
      <c r="F7" s="481"/>
      <c r="G7" s="31"/>
      <c r="H7" s="31"/>
      <c r="I7" s="382"/>
      <c r="J7" s="379"/>
    </row>
    <row r="8" spans="1:12" s="15" customFormat="1" x14ac:dyDescent="0.25">
      <c r="A8" s="384"/>
      <c r="G8" s="31"/>
      <c r="H8" s="31"/>
      <c r="I8" s="381"/>
      <c r="J8" s="379"/>
    </row>
    <row r="9" spans="1:12" s="15" customFormat="1" x14ac:dyDescent="0.25">
      <c r="A9" s="384"/>
      <c r="G9" s="31"/>
      <c r="H9" s="31"/>
      <c r="I9" s="381"/>
      <c r="J9" s="379"/>
    </row>
    <row r="10" spans="1:12" s="15" customFormat="1" x14ac:dyDescent="0.25">
      <c r="A10" s="384"/>
      <c r="G10" s="31"/>
      <c r="H10" s="31"/>
      <c r="I10" s="382"/>
      <c r="J10" s="379"/>
    </row>
    <row r="11" spans="1:12" s="15" customFormat="1" x14ac:dyDescent="0.25">
      <c r="A11" s="384"/>
      <c r="G11" s="31"/>
      <c r="H11" s="31"/>
      <c r="I11" s="381"/>
      <c r="J11" s="379"/>
    </row>
    <row r="12" spans="1:12" s="15" customFormat="1" x14ac:dyDescent="0.25">
      <c r="A12" s="384"/>
      <c r="B12" s="515"/>
      <c r="C12" s="516"/>
      <c r="D12" s="483" t="s">
        <v>90</v>
      </c>
      <c r="E12" s="483" t="s">
        <v>1653</v>
      </c>
      <c r="F12" s="483" t="s">
        <v>46</v>
      </c>
      <c r="G12" s="483" t="s">
        <v>47</v>
      </c>
      <c r="H12" s="120" t="s">
        <v>71</v>
      </c>
      <c r="I12" s="120" t="s">
        <v>72</v>
      </c>
      <c r="J12" s="484" t="s">
        <v>1652</v>
      </c>
    </row>
    <row r="13" spans="1:12" s="17" customFormat="1" x14ac:dyDescent="0.25">
      <c r="A13" s="384"/>
      <c r="B13" s="208"/>
      <c r="C13" s="485" t="s">
        <v>1604</v>
      </c>
      <c r="D13" s="489"/>
      <c r="E13" s="489"/>
      <c r="F13" s="487">
        <f>C5-F5</f>
        <v>139.69999999999999</v>
      </c>
      <c r="G13" s="487">
        <f>D6-F6</f>
        <v>655.61298767000005</v>
      </c>
      <c r="H13" s="487">
        <f>$E$6</f>
        <v>125.28701232999994</v>
      </c>
      <c r="I13" s="487">
        <f>$F$6+$F$5</f>
        <v>50</v>
      </c>
      <c r="J13" s="488">
        <f>SUM(D13:I13)</f>
        <v>970.59999999999991</v>
      </c>
    </row>
    <row r="14" spans="1:12" s="17" customFormat="1" x14ac:dyDescent="0.25">
      <c r="A14" s="384"/>
      <c r="B14" s="208"/>
      <c r="C14" s="485" t="s">
        <v>1602</v>
      </c>
      <c r="D14" s="486">
        <f>C35+I81</f>
        <v>295.61621753662359</v>
      </c>
      <c r="E14" s="486">
        <f>C7-I14-D14-H14</f>
        <v>499.69677013337639</v>
      </c>
      <c r="F14" s="489"/>
      <c r="G14" s="489"/>
      <c r="H14" s="487">
        <f>$E$6</f>
        <v>125.28701232999994</v>
      </c>
      <c r="I14" s="487">
        <f>$F$6+$F$5</f>
        <v>50</v>
      </c>
      <c r="J14" s="488">
        <f>SUM(D14:I14)</f>
        <v>970.59999999999991</v>
      </c>
    </row>
    <row r="15" spans="1:12" x14ac:dyDescent="0.25">
      <c r="A15" s="27"/>
      <c r="F15" s="317"/>
      <c r="G15" s="17"/>
      <c r="H15" s="374"/>
      <c r="I15" s="382"/>
      <c r="J15" s="379"/>
    </row>
    <row r="16" spans="1:12" s="17" customFormat="1" x14ac:dyDescent="0.25">
      <c r="A16" s="385"/>
      <c r="B16" s="102"/>
      <c r="C16" s="102"/>
      <c r="D16" s="102"/>
      <c r="E16" s="375"/>
      <c r="F16"/>
      <c r="G16"/>
      <c r="H16" s="375"/>
      <c r="I16" s="379"/>
      <c r="J16" s="382"/>
      <c r="K16"/>
      <c r="L16"/>
    </row>
    <row r="17" spans="1:39" s="17" customFormat="1" x14ac:dyDescent="0.25">
      <c r="A17" s="385"/>
      <c r="B17" s="102"/>
      <c r="C17" s="102"/>
      <c r="D17" s="102"/>
      <c r="E17" s="375"/>
      <c r="F17" s="375"/>
      <c r="G17" s="375"/>
      <c r="H17" s="375"/>
      <c r="I17" s="381"/>
      <c r="J17" s="379"/>
      <c r="K17" s="15"/>
      <c r="L17" s="15"/>
    </row>
    <row r="18" spans="1:39" s="17" customFormat="1" x14ac:dyDescent="0.25">
      <c r="A18" s="385"/>
      <c r="B18" s="102"/>
      <c r="C18" s="102"/>
      <c r="D18" s="102"/>
      <c r="E18" s="375"/>
      <c r="F18" s="375"/>
      <c r="G18" s="375"/>
      <c r="H18" s="375"/>
      <c r="I18" s="381"/>
      <c r="J18" s="379"/>
      <c r="K18" s="15"/>
      <c r="L18" s="15"/>
    </row>
    <row r="19" spans="1:39" ht="15.75" thickBot="1" x14ac:dyDescent="0.3">
      <c r="A19" s="385"/>
      <c r="B19" s="266"/>
      <c r="C19" s="266"/>
      <c r="D19" s="266"/>
      <c r="E19" s="377"/>
      <c r="F19" s="377"/>
      <c r="G19" s="377"/>
      <c r="H19" s="377"/>
      <c r="I19" s="383"/>
      <c r="J19" s="378"/>
      <c r="K19" s="17"/>
      <c r="L19" s="17"/>
    </row>
    <row r="20" spans="1:39" s="15" customFormat="1" ht="15.75" thickBot="1" x14ac:dyDescent="0.3">
      <c r="A20" s="385"/>
      <c r="B20" s="522" t="s">
        <v>1649</v>
      </c>
      <c r="C20" s="523"/>
      <c r="D20" s="523"/>
      <c r="E20" s="523"/>
      <c r="F20" s="523"/>
      <c r="G20" s="523"/>
      <c r="H20" s="523"/>
      <c r="I20" s="524"/>
      <c r="J20" s="383"/>
      <c r="K20" s="17"/>
      <c r="L20" s="17"/>
    </row>
    <row r="21" spans="1:39" s="15" customFormat="1" x14ac:dyDescent="0.25">
      <c r="A21" s="385"/>
      <c r="B21" s="525" t="s">
        <v>1710</v>
      </c>
      <c r="C21" s="526"/>
      <c r="D21" s="527"/>
      <c r="E21" s="27"/>
      <c r="F21" s="528" t="s">
        <v>1709</v>
      </c>
      <c r="G21" s="529"/>
      <c r="H21" s="529"/>
      <c r="I21" s="530"/>
      <c r="J21" s="382"/>
    </row>
    <row r="22" spans="1:39" s="15" customFormat="1" ht="30" x14ac:dyDescent="0.25">
      <c r="A22" s="385"/>
      <c r="B22" s="505" t="s">
        <v>109</v>
      </c>
      <c r="C22" s="371" t="s">
        <v>1655</v>
      </c>
      <c r="D22" s="506" t="s">
        <v>1656</v>
      </c>
      <c r="E22" s="371"/>
      <c r="F22" s="492" t="s">
        <v>1708</v>
      </c>
      <c r="G22" s="493"/>
      <c r="H22" s="493"/>
      <c r="I22" s="494"/>
      <c r="J22" s="379"/>
      <c r="AB22" s="20"/>
      <c r="AC22" s="20"/>
      <c r="AD22" s="20"/>
      <c r="AI22" s="20"/>
      <c r="AJ22" s="20"/>
      <c r="AK22" s="20"/>
      <c r="AL22" s="20"/>
    </row>
    <row r="23" spans="1:39" s="15" customFormat="1" x14ac:dyDescent="0.25">
      <c r="A23" s="27"/>
      <c r="B23" s="507" t="s">
        <v>110</v>
      </c>
      <c r="C23" s="388">
        <v>85.33</v>
      </c>
      <c r="D23" s="520" t="s">
        <v>1650</v>
      </c>
      <c r="E23" s="31"/>
      <c r="F23" s="495"/>
      <c r="G23" s="19" t="s">
        <v>944</v>
      </c>
      <c r="H23" s="19" t="s">
        <v>46</v>
      </c>
      <c r="I23" s="496" t="s">
        <v>593</v>
      </c>
      <c r="J23" s="102"/>
      <c r="P23" s="129"/>
      <c r="AB23" s="20"/>
      <c r="AC23" s="20"/>
      <c r="AD23" s="20"/>
      <c r="AI23" s="20"/>
      <c r="AJ23" s="20"/>
      <c r="AK23" s="20"/>
      <c r="AL23" s="20"/>
    </row>
    <row r="24" spans="1:39" x14ac:dyDescent="0.25">
      <c r="B24" s="507" t="s">
        <v>111</v>
      </c>
      <c r="C24" s="388">
        <v>72.930555555555557</v>
      </c>
      <c r="D24" s="520"/>
      <c r="E24" s="31"/>
      <c r="F24" s="497"/>
      <c r="G24" s="80" t="s">
        <v>943</v>
      </c>
      <c r="H24" s="80" t="s">
        <v>943</v>
      </c>
      <c r="I24" s="498" t="s">
        <v>943</v>
      </c>
      <c r="AB24" s="20"/>
      <c r="AC24" s="20"/>
      <c r="AD24" s="20"/>
      <c r="AI24" s="20"/>
      <c r="AJ24" s="27"/>
      <c r="AK24" s="27"/>
      <c r="AL24" s="20"/>
    </row>
    <row r="25" spans="1:39" x14ac:dyDescent="0.25">
      <c r="B25" s="507" t="s">
        <v>112</v>
      </c>
      <c r="C25" s="388">
        <v>45.069444444444443</v>
      </c>
      <c r="D25" s="520"/>
      <c r="E25" s="31"/>
      <c r="F25" s="499" t="s">
        <v>0</v>
      </c>
      <c r="G25" s="195">
        <v>0.18837160933055502</v>
      </c>
      <c r="H25" s="195">
        <v>0</v>
      </c>
      <c r="I25" s="500">
        <v>0.18837160933055502</v>
      </c>
      <c r="J25" s="15"/>
      <c r="AB25" s="20"/>
      <c r="AC25" s="20"/>
      <c r="AD25" s="82"/>
      <c r="AI25" s="83"/>
      <c r="AJ25" s="83"/>
      <c r="AK25" s="83"/>
      <c r="AL25" s="20"/>
    </row>
    <row r="26" spans="1:39" x14ac:dyDescent="0.25">
      <c r="B26" s="507" t="s">
        <v>113</v>
      </c>
      <c r="C26" s="388">
        <v>39.150000000000006</v>
      </c>
      <c r="D26" s="520"/>
      <c r="E26" s="31"/>
      <c r="F26" s="499" t="s">
        <v>1</v>
      </c>
      <c r="G26" s="195">
        <v>0</v>
      </c>
      <c r="H26" s="195">
        <v>0</v>
      </c>
      <c r="I26" s="500">
        <v>0</v>
      </c>
      <c r="X26"/>
      <c r="AA26" s="15"/>
      <c r="AC26" s="20"/>
      <c r="AD26" s="20"/>
      <c r="AI26" s="83"/>
      <c r="AJ26" s="83"/>
      <c r="AK26" s="83"/>
      <c r="AL26" s="83"/>
      <c r="AM26" s="20"/>
    </row>
    <row r="27" spans="1:39" s="190" customFormat="1" x14ac:dyDescent="0.25">
      <c r="B27" s="507" t="s">
        <v>114</v>
      </c>
      <c r="C27" s="388">
        <v>4.16</v>
      </c>
      <c r="D27" s="520"/>
      <c r="E27" s="31"/>
      <c r="F27" s="499" t="s">
        <v>2</v>
      </c>
      <c r="G27" s="195">
        <v>0</v>
      </c>
      <c r="H27" s="195">
        <v>0</v>
      </c>
      <c r="I27" s="500">
        <v>0</v>
      </c>
      <c r="AC27" s="20"/>
      <c r="AD27" s="20"/>
      <c r="AI27" s="83"/>
      <c r="AJ27" s="83"/>
      <c r="AK27" s="83"/>
      <c r="AL27" s="83"/>
      <c r="AM27" s="20"/>
    </row>
    <row r="28" spans="1:39" x14ac:dyDescent="0.25">
      <c r="B28" s="507" t="s">
        <v>115</v>
      </c>
      <c r="C28" s="388">
        <v>14.840000000000002</v>
      </c>
      <c r="D28" s="520"/>
      <c r="E28" s="31"/>
      <c r="F28" s="499" t="s">
        <v>100</v>
      </c>
      <c r="G28" s="195">
        <v>5.6305752824913832E-3</v>
      </c>
      <c r="H28" s="195">
        <v>6.1355987184661355E-3</v>
      </c>
      <c r="I28" s="500">
        <v>1.176617400095752E-2</v>
      </c>
      <c r="X28"/>
      <c r="AA28" s="15"/>
      <c r="AC28" s="20"/>
      <c r="AD28" s="20"/>
      <c r="AI28" s="83"/>
      <c r="AJ28" s="83"/>
      <c r="AK28" s="83"/>
      <c r="AL28" s="83"/>
      <c r="AM28" s="20"/>
    </row>
    <row r="29" spans="1:39" s="16" customFormat="1" x14ac:dyDescent="0.25">
      <c r="B29" s="508" t="s">
        <v>116</v>
      </c>
      <c r="C29" s="389">
        <v>12.01</v>
      </c>
      <c r="D29" s="521" t="s">
        <v>1651</v>
      </c>
      <c r="E29" s="31"/>
      <c r="F29" s="499" t="s">
        <v>5</v>
      </c>
      <c r="G29" s="195">
        <v>8.5411219313289308E-2</v>
      </c>
      <c r="H29" s="195">
        <v>1.9723533681236336E-2</v>
      </c>
      <c r="I29" s="500">
        <v>0.10513475299452564</v>
      </c>
      <c r="J29" s="31"/>
      <c r="AC29" s="21"/>
      <c r="AD29" s="21"/>
      <c r="AI29" s="323"/>
      <c r="AJ29" s="323"/>
      <c r="AK29" s="323"/>
      <c r="AL29" s="323"/>
      <c r="AM29" s="21"/>
    </row>
    <row r="30" spans="1:39" s="7" customFormat="1" x14ac:dyDescent="0.25">
      <c r="B30" s="508" t="s">
        <v>117</v>
      </c>
      <c r="C30" s="389">
        <v>5.5390379746835432</v>
      </c>
      <c r="D30" s="521"/>
      <c r="E30" s="27"/>
      <c r="F30" s="499" t="s">
        <v>7</v>
      </c>
      <c r="G30" s="195">
        <v>0</v>
      </c>
      <c r="H30" s="195">
        <v>1.2922829339105896E-2</v>
      </c>
      <c r="I30" s="500">
        <v>1.2922829339105896E-2</v>
      </c>
      <c r="J30" s="374"/>
      <c r="O30" s="321"/>
      <c r="AC30" s="47"/>
      <c r="AD30" s="47"/>
      <c r="AI30" s="322"/>
      <c r="AJ30" s="322"/>
      <c r="AK30" s="322"/>
      <c r="AL30" s="322"/>
      <c r="AM30" s="47"/>
    </row>
    <row r="31" spans="1:39" s="15" customFormat="1" x14ac:dyDescent="0.25">
      <c r="B31" s="508" t="s">
        <v>118</v>
      </c>
      <c r="C31" s="389">
        <v>3.4618987341772147</v>
      </c>
      <c r="D31" s="521"/>
      <c r="E31" s="27"/>
      <c r="F31" s="499" t="s">
        <v>8</v>
      </c>
      <c r="G31" s="195">
        <v>1.0252196857017054E-2</v>
      </c>
      <c r="H31" s="195">
        <v>4.318406831182748E-2</v>
      </c>
      <c r="I31" s="500">
        <v>5.3436265168844532E-2</v>
      </c>
      <c r="J31" s="27"/>
      <c r="AC31" s="20"/>
      <c r="AD31" s="20"/>
      <c r="AI31" s="83"/>
      <c r="AJ31" s="83"/>
      <c r="AK31" s="83"/>
      <c r="AL31" s="83"/>
      <c r="AM31" s="20"/>
    </row>
    <row r="32" spans="1:39" x14ac:dyDescent="0.25">
      <c r="B32" s="508" t="s">
        <v>119</v>
      </c>
      <c r="C32" s="389">
        <v>5.5390379746835432</v>
      </c>
      <c r="D32" s="521"/>
      <c r="E32" s="27"/>
      <c r="F32" s="499" t="s">
        <v>9</v>
      </c>
      <c r="G32" s="195">
        <v>0.25116482044337163</v>
      </c>
      <c r="H32" s="195">
        <v>0</v>
      </c>
      <c r="I32" s="500">
        <v>0.25116482044337163</v>
      </c>
      <c r="J32" s="31"/>
      <c r="X32"/>
      <c r="AA32" s="15"/>
      <c r="AC32" s="20"/>
      <c r="AD32" s="20"/>
      <c r="AI32" s="83"/>
      <c r="AJ32" s="83"/>
      <c r="AK32" s="83"/>
      <c r="AL32" s="83"/>
      <c r="AM32" s="20"/>
    </row>
    <row r="33" spans="2:39" s="15" customFormat="1" x14ac:dyDescent="0.25">
      <c r="B33" s="508" t="s">
        <v>120</v>
      </c>
      <c r="C33" s="389">
        <v>2.0771392405063285</v>
      </c>
      <c r="D33" s="521"/>
      <c r="E33" s="27"/>
      <c r="F33" s="499" t="s">
        <v>101</v>
      </c>
      <c r="G33" s="195">
        <v>0</v>
      </c>
      <c r="H33" s="195">
        <v>0</v>
      </c>
      <c r="I33" s="500">
        <v>0</v>
      </c>
      <c r="J33" s="31"/>
      <c r="AC33" s="20"/>
      <c r="AD33" s="20"/>
      <c r="AI33" s="83"/>
      <c r="AJ33" s="83"/>
      <c r="AK33" s="83"/>
      <c r="AL33" s="83"/>
      <c r="AM33" s="20"/>
    </row>
    <row r="34" spans="2:39" x14ac:dyDescent="0.25">
      <c r="B34" s="509"/>
      <c r="C34" s="369"/>
      <c r="D34" s="510"/>
      <c r="E34" s="27"/>
      <c r="F34" s="499" t="s">
        <v>11</v>
      </c>
      <c r="G34" s="195">
        <v>0</v>
      </c>
      <c r="H34" s="195">
        <v>2.0620920501149331E-2</v>
      </c>
      <c r="I34" s="500">
        <v>2.0620920501149331E-2</v>
      </c>
      <c r="J34" s="31"/>
      <c r="X34"/>
      <c r="AA34" s="15"/>
      <c r="AC34" s="20"/>
      <c r="AD34" s="20"/>
      <c r="AI34" s="83"/>
      <c r="AJ34" s="83"/>
      <c r="AK34" s="83"/>
      <c r="AL34" s="83"/>
      <c r="AM34" s="20"/>
    </row>
    <row r="35" spans="2:39" x14ac:dyDescent="0.25">
      <c r="B35" s="511" t="s">
        <v>123</v>
      </c>
      <c r="C35" s="372">
        <f>SUM(C23:C33)</f>
        <v>290.10711392405057</v>
      </c>
      <c r="D35" s="510"/>
      <c r="E35" s="27"/>
      <c r="F35" s="499" t="s">
        <v>102</v>
      </c>
      <c r="G35" s="195">
        <v>0</v>
      </c>
      <c r="H35" s="195">
        <v>0</v>
      </c>
      <c r="I35" s="500">
        <v>0</v>
      </c>
      <c r="J35" s="31"/>
      <c r="X35"/>
      <c r="AA35" s="15"/>
      <c r="AC35" s="20"/>
      <c r="AD35" s="20"/>
      <c r="AI35" s="20"/>
      <c r="AJ35" s="20"/>
      <c r="AK35" s="20"/>
      <c r="AL35" s="20"/>
      <c r="AM35" s="20"/>
    </row>
    <row r="36" spans="2:39" s="15" customFormat="1" ht="15.75" thickBot="1" x14ac:dyDescent="0.3">
      <c r="B36" s="512"/>
      <c r="C36" s="513"/>
      <c r="D36" s="514"/>
      <c r="E36" s="27"/>
      <c r="F36" s="499" t="s">
        <v>12</v>
      </c>
      <c r="G36" s="195">
        <v>0.1621705488858155</v>
      </c>
      <c r="H36" s="195">
        <v>0</v>
      </c>
      <c r="I36" s="500">
        <v>0.1621705488858155</v>
      </c>
      <c r="J36" s="31"/>
      <c r="AC36" s="20"/>
      <c r="AD36" s="20"/>
      <c r="AI36" s="20"/>
      <c r="AJ36" s="20"/>
      <c r="AK36" s="20"/>
      <c r="AL36" s="20"/>
      <c r="AM36" s="20"/>
    </row>
    <row r="37" spans="2:39" x14ac:dyDescent="0.25">
      <c r="B37" s="27"/>
      <c r="C37" s="27"/>
      <c r="D37" s="27"/>
      <c r="E37" s="31"/>
      <c r="F37" s="499" t="s">
        <v>13</v>
      </c>
      <c r="G37" s="195">
        <v>0</v>
      </c>
      <c r="H37" s="195">
        <v>0</v>
      </c>
      <c r="I37" s="500">
        <v>0</v>
      </c>
      <c r="J37" s="31"/>
      <c r="X37"/>
      <c r="AA37" s="15"/>
    </row>
    <row r="38" spans="2:39" x14ac:dyDescent="0.25">
      <c r="B38" s="27"/>
      <c r="C38" s="27"/>
      <c r="D38" s="27"/>
      <c r="E38" s="31"/>
      <c r="F38" s="499" t="s">
        <v>19</v>
      </c>
      <c r="G38" s="195">
        <v>0</v>
      </c>
      <c r="H38" s="195">
        <v>0</v>
      </c>
      <c r="I38" s="500">
        <v>0</v>
      </c>
      <c r="J38" s="31"/>
      <c r="X38"/>
      <c r="AA38" s="15"/>
    </row>
    <row r="39" spans="2:39" x14ac:dyDescent="0.25">
      <c r="F39" s="499" t="s">
        <v>20</v>
      </c>
      <c r="G39" s="195">
        <v>2.0707289706326421E-2</v>
      </c>
      <c r="H39" s="195">
        <v>0</v>
      </c>
      <c r="I39" s="500">
        <v>2.0707289706326421E-2</v>
      </c>
    </row>
    <row r="40" spans="2:39" x14ac:dyDescent="0.25">
      <c r="F40" s="499" t="s">
        <v>23</v>
      </c>
      <c r="G40" s="195">
        <v>9.2688023017319696E-2</v>
      </c>
      <c r="H40" s="195">
        <v>3.6809742693122094E-2</v>
      </c>
      <c r="I40" s="500">
        <v>0.1294977657104418</v>
      </c>
    </row>
    <row r="41" spans="2:39" x14ac:dyDescent="0.25">
      <c r="F41" s="499" t="s">
        <v>25</v>
      </c>
      <c r="G41" s="195">
        <v>0.93424861249952051</v>
      </c>
      <c r="H41" s="195">
        <v>0</v>
      </c>
      <c r="I41" s="500">
        <v>0.93424861249952051</v>
      </c>
    </row>
    <row r="42" spans="2:39" x14ac:dyDescent="0.25">
      <c r="F42" s="499" t="s">
        <v>103</v>
      </c>
      <c r="G42" s="195">
        <v>0</v>
      </c>
      <c r="H42" s="195">
        <v>0</v>
      </c>
      <c r="I42" s="500">
        <v>0</v>
      </c>
    </row>
    <row r="43" spans="2:39" x14ac:dyDescent="0.25">
      <c r="F43" s="499" t="s">
        <v>28</v>
      </c>
      <c r="G43" s="195">
        <v>0.19289076267175811</v>
      </c>
      <c r="H43" s="195">
        <v>0.23495301557826015</v>
      </c>
      <c r="I43" s="500">
        <v>0.42784377825001829</v>
      </c>
    </row>
    <row r="44" spans="2:39" x14ac:dyDescent="0.25">
      <c r="F44" s="499" t="s">
        <v>31</v>
      </c>
      <c r="G44" s="195">
        <v>4.2372582572054E-3</v>
      </c>
      <c r="H44" s="195">
        <v>4.5157883458695845E-3</v>
      </c>
      <c r="I44" s="500">
        <v>8.7530466030749845E-3</v>
      </c>
    </row>
    <row r="45" spans="2:39" x14ac:dyDescent="0.25">
      <c r="B45" s="19"/>
      <c r="C45" s="19"/>
      <c r="D45" s="19"/>
      <c r="E45" s="19"/>
      <c r="F45" s="499" t="s">
        <v>32</v>
      </c>
      <c r="G45" s="195">
        <v>2.1010317719061089E-2</v>
      </c>
      <c r="H45" s="195">
        <v>1.0729297630929132E-2</v>
      </c>
      <c r="I45" s="500">
        <v>3.1739615349990223E-2</v>
      </c>
      <c r="J45" s="19"/>
    </row>
    <row r="46" spans="2:39" x14ac:dyDescent="0.25">
      <c r="B46" s="19"/>
      <c r="C46" s="19"/>
      <c r="D46" s="19"/>
      <c r="F46" s="499" t="s">
        <v>105</v>
      </c>
      <c r="G46" s="195">
        <v>0</v>
      </c>
      <c r="H46" s="195">
        <v>0</v>
      </c>
      <c r="I46" s="500">
        <v>0</v>
      </c>
      <c r="J46" s="19"/>
    </row>
    <row r="47" spans="2:39" x14ac:dyDescent="0.25">
      <c r="B47" s="19"/>
      <c r="C47" s="19"/>
      <c r="D47" s="19"/>
      <c r="F47" s="499" t="s">
        <v>34</v>
      </c>
      <c r="G47" s="195">
        <v>4.850451073036955E-2</v>
      </c>
      <c r="H47" s="195">
        <v>1.3955914252423681E-2</v>
      </c>
      <c r="I47" s="500">
        <v>6.2460424982793229E-2</v>
      </c>
      <c r="J47" s="27"/>
      <c r="O47" s="20"/>
      <c r="P47" s="20"/>
      <c r="Q47" s="20"/>
      <c r="R47" s="20"/>
      <c r="S47" s="20"/>
    </row>
    <row r="48" spans="2:39" x14ac:dyDescent="0.25">
      <c r="B48" s="19"/>
      <c r="C48" s="19"/>
      <c r="D48" s="318"/>
      <c r="F48" s="499" t="s">
        <v>36</v>
      </c>
      <c r="G48" s="195">
        <v>1.2730298304981031E-2</v>
      </c>
      <c r="H48" s="195">
        <v>7.6682565160301613E-2</v>
      </c>
      <c r="I48" s="500">
        <v>8.9412863465282641E-2</v>
      </c>
      <c r="J48" s="371"/>
      <c r="O48" s="20"/>
      <c r="P48" s="20"/>
      <c r="Q48" s="20"/>
      <c r="R48" s="20"/>
      <c r="S48" s="20"/>
    </row>
    <row r="49" spans="2:19" x14ac:dyDescent="0.25">
      <c r="B49" s="19"/>
      <c r="C49" s="19"/>
      <c r="D49" s="319"/>
      <c r="F49" s="499" t="s">
        <v>37</v>
      </c>
      <c r="G49" s="195">
        <v>1.4700326931340137</v>
      </c>
      <c r="H49" s="195">
        <v>0.4342067958158185</v>
      </c>
      <c r="I49" s="500">
        <v>1.9042394889498322</v>
      </c>
      <c r="J49" s="27"/>
      <c r="O49" s="93"/>
      <c r="P49" s="20"/>
      <c r="Q49" s="20"/>
      <c r="R49" s="20"/>
      <c r="S49" s="20"/>
    </row>
    <row r="50" spans="2:19" x14ac:dyDescent="0.25">
      <c r="B50" s="19"/>
      <c r="C50" s="19"/>
      <c r="D50" s="319"/>
      <c r="F50" s="499" t="s">
        <v>38</v>
      </c>
      <c r="G50" s="195">
        <v>2.1362264852992904E-2</v>
      </c>
      <c r="H50" s="195">
        <v>1.833289981348335E-2</v>
      </c>
      <c r="I50" s="500">
        <v>3.9695164666476254E-2</v>
      </c>
      <c r="J50" s="31"/>
      <c r="O50" s="93"/>
      <c r="P50" s="20"/>
      <c r="Q50" s="93"/>
      <c r="R50" s="20"/>
      <c r="S50" s="20"/>
    </row>
    <row r="51" spans="2:19" x14ac:dyDescent="0.25">
      <c r="B51" s="19"/>
      <c r="C51" s="19"/>
      <c r="D51" s="319"/>
      <c r="F51" s="499" t="s">
        <v>39</v>
      </c>
      <c r="G51" s="195">
        <v>7.9377239359428517E-2</v>
      </c>
      <c r="H51" s="195">
        <v>6.8938685666141183E-2</v>
      </c>
      <c r="I51" s="500">
        <v>0.1483159250255697</v>
      </c>
      <c r="J51" s="27"/>
      <c r="O51" s="93"/>
      <c r="P51" s="20"/>
      <c r="Q51" s="93"/>
      <c r="R51" s="20"/>
      <c r="S51" s="93"/>
    </row>
    <row r="52" spans="2:19" x14ac:dyDescent="0.25">
      <c r="B52" s="19"/>
      <c r="C52" s="19"/>
      <c r="D52" s="319"/>
      <c r="F52" s="499" t="s">
        <v>40</v>
      </c>
      <c r="G52" s="195">
        <v>0</v>
      </c>
      <c r="H52" s="195">
        <v>0.14501675933018252</v>
      </c>
      <c r="I52" s="500">
        <v>0.14501675933018252</v>
      </c>
      <c r="J52" s="27"/>
      <c r="O52" s="93"/>
      <c r="P52" s="20"/>
      <c r="Q52" s="20"/>
      <c r="R52" s="20"/>
      <c r="S52" s="20"/>
    </row>
    <row r="53" spans="2:19" x14ac:dyDescent="0.25">
      <c r="B53" s="19"/>
      <c r="C53" s="19"/>
      <c r="D53" s="319"/>
      <c r="F53" s="499" t="s">
        <v>41</v>
      </c>
      <c r="G53" s="195">
        <v>0</v>
      </c>
      <c r="H53" s="195">
        <v>0</v>
      </c>
      <c r="I53" s="500">
        <v>0</v>
      </c>
      <c r="J53" s="27"/>
      <c r="O53" s="93"/>
      <c r="P53" s="20"/>
      <c r="Q53" s="20"/>
      <c r="R53" s="20"/>
      <c r="S53" s="20"/>
    </row>
    <row r="54" spans="2:19" x14ac:dyDescent="0.25">
      <c r="B54" s="19"/>
      <c r="C54" s="19"/>
      <c r="D54" s="319"/>
      <c r="F54" s="499"/>
      <c r="G54" s="195">
        <v>0</v>
      </c>
      <c r="H54" s="195">
        <v>0</v>
      </c>
      <c r="I54" s="500">
        <v>0</v>
      </c>
      <c r="J54" s="27"/>
      <c r="O54" s="93"/>
      <c r="P54" s="20"/>
      <c r="Q54" s="93"/>
      <c r="R54" s="20"/>
      <c r="S54" s="20"/>
    </row>
    <row r="55" spans="2:19" x14ac:dyDescent="0.25">
      <c r="B55" s="19"/>
      <c r="C55" s="19"/>
      <c r="D55" s="319"/>
      <c r="F55" s="499"/>
      <c r="G55" s="195">
        <v>0</v>
      </c>
      <c r="H55" s="195">
        <v>0</v>
      </c>
      <c r="I55" s="500">
        <v>0</v>
      </c>
      <c r="J55" s="27"/>
      <c r="O55" s="93"/>
      <c r="P55" s="20"/>
      <c r="Q55" s="20"/>
      <c r="R55" s="20"/>
      <c r="S55" s="20"/>
    </row>
    <row r="56" spans="2:19" x14ac:dyDescent="0.25">
      <c r="B56" s="19"/>
      <c r="C56" s="19"/>
      <c r="D56" s="319"/>
      <c r="F56" s="499" t="s">
        <v>4</v>
      </c>
      <c r="G56" s="195">
        <v>1.1568177463016019E-2</v>
      </c>
      <c r="H56" s="195">
        <v>9.631811699884027E-2</v>
      </c>
      <c r="I56" s="500">
        <v>0.10788629446185628</v>
      </c>
      <c r="J56" s="27"/>
      <c r="O56" s="93"/>
      <c r="P56" s="20"/>
      <c r="Q56" s="93"/>
      <c r="R56" s="20"/>
      <c r="S56" s="20"/>
    </row>
    <row r="57" spans="2:19" x14ac:dyDescent="0.25">
      <c r="B57" s="19"/>
      <c r="C57" s="19"/>
      <c r="D57" s="319"/>
      <c r="F57" s="499" t="s">
        <v>10</v>
      </c>
      <c r="G57" s="195">
        <v>7.1112145339339199E-3</v>
      </c>
      <c r="H57" s="195">
        <v>1.6476805968944002E-2</v>
      </c>
      <c r="I57" s="500">
        <v>2.3588020502877921E-2</v>
      </c>
      <c r="J57" s="27"/>
      <c r="O57" s="93"/>
      <c r="P57" s="20"/>
      <c r="Q57" s="20"/>
      <c r="R57" s="20"/>
      <c r="S57" s="20"/>
    </row>
    <row r="58" spans="2:19" x14ac:dyDescent="0.25">
      <c r="B58" s="19"/>
      <c r="C58" s="19"/>
      <c r="D58" s="319"/>
      <c r="F58" s="499" t="s">
        <v>14</v>
      </c>
      <c r="G58" s="195">
        <v>3.4353457043471133E-2</v>
      </c>
      <c r="H58" s="195">
        <v>0.26708389283121714</v>
      </c>
      <c r="I58" s="500">
        <v>0.30143734987468829</v>
      </c>
      <c r="J58" s="27"/>
      <c r="O58" s="93"/>
      <c r="P58" s="20"/>
      <c r="Q58" s="20"/>
      <c r="R58" s="20"/>
      <c r="S58" s="20"/>
    </row>
    <row r="59" spans="2:19" x14ac:dyDescent="0.25">
      <c r="B59" s="19"/>
      <c r="C59" s="19"/>
      <c r="D59" s="319"/>
      <c r="F59" s="499" t="s">
        <v>16</v>
      </c>
      <c r="G59" s="195">
        <v>0</v>
      </c>
      <c r="H59" s="195">
        <v>0</v>
      </c>
      <c r="I59" s="500">
        <v>0</v>
      </c>
      <c r="J59" s="27"/>
      <c r="O59" s="93"/>
      <c r="P59" s="20"/>
      <c r="Q59" s="20"/>
      <c r="R59" s="20"/>
      <c r="S59" s="20"/>
    </row>
    <row r="60" spans="2:19" x14ac:dyDescent="0.25">
      <c r="B60" s="19"/>
      <c r="C60" s="19"/>
      <c r="D60" s="319"/>
      <c r="F60" s="499" t="s">
        <v>17</v>
      </c>
      <c r="G60" s="195">
        <v>1.6164260180032742E-2</v>
      </c>
      <c r="H60" s="195">
        <v>1.6796788742255573E-4</v>
      </c>
      <c r="I60" s="500">
        <v>1.6332228067455299E-2</v>
      </c>
      <c r="J60" s="27"/>
      <c r="O60" s="93"/>
      <c r="P60" s="20"/>
      <c r="Q60" s="93"/>
      <c r="R60" s="20"/>
      <c r="S60" s="20"/>
    </row>
    <row r="61" spans="2:19" x14ac:dyDescent="0.25">
      <c r="B61" s="19"/>
      <c r="C61" s="19"/>
      <c r="D61" s="320"/>
      <c r="F61" s="499" t="s">
        <v>18</v>
      </c>
      <c r="G61" s="195">
        <v>0</v>
      </c>
      <c r="H61" s="195">
        <v>0</v>
      </c>
      <c r="I61" s="500">
        <v>0</v>
      </c>
      <c r="J61" s="27"/>
      <c r="O61" s="93"/>
      <c r="P61" s="20"/>
      <c r="Q61" s="20"/>
      <c r="R61" s="20"/>
      <c r="S61" s="20"/>
    </row>
    <row r="62" spans="2:19" x14ac:dyDescent="0.25">
      <c r="B62" s="19"/>
      <c r="C62" s="19"/>
      <c r="D62" s="19"/>
      <c r="F62" s="499" t="s">
        <v>21</v>
      </c>
      <c r="G62" s="195">
        <v>0</v>
      </c>
      <c r="H62" s="195">
        <v>0</v>
      </c>
      <c r="I62" s="500">
        <v>0</v>
      </c>
      <c r="J62" s="27"/>
      <c r="O62" s="20"/>
      <c r="P62" s="20"/>
      <c r="Q62" s="20"/>
      <c r="R62" s="20"/>
      <c r="S62" s="20"/>
    </row>
    <row r="63" spans="2:19" x14ac:dyDescent="0.25">
      <c r="B63" s="19"/>
      <c r="C63" s="19"/>
      <c r="D63" s="19"/>
      <c r="E63" s="27"/>
      <c r="F63" s="499" t="s">
        <v>27</v>
      </c>
      <c r="G63" s="195">
        <v>0</v>
      </c>
      <c r="H63" s="195">
        <v>7.277574817142619E-4</v>
      </c>
      <c r="I63" s="500">
        <v>7.277574817142619E-4</v>
      </c>
      <c r="J63" s="27"/>
    </row>
    <row r="64" spans="2:19" x14ac:dyDescent="0.25">
      <c r="B64" s="19"/>
      <c r="C64" s="19"/>
      <c r="D64" s="19"/>
      <c r="E64" s="27"/>
      <c r="F64" s="499"/>
      <c r="G64" s="195"/>
      <c r="H64" s="195"/>
      <c r="I64" s="500"/>
      <c r="J64" s="373"/>
    </row>
    <row r="65" spans="2:10" x14ac:dyDescent="0.25">
      <c r="B65" s="19"/>
      <c r="C65" s="19"/>
      <c r="D65" s="19"/>
      <c r="E65" s="27"/>
      <c r="F65" s="499" t="s">
        <v>33</v>
      </c>
      <c r="G65" s="195">
        <v>2.3964821290751849E-4</v>
      </c>
      <c r="H65" s="195">
        <v>4.6599032288250943E-5</v>
      </c>
      <c r="I65" s="500">
        <v>2.8624724519576945E-4</v>
      </c>
      <c r="J65" s="27"/>
    </row>
    <row r="66" spans="2:10" x14ac:dyDescent="0.25">
      <c r="B66" s="19"/>
      <c r="C66" s="19"/>
      <c r="D66" s="19"/>
      <c r="E66" s="27"/>
      <c r="F66" s="499" t="s">
        <v>35</v>
      </c>
      <c r="G66" s="195">
        <v>1.134303937351508E-3</v>
      </c>
      <c r="H66" s="195">
        <v>1.2572102341327621E-2</v>
      </c>
      <c r="I66" s="500">
        <v>1.3706406278679129E-2</v>
      </c>
      <c r="J66" s="27"/>
    </row>
    <row r="67" spans="2:10" x14ac:dyDescent="0.25">
      <c r="C67" s="19"/>
      <c r="D67" s="19"/>
      <c r="E67" s="27"/>
      <c r="F67" s="499"/>
      <c r="G67" s="195">
        <v>0</v>
      </c>
      <c r="H67" s="195">
        <v>0</v>
      </c>
      <c r="I67" s="500">
        <v>0</v>
      </c>
      <c r="J67" s="27"/>
    </row>
    <row r="68" spans="2:10" x14ac:dyDescent="0.25">
      <c r="C68" s="19"/>
      <c r="D68" s="19"/>
      <c r="E68" s="19"/>
      <c r="F68" s="499"/>
      <c r="G68" s="195">
        <v>0</v>
      </c>
      <c r="H68" s="195">
        <v>0</v>
      </c>
      <c r="I68" s="500">
        <v>0</v>
      </c>
      <c r="J68" s="19"/>
    </row>
    <row r="69" spans="2:10" x14ac:dyDescent="0.25">
      <c r="F69" s="499" t="s">
        <v>3</v>
      </c>
      <c r="G69" s="195">
        <v>2.4522980784403188E-2</v>
      </c>
      <c r="H69" s="195">
        <v>1.3498492027582102E-2</v>
      </c>
      <c r="I69" s="500">
        <v>3.8021472811985292E-2</v>
      </c>
    </row>
    <row r="70" spans="2:10" x14ac:dyDescent="0.25">
      <c r="F70" s="499" t="s">
        <v>6</v>
      </c>
      <c r="G70" s="195">
        <v>1.4486008918814764E-2</v>
      </c>
      <c r="H70" s="195">
        <v>0</v>
      </c>
      <c r="I70" s="500">
        <v>1.4486008918814764E-2</v>
      </c>
    </row>
    <row r="71" spans="2:10" x14ac:dyDescent="0.25">
      <c r="F71" s="499" t="s">
        <v>51</v>
      </c>
      <c r="G71" s="195">
        <v>1.2114035756671023E-2</v>
      </c>
      <c r="H71" s="195">
        <v>1.4811599795545394E-3</v>
      </c>
      <c r="I71" s="500">
        <v>1.3595195736225562E-2</v>
      </c>
    </row>
    <row r="72" spans="2:10" x14ac:dyDescent="0.25">
      <c r="F72" s="499" t="s">
        <v>15</v>
      </c>
      <c r="G72" s="195">
        <v>2.6193433898708241E-3</v>
      </c>
      <c r="H72" s="195">
        <v>2.1625673385783852E-3</v>
      </c>
      <c r="I72" s="500">
        <v>4.7819107284492093E-3</v>
      </c>
    </row>
    <row r="73" spans="2:10" x14ac:dyDescent="0.25">
      <c r="F73" s="499" t="s">
        <v>22</v>
      </c>
      <c r="G73" s="195">
        <v>0</v>
      </c>
      <c r="H73" s="195">
        <v>2.3422140623085975E-3</v>
      </c>
      <c r="I73" s="500">
        <v>2.3422140623085975E-3</v>
      </c>
    </row>
    <row r="74" spans="2:10" x14ac:dyDescent="0.25">
      <c r="F74" s="499" t="s">
        <v>24</v>
      </c>
      <c r="G74" s="195">
        <v>0.11434373448579047</v>
      </c>
      <c r="H74" s="195">
        <v>2.8461751812351745E-2</v>
      </c>
      <c r="I74" s="500">
        <v>0.14280548629814221</v>
      </c>
    </row>
    <row r="75" spans="2:10" x14ac:dyDescent="0.25">
      <c r="F75" s="495" t="s">
        <v>44</v>
      </c>
      <c r="G75" s="195">
        <v>0</v>
      </c>
      <c r="H75" s="195">
        <v>0</v>
      </c>
      <c r="I75" s="500">
        <v>0</v>
      </c>
    </row>
    <row r="76" spans="2:10" x14ac:dyDescent="0.25">
      <c r="F76" s="499" t="s">
        <v>26</v>
      </c>
      <c r="G76" s="195">
        <v>0</v>
      </c>
      <c r="H76" s="195">
        <v>2.0463293345319801E-2</v>
      </c>
      <c r="I76" s="500">
        <v>2.0463293345319801E-2</v>
      </c>
    </row>
    <row r="77" spans="2:10" x14ac:dyDescent="0.25">
      <c r="F77" s="499" t="s">
        <v>30</v>
      </c>
      <c r="G77" s="195">
        <v>0</v>
      </c>
      <c r="H77" s="195">
        <v>1.2707283823564841E-2</v>
      </c>
      <c r="I77" s="500">
        <v>1.2707283823564841E-2</v>
      </c>
    </row>
    <row r="78" spans="2:10" x14ac:dyDescent="0.25">
      <c r="F78" s="499" t="s">
        <v>904</v>
      </c>
      <c r="G78" s="195">
        <v>2.3883131924631828E-2</v>
      </c>
      <c r="H78" s="195">
        <v>0</v>
      </c>
      <c r="I78" s="500">
        <v>2.3883131924631828E-2</v>
      </c>
    </row>
    <row r="79" spans="2:10" x14ac:dyDescent="0.25">
      <c r="F79" s="499" t="s">
        <v>42</v>
      </c>
      <c r="G79" s="195">
        <v>1.0747122514108667E-2</v>
      </c>
      <c r="H79" s="195">
        <v>1.3787533293168302E-2</v>
      </c>
      <c r="I79" s="500">
        <v>2.453465580727697E-2</v>
      </c>
    </row>
    <row r="80" spans="2:10" x14ac:dyDescent="0.25">
      <c r="F80" s="495"/>
      <c r="G80" s="19"/>
      <c r="H80" s="195"/>
      <c r="I80" s="501"/>
    </row>
    <row r="81" spans="6:9" ht="15.75" thickBot="1" x14ac:dyDescent="0.3">
      <c r="F81" s="502" t="s">
        <v>123</v>
      </c>
      <c r="G81" s="503">
        <v>3.8740776595105197</v>
      </c>
      <c r="H81" s="503">
        <v>1.6350259530624991</v>
      </c>
      <c r="I81" s="504">
        <v>5.5091036125730213</v>
      </c>
    </row>
  </sheetData>
  <mergeCells count="5">
    <mergeCell ref="D23:D28"/>
    <mergeCell ref="D29:D33"/>
    <mergeCell ref="B20:I20"/>
    <mergeCell ref="B21:D21"/>
    <mergeCell ref="F21:I21"/>
  </mergeCells>
  <pageMargins left="0.7" right="0.7" top="0.75" bottom="0.75" header="0.3" footer="0.3"/>
  <pageSetup paperSize="9" orientation="portrait" verticalDpi="0"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U1020"/>
  <sheetViews>
    <sheetView topLeftCell="A135" zoomScaleNormal="100" workbookViewId="0">
      <pane ySplit="6000" topLeftCell="A964"/>
      <selection activeCell="C143" sqref="C143"/>
      <selection pane="bottomLeft" activeCell="D966" sqref="D966"/>
    </sheetView>
  </sheetViews>
  <sheetFormatPr defaultRowHeight="15" x14ac:dyDescent="0.25"/>
  <cols>
    <col min="1" max="1" width="18.5703125" style="15" customWidth="1"/>
    <col min="2" max="2" width="24.140625" customWidth="1"/>
    <col min="3" max="3" width="28.85546875" customWidth="1"/>
    <col min="4" max="4" width="26" customWidth="1"/>
    <col min="5" max="5" width="23.7109375" customWidth="1"/>
    <col min="9" max="9" width="4.5703125" customWidth="1"/>
    <col min="10" max="10" width="11.85546875" customWidth="1"/>
    <col min="11" max="15" width="9.140625" style="20"/>
    <col min="16" max="16" width="31.28515625" style="20" customWidth="1"/>
    <col min="17" max="21" width="9.140625" style="20"/>
  </cols>
  <sheetData>
    <row r="2" spans="1:11" x14ac:dyDescent="0.25">
      <c r="B2" s="16" t="s">
        <v>1666</v>
      </c>
      <c r="K2" s="21"/>
    </row>
    <row r="3" spans="1:11" x14ac:dyDescent="0.25">
      <c r="C3" s="20"/>
      <c r="D3" s="20"/>
      <c r="E3" s="20"/>
      <c r="F3" s="20"/>
      <c r="G3" s="20"/>
    </row>
    <row r="4" spans="1:11" x14ac:dyDescent="0.25">
      <c r="A4" s="94" t="s">
        <v>57</v>
      </c>
      <c r="B4" s="20" t="s">
        <v>499</v>
      </c>
      <c r="C4" s="20"/>
      <c r="D4" s="20"/>
      <c r="E4" s="20"/>
      <c r="F4" s="20"/>
      <c r="G4" s="20"/>
    </row>
    <row r="5" spans="1:11" x14ac:dyDescent="0.25">
      <c r="A5" s="94"/>
      <c r="B5" s="92" t="s">
        <v>397</v>
      </c>
      <c r="C5" s="92" t="s">
        <v>438</v>
      </c>
      <c r="D5" s="92" t="s">
        <v>439</v>
      </c>
      <c r="E5" s="92" t="s">
        <v>440</v>
      </c>
      <c r="F5" s="92" t="s">
        <v>441</v>
      </c>
      <c r="G5" s="92" t="s">
        <v>501</v>
      </c>
    </row>
    <row r="6" spans="1:11" x14ac:dyDescent="0.25">
      <c r="A6" s="94" t="str">
        <f>B6&amp;C6</f>
        <v>ABY0111All consumers</v>
      </c>
      <c r="B6" s="92" t="s">
        <v>130</v>
      </c>
      <c r="C6" s="92" t="s">
        <v>442</v>
      </c>
      <c r="D6" s="92" t="s">
        <v>443</v>
      </c>
      <c r="E6" s="92" t="s">
        <v>95</v>
      </c>
      <c r="F6" s="92" t="s">
        <v>95</v>
      </c>
      <c r="G6" s="92">
        <v>1</v>
      </c>
    </row>
    <row r="7" spans="1:11" x14ac:dyDescent="0.25">
      <c r="A7" s="94" t="str">
        <f t="shared" ref="A7:A71" si="0">B7&amp;C7</f>
        <v>ADD0111All consumers</v>
      </c>
      <c r="B7" s="92" t="s">
        <v>398</v>
      </c>
      <c r="C7" s="92" t="s">
        <v>442</v>
      </c>
      <c r="D7" s="92" t="s">
        <v>443</v>
      </c>
      <c r="E7" s="92" t="s">
        <v>95</v>
      </c>
      <c r="F7" s="92" t="s">
        <v>95</v>
      </c>
      <c r="G7" s="92">
        <v>1</v>
      </c>
    </row>
    <row r="8" spans="1:11" x14ac:dyDescent="0.25">
      <c r="A8" s="94" t="str">
        <f t="shared" si="0"/>
        <v>ADD0661All consumers</v>
      </c>
      <c r="B8" s="92" t="s">
        <v>399</v>
      </c>
      <c r="C8" s="92" t="s">
        <v>442</v>
      </c>
      <c r="D8" s="92" t="s">
        <v>443</v>
      </c>
      <c r="E8" s="92" t="s">
        <v>95</v>
      </c>
      <c r="F8" s="92" t="s">
        <v>95</v>
      </c>
      <c r="G8" s="92">
        <v>1</v>
      </c>
    </row>
    <row r="9" spans="1:11" x14ac:dyDescent="0.25">
      <c r="A9" s="94" t="str">
        <f t="shared" si="0"/>
        <v>ALB0331All consumers</v>
      </c>
      <c r="B9" s="92" t="s">
        <v>132</v>
      </c>
      <c r="C9" s="92" t="s">
        <v>442</v>
      </c>
      <c r="D9" s="92" t="s">
        <v>443</v>
      </c>
      <c r="E9" s="92" t="s">
        <v>95</v>
      </c>
      <c r="F9" s="92" t="s">
        <v>95</v>
      </c>
      <c r="G9" s="92">
        <v>1</v>
      </c>
    </row>
    <row r="10" spans="1:11" x14ac:dyDescent="0.25">
      <c r="A10" s="94" t="str">
        <f t="shared" si="0"/>
        <v>ALB1101All consumers</v>
      </c>
      <c r="B10" s="92" t="s">
        <v>133</v>
      </c>
      <c r="C10" s="92" t="s">
        <v>442</v>
      </c>
      <c r="D10" s="92" t="s">
        <v>443</v>
      </c>
      <c r="E10" s="92" t="s">
        <v>95</v>
      </c>
      <c r="F10" s="92" t="s">
        <v>95</v>
      </c>
      <c r="G10" s="92">
        <v>1</v>
      </c>
    </row>
    <row r="11" spans="1:11" x14ac:dyDescent="0.25">
      <c r="A11" s="94" t="str">
        <f t="shared" si="0"/>
        <v>APS0111All consumers</v>
      </c>
      <c r="B11" s="92" t="s">
        <v>134</v>
      </c>
      <c r="C11" s="92" t="s">
        <v>442</v>
      </c>
      <c r="D11" s="92" t="s">
        <v>443</v>
      </c>
      <c r="E11" s="92" t="s">
        <v>95</v>
      </c>
      <c r="F11" s="92" t="s">
        <v>95</v>
      </c>
      <c r="G11" s="92">
        <v>1</v>
      </c>
    </row>
    <row r="12" spans="1:11" x14ac:dyDescent="0.25">
      <c r="A12" s="94" t="str">
        <f t="shared" si="0"/>
        <v>ARG1101All consumers</v>
      </c>
      <c r="B12" s="92" t="s">
        <v>137</v>
      </c>
      <c r="C12" s="92" t="s">
        <v>442</v>
      </c>
      <c r="D12" s="92" t="s">
        <v>443</v>
      </c>
      <c r="E12" s="92" t="s">
        <v>95</v>
      </c>
      <c r="F12" s="92" t="s">
        <v>95</v>
      </c>
      <c r="G12" s="92">
        <v>1</v>
      </c>
    </row>
    <row r="13" spans="1:11" x14ac:dyDescent="0.25">
      <c r="A13" s="94" t="str">
        <f t="shared" si="0"/>
        <v>ASB0331All consumers</v>
      </c>
      <c r="B13" s="92" t="s">
        <v>142</v>
      </c>
      <c r="C13" s="92" t="s">
        <v>442</v>
      </c>
      <c r="D13" s="92" t="s">
        <v>443</v>
      </c>
      <c r="E13" s="92" t="s">
        <v>95</v>
      </c>
      <c r="F13" s="92" t="s">
        <v>95</v>
      </c>
      <c r="G13" s="92">
        <v>1</v>
      </c>
    </row>
    <row r="14" spans="1:11" x14ac:dyDescent="0.25">
      <c r="A14" s="94" t="str">
        <f t="shared" si="0"/>
        <v>ASB0661All consumers</v>
      </c>
      <c r="B14" s="92" t="s">
        <v>143</v>
      </c>
      <c r="C14" s="92" t="s">
        <v>442</v>
      </c>
      <c r="D14" s="92" t="s">
        <v>443</v>
      </c>
      <c r="E14" s="92" t="s">
        <v>95</v>
      </c>
      <c r="F14" s="92" t="s">
        <v>95</v>
      </c>
      <c r="G14" s="92">
        <v>1</v>
      </c>
    </row>
    <row r="15" spans="1:11" x14ac:dyDescent="0.25">
      <c r="A15" s="94" t="str">
        <f t="shared" si="0"/>
        <v>ASY0111All consumers</v>
      </c>
      <c r="B15" s="92" t="s">
        <v>146</v>
      </c>
      <c r="C15" s="92" t="s">
        <v>442</v>
      </c>
      <c r="D15" s="92" t="s">
        <v>443</v>
      </c>
      <c r="E15" s="92" t="s">
        <v>95</v>
      </c>
      <c r="F15" s="92" t="s">
        <v>95</v>
      </c>
      <c r="G15" s="92">
        <v>1</v>
      </c>
    </row>
    <row r="16" spans="1:11" x14ac:dyDescent="0.25">
      <c r="A16" s="94" t="str">
        <f t="shared" si="0"/>
        <v>ATU1101All consumers</v>
      </c>
      <c r="B16" s="92" t="s">
        <v>148</v>
      </c>
      <c r="C16" s="92" t="s">
        <v>442</v>
      </c>
      <c r="D16" s="92" t="s">
        <v>443</v>
      </c>
      <c r="E16" s="92" t="s">
        <v>95</v>
      </c>
      <c r="F16" s="92" t="s">
        <v>95</v>
      </c>
      <c r="G16" s="92">
        <v>1</v>
      </c>
    </row>
    <row r="17" spans="1:7" x14ac:dyDescent="0.25">
      <c r="A17" s="94" t="str">
        <f t="shared" si="0"/>
        <v>BAL0331All consumers</v>
      </c>
      <c r="B17" s="92" t="s">
        <v>150</v>
      </c>
      <c r="C17" s="92" t="s">
        <v>442</v>
      </c>
      <c r="D17" s="92" t="s">
        <v>443</v>
      </c>
      <c r="E17" s="92" t="s">
        <v>95</v>
      </c>
      <c r="F17" s="92" t="s">
        <v>95</v>
      </c>
      <c r="G17" s="92">
        <v>1</v>
      </c>
    </row>
    <row r="18" spans="1:7" x14ac:dyDescent="0.25">
      <c r="A18" s="94" t="str">
        <f t="shared" si="0"/>
        <v>BDE0111All consumers</v>
      </c>
      <c r="B18" s="92" t="s">
        <v>151</v>
      </c>
      <c r="C18" s="92" t="s">
        <v>442</v>
      </c>
      <c r="D18" s="92" t="s">
        <v>443</v>
      </c>
      <c r="E18" s="92" t="s">
        <v>95</v>
      </c>
      <c r="F18" s="92" t="s">
        <v>95</v>
      </c>
      <c r="G18" s="92">
        <v>1</v>
      </c>
    </row>
    <row r="19" spans="1:7" x14ac:dyDescent="0.25">
      <c r="A19" s="94" t="str">
        <f t="shared" si="0"/>
        <v>BLN0331All consumers</v>
      </c>
      <c r="B19" s="92" t="s">
        <v>153</v>
      </c>
      <c r="C19" s="92" t="s">
        <v>442</v>
      </c>
      <c r="D19" s="92" t="s">
        <v>443</v>
      </c>
      <c r="E19" s="92" t="s">
        <v>95</v>
      </c>
      <c r="F19" s="92" t="s">
        <v>95</v>
      </c>
      <c r="G19" s="92">
        <v>1</v>
      </c>
    </row>
    <row r="20" spans="1:7" x14ac:dyDescent="0.25">
      <c r="A20" s="94" t="str">
        <f t="shared" si="0"/>
        <v>BOB0331All consumers</v>
      </c>
      <c r="B20" s="92" t="s">
        <v>154</v>
      </c>
      <c r="C20" s="92" t="s">
        <v>442</v>
      </c>
      <c r="D20" s="92" t="s">
        <v>443</v>
      </c>
      <c r="E20" s="92" t="s">
        <v>95</v>
      </c>
      <c r="F20" s="92" t="s">
        <v>95</v>
      </c>
      <c r="G20" s="92">
        <v>1</v>
      </c>
    </row>
    <row r="21" spans="1:7" x14ac:dyDescent="0.25">
      <c r="A21" s="94" t="str">
        <f t="shared" si="0"/>
        <v>BOB1101All consumers</v>
      </c>
      <c r="B21" s="92" t="s">
        <v>155</v>
      </c>
      <c r="C21" s="92" t="s">
        <v>442</v>
      </c>
      <c r="D21" s="92" t="s">
        <v>443</v>
      </c>
      <c r="E21" s="92" t="s">
        <v>95</v>
      </c>
      <c r="F21" s="92" t="s">
        <v>95</v>
      </c>
      <c r="G21" s="92">
        <v>1</v>
      </c>
    </row>
    <row r="22" spans="1:7" x14ac:dyDescent="0.25">
      <c r="A22" s="94" t="str">
        <f t="shared" si="0"/>
        <v>BPD1101All consumers</v>
      </c>
      <c r="B22" s="92" t="s">
        <v>156</v>
      </c>
      <c r="C22" s="92" t="s">
        <v>442</v>
      </c>
      <c r="D22" s="92" t="s">
        <v>443</v>
      </c>
      <c r="E22" s="92" t="s">
        <v>95</v>
      </c>
      <c r="F22" s="92" t="s">
        <v>95</v>
      </c>
      <c r="G22" s="92">
        <v>1</v>
      </c>
    </row>
    <row r="23" spans="1:7" x14ac:dyDescent="0.25">
      <c r="A23" s="94" t="str">
        <f t="shared" si="0"/>
        <v>BPE0331All consumers</v>
      </c>
      <c r="B23" s="92" t="s">
        <v>157</v>
      </c>
      <c r="C23" s="92" t="s">
        <v>442</v>
      </c>
      <c r="D23" s="92" t="s">
        <v>443</v>
      </c>
      <c r="E23" s="92" t="s">
        <v>95</v>
      </c>
      <c r="F23" s="92" t="s">
        <v>95</v>
      </c>
      <c r="G23" s="92">
        <v>1</v>
      </c>
    </row>
    <row r="24" spans="1:7" x14ac:dyDescent="0.25">
      <c r="A24" s="94" t="str">
        <f t="shared" si="0"/>
        <v>BPE0551All consumers</v>
      </c>
      <c r="B24" s="92" t="s">
        <v>159</v>
      </c>
      <c r="C24" s="92" t="s">
        <v>442</v>
      </c>
      <c r="D24" s="92" t="s">
        <v>443</v>
      </c>
      <c r="E24" s="92" t="s">
        <v>95</v>
      </c>
      <c r="F24" s="92" t="s">
        <v>95</v>
      </c>
      <c r="G24" s="92">
        <v>1</v>
      </c>
    </row>
    <row r="25" spans="1:7" x14ac:dyDescent="0.25">
      <c r="A25" s="94" t="str">
        <f t="shared" si="0"/>
        <v>BPT1101All consumers</v>
      </c>
      <c r="B25" s="92" t="s">
        <v>160</v>
      </c>
      <c r="C25" s="92" t="s">
        <v>442</v>
      </c>
      <c r="D25" s="92" t="s">
        <v>443</v>
      </c>
      <c r="E25" s="92" t="s">
        <v>95</v>
      </c>
      <c r="F25" s="92" t="s">
        <v>95</v>
      </c>
      <c r="G25" s="92">
        <v>1</v>
      </c>
    </row>
    <row r="26" spans="1:7" x14ac:dyDescent="0.25">
      <c r="A26" s="94" t="str">
        <f t="shared" si="0"/>
        <v>BRB0331All consumers</v>
      </c>
      <c r="B26" s="92" t="s">
        <v>161</v>
      </c>
      <c r="C26" s="92" t="s">
        <v>442</v>
      </c>
      <c r="D26" s="92" t="s">
        <v>443</v>
      </c>
      <c r="E26" s="92" t="s">
        <v>95</v>
      </c>
      <c r="F26" s="92" t="s">
        <v>95</v>
      </c>
      <c r="G26" s="92">
        <v>1</v>
      </c>
    </row>
    <row r="27" spans="1:7" x14ac:dyDescent="0.25">
      <c r="A27" s="94" t="str">
        <f t="shared" si="0"/>
        <v>BRK0331All consumers</v>
      </c>
      <c r="B27" s="92" t="s">
        <v>162</v>
      </c>
      <c r="C27" s="92" t="s">
        <v>442</v>
      </c>
      <c r="D27" s="92" t="s">
        <v>443</v>
      </c>
      <c r="E27" s="92" t="s">
        <v>95</v>
      </c>
      <c r="F27" s="92" t="s">
        <v>95</v>
      </c>
      <c r="G27" s="92">
        <v>1</v>
      </c>
    </row>
    <row r="28" spans="1:7" x14ac:dyDescent="0.25">
      <c r="A28" s="94" t="str">
        <f t="shared" si="0"/>
        <v>BRY0111All consumers</v>
      </c>
      <c r="B28" s="92" t="s">
        <v>400</v>
      </c>
      <c r="C28" s="92" t="s">
        <v>442</v>
      </c>
      <c r="D28" s="92" t="s">
        <v>443</v>
      </c>
      <c r="E28" s="92" t="s">
        <v>95</v>
      </c>
      <c r="F28" s="92" t="s">
        <v>95</v>
      </c>
      <c r="G28" s="92">
        <v>1</v>
      </c>
    </row>
    <row r="29" spans="1:7" x14ac:dyDescent="0.25">
      <c r="A29" s="94" t="str">
        <f t="shared" si="0"/>
        <v>BRY0661All consumers</v>
      </c>
      <c r="B29" s="92" t="s">
        <v>163</v>
      </c>
      <c r="C29" s="92" t="s">
        <v>442</v>
      </c>
      <c r="D29" s="92" t="s">
        <v>443</v>
      </c>
      <c r="E29" s="92" t="s">
        <v>95</v>
      </c>
      <c r="F29" s="92" t="s">
        <v>95</v>
      </c>
      <c r="G29" s="92">
        <v>1</v>
      </c>
    </row>
    <row r="30" spans="1:7" x14ac:dyDescent="0.25">
      <c r="A30" s="94" t="str">
        <f t="shared" si="0"/>
        <v>BWK1101All consumers</v>
      </c>
      <c r="B30" s="92" t="s">
        <v>164</v>
      </c>
      <c r="C30" s="92" t="s">
        <v>442</v>
      </c>
      <c r="D30" s="92" t="s">
        <v>443</v>
      </c>
      <c r="E30" s="92" t="s">
        <v>95</v>
      </c>
      <c r="F30" s="92" t="s">
        <v>95</v>
      </c>
      <c r="G30" s="92">
        <v>1</v>
      </c>
    </row>
    <row r="31" spans="1:7" x14ac:dyDescent="0.25">
      <c r="A31" s="94" t="str">
        <f t="shared" si="0"/>
        <v>CBG0111All consumers</v>
      </c>
      <c r="B31" s="92" t="s">
        <v>166</v>
      </c>
      <c r="C31" s="92" t="s">
        <v>442</v>
      </c>
      <c r="D31" s="92" t="s">
        <v>443</v>
      </c>
      <c r="E31" s="92" t="s">
        <v>95</v>
      </c>
      <c r="F31" s="92" t="s">
        <v>95</v>
      </c>
      <c r="G31" s="92">
        <v>1</v>
      </c>
    </row>
    <row r="32" spans="1:7" x14ac:dyDescent="0.25">
      <c r="A32" s="94" t="str">
        <f t="shared" si="0"/>
        <v>CLH0111All consumers</v>
      </c>
      <c r="B32" s="92" t="s">
        <v>167</v>
      </c>
      <c r="C32" s="92" t="s">
        <v>442</v>
      </c>
      <c r="D32" s="92" t="s">
        <v>443</v>
      </c>
      <c r="E32" s="92" t="s">
        <v>95</v>
      </c>
      <c r="F32" s="92" t="s">
        <v>95</v>
      </c>
      <c r="G32" s="92">
        <v>1</v>
      </c>
    </row>
    <row r="33" spans="1:7" x14ac:dyDescent="0.25">
      <c r="A33" s="94" t="str">
        <f t="shared" si="0"/>
        <v>CML0331All consumers</v>
      </c>
      <c r="B33" s="92" t="s">
        <v>168</v>
      </c>
      <c r="C33" s="92" t="s">
        <v>442</v>
      </c>
      <c r="D33" s="92" t="s">
        <v>443</v>
      </c>
      <c r="E33" s="92" t="s">
        <v>95</v>
      </c>
      <c r="F33" s="92" t="s">
        <v>95</v>
      </c>
      <c r="G33" s="92">
        <v>1</v>
      </c>
    </row>
    <row r="34" spans="1:7" x14ac:dyDescent="0.25">
      <c r="A34" s="94" t="str">
        <f t="shared" si="0"/>
        <v>COL0111All consumers</v>
      </c>
      <c r="B34" s="92" t="s">
        <v>169</v>
      </c>
      <c r="C34" s="92" t="s">
        <v>442</v>
      </c>
      <c r="D34" s="92" t="s">
        <v>443</v>
      </c>
      <c r="E34" s="92" t="s">
        <v>95</v>
      </c>
      <c r="F34" s="92" t="s">
        <v>95</v>
      </c>
      <c r="G34" s="92">
        <v>1</v>
      </c>
    </row>
    <row r="35" spans="1:7" x14ac:dyDescent="0.25">
      <c r="A35" s="94" t="str">
        <f t="shared" si="0"/>
        <v>COL0661All consumers</v>
      </c>
      <c r="B35" s="92" t="s">
        <v>170</v>
      </c>
      <c r="C35" s="92" t="s">
        <v>442</v>
      </c>
      <c r="D35" s="92" t="s">
        <v>443</v>
      </c>
      <c r="E35" s="92" t="s">
        <v>95</v>
      </c>
      <c r="F35" s="92" t="s">
        <v>95</v>
      </c>
      <c r="G35" s="92">
        <v>1</v>
      </c>
    </row>
    <row r="36" spans="1:7" x14ac:dyDescent="0.25">
      <c r="A36" s="94" t="str">
        <f t="shared" si="0"/>
        <v>CPK0111All consumers</v>
      </c>
      <c r="B36" s="92" t="s">
        <v>172</v>
      </c>
      <c r="C36" s="92" t="s">
        <v>442</v>
      </c>
      <c r="D36" s="92" t="s">
        <v>443</v>
      </c>
      <c r="E36" s="92" t="s">
        <v>95</v>
      </c>
      <c r="F36" s="92" t="s">
        <v>95</v>
      </c>
      <c r="G36" s="92">
        <v>1</v>
      </c>
    </row>
    <row r="37" spans="1:7" x14ac:dyDescent="0.25">
      <c r="A37" s="94" t="str">
        <f t="shared" si="0"/>
        <v>CPK0331All consumers</v>
      </c>
      <c r="B37" s="92" t="s">
        <v>173</v>
      </c>
      <c r="C37" s="92" t="s">
        <v>442</v>
      </c>
      <c r="D37" s="92" t="s">
        <v>443</v>
      </c>
      <c r="E37" s="92" t="s">
        <v>95</v>
      </c>
      <c r="F37" s="92" t="s">
        <v>95</v>
      </c>
      <c r="G37" s="92">
        <v>1</v>
      </c>
    </row>
    <row r="38" spans="1:7" x14ac:dyDescent="0.25">
      <c r="A38" s="94" t="str">
        <f t="shared" si="0"/>
        <v>CST0331All consumers</v>
      </c>
      <c r="B38" s="92" t="s">
        <v>174</v>
      </c>
      <c r="C38" s="92" t="s">
        <v>442</v>
      </c>
      <c r="D38" s="92" t="s">
        <v>443</v>
      </c>
      <c r="E38" s="92" t="s">
        <v>95</v>
      </c>
      <c r="F38" s="92" t="s">
        <v>95</v>
      </c>
      <c r="G38" s="92">
        <v>1</v>
      </c>
    </row>
    <row r="39" spans="1:7" x14ac:dyDescent="0.25">
      <c r="A39" s="94" t="str">
        <f t="shared" si="0"/>
        <v>CUL0331All consumers</v>
      </c>
      <c r="B39" s="92" t="s">
        <v>175</v>
      </c>
      <c r="C39" s="92" t="s">
        <v>442</v>
      </c>
      <c r="D39" s="92" t="s">
        <v>443</v>
      </c>
      <c r="E39" s="92" t="s">
        <v>95</v>
      </c>
      <c r="F39" s="92" t="s">
        <v>95</v>
      </c>
      <c r="G39" s="92">
        <v>1</v>
      </c>
    </row>
    <row r="40" spans="1:7" x14ac:dyDescent="0.25">
      <c r="A40" s="94" t="str">
        <f t="shared" si="0"/>
        <v>CUL0661All consumers</v>
      </c>
      <c r="B40" s="92" t="s">
        <v>176</v>
      </c>
      <c r="C40" s="92" t="s">
        <v>442</v>
      </c>
      <c r="D40" s="92" t="s">
        <v>443</v>
      </c>
      <c r="E40" s="92" t="s">
        <v>95</v>
      </c>
      <c r="F40" s="92" t="s">
        <v>95</v>
      </c>
      <c r="G40" s="92">
        <v>1</v>
      </c>
    </row>
    <row r="41" spans="1:7" x14ac:dyDescent="0.25">
      <c r="A41" s="94" t="str">
        <f t="shared" si="0"/>
        <v>CYD0331All consumers</v>
      </c>
      <c r="B41" s="92" t="s">
        <v>177</v>
      </c>
      <c r="C41" s="92" t="s">
        <v>442</v>
      </c>
      <c r="D41" s="92" t="s">
        <v>443</v>
      </c>
      <c r="E41" s="92" t="s">
        <v>95</v>
      </c>
      <c r="F41" s="92" t="s">
        <v>95</v>
      </c>
      <c r="G41" s="92">
        <v>1</v>
      </c>
    </row>
    <row r="42" spans="1:7" x14ac:dyDescent="0.25">
      <c r="A42" s="94" t="str">
        <f t="shared" si="0"/>
        <v>CYD2201All consumers</v>
      </c>
      <c r="B42" s="92" t="s">
        <v>178</v>
      </c>
      <c r="C42" s="92" t="s">
        <v>442</v>
      </c>
      <c r="D42" s="92" t="s">
        <v>443</v>
      </c>
      <c r="E42" s="92" t="s">
        <v>95</v>
      </c>
      <c r="F42" s="92" t="s">
        <v>95</v>
      </c>
      <c r="G42" s="92">
        <v>1</v>
      </c>
    </row>
    <row r="43" spans="1:7" x14ac:dyDescent="0.25">
      <c r="A43" s="94" t="str">
        <f t="shared" si="0"/>
        <v>DOB0331All consumers</v>
      </c>
      <c r="B43" s="92" t="s">
        <v>180</v>
      </c>
      <c r="C43" s="92" t="s">
        <v>442</v>
      </c>
      <c r="D43" s="92" t="s">
        <v>443</v>
      </c>
      <c r="E43" s="92" t="s">
        <v>95</v>
      </c>
      <c r="F43" s="92" t="s">
        <v>95</v>
      </c>
      <c r="G43" s="92">
        <v>1</v>
      </c>
    </row>
    <row r="44" spans="1:7" x14ac:dyDescent="0.25">
      <c r="A44" s="94" t="str">
        <f t="shared" si="0"/>
        <v>DVK0111All consumers</v>
      </c>
      <c r="B44" s="92" t="s">
        <v>181</v>
      </c>
      <c r="C44" s="92" t="s">
        <v>442</v>
      </c>
      <c r="D44" s="92" t="s">
        <v>443</v>
      </c>
      <c r="E44" s="92" t="s">
        <v>95</v>
      </c>
      <c r="F44" s="92" t="s">
        <v>95</v>
      </c>
      <c r="G44" s="92">
        <v>1</v>
      </c>
    </row>
    <row r="45" spans="1:7" x14ac:dyDescent="0.25">
      <c r="A45" s="94" t="str">
        <f t="shared" si="0"/>
        <v>EDG0331All consumers</v>
      </c>
      <c r="B45" s="92" t="s">
        <v>182</v>
      </c>
      <c r="C45" s="92" t="s">
        <v>442</v>
      </c>
      <c r="D45" s="92" t="s">
        <v>443</v>
      </c>
      <c r="E45" s="92" t="s">
        <v>95</v>
      </c>
      <c r="F45" s="92" t="s">
        <v>95</v>
      </c>
      <c r="G45" s="92">
        <v>1</v>
      </c>
    </row>
    <row r="46" spans="1:7" x14ac:dyDescent="0.25">
      <c r="A46" s="94" t="str">
        <f t="shared" si="0"/>
        <v>EDN0331All consumers</v>
      </c>
      <c r="B46" s="92" t="s">
        <v>183</v>
      </c>
      <c r="C46" s="92" t="s">
        <v>442</v>
      </c>
      <c r="D46" s="92" t="s">
        <v>443</v>
      </c>
      <c r="E46" s="92" t="s">
        <v>95</v>
      </c>
      <c r="F46" s="92" t="s">
        <v>95</v>
      </c>
      <c r="G46" s="92">
        <v>1</v>
      </c>
    </row>
    <row r="47" spans="1:7" x14ac:dyDescent="0.25">
      <c r="A47" s="94" t="str">
        <f t="shared" si="0"/>
        <v>FHL0331All consumers</v>
      </c>
      <c r="B47" s="92" t="s">
        <v>184</v>
      </c>
      <c r="C47" s="92" t="s">
        <v>442</v>
      </c>
      <c r="D47" s="92" t="s">
        <v>443</v>
      </c>
      <c r="E47" s="92" t="s">
        <v>95</v>
      </c>
      <c r="F47" s="92" t="s">
        <v>95</v>
      </c>
      <c r="G47" s="92">
        <v>1</v>
      </c>
    </row>
    <row r="48" spans="1:7" x14ac:dyDescent="0.25">
      <c r="A48" s="94" t="str">
        <f t="shared" si="0"/>
        <v>FKN0331All consumers</v>
      </c>
      <c r="B48" s="92" t="s">
        <v>185</v>
      </c>
      <c r="C48" s="92" t="s">
        <v>442</v>
      </c>
      <c r="D48" s="92" t="s">
        <v>443</v>
      </c>
      <c r="E48" s="92" t="s">
        <v>95</v>
      </c>
      <c r="F48" s="92" t="s">
        <v>95</v>
      </c>
      <c r="G48" s="92">
        <v>1</v>
      </c>
    </row>
    <row r="49" spans="1:7" x14ac:dyDescent="0.25">
      <c r="A49" s="94" t="str">
        <f t="shared" si="0"/>
        <v>GFD0331All consumers</v>
      </c>
      <c r="B49" s="92" t="s">
        <v>186</v>
      </c>
      <c r="C49" s="92" t="s">
        <v>442</v>
      </c>
      <c r="D49" s="92" t="s">
        <v>443</v>
      </c>
      <c r="E49" s="92" t="s">
        <v>95</v>
      </c>
      <c r="F49" s="92" t="s">
        <v>95</v>
      </c>
      <c r="G49" s="92">
        <v>1</v>
      </c>
    </row>
    <row r="50" spans="1:7" x14ac:dyDescent="0.25">
      <c r="A50" s="94" t="str">
        <f t="shared" si="0"/>
        <v>GIS0501All consumers</v>
      </c>
      <c r="B50" s="92" t="s">
        <v>401</v>
      </c>
      <c r="C50" s="92" t="s">
        <v>442</v>
      </c>
      <c r="D50" s="92" t="s">
        <v>443</v>
      </c>
      <c r="E50" s="92" t="s">
        <v>95</v>
      </c>
      <c r="F50" s="92" t="s">
        <v>95</v>
      </c>
      <c r="G50" s="92">
        <v>1</v>
      </c>
    </row>
    <row r="51" spans="1:7" x14ac:dyDescent="0.25">
      <c r="A51" s="94" t="str">
        <f t="shared" si="0"/>
        <v>GLN0331All consumers</v>
      </c>
      <c r="B51" s="92" t="s">
        <v>402</v>
      </c>
      <c r="C51" s="92" t="s">
        <v>442</v>
      </c>
      <c r="D51" s="92" t="s">
        <v>443</v>
      </c>
      <c r="E51" s="92" t="s">
        <v>95</v>
      </c>
      <c r="F51" s="92" t="s">
        <v>95</v>
      </c>
      <c r="G51" s="92">
        <v>1</v>
      </c>
    </row>
    <row r="52" spans="1:7" x14ac:dyDescent="0.25">
      <c r="A52" s="94" t="str">
        <f t="shared" si="0"/>
        <v>GLN0332All consumers</v>
      </c>
      <c r="B52" s="92" t="s">
        <v>403</v>
      </c>
      <c r="C52" s="92" t="s">
        <v>442</v>
      </c>
      <c r="D52" s="92" t="s">
        <v>443</v>
      </c>
      <c r="E52" s="92" t="s">
        <v>95</v>
      </c>
      <c r="F52" s="92" t="s">
        <v>95</v>
      </c>
      <c r="G52" s="92">
        <v>1</v>
      </c>
    </row>
    <row r="53" spans="1:7" x14ac:dyDescent="0.25">
      <c r="A53" s="94" t="str">
        <f t="shared" si="0"/>
        <v>GOR0331All consumers</v>
      </c>
      <c r="B53" s="92" t="s">
        <v>189</v>
      </c>
      <c r="C53" s="92" t="s">
        <v>442</v>
      </c>
      <c r="D53" s="92" t="s">
        <v>443</v>
      </c>
      <c r="E53" s="92" t="s">
        <v>95</v>
      </c>
      <c r="F53" s="92" t="s">
        <v>95</v>
      </c>
      <c r="G53" s="92">
        <v>1</v>
      </c>
    </row>
    <row r="54" spans="1:7" x14ac:dyDescent="0.25">
      <c r="A54" s="94" t="str">
        <f t="shared" si="0"/>
        <v>GYM0661All consumers</v>
      </c>
      <c r="B54" s="92" t="s">
        <v>190</v>
      </c>
      <c r="C54" s="92" t="s">
        <v>442</v>
      </c>
      <c r="D54" s="92" t="s">
        <v>443</v>
      </c>
      <c r="E54" s="92" t="s">
        <v>95</v>
      </c>
      <c r="F54" s="92" t="s">
        <v>95</v>
      </c>
      <c r="G54" s="92">
        <v>1</v>
      </c>
    </row>
    <row r="55" spans="1:7" x14ac:dyDescent="0.25">
      <c r="A55" s="94" t="str">
        <f t="shared" si="0"/>
        <v>GYT0331All consumers</v>
      </c>
      <c r="B55" s="92" t="s">
        <v>191</v>
      </c>
      <c r="C55" s="92" t="s">
        <v>442</v>
      </c>
      <c r="D55" s="92" t="s">
        <v>443</v>
      </c>
      <c r="E55" s="92" t="s">
        <v>95</v>
      </c>
      <c r="F55" s="92" t="s">
        <v>95</v>
      </c>
      <c r="G55" s="92">
        <v>1</v>
      </c>
    </row>
    <row r="56" spans="1:7" x14ac:dyDescent="0.25">
      <c r="A56" s="94" t="str">
        <f t="shared" si="0"/>
        <v>HAM0111All consumers</v>
      </c>
      <c r="B56" s="92" t="s">
        <v>192</v>
      </c>
      <c r="C56" s="92" t="s">
        <v>442</v>
      </c>
      <c r="D56" s="92" t="s">
        <v>443</v>
      </c>
      <c r="E56" s="92" t="s">
        <v>95</v>
      </c>
      <c r="F56" s="92" t="s">
        <v>95</v>
      </c>
      <c r="G56" s="92">
        <v>1</v>
      </c>
    </row>
    <row r="57" spans="1:7" x14ac:dyDescent="0.25">
      <c r="A57" s="94" t="str">
        <f t="shared" si="0"/>
        <v>HAM0331All consumers</v>
      </c>
      <c r="B57" s="92" t="s">
        <v>193</v>
      </c>
      <c r="C57" s="92" t="s">
        <v>442</v>
      </c>
      <c r="D57" s="92" t="s">
        <v>443</v>
      </c>
      <c r="E57" s="92" t="s">
        <v>95</v>
      </c>
      <c r="F57" s="92" t="s">
        <v>95</v>
      </c>
      <c r="G57" s="92">
        <v>1</v>
      </c>
    </row>
    <row r="58" spans="1:7" x14ac:dyDescent="0.25">
      <c r="A58" s="94" t="str">
        <f t="shared" si="0"/>
        <v>HAM0551All consumers</v>
      </c>
      <c r="B58" s="92" t="s">
        <v>194</v>
      </c>
      <c r="C58" s="92" t="s">
        <v>442</v>
      </c>
      <c r="D58" s="92" t="s">
        <v>443</v>
      </c>
      <c r="E58" s="92" t="s">
        <v>95</v>
      </c>
      <c r="F58" s="92" t="s">
        <v>95</v>
      </c>
      <c r="G58" s="92">
        <v>1</v>
      </c>
    </row>
    <row r="59" spans="1:7" x14ac:dyDescent="0.25">
      <c r="A59" s="94" t="str">
        <f t="shared" si="0"/>
        <v>HAY0111All consumers</v>
      </c>
      <c r="B59" s="92" t="s">
        <v>195</v>
      </c>
      <c r="C59" s="92" t="s">
        <v>442</v>
      </c>
      <c r="D59" s="92" t="s">
        <v>443</v>
      </c>
      <c r="E59" s="92" t="s">
        <v>95</v>
      </c>
      <c r="F59" s="92" t="s">
        <v>95</v>
      </c>
      <c r="G59" s="92">
        <v>1</v>
      </c>
    </row>
    <row r="60" spans="1:7" x14ac:dyDescent="0.25">
      <c r="A60" s="94" t="str">
        <f t="shared" si="0"/>
        <v>HAY0331All consumers</v>
      </c>
      <c r="B60" s="92" t="s">
        <v>196</v>
      </c>
      <c r="C60" s="92" t="s">
        <v>442</v>
      </c>
      <c r="D60" s="92" t="s">
        <v>443</v>
      </c>
      <c r="E60" s="92" t="s">
        <v>95</v>
      </c>
      <c r="F60" s="92" t="s">
        <v>95</v>
      </c>
      <c r="G60" s="92">
        <v>1</v>
      </c>
    </row>
    <row r="61" spans="1:7" x14ac:dyDescent="0.25">
      <c r="A61" s="94" t="str">
        <f t="shared" si="0"/>
        <v>HEN0331All consumers</v>
      </c>
      <c r="B61" s="92" t="s">
        <v>197</v>
      </c>
      <c r="C61" s="92" t="s">
        <v>442</v>
      </c>
      <c r="D61" s="92" t="s">
        <v>443</v>
      </c>
      <c r="E61" s="92" t="s">
        <v>95</v>
      </c>
      <c r="F61" s="92" t="s">
        <v>95</v>
      </c>
      <c r="G61" s="92">
        <v>1</v>
      </c>
    </row>
    <row r="62" spans="1:7" x14ac:dyDescent="0.25">
      <c r="A62" s="94" t="str">
        <f t="shared" si="0"/>
        <v>HEP0331All consumers</v>
      </c>
      <c r="B62" s="92" t="s">
        <v>198</v>
      </c>
      <c r="C62" s="92" t="s">
        <v>442</v>
      </c>
      <c r="D62" s="92" t="s">
        <v>443</v>
      </c>
      <c r="E62" s="92" t="s">
        <v>95</v>
      </c>
      <c r="F62" s="92" t="s">
        <v>95</v>
      </c>
      <c r="G62" s="92">
        <v>1</v>
      </c>
    </row>
    <row r="63" spans="1:7" x14ac:dyDescent="0.25">
      <c r="A63" s="94" t="str">
        <f t="shared" si="0"/>
        <v>HIN0331All consumers</v>
      </c>
      <c r="B63" s="92" t="s">
        <v>199</v>
      </c>
      <c r="C63" s="92" t="s">
        <v>442</v>
      </c>
      <c r="D63" s="92" t="s">
        <v>443</v>
      </c>
      <c r="E63" s="92" t="s">
        <v>95</v>
      </c>
      <c r="F63" s="92" t="s">
        <v>95</v>
      </c>
      <c r="G63" s="92">
        <v>1</v>
      </c>
    </row>
    <row r="64" spans="1:7" x14ac:dyDescent="0.25">
      <c r="A64" s="94" t="str">
        <f t="shared" si="0"/>
        <v>HKK0661All consumers</v>
      </c>
      <c r="B64" s="92" t="s">
        <v>200</v>
      </c>
      <c r="C64" s="92" t="s">
        <v>442</v>
      </c>
      <c r="D64" s="92" t="s">
        <v>443</v>
      </c>
      <c r="E64" s="92" t="s">
        <v>95</v>
      </c>
      <c r="F64" s="92" t="s">
        <v>95</v>
      </c>
      <c r="G64" s="92">
        <v>1</v>
      </c>
    </row>
    <row r="65" spans="1:21" x14ac:dyDescent="0.25">
      <c r="A65" s="94" t="str">
        <f t="shared" si="0"/>
        <v>HLY0331All consumers</v>
      </c>
      <c r="B65" s="92" t="s">
        <v>201</v>
      </c>
      <c r="C65" s="92" t="s">
        <v>442</v>
      </c>
      <c r="D65" s="92" t="s">
        <v>443</v>
      </c>
      <c r="E65" s="92" t="s">
        <v>95</v>
      </c>
      <c r="F65" s="92" t="s">
        <v>95</v>
      </c>
      <c r="G65" s="92">
        <v>1</v>
      </c>
    </row>
    <row r="66" spans="1:21" s="190" customFormat="1" x14ac:dyDescent="0.25">
      <c r="A66" s="94" t="str">
        <f t="shared" si="0"/>
        <v>HOB1101All consumers</v>
      </c>
      <c r="B66" s="92" t="s">
        <v>206</v>
      </c>
      <c r="C66" s="92" t="s">
        <v>442</v>
      </c>
      <c r="D66" s="92" t="s">
        <v>443</v>
      </c>
      <c r="E66" s="92" t="s">
        <v>95</v>
      </c>
      <c r="F66" s="92" t="s">
        <v>95</v>
      </c>
      <c r="G66" s="92">
        <v>1</v>
      </c>
      <c r="K66" s="20"/>
      <c r="L66" s="20"/>
      <c r="M66" s="20"/>
      <c r="N66" s="20"/>
      <c r="O66" s="20"/>
      <c r="P66" s="20"/>
      <c r="Q66" s="20"/>
      <c r="R66" s="20"/>
      <c r="S66" s="20"/>
      <c r="T66" s="20"/>
      <c r="U66" s="20"/>
    </row>
    <row r="67" spans="1:21" x14ac:dyDescent="0.25">
      <c r="A67" s="94" t="str">
        <f t="shared" si="0"/>
        <v>HOR0331All consumers</v>
      </c>
      <c r="B67" s="92" t="s">
        <v>207</v>
      </c>
      <c r="C67" s="92" t="s">
        <v>442</v>
      </c>
      <c r="D67" s="92" t="s">
        <v>443</v>
      </c>
      <c r="E67" s="92" t="s">
        <v>95</v>
      </c>
      <c r="F67" s="92" t="s">
        <v>95</v>
      </c>
      <c r="G67" s="92">
        <v>1</v>
      </c>
    </row>
    <row r="68" spans="1:21" x14ac:dyDescent="0.25">
      <c r="A68" s="94" t="str">
        <f t="shared" si="0"/>
        <v>HOR0661All consumers</v>
      </c>
      <c r="B68" s="92" t="s">
        <v>208</v>
      </c>
      <c r="C68" s="92" t="s">
        <v>442</v>
      </c>
      <c r="D68" s="92" t="s">
        <v>443</v>
      </c>
      <c r="E68" s="92" t="s">
        <v>95</v>
      </c>
      <c r="F68" s="92" t="s">
        <v>95</v>
      </c>
      <c r="G68" s="92">
        <v>1</v>
      </c>
    </row>
    <row r="69" spans="1:21" x14ac:dyDescent="0.25">
      <c r="A69" s="94" t="str">
        <f t="shared" si="0"/>
        <v>HTI0331All consumers</v>
      </c>
      <c r="B69" s="92" t="s">
        <v>209</v>
      </c>
      <c r="C69" s="92" t="s">
        <v>442</v>
      </c>
      <c r="D69" s="92" t="s">
        <v>443</v>
      </c>
      <c r="E69" s="92" t="s">
        <v>95</v>
      </c>
      <c r="F69" s="92" t="s">
        <v>95</v>
      </c>
      <c r="G69" s="92">
        <v>1</v>
      </c>
    </row>
    <row r="70" spans="1:21" x14ac:dyDescent="0.25">
      <c r="A70" s="94" t="str">
        <f t="shared" si="0"/>
        <v>HUI0331All consumers</v>
      </c>
      <c r="B70" s="92" t="s">
        <v>210</v>
      </c>
      <c r="C70" s="92" t="s">
        <v>442</v>
      </c>
      <c r="D70" s="92" t="s">
        <v>443</v>
      </c>
      <c r="E70" s="92" t="s">
        <v>95</v>
      </c>
      <c r="F70" s="92" t="s">
        <v>95</v>
      </c>
      <c r="G70" s="92">
        <v>1</v>
      </c>
    </row>
    <row r="71" spans="1:21" x14ac:dyDescent="0.25">
      <c r="A71" s="94" t="str">
        <f t="shared" si="0"/>
        <v>HWA0331All consumers</v>
      </c>
      <c r="B71" s="92" t="s">
        <v>211</v>
      </c>
      <c r="C71" s="92" t="s">
        <v>442</v>
      </c>
      <c r="D71" s="92" t="s">
        <v>443</v>
      </c>
      <c r="E71" s="92" t="s">
        <v>95</v>
      </c>
      <c r="F71" s="92" t="s">
        <v>95</v>
      </c>
      <c r="G71" s="92">
        <v>1</v>
      </c>
    </row>
    <row r="72" spans="1:21" x14ac:dyDescent="0.25">
      <c r="A72" s="94" t="str">
        <f t="shared" ref="A72:A135" si="1">B72&amp;C72</f>
        <v>HWA0332All consumers</v>
      </c>
      <c r="B72" s="92" t="s">
        <v>212</v>
      </c>
      <c r="C72" s="92" t="s">
        <v>442</v>
      </c>
      <c r="D72" s="92" t="s">
        <v>443</v>
      </c>
      <c r="E72" s="92" t="s">
        <v>95</v>
      </c>
      <c r="F72" s="92" t="s">
        <v>95</v>
      </c>
      <c r="G72" s="92">
        <v>1</v>
      </c>
    </row>
    <row r="73" spans="1:21" x14ac:dyDescent="0.25">
      <c r="A73" s="94" t="str">
        <f t="shared" si="1"/>
        <v>HWA1101All consumers</v>
      </c>
      <c r="B73" s="92" t="s">
        <v>213</v>
      </c>
      <c r="C73" s="92" t="s">
        <v>442</v>
      </c>
      <c r="D73" s="92" t="s">
        <v>443</v>
      </c>
      <c r="E73" s="92" t="s">
        <v>95</v>
      </c>
      <c r="F73" s="92" t="s">
        <v>95</v>
      </c>
      <c r="G73" s="92">
        <v>1</v>
      </c>
    </row>
    <row r="74" spans="1:21" x14ac:dyDescent="0.25">
      <c r="A74" s="94" t="str">
        <f t="shared" si="1"/>
        <v>HWA1102All consumers</v>
      </c>
      <c r="B74" s="92" t="s">
        <v>217</v>
      </c>
      <c r="C74" s="92" t="s">
        <v>442</v>
      </c>
      <c r="D74" s="92" t="s">
        <v>443</v>
      </c>
      <c r="E74" s="92" t="s">
        <v>95</v>
      </c>
      <c r="F74" s="92" t="s">
        <v>95</v>
      </c>
      <c r="G74" s="92">
        <v>1</v>
      </c>
    </row>
    <row r="75" spans="1:21" x14ac:dyDescent="0.25">
      <c r="A75" s="94" t="str">
        <f t="shared" si="1"/>
        <v>HWB0331All consumers</v>
      </c>
      <c r="B75" s="92" t="s">
        <v>220</v>
      </c>
      <c r="C75" s="92" t="s">
        <v>442</v>
      </c>
      <c r="D75" s="92" t="s">
        <v>443</v>
      </c>
      <c r="E75" s="92" t="s">
        <v>95</v>
      </c>
      <c r="F75" s="92" t="s">
        <v>95</v>
      </c>
      <c r="G75" s="92">
        <v>1</v>
      </c>
    </row>
    <row r="76" spans="1:21" x14ac:dyDescent="0.25">
      <c r="A76" s="94" t="str">
        <f t="shared" si="1"/>
        <v>HWB0332All consumers</v>
      </c>
      <c r="B76" s="92" t="s">
        <v>222</v>
      </c>
      <c r="C76" s="92" t="s">
        <v>442</v>
      </c>
      <c r="D76" s="92" t="s">
        <v>443</v>
      </c>
      <c r="E76" s="92" t="s">
        <v>95</v>
      </c>
      <c r="F76" s="92" t="s">
        <v>95</v>
      </c>
      <c r="G76" s="92">
        <v>1</v>
      </c>
    </row>
    <row r="77" spans="1:21" x14ac:dyDescent="0.25">
      <c r="A77" s="94" t="str">
        <f t="shared" si="1"/>
        <v>HWB1101All consumers</v>
      </c>
      <c r="B77" s="92" t="s">
        <v>223</v>
      </c>
      <c r="C77" s="92" t="s">
        <v>442</v>
      </c>
      <c r="D77" s="92" t="s">
        <v>443</v>
      </c>
      <c r="E77" s="92" t="s">
        <v>95</v>
      </c>
      <c r="F77" s="92" t="s">
        <v>95</v>
      </c>
      <c r="G77" s="92">
        <v>1</v>
      </c>
    </row>
    <row r="78" spans="1:21" x14ac:dyDescent="0.25">
      <c r="A78" s="94" t="str">
        <f t="shared" si="1"/>
        <v>INV0331All consumers</v>
      </c>
      <c r="B78" s="92" t="s">
        <v>224</v>
      </c>
      <c r="C78" s="92" t="s">
        <v>442</v>
      </c>
      <c r="D78" s="92" t="s">
        <v>443</v>
      </c>
      <c r="E78" s="92" t="s">
        <v>95</v>
      </c>
      <c r="F78" s="92" t="s">
        <v>95</v>
      </c>
      <c r="G78" s="92">
        <v>1</v>
      </c>
    </row>
    <row r="79" spans="1:21" x14ac:dyDescent="0.25">
      <c r="A79" s="94" t="str">
        <f t="shared" si="1"/>
        <v>ISL0331All consumers</v>
      </c>
      <c r="B79" s="92" t="s">
        <v>225</v>
      </c>
      <c r="C79" s="92" t="s">
        <v>442</v>
      </c>
      <c r="D79" s="92" t="s">
        <v>443</v>
      </c>
      <c r="E79" s="92" t="s">
        <v>95</v>
      </c>
      <c r="F79" s="92" t="s">
        <v>95</v>
      </c>
      <c r="G79" s="92">
        <v>1</v>
      </c>
    </row>
    <row r="80" spans="1:21" x14ac:dyDescent="0.25">
      <c r="A80" s="94" t="str">
        <f t="shared" si="1"/>
        <v>ISL0661All consumers</v>
      </c>
      <c r="B80" s="92" t="s">
        <v>226</v>
      </c>
      <c r="C80" s="92" t="s">
        <v>442</v>
      </c>
      <c r="D80" s="92" t="s">
        <v>443</v>
      </c>
      <c r="E80" s="92" t="s">
        <v>95</v>
      </c>
      <c r="F80" s="92" t="s">
        <v>95</v>
      </c>
      <c r="G80" s="92">
        <v>1</v>
      </c>
    </row>
    <row r="81" spans="1:7" x14ac:dyDescent="0.25">
      <c r="A81" s="94" t="str">
        <f t="shared" si="1"/>
        <v>KAI0111All consumers</v>
      </c>
      <c r="B81" s="92" t="s">
        <v>227</v>
      </c>
      <c r="C81" s="92" t="s">
        <v>442</v>
      </c>
      <c r="D81" s="92" t="s">
        <v>443</v>
      </c>
      <c r="E81" s="92" t="s">
        <v>95</v>
      </c>
      <c r="F81" s="92" t="s">
        <v>95</v>
      </c>
      <c r="G81" s="92">
        <v>1</v>
      </c>
    </row>
    <row r="82" spans="1:7" x14ac:dyDescent="0.25">
      <c r="A82" s="94" t="str">
        <f t="shared" si="1"/>
        <v>KAW0111All consumers</v>
      </c>
      <c r="B82" s="92" t="s">
        <v>229</v>
      </c>
      <c r="C82" s="92" t="s">
        <v>442</v>
      </c>
      <c r="D82" s="92" t="s">
        <v>443</v>
      </c>
      <c r="E82" s="92" t="s">
        <v>95</v>
      </c>
      <c r="F82" s="92" t="s">
        <v>95</v>
      </c>
      <c r="G82" s="92">
        <v>1</v>
      </c>
    </row>
    <row r="83" spans="1:7" x14ac:dyDescent="0.25">
      <c r="A83" s="94" t="str">
        <f t="shared" si="1"/>
        <v>KAW0112All consumers</v>
      </c>
      <c r="B83" s="92" t="s">
        <v>404</v>
      </c>
      <c r="C83" s="92" t="s">
        <v>442</v>
      </c>
      <c r="D83" s="92" t="s">
        <v>443</v>
      </c>
      <c r="E83" s="92" t="s">
        <v>95</v>
      </c>
      <c r="F83" s="92" t="s">
        <v>95</v>
      </c>
      <c r="G83" s="92">
        <v>1</v>
      </c>
    </row>
    <row r="84" spans="1:7" x14ac:dyDescent="0.25">
      <c r="A84" s="94" t="str">
        <f t="shared" si="1"/>
        <v>KAW0113All consumers</v>
      </c>
      <c r="B84" s="92" t="s">
        <v>405</v>
      </c>
      <c r="C84" s="92" t="s">
        <v>442</v>
      </c>
      <c r="D84" s="92" t="s">
        <v>443</v>
      </c>
      <c r="E84" s="92" t="s">
        <v>95</v>
      </c>
      <c r="F84" s="92" t="s">
        <v>95</v>
      </c>
      <c r="G84" s="92">
        <v>1</v>
      </c>
    </row>
    <row r="85" spans="1:7" x14ac:dyDescent="0.25">
      <c r="A85" s="94" t="str">
        <f t="shared" si="1"/>
        <v>KAW1101All consumers</v>
      </c>
      <c r="B85" s="92" t="s">
        <v>406</v>
      </c>
      <c r="C85" s="92" t="s">
        <v>442</v>
      </c>
      <c r="D85" s="92" t="s">
        <v>443</v>
      </c>
      <c r="E85" s="92" t="s">
        <v>95</v>
      </c>
      <c r="F85" s="92" t="s">
        <v>95</v>
      </c>
      <c r="G85" s="92">
        <v>1</v>
      </c>
    </row>
    <row r="86" spans="1:7" x14ac:dyDescent="0.25">
      <c r="A86" s="94" t="str">
        <f t="shared" si="1"/>
        <v>KBY0661All consumers</v>
      </c>
      <c r="B86" s="92" t="s">
        <v>230</v>
      </c>
      <c r="C86" s="92" t="s">
        <v>442</v>
      </c>
      <c r="D86" s="92" t="s">
        <v>443</v>
      </c>
      <c r="E86" s="92" t="s">
        <v>95</v>
      </c>
      <c r="F86" s="92" t="s">
        <v>95</v>
      </c>
      <c r="G86" s="92">
        <v>1</v>
      </c>
    </row>
    <row r="87" spans="1:7" x14ac:dyDescent="0.25">
      <c r="A87" s="94" t="str">
        <f t="shared" si="1"/>
        <v>KBY0662All consumers</v>
      </c>
      <c r="B87" s="92" t="s">
        <v>231</v>
      </c>
      <c r="C87" s="92" t="s">
        <v>442</v>
      </c>
      <c r="D87" s="92" t="s">
        <v>443</v>
      </c>
      <c r="E87" s="92" t="s">
        <v>95</v>
      </c>
      <c r="F87" s="92" t="s">
        <v>95</v>
      </c>
      <c r="G87" s="92">
        <v>1</v>
      </c>
    </row>
    <row r="88" spans="1:7" x14ac:dyDescent="0.25">
      <c r="A88" s="94" t="str">
        <f t="shared" si="1"/>
        <v>KEN0331All consumers</v>
      </c>
      <c r="B88" s="92" t="s">
        <v>407</v>
      </c>
      <c r="C88" s="92" t="s">
        <v>442</v>
      </c>
      <c r="D88" s="92" t="s">
        <v>443</v>
      </c>
      <c r="E88" s="92" t="s">
        <v>95</v>
      </c>
      <c r="F88" s="92" t="s">
        <v>95</v>
      </c>
      <c r="G88" s="92">
        <v>1</v>
      </c>
    </row>
    <row r="89" spans="1:7" x14ac:dyDescent="0.25">
      <c r="A89" s="94" t="str">
        <f t="shared" si="1"/>
        <v>KIK0111All consumers</v>
      </c>
      <c r="B89" s="92" t="s">
        <v>232</v>
      </c>
      <c r="C89" s="92" t="s">
        <v>442</v>
      </c>
      <c r="D89" s="92" t="s">
        <v>443</v>
      </c>
      <c r="E89" s="92" t="s">
        <v>95</v>
      </c>
      <c r="F89" s="92" t="s">
        <v>95</v>
      </c>
      <c r="G89" s="92">
        <v>1</v>
      </c>
    </row>
    <row r="90" spans="1:7" x14ac:dyDescent="0.25">
      <c r="A90" s="94" t="str">
        <f t="shared" si="1"/>
        <v>KIN0111All consumers</v>
      </c>
      <c r="B90" s="92" t="s">
        <v>408</v>
      </c>
      <c r="C90" s="92" t="s">
        <v>442</v>
      </c>
      <c r="D90" s="92" t="s">
        <v>443</v>
      </c>
      <c r="E90" s="92" t="s">
        <v>95</v>
      </c>
      <c r="F90" s="92" t="s">
        <v>95</v>
      </c>
      <c r="G90" s="92">
        <v>1</v>
      </c>
    </row>
    <row r="91" spans="1:7" x14ac:dyDescent="0.25">
      <c r="A91" s="94" t="str">
        <f t="shared" si="1"/>
        <v>KIN0112All consumers</v>
      </c>
      <c r="B91" s="92" t="s">
        <v>409</v>
      </c>
      <c r="C91" s="92" t="s">
        <v>442</v>
      </c>
      <c r="D91" s="92" t="s">
        <v>443</v>
      </c>
      <c r="E91" s="92" t="s">
        <v>95</v>
      </c>
      <c r="F91" s="92" t="s">
        <v>95</v>
      </c>
      <c r="G91" s="92">
        <v>1</v>
      </c>
    </row>
    <row r="92" spans="1:7" x14ac:dyDescent="0.25">
      <c r="A92" s="94" t="str">
        <f t="shared" si="1"/>
        <v>KIN0113All consumers</v>
      </c>
      <c r="B92" s="92" t="s">
        <v>410</v>
      </c>
      <c r="C92" s="92" t="s">
        <v>442</v>
      </c>
      <c r="D92" s="92" t="s">
        <v>443</v>
      </c>
      <c r="E92" s="92" t="s">
        <v>95</v>
      </c>
      <c r="F92" s="92" t="s">
        <v>95</v>
      </c>
      <c r="G92" s="92">
        <v>1</v>
      </c>
    </row>
    <row r="93" spans="1:7" x14ac:dyDescent="0.25">
      <c r="A93" s="94" t="str">
        <f t="shared" si="1"/>
        <v>KIN0331All consumers</v>
      </c>
      <c r="B93" s="92" t="s">
        <v>234</v>
      </c>
      <c r="C93" s="92" t="s">
        <v>442</v>
      </c>
      <c r="D93" s="92" t="s">
        <v>443</v>
      </c>
      <c r="E93" s="92" t="s">
        <v>95</v>
      </c>
      <c r="F93" s="92" t="s">
        <v>95</v>
      </c>
      <c r="G93" s="92">
        <v>1</v>
      </c>
    </row>
    <row r="94" spans="1:7" x14ac:dyDescent="0.25">
      <c r="A94" s="94" t="str">
        <f t="shared" si="1"/>
        <v>KMO0331All consumers</v>
      </c>
      <c r="B94" s="92" t="s">
        <v>235</v>
      </c>
      <c r="C94" s="92" t="s">
        <v>442</v>
      </c>
      <c r="D94" s="92" t="s">
        <v>443</v>
      </c>
      <c r="E94" s="92" t="s">
        <v>95</v>
      </c>
      <c r="F94" s="92" t="s">
        <v>95</v>
      </c>
      <c r="G94" s="92">
        <v>1</v>
      </c>
    </row>
    <row r="95" spans="1:7" x14ac:dyDescent="0.25">
      <c r="A95" s="94" t="str">
        <f t="shared" si="1"/>
        <v>KOE1101All consumers</v>
      </c>
      <c r="B95" s="92" t="s">
        <v>236</v>
      </c>
      <c r="C95" s="92" t="s">
        <v>442</v>
      </c>
      <c r="D95" s="92" t="s">
        <v>443</v>
      </c>
      <c r="E95" s="92" t="s">
        <v>95</v>
      </c>
      <c r="F95" s="92" t="s">
        <v>95</v>
      </c>
      <c r="G95" s="92">
        <v>1</v>
      </c>
    </row>
    <row r="96" spans="1:7" x14ac:dyDescent="0.25">
      <c r="A96" s="94" t="str">
        <f t="shared" si="1"/>
        <v>KPA1101All consumers</v>
      </c>
      <c r="B96" s="92" t="s">
        <v>411</v>
      </c>
      <c r="C96" s="92" t="s">
        <v>442</v>
      </c>
      <c r="D96" s="92" t="s">
        <v>443</v>
      </c>
      <c r="E96" s="92" t="s">
        <v>95</v>
      </c>
      <c r="F96" s="92" t="s">
        <v>95</v>
      </c>
      <c r="G96" s="92">
        <v>1</v>
      </c>
    </row>
    <row r="97" spans="1:7" x14ac:dyDescent="0.25">
      <c r="A97" s="94" t="str">
        <f t="shared" si="1"/>
        <v>KPU0661All consumers</v>
      </c>
      <c r="B97" s="92" t="s">
        <v>240</v>
      </c>
      <c r="C97" s="92" t="s">
        <v>442</v>
      </c>
      <c r="D97" s="92" t="s">
        <v>443</v>
      </c>
      <c r="E97" s="92" t="s">
        <v>95</v>
      </c>
      <c r="F97" s="92" t="s">
        <v>95</v>
      </c>
      <c r="G97" s="92">
        <v>1</v>
      </c>
    </row>
    <row r="98" spans="1:7" x14ac:dyDescent="0.25">
      <c r="A98" s="94" t="str">
        <f t="shared" si="1"/>
        <v>KUM0661All consumers</v>
      </c>
      <c r="B98" s="92" t="s">
        <v>241</v>
      </c>
      <c r="C98" s="92" t="s">
        <v>442</v>
      </c>
      <c r="D98" s="92" t="s">
        <v>443</v>
      </c>
      <c r="E98" s="92" t="s">
        <v>95</v>
      </c>
      <c r="F98" s="92" t="s">
        <v>95</v>
      </c>
      <c r="G98" s="92">
        <v>1</v>
      </c>
    </row>
    <row r="99" spans="1:7" x14ac:dyDescent="0.25">
      <c r="A99" s="94" t="str">
        <f t="shared" si="1"/>
        <v>KWA0111All consumers</v>
      </c>
      <c r="B99" s="92" t="s">
        <v>243</v>
      </c>
      <c r="C99" s="92" t="s">
        <v>442</v>
      </c>
      <c r="D99" s="92" t="s">
        <v>443</v>
      </c>
      <c r="E99" s="92" t="s">
        <v>95</v>
      </c>
      <c r="F99" s="92" t="s">
        <v>95</v>
      </c>
      <c r="G99" s="92">
        <v>1</v>
      </c>
    </row>
    <row r="100" spans="1:7" x14ac:dyDescent="0.25">
      <c r="A100" s="94" t="str">
        <f t="shared" si="1"/>
        <v>LFD1101All consumers</v>
      </c>
      <c r="B100" s="92" t="s">
        <v>244</v>
      </c>
      <c r="C100" s="92" t="s">
        <v>442</v>
      </c>
      <c r="D100" s="92" t="s">
        <v>443</v>
      </c>
      <c r="E100" s="92" t="s">
        <v>95</v>
      </c>
      <c r="F100" s="92" t="s">
        <v>95</v>
      </c>
      <c r="G100" s="92">
        <v>1</v>
      </c>
    </row>
    <row r="101" spans="1:7" x14ac:dyDescent="0.25">
      <c r="A101" s="94" t="str">
        <f t="shared" si="1"/>
        <v>LFD1102All consumers</v>
      </c>
      <c r="B101" s="92" t="s">
        <v>245</v>
      </c>
      <c r="C101" s="92" t="s">
        <v>442</v>
      </c>
      <c r="D101" s="92" t="s">
        <v>443</v>
      </c>
      <c r="E101" s="92" t="s">
        <v>95</v>
      </c>
      <c r="F101" s="92" t="s">
        <v>95</v>
      </c>
      <c r="G101" s="92">
        <v>1</v>
      </c>
    </row>
    <row r="102" spans="1:7" x14ac:dyDescent="0.25">
      <c r="A102" s="94" t="str">
        <f t="shared" si="1"/>
        <v>LTN0331All consumers</v>
      </c>
      <c r="B102" s="92" t="s">
        <v>246</v>
      </c>
      <c r="C102" s="92" t="s">
        <v>442</v>
      </c>
      <c r="D102" s="92" t="s">
        <v>443</v>
      </c>
      <c r="E102" s="92" t="s">
        <v>95</v>
      </c>
      <c r="F102" s="92" t="s">
        <v>95</v>
      </c>
      <c r="G102" s="92">
        <v>1</v>
      </c>
    </row>
    <row r="103" spans="1:7" x14ac:dyDescent="0.25">
      <c r="A103" s="94" t="str">
        <f t="shared" si="1"/>
        <v>MAN2201All consumers</v>
      </c>
      <c r="B103" s="92" t="s">
        <v>412</v>
      </c>
      <c r="C103" s="92" t="s">
        <v>442</v>
      </c>
      <c r="D103" s="92" t="s">
        <v>443</v>
      </c>
      <c r="E103" s="92" t="s">
        <v>95</v>
      </c>
      <c r="F103" s="92" t="s">
        <v>95</v>
      </c>
      <c r="G103" s="92">
        <v>1</v>
      </c>
    </row>
    <row r="104" spans="1:7" x14ac:dyDescent="0.25">
      <c r="A104" s="94" t="str">
        <f t="shared" si="1"/>
        <v>MAT1101All consumers</v>
      </c>
      <c r="B104" s="92" t="s">
        <v>249</v>
      </c>
      <c r="C104" s="92" t="s">
        <v>442</v>
      </c>
      <c r="D104" s="92" t="s">
        <v>443</v>
      </c>
      <c r="E104" s="92" t="s">
        <v>95</v>
      </c>
      <c r="F104" s="92" t="s">
        <v>95</v>
      </c>
      <c r="G104" s="92">
        <v>1</v>
      </c>
    </row>
    <row r="105" spans="1:7" x14ac:dyDescent="0.25">
      <c r="A105" s="94" t="str">
        <f t="shared" si="1"/>
        <v>MCH0111All consumers</v>
      </c>
      <c r="B105" s="92" t="s">
        <v>253</v>
      </c>
      <c r="C105" s="92" t="s">
        <v>442</v>
      </c>
      <c r="D105" s="92" t="s">
        <v>443</v>
      </c>
      <c r="E105" s="92" t="s">
        <v>95</v>
      </c>
      <c r="F105" s="92" t="s">
        <v>95</v>
      </c>
      <c r="G105" s="92">
        <v>1</v>
      </c>
    </row>
    <row r="106" spans="1:7" x14ac:dyDescent="0.25">
      <c r="A106" s="94" t="str">
        <f t="shared" si="1"/>
        <v>MER0331All consumers</v>
      </c>
      <c r="B106" s="92" t="s">
        <v>254</v>
      </c>
      <c r="C106" s="92" t="s">
        <v>442</v>
      </c>
      <c r="D106" s="92" t="s">
        <v>443</v>
      </c>
      <c r="E106" s="92" t="s">
        <v>95</v>
      </c>
      <c r="F106" s="92" t="s">
        <v>95</v>
      </c>
      <c r="G106" s="92">
        <v>1</v>
      </c>
    </row>
    <row r="107" spans="1:7" x14ac:dyDescent="0.25">
      <c r="A107" s="94" t="str">
        <f t="shared" si="1"/>
        <v>MGM0331All consumers</v>
      </c>
      <c r="B107" s="92" t="s">
        <v>255</v>
      </c>
      <c r="C107" s="92" t="s">
        <v>442</v>
      </c>
      <c r="D107" s="92" t="s">
        <v>443</v>
      </c>
      <c r="E107" s="92" t="s">
        <v>95</v>
      </c>
      <c r="F107" s="92" t="s">
        <v>95</v>
      </c>
      <c r="G107" s="92">
        <v>1</v>
      </c>
    </row>
    <row r="108" spans="1:7" x14ac:dyDescent="0.25">
      <c r="A108" s="94" t="str">
        <f t="shared" si="1"/>
        <v>MHO0331All consumers</v>
      </c>
      <c r="B108" s="92" t="s">
        <v>256</v>
      </c>
      <c r="C108" s="92" t="s">
        <v>442</v>
      </c>
      <c r="D108" s="92" t="s">
        <v>443</v>
      </c>
      <c r="E108" s="92" t="s">
        <v>95</v>
      </c>
      <c r="F108" s="92" t="s">
        <v>95</v>
      </c>
      <c r="G108" s="92">
        <v>1</v>
      </c>
    </row>
    <row r="109" spans="1:7" x14ac:dyDescent="0.25">
      <c r="A109" s="94" t="str">
        <f t="shared" si="1"/>
        <v>MKE1101All consumers</v>
      </c>
      <c r="B109" s="92" t="s">
        <v>258</v>
      </c>
      <c r="C109" s="92" t="s">
        <v>442</v>
      </c>
      <c r="D109" s="92" t="s">
        <v>443</v>
      </c>
      <c r="E109" s="92" t="s">
        <v>95</v>
      </c>
      <c r="F109" s="92" t="s">
        <v>95</v>
      </c>
      <c r="G109" s="92">
        <v>1</v>
      </c>
    </row>
    <row r="110" spans="1:7" x14ac:dyDescent="0.25">
      <c r="A110" s="94" t="str">
        <f t="shared" si="1"/>
        <v>MLG0111All consumers</v>
      </c>
      <c r="B110" s="92" t="s">
        <v>260</v>
      </c>
      <c r="C110" s="92" t="s">
        <v>442</v>
      </c>
      <c r="D110" s="92" t="s">
        <v>443</v>
      </c>
      <c r="E110" s="92" t="s">
        <v>95</v>
      </c>
      <c r="F110" s="92" t="s">
        <v>95</v>
      </c>
      <c r="G110" s="92">
        <v>1</v>
      </c>
    </row>
    <row r="111" spans="1:7" x14ac:dyDescent="0.25">
      <c r="A111" s="94" t="str">
        <f t="shared" si="1"/>
        <v>MLG0331All consumers</v>
      </c>
      <c r="B111" s="92" t="s">
        <v>261</v>
      </c>
      <c r="C111" s="92" t="s">
        <v>442</v>
      </c>
      <c r="D111" s="92" t="s">
        <v>443</v>
      </c>
      <c r="E111" s="92" t="s">
        <v>95</v>
      </c>
      <c r="F111" s="92" t="s">
        <v>95</v>
      </c>
      <c r="G111" s="92">
        <v>1</v>
      </c>
    </row>
    <row r="112" spans="1:7" x14ac:dyDescent="0.25">
      <c r="A112" s="94" t="str">
        <f t="shared" si="1"/>
        <v>MLN0661All consumers</v>
      </c>
      <c r="B112" s="92" t="s">
        <v>413</v>
      </c>
      <c r="C112" s="92" t="s">
        <v>442</v>
      </c>
      <c r="D112" s="92" t="s">
        <v>443</v>
      </c>
      <c r="E112" s="92" t="s">
        <v>95</v>
      </c>
      <c r="F112" s="92" t="s">
        <v>95</v>
      </c>
      <c r="G112" s="92">
        <v>1</v>
      </c>
    </row>
    <row r="113" spans="1:7" x14ac:dyDescent="0.25">
      <c r="A113" s="94" t="str">
        <f t="shared" si="1"/>
        <v>MLN0664All consumers</v>
      </c>
      <c r="B113" s="92" t="s">
        <v>414</v>
      </c>
      <c r="C113" s="92" t="s">
        <v>442</v>
      </c>
      <c r="D113" s="92" t="s">
        <v>443</v>
      </c>
      <c r="E113" s="92" t="s">
        <v>95</v>
      </c>
      <c r="F113" s="92" t="s">
        <v>95</v>
      </c>
      <c r="G113" s="92">
        <v>1</v>
      </c>
    </row>
    <row r="114" spans="1:7" x14ac:dyDescent="0.25">
      <c r="A114" s="94" t="str">
        <f t="shared" si="1"/>
        <v>MNG0331All consumers</v>
      </c>
      <c r="B114" s="92" t="s">
        <v>262</v>
      </c>
      <c r="C114" s="92" t="s">
        <v>442</v>
      </c>
      <c r="D114" s="92" t="s">
        <v>443</v>
      </c>
      <c r="E114" s="92" t="s">
        <v>95</v>
      </c>
      <c r="F114" s="92" t="s">
        <v>95</v>
      </c>
      <c r="G114" s="92">
        <v>1</v>
      </c>
    </row>
    <row r="115" spans="1:7" x14ac:dyDescent="0.25">
      <c r="A115" s="94" t="str">
        <f t="shared" si="1"/>
        <v>MNG1101All consumers</v>
      </c>
      <c r="B115" s="92" t="s">
        <v>263</v>
      </c>
      <c r="C115" s="92" t="s">
        <v>442</v>
      </c>
      <c r="D115" s="92" t="s">
        <v>443</v>
      </c>
      <c r="E115" s="92" t="s">
        <v>95</v>
      </c>
      <c r="F115" s="92" t="s">
        <v>95</v>
      </c>
      <c r="G115" s="92">
        <v>1</v>
      </c>
    </row>
    <row r="116" spans="1:7" x14ac:dyDescent="0.25">
      <c r="A116" s="94" t="str">
        <f t="shared" si="1"/>
        <v>MNI0111All consumers</v>
      </c>
      <c r="B116" s="92" t="s">
        <v>264</v>
      </c>
      <c r="C116" s="92" t="s">
        <v>442</v>
      </c>
      <c r="D116" s="92" t="s">
        <v>443</v>
      </c>
      <c r="E116" s="92" t="s">
        <v>95</v>
      </c>
      <c r="F116" s="92" t="s">
        <v>95</v>
      </c>
      <c r="G116" s="92">
        <v>1</v>
      </c>
    </row>
    <row r="117" spans="1:7" x14ac:dyDescent="0.25">
      <c r="A117" s="94" t="str">
        <f t="shared" si="1"/>
        <v>MOT0111All consumers</v>
      </c>
      <c r="B117" s="92" t="s">
        <v>415</v>
      </c>
      <c r="C117" s="92" t="s">
        <v>442</v>
      </c>
      <c r="D117" s="92" t="s">
        <v>443</v>
      </c>
      <c r="E117" s="92" t="s">
        <v>95</v>
      </c>
      <c r="F117" s="92" t="s">
        <v>95</v>
      </c>
      <c r="G117" s="92">
        <v>1</v>
      </c>
    </row>
    <row r="118" spans="1:7" x14ac:dyDescent="0.25">
      <c r="A118" s="94" t="str">
        <f t="shared" si="1"/>
        <v>MPE1101All consumers</v>
      </c>
      <c r="B118" s="92" t="s">
        <v>265</v>
      </c>
      <c r="C118" s="92" t="s">
        <v>442</v>
      </c>
      <c r="D118" s="92" t="s">
        <v>443</v>
      </c>
      <c r="E118" s="92" t="s">
        <v>95</v>
      </c>
      <c r="F118" s="92" t="s">
        <v>95</v>
      </c>
      <c r="G118" s="92">
        <v>1</v>
      </c>
    </row>
    <row r="119" spans="1:7" x14ac:dyDescent="0.25">
      <c r="A119" s="94" t="str">
        <f t="shared" si="1"/>
        <v>MPI0661All consumers</v>
      </c>
      <c r="B119" s="92" t="s">
        <v>416</v>
      </c>
      <c r="C119" s="92" t="s">
        <v>442</v>
      </c>
      <c r="D119" s="92" t="s">
        <v>443</v>
      </c>
      <c r="E119" s="92" t="s">
        <v>95</v>
      </c>
      <c r="F119" s="92" t="s">
        <v>95</v>
      </c>
      <c r="G119" s="92">
        <v>1</v>
      </c>
    </row>
    <row r="120" spans="1:7" x14ac:dyDescent="0.25">
      <c r="A120" s="94" t="str">
        <f t="shared" si="1"/>
        <v>MST0331All consumers</v>
      </c>
      <c r="B120" s="92" t="s">
        <v>266</v>
      </c>
      <c r="C120" s="92" t="s">
        <v>442</v>
      </c>
      <c r="D120" s="92" t="s">
        <v>443</v>
      </c>
      <c r="E120" s="92" t="s">
        <v>95</v>
      </c>
      <c r="F120" s="92" t="s">
        <v>95</v>
      </c>
      <c r="G120" s="92">
        <v>1</v>
      </c>
    </row>
    <row r="121" spans="1:7" x14ac:dyDescent="0.25">
      <c r="A121" s="94" t="str">
        <f t="shared" si="1"/>
        <v>MTM0331All consumers</v>
      </c>
      <c r="B121" s="92" t="s">
        <v>268</v>
      </c>
      <c r="C121" s="92" t="s">
        <v>442</v>
      </c>
      <c r="D121" s="92" t="s">
        <v>443</v>
      </c>
      <c r="E121" s="92" t="s">
        <v>95</v>
      </c>
      <c r="F121" s="92" t="s">
        <v>95</v>
      </c>
      <c r="G121" s="92">
        <v>1</v>
      </c>
    </row>
    <row r="122" spans="1:7" x14ac:dyDescent="0.25">
      <c r="A122" s="94" t="str">
        <f t="shared" si="1"/>
        <v>MTN0331All consumers</v>
      </c>
      <c r="B122" s="92" t="s">
        <v>269</v>
      </c>
      <c r="C122" s="92" t="s">
        <v>442</v>
      </c>
      <c r="D122" s="92" t="s">
        <v>443</v>
      </c>
      <c r="E122" s="92" t="s">
        <v>95</v>
      </c>
      <c r="F122" s="92" t="s">
        <v>95</v>
      </c>
      <c r="G122" s="92">
        <v>1</v>
      </c>
    </row>
    <row r="123" spans="1:7" x14ac:dyDescent="0.25">
      <c r="A123" s="94" t="str">
        <f t="shared" si="1"/>
        <v>MTO0331All consumers</v>
      </c>
      <c r="B123" s="92" t="s">
        <v>270</v>
      </c>
      <c r="C123" s="92" t="s">
        <v>442</v>
      </c>
      <c r="D123" s="92" t="s">
        <v>443</v>
      </c>
      <c r="E123" s="92" t="s">
        <v>95</v>
      </c>
      <c r="F123" s="92" t="s">
        <v>95</v>
      </c>
      <c r="G123" s="92">
        <v>1</v>
      </c>
    </row>
    <row r="124" spans="1:7" x14ac:dyDescent="0.25">
      <c r="A124" s="94" t="str">
        <f t="shared" si="1"/>
        <v>MTR0331All consumers</v>
      </c>
      <c r="B124" s="92" t="s">
        <v>271</v>
      </c>
      <c r="C124" s="92" t="s">
        <v>442</v>
      </c>
      <c r="D124" s="92" t="s">
        <v>443</v>
      </c>
      <c r="E124" s="92" t="s">
        <v>95</v>
      </c>
      <c r="F124" s="92" t="s">
        <v>95</v>
      </c>
      <c r="G124" s="92">
        <v>1</v>
      </c>
    </row>
    <row r="125" spans="1:7" x14ac:dyDescent="0.25">
      <c r="A125" s="94" t="str">
        <f t="shared" si="1"/>
        <v>NAP2201All consumers</v>
      </c>
      <c r="B125" s="92" t="s">
        <v>272</v>
      </c>
      <c r="C125" s="92" t="s">
        <v>442</v>
      </c>
      <c r="D125" s="92" t="s">
        <v>443</v>
      </c>
      <c r="E125" s="92" t="s">
        <v>95</v>
      </c>
      <c r="F125" s="92" t="s">
        <v>95</v>
      </c>
      <c r="G125" s="92">
        <v>1</v>
      </c>
    </row>
    <row r="126" spans="1:7" x14ac:dyDescent="0.25">
      <c r="A126" s="94" t="str">
        <f t="shared" si="1"/>
        <v>NMA0331All consumers</v>
      </c>
      <c r="B126" s="92" t="s">
        <v>276</v>
      </c>
      <c r="C126" s="92" t="s">
        <v>442</v>
      </c>
      <c r="D126" s="92" t="s">
        <v>443</v>
      </c>
      <c r="E126" s="92" t="s">
        <v>95</v>
      </c>
      <c r="F126" s="92" t="s">
        <v>95</v>
      </c>
      <c r="G126" s="92">
        <v>1</v>
      </c>
    </row>
    <row r="127" spans="1:7" x14ac:dyDescent="0.25">
      <c r="A127" s="94" t="str">
        <f t="shared" si="1"/>
        <v>NPK0331All consumers</v>
      </c>
      <c r="B127" s="92" t="s">
        <v>278</v>
      </c>
      <c r="C127" s="92" t="s">
        <v>442</v>
      </c>
      <c r="D127" s="92" t="s">
        <v>443</v>
      </c>
      <c r="E127" s="92" t="s">
        <v>95</v>
      </c>
      <c r="F127" s="92" t="s">
        <v>95</v>
      </c>
      <c r="G127" s="92">
        <v>1</v>
      </c>
    </row>
    <row r="128" spans="1:7" x14ac:dyDescent="0.25">
      <c r="A128" s="94" t="str">
        <f t="shared" si="1"/>
        <v>NPL0331All consumers</v>
      </c>
      <c r="B128" s="92" t="s">
        <v>279</v>
      </c>
      <c r="C128" s="92" t="s">
        <v>442</v>
      </c>
      <c r="D128" s="92" t="s">
        <v>443</v>
      </c>
      <c r="E128" s="92" t="s">
        <v>95</v>
      </c>
      <c r="F128" s="92" t="s">
        <v>95</v>
      </c>
      <c r="G128" s="92">
        <v>1</v>
      </c>
    </row>
    <row r="129" spans="1:7" x14ac:dyDescent="0.25">
      <c r="A129" s="94" t="str">
        <f t="shared" si="1"/>
        <v>NSY0331All consumers</v>
      </c>
      <c r="B129" s="92" t="s">
        <v>280</v>
      </c>
      <c r="C129" s="92" t="s">
        <v>442</v>
      </c>
      <c r="D129" s="92" t="s">
        <v>443</v>
      </c>
      <c r="E129" s="92" t="s">
        <v>95</v>
      </c>
      <c r="F129" s="92" t="s">
        <v>95</v>
      </c>
      <c r="G129" s="92">
        <v>1</v>
      </c>
    </row>
    <row r="130" spans="1:7" x14ac:dyDescent="0.25">
      <c r="A130" s="94" t="str">
        <f t="shared" si="1"/>
        <v>OAM0331All consumers</v>
      </c>
      <c r="B130" s="92" t="s">
        <v>282</v>
      </c>
      <c r="C130" s="92" t="s">
        <v>442</v>
      </c>
      <c r="D130" s="92" t="s">
        <v>443</v>
      </c>
      <c r="E130" s="92" t="s">
        <v>95</v>
      </c>
      <c r="F130" s="92" t="s">
        <v>95</v>
      </c>
      <c r="G130" s="92">
        <v>1</v>
      </c>
    </row>
    <row r="131" spans="1:7" x14ac:dyDescent="0.25">
      <c r="A131" s="94" t="str">
        <f t="shared" si="1"/>
        <v>OKN0111All consumers</v>
      </c>
      <c r="B131" s="92" t="s">
        <v>288</v>
      </c>
      <c r="C131" s="92" t="s">
        <v>442</v>
      </c>
      <c r="D131" s="92" t="s">
        <v>443</v>
      </c>
      <c r="E131" s="92" t="s">
        <v>95</v>
      </c>
      <c r="F131" s="92" t="s">
        <v>95</v>
      </c>
      <c r="G131" s="92">
        <v>1</v>
      </c>
    </row>
    <row r="132" spans="1:7" x14ac:dyDescent="0.25">
      <c r="A132" s="94" t="str">
        <f t="shared" si="1"/>
        <v>ONG0331All consumers</v>
      </c>
      <c r="B132" s="92" t="s">
        <v>289</v>
      </c>
      <c r="C132" s="92" t="s">
        <v>442</v>
      </c>
      <c r="D132" s="92" t="s">
        <v>443</v>
      </c>
      <c r="E132" s="92" t="s">
        <v>95</v>
      </c>
      <c r="F132" s="92" t="s">
        <v>95</v>
      </c>
      <c r="G132" s="92">
        <v>1</v>
      </c>
    </row>
    <row r="133" spans="1:7" x14ac:dyDescent="0.25">
      <c r="A133" s="94" t="str">
        <f t="shared" si="1"/>
        <v>OPK0331All consumers</v>
      </c>
      <c r="B133" s="92" t="s">
        <v>290</v>
      </c>
      <c r="C133" s="92" t="s">
        <v>442</v>
      </c>
      <c r="D133" s="92" t="s">
        <v>443</v>
      </c>
      <c r="E133" s="92" t="s">
        <v>95</v>
      </c>
      <c r="F133" s="92" t="s">
        <v>95</v>
      </c>
      <c r="G133" s="92">
        <v>1</v>
      </c>
    </row>
    <row r="134" spans="1:7" x14ac:dyDescent="0.25">
      <c r="A134" s="94" t="str">
        <f t="shared" si="1"/>
        <v>ORO1101All consumers</v>
      </c>
      <c r="B134" s="92" t="s">
        <v>291</v>
      </c>
      <c r="C134" s="92" t="s">
        <v>442</v>
      </c>
      <c r="D134" s="92" t="s">
        <v>443</v>
      </c>
      <c r="E134" s="92" t="s">
        <v>95</v>
      </c>
      <c r="F134" s="92" t="s">
        <v>95</v>
      </c>
      <c r="G134" s="92">
        <v>1</v>
      </c>
    </row>
    <row r="135" spans="1:7" x14ac:dyDescent="0.25">
      <c r="A135" s="94" t="str">
        <f t="shared" si="1"/>
        <v>ORO1102All consumers</v>
      </c>
      <c r="B135" s="92" t="s">
        <v>292</v>
      </c>
      <c r="C135" s="92" t="s">
        <v>442</v>
      </c>
      <c r="D135" s="92" t="s">
        <v>443</v>
      </c>
      <c r="E135" s="92" t="s">
        <v>95</v>
      </c>
      <c r="F135" s="92" t="s">
        <v>95</v>
      </c>
      <c r="G135" s="92">
        <v>1</v>
      </c>
    </row>
    <row r="136" spans="1:7" x14ac:dyDescent="0.25">
      <c r="A136" s="94" t="str">
        <f t="shared" ref="A136:A199" si="2">B136&amp;C136</f>
        <v>OTA0221All consumers</v>
      </c>
      <c r="B136" s="92" t="s">
        <v>293</v>
      </c>
      <c r="C136" s="92" t="s">
        <v>442</v>
      </c>
      <c r="D136" s="92" t="s">
        <v>443</v>
      </c>
      <c r="E136" s="92" t="s">
        <v>95</v>
      </c>
      <c r="F136" s="92" t="s">
        <v>95</v>
      </c>
      <c r="G136" s="92">
        <v>1</v>
      </c>
    </row>
    <row r="137" spans="1:7" x14ac:dyDescent="0.25">
      <c r="A137" s="94" t="str">
        <f t="shared" si="2"/>
        <v>OTA1101All consumers</v>
      </c>
      <c r="B137" s="92" t="s">
        <v>417</v>
      </c>
      <c r="C137" s="92" t="s">
        <v>442</v>
      </c>
      <c r="D137" s="92" t="s">
        <v>443</v>
      </c>
      <c r="E137" s="92" t="s">
        <v>95</v>
      </c>
      <c r="F137" s="92" t="s">
        <v>95</v>
      </c>
      <c r="G137" s="92">
        <v>1</v>
      </c>
    </row>
    <row r="138" spans="1:7" x14ac:dyDescent="0.25">
      <c r="A138" s="94" t="str">
        <f t="shared" si="2"/>
        <v>OTA1102All consumers</v>
      </c>
      <c r="B138" s="92" t="s">
        <v>418</v>
      </c>
      <c r="C138" s="92" t="s">
        <v>442</v>
      </c>
      <c r="D138" s="92" t="s">
        <v>443</v>
      </c>
      <c r="E138" s="92" t="s">
        <v>95</v>
      </c>
      <c r="F138" s="92" t="s">
        <v>95</v>
      </c>
      <c r="G138" s="92">
        <v>1</v>
      </c>
    </row>
    <row r="139" spans="1:7" x14ac:dyDescent="0.25">
      <c r="A139" s="94" t="str">
        <f t="shared" si="2"/>
        <v>OTI0111All consumers</v>
      </c>
      <c r="B139" s="92" t="s">
        <v>294</v>
      </c>
      <c r="C139" s="92" t="s">
        <v>442</v>
      </c>
      <c r="D139" s="92" t="s">
        <v>443</v>
      </c>
      <c r="E139" s="92" t="s">
        <v>95</v>
      </c>
      <c r="F139" s="92" t="s">
        <v>95</v>
      </c>
      <c r="G139" s="92">
        <v>1</v>
      </c>
    </row>
    <row r="140" spans="1:7" x14ac:dyDescent="0.25">
      <c r="A140" s="94" t="str">
        <f t="shared" si="2"/>
        <v>OWH0111All consumers</v>
      </c>
      <c r="B140" s="92" t="s">
        <v>295</v>
      </c>
      <c r="C140" s="92" t="s">
        <v>442</v>
      </c>
      <c r="D140" s="92" t="s">
        <v>443</v>
      </c>
      <c r="E140" s="92" t="s">
        <v>95</v>
      </c>
      <c r="F140" s="92" t="s">
        <v>95</v>
      </c>
      <c r="G140" s="92">
        <v>1</v>
      </c>
    </row>
    <row r="141" spans="1:7" x14ac:dyDescent="0.25">
      <c r="A141" s="94" t="str">
        <f t="shared" si="2"/>
        <v>PAK0331All consumers</v>
      </c>
      <c r="B141" s="92" t="s">
        <v>296</v>
      </c>
      <c r="C141" s="92" t="s">
        <v>442</v>
      </c>
      <c r="D141" s="92" t="s">
        <v>443</v>
      </c>
      <c r="E141" s="92" t="s">
        <v>95</v>
      </c>
      <c r="F141" s="92" t="s">
        <v>95</v>
      </c>
      <c r="G141" s="92">
        <v>1</v>
      </c>
    </row>
    <row r="142" spans="1:7" x14ac:dyDescent="0.25">
      <c r="A142" s="94" t="str">
        <f t="shared" si="2"/>
        <v>PAL0331All consumers</v>
      </c>
      <c r="B142" s="92" t="s">
        <v>419</v>
      </c>
      <c r="C142" s="92" t="s">
        <v>442</v>
      </c>
      <c r="D142" s="92" t="s">
        <v>443</v>
      </c>
      <c r="E142" s="92" t="s">
        <v>95</v>
      </c>
      <c r="F142" s="92" t="s">
        <v>95</v>
      </c>
      <c r="G142" s="92">
        <v>1</v>
      </c>
    </row>
    <row r="143" spans="1:7" x14ac:dyDescent="0.25">
      <c r="A143" s="94" t="str">
        <f t="shared" si="2"/>
        <v>PAO1101All consumers</v>
      </c>
      <c r="B143" s="92" t="s">
        <v>297</v>
      </c>
      <c r="C143" s="92" t="s">
        <v>442</v>
      </c>
      <c r="D143" s="92" t="s">
        <v>443</v>
      </c>
      <c r="E143" s="92" t="s">
        <v>95</v>
      </c>
      <c r="F143" s="92" t="s">
        <v>95</v>
      </c>
      <c r="G143" s="92">
        <v>1</v>
      </c>
    </row>
    <row r="144" spans="1:7" x14ac:dyDescent="0.25">
      <c r="A144" s="94" t="str">
        <f t="shared" si="2"/>
        <v>PEN0221All consumers</v>
      </c>
      <c r="B144" s="92" t="s">
        <v>298</v>
      </c>
      <c r="C144" s="92" t="s">
        <v>442</v>
      </c>
      <c r="D144" s="92" t="s">
        <v>443</v>
      </c>
      <c r="E144" s="92" t="s">
        <v>95</v>
      </c>
      <c r="F144" s="92" t="s">
        <v>95</v>
      </c>
      <c r="G144" s="92">
        <v>1</v>
      </c>
    </row>
    <row r="145" spans="1:7" x14ac:dyDescent="0.25">
      <c r="A145" s="94" t="str">
        <f t="shared" si="2"/>
        <v>PEN0331All consumers</v>
      </c>
      <c r="B145" s="92" t="s">
        <v>300</v>
      </c>
      <c r="C145" s="92" t="s">
        <v>442</v>
      </c>
      <c r="D145" s="92" t="s">
        <v>443</v>
      </c>
      <c r="E145" s="92" t="s">
        <v>95</v>
      </c>
      <c r="F145" s="92" t="s">
        <v>95</v>
      </c>
      <c r="G145" s="92">
        <v>1</v>
      </c>
    </row>
    <row r="146" spans="1:7" x14ac:dyDescent="0.25">
      <c r="A146" s="94" t="str">
        <f t="shared" si="2"/>
        <v>PEN1101All consumers</v>
      </c>
      <c r="B146" s="92" t="s">
        <v>301</v>
      </c>
      <c r="C146" s="92" t="s">
        <v>442</v>
      </c>
      <c r="D146" s="92" t="s">
        <v>443</v>
      </c>
      <c r="E146" s="92" t="s">
        <v>95</v>
      </c>
      <c r="F146" s="92" t="s">
        <v>95</v>
      </c>
      <c r="G146" s="92">
        <v>1</v>
      </c>
    </row>
    <row r="147" spans="1:7" x14ac:dyDescent="0.25">
      <c r="A147" s="94" t="str">
        <f t="shared" si="2"/>
        <v>PNI0331All consumers</v>
      </c>
      <c r="B147" s="92" t="s">
        <v>302</v>
      </c>
      <c r="C147" s="92" t="s">
        <v>442</v>
      </c>
      <c r="D147" s="92" t="s">
        <v>443</v>
      </c>
      <c r="E147" s="92" t="s">
        <v>95</v>
      </c>
      <c r="F147" s="92" t="s">
        <v>95</v>
      </c>
      <c r="G147" s="92">
        <v>1</v>
      </c>
    </row>
    <row r="148" spans="1:7" x14ac:dyDescent="0.25">
      <c r="A148" s="94" t="str">
        <f t="shared" si="2"/>
        <v>PPI2201All consumers</v>
      </c>
      <c r="B148" s="92" t="s">
        <v>303</v>
      </c>
      <c r="C148" s="92" t="s">
        <v>442</v>
      </c>
      <c r="D148" s="92" t="s">
        <v>443</v>
      </c>
      <c r="E148" s="92" t="s">
        <v>95</v>
      </c>
      <c r="F148" s="92" t="s">
        <v>95</v>
      </c>
      <c r="G148" s="92">
        <v>1</v>
      </c>
    </row>
    <row r="149" spans="1:7" x14ac:dyDescent="0.25">
      <c r="A149" s="94" t="str">
        <f t="shared" si="2"/>
        <v>PRM0331All consumers</v>
      </c>
      <c r="B149" s="92" t="s">
        <v>305</v>
      </c>
      <c r="C149" s="92" t="s">
        <v>442</v>
      </c>
      <c r="D149" s="92" t="s">
        <v>443</v>
      </c>
      <c r="E149" s="92" t="s">
        <v>95</v>
      </c>
      <c r="F149" s="92" t="s">
        <v>95</v>
      </c>
      <c r="G149" s="92">
        <v>1</v>
      </c>
    </row>
    <row r="150" spans="1:7" x14ac:dyDescent="0.25">
      <c r="A150" s="94" t="str">
        <f t="shared" si="2"/>
        <v>RDF0331All consumers</v>
      </c>
      <c r="B150" s="92" t="s">
        <v>306</v>
      </c>
      <c r="C150" s="92" t="s">
        <v>442</v>
      </c>
      <c r="D150" s="92" t="s">
        <v>443</v>
      </c>
      <c r="E150" s="92" t="s">
        <v>95</v>
      </c>
      <c r="F150" s="92" t="s">
        <v>95</v>
      </c>
      <c r="G150" s="92">
        <v>1</v>
      </c>
    </row>
    <row r="151" spans="1:7" x14ac:dyDescent="0.25">
      <c r="A151" s="94" t="str">
        <f t="shared" si="2"/>
        <v>RFN1101All consumers</v>
      </c>
      <c r="B151" s="92" t="s">
        <v>307</v>
      </c>
      <c r="C151" s="92" t="s">
        <v>442</v>
      </c>
      <c r="D151" s="92" t="s">
        <v>443</v>
      </c>
      <c r="E151" s="92" t="s">
        <v>95</v>
      </c>
      <c r="F151" s="92" t="s">
        <v>95</v>
      </c>
      <c r="G151" s="92">
        <v>1</v>
      </c>
    </row>
    <row r="152" spans="1:7" x14ac:dyDescent="0.25">
      <c r="A152" s="94" t="str">
        <f t="shared" si="2"/>
        <v>RFN1102All consumers</v>
      </c>
      <c r="B152" s="92" t="s">
        <v>308</v>
      </c>
      <c r="C152" s="92" t="s">
        <v>442</v>
      </c>
      <c r="D152" s="92" t="s">
        <v>443</v>
      </c>
      <c r="E152" s="92" t="s">
        <v>95</v>
      </c>
      <c r="F152" s="92" t="s">
        <v>95</v>
      </c>
      <c r="G152" s="92">
        <v>1</v>
      </c>
    </row>
    <row r="153" spans="1:7" x14ac:dyDescent="0.25">
      <c r="A153" s="94" t="str">
        <f t="shared" si="2"/>
        <v>ROS0221All consumers</v>
      </c>
      <c r="B153" s="92" t="s">
        <v>309</v>
      </c>
      <c r="C153" s="92" t="s">
        <v>442</v>
      </c>
      <c r="D153" s="92" t="s">
        <v>443</v>
      </c>
      <c r="E153" s="92" t="s">
        <v>95</v>
      </c>
      <c r="F153" s="92" t="s">
        <v>95</v>
      </c>
      <c r="G153" s="92">
        <v>1</v>
      </c>
    </row>
    <row r="154" spans="1:7" x14ac:dyDescent="0.25">
      <c r="A154" s="94" t="str">
        <f t="shared" si="2"/>
        <v>ROS1101All consumers</v>
      </c>
      <c r="B154" s="92" t="s">
        <v>310</v>
      </c>
      <c r="C154" s="92" t="s">
        <v>442</v>
      </c>
      <c r="D154" s="92" t="s">
        <v>443</v>
      </c>
      <c r="E154" s="92" t="s">
        <v>95</v>
      </c>
      <c r="F154" s="92" t="s">
        <v>95</v>
      </c>
      <c r="G154" s="92">
        <v>1</v>
      </c>
    </row>
    <row r="155" spans="1:7" x14ac:dyDescent="0.25">
      <c r="A155" s="94" t="str">
        <f t="shared" si="2"/>
        <v>ROT0111All consumers</v>
      </c>
      <c r="B155" s="92" t="s">
        <v>311</v>
      </c>
      <c r="C155" s="92" t="s">
        <v>442</v>
      </c>
      <c r="D155" s="92" t="s">
        <v>443</v>
      </c>
      <c r="E155" s="92" t="s">
        <v>95</v>
      </c>
      <c r="F155" s="92" t="s">
        <v>95</v>
      </c>
      <c r="G155" s="92">
        <v>1</v>
      </c>
    </row>
    <row r="156" spans="1:7" x14ac:dyDescent="0.25">
      <c r="A156" s="94" t="str">
        <f t="shared" si="2"/>
        <v>ROT0331All consumers</v>
      </c>
      <c r="B156" s="92" t="s">
        <v>312</v>
      </c>
      <c r="C156" s="92" t="s">
        <v>442</v>
      </c>
      <c r="D156" s="92" t="s">
        <v>443</v>
      </c>
      <c r="E156" s="92" t="s">
        <v>95</v>
      </c>
      <c r="F156" s="92" t="s">
        <v>95</v>
      </c>
      <c r="G156" s="92">
        <v>1</v>
      </c>
    </row>
    <row r="157" spans="1:7" x14ac:dyDescent="0.25">
      <c r="A157" s="94" t="str">
        <f t="shared" si="2"/>
        <v>ROT1101All consumers</v>
      </c>
      <c r="B157" s="92" t="s">
        <v>313</v>
      </c>
      <c r="C157" s="92" t="s">
        <v>442</v>
      </c>
      <c r="D157" s="92" t="s">
        <v>443</v>
      </c>
      <c r="E157" s="92" t="s">
        <v>95</v>
      </c>
      <c r="F157" s="92" t="s">
        <v>95</v>
      </c>
      <c r="G157" s="92">
        <v>1</v>
      </c>
    </row>
    <row r="158" spans="1:7" x14ac:dyDescent="0.25">
      <c r="A158" s="94" t="str">
        <f t="shared" si="2"/>
        <v>SBK0331All consumers</v>
      </c>
      <c r="B158" s="92" t="s">
        <v>318</v>
      </c>
      <c r="C158" s="92" t="s">
        <v>442</v>
      </c>
      <c r="D158" s="92" t="s">
        <v>443</v>
      </c>
      <c r="E158" s="92" t="s">
        <v>95</v>
      </c>
      <c r="F158" s="92" t="s">
        <v>95</v>
      </c>
      <c r="G158" s="92">
        <v>1</v>
      </c>
    </row>
    <row r="159" spans="1:7" x14ac:dyDescent="0.25">
      <c r="A159" s="94" t="str">
        <f t="shared" si="2"/>
        <v>SDN0331All consumers</v>
      </c>
      <c r="B159" s="92" t="s">
        <v>319</v>
      </c>
      <c r="C159" s="92" t="s">
        <v>442</v>
      </c>
      <c r="D159" s="92" t="s">
        <v>443</v>
      </c>
      <c r="E159" s="92" t="s">
        <v>95</v>
      </c>
      <c r="F159" s="92" t="s">
        <v>95</v>
      </c>
      <c r="G159" s="92">
        <v>1</v>
      </c>
    </row>
    <row r="160" spans="1:7" x14ac:dyDescent="0.25">
      <c r="A160" s="94" t="str">
        <f t="shared" si="2"/>
        <v>SFD0331All consumers</v>
      </c>
      <c r="B160" s="92" t="s">
        <v>320</v>
      </c>
      <c r="C160" s="92" t="s">
        <v>442</v>
      </c>
      <c r="D160" s="92" t="s">
        <v>443</v>
      </c>
      <c r="E160" s="92" t="s">
        <v>95</v>
      </c>
      <c r="F160" s="92" t="s">
        <v>95</v>
      </c>
      <c r="G160" s="92">
        <v>1</v>
      </c>
    </row>
    <row r="161" spans="1:7" x14ac:dyDescent="0.25">
      <c r="A161" s="94" t="str">
        <f t="shared" si="2"/>
        <v>SFD2201All consumers</v>
      </c>
      <c r="B161" s="92" t="s">
        <v>321</v>
      </c>
      <c r="C161" s="92" t="s">
        <v>442</v>
      </c>
      <c r="D161" s="92" t="s">
        <v>443</v>
      </c>
      <c r="E161" s="92" t="s">
        <v>95</v>
      </c>
      <c r="F161" s="92" t="s">
        <v>95</v>
      </c>
      <c r="G161" s="92">
        <v>1</v>
      </c>
    </row>
    <row r="162" spans="1:7" x14ac:dyDescent="0.25">
      <c r="A162" s="94" t="str">
        <f t="shared" si="2"/>
        <v>SPN0331All consumers</v>
      </c>
      <c r="B162" s="92" t="s">
        <v>420</v>
      </c>
      <c r="C162" s="92" t="s">
        <v>442</v>
      </c>
      <c r="D162" s="92" t="s">
        <v>443</v>
      </c>
      <c r="E162" s="92" t="s">
        <v>95</v>
      </c>
      <c r="F162" s="92" t="s">
        <v>95</v>
      </c>
      <c r="G162" s="92">
        <v>1</v>
      </c>
    </row>
    <row r="163" spans="1:7" x14ac:dyDescent="0.25">
      <c r="A163" s="94" t="str">
        <f t="shared" si="2"/>
        <v>SPN0661All consumers</v>
      </c>
      <c r="B163" s="92" t="s">
        <v>421</v>
      </c>
      <c r="C163" s="92" t="s">
        <v>442</v>
      </c>
      <c r="D163" s="92" t="s">
        <v>443</v>
      </c>
      <c r="E163" s="92" t="s">
        <v>95</v>
      </c>
      <c r="F163" s="92" t="s">
        <v>95</v>
      </c>
      <c r="G163" s="92">
        <v>1</v>
      </c>
    </row>
    <row r="164" spans="1:7" x14ac:dyDescent="0.25">
      <c r="A164" s="94" t="str">
        <f t="shared" si="2"/>
        <v>STK0331All consumers</v>
      </c>
      <c r="B164" s="92" t="s">
        <v>325</v>
      </c>
      <c r="C164" s="92" t="s">
        <v>442</v>
      </c>
      <c r="D164" s="92" t="s">
        <v>443</v>
      </c>
      <c r="E164" s="92" t="s">
        <v>95</v>
      </c>
      <c r="F164" s="92" t="s">
        <v>95</v>
      </c>
      <c r="G164" s="92">
        <v>1</v>
      </c>
    </row>
    <row r="165" spans="1:7" x14ac:dyDescent="0.25">
      <c r="A165" s="94" t="str">
        <f t="shared" si="2"/>
        <v>STU0111All consumers</v>
      </c>
      <c r="B165" s="92" t="s">
        <v>327</v>
      </c>
      <c r="C165" s="92" t="s">
        <v>442</v>
      </c>
      <c r="D165" s="92" t="s">
        <v>443</v>
      </c>
      <c r="E165" s="92" t="s">
        <v>95</v>
      </c>
      <c r="F165" s="92" t="s">
        <v>95</v>
      </c>
      <c r="G165" s="92">
        <v>1</v>
      </c>
    </row>
    <row r="166" spans="1:7" x14ac:dyDescent="0.25">
      <c r="A166" s="94" t="str">
        <f t="shared" si="2"/>
        <v>SVL0331All consumers</v>
      </c>
      <c r="B166" s="92" t="s">
        <v>328</v>
      </c>
      <c r="C166" s="92" t="s">
        <v>442</v>
      </c>
      <c r="D166" s="92" t="s">
        <v>443</v>
      </c>
      <c r="E166" s="92" t="s">
        <v>95</v>
      </c>
      <c r="F166" s="92" t="s">
        <v>95</v>
      </c>
      <c r="G166" s="92">
        <v>1</v>
      </c>
    </row>
    <row r="167" spans="1:7" x14ac:dyDescent="0.25">
      <c r="A167" s="94" t="str">
        <f t="shared" si="2"/>
        <v>SWN2201All consumers</v>
      </c>
      <c r="B167" s="92" t="s">
        <v>330</v>
      </c>
      <c r="C167" s="92" t="s">
        <v>442</v>
      </c>
      <c r="D167" s="92" t="s">
        <v>443</v>
      </c>
      <c r="E167" s="92" t="s">
        <v>95</v>
      </c>
      <c r="F167" s="92" t="s">
        <v>95</v>
      </c>
      <c r="G167" s="92">
        <v>1</v>
      </c>
    </row>
    <row r="168" spans="1:7" x14ac:dyDescent="0.25">
      <c r="A168" s="94" t="str">
        <f t="shared" si="2"/>
        <v>TAK0331All consumers</v>
      </c>
      <c r="B168" s="92" t="s">
        <v>332</v>
      </c>
      <c r="C168" s="92" t="s">
        <v>442</v>
      </c>
      <c r="D168" s="92" t="s">
        <v>443</v>
      </c>
      <c r="E168" s="92" t="s">
        <v>95</v>
      </c>
      <c r="F168" s="92" t="s">
        <v>95</v>
      </c>
      <c r="G168" s="92">
        <v>1</v>
      </c>
    </row>
    <row r="169" spans="1:7" x14ac:dyDescent="0.25">
      <c r="A169" s="94" t="str">
        <f t="shared" si="2"/>
        <v>TGA0111All consumers</v>
      </c>
      <c r="B169" s="92" t="s">
        <v>333</v>
      </c>
      <c r="C169" s="92" t="s">
        <v>442</v>
      </c>
      <c r="D169" s="92" t="s">
        <v>443</v>
      </c>
      <c r="E169" s="92" t="s">
        <v>95</v>
      </c>
      <c r="F169" s="92" t="s">
        <v>95</v>
      </c>
      <c r="G169" s="92">
        <v>1</v>
      </c>
    </row>
    <row r="170" spans="1:7" x14ac:dyDescent="0.25">
      <c r="A170" s="94" t="str">
        <f t="shared" si="2"/>
        <v>TGA0331All consumers</v>
      </c>
      <c r="B170" s="92" t="s">
        <v>334</v>
      </c>
      <c r="C170" s="92" t="s">
        <v>442</v>
      </c>
      <c r="D170" s="92" t="s">
        <v>443</v>
      </c>
      <c r="E170" s="92" t="s">
        <v>95</v>
      </c>
      <c r="F170" s="92" t="s">
        <v>95</v>
      </c>
      <c r="G170" s="92">
        <v>1</v>
      </c>
    </row>
    <row r="171" spans="1:7" x14ac:dyDescent="0.25">
      <c r="A171" s="94" t="str">
        <f t="shared" si="2"/>
        <v>TIM0111All consumers</v>
      </c>
      <c r="B171" s="92" t="s">
        <v>339</v>
      </c>
      <c r="C171" s="92" t="s">
        <v>442</v>
      </c>
      <c r="D171" s="92" t="s">
        <v>443</v>
      </c>
      <c r="E171" s="92" t="s">
        <v>95</v>
      </c>
      <c r="F171" s="92" t="s">
        <v>95</v>
      </c>
      <c r="G171" s="92">
        <v>1</v>
      </c>
    </row>
    <row r="172" spans="1:7" x14ac:dyDescent="0.25">
      <c r="A172" s="94" t="str">
        <f t="shared" si="2"/>
        <v>TKA0331All consumers</v>
      </c>
      <c r="B172" s="92" t="s">
        <v>422</v>
      </c>
      <c r="C172" s="92" t="s">
        <v>442</v>
      </c>
      <c r="D172" s="92" t="s">
        <v>443</v>
      </c>
      <c r="E172" s="92" t="s">
        <v>95</v>
      </c>
      <c r="F172" s="92" t="s">
        <v>95</v>
      </c>
      <c r="G172" s="92">
        <v>1</v>
      </c>
    </row>
    <row r="173" spans="1:7" x14ac:dyDescent="0.25">
      <c r="A173" s="94" t="str">
        <f t="shared" si="2"/>
        <v>TKH0111All consumers</v>
      </c>
      <c r="B173" s="92" t="s">
        <v>342</v>
      </c>
      <c r="C173" s="92" t="s">
        <v>442</v>
      </c>
      <c r="D173" s="92" t="s">
        <v>443</v>
      </c>
      <c r="E173" s="92" t="s">
        <v>95</v>
      </c>
      <c r="F173" s="92" t="s">
        <v>95</v>
      </c>
      <c r="G173" s="92">
        <v>1</v>
      </c>
    </row>
    <row r="174" spans="1:7" x14ac:dyDescent="0.25">
      <c r="A174" s="94" t="str">
        <f t="shared" si="2"/>
        <v>TKR0331All consumers</v>
      </c>
      <c r="B174" s="92" t="s">
        <v>343</v>
      </c>
      <c r="C174" s="92" t="s">
        <v>442</v>
      </c>
      <c r="D174" s="92" t="s">
        <v>443</v>
      </c>
      <c r="E174" s="92" t="s">
        <v>95</v>
      </c>
      <c r="F174" s="92" t="s">
        <v>95</v>
      </c>
      <c r="G174" s="92">
        <v>1</v>
      </c>
    </row>
    <row r="175" spans="1:7" x14ac:dyDescent="0.25">
      <c r="A175" s="94" t="str">
        <f t="shared" si="2"/>
        <v>TKU0331All consumers</v>
      </c>
      <c r="B175" s="92" t="s">
        <v>344</v>
      </c>
      <c r="C175" s="92" t="s">
        <v>442</v>
      </c>
      <c r="D175" s="92" t="s">
        <v>443</v>
      </c>
      <c r="E175" s="92" t="s">
        <v>95</v>
      </c>
      <c r="F175" s="92" t="s">
        <v>95</v>
      </c>
      <c r="G175" s="92">
        <v>1</v>
      </c>
    </row>
    <row r="176" spans="1:7" x14ac:dyDescent="0.25">
      <c r="A176" s="94" t="str">
        <f t="shared" si="2"/>
        <v>TMI0331All consumers</v>
      </c>
      <c r="B176" s="92" t="s">
        <v>346</v>
      </c>
      <c r="C176" s="92" t="s">
        <v>442</v>
      </c>
      <c r="D176" s="92" t="s">
        <v>443</v>
      </c>
      <c r="E176" s="92" t="s">
        <v>95</v>
      </c>
      <c r="F176" s="92" t="s">
        <v>95</v>
      </c>
      <c r="G176" s="92">
        <v>1</v>
      </c>
    </row>
    <row r="177" spans="1:7" x14ac:dyDescent="0.25">
      <c r="A177" s="94" t="str">
        <f t="shared" si="2"/>
        <v>TMK0331All consumers</v>
      </c>
      <c r="B177" s="92" t="s">
        <v>347</v>
      </c>
      <c r="C177" s="92" t="s">
        <v>442</v>
      </c>
      <c r="D177" s="92" t="s">
        <v>443</v>
      </c>
      <c r="E177" s="92" t="s">
        <v>95</v>
      </c>
      <c r="F177" s="92" t="s">
        <v>95</v>
      </c>
      <c r="G177" s="92">
        <v>1</v>
      </c>
    </row>
    <row r="178" spans="1:7" x14ac:dyDescent="0.25">
      <c r="A178" s="94" t="str">
        <f t="shared" si="2"/>
        <v>TMN0551All consumers</v>
      </c>
      <c r="B178" s="92" t="s">
        <v>348</v>
      </c>
      <c r="C178" s="92" t="s">
        <v>442</v>
      </c>
      <c r="D178" s="92" t="s">
        <v>443</v>
      </c>
      <c r="E178" s="92" t="s">
        <v>95</v>
      </c>
      <c r="F178" s="92" t="s">
        <v>95</v>
      </c>
      <c r="G178" s="92">
        <v>1</v>
      </c>
    </row>
    <row r="179" spans="1:7" x14ac:dyDescent="0.25">
      <c r="A179" s="94" t="str">
        <f t="shared" si="2"/>
        <v>TMU0111All consumers</v>
      </c>
      <c r="B179" s="92" t="s">
        <v>349</v>
      </c>
      <c r="C179" s="92" t="s">
        <v>442</v>
      </c>
      <c r="D179" s="92" t="s">
        <v>443</v>
      </c>
      <c r="E179" s="92" t="s">
        <v>95</v>
      </c>
      <c r="F179" s="92" t="s">
        <v>95</v>
      </c>
      <c r="G179" s="92">
        <v>1</v>
      </c>
    </row>
    <row r="180" spans="1:7" x14ac:dyDescent="0.25">
      <c r="A180" s="94" t="str">
        <f t="shared" si="2"/>
        <v>TNG0111All consumers</v>
      </c>
      <c r="B180" s="92" t="s">
        <v>350</v>
      </c>
      <c r="C180" s="92" t="s">
        <v>442</v>
      </c>
      <c r="D180" s="92" t="s">
        <v>443</v>
      </c>
      <c r="E180" s="92" t="s">
        <v>95</v>
      </c>
      <c r="F180" s="92" t="s">
        <v>95</v>
      </c>
      <c r="G180" s="92">
        <v>1</v>
      </c>
    </row>
    <row r="181" spans="1:7" x14ac:dyDescent="0.25">
      <c r="A181" s="94" t="str">
        <f t="shared" si="2"/>
        <v>TNG0551All consumers</v>
      </c>
      <c r="B181" s="92" t="s">
        <v>351</v>
      </c>
      <c r="C181" s="92" t="s">
        <v>442</v>
      </c>
      <c r="D181" s="92" t="s">
        <v>443</v>
      </c>
      <c r="E181" s="92" t="s">
        <v>95</v>
      </c>
      <c r="F181" s="92" t="s">
        <v>95</v>
      </c>
      <c r="G181" s="92">
        <v>1</v>
      </c>
    </row>
    <row r="182" spans="1:7" x14ac:dyDescent="0.25">
      <c r="A182" s="94" t="str">
        <f t="shared" si="2"/>
        <v>TRK0111All consumers</v>
      </c>
      <c r="B182" s="92" t="s">
        <v>352</v>
      </c>
      <c r="C182" s="92" t="s">
        <v>442</v>
      </c>
      <c r="D182" s="92" t="s">
        <v>443</v>
      </c>
      <c r="E182" s="92" t="s">
        <v>95</v>
      </c>
      <c r="F182" s="92" t="s">
        <v>95</v>
      </c>
      <c r="G182" s="92">
        <v>1</v>
      </c>
    </row>
    <row r="183" spans="1:7" x14ac:dyDescent="0.25">
      <c r="A183" s="94" t="str">
        <f t="shared" si="2"/>
        <v>TUI1101All consumers</v>
      </c>
      <c r="B183" s="92" t="s">
        <v>353</v>
      </c>
      <c r="C183" s="92" t="s">
        <v>442</v>
      </c>
      <c r="D183" s="92" t="s">
        <v>443</v>
      </c>
      <c r="E183" s="92" t="s">
        <v>95</v>
      </c>
      <c r="F183" s="92" t="s">
        <v>95</v>
      </c>
      <c r="G183" s="92">
        <v>1</v>
      </c>
    </row>
    <row r="184" spans="1:7" x14ac:dyDescent="0.25">
      <c r="A184" s="94" t="str">
        <f t="shared" si="2"/>
        <v>TWC2201All consumers</v>
      </c>
      <c r="B184" s="92" t="s">
        <v>357</v>
      </c>
      <c r="C184" s="92" t="s">
        <v>442</v>
      </c>
      <c r="D184" s="92" t="s">
        <v>443</v>
      </c>
      <c r="E184" s="92" t="s">
        <v>95</v>
      </c>
      <c r="F184" s="92" t="s">
        <v>95</v>
      </c>
      <c r="G184" s="92">
        <v>1</v>
      </c>
    </row>
    <row r="185" spans="1:7" x14ac:dyDescent="0.25">
      <c r="A185" s="94" t="str">
        <f t="shared" si="2"/>
        <v>TWH0331All consumers</v>
      </c>
      <c r="B185" s="92" t="s">
        <v>358</v>
      </c>
      <c r="C185" s="92" t="s">
        <v>442</v>
      </c>
      <c r="D185" s="92" t="s">
        <v>443</v>
      </c>
      <c r="E185" s="92" t="s">
        <v>95</v>
      </c>
      <c r="F185" s="92" t="s">
        <v>95</v>
      </c>
      <c r="G185" s="92">
        <v>1</v>
      </c>
    </row>
    <row r="186" spans="1:7" x14ac:dyDescent="0.25">
      <c r="A186" s="94" t="str">
        <f t="shared" si="2"/>
        <v>TWI2201All consumers</v>
      </c>
      <c r="B186" s="92" t="s">
        <v>361</v>
      </c>
      <c r="C186" s="92" t="s">
        <v>442</v>
      </c>
      <c r="D186" s="92" t="s">
        <v>443</v>
      </c>
      <c r="E186" s="92" t="s">
        <v>95</v>
      </c>
      <c r="F186" s="92" t="s">
        <v>95</v>
      </c>
      <c r="G186" s="92">
        <v>1</v>
      </c>
    </row>
    <row r="187" spans="1:7" x14ac:dyDescent="0.25">
      <c r="A187" s="94" t="str">
        <f t="shared" si="2"/>
        <v>TWZ0331All consumers</v>
      </c>
      <c r="B187" s="92" t="s">
        <v>362</v>
      </c>
      <c r="C187" s="92" t="s">
        <v>442</v>
      </c>
      <c r="D187" s="92" t="s">
        <v>443</v>
      </c>
      <c r="E187" s="92" t="s">
        <v>95</v>
      </c>
      <c r="F187" s="92" t="s">
        <v>95</v>
      </c>
      <c r="G187" s="92">
        <v>1</v>
      </c>
    </row>
    <row r="188" spans="1:7" x14ac:dyDescent="0.25">
      <c r="A188" s="94" t="str">
        <f t="shared" si="2"/>
        <v>UHT0331All consumers</v>
      </c>
      <c r="B188" s="92" t="s">
        <v>363</v>
      </c>
      <c r="C188" s="92" t="s">
        <v>442</v>
      </c>
      <c r="D188" s="92" t="s">
        <v>443</v>
      </c>
      <c r="E188" s="92" t="s">
        <v>95</v>
      </c>
      <c r="F188" s="92" t="s">
        <v>95</v>
      </c>
      <c r="G188" s="92">
        <v>1</v>
      </c>
    </row>
    <row r="189" spans="1:7" x14ac:dyDescent="0.25">
      <c r="A189" s="94" t="str">
        <f t="shared" si="2"/>
        <v>WAI0111All consumers</v>
      </c>
      <c r="B189" s="92" t="s">
        <v>364</v>
      </c>
      <c r="C189" s="92" t="s">
        <v>442</v>
      </c>
      <c r="D189" s="92" t="s">
        <v>443</v>
      </c>
      <c r="E189" s="92" t="s">
        <v>95</v>
      </c>
      <c r="F189" s="92" t="s">
        <v>95</v>
      </c>
      <c r="G189" s="92">
        <v>1</v>
      </c>
    </row>
    <row r="190" spans="1:7" x14ac:dyDescent="0.25">
      <c r="A190" s="94" t="str">
        <f t="shared" si="2"/>
        <v>WDV0111All consumers</v>
      </c>
      <c r="B190" s="92" t="s">
        <v>365</v>
      </c>
      <c r="C190" s="92" t="s">
        <v>442</v>
      </c>
      <c r="D190" s="92" t="s">
        <v>443</v>
      </c>
      <c r="E190" s="92" t="s">
        <v>95</v>
      </c>
      <c r="F190" s="92" t="s">
        <v>95</v>
      </c>
      <c r="G190" s="92">
        <v>1</v>
      </c>
    </row>
    <row r="191" spans="1:7" x14ac:dyDescent="0.25">
      <c r="A191" s="94" t="str">
        <f t="shared" si="2"/>
        <v>WDV1101All consumers</v>
      </c>
      <c r="B191" s="92" t="s">
        <v>366</v>
      </c>
      <c r="C191" s="92" t="s">
        <v>442</v>
      </c>
      <c r="D191" s="92" t="s">
        <v>443</v>
      </c>
      <c r="E191" s="92" t="s">
        <v>95</v>
      </c>
      <c r="F191" s="92" t="s">
        <v>95</v>
      </c>
      <c r="G191" s="92">
        <v>1</v>
      </c>
    </row>
    <row r="192" spans="1:7" x14ac:dyDescent="0.25">
      <c r="A192" s="94" t="str">
        <f t="shared" si="2"/>
        <v>WEL0331All consumers</v>
      </c>
      <c r="B192" s="92" t="s">
        <v>367</v>
      </c>
      <c r="C192" s="92" t="s">
        <v>442</v>
      </c>
      <c r="D192" s="92" t="s">
        <v>443</v>
      </c>
      <c r="E192" s="92" t="s">
        <v>95</v>
      </c>
      <c r="F192" s="92" t="s">
        <v>95</v>
      </c>
      <c r="G192" s="92">
        <v>1</v>
      </c>
    </row>
    <row r="193" spans="1:7" x14ac:dyDescent="0.25">
      <c r="A193" s="94" t="str">
        <f t="shared" si="2"/>
        <v>WGN0331All consumers</v>
      </c>
      <c r="B193" s="92" t="s">
        <v>368</v>
      </c>
      <c r="C193" s="92" t="s">
        <v>442</v>
      </c>
      <c r="D193" s="92" t="s">
        <v>443</v>
      </c>
      <c r="E193" s="92" t="s">
        <v>95</v>
      </c>
      <c r="F193" s="92" t="s">
        <v>95</v>
      </c>
      <c r="G193" s="92">
        <v>1</v>
      </c>
    </row>
    <row r="194" spans="1:7" x14ac:dyDescent="0.25">
      <c r="A194" s="94" t="str">
        <f t="shared" si="2"/>
        <v>WHI0111All consumers</v>
      </c>
      <c r="B194" s="92" t="s">
        <v>369</v>
      </c>
      <c r="C194" s="92" t="s">
        <v>442</v>
      </c>
      <c r="D194" s="92" t="s">
        <v>443</v>
      </c>
      <c r="E194" s="92" t="s">
        <v>95</v>
      </c>
      <c r="F194" s="92" t="s">
        <v>95</v>
      </c>
      <c r="G194" s="92">
        <v>1</v>
      </c>
    </row>
    <row r="195" spans="1:7" x14ac:dyDescent="0.25">
      <c r="A195" s="94" t="str">
        <f t="shared" si="2"/>
        <v>WHI2201All consumers</v>
      </c>
      <c r="B195" s="92" t="s">
        <v>370</v>
      </c>
      <c r="C195" s="92" t="s">
        <v>442</v>
      </c>
      <c r="D195" s="92" t="s">
        <v>443</v>
      </c>
      <c r="E195" s="92" t="s">
        <v>95</v>
      </c>
      <c r="F195" s="92" t="s">
        <v>95</v>
      </c>
      <c r="G195" s="92">
        <v>1</v>
      </c>
    </row>
    <row r="196" spans="1:7" x14ac:dyDescent="0.25">
      <c r="A196" s="94" t="str">
        <f t="shared" si="2"/>
        <v>WHU0331All consumers</v>
      </c>
      <c r="B196" s="92" t="s">
        <v>372</v>
      </c>
      <c r="C196" s="92" t="s">
        <v>442</v>
      </c>
      <c r="D196" s="92" t="s">
        <v>443</v>
      </c>
      <c r="E196" s="92" t="s">
        <v>95</v>
      </c>
      <c r="F196" s="92" t="s">
        <v>95</v>
      </c>
      <c r="G196" s="92">
        <v>1</v>
      </c>
    </row>
    <row r="197" spans="1:7" x14ac:dyDescent="0.25">
      <c r="A197" s="94" t="str">
        <f t="shared" si="2"/>
        <v>WIL0331All consumers</v>
      </c>
      <c r="B197" s="92" t="s">
        <v>373</v>
      </c>
      <c r="C197" s="92" t="s">
        <v>442</v>
      </c>
      <c r="D197" s="92" t="s">
        <v>443</v>
      </c>
      <c r="E197" s="92" t="s">
        <v>95</v>
      </c>
      <c r="F197" s="92" t="s">
        <v>95</v>
      </c>
      <c r="G197" s="92">
        <v>1</v>
      </c>
    </row>
    <row r="198" spans="1:7" x14ac:dyDescent="0.25">
      <c r="A198" s="94" t="str">
        <f t="shared" si="2"/>
        <v>WIR0331All consumers</v>
      </c>
      <c r="B198" s="92" t="s">
        <v>374</v>
      </c>
      <c r="C198" s="92" t="s">
        <v>442</v>
      </c>
      <c r="D198" s="92" t="s">
        <v>443</v>
      </c>
      <c r="E198" s="92" t="s">
        <v>95</v>
      </c>
      <c r="F198" s="92" t="s">
        <v>95</v>
      </c>
      <c r="G198" s="92">
        <v>1</v>
      </c>
    </row>
    <row r="199" spans="1:7" x14ac:dyDescent="0.25">
      <c r="A199" s="94" t="str">
        <f t="shared" si="2"/>
        <v>WKM2201All consumers</v>
      </c>
      <c r="B199" s="92" t="s">
        <v>375</v>
      </c>
      <c r="C199" s="92" t="s">
        <v>442</v>
      </c>
      <c r="D199" s="92" t="s">
        <v>443</v>
      </c>
      <c r="E199" s="92" t="s">
        <v>95</v>
      </c>
      <c r="F199" s="92" t="s">
        <v>95</v>
      </c>
      <c r="G199" s="92">
        <v>1</v>
      </c>
    </row>
    <row r="200" spans="1:7" x14ac:dyDescent="0.25">
      <c r="A200" s="94" t="str">
        <f t="shared" ref="A200:A264" si="3">B200&amp;C200</f>
        <v>WKO0331All consumers</v>
      </c>
      <c r="B200" s="92" t="s">
        <v>378</v>
      </c>
      <c r="C200" s="92" t="s">
        <v>442</v>
      </c>
      <c r="D200" s="92" t="s">
        <v>443</v>
      </c>
      <c r="E200" s="92" t="s">
        <v>95</v>
      </c>
      <c r="F200" s="92" t="s">
        <v>95</v>
      </c>
      <c r="G200" s="92">
        <v>1</v>
      </c>
    </row>
    <row r="201" spans="1:7" x14ac:dyDescent="0.25">
      <c r="A201" s="94" t="str">
        <f t="shared" si="3"/>
        <v>WPR0331All consumers</v>
      </c>
      <c r="B201" s="92" t="s">
        <v>380</v>
      </c>
      <c r="C201" s="92" t="s">
        <v>442</v>
      </c>
      <c r="D201" s="92" t="s">
        <v>443</v>
      </c>
      <c r="E201" s="92" t="s">
        <v>95</v>
      </c>
      <c r="F201" s="92" t="s">
        <v>95</v>
      </c>
      <c r="G201" s="92">
        <v>1</v>
      </c>
    </row>
    <row r="202" spans="1:7" x14ac:dyDescent="0.25">
      <c r="A202" s="94" t="str">
        <f t="shared" si="3"/>
        <v>WPR0661All consumers</v>
      </c>
      <c r="B202" s="92" t="s">
        <v>381</v>
      </c>
      <c r="C202" s="92" t="s">
        <v>442</v>
      </c>
      <c r="D202" s="92" t="s">
        <v>443</v>
      </c>
      <c r="E202" s="92" t="s">
        <v>95</v>
      </c>
      <c r="F202" s="92" t="s">
        <v>95</v>
      </c>
      <c r="G202" s="92">
        <v>1</v>
      </c>
    </row>
    <row r="203" spans="1:7" x14ac:dyDescent="0.25">
      <c r="A203" s="94" t="str">
        <f t="shared" si="3"/>
        <v>WPT0111All consumers</v>
      </c>
      <c r="B203" s="92" t="s">
        <v>382</v>
      </c>
      <c r="C203" s="92" t="s">
        <v>442</v>
      </c>
      <c r="D203" s="92" t="s">
        <v>443</v>
      </c>
      <c r="E203" s="92" t="s">
        <v>95</v>
      </c>
      <c r="F203" s="92" t="s">
        <v>95</v>
      </c>
      <c r="G203" s="92">
        <v>1</v>
      </c>
    </row>
    <row r="204" spans="1:7" x14ac:dyDescent="0.25">
      <c r="A204" s="94" t="str">
        <f t="shared" si="3"/>
        <v>WPW0331All consumers</v>
      </c>
      <c r="B204" s="92" t="s">
        <v>383</v>
      </c>
      <c r="C204" s="92" t="s">
        <v>442</v>
      </c>
      <c r="D204" s="92" t="s">
        <v>443</v>
      </c>
      <c r="E204" s="92" t="s">
        <v>95</v>
      </c>
      <c r="F204" s="92" t="s">
        <v>95</v>
      </c>
      <c r="G204" s="92">
        <v>1</v>
      </c>
    </row>
    <row r="205" spans="1:7" x14ac:dyDescent="0.25">
      <c r="A205" s="94" t="str">
        <f t="shared" si="3"/>
        <v>WRA0111All consumers</v>
      </c>
      <c r="B205" s="92" t="s">
        <v>423</v>
      </c>
      <c r="C205" s="92" t="s">
        <v>442</v>
      </c>
      <c r="D205" s="92" t="s">
        <v>443</v>
      </c>
      <c r="E205" s="92" t="s">
        <v>95</v>
      </c>
      <c r="F205" s="92" t="s">
        <v>95</v>
      </c>
      <c r="G205" s="92">
        <v>1</v>
      </c>
    </row>
    <row r="206" spans="1:7" x14ac:dyDescent="0.25">
      <c r="A206" s="94" t="str">
        <f t="shared" si="3"/>
        <v>WRD0331All consumers</v>
      </c>
      <c r="B206" s="92" t="s">
        <v>384</v>
      </c>
      <c r="C206" s="92" t="s">
        <v>442</v>
      </c>
      <c r="D206" s="92" t="s">
        <v>443</v>
      </c>
      <c r="E206" s="92" t="s">
        <v>95</v>
      </c>
      <c r="F206" s="92" t="s">
        <v>95</v>
      </c>
      <c r="G206" s="92">
        <v>1</v>
      </c>
    </row>
    <row r="207" spans="1:7" x14ac:dyDescent="0.25">
      <c r="A207" s="94" t="str">
        <f t="shared" si="3"/>
        <v>WRK0331All consumers</v>
      </c>
      <c r="B207" s="92" t="s">
        <v>385</v>
      </c>
      <c r="C207" s="92" t="s">
        <v>442</v>
      </c>
      <c r="D207" s="92" t="s">
        <v>443</v>
      </c>
      <c r="E207" s="92" t="s">
        <v>95</v>
      </c>
      <c r="F207" s="92" t="s">
        <v>95</v>
      </c>
      <c r="G207" s="92">
        <v>1</v>
      </c>
    </row>
    <row r="208" spans="1:7" x14ac:dyDescent="0.25">
      <c r="A208" s="94" t="str">
        <f t="shared" si="3"/>
        <v>WTK0111All consumers</v>
      </c>
      <c r="B208" s="92" t="s">
        <v>389</v>
      </c>
      <c r="C208" s="92" t="s">
        <v>442</v>
      </c>
      <c r="D208" s="92" t="s">
        <v>443</v>
      </c>
      <c r="E208" s="92" t="s">
        <v>95</v>
      </c>
      <c r="F208" s="92" t="s">
        <v>95</v>
      </c>
      <c r="G208" s="92">
        <v>1</v>
      </c>
    </row>
    <row r="209" spans="1:7" x14ac:dyDescent="0.25">
      <c r="A209" s="94" t="str">
        <f t="shared" si="3"/>
        <v>WTU0331All consumers</v>
      </c>
      <c r="B209" s="92" t="s">
        <v>391</v>
      </c>
      <c r="C209" s="92" t="s">
        <v>442</v>
      </c>
      <c r="D209" s="92" t="s">
        <v>443</v>
      </c>
      <c r="E209" s="92" t="s">
        <v>95</v>
      </c>
      <c r="F209" s="92" t="s">
        <v>95</v>
      </c>
      <c r="G209" s="92">
        <v>1</v>
      </c>
    </row>
    <row r="210" spans="1:7" x14ac:dyDescent="0.25">
      <c r="A210" s="94" t="str">
        <f t="shared" si="3"/>
        <v>WVY0111All consumers</v>
      </c>
      <c r="B210" s="92" t="s">
        <v>392</v>
      </c>
      <c r="C210" s="92" t="s">
        <v>442</v>
      </c>
      <c r="D210" s="92" t="s">
        <v>443</v>
      </c>
      <c r="E210" s="92" t="s">
        <v>95</v>
      </c>
      <c r="F210" s="92" t="s">
        <v>95</v>
      </c>
      <c r="G210" s="92">
        <v>1</v>
      </c>
    </row>
    <row r="211" spans="1:7" x14ac:dyDescent="0.25">
      <c r="A211" s="94" t="str">
        <f t="shared" si="3"/>
        <v>WWD1102All consumers</v>
      </c>
      <c r="B211" s="92" t="s">
        <v>393</v>
      </c>
      <c r="C211" s="92" t="s">
        <v>442</v>
      </c>
      <c r="D211" s="92" t="s">
        <v>443</v>
      </c>
      <c r="E211" s="92" t="s">
        <v>95</v>
      </c>
      <c r="F211" s="92" t="s">
        <v>95</v>
      </c>
      <c r="G211" s="92">
        <v>1</v>
      </c>
    </row>
    <row r="212" spans="1:7" x14ac:dyDescent="0.25">
      <c r="A212" s="94" t="str">
        <f t="shared" si="3"/>
        <v>WWD1103All consumers</v>
      </c>
      <c r="B212" s="92" t="s">
        <v>394</v>
      </c>
      <c r="C212" s="92" t="s">
        <v>442</v>
      </c>
      <c r="D212" s="92" t="s">
        <v>443</v>
      </c>
      <c r="E212" s="92" t="s">
        <v>95</v>
      </c>
      <c r="F212" s="92" t="s">
        <v>95</v>
      </c>
      <c r="G212" s="92">
        <v>1</v>
      </c>
    </row>
    <row r="213" spans="1:7" x14ac:dyDescent="0.25">
      <c r="A213" s="94" t="str">
        <f t="shared" si="3"/>
        <v>BWK1101 WPI0All LSI generators</v>
      </c>
      <c r="B213" s="92" t="s">
        <v>165</v>
      </c>
      <c r="C213" s="92" t="s">
        <v>444</v>
      </c>
      <c r="D213" s="92" t="s">
        <v>95</v>
      </c>
      <c r="E213" s="92" t="s">
        <v>95</v>
      </c>
      <c r="F213" s="92" t="s">
        <v>443</v>
      </c>
      <c r="G213" s="92">
        <v>1</v>
      </c>
    </row>
    <row r="214" spans="1:7" x14ac:dyDescent="0.25">
      <c r="A214" s="94" t="str">
        <f t="shared" si="3"/>
        <v>CYD0331All LSI generators</v>
      </c>
      <c r="B214" s="92" t="s">
        <v>177</v>
      </c>
      <c r="C214" s="92" t="s">
        <v>444</v>
      </c>
      <c r="D214" s="92" t="s">
        <v>95</v>
      </c>
      <c r="E214" s="92" t="s">
        <v>443</v>
      </c>
      <c r="F214" s="92" t="s">
        <v>95</v>
      </c>
      <c r="G214" s="92">
        <v>1</v>
      </c>
    </row>
    <row r="215" spans="1:7" x14ac:dyDescent="0.25">
      <c r="A215" s="94" t="str">
        <f t="shared" si="3"/>
        <v>CYD2201 CYD0All LSI generators</v>
      </c>
      <c r="B215" s="92" t="s">
        <v>179</v>
      </c>
      <c r="C215" s="92" t="s">
        <v>444</v>
      </c>
      <c r="D215" s="92" t="s">
        <v>95</v>
      </c>
      <c r="E215" s="92" t="s">
        <v>95</v>
      </c>
      <c r="F215" s="92" t="s">
        <v>443</v>
      </c>
      <c r="G215" s="92">
        <v>1</v>
      </c>
    </row>
    <row r="216" spans="1:7" x14ac:dyDescent="0.25">
      <c r="A216" s="94" t="str">
        <f t="shared" si="3"/>
        <v>HWB0331 WPI0All LSI generators</v>
      </c>
      <c r="B216" s="92" t="s">
        <v>221</v>
      </c>
      <c r="C216" s="92" t="s">
        <v>444</v>
      </c>
      <c r="D216" s="92" t="s">
        <v>95</v>
      </c>
      <c r="E216" s="92" t="s">
        <v>95</v>
      </c>
      <c r="F216" s="92" t="s">
        <v>443</v>
      </c>
      <c r="G216" s="92">
        <v>1</v>
      </c>
    </row>
    <row r="217" spans="1:7" x14ac:dyDescent="0.25">
      <c r="A217" s="94" t="str">
        <f t="shared" si="3"/>
        <v>MAN2201 MAN0All LSI generators</v>
      </c>
      <c r="B217" s="92" t="s">
        <v>248</v>
      </c>
      <c r="C217" s="92" t="s">
        <v>444</v>
      </c>
      <c r="D217" s="92" t="s">
        <v>95</v>
      </c>
      <c r="E217" s="92" t="s">
        <v>95</v>
      </c>
      <c r="F217" s="92" t="s">
        <v>443</v>
      </c>
      <c r="G217" s="92">
        <v>1</v>
      </c>
    </row>
    <row r="218" spans="1:7" x14ac:dyDescent="0.25">
      <c r="A218" s="94" t="str">
        <f t="shared" si="3"/>
        <v>NMA0331All LSI generators</v>
      </c>
      <c r="B218" s="92" t="s">
        <v>276</v>
      </c>
      <c r="C218" s="92" t="s">
        <v>444</v>
      </c>
      <c r="D218" s="92" t="s">
        <v>95</v>
      </c>
      <c r="E218" s="92" t="s">
        <v>443</v>
      </c>
      <c r="F218" s="92" t="s">
        <v>95</v>
      </c>
      <c r="G218" s="92">
        <v>1</v>
      </c>
    </row>
    <row r="219" spans="1:7" x14ac:dyDescent="0.25">
      <c r="A219" s="94" t="str">
        <f t="shared" si="3"/>
        <v>NSY0331 PAE0All LSI generators</v>
      </c>
      <c r="B219" s="92" t="s">
        <v>281</v>
      </c>
      <c r="C219" s="92" t="s">
        <v>444</v>
      </c>
      <c r="D219" s="92" t="s">
        <v>95</v>
      </c>
      <c r="E219" s="92" t="s">
        <v>95</v>
      </c>
      <c r="F219" s="92" t="s">
        <v>443</v>
      </c>
      <c r="G219" s="92">
        <v>1</v>
      </c>
    </row>
    <row r="220" spans="1:7" x14ac:dyDescent="0.25">
      <c r="A220" s="94" t="str">
        <f t="shared" si="3"/>
        <v>ROX1101 ROX0All LSI generators</v>
      </c>
      <c r="B220" s="92" t="s">
        <v>315</v>
      </c>
      <c r="C220" s="92" t="s">
        <v>444</v>
      </c>
      <c r="D220" s="92" t="s">
        <v>95</v>
      </c>
      <c r="E220" s="92" t="s">
        <v>95</v>
      </c>
      <c r="F220" s="92" t="s">
        <v>443</v>
      </c>
      <c r="G220" s="92">
        <v>1</v>
      </c>
    </row>
    <row r="221" spans="1:7" x14ac:dyDescent="0.25">
      <c r="A221" s="94" t="str">
        <f t="shared" si="3"/>
        <v>ROX2201 ROX0All LSI generators</v>
      </c>
      <c r="B221" s="92" t="s">
        <v>316</v>
      </c>
      <c r="C221" s="92" t="s">
        <v>444</v>
      </c>
      <c r="D221" s="92" t="s">
        <v>95</v>
      </c>
      <c r="E221" s="92" t="s">
        <v>95</v>
      </c>
      <c r="F221" s="92" t="s">
        <v>443</v>
      </c>
      <c r="G221" s="92">
        <v>1</v>
      </c>
    </row>
    <row r="222" spans="1:7" x14ac:dyDescent="0.25">
      <c r="A222" s="94" t="str">
        <f t="shared" si="3"/>
        <v>ALB0331All NI consumers</v>
      </c>
      <c r="B222" s="92" t="s">
        <v>132</v>
      </c>
      <c r="C222" s="92" t="s">
        <v>445</v>
      </c>
      <c r="D222" s="92" t="s">
        <v>443</v>
      </c>
      <c r="E222" s="92" t="s">
        <v>95</v>
      </c>
      <c r="F222" s="92" t="s">
        <v>95</v>
      </c>
      <c r="G222" s="92">
        <v>1</v>
      </c>
    </row>
    <row r="223" spans="1:7" x14ac:dyDescent="0.25">
      <c r="A223" s="94" t="str">
        <f t="shared" si="3"/>
        <v>ALB1101All NI consumers</v>
      </c>
      <c r="B223" s="92" t="s">
        <v>133</v>
      </c>
      <c r="C223" s="92" t="s">
        <v>445</v>
      </c>
      <c r="D223" s="92" t="s">
        <v>443</v>
      </c>
      <c r="E223" s="92" t="s">
        <v>95</v>
      </c>
      <c r="F223" s="92" t="s">
        <v>95</v>
      </c>
      <c r="G223" s="92">
        <v>1</v>
      </c>
    </row>
    <row r="224" spans="1:7" x14ac:dyDescent="0.25">
      <c r="A224" s="94" t="str">
        <f t="shared" si="3"/>
        <v>BOB0331All NI consumers</v>
      </c>
      <c r="B224" s="92" t="s">
        <v>154</v>
      </c>
      <c r="C224" s="92" t="s">
        <v>445</v>
      </c>
      <c r="D224" s="92" t="s">
        <v>443</v>
      </c>
      <c r="E224" s="92" t="s">
        <v>95</v>
      </c>
      <c r="F224" s="92" t="s">
        <v>95</v>
      </c>
      <c r="G224" s="92">
        <v>1</v>
      </c>
    </row>
    <row r="225" spans="1:7" x14ac:dyDescent="0.25">
      <c r="A225" s="94" t="str">
        <f t="shared" si="3"/>
        <v>BOB1101All NI consumers</v>
      </c>
      <c r="B225" s="92" t="s">
        <v>155</v>
      </c>
      <c r="C225" s="92" t="s">
        <v>445</v>
      </c>
      <c r="D225" s="92" t="s">
        <v>443</v>
      </c>
      <c r="E225" s="92" t="s">
        <v>95</v>
      </c>
      <c r="F225" s="92" t="s">
        <v>95</v>
      </c>
      <c r="G225" s="92">
        <v>1</v>
      </c>
    </row>
    <row r="226" spans="1:7" x14ac:dyDescent="0.25">
      <c r="A226" s="94" t="str">
        <f t="shared" si="3"/>
        <v>BPE0331All NI consumers</v>
      </c>
      <c r="B226" s="92" t="s">
        <v>157</v>
      </c>
      <c r="C226" s="92" t="s">
        <v>445</v>
      </c>
      <c r="D226" s="92" t="s">
        <v>443</v>
      </c>
      <c r="E226" s="92" t="s">
        <v>95</v>
      </c>
      <c r="F226" s="92" t="s">
        <v>95</v>
      </c>
      <c r="G226" s="92">
        <v>1</v>
      </c>
    </row>
    <row r="227" spans="1:7" x14ac:dyDescent="0.25">
      <c r="A227" s="94" t="str">
        <f t="shared" si="3"/>
        <v>BPE0551All NI consumers</v>
      </c>
      <c r="B227" s="92" t="s">
        <v>159</v>
      </c>
      <c r="C227" s="92" t="s">
        <v>445</v>
      </c>
      <c r="D227" s="92" t="s">
        <v>443</v>
      </c>
      <c r="E227" s="92" t="s">
        <v>95</v>
      </c>
      <c r="F227" s="92" t="s">
        <v>95</v>
      </c>
      <c r="G227" s="92">
        <v>1</v>
      </c>
    </row>
    <row r="228" spans="1:7" x14ac:dyDescent="0.25">
      <c r="A228" s="94" t="str">
        <f t="shared" si="3"/>
        <v>BRB0331All NI consumers</v>
      </c>
      <c r="B228" s="92" t="s">
        <v>161</v>
      </c>
      <c r="C228" s="92" t="s">
        <v>445</v>
      </c>
      <c r="D228" s="92" t="s">
        <v>443</v>
      </c>
      <c r="E228" s="92" t="s">
        <v>95</v>
      </c>
      <c r="F228" s="92" t="s">
        <v>95</v>
      </c>
      <c r="G228" s="92">
        <v>1</v>
      </c>
    </row>
    <row r="229" spans="1:7" x14ac:dyDescent="0.25">
      <c r="A229" s="94" t="str">
        <f t="shared" si="3"/>
        <v>BRK0331All NI consumers</v>
      </c>
      <c r="B229" s="92" t="s">
        <v>162</v>
      </c>
      <c r="C229" s="92" t="s">
        <v>445</v>
      </c>
      <c r="D229" s="92" t="s">
        <v>443</v>
      </c>
      <c r="E229" s="92" t="s">
        <v>95</v>
      </c>
      <c r="F229" s="92" t="s">
        <v>95</v>
      </c>
      <c r="G229" s="92">
        <v>1</v>
      </c>
    </row>
    <row r="230" spans="1:7" x14ac:dyDescent="0.25">
      <c r="A230" s="94" t="str">
        <f t="shared" si="3"/>
        <v>CBG0111All NI consumers</v>
      </c>
      <c r="B230" s="92" t="s">
        <v>166</v>
      </c>
      <c r="C230" s="92" t="s">
        <v>445</v>
      </c>
      <c r="D230" s="92" t="s">
        <v>443</v>
      </c>
      <c r="E230" s="92" t="s">
        <v>95</v>
      </c>
      <c r="F230" s="92" t="s">
        <v>95</v>
      </c>
      <c r="G230" s="92">
        <v>1</v>
      </c>
    </row>
    <row r="231" spans="1:7" x14ac:dyDescent="0.25">
      <c r="A231" s="94" t="str">
        <f t="shared" si="3"/>
        <v>CPK0111All NI consumers</v>
      </c>
      <c r="B231" s="92" t="s">
        <v>172</v>
      </c>
      <c r="C231" s="92" t="s">
        <v>445</v>
      </c>
      <c r="D231" s="92" t="s">
        <v>443</v>
      </c>
      <c r="E231" s="92" t="s">
        <v>95</v>
      </c>
      <c r="F231" s="92" t="s">
        <v>95</v>
      </c>
      <c r="G231" s="92">
        <v>1</v>
      </c>
    </row>
    <row r="232" spans="1:7" x14ac:dyDescent="0.25">
      <c r="A232" s="94" t="str">
        <f t="shared" si="3"/>
        <v>CPK0331All NI consumers</v>
      </c>
      <c r="B232" s="92" t="s">
        <v>173</v>
      </c>
      <c r="C232" s="92" t="s">
        <v>445</v>
      </c>
      <c r="D232" s="92" t="s">
        <v>443</v>
      </c>
      <c r="E232" s="92" t="s">
        <v>95</v>
      </c>
      <c r="F232" s="92" t="s">
        <v>95</v>
      </c>
      <c r="G232" s="92">
        <v>1</v>
      </c>
    </row>
    <row r="233" spans="1:7" x14ac:dyDescent="0.25">
      <c r="A233" s="94" t="str">
        <f t="shared" si="3"/>
        <v>CST0331All NI consumers</v>
      </c>
      <c r="B233" s="92" t="s">
        <v>174</v>
      </c>
      <c r="C233" s="92" t="s">
        <v>445</v>
      </c>
      <c r="D233" s="92" t="s">
        <v>443</v>
      </c>
      <c r="E233" s="92" t="s">
        <v>95</v>
      </c>
      <c r="F233" s="92" t="s">
        <v>95</v>
      </c>
      <c r="G233" s="92">
        <v>1</v>
      </c>
    </row>
    <row r="234" spans="1:7" x14ac:dyDescent="0.25">
      <c r="A234" s="94" t="str">
        <f t="shared" si="3"/>
        <v>DVK0111All NI consumers</v>
      </c>
      <c r="B234" s="92" t="s">
        <v>181</v>
      </c>
      <c r="C234" s="92" t="s">
        <v>445</v>
      </c>
      <c r="D234" s="92" t="s">
        <v>443</v>
      </c>
      <c r="E234" s="92" t="s">
        <v>95</v>
      </c>
      <c r="F234" s="92" t="s">
        <v>95</v>
      </c>
      <c r="G234" s="92">
        <v>1</v>
      </c>
    </row>
    <row r="235" spans="1:7" x14ac:dyDescent="0.25">
      <c r="A235" s="94" t="str">
        <f t="shared" si="3"/>
        <v>EDG0331All NI consumers</v>
      </c>
      <c r="B235" s="92" t="s">
        <v>182</v>
      </c>
      <c r="C235" s="92" t="s">
        <v>445</v>
      </c>
      <c r="D235" s="92" t="s">
        <v>443</v>
      </c>
      <c r="E235" s="92" t="s">
        <v>95</v>
      </c>
      <c r="F235" s="92" t="s">
        <v>95</v>
      </c>
      <c r="G235" s="92">
        <v>1</v>
      </c>
    </row>
    <row r="236" spans="1:7" x14ac:dyDescent="0.25">
      <c r="A236" s="94" t="str">
        <f t="shared" si="3"/>
        <v>FHL0331All NI consumers</v>
      </c>
      <c r="B236" s="92" t="s">
        <v>184</v>
      </c>
      <c r="C236" s="92" t="s">
        <v>445</v>
      </c>
      <c r="D236" s="92" t="s">
        <v>443</v>
      </c>
      <c r="E236" s="92" t="s">
        <v>95</v>
      </c>
      <c r="F236" s="92" t="s">
        <v>95</v>
      </c>
      <c r="G236" s="92">
        <v>1</v>
      </c>
    </row>
    <row r="237" spans="1:7" x14ac:dyDescent="0.25">
      <c r="A237" s="94" t="str">
        <f t="shared" si="3"/>
        <v>GFD0331All NI consumers</v>
      </c>
      <c r="B237" s="92" t="s">
        <v>186</v>
      </c>
      <c r="C237" s="92" t="s">
        <v>445</v>
      </c>
      <c r="D237" s="92" t="s">
        <v>443</v>
      </c>
      <c r="E237" s="92" t="s">
        <v>95</v>
      </c>
      <c r="F237" s="92" t="s">
        <v>95</v>
      </c>
      <c r="G237" s="92">
        <v>1</v>
      </c>
    </row>
    <row r="238" spans="1:7" x14ac:dyDescent="0.25">
      <c r="A238" s="94" t="str">
        <f t="shared" si="3"/>
        <v>GIS0501All NI consumers</v>
      </c>
      <c r="B238" s="92" t="s">
        <v>401</v>
      </c>
      <c r="C238" s="92" t="s">
        <v>445</v>
      </c>
      <c r="D238" s="92" t="s">
        <v>443</v>
      </c>
      <c r="E238" s="92" t="s">
        <v>95</v>
      </c>
      <c r="F238" s="92" t="s">
        <v>95</v>
      </c>
      <c r="G238" s="92">
        <v>1</v>
      </c>
    </row>
    <row r="239" spans="1:7" x14ac:dyDescent="0.25">
      <c r="A239" s="94" t="str">
        <f t="shared" si="3"/>
        <v>GLN0331All NI consumers</v>
      </c>
      <c r="B239" s="92" t="s">
        <v>402</v>
      </c>
      <c r="C239" s="92" t="s">
        <v>445</v>
      </c>
      <c r="D239" s="92" t="s">
        <v>443</v>
      </c>
      <c r="E239" s="92" t="s">
        <v>95</v>
      </c>
      <c r="F239" s="92" t="s">
        <v>95</v>
      </c>
      <c r="G239" s="92">
        <v>1</v>
      </c>
    </row>
    <row r="240" spans="1:7" x14ac:dyDescent="0.25">
      <c r="A240" s="94" t="str">
        <f t="shared" si="3"/>
        <v>GLN0332All NI consumers</v>
      </c>
      <c r="B240" s="92" t="s">
        <v>403</v>
      </c>
      <c r="C240" s="92" t="s">
        <v>445</v>
      </c>
      <c r="D240" s="92" t="s">
        <v>443</v>
      </c>
      <c r="E240" s="92" t="s">
        <v>95</v>
      </c>
      <c r="F240" s="92" t="s">
        <v>95</v>
      </c>
      <c r="G240" s="92">
        <v>1</v>
      </c>
    </row>
    <row r="241" spans="1:21" x14ac:dyDescent="0.25">
      <c r="A241" s="94" t="str">
        <f t="shared" si="3"/>
        <v>GYT0331All NI consumers</v>
      </c>
      <c r="B241" s="92" t="s">
        <v>191</v>
      </c>
      <c r="C241" s="92" t="s">
        <v>445</v>
      </c>
      <c r="D241" s="92" t="s">
        <v>443</v>
      </c>
      <c r="E241" s="92" t="s">
        <v>95</v>
      </c>
      <c r="F241" s="92" t="s">
        <v>95</v>
      </c>
      <c r="G241" s="92">
        <v>1</v>
      </c>
    </row>
    <row r="242" spans="1:21" x14ac:dyDescent="0.25">
      <c r="A242" s="94" t="str">
        <f t="shared" si="3"/>
        <v>HAM0111All NI consumers</v>
      </c>
      <c r="B242" s="92" t="s">
        <v>192</v>
      </c>
      <c r="C242" s="92" t="s">
        <v>445</v>
      </c>
      <c r="D242" s="92" t="s">
        <v>443</v>
      </c>
      <c r="E242" s="92" t="s">
        <v>95</v>
      </c>
      <c r="F242" s="92" t="s">
        <v>95</v>
      </c>
      <c r="G242" s="92">
        <v>1</v>
      </c>
    </row>
    <row r="243" spans="1:21" x14ac:dyDescent="0.25">
      <c r="A243" s="94" t="str">
        <f t="shared" si="3"/>
        <v>HAM0331All NI consumers</v>
      </c>
      <c r="B243" s="92" t="s">
        <v>193</v>
      </c>
      <c r="C243" s="92" t="s">
        <v>445</v>
      </c>
      <c r="D243" s="92" t="s">
        <v>443</v>
      </c>
      <c r="E243" s="92" t="s">
        <v>95</v>
      </c>
      <c r="F243" s="92" t="s">
        <v>95</v>
      </c>
      <c r="G243" s="92">
        <v>1</v>
      </c>
    </row>
    <row r="244" spans="1:21" x14ac:dyDescent="0.25">
      <c r="A244" s="94" t="str">
        <f t="shared" si="3"/>
        <v>HAM0551All NI consumers</v>
      </c>
      <c r="B244" s="92" t="s">
        <v>194</v>
      </c>
      <c r="C244" s="92" t="s">
        <v>445</v>
      </c>
      <c r="D244" s="92" t="s">
        <v>443</v>
      </c>
      <c r="E244" s="92" t="s">
        <v>95</v>
      </c>
      <c r="F244" s="92" t="s">
        <v>95</v>
      </c>
      <c r="G244" s="92">
        <v>1</v>
      </c>
    </row>
    <row r="245" spans="1:21" x14ac:dyDescent="0.25">
      <c r="A245" s="94" t="str">
        <f t="shared" si="3"/>
        <v>HAY0111All NI consumers</v>
      </c>
      <c r="B245" s="92" t="s">
        <v>195</v>
      </c>
      <c r="C245" s="92" t="s">
        <v>445</v>
      </c>
      <c r="D245" s="92" t="s">
        <v>443</v>
      </c>
      <c r="E245" s="92" t="s">
        <v>95</v>
      </c>
      <c r="F245" s="92" t="s">
        <v>95</v>
      </c>
      <c r="G245" s="92">
        <v>1</v>
      </c>
    </row>
    <row r="246" spans="1:21" x14ac:dyDescent="0.25">
      <c r="A246" s="94" t="str">
        <f t="shared" si="3"/>
        <v>HAY0331All NI consumers</v>
      </c>
      <c r="B246" s="92" t="s">
        <v>196</v>
      </c>
      <c r="C246" s="92" t="s">
        <v>445</v>
      </c>
      <c r="D246" s="92" t="s">
        <v>443</v>
      </c>
      <c r="E246" s="92" t="s">
        <v>95</v>
      </c>
      <c r="F246" s="92" t="s">
        <v>95</v>
      </c>
      <c r="G246" s="92">
        <v>1</v>
      </c>
    </row>
    <row r="247" spans="1:21" x14ac:dyDescent="0.25">
      <c r="A247" s="94" t="str">
        <f t="shared" si="3"/>
        <v>HEN0331All NI consumers</v>
      </c>
      <c r="B247" s="92" t="s">
        <v>197</v>
      </c>
      <c r="C247" s="92" t="s">
        <v>445</v>
      </c>
      <c r="D247" s="92" t="s">
        <v>443</v>
      </c>
      <c r="E247" s="92" t="s">
        <v>95</v>
      </c>
      <c r="F247" s="92" t="s">
        <v>95</v>
      </c>
      <c r="G247" s="92">
        <v>1</v>
      </c>
    </row>
    <row r="248" spans="1:21" x14ac:dyDescent="0.25">
      <c r="A248" s="94" t="str">
        <f t="shared" si="3"/>
        <v>HEP0331All NI consumers</v>
      </c>
      <c r="B248" s="92" t="s">
        <v>198</v>
      </c>
      <c r="C248" s="92" t="s">
        <v>445</v>
      </c>
      <c r="D248" s="92" t="s">
        <v>443</v>
      </c>
      <c r="E248" s="92" t="s">
        <v>95</v>
      </c>
      <c r="F248" s="92" t="s">
        <v>95</v>
      </c>
      <c r="G248" s="92">
        <v>1</v>
      </c>
    </row>
    <row r="249" spans="1:21" x14ac:dyDescent="0.25">
      <c r="A249" s="94" t="str">
        <f t="shared" si="3"/>
        <v>HIN0331All NI consumers</v>
      </c>
      <c r="B249" s="92" t="s">
        <v>199</v>
      </c>
      <c r="C249" s="92" t="s">
        <v>445</v>
      </c>
      <c r="D249" s="92" t="s">
        <v>443</v>
      </c>
      <c r="E249" s="92" t="s">
        <v>95</v>
      </c>
      <c r="F249" s="92" t="s">
        <v>95</v>
      </c>
      <c r="G249" s="92">
        <v>1</v>
      </c>
    </row>
    <row r="250" spans="1:21" x14ac:dyDescent="0.25">
      <c r="A250" s="94" t="str">
        <f t="shared" si="3"/>
        <v>HLY0331All NI consumers</v>
      </c>
      <c r="B250" s="92" t="s">
        <v>201</v>
      </c>
      <c r="C250" s="92" t="s">
        <v>445</v>
      </c>
      <c r="D250" s="92" t="s">
        <v>443</v>
      </c>
      <c r="E250" s="92" t="s">
        <v>95</v>
      </c>
      <c r="F250" s="92" t="s">
        <v>95</v>
      </c>
      <c r="G250" s="92">
        <v>1</v>
      </c>
    </row>
    <row r="251" spans="1:21" x14ac:dyDescent="0.25">
      <c r="A251" s="94" t="str">
        <f t="shared" si="3"/>
        <v>HTI0331All NI consumers</v>
      </c>
      <c r="B251" s="92" t="s">
        <v>209</v>
      </c>
      <c r="C251" s="92" t="s">
        <v>445</v>
      </c>
      <c r="D251" s="92" t="s">
        <v>443</v>
      </c>
      <c r="E251" s="92" t="s">
        <v>95</v>
      </c>
      <c r="F251" s="92" t="s">
        <v>95</v>
      </c>
      <c r="G251" s="92">
        <v>1</v>
      </c>
    </row>
    <row r="252" spans="1:21" s="190" customFormat="1" x14ac:dyDescent="0.25">
      <c r="A252" s="94" t="str">
        <f t="shared" si="3"/>
        <v>HOB1101All NI consumers</v>
      </c>
      <c r="B252" s="92" t="s">
        <v>206</v>
      </c>
      <c r="C252" s="92" t="s">
        <v>445</v>
      </c>
      <c r="D252" s="92" t="s">
        <v>443</v>
      </c>
      <c r="E252" s="92" t="s">
        <v>95</v>
      </c>
      <c r="F252" s="92" t="s">
        <v>95</v>
      </c>
      <c r="G252" s="92">
        <v>1</v>
      </c>
      <c r="K252" s="20"/>
      <c r="L252" s="20"/>
      <c r="M252" s="20"/>
      <c r="N252" s="20"/>
      <c r="O252" s="20"/>
      <c r="P252" s="20"/>
      <c r="Q252" s="20"/>
      <c r="R252" s="20"/>
      <c r="S252" s="20"/>
      <c r="T252" s="20"/>
      <c r="U252" s="20"/>
    </row>
    <row r="253" spans="1:21" x14ac:dyDescent="0.25">
      <c r="A253" s="94" t="str">
        <f t="shared" si="3"/>
        <v>HUI0331All NI consumers</v>
      </c>
      <c r="B253" s="92" t="s">
        <v>210</v>
      </c>
      <c r="C253" s="92" t="s">
        <v>445</v>
      </c>
      <c r="D253" s="92" t="s">
        <v>443</v>
      </c>
      <c r="E253" s="92" t="s">
        <v>95</v>
      </c>
      <c r="F253" s="92" t="s">
        <v>95</v>
      </c>
      <c r="G253" s="92">
        <v>1</v>
      </c>
    </row>
    <row r="254" spans="1:21" x14ac:dyDescent="0.25">
      <c r="A254" s="94" t="str">
        <f t="shared" si="3"/>
        <v>HWA0331All NI consumers</v>
      </c>
      <c r="B254" s="92" t="s">
        <v>211</v>
      </c>
      <c r="C254" s="92" t="s">
        <v>445</v>
      </c>
      <c r="D254" s="92" t="s">
        <v>443</v>
      </c>
      <c r="E254" s="92" t="s">
        <v>95</v>
      </c>
      <c r="F254" s="92" t="s">
        <v>95</v>
      </c>
      <c r="G254" s="92">
        <v>1</v>
      </c>
    </row>
    <row r="255" spans="1:21" x14ac:dyDescent="0.25">
      <c r="A255" s="94" t="str">
        <f t="shared" si="3"/>
        <v>HWA0332All NI consumers</v>
      </c>
      <c r="B255" s="92" t="s">
        <v>212</v>
      </c>
      <c r="C255" s="92" t="s">
        <v>445</v>
      </c>
      <c r="D255" s="92" t="s">
        <v>443</v>
      </c>
      <c r="E255" s="92" t="s">
        <v>95</v>
      </c>
      <c r="F255" s="92" t="s">
        <v>95</v>
      </c>
      <c r="G255" s="92">
        <v>1</v>
      </c>
    </row>
    <row r="256" spans="1:21" x14ac:dyDescent="0.25">
      <c r="A256" s="94" t="str">
        <f t="shared" si="3"/>
        <v>HWA1101All NI consumers</v>
      </c>
      <c r="B256" s="92" t="s">
        <v>213</v>
      </c>
      <c r="C256" s="92" t="s">
        <v>445</v>
      </c>
      <c r="D256" s="92" t="s">
        <v>443</v>
      </c>
      <c r="E256" s="92" t="s">
        <v>95</v>
      </c>
      <c r="F256" s="92" t="s">
        <v>95</v>
      </c>
      <c r="G256" s="92">
        <v>1</v>
      </c>
    </row>
    <row r="257" spans="1:7" x14ac:dyDescent="0.25">
      <c r="A257" s="94" t="str">
        <f t="shared" si="3"/>
        <v>HWA1102All NI consumers</v>
      </c>
      <c r="B257" s="92" t="s">
        <v>217</v>
      </c>
      <c r="C257" s="92" t="s">
        <v>445</v>
      </c>
      <c r="D257" s="92" t="s">
        <v>443</v>
      </c>
      <c r="E257" s="92" t="s">
        <v>95</v>
      </c>
      <c r="F257" s="92" t="s">
        <v>95</v>
      </c>
      <c r="G257" s="92">
        <v>1</v>
      </c>
    </row>
    <row r="258" spans="1:7" x14ac:dyDescent="0.25">
      <c r="A258" s="94" t="str">
        <f t="shared" si="3"/>
        <v>KAW0111All NI consumers</v>
      </c>
      <c r="B258" s="92" t="s">
        <v>229</v>
      </c>
      <c r="C258" s="92" t="s">
        <v>445</v>
      </c>
      <c r="D258" s="92" t="s">
        <v>443</v>
      </c>
      <c r="E258" s="92" t="s">
        <v>95</v>
      </c>
      <c r="F258" s="92" t="s">
        <v>95</v>
      </c>
      <c r="G258" s="92">
        <v>1</v>
      </c>
    </row>
    <row r="259" spans="1:7" x14ac:dyDescent="0.25">
      <c r="A259" s="94" t="str">
        <f t="shared" si="3"/>
        <v>KAW0112All NI consumers</v>
      </c>
      <c r="B259" s="92" t="s">
        <v>404</v>
      </c>
      <c r="C259" s="92" t="s">
        <v>445</v>
      </c>
      <c r="D259" s="92" t="s">
        <v>443</v>
      </c>
      <c r="E259" s="92" t="s">
        <v>95</v>
      </c>
      <c r="F259" s="92" t="s">
        <v>95</v>
      </c>
      <c r="G259" s="92">
        <v>1</v>
      </c>
    </row>
    <row r="260" spans="1:7" x14ac:dyDescent="0.25">
      <c r="A260" s="94" t="str">
        <f t="shared" si="3"/>
        <v>KAW0113All NI consumers</v>
      </c>
      <c r="B260" s="92" t="s">
        <v>405</v>
      </c>
      <c r="C260" s="92" t="s">
        <v>445</v>
      </c>
      <c r="D260" s="92" t="s">
        <v>443</v>
      </c>
      <c r="E260" s="92" t="s">
        <v>95</v>
      </c>
      <c r="F260" s="92" t="s">
        <v>95</v>
      </c>
      <c r="G260" s="92">
        <v>1</v>
      </c>
    </row>
    <row r="261" spans="1:7" x14ac:dyDescent="0.25">
      <c r="A261" s="94" t="str">
        <f t="shared" si="3"/>
        <v>KAW1101All NI consumers</v>
      </c>
      <c r="B261" s="92" t="s">
        <v>406</v>
      </c>
      <c r="C261" s="92" t="s">
        <v>445</v>
      </c>
      <c r="D261" s="92" t="s">
        <v>443</v>
      </c>
      <c r="E261" s="92" t="s">
        <v>95</v>
      </c>
      <c r="F261" s="92" t="s">
        <v>95</v>
      </c>
      <c r="G261" s="92">
        <v>1</v>
      </c>
    </row>
    <row r="262" spans="1:7" x14ac:dyDescent="0.25">
      <c r="A262" s="94" t="str">
        <f t="shared" si="3"/>
        <v>KEN0331All NI consumers</v>
      </c>
      <c r="B262" s="92" t="s">
        <v>407</v>
      </c>
      <c r="C262" s="92" t="s">
        <v>445</v>
      </c>
      <c r="D262" s="92" t="s">
        <v>443</v>
      </c>
      <c r="E262" s="92" t="s">
        <v>95</v>
      </c>
      <c r="F262" s="92" t="s">
        <v>95</v>
      </c>
      <c r="G262" s="92">
        <v>1</v>
      </c>
    </row>
    <row r="263" spans="1:7" x14ac:dyDescent="0.25">
      <c r="A263" s="94" t="str">
        <f t="shared" si="3"/>
        <v>KIN0111All NI consumers</v>
      </c>
      <c r="B263" s="92" t="s">
        <v>408</v>
      </c>
      <c r="C263" s="92" t="s">
        <v>445</v>
      </c>
      <c r="D263" s="92" t="s">
        <v>443</v>
      </c>
      <c r="E263" s="92" t="s">
        <v>95</v>
      </c>
      <c r="F263" s="92" t="s">
        <v>95</v>
      </c>
      <c r="G263" s="92">
        <v>1</v>
      </c>
    </row>
    <row r="264" spans="1:7" x14ac:dyDescent="0.25">
      <c r="A264" s="94" t="str">
        <f t="shared" si="3"/>
        <v>KIN0112All NI consumers</v>
      </c>
      <c r="B264" s="92" t="s">
        <v>409</v>
      </c>
      <c r="C264" s="92" t="s">
        <v>445</v>
      </c>
      <c r="D264" s="92" t="s">
        <v>443</v>
      </c>
      <c r="E264" s="92" t="s">
        <v>95</v>
      </c>
      <c r="F264" s="92" t="s">
        <v>95</v>
      </c>
      <c r="G264" s="92">
        <v>1</v>
      </c>
    </row>
    <row r="265" spans="1:7" x14ac:dyDescent="0.25">
      <c r="A265" s="94" t="str">
        <f t="shared" ref="A265:A328" si="4">B265&amp;C265</f>
        <v>KIN0113All NI consumers</v>
      </c>
      <c r="B265" s="92" t="s">
        <v>410</v>
      </c>
      <c r="C265" s="92" t="s">
        <v>445</v>
      </c>
      <c r="D265" s="92" t="s">
        <v>443</v>
      </c>
      <c r="E265" s="92" t="s">
        <v>95</v>
      </c>
      <c r="F265" s="92" t="s">
        <v>95</v>
      </c>
      <c r="G265" s="92">
        <v>1</v>
      </c>
    </row>
    <row r="266" spans="1:7" x14ac:dyDescent="0.25">
      <c r="A266" s="94" t="str">
        <f t="shared" si="4"/>
        <v>KIN0331All NI consumers</v>
      </c>
      <c r="B266" s="92" t="s">
        <v>234</v>
      </c>
      <c r="C266" s="92" t="s">
        <v>445</v>
      </c>
      <c r="D266" s="92" t="s">
        <v>443</v>
      </c>
      <c r="E266" s="92" t="s">
        <v>95</v>
      </c>
      <c r="F266" s="92" t="s">
        <v>95</v>
      </c>
      <c r="G266" s="92">
        <v>1</v>
      </c>
    </row>
    <row r="267" spans="1:7" x14ac:dyDescent="0.25">
      <c r="A267" s="94" t="str">
        <f t="shared" si="4"/>
        <v>KMO0331All NI consumers</v>
      </c>
      <c r="B267" s="92" t="s">
        <v>235</v>
      </c>
      <c r="C267" s="92" t="s">
        <v>445</v>
      </c>
      <c r="D267" s="92" t="s">
        <v>443</v>
      </c>
      <c r="E267" s="92" t="s">
        <v>95</v>
      </c>
      <c r="F267" s="92" t="s">
        <v>95</v>
      </c>
      <c r="G267" s="92">
        <v>1</v>
      </c>
    </row>
    <row r="268" spans="1:7" x14ac:dyDescent="0.25">
      <c r="A268" s="94" t="str">
        <f t="shared" si="4"/>
        <v>KOE1101All NI consumers</v>
      </c>
      <c r="B268" s="92" t="s">
        <v>236</v>
      </c>
      <c r="C268" s="92" t="s">
        <v>445</v>
      </c>
      <c r="D268" s="92" t="s">
        <v>443</v>
      </c>
      <c r="E268" s="92" t="s">
        <v>95</v>
      </c>
      <c r="F268" s="92" t="s">
        <v>95</v>
      </c>
      <c r="G268" s="92">
        <v>1</v>
      </c>
    </row>
    <row r="269" spans="1:7" x14ac:dyDescent="0.25">
      <c r="A269" s="94" t="str">
        <f t="shared" si="4"/>
        <v>KPA1101All NI consumers</v>
      </c>
      <c r="B269" s="92" t="s">
        <v>411</v>
      </c>
      <c r="C269" s="92" t="s">
        <v>445</v>
      </c>
      <c r="D269" s="92" t="s">
        <v>443</v>
      </c>
      <c r="E269" s="92" t="s">
        <v>95</v>
      </c>
      <c r="F269" s="92" t="s">
        <v>95</v>
      </c>
      <c r="G269" s="92">
        <v>1</v>
      </c>
    </row>
    <row r="270" spans="1:7" x14ac:dyDescent="0.25">
      <c r="A270" s="94" t="str">
        <f t="shared" si="4"/>
        <v>KPU0661All NI consumers</v>
      </c>
      <c r="B270" s="92" t="s">
        <v>240</v>
      </c>
      <c r="C270" s="92" t="s">
        <v>445</v>
      </c>
      <c r="D270" s="92" t="s">
        <v>443</v>
      </c>
      <c r="E270" s="92" t="s">
        <v>95</v>
      </c>
      <c r="F270" s="92" t="s">
        <v>95</v>
      </c>
      <c r="G270" s="92">
        <v>1</v>
      </c>
    </row>
    <row r="271" spans="1:7" x14ac:dyDescent="0.25">
      <c r="A271" s="94" t="str">
        <f t="shared" si="4"/>
        <v>KWA0111All NI consumers</v>
      </c>
      <c r="B271" s="92" t="s">
        <v>243</v>
      </c>
      <c r="C271" s="92" t="s">
        <v>445</v>
      </c>
      <c r="D271" s="92" t="s">
        <v>443</v>
      </c>
      <c r="E271" s="92" t="s">
        <v>95</v>
      </c>
      <c r="F271" s="92" t="s">
        <v>95</v>
      </c>
      <c r="G271" s="92">
        <v>1</v>
      </c>
    </row>
    <row r="272" spans="1:7" x14ac:dyDescent="0.25">
      <c r="A272" s="94" t="str">
        <f t="shared" si="4"/>
        <v>LFD1101All NI consumers</v>
      </c>
      <c r="B272" s="92" t="s">
        <v>244</v>
      </c>
      <c r="C272" s="92" t="s">
        <v>445</v>
      </c>
      <c r="D272" s="92" t="s">
        <v>443</v>
      </c>
      <c r="E272" s="92" t="s">
        <v>95</v>
      </c>
      <c r="F272" s="92" t="s">
        <v>95</v>
      </c>
      <c r="G272" s="92">
        <v>1</v>
      </c>
    </row>
    <row r="273" spans="1:7" x14ac:dyDescent="0.25">
      <c r="A273" s="94" t="str">
        <f t="shared" si="4"/>
        <v>LFD1102All NI consumers</v>
      </c>
      <c r="B273" s="92" t="s">
        <v>245</v>
      </c>
      <c r="C273" s="92" t="s">
        <v>445</v>
      </c>
      <c r="D273" s="92" t="s">
        <v>443</v>
      </c>
      <c r="E273" s="92" t="s">
        <v>95</v>
      </c>
      <c r="F273" s="92" t="s">
        <v>95</v>
      </c>
      <c r="G273" s="92">
        <v>1</v>
      </c>
    </row>
    <row r="274" spans="1:7" x14ac:dyDescent="0.25">
      <c r="A274" s="94" t="str">
        <f t="shared" si="4"/>
        <v>LTN0331All NI consumers</v>
      </c>
      <c r="B274" s="92" t="s">
        <v>246</v>
      </c>
      <c r="C274" s="92" t="s">
        <v>445</v>
      </c>
      <c r="D274" s="92" t="s">
        <v>443</v>
      </c>
      <c r="E274" s="92" t="s">
        <v>95</v>
      </c>
      <c r="F274" s="92" t="s">
        <v>95</v>
      </c>
      <c r="G274" s="92">
        <v>1</v>
      </c>
    </row>
    <row r="275" spans="1:7" x14ac:dyDescent="0.25">
      <c r="A275" s="94" t="str">
        <f t="shared" si="4"/>
        <v>MAT1101All NI consumers</v>
      </c>
      <c r="B275" s="92" t="s">
        <v>249</v>
      </c>
      <c r="C275" s="92" t="s">
        <v>445</v>
      </c>
      <c r="D275" s="92" t="s">
        <v>443</v>
      </c>
      <c r="E275" s="92" t="s">
        <v>95</v>
      </c>
      <c r="F275" s="92" t="s">
        <v>95</v>
      </c>
      <c r="G275" s="92">
        <v>1</v>
      </c>
    </row>
    <row r="276" spans="1:7" x14ac:dyDescent="0.25">
      <c r="A276" s="94" t="str">
        <f t="shared" si="4"/>
        <v>MER0331All NI consumers</v>
      </c>
      <c r="B276" s="92" t="s">
        <v>254</v>
      </c>
      <c r="C276" s="92" t="s">
        <v>445</v>
      </c>
      <c r="D276" s="92" t="s">
        <v>443</v>
      </c>
      <c r="E276" s="92" t="s">
        <v>95</v>
      </c>
      <c r="F276" s="92" t="s">
        <v>95</v>
      </c>
      <c r="G276" s="92">
        <v>1</v>
      </c>
    </row>
    <row r="277" spans="1:7" x14ac:dyDescent="0.25">
      <c r="A277" s="94" t="str">
        <f t="shared" si="4"/>
        <v>MGM0331All NI consumers</v>
      </c>
      <c r="B277" s="92" t="s">
        <v>255</v>
      </c>
      <c r="C277" s="92" t="s">
        <v>445</v>
      </c>
      <c r="D277" s="92" t="s">
        <v>443</v>
      </c>
      <c r="E277" s="92" t="s">
        <v>95</v>
      </c>
      <c r="F277" s="92" t="s">
        <v>95</v>
      </c>
      <c r="G277" s="92">
        <v>1</v>
      </c>
    </row>
    <row r="278" spans="1:7" x14ac:dyDescent="0.25">
      <c r="A278" s="94" t="str">
        <f t="shared" si="4"/>
        <v>MHO0331All NI consumers</v>
      </c>
      <c r="B278" s="92" t="s">
        <v>256</v>
      </c>
      <c r="C278" s="92" t="s">
        <v>445</v>
      </c>
      <c r="D278" s="92" t="s">
        <v>443</v>
      </c>
      <c r="E278" s="92" t="s">
        <v>95</v>
      </c>
      <c r="F278" s="92" t="s">
        <v>95</v>
      </c>
      <c r="G278" s="92">
        <v>1</v>
      </c>
    </row>
    <row r="279" spans="1:7" x14ac:dyDescent="0.25">
      <c r="A279" s="94" t="str">
        <f t="shared" si="4"/>
        <v>MKE1101All NI consumers</v>
      </c>
      <c r="B279" s="92" t="s">
        <v>258</v>
      </c>
      <c r="C279" s="92" t="s">
        <v>445</v>
      </c>
      <c r="D279" s="92" t="s">
        <v>443</v>
      </c>
      <c r="E279" s="92" t="s">
        <v>95</v>
      </c>
      <c r="F279" s="92" t="s">
        <v>95</v>
      </c>
      <c r="G279" s="92">
        <v>1</v>
      </c>
    </row>
    <row r="280" spans="1:7" x14ac:dyDescent="0.25">
      <c r="A280" s="94" t="str">
        <f t="shared" si="4"/>
        <v>MLG0111All NI consumers</v>
      </c>
      <c r="B280" s="92" t="s">
        <v>260</v>
      </c>
      <c r="C280" s="92" t="s">
        <v>445</v>
      </c>
      <c r="D280" s="92" t="s">
        <v>443</v>
      </c>
      <c r="E280" s="92" t="s">
        <v>95</v>
      </c>
      <c r="F280" s="92" t="s">
        <v>95</v>
      </c>
      <c r="G280" s="92">
        <v>1</v>
      </c>
    </row>
    <row r="281" spans="1:7" x14ac:dyDescent="0.25">
      <c r="A281" s="94" t="str">
        <f t="shared" si="4"/>
        <v>MLG0331All NI consumers</v>
      </c>
      <c r="B281" s="92" t="s">
        <v>261</v>
      </c>
      <c r="C281" s="92" t="s">
        <v>445</v>
      </c>
      <c r="D281" s="92" t="s">
        <v>443</v>
      </c>
      <c r="E281" s="92" t="s">
        <v>95</v>
      </c>
      <c r="F281" s="92" t="s">
        <v>95</v>
      </c>
      <c r="G281" s="92">
        <v>1</v>
      </c>
    </row>
    <row r="282" spans="1:7" x14ac:dyDescent="0.25">
      <c r="A282" s="94" t="str">
        <f t="shared" si="4"/>
        <v>MNG0331All NI consumers</v>
      </c>
      <c r="B282" s="92" t="s">
        <v>262</v>
      </c>
      <c r="C282" s="92" t="s">
        <v>445</v>
      </c>
      <c r="D282" s="92" t="s">
        <v>443</v>
      </c>
      <c r="E282" s="92" t="s">
        <v>95</v>
      </c>
      <c r="F282" s="92" t="s">
        <v>95</v>
      </c>
      <c r="G282" s="92">
        <v>1</v>
      </c>
    </row>
    <row r="283" spans="1:7" x14ac:dyDescent="0.25">
      <c r="A283" s="94" t="str">
        <f t="shared" si="4"/>
        <v>MNG1101All NI consumers</v>
      </c>
      <c r="B283" s="92" t="s">
        <v>263</v>
      </c>
      <c r="C283" s="92" t="s">
        <v>445</v>
      </c>
      <c r="D283" s="92" t="s">
        <v>443</v>
      </c>
      <c r="E283" s="92" t="s">
        <v>95</v>
      </c>
      <c r="F283" s="92" t="s">
        <v>95</v>
      </c>
      <c r="G283" s="92">
        <v>1</v>
      </c>
    </row>
    <row r="284" spans="1:7" x14ac:dyDescent="0.25">
      <c r="A284" s="94" t="str">
        <f t="shared" si="4"/>
        <v>MNI0111All NI consumers</v>
      </c>
      <c r="B284" s="92" t="s">
        <v>264</v>
      </c>
      <c r="C284" s="92" t="s">
        <v>445</v>
      </c>
      <c r="D284" s="92" t="s">
        <v>443</v>
      </c>
      <c r="E284" s="92" t="s">
        <v>95</v>
      </c>
      <c r="F284" s="92" t="s">
        <v>95</v>
      </c>
      <c r="G284" s="92">
        <v>1</v>
      </c>
    </row>
    <row r="285" spans="1:7" x14ac:dyDescent="0.25">
      <c r="A285" s="94" t="str">
        <f t="shared" si="4"/>
        <v>MPE1101All NI consumers</v>
      </c>
      <c r="B285" s="92" t="s">
        <v>265</v>
      </c>
      <c r="C285" s="92" t="s">
        <v>445</v>
      </c>
      <c r="D285" s="92" t="s">
        <v>443</v>
      </c>
      <c r="E285" s="92" t="s">
        <v>95</v>
      </c>
      <c r="F285" s="92" t="s">
        <v>95</v>
      </c>
      <c r="G285" s="92">
        <v>1</v>
      </c>
    </row>
    <row r="286" spans="1:7" x14ac:dyDescent="0.25">
      <c r="A286" s="94" t="str">
        <f t="shared" si="4"/>
        <v>MST0331All NI consumers</v>
      </c>
      <c r="B286" s="92" t="s">
        <v>266</v>
      </c>
      <c r="C286" s="92" t="s">
        <v>445</v>
      </c>
      <c r="D286" s="92" t="s">
        <v>443</v>
      </c>
      <c r="E286" s="92" t="s">
        <v>95</v>
      </c>
      <c r="F286" s="92" t="s">
        <v>95</v>
      </c>
      <c r="G286" s="92">
        <v>1</v>
      </c>
    </row>
    <row r="287" spans="1:7" x14ac:dyDescent="0.25">
      <c r="A287" s="94" t="str">
        <f t="shared" si="4"/>
        <v>MTM0331All NI consumers</v>
      </c>
      <c r="B287" s="92" t="s">
        <v>268</v>
      </c>
      <c r="C287" s="92" t="s">
        <v>445</v>
      </c>
      <c r="D287" s="92" t="s">
        <v>443</v>
      </c>
      <c r="E287" s="92" t="s">
        <v>95</v>
      </c>
      <c r="F287" s="92" t="s">
        <v>95</v>
      </c>
      <c r="G287" s="92">
        <v>1</v>
      </c>
    </row>
    <row r="288" spans="1:7" x14ac:dyDescent="0.25">
      <c r="A288" s="94" t="str">
        <f t="shared" si="4"/>
        <v>MTN0331All NI consumers</v>
      </c>
      <c r="B288" s="92" t="s">
        <v>269</v>
      </c>
      <c r="C288" s="92" t="s">
        <v>445</v>
      </c>
      <c r="D288" s="92" t="s">
        <v>443</v>
      </c>
      <c r="E288" s="92" t="s">
        <v>95</v>
      </c>
      <c r="F288" s="92" t="s">
        <v>95</v>
      </c>
      <c r="G288" s="92">
        <v>1</v>
      </c>
    </row>
    <row r="289" spans="1:7" x14ac:dyDescent="0.25">
      <c r="A289" s="94" t="str">
        <f t="shared" si="4"/>
        <v>MTO0331All NI consumers</v>
      </c>
      <c r="B289" s="92" t="s">
        <v>270</v>
      </c>
      <c r="C289" s="92" t="s">
        <v>445</v>
      </c>
      <c r="D289" s="92" t="s">
        <v>443</v>
      </c>
      <c r="E289" s="92" t="s">
        <v>95</v>
      </c>
      <c r="F289" s="92" t="s">
        <v>95</v>
      </c>
      <c r="G289" s="92">
        <v>1</v>
      </c>
    </row>
    <row r="290" spans="1:7" x14ac:dyDescent="0.25">
      <c r="A290" s="94" t="str">
        <f t="shared" si="4"/>
        <v>MTR0331All NI consumers</v>
      </c>
      <c r="B290" s="92" t="s">
        <v>271</v>
      </c>
      <c r="C290" s="92" t="s">
        <v>445</v>
      </c>
      <c r="D290" s="92" t="s">
        <v>443</v>
      </c>
      <c r="E290" s="92" t="s">
        <v>95</v>
      </c>
      <c r="F290" s="92" t="s">
        <v>95</v>
      </c>
      <c r="G290" s="92">
        <v>1</v>
      </c>
    </row>
    <row r="291" spans="1:7" x14ac:dyDescent="0.25">
      <c r="A291" s="94" t="str">
        <f t="shared" si="4"/>
        <v>NAP2201All NI consumers</v>
      </c>
      <c r="B291" s="92" t="s">
        <v>272</v>
      </c>
      <c r="C291" s="92" t="s">
        <v>445</v>
      </c>
      <c r="D291" s="92" t="s">
        <v>443</v>
      </c>
      <c r="E291" s="92" t="s">
        <v>95</v>
      </c>
      <c r="F291" s="92" t="s">
        <v>95</v>
      </c>
      <c r="G291" s="92">
        <v>1</v>
      </c>
    </row>
    <row r="292" spans="1:7" x14ac:dyDescent="0.25">
      <c r="A292" s="94" t="str">
        <f t="shared" si="4"/>
        <v>NPK0331All NI consumers</v>
      </c>
      <c r="B292" s="92" t="s">
        <v>278</v>
      </c>
      <c r="C292" s="92" t="s">
        <v>445</v>
      </c>
      <c r="D292" s="92" t="s">
        <v>443</v>
      </c>
      <c r="E292" s="92" t="s">
        <v>95</v>
      </c>
      <c r="F292" s="92" t="s">
        <v>95</v>
      </c>
      <c r="G292" s="92">
        <v>1</v>
      </c>
    </row>
    <row r="293" spans="1:7" x14ac:dyDescent="0.25">
      <c r="A293" s="94" t="str">
        <f t="shared" si="4"/>
        <v>NPL0331All NI consumers</v>
      </c>
      <c r="B293" s="92" t="s">
        <v>279</v>
      </c>
      <c r="C293" s="92" t="s">
        <v>445</v>
      </c>
      <c r="D293" s="92" t="s">
        <v>443</v>
      </c>
      <c r="E293" s="92" t="s">
        <v>95</v>
      </c>
      <c r="F293" s="92" t="s">
        <v>95</v>
      </c>
      <c r="G293" s="92">
        <v>1</v>
      </c>
    </row>
    <row r="294" spans="1:7" x14ac:dyDescent="0.25">
      <c r="A294" s="94" t="str">
        <f t="shared" si="4"/>
        <v>OKN0111All NI consumers</v>
      </c>
      <c r="B294" s="92" t="s">
        <v>288</v>
      </c>
      <c r="C294" s="92" t="s">
        <v>445</v>
      </c>
      <c r="D294" s="92" t="s">
        <v>443</v>
      </c>
      <c r="E294" s="92" t="s">
        <v>95</v>
      </c>
      <c r="F294" s="92" t="s">
        <v>95</v>
      </c>
      <c r="G294" s="92">
        <v>1</v>
      </c>
    </row>
    <row r="295" spans="1:7" x14ac:dyDescent="0.25">
      <c r="A295" s="94" t="str">
        <f t="shared" si="4"/>
        <v>ONG0331All NI consumers</v>
      </c>
      <c r="B295" s="92" t="s">
        <v>289</v>
      </c>
      <c r="C295" s="92" t="s">
        <v>445</v>
      </c>
      <c r="D295" s="92" t="s">
        <v>443</v>
      </c>
      <c r="E295" s="92" t="s">
        <v>95</v>
      </c>
      <c r="F295" s="92" t="s">
        <v>95</v>
      </c>
      <c r="G295" s="92">
        <v>1</v>
      </c>
    </row>
    <row r="296" spans="1:7" x14ac:dyDescent="0.25">
      <c r="A296" s="94" t="str">
        <f t="shared" si="4"/>
        <v>OPK0331All NI consumers</v>
      </c>
      <c r="B296" s="92" t="s">
        <v>290</v>
      </c>
      <c r="C296" s="92" t="s">
        <v>445</v>
      </c>
      <c r="D296" s="92" t="s">
        <v>443</v>
      </c>
      <c r="E296" s="92" t="s">
        <v>95</v>
      </c>
      <c r="F296" s="92" t="s">
        <v>95</v>
      </c>
      <c r="G296" s="92">
        <v>1</v>
      </c>
    </row>
    <row r="297" spans="1:7" x14ac:dyDescent="0.25">
      <c r="A297" s="94" t="str">
        <f t="shared" si="4"/>
        <v>OTA0221All NI consumers</v>
      </c>
      <c r="B297" s="92" t="s">
        <v>293</v>
      </c>
      <c r="C297" s="92" t="s">
        <v>445</v>
      </c>
      <c r="D297" s="92" t="s">
        <v>443</v>
      </c>
      <c r="E297" s="92" t="s">
        <v>95</v>
      </c>
      <c r="F297" s="92" t="s">
        <v>95</v>
      </c>
      <c r="G297" s="92">
        <v>1</v>
      </c>
    </row>
    <row r="298" spans="1:7" x14ac:dyDescent="0.25">
      <c r="A298" s="94" t="str">
        <f t="shared" si="4"/>
        <v>OTA1101All NI consumers</v>
      </c>
      <c r="B298" s="92" t="s">
        <v>417</v>
      </c>
      <c r="C298" s="92" t="s">
        <v>445</v>
      </c>
      <c r="D298" s="92" t="s">
        <v>443</v>
      </c>
      <c r="E298" s="92" t="s">
        <v>95</v>
      </c>
      <c r="F298" s="92" t="s">
        <v>95</v>
      </c>
      <c r="G298" s="92">
        <v>1</v>
      </c>
    </row>
    <row r="299" spans="1:7" x14ac:dyDescent="0.25">
      <c r="A299" s="94" t="str">
        <f t="shared" si="4"/>
        <v>OTA1102All NI consumers</v>
      </c>
      <c r="B299" s="92" t="s">
        <v>418</v>
      </c>
      <c r="C299" s="92" t="s">
        <v>445</v>
      </c>
      <c r="D299" s="92" t="s">
        <v>443</v>
      </c>
      <c r="E299" s="92" t="s">
        <v>95</v>
      </c>
      <c r="F299" s="92" t="s">
        <v>95</v>
      </c>
      <c r="G299" s="92">
        <v>1</v>
      </c>
    </row>
    <row r="300" spans="1:7" x14ac:dyDescent="0.25">
      <c r="A300" s="94" t="str">
        <f t="shared" si="4"/>
        <v>OWH0111All NI consumers</v>
      </c>
      <c r="B300" s="92" t="s">
        <v>295</v>
      </c>
      <c r="C300" s="92" t="s">
        <v>445</v>
      </c>
      <c r="D300" s="92" t="s">
        <v>443</v>
      </c>
      <c r="E300" s="92" t="s">
        <v>95</v>
      </c>
      <c r="F300" s="92" t="s">
        <v>95</v>
      </c>
      <c r="G300" s="92">
        <v>1</v>
      </c>
    </row>
    <row r="301" spans="1:7" x14ac:dyDescent="0.25">
      <c r="A301" s="94" t="str">
        <f t="shared" si="4"/>
        <v>PAK0331All NI consumers</v>
      </c>
      <c r="B301" s="92" t="s">
        <v>296</v>
      </c>
      <c r="C301" s="92" t="s">
        <v>445</v>
      </c>
      <c r="D301" s="92" t="s">
        <v>443</v>
      </c>
      <c r="E301" s="92" t="s">
        <v>95</v>
      </c>
      <c r="F301" s="92" t="s">
        <v>95</v>
      </c>
      <c r="G301" s="92">
        <v>1</v>
      </c>
    </row>
    <row r="302" spans="1:7" x14ac:dyDescent="0.25">
      <c r="A302" s="94" t="str">
        <f t="shared" si="4"/>
        <v>PAO1101All NI consumers</v>
      </c>
      <c r="B302" s="92" t="s">
        <v>297</v>
      </c>
      <c r="C302" s="92" t="s">
        <v>445</v>
      </c>
      <c r="D302" s="92" t="s">
        <v>443</v>
      </c>
      <c r="E302" s="92" t="s">
        <v>95</v>
      </c>
      <c r="F302" s="92" t="s">
        <v>95</v>
      </c>
      <c r="G302" s="92">
        <v>1</v>
      </c>
    </row>
    <row r="303" spans="1:7" x14ac:dyDescent="0.25">
      <c r="A303" s="94" t="str">
        <f t="shared" si="4"/>
        <v>PEN0221All NI consumers</v>
      </c>
      <c r="B303" s="92" t="s">
        <v>298</v>
      </c>
      <c r="C303" s="92" t="s">
        <v>445</v>
      </c>
      <c r="D303" s="92" t="s">
        <v>443</v>
      </c>
      <c r="E303" s="92" t="s">
        <v>95</v>
      </c>
      <c r="F303" s="92" t="s">
        <v>95</v>
      </c>
      <c r="G303" s="92">
        <v>1</v>
      </c>
    </row>
    <row r="304" spans="1:7" x14ac:dyDescent="0.25">
      <c r="A304" s="94" t="str">
        <f t="shared" si="4"/>
        <v>PEN0331All NI consumers</v>
      </c>
      <c r="B304" s="92" t="s">
        <v>300</v>
      </c>
      <c r="C304" s="92" t="s">
        <v>445</v>
      </c>
      <c r="D304" s="92" t="s">
        <v>443</v>
      </c>
      <c r="E304" s="92" t="s">
        <v>95</v>
      </c>
      <c r="F304" s="92" t="s">
        <v>95</v>
      </c>
      <c r="G304" s="92">
        <v>1</v>
      </c>
    </row>
    <row r="305" spans="1:7" x14ac:dyDescent="0.25">
      <c r="A305" s="94" t="str">
        <f t="shared" si="4"/>
        <v>PEN1101All NI consumers</v>
      </c>
      <c r="B305" s="92" t="s">
        <v>301</v>
      </c>
      <c r="C305" s="92" t="s">
        <v>445</v>
      </c>
      <c r="D305" s="92" t="s">
        <v>443</v>
      </c>
      <c r="E305" s="92" t="s">
        <v>95</v>
      </c>
      <c r="F305" s="92" t="s">
        <v>95</v>
      </c>
      <c r="G305" s="92">
        <v>1</v>
      </c>
    </row>
    <row r="306" spans="1:7" x14ac:dyDescent="0.25">
      <c r="A306" s="94" t="str">
        <f t="shared" si="4"/>
        <v>PNI0331All NI consumers</v>
      </c>
      <c r="B306" s="92" t="s">
        <v>302</v>
      </c>
      <c r="C306" s="92" t="s">
        <v>445</v>
      </c>
      <c r="D306" s="92" t="s">
        <v>443</v>
      </c>
      <c r="E306" s="92" t="s">
        <v>95</v>
      </c>
      <c r="F306" s="92" t="s">
        <v>95</v>
      </c>
      <c r="G306" s="92">
        <v>1</v>
      </c>
    </row>
    <row r="307" spans="1:7" x14ac:dyDescent="0.25">
      <c r="A307" s="94" t="str">
        <f t="shared" si="4"/>
        <v>PPI2201All NI consumers</v>
      </c>
      <c r="B307" s="92" t="s">
        <v>303</v>
      </c>
      <c r="C307" s="92" t="s">
        <v>445</v>
      </c>
      <c r="D307" s="92" t="s">
        <v>443</v>
      </c>
      <c r="E307" s="92" t="s">
        <v>95</v>
      </c>
      <c r="F307" s="92" t="s">
        <v>95</v>
      </c>
      <c r="G307" s="92">
        <v>1</v>
      </c>
    </row>
    <row r="308" spans="1:7" x14ac:dyDescent="0.25">
      <c r="A308" s="94" t="str">
        <f t="shared" si="4"/>
        <v>PRM0331All NI consumers</v>
      </c>
      <c r="B308" s="92" t="s">
        <v>305</v>
      </c>
      <c r="C308" s="92" t="s">
        <v>445</v>
      </c>
      <c r="D308" s="92" t="s">
        <v>443</v>
      </c>
      <c r="E308" s="92" t="s">
        <v>95</v>
      </c>
      <c r="F308" s="92" t="s">
        <v>95</v>
      </c>
      <c r="G308" s="92">
        <v>1</v>
      </c>
    </row>
    <row r="309" spans="1:7" x14ac:dyDescent="0.25">
      <c r="A309" s="94" t="str">
        <f t="shared" si="4"/>
        <v>RDF0331All NI consumers</v>
      </c>
      <c r="B309" s="92" t="s">
        <v>306</v>
      </c>
      <c r="C309" s="92" t="s">
        <v>445</v>
      </c>
      <c r="D309" s="92" t="s">
        <v>443</v>
      </c>
      <c r="E309" s="92" t="s">
        <v>95</v>
      </c>
      <c r="F309" s="92" t="s">
        <v>95</v>
      </c>
      <c r="G309" s="92">
        <v>1</v>
      </c>
    </row>
    <row r="310" spans="1:7" x14ac:dyDescent="0.25">
      <c r="A310" s="94" t="str">
        <f t="shared" si="4"/>
        <v>ROS0221All NI consumers</v>
      </c>
      <c r="B310" s="92" t="s">
        <v>309</v>
      </c>
      <c r="C310" s="92" t="s">
        <v>445</v>
      </c>
      <c r="D310" s="92" t="s">
        <v>443</v>
      </c>
      <c r="E310" s="92" t="s">
        <v>95</v>
      </c>
      <c r="F310" s="92" t="s">
        <v>95</v>
      </c>
      <c r="G310" s="92">
        <v>1</v>
      </c>
    </row>
    <row r="311" spans="1:7" x14ac:dyDescent="0.25">
      <c r="A311" s="94" t="str">
        <f t="shared" si="4"/>
        <v>ROS1101All NI consumers</v>
      </c>
      <c r="B311" s="92" t="s">
        <v>310</v>
      </c>
      <c r="C311" s="92" t="s">
        <v>445</v>
      </c>
      <c r="D311" s="92" t="s">
        <v>443</v>
      </c>
      <c r="E311" s="92" t="s">
        <v>95</v>
      </c>
      <c r="F311" s="92" t="s">
        <v>95</v>
      </c>
      <c r="G311" s="92">
        <v>1</v>
      </c>
    </row>
    <row r="312" spans="1:7" x14ac:dyDescent="0.25">
      <c r="A312" s="94" t="str">
        <f t="shared" si="4"/>
        <v>ROT0111All NI consumers</v>
      </c>
      <c r="B312" s="92" t="s">
        <v>311</v>
      </c>
      <c r="C312" s="92" t="s">
        <v>445</v>
      </c>
      <c r="D312" s="92" t="s">
        <v>443</v>
      </c>
      <c r="E312" s="92" t="s">
        <v>95</v>
      </c>
      <c r="F312" s="92" t="s">
        <v>95</v>
      </c>
      <c r="G312" s="92">
        <v>1</v>
      </c>
    </row>
    <row r="313" spans="1:7" x14ac:dyDescent="0.25">
      <c r="A313" s="94" t="str">
        <f t="shared" si="4"/>
        <v>ROT0331All NI consumers</v>
      </c>
      <c r="B313" s="92" t="s">
        <v>312</v>
      </c>
      <c r="C313" s="92" t="s">
        <v>445</v>
      </c>
      <c r="D313" s="92" t="s">
        <v>443</v>
      </c>
      <c r="E313" s="92" t="s">
        <v>95</v>
      </c>
      <c r="F313" s="92" t="s">
        <v>95</v>
      </c>
      <c r="G313" s="92">
        <v>1</v>
      </c>
    </row>
    <row r="314" spans="1:7" x14ac:dyDescent="0.25">
      <c r="A314" s="94" t="str">
        <f t="shared" si="4"/>
        <v>ROT1101All NI consumers</v>
      </c>
      <c r="B314" s="92" t="s">
        <v>313</v>
      </c>
      <c r="C314" s="92" t="s">
        <v>445</v>
      </c>
      <c r="D314" s="92" t="s">
        <v>443</v>
      </c>
      <c r="E314" s="92" t="s">
        <v>95</v>
      </c>
      <c r="F314" s="92" t="s">
        <v>95</v>
      </c>
      <c r="G314" s="92">
        <v>1</v>
      </c>
    </row>
    <row r="315" spans="1:7" x14ac:dyDescent="0.25">
      <c r="A315" s="94" t="str">
        <f t="shared" si="4"/>
        <v>SFD0331All NI consumers</v>
      </c>
      <c r="B315" s="92" t="s">
        <v>320</v>
      </c>
      <c r="C315" s="92" t="s">
        <v>445</v>
      </c>
      <c r="D315" s="92" t="s">
        <v>443</v>
      </c>
      <c r="E315" s="92" t="s">
        <v>95</v>
      </c>
      <c r="F315" s="92" t="s">
        <v>95</v>
      </c>
      <c r="G315" s="92">
        <v>1</v>
      </c>
    </row>
    <row r="316" spans="1:7" x14ac:dyDescent="0.25">
      <c r="A316" s="94" t="str">
        <f t="shared" si="4"/>
        <v>SFD2201All NI consumers</v>
      </c>
      <c r="B316" s="92" t="s">
        <v>321</v>
      </c>
      <c r="C316" s="92" t="s">
        <v>445</v>
      </c>
      <c r="D316" s="92" t="s">
        <v>443</v>
      </c>
      <c r="E316" s="92" t="s">
        <v>95</v>
      </c>
      <c r="F316" s="92" t="s">
        <v>95</v>
      </c>
      <c r="G316" s="92">
        <v>1</v>
      </c>
    </row>
    <row r="317" spans="1:7" x14ac:dyDescent="0.25">
      <c r="A317" s="94" t="str">
        <f t="shared" si="4"/>
        <v>SVL0331All NI consumers</v>
      </c>
      <c r="B317" s="92" t="s">
        <v>328</v>
      </c>
      <c r="C317" s="92" t="s">
        <v>445</v>
      </c>
      <c r="D317" s="92" t="s">
        <v>443</v>
      </c>
      <c r="E317" s="92" t="s">
        <v>95</v>
      </c>
      <c r="F317" s="92" t="s">
        <v>95</v>
      </c>
      <c r="G317" s="92">
        <v>1</v>
      </c>
    </row>
    <row r="318" spans="1:7" x14ac:dyDescent="0.25">
      <c r="A318" s="94" t="str">
        <f t="shared" si="4"/>
        <v>SWN2201All NI consumers</v>
      </c>
      <c r="B318" s="92" t="s">
        <v>330</v>
      </c>
      <c r="C318" s="92" t="s">
        <v>445</v>
      </c>
      <c r="D318" s="92" t="s">
        <v>443</v>
      </c>
      <c r="E318" s="92" t="s">
        <v>95</v>
      </c>
      <c r="F318" s="92" t="s">
        <v>95</v>
      </c>
      <c r="G318" s="92">
        <v>1</v>
      </c>
    </row>
    <row r="319" spans="1:7" x14ac:dyDescent="0.25">
      <c r="A319" s="94" t="str">
        <f t="shared" si="4"/>
        <v>TAK0331All NI consumers</v>
      </c>
      <c r="B319" s="92" t="s">
        <v>332</v>
      </c>
      <c r="C319" s="92" t="s">
        <v>445</v>
      </c>
      <c r="D319" s="92" t="s">
        <v>443</v>
      </c>
      <c r="E319" s="92" t="s">
        <v>95</v>
      </c>
      <c r="F319" s="92" t="s">
        <v>95</v>
      </c>
      <c r="G319" s="92">
        <v>1</v>
      </c>
    </row>
    <row r="320" spans="1:7" x14ac:dyDescent="0.25">
      <c r="A320" s="94" t="str">
        <f t="shared" si="4"/>
        <v>TGA0111All NI consumers</v>
      </c>
      <c r="B320" s="92" t="s">
        <v>333</v>
      </c>
      <c r="C320" s="92" t="s">
        <v>445</v>
      </c>
      <c r="D320" s="92" t="s">
        <v>443</v>
      </c>
      <c r="E320" s="92" t="s">
        <v>95</v>
      </c>
      <c r="F320" s="92" t="s">
        <v>95</v>
      </c>
      <c r="G320" s="92">
        <v>1</v>
      </c>
    </row>
    <row r="321" spans="1:7" x14ac:dyDescent="0.25">
      <c r="A321" s="94" t="str">
        <f t="shared" si="4"/>
        <v>TGA0331All NI consumers</v>
      </c>
      <c r="B321" s="92" t="s">
        <v>334</v>
      </c>
      <c r="C321" s="92" t="s">
        <v>445</v>
      </c>
      <c r="D321" s="92" t="s">
        <v>443</v>
      </c>
      <c r="E321" s="92" t="s">
        <v>95</v>
      </c>
      <c r="F321" s="92" t="s">
        <v>95</v>
      </c>
      <c r="G321" s="92">
        <v>1</v>
      </c>
    </row>
    <row r="322" spans="1:7" x14ac:dyDescent="0.25">
      <c r="A322" s="94" t="str">
        <f t="shared" si="4"/>
        <v>TKH0111All NI consumers</v>
      </c>
      <c r="B322" s="92" t="s">
        <v>342</v>
      </c>
      <c r="C322" s="92" t="s">
        <v>445</v>
      </c>
      <c r="D322" s="92" t="s">
        <v>443</v>
      </c>
      <c r="E322" s="92" t="s">
        <v>95</v>
      </c>
      <c r="F322" s="92" t="s">
        <v>95</v>
      </c>
      <c r="G322" s="92">
        <v>1</v>
      </c>
    </row>
    <row r="323" spans="1:7" x14ac:dyDescent="0.25">
      <c r="A323" s="94" t="str">
        <f t="shared" si="4"/>
        <v>TKR0331All NI consumers</v>
      </c>
      <c r="B323" s="92" t="s">
        <v>343</v>
      </c>
      <c r="C323" s="92" t="s">
        <v>445</v>
      </c>
      <c r="D323" s="92" t="s">
        <v>443</v>
      </c>
      <c r="E323" s="92" t="s">
        <v>95</v>
      </c>
      <c r="F323" s="92" t="s">
        <v>95</v>
      </c>
      <c r="G323" s="92">
        <v>1</v>
      </c>
    </row>
    <row r="324" spans="1:7" x14ac:dyDescent="0.25">
      <c r="A324" s="94" t="str">
        <f t="shared" si="4"/>
        <v>TKU0331All NI consumers</v>
      </c>
      <c r="B324" s="92" t="s">
        <v>344</v>
      </c>
      <c r="C324" s="92" t="s">
        <v>445</v>
      </c>
      <c r="D324" s="92" t="s">
        <v>443</v>
      </c>
      <c r="E324" s="92" t="s">
        <v>95</v>
      </c>
      <c r="F324" s="92" t="s">
        <v>95</v>
      </c>
      <c r="G324" s="92">
        <v>1</v>
      </c>
    </row>
    <row r="325" spans="1:7" x14ac:dyDescent="0.25">
      <c r="A325" s="94" t="str">
        <f t="shared" si="4"/>
        <v>TMI0331All NI consumers</v>
      </c>
      <c r="B325" s="92" t="s">
        <v>346</v>
      </c>
      <c r="C325" s="92" t="s">
        <v>445</v>
      </c>
      <c r="D325" s="92" t="s">
        <v>443</v>
      </c>
      <c r="E325" s="92" t="s">
        <v>95</v>
      </c>
      <c r="F325" s="92" t="s">
        <v>95</v>
      </c>
      <c r="G325" s="92">
        <v>1</v>
      </c>
    </row>
    <row r="326" spans="1:7" x14ac:dyDescent="0.25">
      <c r="A326" s="94" t="str">
        <f t="shared" si="4"/>
        <v>TMN0551All NI consumers</v>
      </c>
      <c r="B326" s="92" t="s">
        <v>348</v>
      </c>
      <c r="C326" s="92" t="s">
        <v>445</v>
      </c>
      <c r="D326" s="92" t="s">
        <v>443</v>
      </c>
      <c r="E326" s="92" t="s">
        <v>95</v>
      </c>
      <c r="F326" s="92" t="s">
        <v>95</v>
      </c>
      <c r="G326" s="92">
        <v>1</v>
      </c>
    </row>
    <row r="327" spans="1:7" x14ac:dyDescent="0.25">
      <c r="A327" s="94" t="str">
        <f t="shared" si="4"/>
        <v>TMU0111All NI consumers</v>
      </c>
      <c r="B327" s="92" t="s">
        <v>349</v>
      </c>
      <c r="C327" s="92" t="s">
        <v>445</v>
      </c>
      <c r="D327" s="92" t="s">
        <v>443</v>
      </c>
      <c r="E327" s="92" t="s">
        <v>95</v>
      </c>
      <c r="F327" s="92" t="s">
        <v>95</v>
      </c>
      <c r="G327" s="92">
        <v>1</v>
      </c>
    </row>
    <row r="328" spans="1:7" x14ac:dyDescent="0.25">
      <c r="A328" s="94" t="str">
        <f t="shared" si="4"/>
        <v>TNG0111All NI consumers</v>
      </c>
      <c r="B328" s="92" t="s">
        <v>350</v>
      </c>
      <c r="C328" s="92" t="s">
        <v>445</v>
      </c>
      <c r="D328" s="92" t="s">
        <v>443</v>
      </c>
      <c r="E328" s="92" t="s">
        <v>95</v>
      </c>
      <c r="F328" s="92" t="s">
        <v>95</v>
      </c>
      <c r="G328" s="92">
        <v>1</v>
      </c>
    </row>
    <row r="329" spans="1:7" x14ac:dyDescent="0.25">
      <c r="A329" s="94" t="str">
        <f t="shared" ref="A329:A392" si="5">B329&amp;C329</f>
        <v>TNG0551All NI consumers</v>
      </c>
      <c r="B329" s="92" t="s">
        <v>351</v>
      </c>
      <c r="C329" s="92" t="s">
        <v>445</v>
      </c>
      <c r="D329" s="92" t="s">
        <v>443</v>
      </c>
      <c r="E329" s="92" t="s">
        <v>95</v>
      </c>
      <c r="F329" s="92" t="s">
        <v>95</v>
      </c>
      <c r="G329" s="92">
        <v>1</v>
      </c>
    </row>
    <row r="330" spans="1:7" x14ac:dyDescent="0.25">
      <c r="A330" s="94" t="str">
        <f t="shared" si="5"/>
        <v>TRK0111All NI consumers</v>
      </c>
      <c r="B330" s="92" t="s">
        <v>352</v>
      </c>
      <c r="C330" s="92" t="s">
        <v>445</v>
      </c>
      <c r="D330" s="92" t="s">
        <v>443</v>
      </c>
      <c r="E330" s="92" t="s">
        <v>95</v>
      </c>
      <c r="F330" s="92" t="s">
        <v>95</v>
      </c>
      <c r="G330" s="92">
        <v>1</v>
      </c>
    </row>
    <row r="331" spans="1:7" x14ac:dyDescent="0.25">
      <c r="A331" s="94" t="str">
        <f t="shared" si="5"/>
        <v>TUI1101All NI consumers</v>
      </c>
      <c r="B331" s="92" t="s">
        <v>353</v>
      </c>
      <c r="C331" s="92" t="s">
        <v>445</v>
      </c>
      <c r="D331" s="92" t="s">
        <v>443</v>
      </c>
      <c r="E331" s="92" t="s">
        <v>95</v>
      </c>
      <c r="F331" s="92" t="s">
        <v>95</v>
      </c>
      <c r="G331" s="92">
        <v>1</v>
      </c>
    </row>
    <row r="332" spans="1:7" x14ac:dyDescent="0.25">
      <c r="A332" s="94" t="str">
        <f t="shared" si="5"/>
        <v>TWC2201All NI consumers</v>
      </c>
      <c r="B332" s="92" t="s">
        <v>357</v>
      </c>
      <c r="C332" s="92" t="s">
        <v>445</v>
      </c>
      <c r="D332" s="92" t="s">
        <v>443</v>
      </c>
      <c r="E332" s="92" t="s">
        <v>95</v>
      </c>
      <c r="F332" s="92" t="s">
        <v>95</v>
      </c>
      <c r="G332" s="92">
        <v>1</v>
      </c>
    </row>
    <row r="333" spans="1:7" x14ac:dyDescent="0.25">
      <c r="A333" s="94" t="str">
        <f t="shared" si="5"/>
        <v>TWH0331All NI consumers</v>
      </c>
      <c r="B333" s="92" t="s">
        <v>358</v>
      </c>
      <c r="C333" s="92" t="s">
        <v>445</v>
      </c>
      <c r="D333" s="92" t="s">
        <v>443</v>
      </c>
      <c r="E333" s="92" t="s">
        <v>95</v>
      </c>
      <c r="F333" s="92" t="s">
        <v>95</v>
      </c>
      <c r="G333" s="92">
        <v>1</v>
      </c>
    </row>
    <row r="334" spans="1:7" x14ac:dyDescent="0.25">
      <c r="A334" s="94" t="str">
        <f t="shared" si="5"/>
        <v>UHT0331All NI consumers</v>
      </c>
      <c r="B334" s="92" t="s">
        <v>363</v>
      </c>
      <c r="C334" s="92" t="s">
        <v>445</v>
      </c>
      <c r="D334" s="92" t="s">
        <v>443</v>
      </c>
      <c r="E334" s="92" t="s">
        <v>95</v>
      </c>
      <c r="F334" s="92" t="s">
        <v>95</v>
      </c>
      <c r="G334" s="92">
        <v>1</v>
      </c>
    </row>
    <row r="335" spans="1:7" x14ac:dyDescent="0.25">
      <c r="A335" s="94" t="str">
        <f t="shared" si="5"/>
        <v>WAI0111All NI consumers</v>
      </c>
      <c r="B335" s="92" t="s">
        <v>364</v>
      </c>
      <c r="C335" s="92" t="s">
        <v>445</v>
      </c>
      <c r="D335" s="92" t="s">
        <v>443</v>
      </c>
      <c r="E335" s="92" t="s">
        <v>95</v>
      </c>
      <c r="F335" s="92" t="s">
        <v>95</v>
      </c>
      <c r="G335" s="92">
        <v>1</v>
      </c>
    </row>
    <row r="336" spans="1:7" x14ac:dyDescent="0.25">
      <c r="A336" s="94" t="str">
        <f t="shared" si="5"/>
        <v>WDV0111All NI consumers</v>
      </c>
      <c r="B336" s="92" t="s">
        <v>365</v>
      </c>
      <c r="C336" s="92" t="s">
        <v>445</v>
      </c>
      <c r="D336" s="92" t="s">
        <v>443</v>
      </c>
      <c r="E336" s="92" t="s">
        <v>95</v>
      </c>
      <c r="F336" s="92" t="s">
        <v>95</v>
      </c>
      <c r="G336" s="92">
        <v>1</v>
      </c>
    </row>
    <row r="337" spans="1:7" x14ac:dyDescent="0.25">
      <c r="A337" s="94" t="str">
        <f t="shared" si="5"/>
        <v>WDV1101All NI consumers</v>
      </c>
      <c r="B337" s="92" t="s">
        <v>366</v>
      </c>
      <c r="C337" s="92" t="s">
        <v>445</v>
      </c>
      <c r="D337" s="92" t="s">
        <v>443</v>
      </c>
      <c r="E337" s="92" t="s">
        <v>95</v>
      </c>
      <c r="F337" s="92" t="s">
        <v>95</v>
      </c>
      <c r="G337" s="92">
        <v>1</v>
      </c>
    </row>
    <row r="338" spans="1:7" x14ac:dyDescent="0.25">
      <c r="A338" s="94" t="str">
        <f t="shared" si="5"/>
        <v>WEL0331All NI consumers</v>
      </c>
      <c r="B338" s="92" t="s">
        <v>367</v>
      </c>
      <c r="C338" s="92" t="s">
        <v>445</v>
      </c>
      <c r="D338" s="92" t="s">
        <v>443</v>
      </c>
      <c r="E338" s="92" t="s">
        <v>95</v>
      </c>
      <c r="F338" s="92" t="s">
        <v>95</v>
      </c>
      <c r="G338" s="92">
        <v>1</v>
      </c>
    </row>
    <row r="339" spans="1:7" x14ac:dyDescent="0.25">
      <c r="A339" s="94" t="str">
        <f t="shared" si="5"/>
        <v>WGN0331All NI consumers</v>
      </c>
      <c r="B339" s="92" t="s">
        <v>368</v>
      </c>
      <c r="C339" s="92" t="s">
        <v>445</v>
      </c>
      <c r="D339" s="92" t="s">
        <v>443</v>
      </c>
      <c r="E339" s="92" t="s">
        <v>95</v>
      </c>
      <c r="F339" s="92" t="s">
        <v>95</v>
      </c>
      <c r="G339" s="92">
        <v>1</v>
      </c>
    </row>
    <row r="340" spans="1:7" x14ac:dyDescent="0.25">
      <c r="A340" s="94" t="str">
        <f t="shared" si="5"/>
        <v>WHI0111All NI consumers</v>
      </c>
      <c r="B340" s="92" t="s">
        <v>369</v>
      </c>
      <c r="C340" s="92" t="s">
        <v>445</v>
      </c>
      <c r="D340" s="92" t="s">
        <v>443</v>
      </c>
      <c r="E340" s="92" t="s">
        <v>95</v>
      </c>
      <c r="F340" s="92" t="s">
        <v>95</v>
      </c>
      <c r="G340" s="92">
        <v>1</v>
      </c>
    </row>
    <row r="341" spans="1:7" x14ac:dyDescent="0.25">
      <c r="A341" s="94" t="str">
        <f t="shared" si="5"/>
        <v>WHI2201All NI consumers</v>
      </c>
      <c r="B341" s="92" t="s">
        <v>370</v>
      </c>
      <c r="C341" s="92" t="s">
        <v>445</v>
      </c>
      <c r="D341" s="92" t="s">
        <v>443</v>
      </c>
      <c r="E341" s="92" t="s">
        <v>95</v>
      </c>
      <c r="F341" s="92" t="s">
        <v>95</v>
      </c>
      <c r="G341" s="92">
        <v>1</v>
      </c>
    </row>
    <row r="342" spans="1:7" x14ac:dyDescent="0.25">
      <c r="A342" s="94" t="str">
        <f t="shared" si="5"/>
        <v>WHU0331All NI consumers</v>
      </c>
      <c r="B342" s="92" t="s">
        <v>372</v>
      </c>
      <c r="C342" s="92" t="s">
        <v>445</v>
      </c>
      <c r="D342" s="92" t="s">
        <v>443</v>
      </c>
      <c r="E342" s="92" t="s">
        <v>95</v>
      </c>
      <c r="F342" s="92" t="s">
        <v>95</v>
      </c>
      <c r="G342" s="92">
        <v>1</v>
      </c>
    </row>
    <row r="343" spans="1:7" x14ac:dyDescent="0.25">
      <c r="A343" s="94" t="str">
        <f t="shared" si="5"/>
        <v>WIL0331All NI consumers</v>
      </c>
      <c r="B343" s="92" t="s">
        <v>373</v>
      </c>
      <c r="C343" s="92" t="s">
        <v>445</v>
      </c>
      <c r="D343" s="92" t="s">
        <v>443</v>
      </c>
      <c r="E343" s="92" t="s">
        <v>95</v>
      </c>
      <c r="F343" s="92" t="s">
        <v>95</v>
      </c>
      <c r="G343" s="92">
        <v>1</v>
      </c>
    </row>
    <row r="344" spans="1:7" x14ac:dyDescent="0.25">
      <c r="A344" s="94" t="str">
        <f t="shared" si="5"/>
        <v>WIR0331All NI consumers</v>
      </c>
      <c r="B344" s="92" t="s">
        <v>374</v>
      </c>
      <c r="C344" s="92" t="s">
        <v>445</v>
      </c>
      <c r="D344" s="92" t="s">
        <v>443</v>
      </c>
      <c r="E344" s="92" t="s">
        <v>95</v>
      </c>
      <c r="F344" s="92" t="s">
        <v>95</v>
      </c>
      <c r="G344" s="92">
        <v>1</v>
      </c>
    </row>
    <row r="345" spans="1:7" x14ac:dyDescent="0.25">
      <c r="A345" s="94" t="str">
        <f t="shared" si="5"/>
        <v>WKM2201All NI consumers</v>
      </c>
      <c r="B345" s="92" t="s">
        <v>375</v>
      </c>
      <c r="C345" s="92" t="s">
        <v>445</v>
      </c>
      <c r="D345" s="92" t="s">
        <v>443</v>
      </c>
      <c r="E345" s="92" t="s">
        <v>95</v>
      </c>
      <c r="F345" s="92" t="s">
        <v>95</v>
      </c>
      <c r="G345" s="92">
        <v>1</v>
      </c>
    </row>
    <row r="346" spans="1:7" x14ac:dyDescent="0.25">
      <c r="A346" s="94" t="str">
        <f t="shared" si="5"/>
        <v>WKO0331All NI consumers</v>
      </c>
      <c r="B346" s="92" t="s">
        <v>378</v>
      </c>
      <c r="C346" s="92" t="s">
        <v>445</v>
      </c>
      <c r="D346" s="92" t="s">
        <v>443</v>
      </c>
      <c r="E346" s="92" t="s">
        <v>95</v>
      </c>
      <c r="F346" s="92" t="s">
        <v>95</v>
      </c>
      <c r="G346" s="92">
        <v>1</v>
      </c>
    </row>
    <row r="347" spans="1:7" x14ac:dyDescent="0.25">
      <c r="A347" s="94" t="str">
        <f t="shared" si="5"/>
        <v>WPW0331All NI consumers</v>
      </c>
      <c r="B347" s="92" t="s">
        <v>383</v>
      </c>
      <c r="C347" s="92" t="s">
        <v>445</v>
      </c>
      <c r="D347" s="92" t="s">
        <v>443</v>
      </c>
      <c r="E347" s="92" t="s">
        <v>95</v>
      </c>
      <c r="F347" s="92" t="s">
        <v>95</v>
      </c>
      <c r="G347" s="92">
        <v>1</v>
      </c>
    </row>
    <row r="348" spans="1:7" x14ac:dyDescent="0.25">
      <c r="A348" s="94" t="str">
        <f t="shared" si="5"/>
        <v>WRA0111All NI consumers</v>
      </c>
      <c r="B348" s="92" t="s">
        <v>423</v>
      </c>
      <c r="C348" s="92" t="s">
        <v>445</v>
      </c>
      <c r="D348" s="92" t="s">
        <v>443</v>
      </c>
      <c r="E348" s="92" t="s">
        <v>95</v>
      </c>
      <c r="F348" s="92" t="s">
        <v>95</v>
      </c>
      <c r="G348" s="92">
        <v>1</v>
      </c>
    </row>
    <row r="349" spans="1:7" x14ac:dyDescent="0.25">
      <c r="A349" s="94" t="str">
        <f t="shared" si="5"/>
        <v>WRD0331All NI consumers</v>
      </c>
      <c r="B349" s="92" t="s">
        <v>384</v>
      </c>
      <c r="C349" s="92" t="s">
        <v>445</v>
      </c>
      <c r="D349" s="92" t="s">
        <v>443</v>
      </c>
      <c r="E349" s="92" t="s">
        <v>95</v>
      </c>
      <c r="F349" s="92" t="s">
        <v>95</v>
      </c>
      <c r="G349" s="92">
        <v>1</v>
      </c>
    </row>
    <row r="350" spans="1:7" x14ac:dyDescent="0.25">
      <c r="A350" s="94" t="str">
        <f t="shared" si="5"/>
        <v>WRK0331All NI consumers</v>
      </c>
      <c r="B350" s="92" t="s">
        <v>385</v>
      </c>
      <c r="C350" s="92" t="s">
        <v>445</v>
      </c>
      <c r="D350" s="92" t="s">
        <v>443</v>
      </c>
      <c r="E350" s="92" t="s">
        <v>95</v>
      </c>
      <c r="F350" s="92" t="s">
        <v>95</v>
      </c>
      <c r="G350" s="92">
        <v>1</v>
      </c>
    </row>
    <row r="351" spans="1:7" x14ac:dyDescent="0.25">
      <c r="A351" s="94" t="str">
        <f t="shared" si="5"/>
        <v>WTU0331All NI consumers</v>
      </c>
      <c r="B351" s="92" t="s">
        <v>391</v>
      </c>
      <c r="C351" s="92" t="s">
        <v>445</v>
      </c>
      <c r="D351" s="92" t="s">
        <v>443</v>
      </c>
      <c r="E351" s="92" t="s">
        <v>95</v>
      </c>
      <c r="F351" s="92" t="s">
        <v>95</v>
      </c>
      <c r="G351" s="92">
        <v>1</v>
      </c>
    </row>
    <row r="352" spans="1:7" x14ac:dyDescent="0.25">
      <c r="A352" s="94" t="str">
        <f t="shared" si="5"/>
        <v>WVY0111All NI consumers</v>
      </c>
      <c r="B352" s="92" t="s">
        <v>392</v>
      </c>
      <c r="C352" s="92" t="s">
        <v>445</v>
      </c>
      <c r="D352" s="92" t="s">
        <v>443</v>
      </c>
      <c r="E352" s="92" t="s">
        <v>95</v>
      </c>
      <c r="F352" s="92" t="s">
        <v>95</v>
      </c>
      <c r="G352" s="92">
        <v>1</v>
      </c>
    </row>
    <row r="353" spans="1:7" x14ac:dyDescent="0.25">
      <c r="A353" s="94" t="str">
        <f t="shared" si="5"/>
        <v>WWD1102All NI consumers</v>
      </c>
      <c r="B353" s="92" t="s">
        <v>393</v>
      </c>
      <c r="C353" s="92" t="s">
        <v>445</v>
      </c>
      <c r="D353" s="92" t="s">
        <v>443</v>
      </c>
      <c r="E353" s="92" t="s">
        <v>95</v>
      </c>
      <c r="F353" s="92" t="s">
        <v>95</v>
      </c>
      <c r="G353" s="92">
        <v>1</v>
      </c>
    </row>
    <row r="354" spans="1:7" x14ac:dyDescent="0.25">
      <c r="A354" s="94" t="str">
        <f t="shared" si="5"/>
        <v>WWD1103All NI consumers</v>
      </c>
      <c r="B354" s="92" t="s">
        <v>394</v>
      </c>
      <c r="C354" s="92" t="s">
        <v>445</v>
      </c>
      <c r="D354" s="92" t="s">
        <v>443</v>
      </c>
      <c r="E354" s="92" t="s">
        <v>95</v>
      </c>
      <c r="F354" s="92" t="s">
        <v>95</v>
      </c>
      <c r="G354" s="92">
        <v>1</v>
      </c>
    </row>
    <row r="355" spans="1:7" x14ac:dyDescent="0.25">
      <c r="A355" s="94" t="str">
        <f t="shared" si="5"/>
        <v>ARA2201 ARA0All NI generators</v>
      </c>
      <c r="B355" s="92" t="s">
        <v>135</v>
      </c>
      <c r="C355" s="92" t="s">
        <v>446</v>
      </c>
      <c r="D355" s="92" t="s">
        <v>95</v>
      </c>
      <c r="E355" s="92" t="s">
        <v>95</v>
      </c>
      <c r="F355" s="92" t="s">
        <v>443</v>
      </c>
      <c r="G355" s="92">
        <v>1</v>
      </c>
    </row>
    <row r="356" spans="1:7" x14ac:dyDescent="0.25">
      <c r="A356" s="94" t="str">
        <f t="shared" si="5"/>
        <v>ARI1101 ARI0All NI generators</v>
      </c>
      <c r="B356" s="92" t="s">
        <v>140</v>
      </c>
      <c r="C356" s="92" t="s">
        <v>446</v>
      </c>
      <c r="D356" s="92" t="s">
        <v>95</v>
      </c>
      <c r="E356" s="92" t="s">
        <v>95</v>
      </c>
      <c r="F356" s="92" t="s">
        <v>443</v>
      </c>
      <c r="G356" s="92">
        <v>1</v>
      </c>
    </row>
    <row r="357" spans="1:7" x14ac:dyDescent="0.25">
      <c r="A357" s="94" t="str">
        <f t="shared" si="5"/>
        <v>ARI1102 ARI0All NI generators</v>
      </c>
      <c r="B357" s="92" t="s">
        <v>141</v>
      </c>
      <c r="C357" s="92" t="s">
        <v>446</v>
      </c>
      <c r="D357" s="92" t="s">
        <v>95</v>
      </c>
      <c r="E357" s="92" t="s">
        <v>95</v>
      </c>
      <c r="F357" s="92" t="s">
        <v>443</v>
      </c>
      <c r="G357" s="92">
        <v>1</v>
      </c>
    </row>
    <row r="358" spans="1:7" x14ac:dyDescent="0.25">
      <c r="A358" s="94" t="str">
        <f t="shared" si="5"/>
        <v>ATI2201 ATI0All NI generators</v>
      </c>
      <c r="B358" s="92" t="s">
        <v>147</v>
      </c>
      <c r="C358" s="92" t="s">
        <v>446</v>
      </c>
      <c r="D358" s="92" t="s">
        <v>95</v>
      </c>
      <c r="E358" s="92" t="s">
        <v>95</v>
      </c>
      <c r="F358" s="92" t="s">
        <v>443</v>
      </c>
      <c r="G358" s="92">
        <v>1</v>
      </c>
    </row>
    <row r="359" spans="1:7" x14ac:dyDescent="0.25">
      <c r="A359" s="94" t="str">
        <f t="shared" si="5"/>
        <v>GLN0332 GLN0All NI generators</v>
      </c>
      <c r="B359" s="92" t="s">
        <v>430</v>
      </c>
      <c r="C359" s="92" t="s">
        <v>446</v>
      </c>
      <c r="D359" s="92" t="s">
        <v>95</v>
      </c>
      <c r="E359" s="92" t="s">
        <v>95</v>
      </c>
      <c r="F359" s="92" t="s">
        <v>443</v>
      </c>
      <c r="G359" s="92">
        <v>1</v>
      </c>
    </row>
    <row r="360" spans="1:7" x14ac:dyDescent="0.25">
      <c r="A360" s="94" t="str">
        <f t="shared" si="5"/>
        <v>HLY2201 HLY1All NI generators</v>
      </c>
      <c r="B360" s="92" t="s">
        <v>202</v>
      </c>
      <c r="C360" s="92" t="s">
        <v>446</v>
      </c>
      <c r="D360" s="92" t="s">
        <v>95</v>
      </c>
      <c r="E360" s="92" t="s">
        <v>95</v>
      </c>
      <c r="F360" s="92" t="s">
        <v>443</v>
      </c>
      <c r="G360" s="92">
        <v>1</v>
      </c>
    </row>
    <row r="361" spans="1:7" x14ac:dyDescent="0.25">
      <c r="A361" s="94" t="str">
        <f t="shared" si="5"/>
        <v>HLY2201 HLY2All NI generators</v>
      </c>
      <c r="B361" s="92" t="s">
        <v>203</v>
      </c>
      <c r="C361" s="92" t="s">
        <v>446</v>
      </c>
      <c r="D361" s="92" t="s">
        <v>95</v>
      </c>
      <c r="E361" s="92" t="s">
        <v>95</v>
      </c>
      <c r="F361" s="92" t="s">
        <v>443</v>
      </c>
      <c r="G361" s="92">
        <v>1</v>
      </c>
    </row>
    <row r="362" spans="1:7" x14ac:dyDescent="0.25">
      <c r="A362" s="94" t="str">
        <f t="shared" si="5"/>
        <v>HLY2201 HLY5All NI generators</v>
      </c>
      <c r="B362" s="92" t="s">
        <v>204</v>
      </c>
      <c r="C362" s="92" t="s">
        <v>446</v>
      </c>
      <c r="D362" s="92" t="s">
        <v>95</v>
      </c>
      <c r="E362" s="92" t="s">
        <v>95</v>
      </c>
      <c r="F362" s="92" t="s">
        <v>443</v>
      </c>
      <c r="G362" s="92">
        <v>1</v>
      </c>
    </row>
    <row r="363" spans="1:7" x14ac:dyDescent="0.25">
      <c r="A363" s="94" t="str">
        <f t="shared" si="5"/>
        <v>HLY2201 HLY6All NI generators</v>
      </c>
      <c r="B363" s="92" t="s">
        <v>205</v>
      </c>
      <c r="C363" s="92" t="s">
        <v>446</v>
      </c>
      <c r="D363" s="92" t="s">
        <v>95</v>
      </c>
      <c r="E363" s="92" t="s">
        <v>95</v>
      </c>
      <c r="F363" s="92" t="s">
        <v>443</v>
      </c>
      <c r="G363" s="92">
        <v>1</v>
      </c>
    </row>
    <row r="364" spans="1:7" x14ac:dyDescent="0.25">
      <c r="A364" s="94" t="str">
        <f t="shared" si="5"/>
        <v>HWA1101 PTA1All NI generators</v>
      </c>
      <c r="B364" s="92" t="s">
        <v>214</v>
      </c>
      <c r="C364" s="92" t="s">
        <v>446</v>
      </c>
      <c r="D364" s="92" t="s">
        <v>95</v>
      </c>
      <c r="E364" s="92" t="s">
        <v>95</v>
      </c>
      <c r="F364" s="92" t="s">
        <v>443</v>
      </c>
      <c r="G364" s="92">
        <v>1</v>
      </c>
    </row>
    <row r="365" spans="1:7" x14ac:dyDescent="0.25">
      <c r="A365" s="94" t="str">
        <f t="shared" si="5"/>
        <v>HWA1101 PTA2All NI generators</v>
      </c>
      <c r="B365" s="92" t="s">
        <v>215</v>
      </c>
      <c r="C365" s="92" t="s">
        <v>446</v>
      </c>
      <c r="D365" s="92" t="s">
        <v>95</v>
      </c>
      <c r="E365" s="92" t="s">
        <v>95</v>
      </c>
      <c r="F365" s="92" t="s">
        <v>443</v>
      </c>
      <c r="G365" s="92">
        <v>1</v>
      </c>
    </row>
    <row r="366" spans="1:7" x14ac:dyDescent="0.25">
      <c r="A366" s="94" t="str">
        <f t="shared" si="5"/>
        <v>HWA1101 PTA3All NI generators</v>
      </c>
      <c r="B366" s="92" t="s">
        <v>216</v>
      </c>
      <c r="C366" s="92" t="s">
        <v>446</v>
      </c>
      <c r="D366" s="92" t="s">
        <v>95</v>
      </c>
      <c r="E366" s="92" t="s">
        <v>95</v>
      </c>
      <c r="F366" s="92" t="s">
        <v>443</v>
      </c>
      <c r="G366" s="92">
        <v>1</v>
      </c>
    </row>
    <row r="367" spans="1:7" x14ac:dyDescent="0.25">
      <c r="A367" s="94" t="str">
        <f t="shared" si="5"/>
        <v>HWA1102 WAA0All NI generators</v>
      </c>
      <c r="B367" s="92" t="s">
        <v>218</v>
      </c>
      <c r="C367" s="92" t="s">
        <v>446</v>
      </c>
      <c r="D367" s="92" t="s">
        <v>95</v>
      </c>
      <c r="E367" s="92" t="s">
        <v>95</v>
      </c>
      <c r="F367" s="92" t="s">
        <v>443</v>
      </c>
      <c r="G367" s="92">
        <v>1</v>
      </c>
    </row>
    <row r="368" spans="1:7" x14ac:dyDescent="0.25">
      <c r="A368" s="94" t="str">
        <f t="shared" si="5"/>
        <v>HWA1102 WAA1All NI generators</v>
      </c>
      <c r="B368" s="92" t="s">
        <v>219</v>
      </c>
      <c r="C368" s="92" t="s">
        <v>446</v>
      </c>
      <c r="D368" s="92" t="s">
        <v>95</v>
      </c>
      <c r="E368" s="92" t="s">
        <v>95</v>
      </c>
      <c r="F368" s="92" t="s">
        <v>443</v>
      </c>
      <c r="G368" s="92">
        <v>1</v>
      </c>
    </row>
    <row r="369" spans="1:7" x14ac:dyDescent="0.25">
      <c r="A369" s="94" t="str">
        <f t="shared" si="5"/>
        <v>KAW0112 ONU0All NI generators</v>
      </c>
      <c r="B369" s="92" t="s">
        <v>431</v>
      </c>
      <c r="C369" s="92" t="s">
        <v>446</v>
      </c>
      <c r="D369" s="92" t="s">
        <v>95</v>
      </c>
      <c r="E369" s="92" t="s">
        <v>95</v>
      </c>
      <c r="F369" s="92" t="s">
        <v>443</v>
      </c>
      <c r="G369" s="92">
        <v>1</v>
      </c>
    </row>
    <row r="370" spans="1:7" x14ac:dyDescent="0.25">
      <c r="A370" s="94" t="str">
        <f t="shared" si="5"/>
        <v>KAW1101 KAG0All NI generators</v>
      </c>
      <c r="B370" s="92" t="s">
        <v>432</v>
      </c>
      <c r="C370" s="92" t="s">
        <v>446</v>
      </c>
      <c r="D370" s="92" t="s">
        <v>95</v>
      </c>
      <c r="E370" s="92" t="s">
        <v>95</v>
      </c>
      <c r="F370" s="92" t="s">
        <v>443</v>
      </c>
      <c r="G370" s="92">
        <v>1</v>
      </c>
    </row>
    <row r="371" spans="1:7" x14ac:dyDescent="0.25">
      <c r="A371" s="94" t="str">
        <f t="shared" si="5"/>
        <v>KIN0112 KIN0All NI generators</v>
      </c>
      <c r="B371" s="92" t="s">
        <v>433</v>
      </c>
      <c r="C371" s="92" t="s">
        <v>446</v>
      </c>
      <c r="D371" s="92" t="s">
        <v>95</v>
      </c>
      <c r="E371" s="92" t="s">
        <v>95</v>
      </c>
      <c r="F371" s="92" t="s">
        <v>443</v>
      </c>
      <c r="G371" s="92">
        <v>1</v>
      </c>
    </row>
    <row r="372" spans="1:7" x14ac:dyDescent="0.25">
      <c r="A372" s="94" t="str">
        <f t="shared" si="5"/>
        <v>KOE1101All NI generators</v>
      </c>
      <c r="B372" s="92" t="s">
        <v>236</v>
      </c>
      <c r="C372" s="92" t="s">
        <v>446</v>
      </c>
      <c r="D372" s="92" t="s">
        <v>95</v>
      </c>
      <c r="E372" s="92" t="s">
        <v>443</v>
      </c>
      <c r="F372" s="92" t="s">
        <v>95</v>
      </c>
      <c r="G372" s="92">
        <v>1</v>
      </c>
    </row>
    <row r="373" spans="1:7" x14ac:dyDescent="0.25">
      <c r="A373" s="94" t="str">
        <f t="shared" si="5"/>
        <v>KPA1101 KPI1All NI generators</v>
      </c>
      <c r="B373" s="92" t="s">
        <v>238</v>
      </c>
      <c r="C373" s="92" t="s">
        <v>446</v>
      </c>
      <c r="D373" s="92" t="s">
        <v>95</v>
      </c>
      <c r="E373" s="92" t="s">
        <v>95</v>
      </c>
      <c r="F373" s="92" t="s">
        <v>443</v>
      </c>
      <c r="G373" s="92">
        <v>1</v>
      </c>
    </row>
    <row r="374" spans="1:7" x14ac:dyDescent="0.25">
      <c r="A374" s="94" t="str">
        <f t="shared" si="5"/>
        <v>KPO1101 KPO0All NI generators</v>
      </c>
      <c r="B374" s="92" t="s">
        <v>239</v>
      </c>
      <c r="C374" s="92" t="s">
        <v>446</v>
      </c>
      <c r="D374" s="92" t="s">
        <v>95</v>
      </c>
      <c r="E374" s="92" t="s">
        <v>95</v>
      </c>
      <c r="F374" s="92" t="s">
        <v>443</v>
      </c>
      <c r="G374" s="92">
        <v>1</v>
      </c>
    </row>
    <row r="375" spans="1:7" x14ac:dyDescent="0.25">
      <c r="A375" s="94" t="str">
        <f t="shared" si="5"/>
        <v>LTN0331All NI generators</v>
      </c>
      <c r="B375" s="92" t="s">
        <v>246</v>
      </c>
      <c r="C375" s="92" t="s">
        <v>446</v>
      </c>
      <c r="D375" s="92" t="s">
        <v>95</v>
      </c>
      <c r="E375" s="92" t="s">
        <v>443</v>
      </c>
      <c r="F375" s="92" t="s">
        <v>95</v>
      </c>
      <c r="G375" s="92">
        <v>1</v>
      </c>
    </row>
    <row r="376" spans="1:7" x14ac:dyDescent="0.25">
      <c r="A376" s="94" t="str">
        <f t="shared" si="5"/>
        <v>MAT1101All NI generators</v>
      </c>
      <c r="B376" s="92" t="s">
        <v>249</v>
      </c>
      <c r="C376" s="92" t="s">
        <v>446</v>
      </c>
      <c r="D376" s="92" t="s">
        <v>95</v>
      </c>
      <c r="E376" s="92" t="s">
        <v>443</v>
      </c>
      <c r="F376" s="92" t="s">
        <v>95</v>
      </c>
      <c r="G376" s="92">
        <v>1</v>
      </c>
    </row>
    <row r="377" spans="1:7" x14ac:dyDescent="0.25">
      <c r="A377" s="94" t="str">
        <f t="shared" si="5"/>
        <v>MAT1101 ANI0All NI generators</v>
      </c>
      <c r="B377" s="92" t="s">
        <v>250</v>
      </c>
      <c r="C377" s="92" t="s">
        <v>446</v>
      </c>
      <c r="D377" s="92" t="s">
        <v>95</v>
      </c>
      <c r="E377" s="92" t="s">
        <v>95</v>
      </c>
      <c r="F377" s="92" t="s">
        <v>443</v>
      </c>
      <c r="G377" s="92">
        <v>1</v>
      </c>
    </row>
    <row r="378" spans="1:7" x14ac:dyDescent="0.25">
      <c r="A378" s="94" t="str">
        <f t="shared" si="5"/>
        <v>MAT1101 MAT0All NI generators</v>
      </c>
      <c r="B378" s="92" t="s">
        <v>251</v>
      </c>
      <c r="C378" s="92" t="s">
        <v>446</v>
      </c>
      <c r="D378" s="92" t="s">
        <v>95</v>
      </c>
      <c r="E378" s="92" t="s">
        <v>95</v>
      </c>
      <c r="F378" s="92" t="s">
        <v>443</v>
      </c>
      <c r="G378" s="92">
        <v>1</v>
      </c>
    </row>
    <row r="379" spans="1:7" x14ac:dyDescent="0.25">
      <c r="A379" s="94" t="str">
        <f t="shared" si="5"/>
        <v>MAT1102 MAT0All NI generators</v>
      </c>
      <c r="B379" s="92" t="s">
        <v>252</v>
      </c>
      <c r="C379" s="92" t="s">
        <v>446</v>
      </c>
      <c r="D379" s="92" t="s">
        <v>95</v>
      </c>
      <c r="E379" s="92" t="s">
        <v>95</v>
      </c>
      <c r="F379" s="92" t="s">
        <v>443</v>
      </c>
      <c r="G379" s="92">
        <v>1</v>
      </c>
    </row>
    <row r="380" spans="1:7" x14ac:dyDescent="0.25">
      <c r="A380" s="94" t="str">
        <f t="shared" si="5"/>
        <v>MHO0331 MHO0All NI generators</v>
      </c>
      <c r="B380" s="92" t="s">
        <v>257</v>
      </c>
      <c r="C380" s="92" t="s">
        <v>446</v>
      </c>
      <c r="D380" s="92" t="s">
        <v>95</v>
      </c>
      <c r="E380" s="92" t="s">
        <v>95</v>
      </c>
      <c r="F380" s="92" t="s">
        <v>443</v>
      </c>
      <c r="G380" s="92">
        <v>1</v>
      </c>
    </row>
    <row r="381" spans="1:7" x14ac:dyDescent="0.25">
      <c r="A381" s="94" t="str">
        <f t="shared" si="5"/>
        <v>MKE1101 MKE1All NI generators</v>
      </c>
      <c r="B381" s="92" t="s">
        <v>259</v>
      </c>
      <c r="C381" s="92" t="s">
        <v>446</v>
      </c>
      <c r="D381" s="92" t="s">
        <v>95</v>
      </c>
      <c r="E381" s="92" t="s">
        <v>95</v>
      </c>
      <c r="F381" s="92" t="s">
        <v>443</v>
      </c>
      <c r="G381" s="92">
        <v>1</v>
      </c>
    </row>
    <row r="382" spans="1:7" x14ac:dyDescent="0.25">
      <c r="A382" s="94" t="str">
        <f t="shared" si="5"/>
        <v>MTI2201 MTI0All NI generators</v>
      </c>
      <c r="B382" s="92" t="s">
        <v>267</v>
      </c>
      <c r="C382" s="92" t="s">
        <v>446</v>
      </c>
      <c r="D382" s="92" t="s">
        <v>95</v>
      </c>
      <c r="E382" s="92" t="s">
        <v>95</v>
      </c>
      <c r="F382" s="92" t="s">
        <v>443</v>
      </c>
      <c r="G382" s="92">
        <v>1</v>
      </c>
    </row>
    <row r="383" spans="1:7" x14ac:dyDescent="0.25">
      <c r="A383" s="94" t="str">
        <f t="shared" si="5"/>
        <v>NAP2201 NAP0All NI generators</v>
      </c>
      <c r="B383" s="92" t="s">
        <v>273</v>
      </c>
      <c r="C383" s="92" t="s">
        <v>446</v>
      </c>
      <c r="D383" s="92" t="s">
        <v>95</v>
      </c>
      <c r="E383" s="92" t="s">
        <v>95</v>
      </c>
      <c r="F383" s="92" t="s">
        <v>443</v>
      </c>
      <c r="G383" s="92">
        <v>1</v>
      </c>
    </row>
    <row r="384" spans="1:7" x14ac:dyDescent="0.25">
      <c r="A384" s="94" t="str">
        <f t="shared" si="5"/>
        <v>NAP2202 NTM0All NI generators</v>
      </c>
      <c r="B384" s="92" t="s">
        <v>275</v>
      </c>
      <c r="C384" s="92" t="s">
        <v>446</v>
      </c>
      <c r="D384" s="92" t="s">
        <v>95</v>
      </c>
      <c r="E384" s="92" t="s">
        <v>95</v>
      </c>
      <c r="F384" s="92" t="s">
        <v>443</v>
      </c>
      <c r="G384" s="92">
        <v>1</v>
      </c>
    </row>
    <row r="385" spans="1:7" x14ac:dyDescent="0.25">
      <c r="A385" s="94" t="str">
        <f t="shared" si="5"/>
        <v>OHK2201 OHK0All NI generators</v>
      </c>
      <c r="B385" s="92" t="s">
        <v>286</v>
      </c>
      <c r="C385" s="92" t="s">
        <v>446</v>
      </c>
      <c r="D385" s="92" t="s">
        <v>95</v>
      </c>
      <c r="E385" s="92" t="s">
        <v>95</v>
      </c>
      <c r="F385" s="92" t="s">
        <v>443</v>
      </c>
      <c r="G385" s="92">
        <v>1</v>
      </c>
    </row>
    <row r="386" spans="1:7" x14ac:dyDescent="0.25">
      <c r="A386" s="94" t="str">
        <f t="shared" si="5"/>
        <v>OKI2201 OKI0All NI generators</v>
      </c>
      <c r="B386" s="92" t="s">
        <v>287</v>
      </c>
      <c r="C386" s="92" t="s">
        <v>446</v>
      </c>
      <c r="D386" s="92" t="s">
        <v>95</v>
      </c>
      <c r="E386" s="92" t="s">
        <v>95</v>
      </c>
      <c r="F386" s="92" t="s">
        <v>443</v>
      </c>
      <c r="G386" s="92">
        <v>1</v>
      </c>
    </row>
    <row r="387" spans="1:7" x14ac:dyDescent="0.25">
      <c r="A387" s="94" t="str">
        <f t="shared" si="5"/>
        <v>OTA2202 OTC0All NI generators</v>
      </c>
      <c r="B387" s="92" t="s">
        <v>434</v>
      </c>
      <c r="C387" s="92" t="s">
        <v>446</v>
      </c>
      <c r="D387" s="92" t="s">
        <v>95</v>
      </c>
      <c r="E387" s="92" t="s">
        <v>95</v>
      </c>
      <c r="F387" s="92" t="s">
        <v>443</v>
      </c>
      <c r="G387" s="92">
        <v>1</v>
      </c>
    </row>
    <row r="388" spans="1:7" x14ac:dyDescent="0.25">
      <c r="A388" s="94" t="str">
        <f t="shared" si="5"/>
        <v>PPI2201 PPI0All NI generators</v>
      </c>
      <c r="B388" s="92" t="s">
        <v>304</v>
      </c>
      <c r="C388" s="92" t="s">
        <v>446</v>
      </c>
      <c r="D388" s="92" t="s">
        <v>95</v>
      </c>
      <c r="E388" s="92" t="s">
        <v>95</v>
      </c>
      <c r="F388" s="92" t="s">
        <v>443</v>
      </c>
      <c r="G388" s="92">
        <v>1</v>
      </c>
    </row>
    <row r="389" spans="1:7" x14ac:dyDescent="0.25">
      <c r="A389" s="94" t="str">
        <f t="shared" si="5"/>
        <v>ROT1101 WHE0All NI generators</v>
      </c>
      <c r="B389" s="92" t="s">
        <v>314</v>
      </c>
      <c r="C389" s="92" t="s">
        <v>446</v>
      </c>
      <c r="D389" s="92" t="s">
        <v>95</v>
      </c>
      <c r="E389" s="92" t="s">
        <v>95</v>
      </c>
      <c r="F389" s="92" t="s">
        <v>443</v>
      </c>
      <c r="G389" s="92">
        <v>1</v>
      </c>
    </row>
    <row r="390" spans="1:7" x14ac:dyDescent="0.25">
      <c r="A390" s="94" t="str">
        <f t="shared" si="5"/>
        <v>RPO2201 RPO0All NI generators</v>
      </c>
      <c r="B390" s="92" t="s">
        <v>317</v>
      </c>
      <c r="C390" s="92" t="s">
        <v>446</v>
      </c>
      <c r="D390" s="92" t="s">
        <v>95</v>
      </c>
      <c r="E390" s="92" t="s">
        <v>95</v>
      </c>
      <c r="F390" s="92" t="s">
        <v>443</v>
      </c>
      <c r="G390" s="92">
        <v>1</v>
      </c>
    </row>
    <row r="391" spans="1:7" x14ac:dyDescent="0.25">
      <c r="A391" s="94" t="str">
        <f t="shared" si="5"/>
        <v>SFD2201 SFD21All NI generators</v>
      </c>
      <c r="B391" s="92" t="s">
        <v>322</v>
      </c>
      <c r="C391" s="92" t="s">
        <v>446</v>
      </c>
      <c r="D391" s="92" t="s">
        <v>95</v>
      </c>
      <c r="E391" s="92" t="s">
        <v>95</v>
      </c>
      <c r="F391" s="92" t="s">
        <v>443</v>
      </c>
      <c r="G391" s="92">
        <v>1</v>
      </c>
    </row>
    <row r="392" spans="1:7" x14ac:dyDescent="0.25">
      <c r="A392" s="94" t="str">
        <f t="shared" si="5"/>
        <v>SFD2201 SFD22All NI generators</v>
      </c>
      <c r="B392" s="92" t="s">
        <v>323</v>
      </c>
      <c r="C392" s="92" t="s">
        <v>446</v>
      </c>
      <c r="D392" s="92" t="s">
        <v>95</v>
      </c>
      <c r="E392" s="92" t="s">
        <v>95</v>
      </c>
      <c r="F392" s="92" t="s">
        <v>443</v>
      </c>
      <c r="G392" s="92">
        <v>1</v>
      </c>
    </row>
    <row r="393" spans="1:7" x14ac:dyDescent="0.25">
      <c r="A393" s="94" t="str">
        <f t="shared" ref="A393:A456" si="6">B393&amp;C393</f>
        <v>SFD2201 SPL0All NI generators</v>
      </c>
      <c r="B393" s="92" t="s">
        <v>324</v>
      </c>
      <c r="C393" s="92" t="s">
        <v>446</v>
      </c>
      <c r="D393" s="92" t="s">
        <v>95</v>
      </c>
      <c r="E393" s="92" t="s">
        <v>95</v>
      </c>
      <c r="F393" s="92" t="s">
        <v>443</v>
      </c>
      <c r="G393" s="92">
        <v>1</v>
      </c>
    </row>
    <row r="394" spans="1:7" x14ac:dyDescent="0.25">
      <c r="A394" s="94" t="str">
        <f t="shared" si="6"/>
        <v>SWN2201 SWN0All NI generators</v>
      </c>
      <c r="B394" s="92" t="s">
        <v>435</v>
      </c>
      <c r="C394" s="92" t="s">
        <v>446</v>
      </c>
      <c r="D394" s="92" t="s">
        <v>95</v>
      </c>
      <c r="E394" s="92" t="s">
        <v>95</v>
      </c>
      <c r="F394" s="92" t="s">
        <v>443</v>
      </c>
      <c r="G394" s="92">
        <v>1</v>
      </c>
    </row>
    <row r="395" spans="1:7" x14ac:dyDescent="0.25">
      <c r="A395" s="94" t="str">
        <f t="shared" si="6"/>
        <v>SWN2201 SWN5All NI generators</v>
      </c>
      <c r="B395" s="92" t="s">
        <v>331</v>
      </c>
      <c r="C395" s="92" t="s">
        <v>446</v>
      </c>
      <c r="D395" s="92" t="s">
        <v>95</v>
      </c>
      <c r="E395" s="92" t="s">
        <v>95</v>
      </c>
      <c r="F395" s="92" t="s">
        <v>443</v>
      </c>
      <c r="G395" s="92">
        <v>1</v>
      </c>
    </row>
    <row r="396" spans="1:7" x14ac:dyDescent="0.25">
      <c r="A396" s="94" t="str">
        <f t="shared" si="6"/>
        <v>TGA0331 KMI0All NI generators</v>
      </c>
      <c r="B396" s="92" t="s">
        <v>335</v>
      </c>
      <c r="C396" s="92" t="s">
        <v>446</v>
      </c>
      <c r="D396" s="92" t="s">
        <v>95</v>
      </c>
      <c r="E396" s="92" t="s">
        <v>95</v>
      </c>
      <c r="F396" s="92" t="s">
        <v>443</v>
      </c>
      <c r="G396" s="92">
        <v>1</v>
      </c>
    </row>
    <row r="397" spans="1:7" x14ac:dyDescent="0.25">
      <c r="A397" s="94" t="str">
        <f t="shared" si="6"/>
        <v>THI2201 THI1All NI generators</v>
      </c>
      <c r="B397" s="92" t="s">
        <v>337</v>
      </c>
      <c r="C397" s="92" t="s">
        <v>446</v>
      </c>
      <c r="D397" s="92" t="s">
        <v>95</v>
      </c>
      <c r="E397" s="92" t="s">
        <v>95</v>
      </c>
      <c r="F397" s="92" t="s">
        <v>443</v>
      </c>
      <c r="G397" s="92">
        <v>1</v>
      </c>
    </row>
    <row r="398" spans="1:7" x14ac:dyDescent="0.25">
      <c r="A398" s="94" t="str">
        <f t="shared" si="6"/>
        <v>THI2201 THI2All NI generators</v>
      </c>
      <c r="B398" s="92" t="s">
        <v>338</v>
      </c>
      <c r="C398" s="92" t="s">
        <v>446</v>
      </c>
      <c r="D398" s="92" t="s">
        <v>95</v>
      </c>
      <c r="E398" s="92" t="s">
        <v>95</v>
      </c>
      <c r="F398" s="92" t="s">
        <v>443</v>
      </c>
      <c r="G398" s="92">
        <v>1</v>
      </c>
    </row>
    <row r="399" spans="1:7" x14ac:dyDescent="0.25">
      <c r="A399" s="94" t="str">
        <f t="shared" si="6"/>
        <v>TKU2201 TKU0All NI generators</v>
      </c>
      <c r="B399" s="92" t="s">
        <v>345</v>
      </c>
      <c r="C399" s="92" t="s">
        <v>446</v>
      </c>
      <c r="D399" s="92" t="s">
        <v>95</v>
      </c>
      <c r="E399" s="92" t="s">
        <v>95</v>
      </c>
      <c r="F399" s="92" t="s">
        <v>443</v>
      </c>
      <c r="G399" s="92">
        <v>1</v>
      </c>
    </row>
    <row r="400" spans="1:7" x14ac:dyDescent="0.25">
      <c r="A400" s="94" t="str">
        <f t="shared" si="6"/>
        <v>TUI1101 KTW0All NI generators</v>
      </c>
      <c r="B400" s="92" t="s">
        <v>354</v>
      </c>
      <c r="C400" s="92" t="s">
        <v>446</v>
      </c>
      <c r="D400" s="92" t="s">
        <v>95</v>
      </c>
      <c r="E400" s="92" t="s">
        <v>95</v>
      </c>
      <c r="F400" s="92" t="s">
        <v>443</v>
      </c>
      <c r="G400" s="92">
        <v>1</v>
      </c>
    </row>
    <row r="401" spans="1:7" x14ac:dyDescent="0.25">
      <c r="A401" s="94" t="str">
        <f t="shared" si="6"/>
        <v>TUI1101 PRI0All NI generators</v>
      </c>
      <c r="B401" s="92" t="s">
        <v>355</v>
      </c>
      <c r="C401" s="92" t="s">
        <v>446</v>
      </c>
      <c r="D401" s="92" t="s">
        <v>95</v>
      </c>
      <c r="E401" s="92" t="s">
        <v>95</v>
      </c>
      <c r="F401" s="92" t="s">
        <v>443</v>
      </c>
      <c r="G401" s="92">
        <v>1</v>
      </c>
    </row>
    <row r="402" spans="1:7" x14ac:dyDescent="0.25">
      <c r="A402" s="94" t="str">
        <f t="shared" si="6"/>
        <v>TUI1101 TUI0All NI generators</v>
      </c>
      <c r="B402" s="92" t="s">
        <v>356</v>
      </c>
      <c r="C402" s="92" t="s">
        <v>446</v>
      </c>
      <c r="D402" s="92" t="s">
        <v>95</v>
      </c>
      <c r="E402" s="92" t="s">
        <v>95</v>
      </c>
      <c r="F402" s="92" t="s">
        <v>443</v>
      </c>
      <c r="G402" s="92">
        <v>1</v>
      </c>
    </row>
    <row r="403" spans="1:7" x14ac:dyDescent="0.25">
      <c r="A403" s="94" t="str">
        <f t="shared" si="6"/>
        <v>TWC2201All NI generators</v>
      </c>
      <c r="B403" s="92" t="s">
        <v>357</v>
      </c>
      <c r="C403" s="92" t="s">
        <v>446</v>
      </c>
      <c r="D403" s="92" t="s">
        <v>95</v>
      </c>
      <c r="E403" s="92" t="s">
        <v>443</v>
      </c>
      <c r="F403" s="92" t="s">
        <v>95</v>
      </c>
      <c r="G403" s="92">
        <v>1</v>
      </c>
    </row>
    <row r="404" spans="1:7" x14ac:dyDescent="0.25">
      <c r="A404" s="94" t="str">
        <f t="shared" si="6"/>
        <v>TWH0331All NI generators</v>
      </c>
      <c r="B404" s="92" t="s">
        <v>358</v>
      </c>
      <c r="C404" s="92" t="s">
        <v>446</v>
      </c>
      <c r="D404" s="92" t="s">
        <v>95</v>
      </c>
      <c r="E404" s="92" t="s">
        <v>443</v>
      </c>
      <c r="F404" s="92" t="s">
        <v>95</v>
      </c>
      <c r="G404" s="92">
        <v>1</v>
      </c>
    </row>
    <row r="405" spans="1:7" x14ac:dyDescent="0.25">
      <c r="A405" s="94" t="str">
        <f t="shared" si="6"/>
        <v>TWH0331 TRC1All NI generators</v>
      </c>
      <c r="B405" s="92" t="s">
        <v>359</v>
      </c>
      <c r="C405" s="92" t="s">
        <v>446</v>
      </c>
      <c r="D405" s="92" t="s">
        <v>95</v>
      </c>
      <c r="E405" s="92" t="s">
        <v>95</v>
      </c>
      <c r="F405" s="92" t="s">
        <v>443</v>
      </c>
      <c r="G405" s="92">
        <v>1</v>
      </c>
    </row>
    <row r="406" spans="1:7" x14ac:dyDescent="0.25">
      <c r="A406" s="94" t="str">
        <f t="shared" si="6"/>
        <v>WDV1101All NI generators</v>
      </c>
      <c r="B406" s="92" t="s">
        <v>366</v>
      </c>
      <c r="C406" s="92" t="s">
        <v>446</v>
      </c>
      <c r="D406" s="92" t="s">
        <v>95</v>
      </c>
      <c r="E406" s="92" t="s">
        <v>443</v>
      </c>
      <c r="F406" s="92" t="s">
        <v>95</v>
      </c>
      <c r="G406" s="92">
        <v>1</v>
      </c>
    </row>
    <row r="407" spans="1:7" x14ac:dyDescent="0.25">
      <c r="A407" s="94" t="str">
        <f t="shared" si="6"/>
        <v>WHI2201 WHI0All NI generators</v>
      </c>
      <c r="B407" s="92" t="s">
        <v>371</v>
      </c>
      <c r="C407" s="92" t="s">
        <v>446</v>
      </c>
      <c r="D407" s="92" t="s">
        <v>95</v>
      </c>
      <c r="E407" s="92" t="s">
        <v>95</v>
      </c>
      <c r="F407" s="92" t="s">
        <v>443</v>
      </c>
      <c r="G407" s="92">
        <v>1</v>
      </c>
    </row>
    <row r="408" spans="1:7" x14ac:dyDescent="0.25">
      <c r="A408" s="94" t="str">
        <f t="shared" si="6"/>
        <v>WKM2201 MOK0All NI generators</v>
      </c>
      <c r="B408" s="92" t="s">
        <v>376</v>
      </c>
      <c r="C408" s="92" t="s">
        <v>446</v>
      </c>
      <c r="D408" s="92" t="s">
        <v>95</v>
      </c>
      <c r="E408" s="92" t="s">
        <v>95</v>
      </c>
      <c r="F408" s="92" t="s">
        <v>443</v>
      </c>
      <c r="G408" s="92">
        <v>1</v>
      </c>
    </row>
    <row r="409" spans="1:7" x14ac:dyDescent="0.25">
      <c r="A409" s="94" t="str">
        <f t="shared" si="6"/>
        <v>WKM2201 WKM0All NI generators</v>
      </c>
      <c r="B409" s="92" t="s">
        <v>377</v>
      </c>
      <c r="C409" s="92" t="s">
        <v>446</v>
      </c>
      <c r="D409" s="92" t="s">
        <v>95</v>
      </c>
      <c r="E409" s="92" t="s">
        <v>95</v>
      </c>
      <c r="F409" s="92" t="s">
        <v>443</v>
      </c>
      <c r="G409" s="92">
        <v>1</v>
      </c>
    </row>
    <row r="410" spans="1:7" x14ac:dyDescent="0.25">
      <c r="A410" s="94" t="str">
        <f t="shared" si="6"/>
        <v>WPA2201 WPA0All NI generators</v>
      </c>
      <c r="B410" s="92" t="s">
        <v>379</v>
      </c>
      <c r="C410" s="92" t="s">
        <v>446</v>
      </c>
      <c r="D410" s="92" t="s">
        <v>95</v>
      </c>
      <c r="E410" s="92" t="s">
        <v>95</v>
      </c>
      <c r="F410" s="92" t="s">
        <v>443</v>
      </c>
      <c r="G410" s="92">
        <v>1</v>
      </c>
    </row>
    <row r="411" spans="1:7" x14ac:dyDescent="0.25">
      <c r="A411" s="94" t="str">
        <f t="shared" si="6"/>
        <v>WRK0331 RKA0All NI generators</v>
      </c>
      <c r="B411" s="92" t="s">
        <v>386</v>
      </c>
      <c r="C411" s="92" t="s">
        <v>446</v>
      </c>
      <c r="D411" s="92" t="s">
        <v>95</v>
      </c>
      <c r="E411" s="92" t="s">
        <v>95</v>
      </c>
      <c r="F411" s="92" t="s">
        <v>443</v>
      </c>
      <c r="G411" s="92">
        <v>1</v>
      </c>
    </row>
    <row r="412" spans="1:7" x14ac:dyDescent="0.25">
      <c r="A412" s="94" t="str">
        <f t="shared" si="6"/>
        <v>WRK0331 TAA0All NI generators</v>
      </c>
      <c r="B412" s="92" t="s">
        <v>387</v>
      </c>
      <c r="C412" s="92" t="s">
        <v>446</v>
      </c>
      <c r="D412" s="92" t="s">
        <v>95</v>
      </c>
      <c r="E412" s="92" t="s">
        <v>95</v>
      </c>
      <c r="F412" s="92" t="s">
        <v>443</v>
      </c>
      <c r="G412" s="92">
        <v>1</v>
      </c>
    </row>
    <row r="413" spans="1:7" x14ac:dyDescent="0.25">
      <c r="A413" s="94" t="str">
        <f t="shared" si="6"/>
        <v>WRK2201 WRK0All NI generators</v>
      </c>
      <c r="B413" s="92" t="s">
        <v>388</v>
      </c>
      <c r="C413" s="92" t="s">
        <v>446</v>
      </c>
      <c r="D413" s="92" t="s">
        <v>95</v>
      </c>
      <c r="E413" s="92" t="s">
        <v>95</v>
      </c>
      <c r="F413" s="92" t="s">
        <v>443</v>
      </c>
      <c r="G413" s="92">
        <v>1</v>
      </c>
    </row>
    <row r="414" spans="1:7" x14ac:dyDescent="0.25">
      <c r="A414" s="94" t="str">
        <f t="shared" si="6"/>
        <v>WWD1102All NI generators</v>
      </c>
      <c r="B414" s="92" t="s">
        <v>393</v>
      </c>
      <c r="C414" s="92" t="s">
        <v>446</v>
      </c>
      <c r="D414" s="92" t="s">
        <v>95</v>
      </c>
      <c r="E414" s="92" t="s">
        <v>443</v>
      </c>
      <c r="F414" s="92" t="s">
        <v>95</v>
      </c>
      <c r="G414" s="92">
        <v>1</v>
      </c>
    </row>
    <row r="415" spans="1:7" x14ac:dyDescent="0.25">
      <c r="A415" s="94" t="str">
        <f t="shared" si="6"/>
        <v>WWD1103All NI generators</v>
      </c>
      <c r="B415" s="92" t="s">
        <v>394</v>
      </c>
      <c r="C415" s="92" t="s">
        <v>446</v>
      </c>
      <c r="D415" s="92" t="s">
        <v>95</v>
      </c>
      <c r="E415" s="92" t="s">
        <v>443</v>
      </c>
      <c r="F415" s="92" t="s">
        <v>95</v>
      </c>
      <c r="G415" s="92">
        <v>1</v>
      </c>
    </row>
    <row r="416" spans="1:7" x14ac:dyDescent="0.25">
      <c r="A416" s="94" t="str">
        <f t="shared" si="6"/>
        <v>ABY0111All SI consumers</v>
      </c>
      <c r="B416" s="92" t="s">
        <v>130</v>
      </c>
      <c r="C416" s="92" t="s">
        <v>447</v>
      </c>
      <c r="D416" s="92" t="s">
        <v>443</v>
      </c>
      <c r="E416" s="92" t="s">
        <v>95</v>
      </c>
      <c r="F416" s="92" t="s">
        <v>95</v>
      </c>
      <c r="G416" s="92">
        <v>1</v>
      </c>
    </row>
    <row r="417" spans="1:7" x14ac:dyDescent="0.25">
      <c r="A417" s="94" t="str">
        <f t="shared" si="6"/>
        <v>ADD0111All SI consumers</v>
      </c>
      <c r="B417" s="92" t="s">
        <v>398</v>
      </c>
      <c r="C417" s="92" t="s">
        <v>447</v>
      </c>
      <c r="D417" s="92" t="s">
        <v>443</v>
      </c>
      <c r="E417" s="92" t="s">
        <v>95</v>
      </c>
      <c r="F417" s="92" t="s">
        <v>95</v>
      </c>
      <c r="G417" s="92">
        <v>1</v>
      </c>
    </row>
    <row r="418" spans="1:7" x14ac:dyDescent="0.25">
      <c r="A418" s="94" t="str">
        <f t="shared" si="6"/>
        <v>ADD0661All SI consumers</v>
      </c>
      <c r="B418" s="92" t="s">
        <v>399</v>
      </c>
      <c r="C418" s="92" t="s">
        <v>447</v>
      </c>
      <c r="D418" s="92" t="s">
        <v>443</v>
      </c>
      <c r="E418" s="92" t="s">
        <v>95</v>
      </c>
      <c r="F418" s="92" t="s">
        <v>95</v>
      </c>
      <c r="G418" s="92">
        <v>1</v>
      </c>
    </row>
    <row r="419" spans="1:7" x14ac:dyDescent="0.25">
      <c r="A419" s="94" t="str">
        <f t="shared" si="6"/>
        <v>APS0111All SI consumers</v>
      </c>
      <c r="B419" s="92" t="s">
        <v>134</v>
      </c>
      <c r="C419" s="92" t="s">
        <v>447</v>
      </c>
      <c r="D419" s="92" t="s">
        <v>443</v>
      </c>
      <c r="E419" s="92" t="s">
        <v>95</v>
      </c>
      <c r="F419" s="92" t="s">
        <v>95</v>
      </c>
      <c r="G419" s="92">
        <v>1</v>
      </c>
    </row>
    <row r="420" spans="1:7" x14ac:dyDescent="0.25">
      <c r="A420" s="94" t="str">
        <f t="shared" si="6"/>
        <v>ARG1101All SI consumers</v>
      </c>
      <c r="B420" s="92" t="s">
        <v>137</v>
      </c>
      <c r="C420" s="92" t="s">
        <v>447</v>
      </c>
      <c r="D420" s="92" t="s">
        <v>443</v>
      </c>
      <c r="E420" s="92" t="s">
        <v>95</v>
      </c>
      <c r="F420" s="92" t="s">
        <v>95</v>
      </c>
      <c r="G420" s="92">
        <v>1</v>
      </c>
    </row>
    <row r="421" spans="1:7" x14ac:dyDescent="0.25">
      <c r="A421" s="94" t="str">
        <f t="shared" si="6"/>
        <v>ASB0331All SI consumers</v>
      </c>
      <c r="B421" s="92" t="s">
        <v>142</v>
      </c>
      <c r="C421" s="92" t="s">
        <v>447</v>
      </c>
      <c r="D421" s="92" t="s">
        <v>443</v>
      </c>
      <c r="E421" s="92" t="s">
        <v>95</v>
      </c>
      <c r="F421" s="92" t="s">
        <v>95</v>
      </c>
      <c r="G421" s="92">
        <v>1</v>
      </c>
    </row>
    <row r="422" spans="1:7" x14ac:dyDescent="0.25">
      <c r="A422" s="94" t="str">
        <f t="shared" si="6"/>
        <v>ASB0661All SI consumers</v>
      </c>
      <c r="B422" s="92" t="s">
        <v>143</v>
      </c>
      <c r="C422" s="92" t="s">
        <v>447</v>
      </c>
      <c r="D422" s="92" t="s">
        <v>443</v>
      </c>
      <c r="E422" s="92" t="s">
        <v>95</v>
      </c>
      <c r="F422" s="92" t="s">
        <v>95</v>
      </c>
      <c r="G422" s="92">
        <v>1</v>
      </c>
    </row>
    <row r="423" spans="1:7" x14ac:dyDescent="0.25">
      <c r="A423" s="94" t="str">
        <f t="shared" si="6"/>
        <v>ASY0111All SI consumers</v>
      </c>
      <c r="B423" s="92" t="s">
        <v>146</v>
      </c>
      <c r="C423" s="92" t="s">
        <v>447</v>
      </c>
      <c r="D423" s="92" t="s">
        <v>443</v>
      </c>
      <c r="E423" s="92" t="s">
        <v>95</v>
      </c>
      <c r="F423" s="92" t="s">
        <v>95</v>
      </c>
      <c r="G423" s="92">
        <v>1</v>
      </c>
    </row>
    <row r="424" spans="1:7" x14ac:dyDescent="0.25">
      <c r="A424" s="94" t="str">
        <f t="shared" si="6"/>
        <v>ATU1101All SI consumers</v>
      </c>
      <c r="B424" s="92" t="s">
        <v>148</v>
      </c>
      <c r="C424" s="92" t="s">
        <v>447</v>
      </c>
      <c r="D424" s="92" t="s">
        <v>443</v>
      </c>
      <c r="E424" s="92" t="s">
        <v>95</v>
      </c>
      <c r="F424" s="92" t="s">
        <v>95</v>
      </c>
      <c r="G424" s="92">
        <v>1</v>
      </c>
    </row>
    <row r="425" spans="1:7" x14ac:dyDescent="0.25">
      <c r="A425" s="94" t="str">
        <f t="shared" si="6"/>
        <v>BAL0331All SI consumers</v>
      </c>
      <c r="B425" s="92" t="s">
        <v>150</v>
      </c>
      <c r="C425" s="92" t="s">
        <v>447</v>
      </c>
      <c r="D425" s="92" t="s">
        <v>443</v>
      </c>
      <c r="E425" s="92" t="s">
        <v>95</v>
      </c>
      <c r="F425" s="92" t="s">
        <v>95</v>
      </c>
      <c r="G425" s="92">
        <v>1</v>
      </c>
    </row>
    <row r="426" spans="1:7" x14ac:dyDescent="0.25">
      <c r="A426" s="94" t="str">
        <f t="shared" si="6"/>
        <v>BDE0111All SI consumers</v>
      </c>
      <c r="B426" s="92" t="s">
        <v>151</v>
      </c>
      <c r="C426" s="92" t="s">
        <v>447</v>
      </c>
      <c r="D426" s="92" t="s">
        <v>443</v>
      </c>
      <c r="E426" s="92" t="s">
        <v>95</v>
      </c>
      <c r="F426" s="92" t="s">
        <v>95</v>
      </c>
      <c r="G426" s="92">
        <v>1</v>
      </c>
    </row>
    <row r="427" spans="1:7" x14ac:dyDescent="0.25">
      <c r="A427" s="94" t="str">
        <f t="shared" si="6"/>
        <v>BLN0331All SI consumers</v>
      </c>
      <c r="B427" s="92" t="s">
        <v>153</v>
      </c>
      <c r="C427" s="92" t="s">
        <v>447</v>
      </c>
      <c r="D427" s="92" t="s">
        <v>443</v>
      </c>
      <c r="E427" s="92" t="s">
        <v>95</v>
      </c>
      <c r="F427" s="92" t="s">
        <v>95</v>
      </c>
      <c r="G427" s="92">
        <v>1</v>
      </c>
    </row>
    <row r="428" spans="1:7" x14ac:dyDescent="0.25">
      <c r="A428" s="94" t="str">
        <f t="shared" si="6"/>
        <v>BPD1101All SI consumers</v>
      </c>
      <c r="B428" s="92" t="s">
        <v>156</v>
      </c>
      <c r="C428" s="92" t="s">
        <v>447</v>
      </c>
      <c r="D428" s="92" t="s">
        <v>443</v>
      </c>
      <c r="E428" s="92" t="s">
        <v>95</v>
      </c>
      <c r="F428" s="92" t="s">
        <v>95</v>
      </c>
      <c r="G428" s="92">
        <v>1</v>
      </c>
    </row>
    <row r="429" spans="1:7" x14ac:dyDescent="0.25">
      <c r="A429" s="94" t="str">
        <f t="shared" si="6"/>
        <v>BPT1101All SI consumers</v>
      </c>
      <c r="B429" s="92" t="s">
        <v>160</v>
      </c>
      <c r="C429" s="92" t="s">
        <v>447</v>
      </c>
      <c r="D429" s="92" t="s">
        <v>443</v>
      </c>
      <c r="E429" s="92" t="s">
        <v>95</v>
      </c>
      <c r="F429" s="92" t="s">
        <v>95</v>
      </c>
      <c r="G429" s="92">
        <v>1</v>
      </c>
    </row>
    <row r="430" spans="1:7" x14ac:dyDescent="0.25">
      <c r="A430" s="94" t="str">
        <f t="shared" si="6"/>
        <v>BRY0111All SI consumers</v>
      </c>
      <c r="B430" s="92" t="s">
        <v>400</v>
      </c>
      <c r="C430" s="92" t="s">
        <v>447</v>
      </c>
      <c r="D430" s="92" t="s">
        <v>443</v>
      </c>
      <c r="E430" s="92" t="s">
        <v>95</v>
      </c>
      <c r="F430" s="92" t="s">
        <v>95</v>
      </c>
      <c r="G430" s="92">
        <v>1</v>
      </c>
    </row>
    <row r="431" spans="1:7" x14ac:dyDescent="0.25">
      <c r="A431" s="94" t="str">
        <f t="shared" si="6"/>
        <v>BRY0661All SI consumers</v>
      </c>
      <c r="B431" s="92" t="s">
        <v>163</v>
      </c>
      <c r="C431" s="92" t="s">
        <v>447</v>
      </c>
      <c r="D431" s="92" t="s">
        <v>443</v>
      </c>
      <c r="E431" s="92" t="s">
        <v>95</v>
      </c>
      <c r="F431" s="92" t="s">
        <v>95</v>
      </c>
      <c r="G431" s="92">
        <v>1</v>
      </c>
    </row>
    <row r="432" spans="1:7" x14ac:dyDescent="0.25">
      <c r="A432" s="94" t="str">
        <f t="shared" si="6"/>
        <v>BWK1101All SI consumers</v>
      </c>
      <c r="B432" s="92" t="s">
        <v>164</v>
      </c>
      <c r="C432" s="92" t="s">
        <v>447</v>
      </c>
      <c r="D432" s="92" t="s">
        <v>443</v>
      </c>
      <c r="E432" s="92" t="s">
        <v>95</v>
      </c>
      <c r="F432" s="92" t="s">
        <v>95</v>
      </c>
      <c r="G432" s="92">
        <v>1</v>
      </c>
    </row>
    <row r="433" spans="1:7" x14ac:dyDescent="0.25">
      <c r="A433" s="94" t="str">
        <f t="shared" si="6"/>
        <v>CLH0111All SI consumers</v>
      </c>
      <c r="B433" s="92" t="s">
        <v>167</v>
      </c>
      <c r="C433" s="92" t="s">
        <v>447</v>
      </c>
      <c r="D433" s="92" t="s">
        <v>443</v>
      </c>
      <c r="E433" s="92" t="s">
        <v>95</v>
      </c>
      <c r="F433" s="92" t="s">
        <v>95</v>
      </c>
      <c r="G433" s="92">
        <v>1</v>
      </c>
    </row>
    <row r="434" spans="1:7" x14ac:dyDescent="0.25">
      <c r="A434" s="94" t="str">
        <f t="shared" si="6"/>
        <v>CML0331All SI consumers</v>
      </c>
      <c r="B434" s="92" t="s">
        <v>168</v>
      </c>
      <c r="C434" s="92" t="s">
        <v>447</v>
      </c>
      <c r="D434" s="92" t="s">
        <v>443</v>
      </c>
      <c r="E434" s="92" t="s">
        <v>95</v>
      </c>
      <c r="F434" s="92" t="s">
        <v>95</v>
      </c>
      <c r="G434" s="92">
        <v>1</v>
      </c>
    </row>
    <row r="435" spans="1:7" x14ac:dyDescent="0.25">
      <c r="A435" s="94" t="str">
        <f t="shared" si="6"/>
        <v>COL0111All SI consumers</v>
      </c>
      <c r="B435" s="92" t="s">
        <v>169</v>
      </c>
      <c r="C435" s="92" t="s">
        <v>447</v>
      </c>
      <c r="D435" s="92" t="s">
        <v>443</v>
      </c>
      <c r="E435" s="92" t="s">
        <v>95</v>
      </c>
      <c r="F435" s="92" t="s">
        <v>95</v>
      </c>
      <c r="G435" s="92">
        <v>1</v>
      </c>
    </row>
    <row r="436" spans="1:7" x14ac:dyDescent="0.25">
      <c r="A436" s="94" t="str">
        <f t="shared" si="6"/>
        <v>COL0661All SI consumers</v>
      </c>
      <c r="B436" s="92" t="s">
        <v>170</v>
      </c>
      <c r="C436" s="92" t="s">
        <v>447</v>
      </c>
      <c r="D436" s="92" t="s">
        <v>443</v>
      </c>
      <c r="E436" s="92" t="s">
        <v>95</v>
      </c>
      <c r="F436" s="92" t="s">
        <v>95</v>
      </c>
      <c r="G436" s="92">
        <v>1</v>
      </c>
    </row>
    <row r="437" spans="1:7" x14ac:dyDescent="0.25">
      <c r="A437" s="94" t="str">
        <f t="shared" si="6"/>
        <v>CUL0331All SI consumers</v>
      </c>
      <c r="B437" s="92" t="s">
        <v>175</v>
      </c>
      <c r="C437" s="92" t="s">
        <v>447</v>
      </c>
      <c r="D437" s="92" t="s">
        <v>443</v>
      </c>
      <c r="E437" s="92" t="s">
        <v>95</v>
      </c>
      <c r="F437" s="92" t="s">
        <v>95</v>
      </c>
      <c r="G437" s="92">
        <v>1</v>
      </c>
    </row>
    <row r="438" spans="1:7" x14ac:dyDescent="0.25">
      <c r="A438" s="94" t="str">
        <f t="shared" si="6"/>
        <v>CUL0661All SI consumers</v>
      </c>
      <c r="B438" s="92" t="s">
        <v>176</v>
      </c>
      <c r="C438" s="92" t="s">
        <v>447</v>
      </c>
      <c r="D438" s="92" t="s">
        <v>443</v>
      </c>
      <c r="E438" s="92" t="s">
        <v>95</v>
      </c>
      <c r="F438" s="92" t="s">
        <v>95</v>
      </c>
      <c r="G438" s="92">
        <v>1</v>
      </c>
    </row>
    <row r="439" spans="1:7" x14ac:dyDescent="0.25">
      <c r="A439" s="94" t="str">
        <f t="shared" si="6"/>
        <v>CYD0331All SI consumers</v>
      </c>
      <c r="B439" s="92" t="s">
        <v>177</v>
      </c>
      <c r="C439" s="92" t="s">
        <v>447</v>
      </c>
      <c r="D439" s="92" t="s">
        <v>443</v>
      </c>
      <c r="E439" s="92" t="s">
        <v>95</v>
      </c>
      <c r="F439" s="92" t="s">
        <v>95</v>
      </c>
      <c r="G439" s="92">
        <v>1</v>
      </c>
    </row>
    <row r="440" spans="1:7" x14ac:dyDescent="0.25">
      <c r="A440" s="94" t="str">
        <f t="shared" si="6"/>
        <v>CYD2201All SI consumers</v>
      </c>
      <c r="B440" s="92" t="s">
        <v>178</v>
      </c>
      <c r="C440" s="92" t="s">
        <v>447</v>
      </c>
      <c r="D440" s="92" t="s">
        <v>443</v>
      </c>
      <c r="E440" s="92" t="s">
        <v>95</v>
      </c>
      <c r="F440" s="92" t="s">
        <v>95</v>
      </c>
      <c r="G440" s="92">
        <v>1</v>
      </c>
    </row>
    <row r="441" spans="1:7" x14ac:dyDescent="0.25">
      <c r="A441" s="94" t="str">
        <f t="shared" si="6"/>
        <v>DOB0331All SI consumers</v>
      </c>
      <c r="B441" s="92" t="s">
        <v>180</v>
      </c>
      <c r="C441" s="92" t="s">
        <v>447</v>
      </c>
      <c r="D441" s="92" t="s">
        <v>443</v>
      </c>
      <c r="E441" s="92" t="s">
        <v>95</v>
      </c>
      <c r="F441" s="92" t="s">
        <v>95</v>
      </c>
      <c r="G441" s="92">
        <v>1</v>
      </c>
    </row>
    <row r="442" spans="1:7" x14ac:dyDescent="0.25">
      <c r="A442" s="94" t="str">
        <f t="shared" si="6"/>
        <v>EDN0331All SI consumers</v>
      </c>
      <c r="B442" s="92" t="s">
        <v>183</v>
      </c>
      <c r="C442" s="92" t="s">
        <v>447</v>
      </c>
      <c r="D442" s="92" t="s">
        <v>443</v>
      </c>
      <c r="E442" s="92" t="s">
        <v>95</v>
      </c>
      <c r="F442" s="92" t="s">
        <v>95</v>
      </c>
      <c r="G442" s="92">
        <v>1</v>
      </c>
    </row>
    <row r="443" spans="1:7" x14ac:dyDescent="0.25">
      <c r="A443" s="94" t="str">
        <f t="shared" si="6"/>
        <v>FKN0331All SI consumers</v>
      </c>
      <c r="B443" s="92" t="s">
        <v>185</v>
      </c>
      <c r="C443" s="92" t="s">
        <v>447</v>
      </c>
      <c r="D443" s="92" t="s">
        <v>443</v>
      </c>
      <c r="E443" s="92" t="s">
        <v>95</v>
      </c>
      <c r="F443" s="92" t="s">
        <v>95</v>
      </c>
      <c r="G443" s="92">
        <v>1</v>
      </c>
    </row>
    <row r="444" spans="1:7" x14ac:dyDescent="0.25">
      <c r="A444" s="94" t="str">
        <f t="shared" si="6"/>
        <v>GOR0331All SI consumers</v>
      </c>
      <c r="B444" s="92" t="s">
        <v>189</v>
      </c>
      <c r="C444" s="92" t="s">
        <v>447</v>
      </c>
      <c r="D444" s="92" t="s">
        <v>443</v>
      </c>
      <c r="E444" s="92" t="s">
        <v>95</v>
      </c>
      <c r="F444" s="92" t="s">
        <v>95</v>
      </c>
      <c r="G444" s="92">
        <v>1</v>
      </c>
    </row>
    <row r="445" spans="1:7" x14ac:dyDescent="0.25">
      <c r="A445" s="94" t="str">
        <f t="shared" si="6"/>
        <v>GYM0661All SI consumers</v>
      </c>
      <c r="B445" s="92" t="s">
        <v>190</v>
      </c>
      <c r="C445" s="92" t="s">
        <v>447</v>
      </c>
      <c r="D445" s="92" t="s">
        <v>443</v>
      </c>
      <c r="E445" s="92" t="s">
        <v>95</v>
      </c>
      <c r="F445" s="92" t="s">
        <v>95</v>
      </c>
      <c r="G445" s="92">
        <v>1</v>
      </c>
    </row>
    <row r="446" spans="1:7" x14ac:dyDescent="0.25">
      <c r="A446" s="94" t="str">
        <f t="shared" si="6"/>
        <v>HKK0661All SI consumers</v>
      </c>
      <c r="B446" s="92" t="s">
        <v>200</v>
      </c>
      <c r="C446" s="92" t="s">
        <v>447</v>
      </c>
      <c r="D446" s="92" t="s">
        <v>443</v>
      </c>
      <c r="E446" s="92" t="s">
        <v>95</v>
      </c>
      <c r="F446" s="92" t="s">
        <v>95</v>
      </c>
      <c r="G446" s="92">
        <v>1</v>
      </c>
    </row>
    <row r="447" spans="1:7" x14ac:dyDescent="0.25">
      <c r="A447" s="94" t="str">
        <f t="shared" si="6"/>
        <v>HOR0331All SI consumers</v>
      </c>
      <c r="B447" s="92" t="s">
        <v>207</v>
      </c>
      <c r="C447" s="92" t="s">
        <v>447</v>
      </c>
      <c r="D447" s="92" t="s">
        <v>443</v>
      </c>
      <c r="E447" s="92" t="s">
        <v>95</v>
      </c>
      <c r="F447" s="92" t="s">
        <v>95</v>
      </c>
      <c r="G447" s="92">
        <v>1</v>
      </c>
    </row>
    <row r="448" spans="1:7" x14ac:dyDescent="0.25">
      <c r="A448" s="94" t="str">
        <f t="shared" si="6"/>
        <v>HOR0661All SI consumers</v>
      </c>
      <c r="B448" s="92" t="s">
        <v>208</v>
      </c>
      <c r="C448" s="92" t="s">
        <v>447</v>
      </c>
      <c r="D448" s="92" t="s">
        <v>443</v>
      </c>
      <c r="E448" s="92" t="s">
        <v>95</v>
      </c>
      <c r="F448" s="92" t="s">
        <v>95</v>
      </c>
      <c r="G448" s="92">
        <v>1</v>
      </c>
    </row>
    <row r="449" spans="1:7" x14ac:dyDescent="0.25">
      <c r="A449" s="94" t="str">
        <f t="shared" si="6"/>
        <v>HWB0331All SI consumers</v>
      </c>
      <c r="B449" s="92" t="s">
        <v>220</v>
      </c>
      <c r="C449" s="92" t="s">
        <v>447</v>
      </c>
      <c r="D449" s="92" t="s">
        <v>443</v>
      </c>
      <c r="E449" s="92" t="s">
        <v>95</v>
      </c>
      <c r="F449" s="92" t="s">
        <v>95</v>
      </c>
      <c r="G449" s="92">
        <v>1</v>
      </c>
    </row>
    <row r="450" spans="1:7" x14ac:dyDescent="0.25">
      <c r="A450" s="94" t="str">
        <f t="shared" si="6"/>
        <v>HWB0332All SI consumers</v>
      </c>
      <c r="B450" s="92" t="s">
        <v>222</v>
      </c>
      <c r="C450" s="92" t="s">
        <v>447</v>
      </c>
      <c r="D450" s="92" t="s">
        <v>443</v>
      </c>
      <c r="E450" s="92" t="s">
        <v>95</v>
      </c>
      <c r="F450" s="92" t="s">
        <v>95</v>
      </c>
      <c r="G450" s="92">
        <v>1</v>
      </c>
    </row>
    <row r="451" spans="1:7" x14ac:dyDescent="0.25">
      <c r="A451" s="94" t="str">
        <f t="shared" si="6"/>
        <v>HWB1101All SI consumers</v>
      </c>
      <c r="B451" s="92" t="s">
        <v>223</v>
      </c>
      <c r="C451" s="92" t="s">
        <v>447</v>
      </c>
      <c r="D451" s="92" t="s">
        <v>443</v>
      </c>
      <c r="E451" s="92" t="s">
        <v>95</v>
      </c>
      <c r="F451" s="92" t="s">
        <v>95</v>
      </c>
      <c r="G451" s="92">
        <v>1</v>
      </c>
    </row>
    <row r="452" spans="1:7" x14ac:dyDescent="0.25">
      <c r="A452" s="94" t="str">
        <f t="shared" si="6"/>
        <v>INV0331All SI consumers</v>
      </c>
      <c r="B452" s="92" t="s">
        <v>224</v>
      </c>
      <c r="C452" s="92" t="s">
        <v>447</v>
      </c>
      <c r="D452" s="92" t="s">
        <v>443</v>
      </c>
      <c r="E452" s="92" t="s">
        <v>95</v>
      </c>
      <c r="F452" s="92" t="s">
        <v>95</v>
      </c>
      <c r="G452" s="92">
        <v>1</v>
      </c>
    </row>
    <row r="453" spans="1:7" x14ac:dyDescent="0.25">
      <c r="A453" s="94" t="str">
        <f t="shared" si="6"/>
        <v>ISL0331All SI consumers</v>
      </c>
      <c r="B453" s="92" t="s">
        <v>225</v>
      </c>
      <c r="C453" s="92" t="s">
        <v>447</v>
      </c>
      <c r="D453" s="92" t="s">
        <v>443</v>
      </c>
      <c r="E453" s="92" t="s">
        <v>95</v>
      </c>
      <c r="F453" s="92" t="s">
        <v>95</v>
      </c>
      <c r="G453" s="92">
        <v>1</v>
      </c>
    </row>
    <row r="454" spans="1:7" x14ac:dyDescent="0.25">
      <c r="A454" s="94" t="str">
        <f t="shared" si="6"/>
        <v>ISL0661All SI consumers</v>
      </c>
      <c r="B454" s="92" t="s">
        <v>226</v>
      </c>
      <c r="C454" s="92" t="s">
        <v>447</v>
      </c>
      <c r="D454" s="92" t="s">
        <v>443</v>
      </c>
      <c r="E454" s="92" t="s">
        <v>95</v>
      </c>
      <c r="F454" s="92" t="s">
        <v>95</v>
      </c>
      <c r="G454" s="92">
        <v>1</v>
      </c>
    </row>
    <row r="455" spans="1:7" x14ac:dyDescent="0.25">
      <c r="A455" s="94" t="str">
        <f t="shared" si="6"/>
        <v>KAI0111All SI consumers</v>
      </c>
      <c r="B455" s="92" t="s">
        <v>227</v>
      </c>
      <c r="C455" s="92" t="s">
        <v>447</v>
      </c>
      <c r="D455" s="92" t="s">
        <v>443</v>
      </c>
      <c r="E455" s="92" t="s">
        <v>95</v>
      </c>
      <c r="F455" s="92" t="s">
        <v>95</v>
      </c>
      <c r="G455" s="92">
        <v>1</v>
      </c>
    </row>
    <row r="456" spans="1:7" x14ac:dyDescent="0.25">
      <c r="A456" s="94" t="str">
        <f t="shared" si="6"/>
        <v>KBY0661All SI consumers</v>
      </c>
      <c r="B456" s="92" t="s">
        <v>230</v>
      </c>
      <c r="C456" s="92" t="s">
        <v>447</v>
      </c>
      <c r="D456" s="92" t="s">
        <v>443</v>
      </c>
      <c r="E456" s="92" t="s">
        <v>95</v>
      </c>
      <c r="F456" s="92" t="s">
        <v>95</v>
      </c>
      <c r="G456" s="92">
        <v>1</v>
      </c>
    </row>
    <row r="457" spans="1:7" x14ac:dyDescent="0.25">
      <c r="A457" s="94" t="str">
        <f t="shared" ref="A457:A520" si="7">B457&amp;C457</f>
        <v>KBY0662All SI consumers</v>
      </c>
      <c r="B457" s="92" t="s">
        <v>231</v>
      </c>
      <c r="C457" s="92" t="s">
        <v>447</v>
      </c>
      <c r="D457" s="92" t="s">
        <v>443</v>
      </c>
      <c r="E457" s="92" t="s">
        <v>95</v>
      </c>
      <c r="F457" s="92" t="s">
        <v>95</v>
      </c>
      <c r="G457" s="92">
        <v>1</v>
      </c>
    </row>
    <row r="458" spans="1:7" x14ac:dyDescent="0.25">
      <c r="A458" s="94" t="str">
        <f t="shared" si="7"/>
        <v>KIK0111All SI consumers</v>
      </c>
      <c r="B458" s="92" t="s">
        <v>232</v>
      </c>
      <c r="C458" s="92" t="s">
        <v>447</v>
      </c>
      <c r="D458" s="92" t="s">
        <v>443</v>
      </c>
      <c r="E458" s="92" t="s">
        <v>95</v>
      </c>
      <c r="F458" s="92" t="s">
        <v>95</v>
      </c>
      <c r="G458" s="92">
        <v>1</v>
      </c>
    </row>
    <row r="459" spans="1:7" x14ac:dyDescent="0.25">
      <c r="A459" s="94" t="str">
        <f t="shared" si="7"/>
        <v>KUM0661All SI consumers</v>
      </c>
      <c r="B459" s="92" t="s">
        <v>241</v>
      </c>
      <c r="C459" s="92" t="s">
        <v>447</v>
      </c>
      <c r="D459" s="92" t="s">
        <v>443</v>
      </c>
      <c r="E459" s="92" t="s">
        <v>95</v>
      </c>
      <c r="F459" s="92" t="s">
        <v>95</v>
      </c>
      <c r="G459" s="92">
        <v>1</v>
      </c>
    </row>
    <row r="460" spans="1:7" x14ac:dyDescent="0.25">
      <c r="A460" s="94" t="str">
        <f t="shared" si="7"/>
        <v>MAN2201All SI consumers</v>
      </c>
      <c r="B460" s="92" t="s">
        <v>412</v>
      </c>
      <c r="C460" s="92" t="s">
        <v>447</v>
      </c>
      <c r="D460" s="92" t="s">
        <v>443</v>
      </c>
      <c r="E460" s="92" t="s">
        <v>95</v>
      </c>
      <c r="F460" s="92" t="s">
        <v>95</v>
      </c>
      <c r="G460" s="92">
        <v>1</v>
      </c>
    </row>
    <row r="461" spans="1:7" x14ac:dyDescent="0.25">
      <c r="A461" s="94" t="str">
        <f t="shared" si="7"/>
        <v>MCH0111All SI consumers</v>
      </c>
      <c r="B461" s="92" t="s">
        <v>253</v>
      </c>
      <c r="C461" s="92" t="s">
        <v>447</v>
      </c>
      <c r="D461" s="92" t="s">
        <v>443</v>
      </c>
      <c r="E461" s="92" t="s">
        <v>95</v>
      </c>
      <c r="F461" s="92" t="s">
        <v>95</v>
      </c>
      <c r="G461" s="92">
        <v>1</v>
      </c>
    </row>
    <row r="462" spans="1:7" x14ac:dyDescent="0.25">
      <c r="A462" s="94" t="str">
        <f t="shared" si="7"/>
        <v>MLN0661All SI consumers</v>
      </c>
      <c r="B462" s="92" t="s">
        <v>413</v>
      </c>
      <c r="C462" s="92" t="s">
        <v>447</v>
      </c>
      <c r="D462" s="92" t="s">
        <v>443</v>
      </c>
      <c r="E462" s="92" t="s">
        <v>95</v>
      </c>
      <c r="F462" s="92" t="s">
        <v>95</v>
      </c>
      <c r="G462" s="92">
        <v>1</v>
      </c>
    </row>
    <row r="463" spans="1:7" x14ac:dyDescent="0.25">
      <c r="A463" s="94" t="str">
        <f t="shared" si="7"/>
        <v>MLN0664All SI consumers</v>
      </c>
      <c r="B463" s="92" t="s">
        <v>414</v>
      </c>
      <c r="C463" s="92" t="s">
        <v>447</v>
      </c>
      <c r="D463" s="92" t="s">
        <v>443</v>
      </c>
      <c r="E463" s="92" t="s">
        <v>95</v>
      </c>
      <c r="F463" s="92" t="s">
        <v>95</v>
      </c>
      <c r="G463" s="92">
        <v>1</v>
      </c>
    </row>
    <row r="464" spans="1:7" x14ac:dyDescent="0.25">
      <c r="A464" s="94" t="str">
        <f t="shared" si="7"/>
        <v>MOT0111All SI consumers</v>
      </c>
      <c r="B464" s="92" t="s">
        <v>415</v>
      </c>
      <c r="C464" s="92" t="s">
        <v>447</v>
      </c>
      <c r="D464" s="92" t="s">
        <v>443</v>
      </c>
      <c r="E464" s="92" t="s">
        <v>95</v>
      </c>
      <c r="F464" s="92" t="s">
        <v>95</v>
      </c>
      <c r="G464" s="92">
        <v>1</v>
      </c>
    </row>
    <row r="465" spans="1:7" x14ac:dyDescent="0.25">
      <c r="A465" s="94" t="str">
        <f t="shared" si="7"/>
        <v>MPI0661All SI consumers</v>
      </c>
      <c r="B465" s="92" t="s">
        <v>416</v>
      </c>
      <c r="C465" s="92" t="s">
        <v>447</v>
      </c>
      <c r="D465" s="92" t="s">
        <v>443</v>
      </c>
      <c r="E465" s="92" t="s">
        <v>95</v>
      </c>
      <c r="F465" s="92" t="s">
        <v>95</v>
      </c>
      <c r="G465" s="92">
        <v>1</v>
      </c>
    </row>
    <row r="466" spans="1:7" x14ac:dyDescent="0.25">
      <c r="A466" s="94" t="str">
        <f t="shared" si="7"/>
        <v>NMA0331All SI consumers</v>
      </c>
      <c r="B466" s="92" t="s">
        <v>276</v>
      </c>
      <c r="C466" s="92" t="s">
        <v>447</v>
      </c>
      <c r="D466" s="92" t="s">
        <v>443</v>
      </c>
      <c r="E466" s="92" t="s">
        <v>95</v>
      </c>
      <c r="F466" s="92" t="s">
        <v>95</v>
      </c>
      <c r="G466" s="92">
        <v>1</v>
      </c>
    </row>
    <row r="467" spans="1:7" x14ac:dyDescent="0.25">
      <c r="A467" s="94" t="str">
        <f t="shared" si="7"/>
        <v>NSY0331All SI consumers</v>
      </c>
      <c r="B467" s="92" t="s">
        <v>280</v>
      </c>
      <c r="C467" s="92" t="s">
        <v>447</v>
      </c>
      <c r="D467" s="92" t="s">
        <v>443</v>
      </c>
      <c r="E467" s="92" t="s">
        <v>95</v>
      </c>
      <c r="F467" s="92" t="s">
        <v>95</v>
      </c>
      <c r="G467" s="92">
        <v>1</v>
      </c>
    </row>
    <row r="468" spans="1:7" x14ac:dyDescent="0.25">
      <c r="A468" s="94" t="str">
        <f t="shared" si="7"/>
        <v>OAM0331All SI consumers</v>
      </c>
      <c r="B468" s="92" t="s">
        <v>282</v>
      </c>
      <c r="C468" s="92" t="s">
        <v>447</v>
      </c>
      <c r="D468" s="92" t="s">
        <v>443</v>
      </c>
      <c r="E468" s="92" t="s">
        <v>95</v>
      </c>
      <c r="F468" s="92" t="s">
        <v>95</v>
      </c>
      <c r="G468" s="92">
        <v>1</v>
      </c>
    </row>
    <row r="469" spans="1:7" x14ac:dyDescent="0.25">
      <c r="A469" s="94" t="str">
        <f t="shared" si="7"/>
        <v>ORO1101All SI consumers</v>
      </c>
      <c r="B469" s="92" t="s">
        <v>291</v>
      </c>
      <c r="C469" s="92" t="s">
        <v>447</v>
      </c>
      <c r="D469" s="92" t="s">
        <v>443</v>
      </c>
      <c r="E469" s="92" t="s">
        <v>95</v>
      </c>
      <c r="F469" s="92" t="s">
        <v>95</v>
      </c>
      <c r="G469" s="92">
        <v>1</v>
      </c>
    </row>
    <row r="470" spans="1:7" x14ac:dyDescent="0.25">
      <c r="A470" s="94" t="str">
        <f t="shared" si="7"/>
        <v>ORO1102All SI consumers</v>
      </c>
      <c r="B470" s="92" t="s">
        <v>292</v>
      </c>
      <c r="C470" s="92" t="s">
        <v>447</v>
      </c>
      <c r="D470" s="92" t="s">
        <v>443</v>
      </c>
      <c r="E470" s="92" t="s">
        <v>95</v>
      </c>
      <c r="F470" s="92" t="s">
        <v>95</v>
      </c>
      <c r="G470" s="92">
        <v>1</v>
      </c>
    </row>
    <row r="471" spans="1:7" x14ac:dyDescent="0.25">
      <c r="A471" s="94" t="str">
        <f t="shared" si="7"/>
        <v>OTI0111All SI consumers</v>
      </c>
      <c r="B471" s="92" t="s">
        <v>294</v>
      </c>
      <c r="C471" s="92" t="s">
        <v>447</v>
      </c>
      <c r="D471" s="92" t="s">
        <v>443</v>
      </c>
      <c r="E471" s="92" t="s">
        <v>95</v>
      </c>
      <c r="F471" s="92" t="s">
        <v>95</v>
      </c>
      <c r="G471" s="92">
        <v>1</v>
      </c>
    </row>
    <row r="472" spans="1:7" x14ac:dyDescent="0.25">
      <c r="A472" s="94" t="str">
        <f t="shared" si="7"/>
        <v>PAL0331All SI consumers</v>
      </c>
      <c r="B472" s="92" t="s">
        <v>419</v>
      </c>
      <c r="C472" s="92" t="s">
        <v>447</v>
      </c>
      <c r="D472" s="92" t="s">
        <v>443</v>
      </c>
      <c r="E472" s="92" t="s">
        <v>95</v>
      </c>
      <c r="F472" s="92" t="s">
        <v>95</v>
      </c>
      <c r="G472" s="92">
        <v>1</v>
      </c>
    </row>
    <row r="473" spans="1:7" x14ac:dyDescent="0.25">
      <c r="A473" s="94" t="str">
        <f t="shared" si="7"/>
        <v>RFN1101All SI consumers</v>
      </c>
      <c r="B473" s="92" t="s">
        <v>307</v>
      </c>
      <c r="C473" s="92" t="s">
        <v>447</v>
      </c>
      <c r="D473" s="92" t="s">
        <v>443</v>
      </c>
      <c r="E473" s="92" t="s">
        <v>95</v>
      </c>
      <c r="F473" s="92" t="s">
        <v>95</v>
      </c>
      <c r="G473" s="92">
        <v>1</v>
      </c>
    </row>
    <row r="474" spans="1:7" x14ac:dyDescent="0.25">
      <c r="A474" s="94" t="str">
        <f t="shared" si="7"/>
        <v>RFN1102All SI consumers</v>
      </c>
      <c r="B474" s="92" t="s">
        <v>308</v>
      </c>
      <c r="C474" s="92" t="s">
        <v>447</v>
      </c>
      <c r="D474" s="92" t="s">
        <v>443</v>
      </c>
      <c r="E474" s="92" t="s">
        <v>95</v>
      </c>
      <c r="F474" s="92" t="s">
        <v>95</v>
      </c>
      <c r="G474" s="92">
        <v>1</v>
      </c>
    </row>
    <row r="475" spans="1:7" x14ac:dyDescent="0.25">
      <c r="A475" s="94" t="str">
        <f t="shared" si="7"/>
        <v>SBK0331All SI consumers</v>
      </c>
      <c r="B475" s="92" t="s">
        <v>318</v>
      </c>
      <c r="C475" s="92" t="s">
        <v>447</v>
      </c>
      <c r="D475" s="92" t="s">
        <v>443</v>
      </c>
      <c r="E475" s="92" t="s">
        <v>95</v>
      </c>
      <c r="F475" s="92" t="s">
        <v>95</v>
      </c>
      <c r="G475" s="92">
        <v>1</v>
      </c>
    </row>
    <row r="476" spans="1:7" x14ac:dyDescent="0.25">
      <c r="A476" s="94" t="str">
        <f t="shared" si="7"/>
        <v>SDN0331All SI consumers</v>
      </c>
      <c r="B476" s="92" t="s">
        <v>319</v>
      </c>
      <c r="C476" s="92" t="s">
        <v>447</v>
      </c>
      <c r="D476" s="92" t="s">
        <v>443</v>
      </c>
      <c r="E476" s="92" t="s">
        <v>95</v>
      </c>
      <c r="F476" s="92" t="s">
        <v>95</v>
      </c>
      <c r="G476" s="92">
        <v>1</v>
      </c>
    </row>
    <row r="477" spans="1:7" x14ac:dyDescent="0.25">
      <c r="A477" s="94" t="str">
        <f t="shared" si="7"/>
        <v>SPN0331All SI consumers</v>
      </c>
      <c r="B477" s="92" t="s">
        <v>420</v>
      </c>
      <c r="C477" s="92" t="s">
        <v>447</v>
      </c>
      <c r="D477" s="92" t="s">
        <v>443</v>
      </c>
      <c r="E477" s="92" t="s">
        <v>95</v>
      </c>
      <c r="F477" s="92" t="s">
        <v>95</v>
      </c>
      <c r="G477" s="92">
        <v>1</v>
      </c>
    </row>
    <row r="478" spans="1:7" x14ac:dyDescent="0.25">
      <c r="A478" s="94" t="str">
        <f t="shared" si="7"/>
        <v>SPN0661All SI consumers</v>
      </c>
      <c r="B478" s="92" t="s">
        <v>421</v>
      </c>
      <c r="C478" s="92" t="s">
        <v>447</v>
      </c>
      <c r="D478" s="92" t="s">
        <v>443</v>
      </c>
      <c r="E478" s="92" t="s">
        <v>95</v>
      </c>
      <c r="F478" s="92" t="s">
        <v>95</v>
      </c>
      <c r="G478" s="92">
        <v>1</v>
      </c>
    </row>
    <row r="479" spans="1:7" x14ac:dyDescent="0.25">
      <c r="A479" s="94" t="str">
        <f t="shared" si="7"/>
        <v>STK0331All SI consumers</v>
      </c>
      <c r="B479" s="92" t="s">
        <v>325</v>
      </c>
      <c r="C479" s="92" t="s">
        <v>447</v>
      </c>
      <c r="D479" s="92" t="s">
        <v>443</v>
      </c>
      <c r="E479" s="92" t="s">
        <v>95</v>
      </c>
      <c r="F479" s="92" t="s">
        <v>95</v>
      </c>
      <c r="G479" s="92">
        <v>1</v>
      </c>
    </row>
    <row r="480" spans="1:7" x14ac:dyDescent="0.25">
      <c r="A480" s="94" t="str">
        <f t="shared" si="7"/>
        <v>STU0111All SI consumers</v>
      </c>
      <c r="B480" s="92" t="s">
        <v>327</v>
      </c>
      <c r="C480" s="92" t="s">
        <v>447</v>
      </c>
      <c r="D480" s="92" t="s">
        <v>443</v>
      </c>
      <c r="E480" s="92" t="s">
        <v>95</v>
      </c>
      <c r="F480" s="92" t="s">
        <v>95</v>
      </c>
      <c r="G480" s="92">
        <v>1</v>
      </c>
    </row>
    <row r="481" spans="1:7" x14ac:dyDescent="0.25">
      <c r="A481" s="94" t="str">
        <f t="shared" si="7"/>
        <v>TIM0111All SI consumers</v>
      </c>
      <c r="B481" s="92" t="s">
        <v>339</v>
      </c>
      <c r="C481" s="92" t="s">
        <v>447</v>
      </c>
      <c r="D481" s="92" t="s">
        <v>443</v>
      </c>
      <c r="E481" s="92" t="s">
        <v>95</v>
      </c>
      <c r="F481" s="92" t="s">
        <v>95</v>
      </c>
      <c r="G481" s="92">
        <v>1</v>
      </c>
    </row>
    <row r="482" spans="1:7" x14ac:dyDescent="0.25">
      <c r="A482" s="94" t="str">
        <f t="shared" si="7"/>
        <v>TKA0331All SI consumers</v>
      </c>
      <c r="B482" s="92" t="s">
        <v>422</v>
      </c>
      <c r="C482" s="92" t="s">
        <v>447</v>
      </c>
      <c r="D482" s="92" t="s">
        <v>443</v>
      </c>
      <c r="E482" s="92" t="s">
        <v>95</v>
      </c>
      <c r="F482" s="92" t="s">
        <v>95</v>
      </c>
      <c r="G482" s="92">
        <v>1</v>
      </c>
    </row>
    <row r="483" spans="1:7" x14ac:dyDescent="0.25">
      <c r="A483" s="94" t="str">
        <f t="shared" si="7"/>
        <v>TMK0331All SI consumers</v>
      </c>
      <c r="B483" s="92" t="s">
        <v>347</v>
      </c>
      <c r="C483" s="92" t="s">
        <v>447</v>
      </c>
      <c r="D483" s="92" t="s">
        <v>443</v>
      </c>
      <c r="E483" s="92" t="s">
        <v>95</v>
      </c>
      <c r="F483" s="92" t="s">
        <v>95</v>
      </c>
      <c r="G483" s="92">
        <v>1</v>
      </c>
    </row>
    <row r="484" spans="1:7" x14ac:dyDescent="0.25">
      <c r="A484" s="94" t="str">
        <f t="shared" si="7"/>
        <v>TWI2201All SI consumers</v>
      </c>
      <c r="B484" s="92" t="s">
        <v>361</v>
      </c>
      <c r="C484" s="92" t="s">
        <v>447</v>
      </c>
      <c r="D484" s="92" t="s">
        <v>443</v>
      </c>
      <c r="E484" s="92" t="s">
        <v>95</v>
      </c>
      <c r="F484" s="92" t="s">
        <v>95</v>
      </c>
      <c r="G484" s="92">
        <v>1</v>
      </c>
    </row>
    <row r="485" spans="1:7" x14ac:dyDescent="0.25">
      <c r="A485" s="94" t="str">
        <f t="shared" si="7"/>
        <v>TWZ0331All SI consumers</v>
      </c>
      <c r="B485" s="92" t="s">
        <v>362</v>
      </c>
      <c r="C485" s="92" t="s">
        <v>447</v>
      </c>
      <c r="D485" s="92" t="s">
        <v>443</v>
      </c>
      <c r="E485" s="92" t="s">
        <v>95</v>
      </c>
      <c r="F485" s="92" t="s">
        <v>95</v>
      </c>
      <c r="G485" s="92">
        <v>1</v>
      </c>
    </row>
    <row r="486" spans="1:7" x14ac:dyDescent="0.25">
      <c r="A486" s="94" t="str">
        <f t="shared" si="7"/>
        <v>WPR0331All SI consumers</v>
      </c>
      <c r="B486" s="92" t="s">
        <v>380</v>
      </c>
      <c r="C486" s="92" t="s">
        <v>447</v>
      </c>
      <c r="D486" s="92" t="s">
        <v>443</v>
      </c>
      <c r="E486" s="92" t="s">
        <v>95</v>
      </c>
      <c r="F486" s="92" t="s">
        <v>95</v>
      </c>
      <c r="G486" s="92">
        <v>1</v>
      </c>
    </row>
    <row r="487" spans="1:7" x14ac:dyDescent="0.25">
      <c r="A487" s="94" t="str">
        <f t="shared" si="7"/>
        <v>WPR0661All SI consumers</v>
      </c>
      <c r="B487" s="92" t="s">
        <v>381</v>
      </c>
      <c r="C487" s="92" t="s">
        <v>447</v>
      </c>
      <c r="D487" s="92" t="s">
        <v>443</v>
      </c>
      <c r="E487" s="92" t="s">
        <v>95</v>
      </c>
      <c r="F487" s="92" t="s">
        <v>95</v>
      </c>
      <c r="G487" s="92">
        <v>1</v>
      </c>
    </row>
    <row r="488" spans="1:7" x14ac:dyDescent="0.25">
      <c r="A488" s="94" t="str">
        <f t="shared" si="7"/>
        <v>WPT0111All SI consumers</v>
      </c>
      <c r="B488" s="92" t="s">
        <v>382</v>
      </c>
      <c r="C488" s="92" t="s">
        <v>447</v>
      </c>
      <c r="D488" s="92" t="s">
        <v>443</v>
      </c>
      <c r="E488" s="92" t="s">
        <v>95</v>
      </c>
      <c r="F488" s="92" t="s">
        <v>95</v>
      </c>
      <c r="G488" s="92">
        <v>1</v>
      </c>
    </row>
    <row r="489" spans="1:7" x14ac:dyDescent="0.25">
      <c r="A489" s="94" t="str">
        <f t="shared" si="7"/>
        <v>WTK0111All SI consumers</v>
      </c>
      <c r="B489" s="92" t="s">
        <v>389</v>
      </c>
      <c r="C489" s="92" t="s">
        <v>447</v>
      </c>
      <c r="D489" s="92" t="s">
        <v>443</v>
      </c>
      <c r="E489" s="92" t="s">
        <v>95</v>
      </c>
      <c r="F489" s="92" t="s">
        <v>95</v>
      </c>
      <c r="G489" s="92">
        <v>1</v>
      </c>
    </row>
    <row r="490" spans="1:7" x14ac:dyDescent="0.25">
      <c r="A490" s="94" t="str">
        <f t="shared" si="7"/>
        <v>ARG1101 BRR0All SI generators</v>
      </c>
      <c r="B490" s="92" t="s">
        <v>139</v>
      </c>
      <c r="C490" s="92" t="s">
        <v>448</v>
      </c>
      <c r="D490" s="92" t="s">
        <v>95</v>
      </c>
      <c r="E490" s="92" t="s">
        <v>95</v>
      </c>
      <c r="F490" s="92" t="s">
        <v>443</v>
      </c>
      <c r="G490" s="92">
        <v>1</v>
      </c>
    </row>
    <row r="491" spans="1:7" x14ac:dyDescent="0.25">
      <c r="A491" s="94" t="str">
        <f t="shared" si="7"/>
        <v>ASB0661 HBK0All SI generators</v>
      </c>
      <c r="B491" s="92" t="s">
        <v>144</v>
      </c>
      <c r="C491" s="92" t="s">
        <v>448</v>
      </c>
      <c r="D491" s="92" t="s">
        <v>95</v>
      </c>
      <c r="E491" s="92" t="s">
        <v>95</v>
      </c>
      <c r="F491" s="92" t="s">
        <v>443</v>
      </c>
      <c r="G491" s="92">
        <v>1</v>
      </c>
    </row>
    <row r="492" spans="1:7" x14ac:dyDescent="0.25">
      <c r="A492" s="94" t="str">
        <f t="shared" si="7"/>
        <v>AVI2201 AVI0All SI generators</v>
      </c>
      <c r="B492" s="92" t="s">
        <v>149</v>
      </c>
      <c r="C492" s="92" t="s">
        <v>448</v>
      </c>
      <c r="D492" s="92" t="s">
        <v>95</v>
      </c>
      <c r="E492" s="92" t="s">
        <v>95</v>
      </c>
      <c r="F492" s="92" t="s">
        <v>443</v>
      </c>
      <c r="G492" s="92">
        <v>1</v>
      </c>
    </row>
    <row r="493" spans="1:7" x14ac:dyDescent="0.25">
      <c r="A493" s="94" t="str">
        <f t="shared" si="7"/>
        <v>BEN0162 BEN0All SI generators</v>
      </c>
      <c r="B493" s="92" t="s">
        <v>427</v>
      </c>
      <c r="C493" s="92" t="s">
        <v>448</v>
      </c>
      <c r="D493" s="92" t="s">
        <v>95</v>
      </c>
      <c r="E493" s="92" t="s">
        <v>95</v>
      </c>
      <c r="F493" s="92" t="s">
        <v>443</v>
      </c>
      <c r="G493" s="92">
        <v>1</v>
      </c>
    </row>
    <row r="494" spans="1:7" x14ac:dyDescent="0.25">
      <c r="A494" s="94" t="str">
        <f t="shared" si="7"/>
        <v>BEN0163 BEN0All SI generators</v>
      </c>
      <c r="B494" s="92" t="s">
        <v>428</v>
      </c>
      <c r="C494" s="92" t="s">
        <v>448</v>
      </c>
      <c r="D494" s="92" t="s">
        <v>95</v>
      </c>
      <c r="E494" s="92" t="s">
        <v>95</v>
      </c>
      <c r="F494" s="92" t="s">
        <v>443</v>
      </c>
      <c r="G494" s="92">
        <v>1</v>
      </c>
    </row>
    <row r="495" spans="1:7" x14ac:dyDescent="0.25">
      <c r="A495" s="94" t="str">
        <f t="shared" si="7"/>
        <v>BEN2202 BEN0All SI generators</v>
      </c>
      <c r="B495" s="92" t="s">
        <v>152</v>
      </c>
      <c r="C495" s="92" t="s">
        <v>448</v>
      </c>
      <c r="D495" s="92" t="s">
        <v>95</v>
      </c>
      <c r="E495" s="92" t="s">
        <v>95</v>
      </c>
      <c r="F495" s="92" t="s">
        <v>443</v>
      </c>
      <c r="G495" s="92">
        <v>1</v>
      </c>
    </row>
    <row r="496" spans="1:7" x14ac:dyDescent="0.25">
      <c r="A496" s="94" t="str">
        <f t="shared" si="7"/>
        <v>BWK1101 WPI0All SI generators</v>
      </c>
      <c r="B496" s="92" t="s">
        <v>165</v>
      </c>
      <c r="C496" s="92" t="s">
        <v>448</v>
      </c>
      <c r="D496" s="92" t="s">
        <v>95</v>
      </c>
      <c r="E496" s="92" t="s">
        <v>95</v>
      </c>
      <c r="F496" s="92" t="s">
        <v>443</v>
      </c>
      <c r="G496" s="92">
        <v>1</v>
      </c>
    </row>
    <row r="497" spans="1:7" x14ac:dyDescent="0.25">
      <c r="A497" s="94" t="str">
        <f t="shared" si="7"/>
        <v>COB0661 COB0All SI generators</v>
      </c>
      <c r="B497" s="92" t="s">
        <v>429</v>
      </c>
      <c r="C497" s="92" t="s">
        <v>448</v>
      </c>
      <c r="D497" s="92" t="s">
        <v>95</v>
      </c>
      <c r="E497" s="92" t="s">
        <v>95</v>
      </c>
      <c r="F497" s="92" t="s">
        <v>443</v>
      </c>
      <c r="G497" s="92">
        <v>1</v>
      </c>
    </row>
    <row r="498" spans="1:7" x14ac:dyDescent="0.25">
      <c r="A498" s="94" t="str">
        <f t="shared" si="7"/>
        <v>COL0661 COL0All SI generators</v>
      </c>
      <c r="B498" s="92" t="s">
        <v>171</v>
      </c>
      <c r="C498" s="92" t="s">
        <v>448</v>
      </c>
      <c r="D498" s="92" t="s">
        <v>95</v>
      </c>
      <c r="E498" s="92" t="s">
        <v>95</v>
      </c>
      <c r="F498" s="92" t="s">
        <v>443</v>
      </c>
      <c r="G498" s="92">
        <v>1</v>
      </c>
    </row>
    <row r="499" spans="1:7" x14ac:dyDescent="0.25">
      <c r="A499" s="94" t="str">
        <f t="shared" si="7"/>
        <v>CYD0331All SI generators</v>
      </c>
      <c r="B499" s="92" t="s">
        <v>177</v>
      </c>
      <c r="C499" s="92" t="s">
        <v>448</v>
      </c>
      <c r="D499" s="92" t="s">
        <v>95</v>
      </c>
      <c r="E499" s="92" t="s">
        <v>443</v>
      </c>
      <c r="F499" s="92" t="s">
        <v>95</v>
      </c>
      <c r="G499" s="92">
        <v>1</v>
      </c>
    </row>
    <row r="500" spans="1:7" x14ac:dyDescent="0.25">
      <c r="A500" s="94" t="str">
        <f t="shared" si="7"/>
        <v>CYD2201 CYD0All SI generators</v>
      </c>
      <c r="B500" s="92" t="s">
        <v>179</v>
      </c>
      <c r="C500" s="92" t="s">
        <v>448</v>
      </c>
      <c r="D500" s="92" t="s">
        <v>95</v>
      </c>
      <c r="E500" s="92" t="s">
        <v>95</v>
      </c>
      <c r="F500" s="92" t="s">
        <v>443</v>
      </c>
      <c r="G500" s="92">
        <v>1</v>
      </c>
    </row>
    <row r="501" spans="1:7" x14ac:dyDescent="0.25">
      <c r="A501" s="94" t="str">
        <f t="shared" si="7"/>
        <v>HWB0331 WPI0All SI generators</v>
      </c>
      <c r="B501" s="92" t="s">
        <v>221</v>
      </c>
      <c r="C501" s="92" t="s">
        <v>448</v>
      </c>
      <c r="D501" s="92" t="s">
        <v>95</v>
      </c>
      <c r="E501" s="92" t="s">
        <v>95</v>
      </c>
      <c r="F501" s="92" t="s">
        <v>443</v>
      </c>
      <c r="G501" s="92">
        <v>1</v>
      </c>
    </row>
    <row r="502" spans="1:7" x14ac:dyDescent="0.25">
      <c r="A502" s="94" t="str">
        <f t="shared" si="7"/>
        <v>KUM0661All SI generators</v>
      </c>
      <c r="B502" s="92" t="s">
        <v>241</v>
      </c>
      <c r="C502" s="92" t="s">
        <v>448</v>
      </c>
      <c r="D502" s="92" t="s">
        <v>95</v>
      </c>
      <c r="E502" s="92" t="s">
        <v>443</v>
      </c>
      <c r="F502" s="92" t="s">
        <v>95</v>
      </c>
      <c r="G502" s="92">
        <v>1</v>
      </c>
    </row>
    <row r="503" spans="1:7" x14ac:dyDescent="0.25">
      <c r="A503" s="94" t="str">
        <f t="shared" si="7"/>
        <v>KUM0661 KUM0All SI generators</v>
      </c>
      <c r="B503" s="92" t="s">
        <v>242</v>
      </c>
      <c r="C503" s="92" t="s">
        <v>448</v>
      </c>
      <c r="D503" s="92" t="s">
        <v>95</v>
      </c>
      <c r="E503" s="92" t="s">
        <v>95</v>
      </c>
      <c r="F503" s="92" t="s">
        <v>443</v>
      </c>
      <c r="G503" s="92">
        <v>1</v>
      </c>
    </row>
    <row r="504" spans="1:7" x14ac:dyDescent="0.25">
      <c r="A504" s="94" t="str">
        <f t="shared" si="7"/>
        <v>MAN2201 MAN0All SI generators</v>
      </c>
      <c r="B504" s="92" t="s">
        <v>248</v>
      </c>
      <c r="C504" s="92" t="s">
        <v>448</v>
      </c>
      <c r="D504" s="92" t="s">
        <v>95</v>
      </c>
      <c r="E504" s="92" t="s">
        <v>95</v>
      </c>
      <c r="F504" s="92" t="s">
        <v>443</v>
      </c>
      <c r="G504" s="92">
        <v>1</v>
      </c>
    </row>
    <row r="505" spans="1:7" x14ac:dyDescent="0.25">
      <c r="A505" s="94" t="str">
        <f t="shared" si="7"/>
        <v>NMA0331All SI generators</v>
      </c>
      <c r="B505" s="92" t="s">
        <v>276</v>
      </c>
      <c r="C505" s="92" t="s">
        <v>448</v>
      </c>
      <c r="D505" s="92" t="s">
        <v>95</v>
      </c>
      <c r="E505" s="92" t="s">
        <v>443</v>
      </c>
      <c r="F505" s="92" t="s">
        <v>95</v>
      </c>
      <c r="G505" s="92">
        <v>1</v>
      </c>
    </row>
    <row r="506" spans="1:7" x14ac:dyDescent="0.25">
      <c r="A506" s="94" t="str">
        <f t="shared" si="7"/>
        <v>NSY0331 PAE0All SI generators</v>
      </c>
      <c r="B506" s="92" t="s">
        <v>281</v>
      </c>
      <c r="C506" s="92" t="s">
        <v>448</v>
      </c>
      <c r="D506" s="92" t="s">
        <v>95</v>
      </c>
      <c r="E506" s="92" t="s">
        <v>95</v>
      </c>
      <c r="F506" s="92" t="s">
        <v>443</v>
      </c>
      <c r="G506" s="92">
        <v>1</v>
      </c>
    </row>
    <row r="507" spans="1:7" x14ac:dyDescent="0.25">
      <c r="A507" s="94" t="str">
        <f t="shared" si="7"/>
        <v>OHA2201 OHA0All SI generators</v>
      </c>
      <c r="B507" s="92" t="s">
        <v>283</v>
      </c>
      <c r="C507" s="92" t="s">
        <v>448</v>
      </c>
      <c r="D507" s="92" t="s">
        <v>95</v>
      </c>
      <c r="E507" s="92" t="s">
        <v>95</v>
      </c>
      <c r="F507" s="92" t="s">
        <v>443</v>
      </c>
      <c r="G507" s="92">
        <v>1</v>
      </c>
    </row>
    <row r="508" spans="1:7" x14ac:dyDescent="0.25">
      <c r="A508" s="94" t="str">
        <f t="shared" si="7"/>
        <v>OHB2201 OHB0All SI generators</v>
      </c>
      <c r="B508" s="92" t="s">
        <v>284</v>
      </c>
      <c r="C508" s="92" t="s">
        <v>448</v>
      </c>
      <c r="D508" s="92" t="s">
        <v>95</v>
      </c>
      <c r="E508" s="92" t="s">
        <v>95</v>
      </c>
      <c r="F508" s="92" t="s">
        <v>443</v>
      </c>
      <c r="G508" s="92">
        <v>1</v>
      </c>
    </row>
    <row r="509" spans="1:7" x14ac:dyDescent="0.25">
      <c r="A509" s="94" t="str">
        <f t="shared" si="7"/>
        <v>OHC2201 OHC0All SI generators</v>
      </c>
      <c r="B509" s="92" t="s">
        <v>285</v>
      </c>
      <c r="C509" s="92" t="s">
        <v>448</v>
      </c>
      <c r="D509" s="92" t="s">
        <v>95</v>
      </c>
      <c r="E509" s="92" t="s">
        <v>95</v>
      </c>
      <c r="F509" s="92" t="s">
        <v>443</v>
      </c>
      <c r="G509" s="92">
        <v>1</v>
      </c>
    </row>
    <row r="510" spans="1:7" x14ac:dyDescent="0.25">
      <c r="A510" s="94" t="str">
        <f t="shared" si="7"/>
        <v>ROX1101 ROX0All SI generators</v>
      </c>
      <c r="B510" s="92" t="s">
        <v>315</v>
      </c>
      <c r="C510" s="92" t="s">
        <v>448</v>
      </c>
      <c r="D510" s="92" t="s">
        <v>95</v>
      </c>
      <c r="E510" s="92" t="s">
        <v>95</v>
      </c>
      <c r="F510" s="92" t="s">
        <v>443</v>
      </c>
      <c r="G510" s="92">
        <v>1</v>
      </c>
    </row>
    <row r="511" spans="1:7" x14ac:dyDescent="0.25">
      <c r="A511" s="94" t="str">
        <f t="shared" si="7"/>
        <v>ROX2201 ROX0All SI generators</v>
      </c>
      <c r="B511" s="92" t="s">
        <v>316</v>
      </c>
      <c r="C511" s="92" t="s">
        <v>448</v>
      </c>
      <c r="D511" s="92" t="s">
        <v>95</v>
      </c>
      <c r="E511" s="92" t="s">
        <v>95</v>
      </c>
      <c r="F511" s="92" t="s">
        <v>443</v>
      </c>
      <c r="G511" s="92">
        <v>1</v>
      </c>
    </row>
    <row r="512" spans="1:7" x14ac:dyDescent="0.25">
      <c r="A512" s="94" t="str">
        <f t="shared" si="7"/>
        <v>TKA0111 TKA0All SI generators</v>
      </c>
      <c r="B512" s="92" t="s">
        <v>436</v>
      </c>
      <c r="C512" s="92" t="s">
        <v>448</v>
      </c>
      <c r="D512" s="92" t="s">
        <v>95</v>
      </c>
      <c r="E512" s="92" t="s">
        <v>95</v>
      </c>
      <c r="F512" s="92" t="s">
        <v>443</v>
      </c>
      <c r="G512" s="92">
        <v>1</v>
      </c>
    </row>
    <row r="513" spans="1:7" x14ac:dyDescent="0.25">
      <c r="A513" s="94" t="str">
        <f t="shared" si="7"/>
        <v>TKA0111 TKA1All SI generators</v>
      </c>
      <c r="B513" s="92" t="s">
        <v>340</v>
      </c>
      <c r="C513" s="92" t="s">
        <v>448</v>
      </c>
      <c r="D513" s="92" t="s">
        <v>95</v>
      </c>
      <c r="E513" s="92" t="s">
        <v>95</v>
      </c>
      <c r="F513" s="92" t="s">
        <v>443</v>
      </c>
      <c r="G513" s="92">
        <v>1</v>
      </c>
    </row>
    <row r="514" spans="1:7" x14ac:dyDescent="0.25">
      <c r="A514" s="94" t="str">
        <f t="shared" si="7"/>
        <v>TKB2201 TKB0All SI generators</v>
      </c>
      <c r="B514" s="92" t="s">
        <v>437</v>
      </c>
      <c r="C514" s="92" t="s">
        <v>448</v>
      </c>
      <c r="D514" s="92" t="s">
        <v>95</v>
      </c>
      <c r="E514" s="92" t="s">
        <v>95</v>
      </c>
      <c r="F514" s="92" t="s">
        <v>443</v>
      </c>
      <c r="G514" s="92">
        <v>1</v>
      </c>
    </row>
    <row r="515" spans="1:7" x14ac:dyDescent="0.25">
      <c r="A515" s="94" t="str">
        <f t="shared" si="7"/>
        <v>TKB2201 TKB1All SI generators</v>
      </c>
      <c r="B515" s="92" t="s">
        <v>341</v>
      </c>
      <c r="C515" s="92" t="s">
        <v>448</v>
      </c>
      <c r="D515" s="92" t="s">
        <v>95</v>
      </c>
      <c r="E515" s="92" t="s">
        <v>95</v>
      </c>
      <c r="F515" s="92" t="s">
        <v>443</v>
      </c>
      <c r="G515" s="92">
        <v>1</v>
      </c>
    </row>
    <row r="516" spans="1:7" x14ac:dyDescent="0.25">
      <c r="A516" s="94" t="str">
        <f t="shared" si="7"/>
        <v>WTK0111 WTK0All SI generators</v>
      </c>
      <c r="B516" s="92" t="s">
        <v>390</v>
      </c>
      <c r="C516" s="92" t="s">
        <v>448</v>
      </c>
      <c r="D516" s="92" t="s">
        <v>95</v>
      </c>
      <c r="E516" s="92" t="s">
        <v>95</v>
      </c>
      <c r="F516" s="92" t="s">
        <v>443</v>
      </c>
      <c r="G516" s="92">
        <v>1</v>
      </c>
    </row>
    <row r="517" spans="1:7" x14ac:dyDescent="0.25">
      <c r="A517" s="94" t="str">
        <f t="shared" si="7"/>
        <v>ARA2201 ARA0CNI geothermals + Waikato hydro from Atiamuri + BOP generators</v>
      </c>
      <c r="B517" s="92" t="s">
        <v>135</v>
      </c>
      <c r="C517" s="92" t="s">
        <v>449</v>
      </c>
      <c r="D517" s="92" t="s">
        <v>95</v>
      </c>
      <c r="E517" s="92" t="s">
        <v>95</v>
      </c>
      <c r="F517" s="92" t="s">
        <v>443</v>
      </c>
      <c r="G517" s="92">
        <v>1</v>
      </c>
    </row>
    <row r="518" spans="1:7" x14ac:dyDescent="0.25">
      <c r="A518" s="94" t="str">
        <f t="shared" si="7"/>
        <v>ATI2201 ATI0CNI geothermals + Waikato hydro from Atiamuri + BOP generators</v>
      </c>
      <c r="B518" s="92" t="s">
        <v>147</v>
      </c>
      <c r="C518" s="92" t="s">
        <v>449</v>
      </c>
      <c r="D518" s="92" t="s">
        <v>95</v>
      </c>
      <c r="E518" s="92" t="s">
        <v>95</v>
      </c>
      <c r="F518" s="92" t="s">
        <v>443</v>
      </c>
      <c r="G518" s="92">
        <v>1</v>
      </c>
    </row>
    <row r="519" spans="1:7" x14ac:dyDescent="0.25">
      <c r="A519" s="94" t="str">
        <f t="shared" si="7"/>
        <v>KAW0112 ONU0CNI geothermals + Waikato hydro from Atiamuri + BOP generators</v>
      </c>
      <c r="B519" s="92" t="s">
        <v>431</v>
      </c>
      <c r="C519" s="92" t="s">
        <v>449</v>
      </c>
      <c r="D519" s="92" t="s">
        <v>95</v>
      </c>
      <c r="E519" s="92" t="s">
        <v>95</v>
      </c>
      <c r="F519" s="92" t="s">
        <v>443</v>
      </c>
      <c r="G519" s="92">
        <v>1</v>
      </c>
    </row>
    <row r="520" spans="1:7" x14ac:dyDescent="0.25">
      <c r="A520" s="94" t="str">
        <f t="shared" si="7"/>
        <v>KAW1101 KAG0CNI geothermals + Waikato hydro from Atiamuri + BOP generators</v>
      </c>
      <c r="B520" s="92" t="s">
        <v>432</v>
      </c>
      <c r="C520" s="92" t="s">
        <v>449</v>
      </c>
      <c r="D520" s="92" t="s">
        <v>95</v>
      </c>
      <c r="E520" s="92" t="s">
        <v>95</v>
      </c>
      <c r="F520" s="92" t="s">
        <v>443</v>
      </c>
      <c r="G520" s="92">
        <v>1</v>
      </c>
    </row>
    <row r="521" spans="1:7" x14ac:dyDescent="0.25">
      <c r="A521" s="94" t="str">
        <f t="shared" ref="A521:A585" si="8">B521&amp;C521</f>
        <v>MAT1101CNI geothermals + Waikato hydro from Atiamuri + BOP generators</v>
      </c>
      <c r="B521" s="92" t="s">
        <v>249</v>
      </c>
      <c r="C521" s="92" t="s">
        <v>449</v>
      </c>
      <c r="D521" s="92" t="s">
        <v>95</v>
      </c>
      <c r="E521" s="92" t="s">
        <v>443</v>
      </c>
      <c r="F521" s="92" t="s">
        <v>95</v>
      </c>
      <c r="G521" s="92">
        <v>1</v>
      </c>
    </row>
    <row r="522" spans="1:7" x14ac:dyDescent="0.25">
      <c r="A522" s="94" t="str">
        <f t="shared" si="8"/>
        <v>MAT1101 ANI0CNI geothermals + Waikato hydro from Atiamuri + BOP generators</v>
      </c>
      <c r="B522" s="92" t="s">
        <v>250</v>
      </c>
      <c r="C522" s="92" t="s">
        <v>449</v>
      </c>
      <c r="D522" s="92" t="s">
        <v>95</v>
      </c>
      <c r="E522" s="92" t="s">
        <v>95</v>
      </c>
      <c r="F522" s="92" t="s">
        <v>443</v>
      </c>
      <c r="G522" s="92">
        <v>1</v>
      </c>
    </row>
    <row r="523" spans="1:7" x14ac:dyDescent="0.25">
      <c r="A523" s="94" t="str">
        <f t="shared" si="8"/>
        <v>MAT1101 MAT0CNI geothermals + Waikato hydro from Atiamuri + BOP generators</v>
      </c>
      <c r="B523" s="92" t="s">
        <v>251</v>
      </c>
      <c r="C523" s="92" t="s">
        <v>449</v>
      </c>
      <c r="D523" s="92" t="s">
        <v>95</v>
      </c>
      <c r="E523" s="92" t="s">
        <v>95</v>
      </c>
      <c r="F523" s="92" t="s">
        <v>443</v>
      </c>
      <c r="G523" s="92">
        <v>1</v>
      </c>
    </row>
    <row r="524" spans="1:7" x14ac:dyDescent="0.25">
      <c r="A524" s="94" t="str">
        <f t="shared" si="8"/>
        <v>MAT1102 MAT0CNI geothermals + Waikato hydro from Atiamuri + BOP generators</v>
      </c>
      <c r="B524" s="92" t="s">
        <v>252</v>
      </c>
      <c r="C524" s="92" t="s">
        <v>449</v>
      </c>
      <c r="D524" s="92" t="s">
        <v>95</v>
      </c>
      <c r="E524" s="92" t="s">
        <v>95</v>
      </c>
      <c r="F524" s="92" t="s">
        <v>443</v>
      </c>
      <c r="G524" s="92">
        <v>1</v>
      </c>
    </row>
    <row r="525" spans="1:7" x14ac:dyDescent="0.25">
      <c r="A525" s="94" t="str">
        <f t="shared" si="8"/>
        <v>NAP2201 NAP0CNI geothermals + Waikato hydro from Atiamuri + BOP generators</v>
      </c>
      <c r="B525" s="92" t="s">
        <v>273</v>
      </c>
      <c r="C525" s="92" t="s">
        <v>449</v>
      </c>
      <c r="D525" s="92" t="s">
        <v>95</v>
      </c>
      <c r="E525" s="92" t="s">
        <v>95</v>
      </c>
      <c r="F525" s="92" t="s">
        <v>443</v>
      </c>
      <c r="G525" s="92">
        <v>1</v>
      </c>
    </row>
    <row r="526" spans="1:7" x14ac:dyDescent="0.25">
      <c r="A526" s="94" t="str">
        <f t="shared" si="8"/>
        <v>NAP2202 NTM0CNI geothermals + Waikato hydro from Atiamuri + BOP generators</v>
      </c>
      <c r="B526" s="92" t="s">
        <v>275</v>
      </c>
      <c r="C526" s="92" t="s">
        <v>449</v>
      </c>
      <c r="D526" s="92" t="s">
        <v>95</v>
      </c>
      <c r="E526" s="92" t="s">
        <v>95</v>
      </c>
      <c r="F526" s="92" t="s">
        <v>443</v>
      </c>
      <c r="G526" s="92">
        <v>1</v>
      </c>
    </row>
    <row r="527" spans="1:7" x14ac:dyDescent="0.25">
      <c r="A527" s="94" t="str">
        <f t="shared" si="8"/>
        <v>OHK2201 OHK0CNI geothermals + Waikato hydro from Atiamuri + BOP generators</v>
      </c>
      <c r="B527" s="92" t="s">
        <v>286</v>
      </c>
      <c r="C527" s="92" t="s">
        <v>449</v>
      </c>
      <c r="D527" s="92" t="s">
        <v>95</v>
      </c>
      <c r="E527" s="92" t="s">
        <v>95</v>
      </c>
      <c r="F527" s="92" t="s">
        <v>443</v>
      </c>
      <c r="G527" s="92">
        <v>1</v>
      </c>
    </row>
    <row r="528" spans="1:7" x14ac:dyDescent="0.25">
      <c r="A528" s="94" t="str">
        <f t="shared" si="8"/>
        <v>OKI2201 OKI0CNI geothermals + Waikato hydro from Atiamuri + BOP generators</v>
      </c>
      <c r="B528" s="92" t="s">
        <v>287</v>
      </c>
      <c r="C528" s="92" t="s">
        <v>449</v>
      </c>
      <c r="D528" s="92" t="s">
        <v>95</v>
      </c>
      <c r="E528" s="92" t="s">
        <v>95</v>
      </c>
      <c r="F528" s="92" t="s">
        <v>443</v>
      </c>
      <c r="G528" s="92">
        <v>1</v>
      </c>
    </row>
    <row r="529" spans="1:7" x14ac:dyDescent="0.25">
      <c r="A529" s="94" t="str">
        <f t="shared" si="8"/>
        <v>PPI2201 PPI0CNI geothermals + Waikato hydro from Atiamuri + BOP generators</v>
      </c>
      <c r="B529" s="92" t="s">
        <v>304</v>
      </c>
      <c r="C529" s="92" t="s">
        <v>449</v>
      </c>
      <c r="D529" s="92" t="s">
        <v>95</v>
      </c>
      <c r="E529" s="92" t="s">
        <v>95</v>
      </c>
      <c r="F529" s="92" t="s">
        <v>443</v>
      </c>
      <c r="G529" s="92">
        <v>1</v>
      </c>
    </row>
    <row r="530" spans="1:7" x14ac:dyDescent="0.25">
      <c r="A530" s="94" t="str">
        <f t="shared" si="8"/>
        <v>ROT1101 WHE0CNI geothermals + Waikato hydro from Atiamuri + BOP generators</v>
      </c>
      <c r="B530" s="92" t="s">
        <v>314</v>
      </c>
      <c r="C530" s="92" t="s">
        <v>449</v>
      </c>
      <c r="D530" s="92" t="s">
        <v>95</v>
      </c>
      <c r="E530" s="92" t="s">
        <v>95</v>
      </c>
      <c r="F530" s="92" t="s">
        <v>443</v>
      </c>
      <c r="G530" s="92">
        <v>1</v>
      </c>
    </row>
    <row r="531" spans="1:7" x14ac:dyDescent="0.25">
      <c r="A531" s="94" t="str">
        <f t="shared" si="8"/>
        <v>TGA0331 KMI0CNI geothermals + Waikato hydro from Atiamuri + BOP generators</v>
      </c>
      <c r="B531" s="92" t="s">
        <v>335</v>
      </c>
      <c r="C531" s="92" t="s">
        <v>449</v>
      </c>
      <c r="D531" s="92" t="s">
        <v>95</v>
      </c>
      <c r="E531" s="92" t="s">
        <v>95</v>
      </c>
      <c r="F531" s="92" t="s">
        <v>443</v>
      </c>
      <c r="G531" s="92">
        <v>1</v>
      </c>
    </row>
    <row r="532" spans="1:7" x14ac:dyDescent="0.25">
      <c r="A532" s="94" t="str">
        <f t="shared" si="8"/>
        <v>THI2201 THI1CNI geothermals + Waikato hydro from Atiamuri + BOP generators</v>
      </c>
      <c r="B532" s="92" t="s">
        <v>337</v>
      </c>
      <c r="C532" s="92" t="s">
        <v>449</v>
      </c>
      <c r="D532" s="92" t="s">
        <v>95</v>
      </c>
      <c r="E532" s="92" t="s">
        <v>95</v>
      </c>
      <c r="F532" s="92" t="s">
        <v>443</v>
      </c>
      <c r="G532" s="92">
        <v>1</v>
      </c>
    </row>
    <row r="533" spans="1:7" x14ac:dyDescent="0.25">
      <c r="A533" s="94" t="str">
        <f t="shared" si="8"/>
        <v>THI2201 THI2CNI geothermals + Waikato hydro from Atiamuri + BOP generators</v>
      </c>
      <c r="B533" s="92" t="s">
        <v>338</v>
      </c>
      <c r="C533" s="92" t="s">
        <v>449</v>
      </c>
      <c r="D533" s="92" t="s">
        <v>95</v>
      </c>
      <c r="E533" s="92" t="s">
        <v>95</v>
      </c>
      <c r="F533" s="92" t="s">
        <v>443</v>
      </c>
      <c r="G533" s="92">
        <v>1</v>
      </c>
    </row>
    <row r="534" spans="1:7" x14ac:dyDescent="0.25">
      <c r="A534" s="94" t="str">
        <f t="shared" si="8"/>
        <v>WKM2201 MOK0CNI geothermals + Waikato hydro from Atiamuri + BOP generators</v>
      </c>
      <c r="B534" s="92" t="s">
        <v>376</v>
      </c>
      <c r="C534" s="92" t="s">
        <v>449</v>
      </c>
      <c r="D534" s="92" t="s">
        <v>95</v>
      </c>
      <c r="E534" s="92" t="s">
        <v>95</v>
      </c>
      <c r="F534" s="92" t="s">
        <v>443</v>
      </c>
      <c r="G534" s="92">
        <v>1</v>
      </c>
    </row>
    <row r="535" spans="1:7" x14ac:dyDescent="0.25">
      <c r="A535" s="94" t="str">
        <f t="shared" si="8"/>
        <v>WRK0331 RKA0CNI geothermals + Waikato hydro from Atiamuri + BOP generators</v>
      </c>
      <c r="B535" s="92" t="s">
        <v>386</v>
      </c>
      <c r="C535" s="92" t="s">
        <v>449</v>
      </c>
      <c r="D535" s="92" t="s">
        <v>95</v>
      </c>
      <c r="E535" s="92" t="s">
        <v>95</v>
      </c>
      <c r="F535" s="92" t="s">
        <v>443</v>
      </c>
      <c r="G535" s="92">
        <v>1</v>
      </c>
    </row>
    <row r="536" spans="1:7" x14ac:dyDescent="0.25">
      <c r="A536" s="94" t="str">
        <f t="shared" si="8"/>
        <v>WRK0331 TAA0CNI geothermals + Waikato hydro from Atiamuri + BOP generators</v>
      </c>
      <c r="B536" s="92" t="s">
        <v>387</v>
      </c>
      <c r="C536" s="92" t="s">
        <v>449</v>
      </c>
      <c r="D536" s="92" t="s">
        <v>95</v>
      </c>
      <c r="E536" s="92" t="s">
        <v>95</v>
      </c>
      <c r="F536" s="92" t="s">
        <v>443</v>
      </c>
      <c r="G536" s="92">
        <v>1</v>
      </c>
    </row>
    <row r="537" spans="1:7" x14ac:dyDescent="0.25">
      <c r="A537" s="94" t="str">
        <f t="shared" si="8"/>
        <v>WRK2201 WRK0CNI geothermals + Waikato hydro from Atiamuri + BOP generators</v>
      </c>
      <c r="B537" s="92" t="s">
        <v>388</v>
      </c>
      <c r="C537" s="92" t="s">
        <v>449</v>
      </c>
      <c r="D537" s="92" t="s">
        <v>95</v>
      </c>
      <c r="E537" s="92" t="s">
        <v>95</v>
      </c>
      <c r="F537" s="92" t="s">
        <v>443</v>
      </c>
      <c r="G537" s="92">
        <v>1</v>
      </c>
    </row>
    <row r="538" spans="1:7" x14ac:dyDescent="0.25">
      <c r="A538" s="94" t="str">
        <f t="shared" si="8"/>
        <v>ALB0331Loads north of WKM</v>
      </c>
      <c r="B538" s="92" t="s">
        <v>132</v>
      </c>
      <c r="C538" s="92" t="s">
        <v>450</v>
      </c>
      <c r="D538" s="92" t="s">
        <v>443</v>
      </c>
      <c r="E538" s="92" t="s">
        <v>95</v>
      </c>
      <c r="F538" s="92" t="s">
        <v>95</v>
      </c>
      <c r="G538" s="92">
        <v>1</v>
      </c>
    </row>
    <row r="539" spans="1:7" x14ac:dyDescent="0.25">
      <c r="A539" s="94" t="str">
        <f t="shared" si="8"/>
        <v>ALB1101Loads north of WKM</v>
      </c>
      <c r="B539" s="92" t="s">
        <v>133</v>
      </c>
      <c r="C539" s="92" t="s">
        <v>450</v>
      </c>
      <c r="D539" s="92" t="s">
        <v>443</v>
      </c>
      <c r="E539" s="92" t="s">
        <v>95</v>
      </c>
      <c r="F539" s="92" t="s">
        <v>95</v>
      </c>
      <c r="G539" s="92">
        <v>1</v>
      </c>
    </row>
    <row r="540" spans="1:7" x14ac:dyDescent="0.25">
      <c r="A540" s="94" t="str">
        <f t="shared" si="8"/>
        <v>BOB0331Loads north of WKM</v>
      </c>
      <c r="B540" s="92" t="s">
        <v>154</v>
      </c>
      <c r="C540" s="92" t="s">
        <v>450</v>
      </c>
      <c r="D540" s="92" t="s">
        <v>443</v>
      </c>
      <c r="E540" s="92" t="s">
        <v>95</v>
      </c>
      <c r="F540" s="92" t="s">
        <v>95</v>
      </c>
      <c r="G540" s="92">
        <v>1</v>
      </c>
    </row>
    <row r="541" spans="1:7" x14ac:dyDescent="0.25">
      <c r="A541" s="94" t="str">
        <f t="shared" si="8"/>
        <v>BOB1101Loads north of WKM</v>
      </c>
      <c r="B541" s="92" t="s">
        <v>155</v>
      </c>
      <c r="C541" s="92" t="s">
        <v>450</v>
      </c>
      <c r="D541" s="92" t="s">
        <v>443</v>
      </c>
      <c r="E541" s="92" t="s">
        <v>95</v>
      </c>
      <c r="F541" s="92" t="s">
        <v>95</v>
      </c>
      <c r="G541" s="92">
        <v>1</v>
      </c>
    </row>
    <row r="542" spans="1:7" x14ac:dyDescent="0.25">
      <c r="A542" s="94" t="str">
        <f t="shared" si="8"/>
        <v>BRB0331Loads north of WKM</v>
      </c>
      <c r="B542" s="92" t="s">
        <v>161</v>
      </c>
      <c r="C542" s="92" t="s">
        <v>450</v>
      </c>
      <c r="D542" s="92" t="s">
        <v>443</v>
      </c>
      <c r="E542" s="92" t="s">
        <v>95</v>
      </c>
      <c r="F542" s="92" t="s">
        <v>95</v>
      </c>
      <c r="G542" s="92">
        <v>1</v>
      </c>
    </row>
    <row r="543" spans="1:7" x14ac:dyDescent="0.25">
      <c r="A543" s="94" t="str">
        <f t="shared" si="8"/>
        <v>CBG0111Loads north of WKM</v>
      </c>
      <c r="B543" s="92" t="s">
        <v>166</v>
      </c>
      <c r="C543" s="92" t="s">
        <v>450</v>
      </c>
      <c r="D543" s="92" t="s">
        <v>443</v>
      </c>
      <c r="E543" s="92" t="s">
        <v>95</v>
      </c>
      <c r="F543" s="92" t="s">
        <v>95</v>
      </c>
      <c r="G543" s="92">
        <v>1</v>
      </c>
    </row>
    <row r="544" spans="1:7" x14ac:dyDescent="0.25">
      <c r="A544" s="94" t="str">
        <f t="shared" si="8"/>
        <v>EDG0331Loads north of WKM</v>
      </c>
      <c r="B544" s="92" t="s">
        <v>182</v>
      </c>
      <c r="C544" s="92" t="s">
        <v>450</v>
      </c>
      <c r="D544" s="92" t="s">
        <v>443</v>
      </c>
      <c r="E544" s="92" t="s">
        <v>95</v>
      </c>
      <c r="F544" s="92" t="s">
        <v>95</v>
      </c>
      <c r="G544" s="92">
        <v>1</v>
      </c>
    </row>
    <row r="545" spans="1:21" x14ac:dyDescent="0.25">
      <c r="A545" s="94" t="str">
        <f t="shared" si="8"/>
        <v>FHL0331Loads north of WKM</v>
      </c>
      <c r="B545" s="92" t="s">
        <v>184</v>
      </c>
      <c r="C545" s="92" t="s">
        <v>450</v>
      </c>
      <c r="D545" s="92" t="s">
        <v>443</v>
      </c>
      <c r="E545" s="92" t="s">
        <v>95</v>
      </c>
      <c r="F545" s="92" t="s">
        <v>95</v>
      </c>
      <c r="G545" s="92">
        <v>1</v>
      </c>
    </row>
    <row r="546" spans="1:21" x14ac:dyDescent="0.25">
      <c r="A546" s="94" t="str">
        <f t="shared" si="8"/>
        <v>GIS0501Loads north of WKM</v>
      </c>
      <c r="B546" s="92" t="s">
        <v>401</v>
      </c>
      <c r="C546" s="92" t="s">
        <v>450</v>
      </c>
      <c r="D546" s="92" t="s">
        <v>443</v>
      </c>
      <c r="E546" s="92" t="s">
        <v>95</v>
      </c>
      <c r="F546" s="92" t="s">
        <v>95</v>
      </c>
      <c r="G546" s="92">
        <v>1</v>
      </c>
    </row>
    <row r="547" spans="1:21" x14ac:dyDescent="0.25">
      <c r="A547" s="94" t="str">
        <f t="shared" si="8"/>
        <v>GLN0331Loads north of WKM</v>
      </c>
      <c r="B547" s="92" t="s">
        <v>402</v>
      </c>
      <c r="C547" s="92" t="s">
        <v>450</v>
      </c>
      <c r="D547" s="92" t="s">
        <v>443</v>
      </c>
      <c r="E547" s="92" t="s">
        <v>95</v>
      </c>
      <c r="F547" s="92" t="s">
        <v>95</v>
      </c>
      <c r="G547" s="92">
        <v>1</v>
      </c>
    </row>
    <row r="548" spans="1:21" x14ac:dyDescent="0.25">
      <c r="A548" s="94" t="str">
        <f t="shared" si="8"/>
        <v>GLN0332Loads north of WKM</v>
      </c>
      <c r="B548" s="92" t="s">
        <v>403</v>
      </c>
      <c r="C548" s="92" t="s">
        <v>450</v>
      </c>
      <c r="D548" s="92" t="s">
        <v>443</v>
      </c>
      <c r="E548" s="92" t="s">
        <v>95</v>
      </c>
      <c r="F548" s="92" t="s">
        <v>95</v>
      </c>
      <c r="G548" s="92">
        <v>1</v>
      </c>
    </row>
    <row r="549" spans="1:21" x14ac:dyDescent="0.25">
      <c r="A549" s="94" t="str">
        <f t="shared" si="8"/>
        <v>HAM0111Loads north of WKM</v>
      </c>
      <c r="B549" s="92" t="s">
        <v>192</v>
      </c>
      <c r="C549" s="92" t="s">
        <v>450</v>
      </c>
      <c r="D549" s="92" t="s">
        <v>443</v>
      </c>
      <c r="E549" s="92" t="s">
        <v>95</v>
      </c>
      <c r="F549" s="92" t="s">
        <v>95</v>
      </c>
      <c r="G549" s="92">
        <v>1</v>
      </c>
    </row>
    <row r="550" spans="1:21" x14ac:dyDescent="0.25">
      <c r="A550" s="94" t="str">
        <f t="shared" si="8"/>
        <v>HAM0331Loads north of WKM</v>
      </c>
      <c r="B550" s="92" t="s">
        <v>193</v>
      </c>
      <c r="C550" s="92" t="s">
        <v>450</v>
      </c>
      <c r="D550" s="92" t="s">
        <v>443</v>
      </c>
      <c r="E550" s="92" t="s">
        <v>95</v>
      </c>
      <c r="F550" s="92" t="s">
        <v>95</v>
      </c>
      <c r="G550" s="92">
        <v>1</v>
      </c>
    </row>
    <row r="551" spans="1:21" x14ac:dyDescent="0.25">
      <c r="A551" s="94" t="str">
        <f t="shared" si="8"/>
        <v>HAM0551Loads north of WKM</v>
      </c>
      <c r="B551" s="92" t="s">
        <v>194</v>
      </c>
      <c r="C551" s="92" t="s">
        <v>450</v>
      </c>
      <c r="D551" s="92" t="s">
        <v>443</v>
      </c>
      <c r="E551" s="92" t="s">
        <v>95</v>
      </c>
      <c r="F551" s="92" t="s">
        <v>95</v>
      </c>
      <c r="G551" s="92">
        <v>1</v>
      </c>
    </row>
    <row r="552" spans="1:21" x14ac:dyDescent="0.25">
      <c r="A552" s="94" t="str">
        <f t="shared" si="8"/>
        <v>HEN0331Loads north of WKM</v>
      </c>
      <c r="B552" s="92" t="s">
        <v>197</v>
      </c>
      <c r="C552" s="92" t="s">
        <v>450</v>
      </c>
      <c r="D552" s="92" t="s">
        <v>443</v>
      </c>
      <c r="E552" s="92" t="s">
        <v>95</v>
      </c>
      <c r="F552" s="92" t="s">
        <v>95</v>
      </c>
      <c r="G552" s="92">
        <v>1</v>
      </c>
    </row>
    <row r="553" spans="1:21" x14ac:dyDescent="0.25">
      <c r="A553" s="94" t="str">
        <f t="shared" si="8"/>
        <v>HEP0331Loads north of WKM</v>
      </c>
      <c r="B553" s="92" t="s">
        <v>198</v>
      </c>
      <c r="C553" s="92" t="s">
        <v>450</v>
      </c>
      <c r="D553" s="92" t="s">
        <v>443</v>
      </c>
      <c r="E553" s="92" t="s">
        <v>95</v>
      </c>
      <c r="F553" s="92" t="s">
        <v>95</v>
      </c>
      <c r="G553" s="92">
        <v>1</v>
      </c>
    </row>
    <row r="554" spans="1:21" x14ac:dyDescent="0.25">
      <c r="A554" s="94" t="str">
        <f t="shared" si="8"/>
        <v>HIN0331Loads north of WKM</v>
      </c>
      <c r="B554" s="92" t="s">
        <v>199</v>
      </c>
      <c r="C554" s="92" t="s">
        <v>450</v>
      </c>
      <c r="D554" s="92" t="s">
        <v>443</v>
      </c>
      <c r="E554" s="92" t="s">
        <v>95</v>
      </c>
      <c r="F554" s="92" t="s">
        <v>95</v>
      </c>
      <c r="G554" s="92">
        <v>1</v>
      </c>
    </row>
    <row r="555" spans="1:21" x14ac:dyDescent="0.25">
      <c r="A555" s="94" t="str">
        <f t="shared" si="8"/>
        <v>HLY0331Loads north of WKM</v>
      </c>
      <c r="B555" s="92" t="s">
        <v>201</v>
      </c>
      <c r="C555" s="92" t="s">
        <v>450</v>
      </c>
      <c r="D555" s="92" t="s">
        <v>443</v>
      </c>
      <c r="E555" s="92" t="s">
        <v>95</v>
      </c>
      <c r="F555" s="92" t="s">
        <v>95</v>
      </c>
      <c r="G555" s="92">
        <v>1</v>
      </c>
    </row>
    <row r="556" spans="1:21" x14ac:dyDescent="0.25">
      <c r="A556" s="94" t="str">
        <f t="shared" si="8"/>
        <v>HTI0331Loads north of WKM</v>
      </c>
      <c r="B556" s="92" t="s">
        <v>209</v>
      </c>
      <c r="C556" s="92" t="s">
        <v>450</v>
      </c>
      <c r="D556" s="92" t="s">
        <v>443</v>
      </c>
      <c r="E556" s="92" t="s">
        <v>95</v>
      </c>
      <c r="F556" s="92" t="s">
        <v>95</v>
      </c>
      <c r="G556" s="92">
        <v>1</v>
      </c>
    </row>
    <row r="557" spans="1:21" s="190" customFormat="1" x14ac:dyDescent="0.25">
      <c r="A557" s="94" t="str">
        <f t="shared" si="8"/>
        <v>HOB1101Loads north of WKM</v>
      </c>
      <c r="B557" s="92" t="s">
        <v>206</v>
      </c>
      <c r="C557" s="92" t="s">
        <v>450</v>
      </c>
      <c r="D557" s="92" t="s">
        <v>443</v>
      </c>
      <c r="E557" s="92" t="s">
        <v>95</v>
      </c>
      <c r="F557" s="92" t="s">
        <v>95</v>
      </c>
      <c r="G557" s="92">
        <v>1</v>
      </c>
      <c r="K557" s="20"/>
      <c r="L557" s="20"/>
      <c r="M557" s="20"/>
      <c r="N557" s="20"/>
      <c r="O557" s="20"/>
      <c r="P557" s="20"/>
      <c r="Q557" s="20"/>
      <c r="R557" s="20"/>
      <c r="S557" s="20"/>
      <c r="T557" s="20"/>
      <c r="U557" s="20"/>
    </row>
    <row r="558" spans="1:21" x14ac:dyDescent="0.25">
      <c r="A558" s="94" t="str">
        <f t="shared" si="8"/>
        <v>KAW0111Loads north of WKM</v>
      </c>
      <c r="B558" s="92" t="s">
        <v>229</v>
      </c>
      <c r="C558" s="92" t="s">
        <v>450</v>
      </c>
      <c r="D558" s="92" t="s">
        <v>443</v>
      </c>
      <c r="E558" s="92" t="s">
        <v>95</v>
      </c>
      <c r="F558" s="92" t="s">
        <v>95</v>
      </c>
      <c r="G558" s="92">
        <v>1</v>
      </c>
    </row>
    <row r="559" spans="1:21" x14ac:dyDescent="0.25">
      <c r="A559" s="94" t="str">
        <f t="shared" si="8"/>
        <v>KAW0112Loads north of WKM</v>
      </c>
      <c r="B559" s="92" t="s">
        <v>404</v>
      </c>
      <c r="C559" s="92" t="s">
        <v>450</v>
      </c>
      <c r="D559" s="92" t="s">
        <v>443</v>
      </c>
      <c r="E559" s="92" t="s">
        <v>95</v>
      </c>
      <c r="F559" s="92" t="s">
        <v>95</v>
      </c>
      <c r="G559" s="92">
        <v>1</v>
      </c>
    </row>
    <row r="560" spans="1:21" x14ac:dyDescent="0.25">
      <c r="A560" s="94" t="str">
        <f t="shared" si="8"/>
        <v>KAW0113Loads north of WKM</v>
      </c>
      <c r="B560" s="92" t="s">
        <v>405</v>
      </c>
      <c r="C560" s="92" t="s">
        <v>450</v>
      </c>
      <c r="D560" s="92" t="s">
        <v>443</v>
      </c>
      <c r="E560" s="92" t="s">
        <v>95</v>
      </c>
      <c r="F560" s="92" t="s">
        <v>95</v>
      </c>
      <c r="G560" s="92">
        <v>1</v>
      </c>
    </row>
    <row r="561" spans="1:7" x14ac:dyDescent="0.25">
      <c r="A561" s="94" t="str">
        <f t="shared" si="8"/>
        <v>KAW1101Loads north of WKM</v>
      </c>
      <c r="B561" s="92" t="s">
        <v>406</v>
      </c>
      <c r="C561" s="92" t="s">
        <v>450</v>
      </c>
      <c r="D561" s="92" t="s">
        <v>443</v>
      </c>
      <c r="E561" s="92" t="s">
        <v>95</v>
      </c>
      <c r="F561" s="92" t="s">
        <v>95</v>
      </c>
      <c r="G561" s="92">
        <v>1</v>
      </c>
    </row>
    <row r="562" spans="1:7" x14ac:dyDescent="0.25">
      <c r="A562" s="94" t="str">
        <f t="shared" si="8"/>
        <v>KEN0331Loads north of WKM</v>
      </c>
      <c r="B562" s="92" t="s">
        <v>407</v>
      </c>
      <c r="C562" s="92" t="s">
        <v>450</v>
      </c>
      <c r="D562" s="92" t="s">
        <v>443</v>
      </c>
      <c r="E562" s="92" t="s">
        <v>95</v>
      </c>
      <c r="F562" s="92" t="s">
        <v>95</v>
      </c>
      <c r="G562" s="92">
        <v>1</v>
      </c>
    </row>
    <row r="563" spans="1:7" x14ac:dyDescent="0.25">
      <c r="A563" s="94" t="str">
        <f t="shared" si="8"/>
        <v>KIN0111Loads north of WKM</v>
      </c>
      <c r="B563" s="92" t="s">
        <v>408</v>
      </c>
      <c r="C563" s="92" t="s">
        <v>450</v>
      </c>
      <c r="D563" s="92" t="s">
        <v>443</v>
      </c>
      <c r="E563" s="92" t="s">
        <v>95</v>
      </c>
      <c r="F563" s="92" t="s">
        <v>95</v>
      </c>
      <c r="G563" s="92">
        <v>1</v>
      </c>
    </row>
    <row r="564" spans="1:7" x14ac:dyDescent="0.25">
      <c r="A564" s="94" t="str">
        <f t="shared" si="8"/>
        <v>KIN0112Loads north of WKM</v>
      </c>
      <c r="B564" s="92" t="s">
        <v>409</v>
      </c>
      <c r="C564" s="92" t="s">
        <v>450</v>
      </c>
      <c r="D564" s="92" t="s">
        <v>443</v>
      </c>
      <c r="E564" s="92" t="s">
        <v>95</v>
      </c>
      <c r="F564" s="92" t="s">
        <v>95</v>
      </c>
      <c r="G564" s="92">
        <v>1</v>
      </c>
    </row>
    <row r="565" spans="1:7" x14ac:dyDescent="0.25">
      <c r="A565" s="94" t="str">
        <f t="shared" si="8"/>
        <v>KIN0113Loads north of WKM</v>
      </c>
      <c r="B565" s="92" t="s">
        <v>410</v>
      </c>
      <c r="C565" s="92" t="s">
        <v>450</v>
      </c>
      <c r="D565" s="92" t="s">
        <v>443</v>
      </c>
      <c r="E565" s="92" t="s">
        <v>95</v>
      </c>
      <c r="F565" s="92" t="s">
        <v>95</v>
      </c>
      <c r="G565" s="92">
        <v>1</v>
      </c>
    </row>
    <row r="566" spans="1:7" x14ac:dyDescent="0.25">
      <c r="A566" s="94" t="str">
        <f t="shared" si="8"/>
        <v>KIN0331Loads north of WKM</v>
      </c>
      <c r="B566" s="92" t="s">
        <v>234</v>
      </c>
      <c r="C566" s="92" t="s">
        <v>450</v>
      </c>
      <c r="D566" s="92" t="s">
        <v>443</v>
      </c>
      <c r="E566" s="92" t="s">
        <v>95</v>
      </c>
      <c r="F566" s="92" t="s">
        <v>95</v>
      </c>
      <c r="G566" s="92">
        <v>1</v>
      </c>
    </row>
    <row r="567" spans="1:7" x14ac:dyDescent="0.25">
      <c r="A567" s="94" t="str">
        <f t="shared" si="8"/>
        <v>KMO0331Loads north of WKM</v>
      </c>
      <c r="B567" s="92" t="s">
        <v>235</v>
      </c>
      <c r="C567" s="92" t="s">
        <v>450</v>
      </c>
      <c r="D567" s="92" t="s">
        <v>443</v>
      </c>
      <c r="E567" s="92" t="s">
        <v>95</v>
      </c>
      <c r="F567" s="92" t="s">
        <v>95</v>
      </c>
      <c r="G567" s="92">
        <v>1</v>
      </c>
    </row>
    <row r="568" spans="1:7" x14ac:dyDescent="0.25">
      <c r="A568" s="94" t="str">
        <f t="shared" si="8"/>
        <v>KOE1101Loads north of WKM</v>
      </c>
      <c r="B568" s="92" t="s">
        <v>236</v>
      </c>
      <c r="C568" s="92" t="s">
        <v>450</v>
      </c>
      <c r="D568" s="92" t="s">
        <v>443</v>
      </c>
      <c r="E568" s="92" t="s">
        <v>95</v>
      </c>
      <c r="F568" s="92" t="s">
        <v>95</v>
      </c>
      <c r="G568" s="92">
        <v>1</v>
      </c>
    </row>
    <row r="569" spans="1:7" x14ac:dyDescent="0.25">
      <c r="A569" s="94" t="str">
        <f t="shared" si="8"/>
        <v>KPU0661Loads north of WKM</v>
      </c>
      <c r="B569" s="92" t="s">
        <v>240</v>
      </c>
      <c r="C569" s="92" t="s">
        <v>450</v>
      </c>
      <c r="D569" s="92" t="s">
        <v>443</v>
      </c>
      <c r="E569" s="92" t="s">
        <v>95</v>
      </c>
      <c r="F569" s="92" t="s">
        <v>95</v>
      </c>
      <c r="G569" s="92">
        <v>1</v>
      </c>
    </row>
    <row r="570" spans="1:7" x14ac:dyDescent="0.25">
      <c r="A570" s="94" t="str">
        <f t="shared" si="8"/>
        <v>LFD1101Loads north of WKM</v>
      </c>
      <c r="B570" s="92" t="s">
        <v>244</v>
      </c>
      <c r="C570" s="92" t="s">
        <v>450</v>
      </c>
      <c r="D570" s="92" t="s">
        <v>443</v>
      </c>
      <c r="E570" s="92" t="s">
        <v>95</v>
      </c>
      <c r="F570" s="92" t="s">
        <v>95</v>
      </c>
      <c r="G570" s="92">
        <v>1</v>
      </c>
    </row>
    <row r="571" spans="1:7" x14ac:dyDescent="0.25">
      <c r="A571" s="94" t="str">
        <f t="shared" si="8"/>
        <v>LFD1102Loads north of WKM</v>
      </c>
      <c r="B571" s="92" t="s">
        <v>245</v>
      </c>
      <c r="C571" s="92" t="s">
        <v>450</v>
      </c>
      <c r="D571" s="92" t="s">
        <v>443</v>
      </c>
      <c r="E571" s="92" t="s">
        <v>95</v>
      </c>
      <c r="F571" s="92" t="s">
        <v>95</v>
      </c>
      <c r="G571" s="92">
        <v>1</v>
      </c>
    </row>
    <row r="572" spans="1:7" x14ac:dyDescent="0.25">
      <c r="A572" s="94" t="str">
        <f t="shared" si="8"/>
        <v>MAT1101Loads north of WKM</v>
      </c>
      <c r="B572" s="92" t="s">
        <v>249</v>
      </c>
      <c r="C572" s="92" t="s">
        <v>450</v>
      </c>
      <c r="D572" s="92" t="s">
        <v>443</v>
      </c>
      <c r="E572" s="92" t="s">
        <v>95</v>
      </c>
      <c r="F572" s="92" t="s">
        <v>95</v>
      </c>
      <c r="G572" s="92">
        <v>1</v>
      </c>
    </row>
    <row r="573" spans="1:7" x14ac:dyDescent="0.25">
      <c r="A573" s="94" t="str">
        <f t="shared" si="8"/>
        <v>MER0331Loads north of WKM</v>
      </c>
      <c r="B573" s="92" t="s">
        <v>254</v>
      </c>
      <c r="C573" s="92" t="s">
        <v>450</v>
      </c>
      <c r="D573" s="92" t="s">
        <v>443</v>
      </c>
      <c r="E573" s="92" t="s">
        <v>95</v>
      </c>
      <c r="F573" s="92" t="s">
        <v>95</v>
      </c>
      <c r="G573" s="92">
        <v>1</v>
      </c>
    </row>
    <row r="574" spans="1:7" x14ac:dyDescent="0.25">
      <c r="A574" s="94" t="str">
        <f t="shared" si="8"/>
        <v>MNG0331Loads north of WKM</v>
      </c>
      <c r="B574" s="92" t="s">
        <v>262</v>
      </c>
      <c r="C574" s="92" t="s">
        <v>450</v>
      </c>
      <c r="D574" s="92" t="s">
        <v>443</v>
      </c>
      <c r="E574" s="92" t="s">
        <v>95</v>
      </c>
      <c r="F574" s="92" t="s">
        <v>95</v>
      </c>
      <c r="G574" s="92">
        <v>1</v>
      </c>
    </row>
    <row r="575" spans="1:7" x14ac:dyDescent="0.25">
      <c r="A575" s="94" t="str">
        <f t="shared" si="8"/>
        <v>MNG1101Loads north of WKM</v>
      </c>
      <c r="B575" s="92" t="s">
        <v>263</v>
      </c>
      <c r="C575" s="92" t="s">
        <v>450</v>
      </c>
      <c r="D575" s="92" t="s">
        <v>443</v>
      </c>
      <c r="E575" s="92" t="s">
        <v>95</v>
      </c>
      <c r="F575" s="92" t="s">
        <v>95</v>
      </c>
      <c r="G575" s="92">
        <v>1</v>
      </c>
    </row>
    <row r="576" spans="1:7" x14ac:dyDescent="0.25">
      <c r="A576" s="94" t="str">
        <f t="shared" si="8"/>
        <v>MPE1101Loads north of WKM</v>
      </c>
      <c r="B576" s="92" t="s">
        <v>265</v>
      </c>
      <c r="C576" s="92" t="s">
        <v>450</v>
      </c>
      <c r="D576" s="92" t="s">
        <v>443</v>
      </c>
      <c r="E576" s="92" t="s">
        <v>95</v>
      </c>
      <c r="F576" s="92" t="s">
        <v>95</v>
      </c>
      <c r="G576" s="92">
        <v>1</v>
      </c>
    </row>
    <row r="577" spans="1:7" x14ac:dyDescent="0.25">
      <c r="A577" s="94" t="str">
        <f t="shared" si="8"/>
        <v>MTM0331Loads north of WKM</v>
      </c>
      <c r="B577" s="92" t="s">
        <v>268</v>
      </c>
      <c r="C577" s="92" t="s">
        <v>450</v>
      </c>
      <c r="D577" s="92" t="s">
        <v>443</v>
      </c>
      <c r="E577" s="92" t="s">
        <v>95</v>
      </c>
      <c r="F577" s="92" t="s">
        <v>95</v>
      </c>
      <c r="G577" s="92">
        <v>1</v>
      </c>
    </row>
    <row r="578" spans="1:7" x14ac:dyDescent="0.25">
      <c r="A578" s="94" t="str">
        <f t="shared" si="8"/>
        <v>MTO0331Loads north of WKM</v>
      </c>
      <c r="B578" s="92" t="s">
        <v>270</v>
      </c>
      <c r="C578" s="92" t="s">
        <v>450</v>
      </c>
      <c r="D578" s="92" t="s">
        <v>443</v>
      </c>
      <c r="E578" s="92" t="s">
        <v>95</v>
      </c>
      <c r="F578" s="92" t="s">
        <v>95</v>
      </c>
      <c r="G578" s="92">
        <v>1</v>
      </c>
    </row>
    <row r="579" spans="1:7" x14ac:dyDescent="0.25">
      <c r="A579" s="94" t="str">
        <f t="shared" si="8"/>
        <v>OTA0221Loads north of WKM</v>
      </c>
      <c r="B579" s="92" t="s">
        <v>293</v>
      </c>
      <c r="C579" s="92" t="s">
        <v>450</v>
      </c>
      <c r="D579" s="92" t="s">
        <v>443</v>
      </c>
      <c r="E579" s="92" t="s">
        <v>95</v>
      </c>
      <c r="F579" s="92" t="s">
        <v>95</v>
      </c>
      <c r="G579" s="92">
        <v>1</v>
      </c>
    </row>
    <row r="580" spans="1:7" x14ac:dyDescent="0.25">
      <c r="A580" s="94" t="str">
        <f t="shared" si="8"/>
        <v>OTA1101Loads north of WKM</v>
      </c>
      <c r="B580" s="92" t="s">
        <v>417</v>
      </c>
      <c r="C580" s="92" t="s">
        <v>450</v>
      </c>
      <c r="D580" s="92" t="s">
        <v>443</v>
      </c>
      <c r="E580" s="92" t="s">
        <v>95</v>
      </c>
      <c r="F580" s="92" t="s">
        <v>95</v>
      </c>
      <c r="G580" s="92">
        <v>1</v>
      </c>
    </row>
    <row r="581" spans="1:7" x14ac:dyDescent="0.25">
      <c r="A581" s="94" t="str">
        <f t="shared" si="8"/>
        <v>OTA1102Loads north of WKM</v>
      </c>
      <c r="B581" s="92" t="s">
        <v>418</v>
      </c>
      <c r="C581" s="92" t="s">
        <v>450</v>
      </c>
      <c r="D581" s="92" t="s">
        <v>443</v>
      </c>
      <c r="E581" s="92" t="s">
        <v>95</v>
      </c>
      <c r="F581" s="92" t="s">
        <v>95</v>
      </c>
      <c r="G581" s="92">
        <v>1</v>
      </c>
    </row>
    <row r="582" spans="1:7" x14ac:dyDescent="0.25">
      <c r="A582" s="94" t="str">
        <f t="shared" si="8"/>
        <v>OWH0111Loads north of WKM</v>
      </c>
      <c r="B582" s="92" t="s">
        <v>295</v>
      </c>
      <c r="C582" s="92" t="s">
        <v>450</v>
      </c>
      <c r="D582" s="92" t="s">
        <v>443</v>
      </c>
      <c r="E582" s="92" t="s">
        <v>95</v>
      </c>
      <c r="F582" s="92" t="s">
        <v>95</v>
      </c>
      <c r="G582" s="92">
        <v>1</v>
      </c>
    </row>
    <row r="583" spans="1:7" x14ac:dyDescent="0.25">
      <c r="A583" s="94" t="str">
        <f t="shared" si="8"/>
        <v>PAK0331Loads north of WKM</v>
      </c>
      <c r="B583" s="92" t="s">
        <v>296</v>
      </c>
      <c r="C583" s="92" t="s">
        <v>450</v>
      </c>
      <c r="D583" s="92" t="s">
        <v>443</v>
      </c>
      <c r="E583" s="92" t="s">
        <v>95</v>
      </c>
      <c r="F583" s="92" t="s">
        <v>95</v>
      </c>
      <c r="G583" s="92">
        <v>1</v>
      </c>
    </row>
    <row r="584" spans="1:7" x14ac:dyDescent="0.25">
      <c r="A584" s="94" t="str">
        <f t="shared" si="8"/>
        <v>PEN0221Loads north of WKM</v>
      </c>
      <c r="B584" s="92" t="s">
        <v>298</v>
      </c>
      <c r="C584" s="92" t="s">
        <v>450</v>
      </c>
      <c r="D584" s="92" t="s">
        <v>443</v>
      </c>
      <c r="E584" s="92" t="s">
        <v>95</v>
      </c>
      <c r="F584" s="92" t="s">
        <v>95</v>
      </c>
      <c r="G584" s="92">
        <v>1</v>
      </c>
    </row>
    <row r="585" spans="1:7" x14ac:dyDescent="0.25">
      <c r="A585" s="94" t="str">
        <f t="shared" si="8"/>
        <v>PEN0331Loads north of WKM</v>
      </c>
      <c r="B585" s="92" t="s">
        <v>300</v>
      </c>
      <c r="C585" s="92" t="s">
        <v>450</v>
      </c>
      <c r="D585" s="92" t="s">
        <v>443</v>
      </c>
      <c r="E585" s="92" t="s">
        <v>95</v>
      </c>
      <c r="F585" s="92" t="s">
        <v>95</v>
      </c>
      <c r="G585" s="92">
        <v>1</v>
      </c>
    </row>
    <row r="586" spans="1:7" x14ac:dyDescent="0.25">
      <c r="A586" s="94" t="str">
        <f t="shared" ref="A586:A649" si="9">B586&amp;C586</f>
        <v>PEN1101Loads north of WKM</v>
      </c>
      <c r="B586" s="92" t="s">
        <v>301</v>
      </c>
      <c r="C586" s="92" t="s">
        <v>450</v>
      </c>
      <c r="D586" s="92" t="s">
        <v>443</v>
      </c>
      <c r="E586" s="92" t="s">
        <v>95</v>
      </c>
      <c r="F586" s="92" t="s">
        <v>95</v>
      </c>
      <c r="G586" s="92">
        <v>1</v>
      </c>
    </row>
    <row r="587" spans="1:7" x14ac:dyDescent="0.25">
      <c r="A587" s="94" t="str">
        <f t="shared" si="9"/>
        <v>PPI2201Loads north of WKM</v>
      </c>
      <c r="B587" s="92" t="s">
        <v>303</v>
      </c>
      <c r="C587" s="92" t="s">
        <v>450</v>
      </c>
      <c r="D587" s="92" t="s">
        <v>443</v>
      </c>
      <c r="E587" s="92" t="s">
        <v>95</v>
      </c>
      <c r="F587" s="92" t="s">
        <v>95</v>
      </c>
      <c r="G587" s="92">
        <v>1</v>
      </c>
    </row>
    <row r="588" spans="1:7" x14ac:dyDescent="0.25">
      <c r="A588" s="94" t="str">
        <f t="shared" si="9"/>
        <v>RDF0331Loads north of WKM</v>
      </c>
      <c r="B588" s="92" t="s">
        <v>306</v>
      </c>
      <c r="C588" s="92" t="s">
        <v>450</v>
      </c>
      <c r="D588" s="92" t="s">
        <v>443</v>
      </c>
      <c r="E588" s="92" t="s">
        <v>95</v>
      </c>
      <c r="F588" s="92" t="s">
        <v>95</v>
      </c>
      <c r="G588" s="92">
        <v>1</v>
      </c>
    </row>
    <row r="589" spans="1:7" x14ac:dyDescent="0.25">
      <c r="A589" s="94" t="str">
        <f t="shared" si="9"/>
        <v>ROS0221Loads north of WKM</v>
      </c>
      <c r="B589" s="92" t="s">
        <v>309</v>
      </c>
      <c r="C589" s="92" t="s">
        <v>450</v>
      </c>
      <c r="D589" s="92" t="s">
        <v>443</v>
      </c>
      <c r="E589" s="92" t="s">
        <v>95</v>
      </c>
      <c r="F589" s="92" t="s">
        <v>95</v>
      </c>
      <c r="G589" s="92">
        <v>1</v>
      </c>
    </row>
    <row r="590" spans="1:7" x14ac:dyDescent="0.25">
      <c r="A590" s="94" t="str">
        <f t="shared" si="9"/>
        <v>ROS1101Loads north of WKM</v>
      </c>
      <c r="B590" s="92" t="s">
        <v>310</v>
      </c>
      <c r="C590" s="92" t="s">
        <v>450</v>
      </c>
      <c r="D590" s="92" t="s">
        <v>443</v>
      </c>
      <c r="E590" s="92" t="s">
        <v>95</v>
      </c>
      <c r="F590" s="92" t="s">
        <v>95</v>
      </c>
      <c r="G590" s="92">
        <v>1</v>
      </c>
    </row>
    <row r="591" spans="1:7" x14ac:dyDescent="0.25">
      <c r="A591" s="94" t="str">
        <f t="shared" si="9"/>
        <v>ROT0111Loads north of WKM</v>
      </c>
      <c r="B591" s="92" t="s">
        <v>311</v>
      </c>
      <c r="C591" s="92" t="s">
        <v>450</v>
      </c>
      <c r="D591" s="92" t="s">
        <v>443</v>
      </c>
      <c r="E591" s="92" t="s">
        <v>95</v>
      </c>
      <c r="F591" s="92" t="s">
        <v>95</v>
      </c>
      <c r="G591" s="92">
        <v>1</v>
      </c>
    </row>
    <row r="592" spans="1:7" x14ac:dyDescent="0.25">
      <c r="A592" s="94" t="str">
        <f t="shared" si="9"/>
        <v>ROT0331Loads north of WKM</v>
      </c>
      <c r="B592" s="92" t="s">
        <v>312</v>
      </c>
      <c r="C592" s="92" t="s">
        <v>450</v>
      </c>
      <c r="D592" s="92" t="s">
        <v>443</v>
      </c>
      <c r="E592" s="92" t="s">
        <v>95</v>
      </c>
      <c r="F592" s="92" t="s">
        <v>95</v>
      </c>
      <c r="G592" s="92">
        <v>1</v>
      </c>
    </row>
    <row r="593" spans="1:7" x14ac:dyDescent="0.25">
      <c r="A593" s="94" t="str">
        <f t="shared" si="9"/>
        <v>ROT1101Loads north of WKM</v>
      </c>
      <c r="B593" s="92" t="s">
        <v>313</v>
      </c>
      <c r="C593" s="92" t="s">
        <v>450</v>
      </c>
      <c r="D593" s="92" t="s">
        <v>443</v>
      </c>
      <c r="E593" s="92" t="s">
        <v>95</v>
      </c>
      <c r="F593" s="92" t="s">
        <v>95</v>
      </c>
      <c r="G593" s="92">
        <v>1</v>
      </c>
    </row>
    <row r="594" spans="1:7" x14ac:dyDescent="0.25">
      <c r="A594" s="94" t="str">
        <f t="shared" si="9"/>
        <v>SVL0331Loads north of WKM</v>
      </c>
      <c r="B594" s="92" t="s">
        <v>328</v>
      </c>
      <c r="C594" s="92" t="s">
        <v>450</v>
      </c>
      <c r="D594" s="92" t="s">
        <v>443</v>
      </c>
      <c r="E594" s="92" t="s">
        <v>95</v>
      </c>
      <c r="F594" s="92" t="s">
        <v>95</v>
      </c>
      <c r="G594" s="92">
        <v>1</v>
      </c>
    </row>
    <row r="595" spans="1:7" x14ac:dyDescent="0.25">
      <c r="A595" s="94" t="str">
        <f t="shared" si="9"/>
        <v>SWN2201Loads north of WKM</v>
      </c>
      <c r="B595" s="92" t="s">
        <v>330</v>
      </c>
      <c r="C595" s="92" t="s">
        <v>450</v>
      </c>
      <c r="D595" s="92" t="s">
        <v>443</v>
      </c>
      <c r="E595" s="92" t="s">
        <v>95</v>
      </c>
      <c r="F595" s="92" t="s">
        <v>95</v>
      </c>
      <c r="G595" s="92">
        <v>1</v>
      </c>
    </row>
    <row r="596" spans="1:7" x14ac:dyDescent="0.25">
      <c r="A596" s="94" t="str">
        <f t="shared" si="9"/>
        <v>TAK0331Loads north of WKM</v>
      </c>
      <c r="B596" s="92" t="s">
        <v>332</v>
      </c>
      <c r="C596" s="92" t="s">
        <v>450</v>
      </c>
      <c r="D596" s="92" t="s">
        <v>443</v>
      </c>
      <c r="E596" s="92" t="s">
        <v>95</v>
      </c>
      <c r="F596" s="92" t="s">
        <v>95</v>
      </c>
      <c r="G596" s="92">
        <v>1</v>
      </c>
    </row>
    <row r="597" spans="1:7" x14ac:dyDescent="0.25">
      <c r="A597" s="94" t="str">
        <f t="shared" si="9"/>
        <v>TGA0111Loads north of WKM</v>
      </c>
      <c r="B597" s="92" t="s">
        <v>333</v>
      </c>
      <c r="C597" s="92" t="s">
        <v>450</v>
      </c>
      <c r="D597" s="92" t="s">
        <v>443</v>
      </c>
      <c r="E597" s="92" t="s">
        <v>95</v>
      </c>
      <c r="F597" s="92" t="s">
        <v>95</v>
      </c>
      <c r="G597" s="92">
        <v>1</v>
      </c>
    </row>
    <row r="598" spans="1:7" x14ac:dyDescent="0.25">
      <c r="A598" s="94" t="str">
        <f t="shared" si="9"/>
        <v>TGA0331Loads north of WKM</v>
      </c>
      <c r="B598" s="92" t="s">
        <v>334</v>
      </c>
      <c r="C598" s="92" t="s">
        <v>450</v>
      </c>
      <c r="D598" s="92" t="s">
        <v>443</v>
      </c>
      <c r="E598" s="92" t="s">
        <v>95</v>
      </c>
      <c r="F598" s="92" t="s">
        <v>95</v>
      </c>
      <c r="G598" s="92">
        <v>1</v>
      </c>
    </row>
    <row r="599" spans="1:7" x14ac:dyDescent="0.25">
      <c r="A599" s="94" t="str">
        <f t="shared" si="9"/>
        <v>TKH0111Loads north of WKM</v>
      </c>
      <c r="B599" s="92" t="s">
        <v>342</v>
      </c>
      <c r="C599" s="92" t="s">
        <v>450</v>
      </c>
      <c r="D599" s="92" t="s">
        <v>443</v>
      </c>
      <c r="E599" s="92" t="s">
        <v>95</v>
      </c>
      <c r="F599" s="92" t="s">
        <v>95</v>
      </c>
      <c r="G599" s="92">
        <v>1</v>
      </c>
    </row>
    <row r="600" spans="1:7" x14ac:dyDescent="0.25">
      <c r="A600" s="94" t="str">
        <f t="shared" si="9"/>
        <v>TMI0331Loads north of WKM</v>
      </c>
      <c r="B600" s="92" t="s">
        <v>346</v>
      </c>
      <c r="C600" s="92" t="s">
        <v>450</v>
      </c>
      <c r="D600" s="92" t="s">
        <v>443</v>
      </c>
      <c r="E600" s="92" t="s">
        <v>95</v>
      </c>
      <c r="F600" s="92" t="s">
        <v>95</v>
      </c>
      <c r="G600" s="92">
        <v>1</v>
      </c>
    </row>
    <row r="601" spans="1:7" x14ac:dyDescent="0.25">
      <c r="A601" s="94" t="str">
        <f t="shared" si="9"/>
        <v>TMU0111Loads north of WKM</v>
      </c>
      <c r="B601" s="92" t="s">
        <v>349</v>
      </c>
      <c r="C601" s="92" t="s">
        <v>450</v>
      </c>
      <c r="D601" s="92" t="s">
        <v>443</v>
      </c>
      <c r="E601" s="92" t="s">
        <v>95</v>
      </c>
      <c r="F601" s="92" t="s">
        <v>95</v>
      </c>
      <c r="G601" s="92">
        <v>1</v>
      </c>
    </row>
    <row r="602" spans="1:7" x14ac:dyDescent="0.25">
      <c r="A602" s="94" t="str">
        <f t="shared" si="9"/>
        <v>TRK0111Loads north of WKM</v>
      </c>
      <c r="B602" s="92" t="s">
        <v>352</v>
      </c>
      <c r="C602" s="92" t="s">
        <v>450</v>
      </c>
      <c r="D602" s="92" t="s">
        <v>443</v>
      </c>
      <c r="E602" s="92" t="s">
        <v>95</v>
      </c>
      <c r="F602" s="92" t="s">
        <v>95</v>
      </c>
      <c r="G602" s="92">
        <v>1</v>
      </c>
    </row>
    <row r="603" spans="1:7" x14ac:dyDescent="0.25">
      <c r="A603" s="94" t="str">
        <f t="shared" si="9"/>
        <v>TUI1101Loads north of WKM</v>
      </c>
      <c r="B603" s="92" t="s">
        <v>353</v>
      </c>
      <c r="C603" s="92" t="s">
        <v>450</v>
      </c>
      <c r="D603" s="92" t="s">
        <v>443</v>
      </c>
      <c r="E603" s="92" t="s">
        <v>95</v>
      </c>
      <c r="F603" s="92" t="s">
        <v>95</v>
      </c>
      <c r="G603" s="92">
        <v>1</v>
      </c>
    </row>
    <row r="604" spans="1:7" x14ac:dyDescent="0.25">
      <c r="A604" s="94" t="str">
        <f t="shared" si="9"/>
        <v>TWH0331Loads north of WKM</v>
      </c>
      <c r="B604" s="92" t="s">
        <v>358</v>
      </c>
      <c r="C604" s="92" t="s">
        <v>450</v>
      </c>
      <c r="D604" s="92" t="s">
        <v>443</v>
      </c>
      <c r="E604" s="92" t="s">
        <v>95</v>
      </c>
      <c r="F604" s="92" t="s">
        <v>95</v>
      </c>
      <c r="G604" s="92">
        <v>1</v>
      </c>
    </row>
    <row r="605" spans="1:7" x14ac:dyDescent="0.25">
      <c r="A605" s="94" t="str">
        <f t="shared" si="9"/>
        <v>WAI0111Loads north of WKM</v>
      </c>
      <c r="B605" s="92" t="s">
        <v>364</v>
      </c>
      <c r="C605" s="92" t="s">
        <v>450</v>
      </c>
      <c r="D605" s="92" t="s">
        <v>443</v>
      </c>
      <c r="E605" s="92" t="s">
        <v>95</v>
      </c>
      <c r="F605" s="92" t="s">
        <v>95</v>
      </c>
      <c r="G605" s="92">
        <v>1</v>
      </c>
    </row>
    <row r="606" spans="1:7" x14ac:dyDescent="0.25">
      <c r="A606" s="94" t="str">
        <f t="shared" si="9"/>
        <v>WEL0331Loads north of WKM</v>
      </c>
      <c r="B606" s="92" t="s">
        <v>367</v>
      </c>
      <c r="C606" s="92" t="s">
        <v>450</v>
      </c>
      <c r="D606" s="92" t="s">
        <v>443</v>
      </c>
      <c r="E606" s="92" t="s">
        <v>95</v>
      </c>
      <c r="F606" s="92" t="s">
        <v>95</v>
      </c>
      <c r="G606" s="92">
        <v>1</v>
      </c>
    </row>
    <row r="607" spans="1:7" x14ac:dyDescent="0.25">
      <c r="A607" s="94" t="str">
        <f t="shared" si="9"/>
        <v>WHI0111Loads north of WKM</v>
      </c>
      <c r="B607" s="92" t="s">
        <v>369</v>
      </c>
      <c r="C607" s="92" t="s">
        <v>450</v>
      </c>
      <c r="D607" s="92" t="s">
        <v>443</v>
      </c>
      <c r="E607" s="92" t="s">
        <v>95</v>
      </c>
      <c r="F607" s="92" t="s">
        <v>95</v>
      </c>
      <c r="G607" s="92">
        <v>1</v>
      </c>
    </row>
    <row r="608" spans="1:7" x14ac:dyDescent="0.25">
      <c r="A608" s="94" t="str">
        <f t="shared" si="9"/>
        <v>WHI2201Loads north of WKM</v>
      </c>
      <c r="B608" s="92" t="s">
        <v>370</v>
      </c>
      <c r="C608" s="92" t="s">
        <v>450</v>
      </c>
      <c r="D608" s="92" t="s">
        <v>443</v>
      </c>
      <c r="E608" s="92" t="s">
        <v>95</v>
      </c>
      <c r="F608" s="92" t="s">
        <v>95</v>
      </c>
      <c r="G608" s="92">
        <v>1</v>
      </c>
    </row>
    <row r="609" spans="1:7" x14ac:dyDescent="0.25">
      <c r="A609" s="94" t="str">
        <f t="shared" si="9"/>
        <v>WHU0331Loads north of WKM</v>
      </c>
      <c r="B609" s="92" t="s">
        <v>372</v>
      </c>
      <c r="C609" s="92" t="s">
        <v>450</v>
      </c>
      <c r="D609" s="92" t="s">
        <v>443</v>
      </c>
      <c r="E609" s="92" t="s">
        <v>95</v>
      </c>
      <c r="F609" s="92" t="s">
        <v>95</v>
      </c>
      <c r="G609" s="92">
        <v>1</v>
      </c>
    </row>
    <row r="610" spans="1:7" x14ac:dyDescent="0.25">
      <c r="A610" s="94" t="str">
        <f t="shared" si="9"/>
        <v>WIR0331Loads north of WKM</v>
      </c>
      <c r="B610" s="92" t="s">
        <v>374</v>
      </c>
      <c r="C610" s="92" t="s">
        <v>450</v>
      </c>
      <c r="D610" s="92" t="s">
        <v>443</v>
      </c>
      <c r="E610" s="92" t="s">
        <v>95</v>
      </c>
      <c r="F610" s="92" t="s">
        <v>95</v>
      </c>
      <c r="G610" s="92">
        <v>1</v>
      </c>
    </row>
    <row r="611" spans="1:7" x14ac:dyDescent="0.25">
      <c r="A611" s="94" t="str">
        <f t="shared" si="9"/>
        <v>WKO0331Loads north of WKM</v>
      </c>
      <c r="B611" s="92" t="s">
        <v>378</v>
      </c>
      <c r="C611" s="92" t="s">
        <v>450</v>
      </c>
      <c r="D611" s="92" t="s">
        <v>443</v>
      </c>
      <c r="E611" s="92" t="s">
        <v>95</v>
      </c>
      <c r="F611" s="92" t="s">
        <v>95</v>
      </c>
      <c r="G611" s="92">
        <v>1</v>
      </c>
    </row>
    <row r="612" spans="1:7" x14ac:dyDescent="0.25">
      <c r="A612" s="94" t="str">
        <f t="shared" si="9"/>
        <v>WRA0111Loads north of WKM</v>
      </c>
      <c r="B612" s="92" t="s">
        <v>423</v>
      </c>
      <c r="C612" s="92" t="s">
        <v>450</v>
      </c>
      <c r="D612" s="92" t="s">
        <v>443</v>
      </c>
      <c r="E612" s="92" t="s">
        <v>95</v>
      </c>
      <c r="F612" s="92" t="s">
        <v>95</v>
      </c>
      <c r="G612" s="92">
        <v>1</v>
      </c>
    </row>
    <row r="613" spans="1:7" x14ac:dyDescent="0.25">
      <c r="A613" s="94" t="str">
        <f t="shared" si="9"/>
        <v>WRD0331Loads north of WKM</v>
      </c>
      <c r="B613" s="92" t="s">
        <v>384</v>
      </c>
      <c r="C613" s="92" t="s">
        <v>450</v>
      </c>
      <c r="D613" s="92" t="s">
        <v>443</v>
      </c>
      <c r="E613" s="92" t="s">
        <v>95</v>
      </c>
      <c r="F613" s="92" t="s">
        <v>95</v>
      </c>
      <c r="G613" s="92">
        <v>1</v>
      </c>
    </row>
    <row r="614" spans="1:7" x14ac:dyDescent="0.25">
      <c r="A614" s="94" t="str">
        <f t="shared" si="9"/>
        <v>WTU0331Loads north of WKM</v>
      </c>
      <c r="B614" s="92" t="s">
        <v>391</v>
      </c>
      <c r="C614" s="92" t="s">
        <v>450</v>
      </c>
      <c r="D614" s="92" t="s">
        <v>443</v>
      </c>
      <c r="E614" s="92" t="s">
        <v>95</v>
      </c>
      <c r="F614" s="92" t="s">
        <v>95</v>
      </c>
      <c r="G614" s="92">
        <v>1</v>
      </c>
    </row>
    <row r="615" spans="1:7" x14ac:dyDescent="0.25">
      <c r="A615" s="94" t="str">
        <f t="shared" si="9"/>
        <v>CST0331Taranaki loads</v>
      </c>
      <c r="B615" s="92" t="s">
        <v>174</v>
      </c>
      <c r="C615" s="92" t="s">
        <v>451</v>
      </c>
      <c r="D615" s="92" t="s">
        <v>443</v>
      </c>
      <c r="E615" s="92" t="s">
        <v>95</v>
      </c>
      <c r="F615" s="92" t="s">
        <v>95</v>
      </c>
      <c r="G615" s="92">
        <v>1</v>
      </c>
    </row>
    <row r="616" spans="1:7" x14ac:dyDescent="0.25">
      <c r="A616" s="94" t="str">
        <f t="shared" si="9"/>
        <v>HUI0331Taranaki loads</v>
      </c>
      <c r="B616" s="92" t="s">
        <v>210</v>
      </c>
      <c r="C616" s="92" t="s">
        <v>451</v>
      </c>
      <c r="D616" s="92" t="s">
        <v>443</v>
      </c>
      <c r="E616" s="92" t="s">
        <v>95</v>
      </c>
      <c r="F616" s="92" t="s">
        <v>95</v>
      </c>
      <c r="G616" s="92">
        <v>1</v>
      </c>
    </row>
    <row r="617" spans="1:7" x14ac:dyDescent="0.25">
      <c r="A617" s="94" t="str">
        <f t="shared" si="9"/>
        <v>HWA0331Taranaki loads</v>
      </c>
      <c r="B617" s="92" t="s">
        <v>211</v>
      </c>
      <c r="C617" s="92" t="s">
        <v>451</v>
      </c>
      <c r="D617" s="92" t="s">
        <v>443</v>
      </c>
      <c r="E617" s="92" t="s">
        <v>95</v>
      </c>
      <c r="F617" s="92" t="s">
        <v>95</v>
      </c>
      <c r="G617" s="92">
        <v>1</v>
      </c>
    </row>
    <row r="618" spans="1:7" x14ac:dyDescent="0.25">
      <c r="A618" s="94" t="str">
        <f t="shared" si="9"/>
        <v>HWA0332Taranaki loads</v>
      </c>
      <c r="B618" s="92" t="s">
        <v>212</v>
      </c>
      <c r="C618" s="92" t="s">
        <v>451</v>
      </c>
      <c r="D618" s="92" t="s">
        <v>443</v>
      </c>
      <c r="E618" s="92" t="s">
        <v>95</v>
      </c>
      <c r="F618" s="92" t="s">
        <v>95</v>
      </c>
      <c r="G618" s="92">
        <v>1</v>
      </c>
    </row>
    <row r="619" spans="1:7" x14ac:dyDescent="0.25">
      <c r="A619" s="94" t="str">
        <f t="shared" si="9"/>
        <v>HWA1101Taranaki loads</v>
      </c>
      <c r="B619" s="92" t="s">
        <v>213</v>
      </c>
      <c r="C619" s="92" t="s">
        <v>451</v>
      </c>
      <c r="D619" s="92" t="s">
        <v>443</v>
      </c>
      <c r="E619" s="92" t="s">
        <v>95</v>
      </c>
      <c r="F619" s="92" t="s">
        <v>95</v>
      </c>
      <c r="G619" s="92">
        <v>1</v>
      </c>
    </row>
    <row r="620" spans="1:7" x14ac:dyDescent="0.25">
      <c r="A620" s="94" t="str">
        <f t="shared" si="9"/>
        <v>HWA1102Taranaki loads</v>
      </c>
      <c r="B620" s="92" t="s">
        <v>217</v>
      </c>
      <c r="C620" s="92" t="s">
        <v>451</v>
      </c>
      <c r="D620" s="92" t="s">
        <v>443</v>
      </c>
      <c r="E620" s="92" t="s">
        <v>95</v>
      </c>
      <c r="F620" s="92" t="s">
        <v>95</v>
      </c>
      <c r="G620" s="92">
        <v>1</v>
      </c>
    </row>
    <row r="621" spans="1:7" x14ac:dyDescent="0.25">
      <c r="A621" s="94" t="str">
        <f t="shared" si="9"/>
        <v>KPA1101Taranaki loads</v>
      </c>
      <c r="B621" s="92" t="s">
        <v>411</v>
      </c>
      <c r="C621" s="92" t="s">
        <v>451</v>
      </c>
      <c r="D621" s="92" t="s">
        <v>443</v>
      </c>
      <c r="E621" s="92" t="s">
        <v>95</v>
      </c>
      <c r="F621" s="92" t="s">
        <v>95</v>
      </c>
      <c r="G621" s="92">
        <v>1</v>
      </c>
    </row>
    <row r="622" spans="1:7" x14ac:dyDescent="0.25">
      <c r="A622" s="94" t="str">
        <f t="shared" si="9"/>
        <v>MKE1101Taranaki loads</v>
      </c>
      <c r="B622" s="92" t="s">
        <v>258</v>
      </c>
      <c r="C622" s="92" t="s">
        <v>451</v>
      </c>
      <c r="D622" s="92" t="s">
        <v>443</v>
      </c>
      <c r="E622" s="92" t="s">
        <v>95</v>
      </c>
      <c r="F622" s="92" t="s">
        <v>95</v>
      </c>
      <c r="G622" s="92">
        <v>1</v>
      </c>
    </row>
    <row r="623" spans="1:7" x14ac:dyDescent="0.25">
      <c r="A623" s="94" t="str">
        <f t="shared" si="9"/>
        <v>MNI0111Taranaki loads</v>
      </c>
      <c r="B623" s="92" t="s">
        <v>264</v>
      </c>
      <c r="C623" s="92" t="s">
        <v>451</v>
      </c>
      <c r="D623" s="92" t="s">
        <v>443</v>
      </c>
      <c r="E623" s="92" t="s">
        <v>95</v>
      </c>
      <c r="F623" s="92" t="s">
        <v>95</v>
      </c>
      <c r="G623" s="92">
        <v>1</v>
      </c>
    </row>
    <row r="624" spans="1:7" x14ac:dyDescent="0.25">
      <c r="A624" s="94" t="str">
        <f t="shared" si="9"/>
        <v>NPL0331Taranaki loads</v>
      </c>
      <c r="B624" s="92" t="s">
        <v>279</v>
      </c>
      <c r="C624" s="92" t="s">
        <v>451</v>
      </c>
      <c r="D624" s="92" t="s">
        <v>443</v>
      </c>
      <c r="E624" s="92" t="s">
        <v>95</v>
      </c>
      <c r="F624" s="92" t="s">
        <v>95</v>
      </c>
      <c r="G624" s="92">
        <v>1</v>
      </c>
    </row>
    <row r="625" spans="1:7" x14ac:dyDescent="0.25">
      <c r="A625" s="94" t="str">
        <f t="shared" si="9"/>
        <v>OPK0331Taranaki loads</v>
      </c>
      <c r="B625" s="92" t="s">
        <v>290</v>
      </c>
      <c r="C625" s="92" t="s">
        <v>451</v>
      </c>
      <c r="D625" s="92" t="s">
        <v>443</v>
      </c>
      <c r="E625" s="92" t="s">
        <v>95</v>
      </c>
      <c r="F625" s="92" t="s">
        <v>95</v>
      </c>
      <c r="G625" s="92">
        <v>1</v>
      </c>
    </row>
    <row r="626" spans="1:7" x14ac:dyDescent="0.25">
      <c r="A626" s="94" t="str">
        <f t="shared" si="9"/>
        <v>SFD0331Taranaki loads</v>
      </c>
      <c r="B626" s="92" t="s">
        <v>320</v>
      </c>
      <c r="C626" s="92" t="s">
        <v>451</v>
      </c>
      <c r="D626" s="92" t="s">
        <v>443</v>
      </c>
      <c r="E626" s="92" t="s">
        <v>95</v>
      </c>
      <c r="F626" s="92" t="s">
        <v>95</v>
      </c>
      <c r="G626" s="92">
        <v>1</v>
      </c>
    </row>
    <row r="627" spans="1:7" x14ac:dyDescent="0.25">
      <c r="A627" s="94" t="str">
        <f t="shared" si="9"/>
        <v>SFD2201Taranaki loads</v>
      </c>
      <c r="B627" s="92" t="s">
        <v>321</v>
      </c>
      <c r="C627" s="92" t="s">
        <v>451</v>
      </c>
      <c r="D627" s="92" t="s">
        <v>443</v>
      </c>
      <c r="E627" s="92" t="s">
        <v>95</v>
      </c>
      <c r="F627" s="92" t="s">
        <v>95</v>
      </c>
      <c r="G627" s="92">
        <v>1</v>
      </c>
    </row>
    <row r="628" spans="1:7" x14ac:dyDescent="0.25">
      <c r="A628" s="94" t="str">
        <f t="shared" si="9"/>
        <v>TMN0551Taranaki loads</v>
      </c>
      <c r="B628" s="92" t="s">
        <v>348</v>
      </c>
      <c r="C628" s="92" t="s">
        <v>451</v>
      </c>
      <c r="D628" s="92" t="s">
        <v>443</v>
      </c>
      <c r="E628" s="92" t="s">
        <v>95</v>
      </c>
      <c r="F628" s="92" t="s">
        <v>95</v>
      </c>
      <c r="G628" s="92">
        <v>1</v>
      </c>
    </row>
    <row r="629" spans="1:7" x14ac:dyDescent="0.25">
      <c r="A629" s="94" t="str">
        <f t="shared" si="9"/>
        <v>WVY0111Taranaki loads</v>
      </c>
      <c r="B629" s="92" t="s">
        <v>392</v>
      </c>
      <c r="C629" s="92" t="s">
        <v>451</v>
      </c>
      <c r="D629" s="92" t="s">
        <v>443</v>
      </c>
      <c r="E629" s="92" t="s">
        <v>95</v>
      </c>
      <c r="F629" s="92" t="s">
        <v>95</v>
      </c>
      <c r="G629" s="92">
        <v>1</v>
      </c>
    </row>
    <row r="630" spans="1:7" x14ac:dyDescent="0.25">
      <c r="A630" s="94" t="str">
        <f t="shared" si="9"/>
        <v>CPK0111Wellington loads</v>
      </c>
      <c r="B630" s="92" t="s">
        <v>172</v>
      </c>
      <c r="C630" s="92" t="s">
        <v>452</v>
      </c>
      <c r="D630" s="92" t="s">
        <v>443</v>
      </c>
      <c r="E630" s="92" t="s">
        <v>95</v>
      </c>
      <c r="F630" s="92" t="s">
        <v>95</v>
      </c>
      <c r="G630" s="92">
        <v>1</v>
      </c>
    </row>
    <row r="631" spans="1:7" x14ac:dyDescent="0.25">
      <c r="A631" s="94" t="str">
        <f t="shared" si="9"/>
        <v>CPK0331Wellington loads</v>
      </c>
      <c r="B631" s="92" t="s">
        <v>173</v>
      </c>
      <c r="C631" s="92" t="s">
        <v>452</v>
      </c>
      <c r="D631" s="92" t="s">
        <v>443</v>
      </c>
      <c r="E631" s="92" t="s">
        <v>95</v>
      </c>
      <c r="F631" s="92" t="s">
        <v>95</v>
      </c>
      <c r="G631" s="92">
        <v>1</v>
      </c>
    </row>
    <row r="632" spans="1:7" x14ac:dyDescent="0.25">
      <c r="A632" s="94" t="str">
        <f t="shared" si="9"/>
        <v>GFD0331Wellington loads</v>
      </c>
      <c r="B632" s="92" t="s">
        <v>186</v>
      </c>
      <c r="C632" s="92" t="s">
        <v>452</v>
      </c>
      <c r="D632" s="92" t="s">
        <v>443</v>
      </c>
      <c r="E632" s="92" t="s">
        <v>95</v>
      </c>
      <c r="F632" s="92" t="s">
        <v>95</v>
      </c>
      <c r="G632" s="92">
        <v>1</v>
      </c>
    </row>
    <row r="633" spans="1:7" x14ac:dyDescent="0.25">
      <c r="A633" s="94" t="str">
        <f t="shared" si="9"/>
        <v>GYT0331Wellington loads</v>
      </c>
      <c r="B633" s="92" t="s">
        <v>191</v>
      </c>
      <c r="C633" s="92" t="s">
        <v>452</v>
      </c>
      <c r="D633" s="92" t="s">
        <v>443</v>
      </c>
      <c r="E633" s="92" t="s">
        <v>95</v>
      </c>
      <c r="F633" s="92" t="s">
        <v>95</v>
      </c>
      <c r="G633" s="92">
        <v>1</v>
      </c>
    </row>
    <row r="634" spans="1:7" x14ac:dyDescent="0.25">
      <c r="A634" s="94" t="str">
        <f t="shared" si="9"/>
        <v>HAY0111Wellington loads</v>
      </c>
      <c r="B634" s="92" t="s">
        <v>195</v>
      </c>
      <c r="C634" s="92" t="s">
        <v>452</v>
      </c>
      <c r="D634" s="92" t="s">
        <v>443</v>
      </c>
      <c r="E634" s="92" t="s">
        <v>95</v>
      </c>
      <c r="F634" s="92" t="s">
        <v>95</v>
      </c>
      <c r="G634" s="92">
        <v>1</v>
      </c>
    </row>
    <row r="635" spans="1:7" x14ac:dyDescent="0.25">
      <c r="A635" s="94" t="str">
        <f t="shared" si="9"/>
        <v>HAY0331Wellington loads</v>
      </c>
      <c r="B635" s="92" t="s">
        <v>196</v>
      </c>
      <c r="C635" s="92" t="s">
        <v>452</v>
      </c>
      <c r="D635" s="92" t="s">
        <v>443</v>
      </c>
      <c r="E635" s="92" t="s">
        <v>95</v>
      </c>
      <c r="F635" s="92" t="s">
        <v>95</v>
      </c>
      <c r="G635" s="92">
        <v>1</v>
      </c>
    </row>
    <row r="636" spans="1:7" x14ac:dyDescent="0.25">
      <c r="A636" s="94" t="str">
        <f t="shared" si="9"/>
        <v>KWA0111Wellington loads</v>
      </c>
      <c r="B636" s="92" t="s">
        <v>243</v>
      </c>
      <c r="C636" s="92" t="s">
        <v>452</v>
      </c>
      <c r="D636" s="92" t="s">
        <v>443</v>
      </c>
      <c r="E636" s="92" t="s">
        <v>95</v>
      </c>
      <c r="F636" s="92" t="s">
        <v>95</v>
      </c>
      <c r="G636" s="92">
        <v>1</v>
      </c>
    </row>
    <row r="637" spans="1:7" x14ac:dyDescent="0.25">
      <c r="A637" s="94" t="str">
        <f t="shared" si="9"/>
        <v>MLG0111Wellington loads</v>
      </c>
      <c r="B637" s="92" t="s">
        <v>260</v>
      </c>
      <c r="C637" s="92" t="s">
        <v>452</v>
      </c>
      <c r="D637" s="92" t="s">
        <v>443</v>
      </c>
      <c r="E637" s="92" t="s">
        <v>95</v>
      </c>
      <c r="F637" s="92" t="s">
        <v>95</v>
      </c>
      <c r="G637" s="92">
        <v>1</v>
      </c>
    </row>
    <row r="638" spans="1:7" x14ac:dyDescent="0.25">
      <c r="A638" s="94" t="str">
        <f t="shared" si="9"/>
        <v>MLG0331Wellington loads</v>
      </c>
      <c r="B638" s="92" t="s">
        <v>261</v>
      </c>
      <c r="C638" s="92" t="s">
        <v>452</v>
      </c>
      <c r="D638" s="92" t="s">
        <v>443</v>
      </c>
      <c r="E638" s="92" t="s">
        <v>95</v>
      </c>
      <c r="F638" s="92" t="s">
        <v>95</v>
      </c>
      <c r="G638" s="92">
        <v>1</v>
      </c>
    </row>
    <row r="639" spans="1:7" x14ac:dyDescent="0.25">
      <c r="A639" s="94" t="str">
        <f t="shared" si="9"/>
        <v>MST0331Wellington loads</v>
      </c>
      <c r="B639" s="92" t="s">
        <v>266</v>
      </c>
      <c r="C639" s="92" t="s">
        <v>452</v>
      </c>
      <c r="D639" s="92" t="s">
        <v>443</v>
      </c>
      <c r="E639" s="92" t="s">
        <v>95</v>
      </c>
      <c r="F639" s="92" t="s">
        <v>95</v>
      </c>
      <c r="G639" s="92">
        <v>1</v>
      </c>
    </row>
    <row r="640" spans="1:7" x14ac:dyDescent="0.25">
      <c r="A640" s="94" t="str">
        <f t="shared" si="9"/>
        <v>PNI0331Wellington loads</v>
      </c>
      <c r="B640" s="92" t="s">
        <v>302</v>
      </c>
      <c r="C640" s="92" t="s">
        <v>452</v>
      </c>
      <c r="D640" s="92" t="s">
        <v>443</v>
      </c>
      <c r="E640" s="92" t="s">
        <v>95</v>
      </c>
      <c r="F640" s="92" t="s">
        <v>95</v>
      </c>
      <c r="G640" s="92">
        <v>1</v>
      </c>
    </row>
    <row r="641" spans="1:7" x14ac:dyDescent="0.25">
      <c r="A641" s="94" t="str">
        <f t="shared" si="9"/>
        <v>PRM0331Wellington loads</v>
      </c>
      <c r="B641" s="92" t="s">
        <v>305</v>
      </c>
      <c r="C641" s="92" t="s">
        <v>452</v>
      </c>
      <c r="D641" s="92" t="s">
        <v>443</v>
      </c>
      <c r="E641" s="92" t="s">
        <v>95</v>
      </c>
      <c r="F641" s="92" t="s">
        <v>95</v>
      </c>
      <c r="G641" s="92">
        <v>1</v>
      </c>
    </row>
    <row r="642" spans="1:7" x14ac:dyDescent="0.25">
      <c r="A642" s="94" t="str">
        <f t="shared" si="9"/>
        <v>TKR0331Wellington loads</v>
      </c>
      <c r="B642" s="92" t="s">
        <v>343</v>
      </c>
      <c r="C642" s="92" t="s">
        <v>452</v>
      </c>
      <c r="D642" s="92" t="s">
        <v>443</v>
      </c>
      <c r="E642" s="92" t="s">
        <v>95</v>
      </c>
      <c r="F642" s="92" t="s">
        <v>95</v>
      </c>
      <c r="G642" s="92">
        <v>1</v>
      </c>
    </row>
    <row r="643" spans="1:7" x14ac:dyDescent="0.25">
      <c r="A643" s="94" t="str">
        <f t="shared" si="9"/>
        <v>UHT0331Wellington loads</v>
      </c>
      <c r="B643" s="92" t="s">
        <v>363</v>
      </c>
      <c r="C643" s="92" t="s">
        <v>452</v>
      </c>
      <c r="D643" s="92" t="s">
        <v>443</v>
      </c>
      <c r="E643" s="92" t="s">
        <v>95</v>
      </c>
      <c r="F643" s="92" t="s">
        <v>95</v>
      </c>
      <c r="G643" s="92">
        <v>1</v>
      </c>
    </row>
    <row r="644" spans="1:7" x14ac:dyDescent="0.25">
      <c r="A644" s="94" t="str">
        <f t="shared" si="9"/>
        <v>WIL0331Wellington loads</v>
      </c>
      <c r="B644" s="92" t="s">
        <v>373</v>
      </c>
      <c r="C644" s="92" t="s">
        <v>452</v>
      </c>
      <c r="D644" s="92" t="s">
        <v>443</v>
      </c>
      <c r="E644" s="92" t="s">
        <v>95</v>
      </c>
      <c r="F644" s="92" t="s">
        <v>95</v>
      </c>
      <c r="G644" s="92">
        <v>1</v>
      </c>
    </row>
    <row r="645" spans="1:7" x14ac:dyDescent="0.25">
      <c r="A645" s="94" t="str">
        <f t="shared" si="9"/>
        <v>WWD1102Wellington loads</v>
      </c>
      <c r="B645" s="92" t="s">
        <v>393</v>
      </c>
      <c r="C645" s="92" t="s">
        <v>452</v>
      </c>
      <c r="D645" s="92" t="s">
        <v>443</v>
      </c>
      <c r="E645" s="92" t="s">
        <v>95</v>
      </c>
      <c r="F645" s="92" t="s">
        <v>95</v>
      </c>
      <c r="G645" s="92">
        <v>1</v>
      </c>
    </row>
    <row r="646" spans="1:7" x14ac:dyDescent="0.25">
      <c r="A646" s="94" t="str">
        <f t="shared" si="9"/>
        <v>WWD1103Wellington loads</v>
      </c>
      <c r="B646" s="92" t="s">
        <v>394</v>
      </c>
      <c r="C646" s="92" t="s">
        <v>452</v>
      </c>
      <c r="D646" s="92" t="s">
        <v>443</v>
      </c>
      <c r="E646" s="92" t="s">
        <v>95</v>
      </c>
      <c r="F646" s="92" t="s">
        <v>95</v>
      </c>
      <c r="G646" s="92">
        <v>1</v>
      </c>
    </row>
    <row r="647" spans="1:7" x14ac:dyDescent="0.25">
      <c r="A647" s="94" t="str">
        <f t="shared" si="9"/>
        <v>ADD0661SI loads Christchurch and north</v>
      </c>
      <c r="B647" s="92" t="s">
        <v>399</v>
      </c>
      <c r="C647" s="92" t="s">
        <v>453</v>
      </c>
      <c r="D647" s="92" t="s">
        <v>443</v>
      </c>
      <c r="E647" s="92" t="s">
        <v>95</v>
      </c>
      <c r="F647" s="92" t="s">
        <v>95</v>
      </c>
      <c r="G647" s="92">
        <v>1</v>
      </c>
    </row>
    <row r="648" spans="1:7" x14ac:dyDescent="0.25">
      <c r="A648" s="94" t="str">
        <f t="shared" si="9"/>
        <v>APS0111SI loads Christchurch and north</v>
      </c>
      <c r="B648" s="92" t="s">
        <v>134</v>
      </c>
      <c r="C648" s="92" t="s">
        <v>453</v>
      </c>
      <c r="D648" s="92" t="s">
        <v>443</v>
      </c>
      <c r="E648" s="92" t="s">
        <v>95</v>
      </c>
      <c r="F648" s="92" t="s">
        <v>95</v>
      </c>
      <c r="G648" s="92">
        <v>1</v>
      </c>
    </row>
    <row r="649" spans="1:7" x14ac:dyDescent="0.25">
      <c r="A649" s="94" t="str">
        <f t="shared" si="9"/>
        <v>ARG1101SI loads Christchurch and north</v>
      </c>
      <c r="B649" s="92" t="s">
        <v>137</v>
      </c>
      <c r="C649" s="92" t="s">
        <v>453</v>
      </c>
      <c r="D649" s="92" t="s">
        <v>443</v>
      </c>
      <c r="E649" s="92" t="s">
        <v>95</v>
      </c>
      <c r="F649" s="92" t="s">
        <v>95</v>
      </c>
      <c r="G649" s="92">
        <v>1</v>
      </c>
    </row>
    <row r="650" spans="1:7" x14ac:dyDescent="0.25">
      <c r="A650" s="94" t="str">
        <f t="shared" ref="A650:A713" si="10">B650&amp;C650</f>
        <v>ASY0111SI loads Christchurch and north</v>
      </c>
      <c r="B650" s="92" t="s">
        <v>146</v>
      </c>
      <c r="C650" s="92" t="s">
        <v>453</v>
      </c>
      <c r="D650" s="92" t="s">
        <v>443</v>
      </c>
      <c r="E650" s="92" t="s">
        <v>95</v>
      </c>
      <c r="F650" s="92" t="s">
        <v>95</v>
      </c>
      <c r="G650" s="92">
        <v>1</v>
      </c>
    </row>
    <row r="651" spans="1:7" x14ac:dyDescent="0.25">
      <c r="A651" s="94" t="str">
        <f t="shared" si="10"/>
        <v>ATU1101SI loads Christchurch and north</v>
      </c>
      <c r="B651" s="92" t="s">
        <v>148</v>
      </c>
      <c r="C651" s="92" t="s">
        <v>453</v>
      </c>
      <c r="D651" s="92" t="s">
        <v>443</v>
      </c>
      <c r="E651" s="92" t="s">
        <v>95</v>
      </c>
      <c r="F651" s="92" t="s">
        <v>95</v>
      </c>
      <c r="G651" s="92">
        <v>1</v>
      </c>
    </row>
    <row r="652" spans="1:7" x14ac:dyDescent="0.25">
      <c r="A652" s="94" t="str">
        <f t="shared" si="10"/>
        <v>BLN0331SI loads Christchurch and north</v>
      </c>
      <c r="B652" s="92" t="s">
        <v>153</v>
      </c>
      <c r="C652" s="92" t="s">
        <v>453</v>
      </c>
      <c r="D652" s="92" t="s">
        <v>443</v>
      </c>
      <c r="E652" s="92" t="s">
        <v>95</v>
      </c>
      <c r="F652" s="92" t="s">
        <v>95</v>
      </c>
      <c r="G652" s="92">
        <v>1</v>
      </c>
    </row>
    <row r="653" spans="1:7" x14ac:dyDescent="0.25">
      <c r="A653" s="94" t="str">
        <f t="shared" si="10"/>
        <v>BRY0111SI loads Christchurch and north</v>
      </c>
      <c r="B653" s="92" t="s">
        <v>400</v>
      </c>
      <c r="C653" s="92" t="s">
        <v>453</v>
      </c>
      <c r="D653" s="92" t="s">
        <v>443</v>
      </c>
      <c r="E653" s="92" t="s">
        <v>95</v>
      </c>
      <c r="F653" s="92" t="s">
        <v>95</v>
      </c>
      <c r="G653" s="92">
        <v>1</v>
      </c>
    </row>
    <row r="654" spans="1:7" x14ac:dyDescent="0.25">
      <c r="A654" s="94" t="str">
        <f t="shared" si="10"/>
        <v>BRY0661SI loads Christchurch and north</v>
      </c>
      <c r="B654" s="92" t="s">
        <v>163</v>
      </c>
      <c r="C654" s="92" t="s">
        <v>453</v>
      </c>
      <c r="D654" s="92" t="s">
        <v>443</v>
      </c>
      <c r="E654" s="92" t="s">
        <v>95</v>
      </c>
      <c r="F654" s="92" t="s">
        <v>95</v>
      </c>
      <c r="G654" s="92">
        <v>1</v>
      </c>
    </row>
    <row r="655" spans="1:7" x14ac:dyDescent="0.25">
      <c r="A655" s="94" t="str">
        <f t="shared" si="10"/>
        <v>CLH0111SI loads Christchurch and north</v>
      </c>
      <c r="B655" s="92" t="s">
        <v>167</v>
      </c>
      <c r="C655" s="92" t="s">
        <v>453</v>
      </c>
      <c r="D655" s="92" t="s">
        <v>443</v>
      </c>
      <c r="E655" s="92" t="s">
        <v>95</v>
      </c>
      <c r="F655" s="92" t="s">
        <v>95</v>
      </c>
      <c r="G655" s="92">
        <v>1</v>
      </c>
    </row>
    <row r="656" spans="1:7" x14ac:dyDescent="0.25">
      <c r="A656" s="94" t="str">
        <f t="shared" si="10"/>
        <v>COL0111SI loads Christchurch and north</v>
      </c>
      <c r="B656" s="92" t="s">
        <v>169</v>
      </c>
      <c r="C656" s="92" t="s">
        <v>453</v>
      </c>
      <c r="D656" s="92" t="s">
        <v>443</v>
      </c>
      <c r="E656" s="92" t="s">
        <v>95</v>
      </c>
      <c r="F656" s="92" t="s">
        <v>95</v>
      </c>
      <c r="G656" s="92">
        <v>1</v>
      </c>
    </row>
    <row r="657" spans="1:7" x14ac:dyDescent="0.25">
      <c r="A657" s="94" t="str">
        <f t="shared" si="10"/>
        <v>COL0661SI loads Christchurch and north</v>
      </c>
      <c r="B657" s="92" t="s">
        <v>170</v>
      </c>
      <c r="C657" s="92" t="s">
        <v>453</v>
      </c>
      <c r="D657" s="92" t="s">
        <v>443</v>
      </c>
      <c r="E657" s="92" t="s">
        <v>95</v>
      </c>
      <c r="F657" s="92" t="s">
        <v>95</v>
      </c>
      <c r="G657" s="92">
        <v>1</v>
      </c>
    </row>
    <row r="658" spans="1:7" x14ac:dyDescent="0.25">
      <c r="A658" s="94" t="str">
        <f t="shared" si="10"/>
        <v>CUL0331SI loads Christchurch and north</v>
      </c>
      <c r="B658" s="92" t="s">
        <v>175</v>
      </c>
      <c r="C658" s="92" t="s">
        <v>453</v>
      </c>
      <c r="D658" s="92" t="s">
        <v>443</v>
      </c>
      <c r="E658" s="92" t="s">
        <v>95</v>
      </c>
      <c r="F658" s="92" t="s">
        <v>95</v>
      </c>
      <c r="G658" s="92">
        <v>1</v>
      </c>
    </row>
    <row r="659" spans="1:7" x14ac:dyDescent="0.25">
      <c r="A659" s="94" t="str">
        <f t="shared" si="10"/>
        <v>CUL0661SI loads Christchurch and north</v>
      </c>
      <c r="B659" s="92" t="s">
        <v>176</v>
      </c>
      <c r="C659" s="92" t="s">
        <v>453</v>
      </c>
      <c r="D659" s="92" t="s">
        <v>443</v>
      </c>
      <c r="E659" s="92" t="s">
        <v>95</v>
      </c>
      <c r="F659" s="92" t="s">
        <v>95</v>
      </c>
      <c r="G659" s="92">
        <v>1</v>
      </c>
    </row>
    <row r="660" spans="1:7" x14ac:dyDescent="0.25">
      <c r="A660" s="94" t="str">
        <f t="shared" si="10"/>
        <v>DOB0331SI loads Christchurch and north</v>
      </c>
      <c r="B660" s="92" t="s">
        <v>180</v>
      </c>
      <c r="C660" s="92" t="s">
        <v>453</v>
      </c>
      <c r="D660" s="92" t="s">
        <v>443</v>
      </c>
      <c r="E660" s="92" t="s">
        <v>95</v>
      </c>
      <c r="F660" s="92" t="s">
        <v>95</v>
      </c>
      <c r="G660" s="92">
        <v>1</v>
      </c>
    </row>
    <row r="661" spans="1:7" x14ac:dyDescent="0.25">
      <c r="A661" s="94" t="str">
        <f t="shared" si="10"/>
        <v>GYM0661SI loads Christchurch and north</v>
      </c>
      <c r="B661" s="92" t="s">
        <v>190</v>
      </c>
      <c r="C661" s="92" t="s">
        <v>453</v>
      </c>
      <c r="D661" s="92" t="s">
        <v>443</v>
      </c>
      <c r="E661" s="92" t="s">
        <v>95</v>
      </c>
      <c r="F661" s="92" t="s">
        <v>95</v>
      </c>
      <c r="G661" s="92">
        <v>1</v>
      </c>
    </row>
    <row r="662" spans="1:7" x14ac:dyDescent="0.25">
      <c r="A662" s="94" t="str">
        <f t="shared" si="10"/>
        <v>HKK0661SI loads Christchurch and north</v>
      </c>
      <c r="B662" s="92" t="s">
        <v>200</v>
      </c>
      <c r="C662" s="92" t="s">
        <v>453</v>
      </c>
      <c r="D662" s="92" t="s">
        <v>443</v>
      </c>
      <c r="E662" s="92" t="s">
        <v>95</v>
      </c>
      <c r="F662" s="92" t="s">
        <v>95</v>
      </c>
      <c r="G662" s="92">
        <v>1</v>
      </c>
    </row>
    <row r="663" spans="1:7" x14ac:dyDescent="0.25">
      <c r="A663" s="94" t="str">
        <f t="shared" si="10"/>
        <v>HOR0331SI loads Christchurch and north</v>
      </c>
      <c r="B663" s="92" t="s">
        <v>207</v>
      </c>
      <c r="C663" s="92" t="s">
        <v>453</v>
      </c>
      <c r="D663" s="92" t="s">
        <v>443</v>
      </c>
      <c r="E663" s="92" t="s">
        <v>95</v>
      </c>
      <c r="F663" s="92" t="s">
        <v>95</v>
      </c>
      <c r="G663" s="92">
        <v>1</v>
      </c>
    </row>
    <row r="664" spans="1:7" x14ac:dyDescent="0.25">
      <c r="A664" s="94" t="str">
        <f t="shared" si="10"/>
        <v>HOR0661SI loads Christchurch and north</v>
      </c>
      <c r="B664" s="92" t="s">
        <v>208</v>
      </c>
      <c r="C664" s="92" t="s">
        <v>453</v>
      </c>
      <c r="D664" s="92" t="s">
        <v>443</v>
      </c>
      <c r="E664" s="92" t="s">
        <v>95</v>
      </c>
      <c r="F664" s="92" t="s">
        <v>95</v>
      </c>
      <c r="G664" s="92">
        <v>1</v>
      </c>
    </row>
    <row r="665" spans="1:7" x14ac:dyDescent="0.25">
      <c r="A665" s="94" t="str">
        <f t="shared" si="10"/>
        <v>ISL0331SI loads Christchurch and north</v>
      </c>
      <c r="B665" s="92" t="s">
        <v>225</v>
      </c>
      <c r="C665" s="92" t="s">
        <v>453</v>
      </c>
      <c r="D665" s="92" t="s">
        <v>443</v>
      </c>
      <c r="E665" s="92" t="s">
        <v>95</v>
      </c>
      <c r="F665" s="92" t="s">
        <v>95</v>
      </c>
      <c r="G665" s="92">
        <v>1</v>
      </c>
    </row>
    <row r="666" spans="1:7" x14ac:dyDescent="0.25">
      <c r="A666" s="94" t="str">
        <f t="shared" si="10"/>
        <v>ISL0661SI loads Christchurch and north</v>
      </c>
      <c r="B666" s="92" t="s">
        <v>226</v>
      </c>
      <c r="C666" s="92" t="s">
        <v>453</v>
      </c>
      <c r="D666" s="92" t="s">
        <v>443</v>
      </c>
      <c r="E666" s="92" t="s">
        <v>95</v>
      </c>
      <c r="F666" s="92" t="s">
        <v>95</v>
      </c>
      <c r="G666" s="92">
        <v>1</v>
      </c>
    </row>
    <row r="667" spans="1:7" x14ac:dyDescent="0.25">
      <c r="A667" s="94" t="str">
        <f t="shared" si="10"/>
        <v>KAI0111SI loads Christchurch and north</v>
      </c>
      <c r="B667" s="92" t="s">
        <v>227</v>
      </c>
      <c r="C667" s="92" t="s">
        <v>453</v>
      </c>
      <c r="D667" s="92" t="s">
        <v>443</v>
      </c>
      <c r="E667" s="92" t="s">
        <v>95</v>
      </c>
      <c r="F667" s="92" t="s">
        <v>95</v>
      </c>
      <c r="G667" s="92">
        <v>1</v>
      </c>
    </row>
    <row r="668" spans="1:7" x14ac:dyDescent="0.25">
      <c r="A668" s="94" t="str">
        <f t="shared" si="10"/>
        <v>KBY0661SI loads Christchurch and north</v>
      </c>
      <c r="B668" s="92" t="s">
        <v>230</v>
      </c>
      <c r="C668" s="92" t="s">
        <v>453</v>
      </c>
      <c r="D668" s="92" t="s">
        <v>443</v>
      </c>
      <c r="E668" s="92" t="s">
        <v>95</v>
      </c>
      <c r="F668" s="92" t="s">
        <v>95</v>
      </c>
      <c r="G668" s="92">
        <v>1</v>
      </c>
    </row>
    <row r="669" spans="1:7" x14ac:dyDescent="0.25">
      <c r="A669" s="94" t="str">
        <f t="shared" si="10"/>
        <v>KBY0662SI loads Christchurch and north</v>
      </c>
      <c r="B669" s="92" t="s">
        <v>231</v>
      </c>
      <c r="C669" s="92" t="s">
        <v>453</v>
      </c>
      <c r="D669" s="92" t="s">
        <v>443</v>
      </c>
      <c r="E669" s="92" t="s">
        <v>95</v>
      </c>
      <c r="F669" s="92" t="s">
        <v>95</v>
      </c>
      <c r="G669" s="92">
        <v>1</v>
      </c>
    </row>
    <row r="670" spans="1:7" x14ac:dyDescent="0.25">
      <c r="A670" s="94" t="str">
        <f t="shared" si="10"/>
        <v>KIK0111SI loads Christchurch and north</v>
      </c>
      <c r="B670" s="92" t="s">
        <v>232</v>
      </c>
      <c r="C670" s="92" t="s">
        <v>453</v>
      </c>
      <c r="D670" s="92" t="s">
        <v>443</v>
      </c>
      <c r="E670" s="92" t="s">
        <v>95</v>
      </c>
      <c r="F670" s="92" t="s">
        <v>95</v>
      </c>
      <c r="G670" s="92">
        <v>1</v>
      </c>
    </row>
    <row r="671" spans="1:7" x14ac:dyDescent="0.25">
      <c r="A671" s="94" t="str">
        <f t="shared" si="10"/>
        <v>KUM0661SI loads Christchurch and north</v>
      </c>
      <c r="B671" s="92" t="s">
        <v>241</v>
      </c>
      <c r="C671" s="92" t="s">
        <v>453</v>
      </c>
      <c r="D671" s="92" t="s">
        <v>443</v>
      </c>
      <c r="E671" s="92" t="s">
        <v>95</v>
      </c>
      <c r="F671" s="92" t="s">
        <v>95</v>
      </c>
      <c r="G671" s="92">
        <v>1</v>
      </c>
    </row>
    <row r="672" spans="1:7" x14ac:dyDescent="0.25">
      <c r="A672" s="94" t="str">
        <f t="shared" si="10"/>
        <v>MCH0111SI loads Christchurch and north</v>
      </c>
      <c r="B672" s="92" t="s">
        <v>253</v>
      </c>
      <c r="C672" s="92" t="s">
        <v>453</v>
      </c>
      <c r="D672" s="92" t="s">
        <v>443</v>
      </c>
      <c r="E672" s="92" t="s">
        <v>95</v>
      </c>
      <c r="F672" s="92" t="s">
        <v>95</v>
      </c>
      <c r="G672" s="92">
        <v>1</v>
      </c>
    </row>
    <row r="673" spans="1:7" x14ac:dyDescent="0.25">
      <c r="A673" s="94" t="str">
        <f t="shared" si="10"/>
        <v>MLN0661SI loads Christchurch and north</v>
      </c>
      <c r="B673" s="92" t="s">
        <v>413</v>
      </c>
      <c r="C673" s="92" t="s">
        <v>453</v>
      </c>
      <c r="D673" s="92" t="s">
        <v>443</v>
      </c>
      <c r="E673" s="92" t="s">
        <v>95</v>
      </c>
      <c r="F673" s="92" t="s">
        <v>95</v>
      </c>
      <c r="G673" s="92">
        <v>1</v>
      </c>
    </row>
    <row r="674" spans="1:7" x14ac:dyDescent="0.25">
      <c r="A674" s="94" t="str">
        <f t="shared" si="10"/>
        <v>MLN0664SI loads Christchurch and north</v>
      </c>
      <c r="B674" s="92" t="s">
        <v>414</v>
      </c>
      <c r="C674" s="92" t="s">
        <v>453</v>
      </c>
      <c r="D674" s="92" t="s">
        <v>443</v>
      </c>
      <c r="E674" s="92" t="s">
        <v>95</v>
      </c>
      <c r="F674" s="92" t="s">
        <v>95</v>
      </c>
      <c r="G674" s="92">
        <v>1</v>
      </c>
    </row>
    <row r="675" spans="1:7" x14ac:dyDescent="0.25">
      <c r="A675" s="94" t="str">
        <f t="shared" si="10"/>
        <v>MOT0111SI loads Christchurch and north</v>
      </c>
      <c r="B675" s="92" t="s">
        <v>415</v>
      </c>
      <c r="C675" s="92" t="s">
        <v>453</v>
      </c>
      <c r="D675" s="92" t="s">
        <v>443</v>
      </c>
      <c r="E675" s="92" t="s">
        <v>95</v>
      </c>
      <c r="F675" s="92" t="s">
        <v>95</v>
      </c>
      <c r="G675" s="92">
        <v>1</v>
      </c>
    </row>
    <row r="676" spans="1:7" x14ac:dyDescent="0.25">
      <c r="A676" s="94" t="str">
        <f t="shared" si="10"/>
        <v>MPI0661SI loads Christchurch and north</v>
      </c>
      <c r="B676" s="92" t="s">
        <v>416</v>
      </c>
      <c r="C676" s="92" t="s">
        <v>453</v>
      </c>
      <c r="D676" s="92" t="s">
        <v>443</v>
      </c>
      <c r="E676" s="92" t="s">
        <v>95</v>
      </c>
      <c r="F676" s="92" t="s">
        <v>95</v>
      </c>
      <c r="G676" s="92">
        <v>1</v>
      </c>
    </row>
    <row r="677" spans="1:7" x14ac:dyDescent="0.25">
      <c r="A677" s="94" t="str">
        <f t="shared" si="10"/>
        <v>ORO1101SI loads Christchurch and north</v>
      </c>
      <c r="B677" s="92" t="s">
        <v>291</v>
      </c>
      <c r="C677" s="92" t="s">
        <v>453</v>
      </c>
      <c r="D677" s="92" t="s">
        <v>443</v>
      </c>
      <c r="E677" s="92" t="s">
        <v>95</v>
      </c>
      <c r="F677" s="92" t="s">
        <v>95</v>
      </c>
      <c r="G677" s="92">
        <v>1</v>
      </c>
    </row>
    <row r="678" spans="1:7" x14ac:dyDescent="0.25">
      <c r="A678" s="94" t="str">
        <f t="shared" si="10"/>
        <v>ORO1102SI loads Christchurch and north</v>
      </c>
      <c r="B678" s="92" t="s">
        <v>292</v>
      </c>
      <c r="C678" s="92" t="s">
        <v>453</v>
      </c>
      <c r="D678" s="92" t="s">
        <v>443</v>
      </c>
      <c r="E678" s="92" t="s">
        <v>95</v>
      </c>
      <c r="F678" s="92" t="s">
        <v>95</v>
      </c>
      <c r="G678" s="92">
        <v>1</v>
      </c>
    </row>
    <row r="679" spans="1:7" x14ac:dyDescent="0.25">
      <c r="A679" s="94" t="str">
        <f t="shared" si="10"/>
        <v>OTI0111SI loads Christchurch and north</v>
      </c>
      <c r="B679" s="92" t="s">
        <v>294</v>
      </c>
      <c r="C679" s="92" t="s">
        <v>453</v>
      </c>
      <c r="D679" s="92" t="s">
        <v>443</v>
      </c>
      <c r="E679" s="92" t="s">
        <v>95</v>
      </c>
      <c r="F679" s="92" t="s">
        <v>95</v>
      </c>
      <c r="G679" s="92">
        <v>1</v>
      </c>
    </row>
    <row r="680" spans="1:7" x14ac:dyDescent="0.25">
      <c r="A680" s="94" t="str">
        <f t="shared" si="10"/>
        <v>RFN1101SI loads Christchurch and north</v>
      </c>
      <c r="B680" s="92" t="s">
        <v>307</v>
      </c>
      <c r="C680" s="92" t="s">
        <v>453</v>
      </c>
      <c r="D680" s="92" t="s">
        <v>443</v>
      </c>
      <c r="E680" s="92" t="s">
        <v>95</v>
      </c>
      <c r="F680" s="92" t="s">
        <v>95</v>
      </c>
      <c r="G680" s="92">
        <v>1</v>
      </c>
    </row>
    <row r="681" spans="1:7" x14ac:dyDescent="0.25">
      <c r="A681" s="94" t="str">
        <f t="shared" si="10"/>
        <v>RFN1102SI loads Christchurch and north</v>
      </c>
      <c r="B681" s="92" t="s">
        <v>308</v>
      </c>
      <c r="C681" s="92" t="s">
        <v>453</v>
      </c>
      <c r="D681" s="92" t="s">
        <v>443</v>
      </c>
      <c r="E681" s="92" t="s">
        <v>95</v>
      </c>
      <c r="F681" s="92" t="s">
        <v>95</v>
      </c>
      <c r="G681" s="92">
        <v>1</v>
      </c>
    </row>
    <row r="682" spans="1:7" x14ac:dyDescent="0.25">
      <c r="A682" s="94" t="str">
        <f t="shared" si="10"/>
        <v>SBK0331SI loads Christchurch and north</v>
      </c>
      <c r="B682" s="92" t="s">
        <v>318</v>
      </c>
      <c r="C682" s="92" t="s">
        <v>453</v>
      </c>
      <c r="D682" s="92" t="s">
        <v>443</v>
      </c>
      <c r="E682" s="92" t="s">
        <v>95</v>
      </c>
      <c r="F682" s="92" t="s">
        <v>95</v>
      </c>
      <c r="G682" s="92">
        <v>1</v>
      </c>
    </row>
    <row r="683" spans="1:7" x14ac:dyDescent="0.25">
      <c r="A683" s="94" t="str">
        <f t="shared" si="10"/>
        <v>SPN0331SI loads Christchurch and north</v>
      </c>
      <c r="B683" s="92" t="s">
        <v>420</v>
      </c>
      <c r="C683" s="92" t="s">
        <v>453</v>
      </c>
      <c r="D683" s="92" t="s">
        <v>443</v>
      </c>
      <c r="E683" s="92" t="s">
        <v>95</v>
      </c>
      <c r="F683" s="92" t="s">
        <v>95</v>
      </c>
      <c r="G683" s="92">
        <v>1</v>
      </c>
    </row>
    <row r="684" spans="1:7" x14ac:dyDescent="0.25">
      <c r="A684" s="94" t="str">
        <f t="shared" si="10"/>
        <v>SPN0661SI loads Christchurch and north</v>
      </c>
      <c r="B684" s="92" t="s">
        <v>421</v>
      </c>
      <c r="C684" s="92" t="s">
        <v>453</v>
      </c>
      <c r="D684" s="92" t="s">
        <v>443</v>
      </c>
      <c r="E684" s="92" t="s">
        <v>95</v>
      </c>
      <c r="F684" s="92" t="s">
        <v>95</v>
      </c>
      <c r="G684" s="92">
        <v>1</v>
      </c>
    </row>
    <row r="685" spans="1:7" x14ac:dyDescent="0.25">
      <c r="A685" s="94" t="str">
        <f t="shared" si="10"/>
        <v>STK0331SI loads Christchurch and north</v>
      </c>
      <c r="B685" s="92" t="s">
        <v>325</v>
      </c>
      <c r="C685" s="92" t="s">
        <v>453</v>
      </c>
      <c r="D685" s="92" t="s">
        <v>443</v>
      </c>
      <c r="E685" s="92" t="s">
        <v>95</v>
      </c>
      <c r="F685" s="92" t="s">
        <v>95</v>
      </c>
      <c r="G685" s="92">
        <v>1</v>
      </c>
    </row>
    <row r="686" spans="1:7" x14ac:dyDescent="0.25">
      <c r="A686" s="94" t="str">
        <f t="shared" si="10"/>
        <v>WPR0331SI loads Christchurch and north</v>
      </c>
      <c r="B686" s="92" t="s">
        <v>380</v>
      </c>
      <c r="C686" s="92" t="s">
        <v>453</v>
      </c>
      <c r="D686" s="92" t="s">
        <v>443</v>
      </c>
      <c r="E686" s="92" t="s">
        <v>95</v>
      </c>
      <c r="F686" s="92" t="s">
        <v>95</v>
      </c>
      <c r="G686" s="92">
        <v>1</v>
      </c>
    </row>
    <row r="687" spans="1:7" x14ac:dyDescent="0.25">
      <c r="A687" s="94" t="str">
        <f t="shared" si="10"/>
        <v>WPR0661SI loads Christchurch and north</v>
      </c>
      <c r="B687" s="92" t="s">
        <v>381</v>
      </c>
      <c r="C687" s="92" t="s">
        <v>453</v>
      </c>
      <c r="D687" s="92" t="s">
        <v>443</v>
      </c>
      <c r="E687" s="92" t="s">
        <v>95</v>
      </c>
      <c r="F687" s="92" t="s">
        <v>95</v>
      </c>
      <c r="G687" s="92">
        <v>1</v>
      </c>
    </row>
    <row r="688" spans="1:7" x14ac:dyDescent="0.25">
      <c r="A688" s="94" t="str">
        <f t="shared" si="10"/>
        <v>WPT0111SI loads Christchurch and north</v>
      </c>
      <c r="B688" s="92" t="s">
        <v>382</v>
      </c>
      <c r="C688" s="92" t="s">
        <v>453</v>
      </c>
      <c r="D688" s="92" t="s">
        <v>443</v>
      </c>
      <c r="E688" s="92" t="s">
        <v>95</v>
      </c>
      <c r="F688" s="92" t="s">
        <v>95</v>
      </c>
      <c r="G688" s="92">
        <v>1</v>
      </c>
    </row>
    <row r="689" spans="1:7" x14ac:dyDescent="0.25">
      <c r="A689" s="94" t="str">
        <f t="shared" si="10"/>
        <v>ABY0111SI loads Studholme and north</v>
      </c>
      <c r="B689" s="92" t="s">
        <v>130</v>
      </c>
      <c r="C689" s="92" t="s">
        <v>454</v>
      </c>
      <c r="D689" s="92" t="s">
        <v>443</v>
      </c>
      <c r="E689" s="92" t="s">
        <v>95</v>
      </c>
      <c r="F689" s="92" t="s">
        <v>95</v>
      </c>
      <c r="G689" s="92">
        <v>1</v>
      </c>
    </row>
    <row r="690" spans="1:7" x14ac:dyDescent="0.25">
      <c r="A690" s="94" t="str">
        <f t="shared" si="10"/>
        <v>ADD0111SI loads Studholme and north</v>
      </c>
      <c r="B690" s="92" t="s">
        <v>398</v>
      </c>
      <c r="C690" s="92" t="s">
        <v>454</v>
      </c>
      <c r="D690" s="92" t="s">
        <v>443</v>
      </c>
      <c r="E690" s="92" t="s">
        <v>95</v>
      </c>
      <c r="F690" s="92" t="s">
        <v>95</v>
      </c>
      <c r="G690" s="92">
        <v>1</v>
      </c>
    </row>
    <row r="691" spans="1:7" x14ac:dyDescent="0.25">
      <c r="A691" s="94" t="str">
        <f t="shared" si="10"/>
        <v>ADD0661SI loads Studholme and north</v>
      </c>
      <c r="B691" s="92" t="s">
        <v>399</v>
      </c>
      <c r="C691" s="92" t="s">
        <v>454</v>
      </c>
      <c r="D691" s="92" t="s">
        <v>443</v>
      </c>
      <c r="E691" s="92" t="s">
        <v>95</v>
      </c>
      <c r="F691" s="92" t="s">
        <v>95</v>
      </c>
      <c r="G691" s="92">
        <v>1</v>
      </c>
    </row>
    <row r="692" spans="1:7" x14ac:dyDescent="0.25">
      <c r="A692" s="94" t="str">
        <f t="shared" si="10"/>
        <v>APS0111SI loads Studholme and north</v>
      </c>
      <c r="B692" s="92" t="s">
        <v>134</v>
      </c>
      <c r="C692" s="92" t="s">
        <v>454</v>
      </c>
      <c r="D692" s="92" t="s">
        <v>443</v>
      </c>
      <c r="E692" s="92" t="s">
        <v>95</v>
      </c>
      <c r="F692" s="92" t="s">
        <v>95</v>
      </c>
      <c r="G692" s="92">
        <v>1</v>
      </c>
    </row>
    <row r="693" spans="1:7" x14ac:dyDescent="0.25">
      <c r="A693" s="94" t="str">
        <f t="shared" si="10"/>
        <v>ARG1101SI loads Studholme and north</v>
      </c>
      <c r="B693" s="92" t="s">
        <v>137</v>
      </c>
      <c r="C693" s="92" t="s">
        <v>454</v>
      </c>
      <c r="D693" s="92" t="s">
        <v>443</v>
      </c>
      <c r="E693" s="92" t="s">
        <v>95</v>
      </c>
      <c r="F693" s="92" t="s">
        <v>95</v>
      </c>
      <c r="G693" s="92">
        <v>1</v>
      </c>
    </row>
    <row r="694" spans="1:7" x14ac:dyDescent="0.25">
      <c r="A694" s="94" t="str">
        <f t="shared" si="10"/>
        <v>ASB0331SI loads Studholme and north</v>
      </c>
      <c r="B694" s="92" t="s">
        <v>142</v>
      </c>
      <c r="C694" s="92" t="s">
        <v>454</v>
      </c>
      <c r="D694" s="92" t="s">
        <v>443</v>
      </c>
      <c r="E694" s="92" t="s">
        <v>95</v>
      </c>
      <c r="F694" s="92" t="s">
        <v>95</v>
      </c>
      <c r="G694" s="92">
        <v>1</v>
      </c>
    </row>
    <row r="695" spans="1:7" x14ac:dyDescent="0.25">
      <c r="A695" s="94" t="str">
        <f t="shared" si="10"/>
        <v>ASB0661SI loads Studholme and north</v>
      </c>
      <c r="B695" s="92" t="s">
        <v>143</v>
      </c>
      <c r="C695" s="92" t="s">
        <v>454</v>
      </c>
      <c r="D695" s="92" t="s">
        <v>443</v>
      </c>
      <c r="E695" s="92" t="s">
        <v>95</v>
      </c>
      <c r="F695" s="92" t="s">
        <v>95</v>
      </c>
      <c r="G695" s="92">
        <v>1</v>
      </c>
    </row>
    <row r="696" spans="1:7" x14ac:dyDescent="0.25">
      <c r="A696" s="94" t="str">
        <f t="shared" si="10"/>
        <v>ASY0111SI loads Studholme and north</v>
      </c>
      <c r="B696" s="92" t="s">
        <v>146</v>
      </c>
      <c r="C696" s="92" t="s">
        <v>454</v>
      </c>
      <c r="D696" s="92" t="s">
        <v>443</v>
      </c>
      <c r="E696" s="92" t="s">
        <v>95</v>
      </c>
      <c r="F696" s="92" t="s">
        <v>95</v>
      </c>
      <c r="G696" s="92">
        <v>1</v>
      </c>
    </row>
    <row r="697" spans="1:7" x14ac:dyDescent="0.25">
      <c r="A697" s="94" t="str">
        <f t="shared" si="10"/>
        <v>ATU1101SI loads Studholme and north</v>
      </c>
      <c r="B697" s="92" t="s">
        <v>148</v>
      </c>
      <c r="C697" s="92" t="s">
        <v>454</v>
      </c>
      <c r="D697" s="92" t="s">
        <v>443</v>
      </c>
      <c r="E697" s="92" t="s">
        <v>95</v>
      </c>
      <c r="F697" s="92" t="s">
        <v>95</v>
      </c>
      <c r="G697" s="92">
        <v>1</v>
      </c>
    </row>
    <row r="698" spans="1:7" x14ac:dyDescent="0.25">
      <c r="A698" s="94" t="str">
        <f t="shared" si="10"/>
        <v>BLN0331SI loads Studholme and north</v>
      </c>
      <c r="B698" s="92" t="s">
        <v>153</v>
      </c>
      <c r="C698" s="92" t="s">
        <v>454</v>
      </c>
      <c r="D698" s="92" t="s">
        <v>443</v>
      </c>
      <c r="E698" s="92" t="s">
        <v>95</v>
      </c>
      <c r="F698" s="92" t="s">
        <v>95</v>
      </c>
      <c r="G698" s="92">
        <v>1</v>
      </c>
    </row>
    <row r="699" spans="1:7" x14ac:dyDescent="0.25">
      <c r="A699" s="94" t="str">
        <f t="shared" si="10"/>
        <v>BRY0111SI loads Studholme and north</v>
      </c>
      <c r="B699" s="92" t="s">
        <v>400</v>
      </c>
      <c r="C699" s="92" t="s">
        <v>454</v>
      </c>
      <c r="D699" s="92" t="s">
        <v>443</v>
      </c>
      <c r="E699" s="92" t="s">
        <v>95</v>
      </c>
      <c r="F699" s="92" t="s">
        <v>95</v>
      </c>
      <c r="G699" s="92">
        <v>1</v>
      </c>
    </row>
    <row r="700" spans="1:7" x14ac:dyDescent="0.25">
      <c r="A700" s="94" t="str">
        <f t="shared" si="10"/>
        <v>BRY0661SI loads Studholme and north</v>
      </c>
      <c r="B700" s="92" t="s">
        <v>163</v>
      </c>
      <c r="C700" s="92" t="s">
        <v>454</v>
      </c>
      <c r="D700" s="92" t="s">
        <v>443</v>
      </c>
      <c r="E700" s="92" t="s">
        <v>95</v>
      </c>
      <c r="F700" s="92" t="s">
        <v>95</v>
      </c>
      <c r="G700" s="92">
        <v>1</v>
      </c>
    </row>
    <row r="701" spans="1:7" x14ac:dyDescent="0.25">
      <c r="A701" s="94" t="str">
        <f t="shared" si="10"/>
        <v>CLH0111SI loads Studholme and north</v>
      </c>
      <c r="B701" s="92" t="s">
        <v>167</v>
      </c>
      <c r="C701" s="92" t="s">
        <v>454</v>
      </c>
      <c r="D701" s="92" t="s">
        <v>443</v>
      </c>
      <c r="E701" s="92" t="s">
        <v>95</v>
      </c>
      <c r="F701" s="92" t="s">
        <v>95</v>
      </c>
      <c r="G701" s="92">
        <v>1</v>
      </c>
    </row>
    <row r="702" spans="1:7" x14ac:dyDescent="0.25">
      <c r="A702" s="94" t="str">
        <f t="shared" si="10"/>
        <v>COL0111SI loads Studholme and north</v>
      </c>
      <c r="B702" s="92" t="s">
        <v>169</v>
      </c>
      <c r="C702" s="92" t="s">
        <v>454</v>
      </c>
      <c r="D702" s="92" t="s">
        <v>443</v>
      </c>
      <c r="E702" s="92" t="s">
        <v>95</v>
      </c>
      <c r="F702" s="92" t="s">
        <v>95</v>
      </c>
      <c r="G702" s="92">
        <v>1</v>
      </c>
    </row>
    <row r="703" spans="1:7" x14ac:dyDescent="0.25">
      <c r="A703" s="94" t="str">
        <f t="shared" si="10"/>
        <v>COL0661SI loads Studholme and north</v>
      </c>
      <c r="B703" s="92" t="s">
        <v>170</v>
      </c>
      <c r="C703" s="92" t="s">
        <v>454</v>
      </c>
      <c r="D703" s="92" t="s">
        <v>443</v>
      </c>
      <c r="E703" s="92" t="s">
        <v>95</v>
      </c>
      <c r="F703" s="92" t="s">
        <v>95</v>
      </c>
      <c r="G703" s="92">
        <v>1</v>
      </c>
    </row>
    <row r="704" spans="1:7" x14ac:dyDescent="0.25">
      <c r="A704" s="94" t="str">
        <f t="shared" si="10"/>
        <v>CUL0331SI loads Studholme and north</v>
      </c>
      <c r="B704" s="92" t="s">
        <v>175</v>
      </c>
      <c r="C704" s="92" t="s">
        <v>454</v>
      </c>
      <c r="D704" s="92" t="s">
        <v>443</v>
      </c>
      <c r="E704" s="92" t="s">
        <v>95</v>
      </c>
      <c r="F704" s="92" t="s">
        <v>95</v>
      </c>
      <c r="G704" s="92">
        <v>1</v>
      </c>
    </row>
    <row r="705" spans="1:7" x14ac:dyDescent="0.25">
      <c r="A705" s="94" t="str">
        <f t="shared" si="10"/>
        <v>CUL0661SI loads Studholme and north</v>
      </c>
      <c r="B705" s="92" t="s">
        <v>176</v>
      </c>
      <c r="C705" s="92" t="s">
        <v>454</v>
      </c>
      <c r="D705" s="92" t="s">
        <v>443</v>
      </c>
      <c r="E705" s="92" t="s">
        <v>95</v>
      </c>
      <c r="F705" s="92" t="s">
        <v>95</v>
      </c>
      <c r="G705" s="92">
        <v>1</v>
      </c>
    </row>
    <row r="706" spans="1:7" x14ac:dyDescent="0.25">
      <c r="A706" s="94" t="str">
        <f t="shared" si="10"/>
        <v>DOB0331SI loads Studholme and north</v>
      </c>
      <c r="B706" s="92" t="s">
        <v>180</v>
      </c>
      <c r="C706" s="92" t="s">
        <v>454</v>
      </c>
      <c r="D706" s="92" t="s">
        <v>443</v>
      </c>
      <c r="E706" s="92" t="s">
        <v>95</v>
      </c>
      <c r="F706" s="92" t="s">
        <v>95</v>
      </c>
      <c r="G706" s="92">
        <v>1</v>
      </c>
    </row>
    <row r="707" spans="1:7" x14ac:dyDescent="0.25">
      <c r="A707" s="94" t="str">
        <f t="shared" si="10"/>
        <v>GYM0661SI loads Studholme and north</v>
      </c>
      <c r="B707" s="92" t="s">
        <v>190</v>
      </c>
      <c r="C707" s="92" t="s">
        <v>454</v>
      </c>
      <c r="D707" s="92" t="s">
        <v>443</v>
      </c>
      <c r="E707" s="92" t="s">
        <v>95</v>
      </c>
      <c r="F707" s="92" t="s">
        <v>95</v>
      </c>
      <c r="G707" s="92">
        <v>1</v>
      </c>
    </row>
    <row r="708" spans="1:7" x14ac:dyDescent="0.25">
      <c r="A708" s="94" t="str">
        <f t="shared" si="10"/>
        <v>HKK0661SI loads Studholme and north</v>
      </c>
      <c r="B708" s="92" t="s">
        <v>200</v>
      </c>
      <c r="C708" s="92" t="s">
        <v>454</v>
      </c>
      <c r="D708" s="92" t="s">
        <v>443</v>
      </c>
      <c r="E708" s="92" t="s">
        <v>95</v>
      </c>
      <c r="F708" s="92" t="s">
        <v>95</v>
      </c>
      <c r="G708" s="92">
        <v>1</v>
      </c>
    </row>
    <row r="709" spans="1:7" x14ac:dyDescent="0.25">
      <c r="A709" s="94" t="str">
        <f t="shared" si="10"/>
        <v>HOR0331SI loads Studholme and north</v>
      </c>
      <c r="B709" s="92" t="s">
        <v>207</v>
      </c>
      <c r="C709" s="92" t="s">
        <v>454</v>
      </c>
      <c r="D709" s="92" t="s">
        <v>443</v>
      </c>
      <c r="E709" s="92" t="s">
        <v>95</v>
      </c>
      <c r="F709" s="92" t="s">
        <v>95</v>
      </c>
      <c r="G709" s="92">
        <v>1</v>
      </c>
    </row>
    <row r="710" spans="1:7" x14ac:dyDescent="0.25">
      <c r="A710" s="94" t="str">
        <f t="shared" si="10"/>
        <v>HOR0661SI loads Studholme and north</v>
      </c>
      <c r="B710" s="92" t="s">
        <v>208</v>
      </c>
      <c r="C710" s="92" t="s">
        <v>454</v>
      </c>
      <c r="D710" s="92" t="s">
        <v>443</v>
      </c>
      <c r="E710" s="92" t="s">
        <v>95</v>
      </c>
      <c r="F710" s="92" t="s">
        <v>95</v>
      </c>
      <c r="G710" s="92">
        <v>1</v>
      </c>
    </row>
    <row r="711" spans="1:7" x14ac:dyDescent="0.25">
      <c r="A711" s="94" t="str">
        <f t="shared" si="10"/>
        <v>ISL0331SI loads Studholme and north</v>
      </c>
      <c r="B711" s="92" t="s">
        <v>225</v>
      </c>
      <c r="C711" s="92" t="s">
        <v>454</v>
      </c>
      <c r="D711" s="92" t="s">
        <v>443</v>
      </c>
      <c r="E711" s="92" t="s">
        <v>95</v>
      </c>
      <c r="F711" s="92" t="s">
        <v>95</v>
      </c>
      <c r="G711" s="92">
        <v>1</v>
      </c>
    </row>
    <row r="712" spans="1:7" x14ac:dyDescent="0.25">
      <c r="A712" s="94" t="str">
        <f t="shared" si="10"/>
        <v>ISL0661SI loads Studholme and north</v>
      </c>
      <c r="B712" s="92" t="s">
        <v>226</v>
      </c>
      <c r="C712" s="92" t="s">
        <v>454</v>
      </c>
      <c r="D712" s="92" t="s">
        <v>443</v>
      </c>
      <c r="E712" s="92" t="s">
        <v>95</v>
      </c>
      <c r="F712" s="92" t="s">
        <v>95</v>
      </c>
      <c r="G712" s="92">
        <v>1</v>
      </c>
    </row>
    <row r="713" spans="1:7" x14ac:dyDescent="0.25">
      <c r="A713" s="94" t="str">
        <f t="shared" si="10"/>
        <v>KAI0111SI loads Studholme and north</v>
      </c>
      <c r="B713" s="92" t="s">
        <v>227</v>
      </c>
      <c r="C713" s="92" t="s">
        <v>454</v>
      </c>
      <c r="D713" s="92" t="s">
        <v>443</v>
      </c>
      <c r="E713" s="92" t="s">
        <v>95</v>
      </c>
      <c r="F713" s="92" t="s">
        <v>95</v>
      </c>
      <c r="G713" s="92">
        <v>1</v>
      </c>
    </row>
    <row r="714" spans="1:7" x14ac:dyDescent="0.25">
      <c r="A714" s="94" t="str">
        <f t="shared" ref="A714:A777" si="11">B714&amp;C714</f>
        <v>KBY0661SI loads Studholme and north</v>
      </c>
      <c r="B714" s="92" t="s">
        <v>230</v>
      </c>
      <c r="C714" s="92" t="s">
        <v>454</v>
      </c>
      <c r="D714" s="92" t="s">
        <v>443</v>
      </c>
      <c r="E714" s="92" t="s">
        <v>95</v>
      </c>
      <c r="F714" s="92" t="s">
        <v>95</v>
      </c>
      <c r="G714" s="92">
        <v>1</v>
      </c>
    </row>
    <row r="715" spans="1:7" x14ac:dyDescent="0.25">
      <c r="A715" s="94" t="str">
        <f t="shared" si="11"/>
        <v>KBY0662SI loads Studholme and north</v>
      </c>
      <c r="B715" s="92" t="s">
        <v>231</v>
      </c>
      <c r="C715" s="92" t="s">
        <v>454</v>
      </c>
      <c r="D715" s="92" t="s">
        <v>443</v>
      </c>
      <c r="E715" s="92" t="s">
        <v>95</v>
      </c>
      <c r="F715" s="92" t="s">
        <v>95</v>
      </c>
      <c r="G715" s="92">
        <v>1</v>
      </c>
    </row>
    <row r="716" spans="1:7" x14ac:dyDescent="0.25">
      <c r="A716" s="94" t="str">
        <f t="shared" si="11"/>
        <v>KIK0111SI loads Studholme and north</v>
      </c>
      <c r="B716" s="92" t="s">
        <v>232</v>
      </c>
      <c r="C716" s="92" t="s">
        <v>454</v>
      </c>
      <c r="D716" s="92" t="s">
        <v>443</v>
      </c>
      <c r="E716" s="92" t="s">
        <v>95</v>
      </c>
      <c r="F716" s="92" t="s">
        <v>95</v>
      </c>
      <c r="G716" s="92">
        <v>1</v>
      </c>
    </row>
    <row r="717" spans="1:7" x14ac:dyDescent="0.25">
      <c r="A717" s="94" t="str">
        <f t="shared" si="11"/>
        <v>KUM0661SI loads Studholme and north</v>
      </c>
      <c r="B717" s="92" t="s">
        <v>241</v>
      </c>
      <c r="C717" s="92" t="s">
        <v>454</v>
      </c>
      <c r="D717" s="92" t="s">
        <v>443</v>
      </c>
      <c r="E717" s="92" t="s">
        <v>95</v>
      </c>
      <c r="F717" s="92" t="s">
        <v>95</v>
      </c>
      <c r="G717" s="92">
        <v>1</v>
      </c>
    </row>
    <row r="718" spans="1:7" x14ac:dyDescent="0.25">
      <c r="A718" s="94" t="str">
        <f t="shared" si="11"/>
        <v>MCH0111SI loads Studholme and north</v>
      </c>
      <c r="B718" s="92" t="s">
        <v>253</v>
      </c>
      <c r="C718" s="92" t="s">
        <v>454</v>
      </c>
      <c r="D718" s="92" t="s">
        <v>443</v>
      </c>
      <c r="E718" s="92" t="s">
        <v>95</v>
      </c>
      <c r="F718" s="92" t="s">
        <v>95</v>
      </c>
      <c r="G718" s="92">
        <v>1</v>
      </c>
    </row>
    <row r="719" spans="1:7" x14ac:dyDescent="0.25">
      <c r="A719" s="94" t="str">
        <f t="shared" si="11"/>
        <v>MLN0661SI loads Studholme and north</v>
      </c>
      <c r="B719" s="92" t="s">
        <v>413</v>
      </c>
      <c r="C719" s="92" t="s">
        <v>454</v>
      </c>
      <c r="D719" s="92" t="s">
        <v>443</v>
      </c>
      <c r="E719" s="92" t="s">
        <v>95</v>
      </c>
      <c r="F719" s="92" t="s">
        <v>95</v>
      </c>
      <c r="G719" s="92">
        <v>1</v>
      </c>
    </row>
    <row r="720" spans="1:7" x14ac:dyDescent="0.25">
      <c r="A720" s="94" t="str">
        <f t="shared" si="11"/>
        <v>MLN0664SI loads Studholme and north</v>
      </c>
      <c r="B720" s="92" t="s">
        <v>414</v>
      </c>
      <c r="C720" s="92" t="s">
        <v>454</v>
      </c>
      <c r="D720" s="92" t="s">
        <v>443</v>
      </c>
      <c r="E720" s="92" t="s">
        <v>95</v>
      </c>
      <c r="F720" s="92" t="s">
        <v>95</v>
      </c>
      <c r="G720" s="92">
        <v>1</v>
      </c>
    </row>
    <row r="721" spans="1:7" x14ac:dyDescent="0.25">
      <c r="A721" s="94" t="str">
        <f t="shared" si="11"/>
        <v>MOT0111SI loads Studholme and north</v>
      </c>
      <c r="B721" s="92" t="s">
        <v>415</v>
      </c>
      <c r="C721" s="92" t="s">
        <v>454</v>
      </c>
      <c r="D721" s="92" t="s">
        <v>443</v>
      </c>
      <c r="E721" s="92" t="s">
        <v>95</v>
      </c>
      <c r="F721" s="92" t="s">
        <v>95</v>
      </c>
      <c r="G721" s="92">
        <v>1</v>
      </c>
    </row>
    <row r="722" spans="1:7" x14ac:dyDescent="0.25">
      <c r="A722" s="94" t="str">
        <f t="shared" si="11"/>
        <v>MPI0661SI loads Studholme and north</v>
      </c>
      <c r="B722" s="92" t="s">
        <v>416</v>
      </c>
      <c r="C722" s="92" t="s">
        <v>454</v>
      </c>
      <c r="D722" s="92" t="s">
        <v>443</v>
      </c>
      <c r="E722" s="92" t="s">
        <v>95</v>
      </c>
      <c r="F722" s="92" t="s">
        <v>95</v>
      </c>
      <c r="G722" s="92">
        <v>1</v>
      </c>
    </row>
    <row r="723" spans="1:7" x14ac:dyDescent="0.25">
      <c r="A723" s="94" t="str">
        <f t="shared" si="11"/>
        <v>ORO1101SI loads Studholme and north</v>
      </c>
      <c r="B723" s="92" t="s">
        <v>291</v>
      </c>
      <c r="C723" s="92" t="s">
        <v>454</v>
      </c>
      <c r="D723" s="92" t="s">
        <v>443</v>
      </c>
      <c r="E723" s="92" t="s">
        <v>95</v>
      </c>
      <c r="F723" s="92" t="s">
        <v>95</v>
      </c>
      <c r="G723" s="92">
        <v>1</v>
      </c>
    </row>
    <row r="724" spans="1:7" x14ac:dyDescent="0.25">
      <c r="A724" s="94" t="str">
        <f t="shared" si="11"/>
        <v>ORO1102SI loads Studholme and north</v>
      </c>
      <c r="B724" s="92" t="s">
        <v>292</v>
      </c>
      <c r="C724" s="92" t="s">
        <v>454</v>
      </c>
      <c r="D724" s="92" t="s">
        <v>443</v>
      </c>
      <c r="E724" s="92" t="s">
        <v>95</v>
      </c>
      <c r="F724" s="92" t="s">
        <v>95</v>
      </c>
      <c r="G724" s="92">
        <v>1</v>
      </c>
    </row>
    <row r="725" spans="1:7" x14ac:dyDescent="0.25">
      <c r="A725" s="94" t="str">
        <f t="shared" si="11"/>
        <v>OTI0111SI loads Studholme and north</v>
      </c>
      <c r="B725" s="92" t="s">
        <v>294</v>
      </c>
      <c r="C725" s="92" t="s">
        <v>454</v>
      </c>
      <c r="D725" s="92" t="s">
        <v>443</v>
      </c>
      <c r="E725" s="92" t="s">
        <v>95</v>
      </c>
      <c r="F725" s="92" t="s">
        <v>95</v>
      </c>
      <c r="G725" s="92">
        <v>1</v>
      </c>
    </row>
    <row r="726" spans="1:7" x14ac:dyDescent="0.25">
      <c r="A726" s="94" t="str">
        <f t="shared" si="11"/>
        <v>RFN1101SI loads Studholme and north</v>
      </c>
      <c r="B726" s="92" t="s">
        <v>307</v>
      </c>
      <c r="C726" s="92" t="s">
        <v>454</v>
      </c>
      <c r="D726" s="92" t="s">
        <v>443</v>
      </c>
      <c r="E726" s="92" t="s">
        <v>95</v>
      </c>
      <c r="F726" s="92" t="s">
        <v>95</v>
      </c>
      <c r="G726" s="92">
        <v>1</v>
      </c>
    </row>
    <row r="727" spans="1:7" x14ac:dyDescent="0.25">
      <c r="A727" s="94" t="str">
        <f t="shared" si="11"/>
        <v>RFN1102SI loads Studholme and north</v>
      </c>
      <c r="B727" s="92" t="s">
        <v>308</v>
      </c>
      <c r="C727" s="92" t="s">
        <v>454</v>
      </c>
      <c r="D727" s="92" t="s">
        <v>443</v>
      </c>
      <c r="E727" s="92" t="s">
        <v>95</v>
      </c>
      <c r="F727" s="92" t="s">
        <v>95</v>
      </c>
      <c r="G727" s="92">
        <v>1</v>
      </c>
    </row>
    <row r="728" spans="1:7" x14ac:dyDescent="0.25">
      <c r="A728" s="94" t="str">
        <f t="shared" si="11"/>
        <v>SBK0331SI loads Studholme and north</v>
      </c>
      <c r="B728" s="92" t="s">
        <v>318</v>
      </c>
      <c r="C728" s="92" t="s">
        <v>454</v>
      </c>
      <c r="D728" s="92" t="s">
        <v>443</v>
      </c>
      <c r="E728" s="92" t="s">
        <v>95</v>
      </c>
      <c r="F728" s="92" t="s">
        <v>95</v>
      </c>
      <c r="G728" s="92">
        <v>1</v>
      </c>
    </row>
    <row r="729" spans="1:7" x14ac:dyDescent="0.25">
      <c r="A729" s="94" t="str">
        <f t="shared" si="11"/>
        <v>SPN0331SI loads Studholme and north</v>
      </c>
      <c r="B729" s="92" t="s">
        <v>420</v>
      </c>
      <c r="C729" s="92" t="s">
        <v>454</v>
      </c>
      <c r="D729" s="92" t="s">
        <v>443</v>
      </c>
      <c r="E729" s="92" t="s">
        <v>95</v>
      </c>
      <c r="F729" s="92" t="s">
        <v>95</v>
      </c>
      <c r="G729" s="92">
        <v>1</v>
      </c>
    </row>
    <row r="730" spans="1:7" x14ac:dyDescent="0.25">
      <c r="A730" s="94" t="str">
        <f t="shared" si="11"/>
        <v>SPN0661SI loads Studholme and north</v>
      </c>
      <c r="B730" s="92" t="s">
        <v>421</v>
      </c>
      <c r="C730" s="92" t="s">
        <v>454</v>
      </c>
      <c r="D730" s="92" t="s">
        <v>443</v>
      </c>
      <c r="E730" s="92" t="s">
        <v>95</v>
      </c>
      <c r="F730" s="92" t="s">
        <v>95</v>
      </c>
      <c r="G730" s="92">
        <v>1</v>
      </c>
    </row>
    <row r="731" spans="1:7" x14ac:dyDescent="0.25">
      <c r="A731" s="94" t="str">
        <f t="shared" si="11"/>
        <v>STK0331SI loads Studholme and north</v>
      </c>
      <c r="B731" s="92" t="s">
        <v>325</v>
      </c>
      <c r="C731" s="92" t="s">
        <v>454</v>
      </c>
      <c r="D731" s="92" t="s">
        <v>443</v>
      </c>
      <c r="E731" s="92" t="s">
        <v>95</v>
      </c>
      <c r="F731" s="92" t="s">
        <v>95</v>
      </c>
      <c r="G731" s="92">
        <v>1</v>
      </c>
    </row>
    <row r="732" spans="1:7" x14ac:dyDescent="0.25">
      <c r="A732" s="94" t="str">
        <f t="shared" si="11"/>
        <v>STU0111SI loads Studholme and north</v>
      </c>
      <c r="B732" s="92" t="s">
        <v>327</v>
      </c>
      <c r="C732" s="92" t="s">
        <v>454</v>
      </c>
      <c r="D732" s="92" t="s">
        <v>443</v>
      </c>
      <c r="E732" s="92" t="s">
        <v>95</v>
      </c>
      <c r="F732" s="92" t="s">
        <v>95</v>
      </c>
      <c r="G732" s="92">
        <v>1</v>
      </c>
    </row>
    <row r="733" spans="1:7" x14ac:dyDescent="0.25">
      <c r="A733" s="94" t="str">
        <f t="shared" si="11"/>
        <v>TIM0111SI loads Studholme and north</v>
      </c>
      <c r="B733" s="92" t="s">
        <v>339</v>
      </c>
      <c r="C733" s="92" t="s">
        <v>454</v>
      </c>
      <c r="D733" s="92" t="s">
        <v>443</v>
      </c>
      <c r="E733" s="92" t="s">
        <v>95</v>
      </c>
      <c r="F733" s="92" t="s">
        <v>95</v>
      </c>
      <c r="G733" s="92">
        <v>1</v>
      </c>
    </row>
    <row r="734" spans="1:7" x14ac:dyDescent="0.25">
      <c r="A734" s="94" t="str">
        <f t="shared" si="11"/>
        <v>TKA0331SI loads Studholme and north</v>
      </c>
      <c r="B734" s="92" t="s">
        <v>422</v>
      </c>
      <c r="C734" s="92" t="s">
        <v>454</v>
      </c>
      <c r="D734" s="92" t="s">
        <v>443</v>
      </c>
      <c r="E734" s="92" t="s">
        <v>95</v>
      </c>
      <c r="F734" s="92" t="s">
        <v>95</v>
      </c>
      <c r="G734" s="92">
        <v>1</v>
      </c>
    </row>
    <row r="735" spans="1:7" x14ac:dyDescent="0.25">
      <c r="A735" s="94" t="str">
        <f t="shared" si="11"/>
        <v>TMK0331SI loads Studholme and north</v>
      </c>
      <c r="B735" s="92" t="s">
        <v>347</v>
      </c>
      <c r="C735" s="92" t="s">
        <v>454</v>
      </c>
      <c r="D735" s="92" t="s">
        <v>443</v>
      </c>
      <c r="E735" s="92" t="s">
        <v>95</v>
      </c>
      <c r="F735" s="92" t="s">
        <v>95</v>
      </c>
      <c r="G735" s="92">
        <v>1</v>
      </c>
    </row>
    <row r="736" spans="1:7" x14ac:dyDescent="0.25">
      <c r="A736" s="94" t="str">
        <f t="shared" si="11"/>
        <v>WPR0331SI loads Studholme and north</v>
      </c>
      <c r="B736" s="92" t="s">
        <v>380</v>
      </c>
      <c r="C736" s="92" t="s">
        <v>454</v>
      </c>
      <c r="D736" s="92" t="s">
        <v>443</v>
      </c>
      <c r="E736" s="92" t="s">
        <v>95</v>
      </c>
      <c r="F736" s="92" t="s">
        <v>95</v>
      </c>
      <c r="G736" s="92">
        <v>1</v>
      </c>
    </row>
    <row r="737" spans="1:7" x14ac:dyDescent="0.25">
      <c r="A737" s="94" t="str">
        <f t="shared" si="11"/>
        <v>WPR0661SI loads Studholme and north</v>
      </c>
      <c r="B737" s="92" t="s">
        <v>381</v>
      </c>
      <c r="C737" s="92" t="s">
        <v>454</v>
      </c>
      <c r="D737" s="92" t="s">
        <v>443</v>
      </c>
      <c r="E737" s="92" t="s">
        <v>95</v>
      </c>
      <c r="F737" s="92" t="s">
        <v>95</v>
      </c>
      <c r="G737" s="92">
        <v>1</v>
      </c>
    </row>
    <row r="738" spans="1:7" x14ac:dyDescent="0.25">
      <c r="A738" s="94" t="str">
        <f t="shared" si="11"/>
        <v>WPT0111SI loads Studholme and north</v>
      </c>
      <c r="B738" s="92" t="s">
        <v>382</v>
      </c>
      <c r="C738" s="92" t="s">
        <v>454</v>
      </c>
      <c r="D738" s="92" t="s">
        <v>443</v>
      </c>
      <c r="E738" s="92" t="s">
        <v>95</v>
      </c>
      <c r="F738" s="92" t="s">
        <v>95</v>
      </c>
      <c r="G738" s="92">
        <v>1</v>
      </c>
    </row>
    <row r="739" spans="1:7" x14ac:dyDescent="0.25">
      <c r="A739" s="94" t="str">
        <f t="shared" si="11"/>
        <v>NSY0331Naseby</v>
      </c>
      <c r="B739" s="92" t="s">
        <v>280</v>
      </c>
      <c r="C739" s="92" t="s">
        <v>455</v>
      </c>
      <c r="D739" s="92" t="s">
        <v>443</v>
      </c>
      <c r="E739" s="92" t="s">
        <v>95</v>
      </c>
      <c r="F739" s="92" t="s">
        <v>95</v>
      </c>
      <c r="G739" s="92">
        <v>1</v>
      </c>
    </row>
    <row r="740" spans="1:7" x14ac:dyDescent="0.25">
      <c r="A740" s="94" t="str">
        <f t="shared" si="11"/>
        <v>MAN2201 MAN0Manapouri</v>
      </c>
      <c r="B740" s="92" t="s">
        <v>248</v>
      </c>
      <c r="C740" s="92" t="s">
        <v>456</v>
      </c>
      <c r="D740" s="92" t="s">
        <v>95</v>
      </c>
      <c r="E740" s="92" t="s">
        <v>95</v>
      </c>
      <c r="F740" s="92" t="s">
        <v>443</v>
      </c>
      <c r="G740" s="92">
        <v>1</v>
      </c>
    </row>
    <row r="741" spans="1:7" x14ac:dyDescent="0.25">
      <c r="A741" s="94" t="str">
        <f t="shared" si="11"/>
        <v>TKA0111 TKA0Tekapo B</v>
      </c>
      <c r="B741" s="92" t="s">
        <v>436</v>
      </c>
      <c r="C741" s="92" t="s">
        <v>457</v>
      </c>
      <c r="D741" s="92" t="s">
        <v>95</v>
      </c>
      <c r="E741" s="92" t="s">
        <v>95</v>
      </c>
      <c r="F741" s="92" t="s">
        <v>443</v>
      </c>
      <c r="G741" s="92">
        <v>1</v>
      </c>
    </row>
    <row r="742" spans="1:7" x14ac:dyDescent="0.25">
      <c r="A742" s="94" t="str">
        <f t="shared" si="11"/>
        <v>TKA0111 TKA1Tekapo B</v>
      </c>
      <c r="B742" s="92" t="s">
        <v>340</v>
      </c>
      <c r="C742" s="92" t="s">
        <v>457</v>
      </c>
      <c r="D742" s="92" t="s">
        <v>95</v>
      </c>
      <c r="E742" s="92" t="s">
        <v>95</v>
      </c>
      <c r="F742" s="92" t="s">
        <v>443</v>
      </c>
      <c r="G742" s="92">
        <v>1</v>
      </c>
    </row>
    <row r="743" spans="1:7" x14ac:dyDescent="0.25">
      <c r="A743" s="94" t="str">
        <f t="shared" si="11"/>
        <v>TKB2201 TKB0Tekapo B</v>
      </c>
      <c r="B743" s="92" t="s">
        <v>437</v>
      </c>
      <c r="C743" s="92" t="s">
        <v>457</v>
      </c>
      <c r="D743" s="92" t="s">
        <v>95</v>
      </c>
      <c r="E743" s="92" t="s">
        <v>95</v>
      </c>
      <c r="F743" s="92" t="s">
        <v>443</v>
      </c>
      <c r="G743" s="92">
        <v>1</v>
      </c>
    </row>
    <row r="744" spans="1:7" x14ac:dyDescent="0.25">
      <c r="A744" s="94" t="str">
        <f t="shared" si="11"/>
        <v>TKB2201 TKB1Tekapo B</v>
      </c>
      <c r="B744" s="92" t="s">
        <v>341</v>
      </c>
      <c r="C744" s="92" t="s">
        <v>457</v>
      </c>
      <c r="D744" s="92" t="s">
        <v>95</v>
      </c>
      <c r="E744" s="92" t="s">
        <v>95</v>
      </c>
      <c r="F744" s="92" t="s">
        <v>443</v>
      </c>
      <c r="G744" s="92">
        <v>1</v>
      </c>
    </row>
    <row r="745" spans="1:7" x14ac:dyDescent="0.25">
      <c r="A745" s="94" t="str">
        <f t="shared" si="11"/>
        <v>SFD2201 SPL0TCC</v>
      </c>
      <c r="B745" s="92" t="s">
        <v>324</v>
      </c>
      <c r="C745" s="92" t="s">
        <v>458</v>
      </c>
      <c r="D745" s="92" t="s">
        <v>95</v>
      </c>
      <c r="E745" s="92" t="s">
        <v>95</v>
      </c>
      <c r="F745" s="92" t="s">
        <v>443</v>
      </c>
      <c r="G745" s="92">
        <v>1</v>
      </c>
    </row>
    <row r="746" spans="1:7" x14ac:dyDescent="0.25">
      <c r="A746" s="94" t="str">
        <f t="shared" si="11"/>
        <v>HLY2201 HLY1Huntly</v>
      </c>
      <c r="B746" s="92" t="s">
        <v>202</v>
      </c>
      <c r="C746" s="92" t="s">
        <v>459</v>
      </c>
      <c r="D746" s="92" t="s">
        <v>95</v>
      </c>
      <c r="E746" s="92" t="s">
        <v>95</v>
      </c>
      <c r="F746" s="92" t="s">
        <v>443</v>
      </c>
      <c r="G746" s="92">
        <v>1</v>
      </c>
    </row>
    <row r="747" spans="1:7" x14ac:dyDescent="0.25">
      <c r="A747" s="94" t="str">
        <f t="shared" si="11"/>
        <v>HLY2201 HLY2Huntly</v>
      </c>
      <c r="B747" s="92" t="s">
        <v>203</v>
      </c>
      <c r="C747" s="92" t="s">
        <v>459</v>
      </c>
      <c r="D747" s="92" t="s">
        <v>95</v>
      </c>
      <c r="E747" s="92" t="s">
        <v>95</v>
      </c>
      <c r="F747" s="92" t="s">
        <v>443</v>
      </c>
      <c r="G747" s="92">
        <v>1</v>
      </c>
    </row>
    <row r="748" spans="1:7" x14ac:dyDescent="0.25">
      <c r="A748" s="94" t="str">
        <f t="shared" si="11"/>
        <v>HLY2201 HLY5Huntly</v>
      </c>
      <c r="B748" s="92" t="s">
        <v>204</v>
      </c>
      <c r="C748" s="92" t="s">
        <v>459</v>
      </c>
      <c r="D748" s="92" t="s">
        <v>95</v>
      </c>
      <c r="E748" s="92" t="s">
        <v>95</v>
      </c>
      <c r="F748" s="92" t="s">
        <v>443</v>
      </c>
      <c r="G748" s="92">
        <v>1</v>
      </c>
    </row>
    <row r="749" spans="1:7" x14ac:dyDescent="0.25">
      <c r="A749" s="94" t="str">
        <f t="shared" si="11"/>
        <v>HLY2201 HLY6Huntly</v>
      </c>
      <c r="B749" s="92" t="s">
        <v>205</v>
      </c>
      <c r="C749" s="92" t="s">
        <v>459</v>
      </c>
      <c r="D749" s="92" t="s">
        <v>95</v>
      </c>
      <c r="E749" s="92" t="s">
        <v>95</v>
      </c>
      <c r="F749" s="92" t="s">
        <v>443</v>
      </c>
      <c r="G749" s="92">
        <v>1</v>
      </c>
    </row>
    <row r="750" spans="1:7" x14ac:dyDescent="0.25">
      <c r="A750" s="94" t="str">
        <f t="shared" si="11"/>
        <v>WDV0111Load at Woodville</v>
      </c>
      <c r="B750" s="92" t="s">
        <v>365</v>
      </c>
      <c r="C750" s="92" t="s">
        <v>460</v>
      </c>
      <c r="D750" s="92" t="s">
        <v>443</v>
      </c>
      <c r="E750" s="92" t="s">
        <v>95</v>
      </c>
      <c r="F750" s="92" t="s">
        <v>95</v>
      </c>
      <c r="G750" s="92">
        <v>1</v>
      </c>
    </row>
    <row r="751" spans="1:7" x14ac:dyDescent="0.25">
      <c r="A751" s="94" t="str">
        <f t="shared" si="11"/>
        <v>WDV1101Load at Woodville</v>
      </c>
      <c r="B751" s="92" t="s">
        <v>366</v>
      </c>
      <c r="C751" s="92" t="s">
        <v>460</v>
      </c>
      <c r="D751" s="92" t="s">
        <v>443</v>
      </c>
      <c r="E751" s="92" t="s">
        <v>95</v>
      </c>
      <c r="F751" s="92" t="s">
        <v>95</v>
      </c>
      <c r="G751" s="92">
        <v>1</v>
      </c>
    </row>
    <row r="752" spans="1:7" x14ac:dyDescent="0.25">
      <c r="A752" s="94" t="str">
        <f t="shared" si="11"/>
        <v>BLN0331Blenheim load</v>
      </c>
      <c r="B752" s="92" t="s">
        <v>153</v>
      </c>
      <c r="C752" s="92" t="s">
        <v>461</v>
      </c>
      <c r="D752" s="92" t="s">
        <v>443</v>
      </c>
      <c r="E752" s="92" t="s">
        <v>95</v>
      </c>
      <c r="F752" s="92" t="s">
        <v>95</v>
      </c>
      <c r="G752" s="92">
        <v>1</v>
      </c>
    </row>
    <row r="753" spans="1:7" x14ac:dyDescent="0.25">
      <c r="A753" s="94" t="str">
        <f t="shared" si="11"/>
        <v>CUL0331Culverden</v>
      </c>
      <c r="B753" s="92" t="s">
        <v>175</v>
      </c>
      <c r="C753" s="92" t="s">
        <v>462</v>
      </c>
      <c r="D753" s="92" t="s">
        <v>443</v>
      </c>
      <c r="E753" s="92" t="s">
        <v>95</v>
      </c>
      <c r="F753" s="92" t="s">
        <v>95</v>
      </c>
      <c r="G753" s="92">
        <v>1</v>
      </c>
    </row>
    <row r="754" spans="1:7" x14ac:dyDescent="0.25">
      <c r="A754" s="94" t="str">
        <f t="shared" si="11"/>
        <v>CUL0661Culverden</v>
      </c>
      <c r="B754" s="92" t="s">
        <v>176</v>
      </c>
      <c r="C754" s="92" t="s">
        <v>462</v>
      </c>
      <c r="D754" s="92" t="s">
        <v>443</v>
      </c>
      <c r="E754" s="92" t="s">
        <v>95</v>
      </c>
      <c r="F754" s="92" t="s">
        <v>95</v>
      </c>
      <c r="G754" s="92">
        <v>1</v>
      </c>
    </row>
    <row r="755" spans="1:7" x14ac:dyDescent="0.25">
      <c r="A755" s="94" t="str">
        <f t="shared" si="11"/>
        <v>APS0111Otira and Arthurs Pass</v>
      </c>
      <c r="B755" s="92" t="s">
        <v>134</v>
      </c>
      <c r="C755" s="92" t="s">
        <v>463</v>
      </c>
      <c r="D755" s="92" t="s">
        <v>443</v>
      </c>
      <c r="E755" s="92" t="s">
        <v>95</v>
      </c>
      <c r="F755" s="92" t="s">
        <v>95</v>
      </c>
      <c r="G755" s="92">
        <v>1</v>
      </c>
    </row>
    <row r="756" spans="1:7" x14ac:dyDescent="0.25">
      <c r="A756" s="94" t="str">
        <f t="shared" si="11"/>
        <v>OTI0111Otira and Arthurs Pass</v>
      </c>
      <c r="B756" s="92" t="s">
        <v>294</v>
      </c>
      <c r="C756" s="92" t="s">
        <v>463</v>
      </c>
      <c r="D756" s="92" t="s">
        <v>443</v>
      </c>
      <c r="E756" s="92" t="s">
        <v>95</v>
      </c>
      <c r="F756" s="92" t="s">
        <v>95</v>
      </c>
      <c r="G756" s="92">
        <v>1</v>
      </c>
    </row>
    <row r="757" spans="1:7" x14ac:dyDescent="0.25">
      <c r="A757" s="94" t="str">
        <f t="shared" si="11"/>
        <v>BPE0331Load at Bunnythorpe</v>
      </c>
      <c r="B757" s="92" t="s">
        <v>157</v>
      </c>
      <c r="C757" s="92" t="s">
        <v>464</v>
      </c>
      <c r="D757" s="92" t="s">
        <v>443</v>
      </c>
      <c r="E757" s="92" t="s">
        <v>95</v>
      </c>
      <c r="F757" s="92" t="s">
        <v>95</v>
      </c>
      <c r="G757" s="92">
        <v>1</v>
      </c>
    </row>
    <row r="758" spans="1:7" x14ac:dyDescent="0.25">
      <c r="A758" s="94" t="str">
        <f t="shared" si="11"/>
        <v>BPE0551Load at Bunnythorpe</v>
      </c>
      <c r="B758" s="92" t="s">
        <v>159</v>
      </c>
      <c r="C758" s="92" t="s">
        <v>464</v>
      </c>
      <c r="D758" s="92" t="s">
        <v>443</v>
      </c>
      <c r="E758" s="92" t="s">
        <v>95</v>
      </c>
      <c r="F758" s="92" t="s">
        <v>95</v>
      </c>
      <c r="G758" s="92">
        <v>1</v>
      </c>
    </row>
    <row r="759" spans="1:7" x14ac:dyDescent="0.25">
      <c r="A759" s="94" t="str">
        <f t="shared" si="11"/>
        <v>GFD0331Load at Haywards Melling Gracefield</v>
      </c>
      <c r="B759" s="92" t="s">
        <v>186</v>
      </c>
      <c r="C759" s="92" t="s">
        <v>465</v>
      </c>
      <c r="D759" s="92" t="s">
        <v>443</v>
      </c>
      <c r="E759" s="92" t="s">
        <v>95</v>
      </c>
      <c r="F759" s="92" t="s">
        <v>95</v>
      </c>
      <c r="G759" s="92">
        <v>1</v>
      </c>
    </row>
    <row r="760" spans="1:7" x14ac:dyDescent="0.25">
      <c r="A760" s="94" t="str">
        <f t="shared" si="11"/>
        <v>HAY0111Load at Haywards Melling Gracefield</v>
      </c>
      <c r="B760" s="92" t="s">
        <v>195</v>
      </c>
      <c r="C760" s="92" t="s">
        <v>465</v>
      </c>
      <c r="D760" s="92" t="s">
        <v>443</v>
      </c>
      <c r="E760" s="92" t="s">
        <v>95</v>
      </c>
      <c r="F760" s="92" t="s">
        <v>95</v>
      </c>
      <c r="G760" s="92">
        <v>1</v>
      </c>
    </row>
    <row r="761" spans="1:7" x14ac:dyDescent="0.25">
      <c r="A761" s="94" t="str">
        <f t="shared" si="11"/>
        <v>HAY0331Load at Haywards Melling Gracefield</v>
      </c>
      <c r="B761" s="92" t="s">
        <v>196</v>
      </c>
      <c r="C761" s="92" t="s">
        <v>465</v>
      </c>
      <c r="D761" s="92" t="s">
        <v>443</v>
      </c>
      <c r="E761" s="92" t="s">
        <v>95</v>
      </c>
      <c r="F761" s="92" t="s">
        <v>95</v>
      </c>
      <c r="G761" s="92">
        <v>1</v>
      </c>
    </row>
    <row r="762" spans="1:7" x14ac:dyDescent="0.25">
      <c r="A762" s="94" t="str">
        <f t="shared" si="11"/>
        <v>MLG0111Load at Haywards Melling Gracefield</v>
      </c>
      <c r="B762" s="92" t="s">
        <v>260</v>
      </c>
      <c r="C762" s="92" t="s">
        <v>465</v>
      </c>
      <c r="D762" s="92" t="s">
        <v>443</v>
      </c>
      <c r="E762" s="92" t="s">
        <v>95</v>
      </c>
      <c r="F762" s="92" t="s">
        <v>95</v>
      </c>
      <c r="G762" s="92">
        <v>1</v>
      </c>
    </row>
    <row r="763" spans="1:7" x14ac:dyDescent="0.25">
      <c r="A763" s="94" t="str">
        <f t="shared" si="11"/>
        <v>MLG0331Load at Haywards Melling Gracefield</v>
      </c>
      <c r="B763" s="92" t="s">
        <v>261</v>
      </c>
      <c r="C763" s="92" t="s">
        <v>465</v>
      </c>
      <c r="D763" s="92" t="s">
        <v>443</v>
      </c>
      <c r="E763" s="92" t="s">
        <v>95</v>
      </c>
      <c r="F763" s="92" t="s">
        <v>95</v>
      </c>
      <c r="G763" s="92">
        <v>1</v>
      </c>
    </row>
    <row r="764" spans="1:7" x14ac:dyDescent="0.25">
      <c r="A764" s="94" t="str">
        <f t="shared" si="11"/>
        <v>PRM0331Paraparaumu</v>
      </c>
      <c r="B764" s="92" t="s">
        <v>305</v>
      </c>
      <c r="C764" s="92" t="s">
        <v>466</v>
      </c>
      <c r="D764" s="92" t="s">
        <v>443</v>
      </c>
      <c r="E764" s="92" t="s">
        <v>95</v>
      </c>
      <c r="F764" s="92" t="s">
        <v>95</v>
      </c>
      <c r="G764" s="92">
        <v>1</v>
      </c>
    </row>
    <row r="765" spans="1:7" x14ac:dyDescent="0.25">
      <c r="A765" s="94" t="str">
        <f t="shared" si="11"/>
        <v>BOB0331Loads at Wiri Bombay</v>
      </c>
      <c r="B765" s="92" t="s">
        <v>154</v>
      </c>
      <c r="C765" s="92" t="s">
        <v>467</v>
      </c>
      <c r="D765" s="92" t="s">
        <v>443</v>
      </c>
      <c r="E765" s="92" t="s">
        <v>95</v>
      </c>
      <c r="F765" s="92" t="s">
        <v>95</v>
      </c>
      <c r="G765" s="92">
        <v>1</v>
      </c>
    </row>
    <row r="766" spans="1:7" x14ac:dyDescent="0.25">
      <c r="A766" s="94" t="str">
        <f t="shared" si="11"/>
        <v>BOB1101Loads at Wiri Bombay</v>
      </c>
      <c r="B766" s="92" t="s">
        <v>155</v>
      </c>
      <c r="C766" s="92" t="s">
        <v>467</v>
      </c>
      <c r="D766" s="92" t="s">
        <v>443</v>
      </c>
      <c r="E766" s="92" t="s">
        <v>95</v>
      </c>
      <c r="F766" s="92" t="s">
        <v>95</v>
      </c>
      <c r="G766" s="92">
        <v>1</v>
      </c>
    </row>
    <row r="767" spans="1:7" x14ac:dyDescent="0.25">
      <c r="A767" s="94" t="str">
        <f t="shared" si="11"/>
        <v>WIR0331Loads at Wiri Bombay</v>
      </c>
      <c r="B767" s="92" t="s">
        <v>374</v>
      </c>
      <c r="C767" s="92" t="s">
        <v>467</v>
      </c>
      <c r="D767" s="92" t="s">
        <v>443</v>
      </c>
      <c r="E767" s="92" t="s">
        <v>95</v>
      </c>
      <c r="F767" s="92" t="s">
        <v>95</v>
      </c>
      <c r="G767" s="92">
        <v>1</v>
      </c>
    </row>
    <row r="768" spans="1:7" x14ac:dyDescent="0.25">
      <c r="A768" s="94" t="str">
        <f t="shared" si="11"/>
        <v>KMO0331Loads at Tauranga Mt Maunganui Kaitemako</v>
      </c>
      <c r="B768" s="92" t="s">
        <v>235</v>
      </c>
      <c r="C768" s="92" t="s">
        <v>468</v>
      </c>
      <c r="D768" s="92" t="s">
        <v>443</v>
      </c>
      <c r="E768" s="92" t="s">
        <v>95</v>
      </c>
      <c r="F768" s="92" t="s">
        <v>95</v>
      </c>
      <c r="G768" s="92">
        <v>1</v>
      </c>
    </row>
    <row r="769" spans="1:7" x14ac:dyDescent="0.25">
      <c r="A769" s="94" t="str">
        <f t="shared" si="11"/>
        <v>MTM0331Loads at Tauranga Mt Maunganui Kaitemako</v>
      </c>
      <c r="B769" s="92" t="s">
        <v>268</v>
      </c>
      <c r="C769" s="92" t="s">
        <v>468</v>
      </c>
      <c r="D769" s="92" t="s">
        <v>443</v>
      </c>
      <c r="E769" s="92" t="s">
        <v>95</v>
      </c>
      <c r="F769" s="92" t="s">
        <v>95</v>
      </c>
      <c r="G769" s="92">
        <v>1</v>
      </c>
    </row>
    <row r="770" spans="1:7" x14ac:dyDescent="0.25">
      <c r="A770" s="94" t="str">
        <f t="shared" si="11"/>
        <v>TGA0111Loads at Tauranga Mt Maunganui Kaitemako</v>
      </c>
      <c r="B770" s="92" t="s">
        <v>333</v>
      </c>
      <c r="C770" s="92" t="s">
        <v>468</v>
      </c>
      <c r="D770" s="92" t="s">
        <v>443</v>
      </c>
      <c r="E770" s="92" t="s">
        <v>95</v>
      </c>
      <c r="F770" s="92" t="s">
        <v>95</v>
      </c>
      <c r="G770" s="92">
        <v>1</v>
      </c>
    </row>
    <row r="771" spans="1:7" x14ac:dyDescent="0.25">
      <c r="A771" s="94" t="str">
        <f t="shared" si="11"/>
        <v>TGA0331Loads at Tauranga Mt Maunganui Kaitemako</v>
      </c>
      <c r="B771" s="92" t="s">
        <v>334</v>
      </c>
      <c r="C771" s="92" t="s">
        <v>468</v>
      </c>
      <c r="D771" s="92" t="s">
        <v>443</v>
      </c>
      <c r="E771" s="92" t="s">
        <v>95</v>
      </c>
      <c r="F771" s="92" t="s">
        <v>95</v>
      </c>
      <c r="G771" s="92">
        <v>1</v>
      </c>
    </row>
    <row r="772" spans="1:7" x14ac:dyDescent="0.25">
      <c r="A772" s="94" t="str">
        <f t="shared" si="11"/>
        <v>GLN0331Loads at Takanini Drury Glenbrook</v>
      </c>
      <c r="B772" s="92" t="s">
        <v>402</v>
      </c>
      <c r="C772" s="92" t="s">
        <v>469</v>
      </c>
      <c r="D772" s="92" t="s">
        <v>443</v>
      </c>
      <c r="E772" s="92" t="s">
        <v>95</v>
      </c>
      <c r="F772" s="92" t="s">
        <v>95</v>
      </c>
      <c r="G772" s="92">
        <v>1</v>
      </c>
    </row>
    <row r="773" spans="1:7" x14ac:dyDescent="0.25">
      <c r="A773" s="94" t="str">
        <f t="shared" si="11"/>
        <v>GLN0332Loads at Takanini Drury Glenbrook</v>
      </c>
      <c r="B773" s="92" t="s">
        <v>403</v>
      </c>
      <c r="C773" s="92" t="s">
        <v>469</v>
      </c>
      <c r="D773" s="92" t="s">
        <v>443</v>
      </c>
      <c r="E773" s="92" t="s">
        <v>95</v>
      </c>
      <c r="F773" s="92" t="s">
        <v>95</v>
      </c>
      <c r="G773" s="92">
        <v>1</v>
      </c>
    </row>
    <row r="774" spans="1:7" x14ac:dyDescent="0.25">
      <c r="A774" s="94" t="str">
        <f t="shared" si="11"/>
        <v>TAK0331Loads at Takanini Drury Glenbrook</v>
      </c>
      <c r="B774" s="92" t="s">
        <v>332</v>
      </c>
      <c r="C774" s="92" t="s">
        <v>469</v>
      </c>
      <c r="D774" s="92" t="s">
        <v>443</v>
      </c>
      <c r="E774" s="92" t="s">
        <v>95</v>
      </c>
      <c r="F774" s="92" t="s">
        <v>95</v>
      </c>
      <c r="G774" s="92">
        <v>1</v>
      </c>
    </row>
    <row r="775" spans="1:7" x14ac:dyDescent="0.25">
      <c r="A775" s="94" t="str">
        <f t="shared" si="11"/>
        <v>CPK0111Loads Wilton Central Park Kaiwharawhara</v>
      </c>
      <c r="B775" s="92" t="s">
        <v>172</v>
      </c>
      <c r="C775" s="92" t="s">
        <v>470</v>
      </c>
      <c r="D775" s="92" t="s">
        <v>443</v>
      </c>
      <c r="E775" s="92" t="s">
        <v>95</v>
      </c>
      <c r="F775" s="92" t="s">
        <v>95</v>
      </c>
      <c r="G775" s="92">
        <v>1</v>
      </c>
    </row>
    <row r="776" spans="1:7" x14ac:dyDescent="0.25">
      <c r="A776" s="94" t="str">
        <f t="shared" si="11"/>
        <v>CPK0331Loads Wilton Central Park Kaiwharawhara</v>
      </c>
      <c r="B776" s="92" t="s">
        <v>173</v>
      </c>
      <c r="C776" s="92" t="s">
        <v>470</v>
      </c>
      <c r="D776" s="92" t="s">
        <v>443</v>
      </c>
      <c r="E776" s="92" t="s">
        <v>95</v>
      </c>
      <c r="F776" s="92" t="s">
        <v>95</v>
      </c>
      <c r="G776" s="92">
        <v>1</v>
      </c>
    </row>
    <row r="777" spans="1:7" x14ac:dyDescent="0.25">
      <c r="A777" s="94" t="str">
        <f t="shared" si="11"/>
        <v>KWA0111Loads Wilton Central Park Kaiwharawhara</v>
      </c>
      <c r="B777" s="92" t="s">
        <v>243</v>
      </c>
      <c r="C777" s="92" t="s">
        <v>470</v>
      </c>
      <c r="D777" s="92" t="s">
        <v>443</v>
      </c>
      <c r="E777" s="92" t="s">
        <v>95</v>
      </c>
      <c r="F777" s="92" t="s">
        <v>95</v>
      </c>
      <c r="G777" s="92">
        <v>1</v>
      </c>
    </row>
    <row r="778" spans="1:7" x14ac:dyDescent="0.25">
      <c r="A778" s="94" t="str">
        <f t="shared" ref="A778:A841" si="12">B778&amp;C778</f>
        <v>WIL0331Loads Wilton Central Park Kaiwharawhara</v>
      </c>
      <c r="B778" s="92" t="s">
        <v>373</v>
      </c>
      <c r="C778" s="92" t="s">
        <v>470</v>
      </c>
      <c r="D778" s="92" t="s">
        <v>443</v>
      </c>
      <c r="E778" s="92" t="s">
        <v>95</v>
      </c>
      <c r="F778" s="92" t="s">
        <v>95</v>
      </c>
      <c r="G778" s="92">
        <v>1</v>
      </c>
    </row>
    <row r="779" spans="1:7" x14ac:dyDescent="0.25">
      <c r="A779" s="94" t="str">
        <f t="shared" si="12"/>
        <v>APS0111West Coast load</v>
      </c>
      <c r="B779" s="92" t="s">
        <v>134</v>
      </c>
      <c r="C779" s="92" t="s">
        <v>471</v>
      </c>
      <c r="D779" s="92" t="s">
        <v>443</v>
      </c>
      <c r="E779" s="92" t="s">
        <v>95</v>
      </c>
      <c r="F779" s="92" t="s">
        <v>95</v>
      </c>
      <c r="G779" s="92">
        <v>1</v>
      </c>
    </row>
    <row r="780" spans="1:7" x14ac:dyDescent="0.25">
      <c r="A780" s="94" t="str">
        <f t="shared" si="12"/>
        <v>ATU1101West Coast load</v>
      </c>
      <c r="B780" s="92" t="s">
        <v>148</v>
      </c>
      <c r="C780" s="92" t="s">
        <v>471</v>
      </c>
      <c r="D780" s="92" t="s">
        <v>443</v>
      </c>
      <c r="E780" s="92" t="s">
        <v>95</v>
      </c>
      <c r="F780" s="92" t="s">
        <v>95</v>
      </c>
      <c r="G780" s="92">
        <v>1</v>
      </c>
    </row>
    <row r="781" spans="1:7" x14ac:dyDescent="0.25">
      <c r="A781" s="94" t="str">
        <f t="shared" si="12"/>
        <v>CLH0111West Coast load</v>
      </c>
      <c r="B781" s="92" t="s">
        <v>167</v>
      </c>
      <c r="C781" s="92" t="s">
        <v>471</v>
      </c>
      <c r="D781" s="92" t="s">
        <v>443</v>
      </c>
      <c r="E781" s="92" t="s">
        <v>95</v>
      </c>
      <c r="F781" s="92" t="s">
        <v>95</v>
      </c>
      <c r="G781" s="92">
        <v>1</v>
      </c>
    </row>
    <row r="782" spans="1:7" x14ac:dyDescent="0.25">
      <c r="A782" s="94" t="str">
        <f t="shared" si="12"/>
        <v>DOB0331West Coast load</v>
      </c>
      <c r="B782" s="92" t="s">
        <v>180</v>
      </c>
      <c r="C782" s="92" t="s">
        <v>471</v>
      </c>
      <c r="D782" s="92" t="s">
        <v>443</v>
      </c>
      <c r="E782" s="92" t="s">
        <v>95</v>
      </c>
      <c r="F782" s="92" t="s">
        <v>95</v>
      </c>
      <c r="G782" s="92">
        <v>1</v>
      </c>
    </row>
    <row r="783" spans="1:7" x14ac:dyDescent="0.25">
      <c r="A783" s="94" t="str">
        <f t="shared" si="12"/>
        <v>GYM0661West Coast load</v>
      </c>
      <c r="B783" s="92" t="s">
        <v>190</v>
      </c>
      <c r="C783" s="92" t="s">
        <v>471</v>
      </c>
      <c r="D783" s="92" t="s">
        <v>443</v>
      </c>
      <c r="E783" s="92" t="s">
        <v>95</v>
      </c>
      <c r="F783" s="92" t="s">
        <v>95</v>
      </c>
      <c r="G783" s="92">
        <v>1</v>
      </c>
    </row>
    <row r="784" spans="1:7" x14ac:dyDescent="0.25">
      <c r="A784" s="94" t="str">
        <f t="shared" si="12"/>
        <v>HKK0661West Coast load</v>
      </c>
      <c r="B784" s="92" t="s">
        <v>200</v>
      </c>
      <c r="C784" s="92" t="s">
        <v>471</v>
      </c>
      <c r="D784" s="92" t="s">
        <v>443</v>
      </c>
      <c r="E784" s="92" t="s">
        <v>95</v>
      </c>
      <c r="F784" s="92" t="s">
        <v>95</v>
      </c>
      <c r="G784" s="92">
        <v>1</v>
      </c>
    </row>
    <row r="785" spans="1:7" x14ac:dyDescent="0.25">
      <c r="A785" s="94" t="str">
        <f t="shared" si="12"/>
        <v>KUM0661West Coast load</v>
      </c>
      <c r="B785" s="92" t="s">
        <v>241</v>
      </c>
      <c r="C785" s="92" t="s">
        <v>471</v>
      </c>
      <c r="D785" s="92" t="s">
        <v>443</v>
      </c>
      <c r="E785" s="92" t="s">
        <v>95</v>
      </c>
      <c r="F785" s="92" t="s">
        <v>95</v>
      </c>
      <c r="G785" s="92">
        <v>1</v>
      </c>
    </row>
    <row r="786" spans="1:7" x14ac:dyDescent="0.25">
      <c r="A786" s="94" t="str">
        <f t="shared" si="12"/>
        <v>MCH0111West Coast load</v>
      </c>
      <c r="B786" s="92" t="s">
        <v>253</v>
      </c>
      <c r="C786" s="92" t="s">
        <v>471</v>
      </c>
      <c r="D786" s="92" t="s">
        <v>443</v>
      </c>
      <c r="E786" s="92" t="s">
        <v>95</v>
      </c>
      <c r="F786" s="92" t="s">
        <v>95</v>
      </c>
      <c r="G786" s="92">
        <v>1</v>
      </c>
    </row>
    <row r="787" spans="1:7" x14ac:dyDescent="0.25">
      <c r="A787" s="94" t="str">
        <f t="shared" si="12"/>
        <v>ORO1101West Coast load</v>
      </c>
      <c r="B787" s="92" t="s">
        <v>291</v>
      </c>
      <c r="C787" s="92" t="s">
        <v>471</v>
      </c>
      <c r="D787" s="92" t="s">
        <v>443</v>
      </c>
      <c r="E787" s="92" t="s">
        <v>95</v>
      </c>
      <c r="F787" s="92" t="s">
        <v>95</v>
      </c>
      <c r="G787" s="92">
        <v>1</v>
      </c>
    </row>
    <row r="788" spans="1:7" x14ac:dyDescent="0.25">
      <c r="A788" s="94" t="str">
        <f t="shared" si="12"/>
        <v>ORO1102West Coast load</v>
      </c>
      <c r="B788" s="92" t="s">
        <v>292</v>
      </c>
      <c r="C788" s="92" t="s">
        <v>471</v>
      </c>
      <c r="D788" s="92" t="s">
        <v>443</v>
      </c>
      <c r="E788" s="92" t="s">
        <v>95</v>
      </c>
      <c r="F788" s="92" t="s">
        <v>95</v>
      </c>
      <c r="G788" s="92">
        <v>1</v>
      </c>
    </row>
    <row r="789" spans="1:7" x14ac:dyDescent="0.25">
      <c r="A789" s="94" t="str">
        <f t="shared" si="12"/>
        <v>OTI0111West Coast load</v>
      </c>
      <c r="B789" s="92" t="s">
        <v>294</v>
      </c>
      <c r="C789" s="92" t="s">
        <v>471</v>
      </c>
      <c r="D789" s="92" t="s">
        <v>443</v>
      </c>
      <c r="E789" s="92" t="s">
        <v>95</v>
      </c>
      <c r="F789" s="92" t="s">
        <v>95</v>
      </c>
      <c r="G789" s="92">
        <v>1</v>
      </c>
    </row>
    <row r="790" spans="1:7" x14ac:dyDescent="0.25">
      <c r="A790" s="94" t="str">
        <f t="shared" si="12"/>
        <v>RFN1101West Coast load</v>
      </c>
      <c r="B790" s="92" t="s">
        <v>307</v>
      </c>
      <c r="C790" s="92" t="s">
        <v>471</v>
      </c>
      <c r="D790" s="92" t="s">
        <v>443</v>
      </c>
      <c r="E790" s="92" t="s">
        <v>95</v>
      </c>
      <c r="F790" s="92" t="s">
        <v>95</v>
      </c>
      <c r="G790" s="92">
        <v>1</v>
      </c>
    </row>
    <row r="791" spans="1:7" x14ac:dyDescent="0.25">
      <c r="A791" s="94" t="str">
        <f t="shared" si="12"/>
        <v>RFN1102West Coast load</v>
      </c>
      <c r="B791" s="92" t="s">
        <v>308</v>
      </c>
      <c r="C791" s="92" t="s">
        <v>471</v>
      </c>
      <c r="D791" s="92" t="s">
        <v>443</v>
      </c>
      <c r="E791" s="92" t="s">
        <v>95</v>
      </c>
      <c r="F791" s="92" t="s">
        <v>95</v>
      </c>
      <c r="G791" s="92">
        <v>1</v>
      </c>
    </row>
    <row r="792" spans="1:7" x14ac:dyDescent="0.25">
      <c r="A792" s="94" t="str">
        <f t="shared" si="12"/>
        <v>WPT0111West Coast load</v>
      </c>
      <c r="B792" s="92" t="s">
        <v>382</v>
      </c>
      <c r="C792" s="92" t="s">
        <v>471</v>
      </c>
      <c r="D792" s="92" t="s">
        <v>443</v>
      </c>
      <c r="E792" s="92" t="s">
        <v>95</v>
      </c>
      <c r="F792" s="92" t="s">
        <v>95</v>
      </c>
      <c r="G792" s="92">
        <v>1</v>
      </c>
    </row>
    <row r="793" spans="1:7" x14ac:dyDescent="0.25">
      <c r="A793" s="94" t="str">
        <f t="shared" si="12"/>
        <v>APS0111Loads in Nelson-Marlborough and West Coast</v>
      </c>
      <c r="B793" s="92" t="s">
        <v>134</v>
      </c>
      <c r="C793" s="92" t="s">
        <v>472</v>
      </c>
      <c r="D793" s="92" t="s">
        <v>443</v>
      </c>
      <c r="E793" s="92" t="s">
        <v>95</v>
      </c>
      <c r="F793" s="92" t="s">
        <v>95</v>
      </c>
      <c r="G793" s="92">
        <v>1</v>
      </c>
    </row>
    <row r="794" spans="1:7" x14ac:dyDescent="0.25">
      <c r="A794" s="94" t="str">
        <f t="shared" si="12"/>
        <v>ATU1101Loads in Nelson-Marlborough and West Coast</v>
      </c>
      <c r="B794" s="92" t="s">
        <v>148</v>
      </c>
      <c r="C794" s="92" t="s">
        <v>472</v>
      </c>
      <c r="D794" s="92" t="s">
        <v>443</v>
      </c>
      <c r="E794" s="92" t="s">
        <v>95</v>
      </c>
      <c r="F794" s="92" t="s">
        <v>95</v>
      </c>
      <c r="G794" s="92">
        <v>1</v>
      </c>
    </row>
    <row r="795" spans="1:7" x14ac:dyDescent="0.25">
      <c r="A795" s="94" t="str">
        <f t="shared" si="12"/>
        <v>CLH0111Loads in Nelson-Marlborough and West Coast</v>
      </c>
      <c r="B795" s="92" t="s">
        <v>167</v>
      </c>
      <c r="C795" s="92" t="s">
        <v>472</v>
      </c>
      <c r="D795" s="92" t="s">
        <v>443</v>
      </c>
      <c r="E795" s="92" t="s">
        <v>95</v>
      </c>
      <c r="F795" s="92" t="s">
        <v>95</v>
      </c>
      <c r="G795" s="92">
        <v>1</v>
      </c>
    </row>
    <row r="796" spans="1:7" x14ac:dyDescent="0.25">
      <c r="A796" s="94" t="str">
        <f t="shared" si="12"/>
        <v>DOB0331Loads in Nelson-Marlborough and West Coast</v>
      </c>
      <c r="B796" s="92" t="s">
        <v>180</v>
      </c>
      <c r="C796" s="92" t="s">
        <v>472</v>
      </c>
      <c r="D796" s="92" t="s">
        <v>443</v>
      </c>
      <c r="E796" s="92" t="s">
        <v>95</v>
      </c>
      <c r="F796" s="92" t="s">
        <v>95</v>
      </c>
      <c r="G796" s="92">
        <v>1</v>
      </c>
    </row>
    <row r="797" spans="1:7" x14ac:dyDescent="0.25">
      <c r="A797" s="94" t="str">
        <f t="shared" si="12"/>
        <v>GYM0661Loads in Nelson-Marlborough and West Coast</v>
      </c>
      <c r="B797" s="92" t="s">
        <v>190</v>
      </c>
      <c r="C797" s="92" t="s">
        <v>472</v>
      </c>
      <c r="D797" s="92" t="s">
        <v>443</v>
      </c>
      <c r="E797" s="92" t="s">
        <v>95</v>
      </c>
      <c r="F797" s="92" t="s">
        <v>95</v>
      </c>
      <c r="G797" s="92">
        <v>1</v>
      </c>
    </row>
    <row r="798" spans="1:7" x14ac:dyDescent="0.25">
      <c r="A798" s="94" t="str">
        <f t="shared" si="12"/>
        <v>HKK0661Loads in Nelson-Marlborough and West Coast</v>
      </c>
      <c r="B798" s="92" t="s">
        <v>200</v>
      </c>
      <c r="C798" s="92" t="s">
        <v>472</v>
      </c>
      <c r="D798" s="92" t="s">
        <v>443</v>
      </c>
      <c r="E798" s="92" t="s">
        <v>95</v>
      </c>
      <c r="F798" s="92" t="s">
        <v>95</v>
      </c>
      <c r="G798" s="92">
        <v>1</v>
      </c>
    </row>
    <row r="799" spans="1:7" x14ac:dyDescent="0.25">
      <c r="A799" s="94" t="str">
        <f t="shared" si="12"/>
        <v>KUM0661Loads in Nelson-Marlborough and West Coast</v>
      </c>
      <c r="B799" s="92" t="s">
        <v>241</v>
      </c>
      <c r="C799" s="92" t="s">
        <v>472</v>
      </c>
      <c r="D799" s="92" t="s">
        <v>443</v>
      </c>
      <c r="E799" s="92" t="s">
        <v>95</v>
      </c>
      <c r="F799" s="92" t="s">
        <v>95</v>
      </c>
      <c r="G799" s="92">
        <v>1</v>
      </c>
    </row>
    <row r="800" spans="1:7" x14ac:dyDescent="0.25">
      <c r="A800" s="94" t="str">
        <f t="shared" si="12"/>
        <v>MCH0111Loads in Nelson-Marlborough and West Coast</v>
      </c>
      <c r="B800" s="92" t="s">
        <v>253</v>
      </c>
      <c r="C800" s="92" t="s">
        <v>472</v>
      </c>
      <c r="D800" s="92" t="s">
        <v>443</v>
      </c>
      <c r="E800" s="92" t="s">
        <v>95</v>
      </c>
      <c r="F800" s="92" t="s">
        <v>95</v>
      </c>
      <c r="G800" s="92">
        <v>1</v>
      </c>
    </row>
    <row r="801" spans="1:7" x14ac:dyDescent="0.25">
      <c r="A801" s="94" t="str">
        <f t="shared" si="12"/>
        <v>ORO1101Loads in Nelson-Marlborough and West Coast</v>
      </c>
      <c r="B801" s="92" t="s">
        <v>291</v>
      </c>
      <c r="C801" s="92" t="s">
        <v>472</v>
      </c>
      <c r="D801" s="92" t="s">
        <v>443</v>
      </c>
      <c r="E801" s="92" t="s">
        <v>95</v>
      </c>
      <c r="F801" s="92" t="s">
        <v>95</v>
      </c>
      <c r="G801" s="92">
        <v>1</v>
      </c>
    </row>
    <row r="802" spans="1:7" x14ac:dyDescent="0.25">
      <c r="A802" s="94" t="str">
        <f t="shared" si="12"/>
        <v>ORO1102Loads in Nelson-Marlborough and West Coast</v>
      </c>
      <c r="B802" s="92" t="s">
        <v>292</v>
      </c>
      <c r="C802" s="92" t="s">
        <v>472</v>
      </c>
      <c r="D802" s="92" t="s">
        <v>443</v>
      </c>
      <c r="E802" s="92" t="s">
        <v>95</v>
      </c>
      <c r="F802" s="92" t="s">
        <v>95</v>
      </c>
      <c r="G802" s="92">
        <v>1</v>
      </c>
    </row>
    <row r="803" spans="1:7" x14ac:dyDescent="0.25">
      <c r="A803" s="94" t="str">
        <f t="shared" si="12"/>
        <v>OTI0111Loads in Nelson-Marlborough and West Coast</v>
      </c>
      <c r="B803" s="92" t="s">
        <v>294</v>
      </c>
      <c r="C803" s="92" t="s">
        <v>472</v>
      </c>
      <c r="D803" s="92" t="s">
        <v>443</v>
      </c>
      <c r="E803" s="92" t="s">
        <v>95</v>
      </c>
      <c r="F803" s="92" t="s">
        <v>95</v>
      </c>
      <c r="G803" s="92">
        <v>1</v>
      </c>
    </row>
    <row r="804" spans="1:7" x14ac:dyDescent="0.25">
      <c r="A804" s="94" t="str">
        <f t="shared" si="12"/>
        <v>RFN1101Loads in Nelson-Marlborough and West Coast</v>
      </c>
      <c r="B804" s="92" t="s">
        <v>307</v>
      </c>
      <c r="C804" s="92" t="s">
        <v>472</v>
      </c>
      <c r="D804" s="92" t="s">
        <v>443</v>
      </c>
      <c r="E804" s="92" t="s">
        <v>95</v>
      </c>
      <c r="F804" s="92" t="s">
        <v>95</v>
      </c>
      <c r="G804" s="92">
        <v>1</v>
      </c>
    </row>
    <row r="805" spans="1:7" x14ac:dyDescent="0.25">
      <c r="A805" s="94" t="str">
        <f t="shared" si="12"/>
        <v>RFN1102Loads in Nelson-Marlborough and West Coast</v>
      </c>
      <c r="B805" s="92" t="s">
        <v>308</v>
      </c>
      <c r="C805" s="92" t="s">
        <v>472</v>
      </c>
      <c r="D805" s="92" t="s">
        <v>443</v>
      </c>
      <c r="E805" s="92" t="s">
        <v>95</v>
      </c>
      <c r="F805" s="92" t="s">
        <v>95</v>
      </c>
      <c r="G805" s="92">
        <v>1</v>
      </c>
    </row>
    <row r="806" spans="1:7" x14ac:dyDescent="0.25">
      <c r="A806" s="94" t="str">
        <f t="shared" si="12"/>
        <v>WPT0111Loads in Nelson-Marlborough and West Coast</v>
      </c>
      <c r="B806" s="92" t="s">
        <v>382</v>
      </c>
      <c r="C806" s="92" t="s">
        <v>472</v>
      </c>
      <c r="D806" s="92" t="s">
        <v>443</v>
      </c>
      <c r="E806" s="92" t="s">
        <v>95</v>
      </c>
      <c r="F806" s="92" t="s">
        <v>95</v>
      </c>
      <c r="G806" s="92">
        <v>1</v>
      </c>
    </row>
    <row r="807" spans="1:7" x14ac:dyDescent="0.25">
      <c r="A807" s="94" t="str">
        <f t="shared" si="12"/>
        <v>ARG1101Loads in Nelson-Marlborough and West Coast</v>
      </c>
      <c r="B807" s="92" t="s">
        <v>137</v>
      </c>
      <c r="C807" s="92" t="s">
        <v>472</v>
      </c>
      <c r="D807" s="92" t="s">
        <v>443</v>
      </c>
      <c r="E807" s="92" t="s">
        <v>95</v>
      </c>
      <c r="F807" s="92" t="s">
        <v>95</v>
      </c>
      <c r="G807" s="92">
        <v>1</v>
      </c>
    </row>
    <row r="808" spans="1:7" x14ac:dyDescent="0.25">
      <c r="A808" s="94" t="str">
        <f t="shared" si="12"/>
        <v>BLN0331Loads in Nelson-Marlborough and West Coast</v>
      </c>
      <c r="B808" s="92" t="s">
        <v>153</v>
      </c>
      <c r="C808" s="92" t="s">
        <v>472</v>
      </c>
      <c r="D808" s="92" t="s">
        <v>443</v>
      </c>
      <c r="E808" s="92" t="s">
        <v>95</v>
      </c>
      <c r="F808" s="92" t="s">
        <v>95</v>
      </c>
      <c r="G808" s="92">
        <v>1</v>
      </c>
    </row>
    <row r="809" spans="1:7" x14ac:dyDescent="0.25">
      <c r="A809" s="94" t="str">
        <f t="shared" si="12"/>
        <v>KIK0111Loads in Nelson-Marlborough and West Coast</v>
      </c>
      <c r="B809" s="92" t="s">
        <v>232</v>
      </c>
      <c r="C809" s="92" t="s">
        <v>472</v>
      </c>
      <c r="D809" s="92" t="s">
        <v>443</v>
      </c>
      <c r="E809" s="92" t="s">
        <v>95</v>
      </c>
      <c r="F809" s="92" t="s">
        <v>95</v>
      </c>
      <c r="G809" s="92">
        <v>1</v>
      </c>
    </row>
    <row r="810" spans="1:7" x14ac:dyDescent="0.25">
      <c r="A810" s="94" t="str">
        <f t="shared" si="12"/>
        <v>MOT0111Loads in Nelson-Marlborough and West Coast</v>
      </c>
      <c r="B810" s="92" t="s">
        <v>415</v>
      </c>
      <c r="C810" s="92" t="s">
        <v>472</v>
      </c>
      <c r="D810" s="92" t="s">
        <v>443</v>
      </c>
      <c r="E810" s="92" t="s">
        <v>95</v>
      </c>
      <c r="F810" s="92" t="s">
        <v>95</v>
      </c>
      <c r="G810" s="92">
        <v>1</v>
      </c>
    </row>
    <row r="811" spans="1:7" x14ac:dyDescent="0.25">
      <c r="A811" s="94" t="str">
        <f t="shared" si="12"/>
        <v>MPI0661Loads in Nelson-Marlborough and West Coast</v>
      </c>
      <c r="B811" s="92" t="s">
        <v>416</v>
      </c>
      <c r="C811" s="92" t="s">
        <v>472</v>
      </c>
      <c r="D811" s="92" t="s">
        <v>443</v>
      </c>
      <c r="E811" s="92" t="s">
        <v>95</v>
      </c>
      <c r="F811" s="92" t="s">
        <v>95</v>
      </c>
      <c r="G811" s="92">
        <v>1</v>
      </c>
    </row>
    <row r="812" spans="1:7" x14ac:dyDescent="0.25">
      <c r="A812" s="94" t="str">
        <f t="shared" si="12"/>
        <v>STK0331Loads in Nelson-Marlborough and West Coast</v>
      </c>
      <c r="B812" s="92" t="s">
        <v>325</v>
      </c>
      <c r="C812" s="92" t="s">
        <v>472</v>
      </c>
      <c r="D812" s="92" t="s">
        <v>443</v>
      </c>
      <c r="E812" s="92" t="s">
        <v>95</v>
      </c>
      <c r="F812" s="92" t="s">
        <v>95</v>
      </c>
      <c r="G812" s="92">
        <v>1</v>
      </c>
    </row>
    <row r="813" spans="1:7" x14ac:dyDescent="0.25">
      <c r="A813" s="94" t="str">
        <f t="shared" si="12"/>
        <v>BAL0331Loads at Balclutha Berwick Waipori</v>
      </c>
      <c r="B813" s="92" t="s">
        <v>150</v>
      </c>
      <c r="C813" s="92" t="s">
        <v>473</v>
      </c>
      <c r="D813" s="92" t="s">
        <v>443</v>
      </c>
      <c r="E813" s="92" t="s">
        <v>95</v>
      </c>
      <c r="F813" s="92" t="s">
        <v>95</v>
      </c>
      <c r="G813" s="92">
        <v>1</v>
      </c>
    </row>
    <row r="814" spans="1:7" x14ac:dyDescent="0.25">
      <c r="A814" s="94" t="str">
        <f t="shared" si="12"/>
        <v>BWK1101Loads at Balclutha Berwick Waipori</v>
      </c>
      <c r="B814" s="92" t="s">
        <v>164</v>
      </c>
      <c r="C814" s="92" t="s">
        <v>473</v>
      </c>
      <c r="D814" s="92" t="s">
        <v>443</v>
      </c>
      <c r="E814" s="92" t="s">
        <v>95</v>
      </c>
      <c r="F814" s="92" t="s">
        <v>95</v>
      </c>
      <c r="G814" s="92">
        <v>1</v>
      </c>
    </row>
    <row r="815" spans="1:7" x14ac:dyDescent="0.25">
      <c r="A815" s="94" t="str">
        <f t="shared" si="12"/>
        <v>HWA0331Load at Waverley Hawera and Whareroa</v>
      </c>
      <c r="B815" s="92" t="s">
        <v>211</v>
      </c>
      <c r="C815" s="92" t="s">
        <v>474</v>
      </c>
      <c r="D815" s="92" t="s">
        <v>443</v>
      </c>
      <c r="E815" s="92" t="s">
        <v>95</v>
      </c>
      <c r="F815" s="92" t="s">
        <v>95</v>
      </c>
      <c r="G815" s="92">
        <v>1</v>
      </c>
    </row>
    <row r="816" spans="1:7" x14ac:dyDescent="0.25">
      <c r="A816" s="94" t="str">
        <f t="shared" si="12"/>
        <v>HWA0332Load at Waverley Hawera and Whareroa</v>
      </c>
      <c r="B816" s="92" t="s">
        <v>212</v>
      </c>
      <c r="C816" s="92" t="s">
        <v>474</v>
      </c>
      <c r="D816" s="92" t="s">
        <v>443</v>
      </c>
      <c r="E816" s="92" t="s">
        <v>95</v>
      </c>
      <c r="F816" s="92" t="s">
        <v>95</v>
      </c>
      <c r="G816" s="92">
        <v>1</v>
      </c>
    </row>
    <row r="817" spans="1:7" x14ac:dyDescent="0.25">
      <c r="A817" s="94" t="str">
        <f t="shared" si="12"/>
        <v>HWA1101Load at Waverley Hawera and Whareroa</v>
      </c>
      <c r="B817" s="92" t="s">
        <v>213</v>
      </c>
      <c r="C817" s="92" t="s">
        <v>474</v>
      </c>
      <c r="D817" s="92" t="s">
        <v>443</v>
      </c>
      <c r="E817" s="92" t="s">
        <v>95</v>
      </c>
      <c r="F817" s="92" t="s">
        <v>95</v>
      </c>
      <c r="G817" s="92">
        <v>1</v>
      </c>
    </row>
    <row r="818" spans="1:7" x14ac:dyDescent="0.25">
      <c r="A818" s="94" t="str">
        <f t="shared" si="12"/>
        <v>HWA1102Load at Waverley Hawera and Whareroa</v>
      </c>
      <c r="B818" s="92" t="s">
        <v>217</v>
      </c>
      <c r="C818" s="92" t="s">
        <v>474</v>
      </c>
      <c r="D818" s="92" t="s">
        <v>443</v>
      </c>
      <c r="E818" s="92" t="s">
        <v>95</v>
      </c>
      <c r="F818" s="92" t="s">
        <v>95</v>
      </c>
      <c r="G818" s="92">
        <v>1</v>
      </c>
    </row>
    <row r="819" spans="1:7" x14ac:dyDescent="0.25">
      <c r="A819" s="94" t="str">
        <f t="shared" si="12"/>
        <v>WVY0111Load at Waverley Hawera and Whareroa</v>
      </c>
      <c r="B819" s="92" t="s">
        <v>392</v>
      </c>
      <c r="C819" s="92" t="s">
        <v>474</v>
      </c>
      <c r="D819" s="92" t="s">
        <v>443</v>
      </c>
      <c r="E819" s="92" t="s">
        <v>95</v>
      </c>
      <c r="F819" s="92" t="s">
        <v>95</v>
      </c>
      <c r="G819" s="92">
        <v>1</v>
      </c>
    </row>
    <row r="820" spans="1:7" x14ac:dyDescent="0.25">
      <c r="A820" s="94" t="str">
        <f t="shared" si="12"/>
        <v>RDF0331Load at Redclyffe Whakatu</v>
      </c>
      <c r="B820" s="92" t="s">
        <v>306</v>
      </c>
      <c r="C820" s="92" t="s">
        <v>475</v>
      </c>
      <c r="D820" s="92" t="s">
        <v>443</v>
      </c>
      <c r="E820" s="92" t="s">
        <v>95</v>
      </c>
      <c r="F820" s="92" t="s">
        <v>95</v>
      </c>
      <c r="G820" s="92">
        <v>1</v>
      </c>
    </row>
    <row r="821" spans="1:7" x14ac:dyDescent="0.25">
      <c r="A821" s="94" t="str">
        <f t="shared" si="12"/>
        <v>WTU0331Load at Redclyffe Whakatu</v>
      </c>
      <c r="B821" s="92" t="s">
        <v>391</v>
      </c>
      <c r="C821" s="92" t="s">
        <v>475</v>
      </c>
      <c r="D821" s="92" t="s">
        <v>443</v>
      </c>
      <c r="E821" s="92" t="s">
        <v>95</v>
      </c>
      <c r="F821" s="92" t="s">
        <v>95</v>
      </c>
      <c r="G821" s="92">
        <v>1</v>
      </c>
    </row>
    <row r="822" spans="1:7" x14ac:dyDescent="0.25">
      <c r="A822" s="94" t="str">
        <f t="shared" si="12"/>
        <v>EDG0331Bay of Plenty load</v>
      </c>
      <c r="B822" s="92" t="s">
        <v>182</v>
      </c>
      <c r="C822" s="92" t="s">
        <v>476</v>
      </c>
      <c r="D822" s="92" t="s">
        <v>443</v>
      </c>
      <c r="E822" s="92" t="s">
        <v>95</v>
      </c>
      <c r="F822" s="92" t="s">
        <v>95</v>
      </c>
      <c r="G822" s="92">
        <v>1</v>
      </c>
    </row>
    <row r="823" spans="1:7" x14ac:dyDescent="0.25">
      <c r="A823" s="94" t="str">
        <f t="shared" si="12"/>
        <v>KAW0111Bay of Plenty load</v>
      </c>
      <c r="B823" s="92" t="s">
        <v>229</v>
      </c>
      <c r="C823" s="92" t="s">
        <v>476</v>
      </c>
      <c r="D823" s="92" t="s">
        <v>443</v>
      </c>
      <c r="E823" s="92" t="s">
        <v>95</v>
      </c>
      <c r="F823" s="92" t="s">
        <v>95</v>
      </c>
      <c r="G823" s="92">
        <v>1</v>
      </c>
    </row>
    <row r="824" spans="1:7" x14ac:dyDescent="0.25">
      <c r="A824" s="94" t="str">
        <f t="shared" si="12"/>
        <v>KAW0112Bay of Plenty load</v>
      </c>
      <c r="B824" s="92" t="s">
        <v>404</v>
      </c>
      <c r="C824" s="92" t="s">
        <v>476</v>
      </c>
      <c r="D824" s="92" t="s">
        <v>443</v>
      </c>
      <c r="E824" s="92" t="s">
        <v>95</v>
      </c>
      <c r="F824" s="92" t="s">
        <v>95</v>
      </c>
      <c r="G824" s="92">
        <v>1</v>
      </c>
    </row>
    <row r="825" spans="1:7" x14ac:dyDescent="0.25">
      <c r="A825" s="94" t="str">
        <f t="shared" si="12"/>
        <v>KAW0113Bay of Plenty load</v>
      </c>
      <c r="B825" s="92" t="s">
        <v>405</v>
      </c>
      <c r="C825" s="92" t="s">
        <v>476</v>
      </c>
      <c r="D825" s="92" t="s">
        <v>443</v>
      </c>
      <c r="E825" s="92" t="s">
        <v>95</v>
      </c>
      <c r="F825" s="92" t="s">
        <v>95</v>
      </c>
      <c r="G825" s="92">
        <v>1</v>
      </c>
    </row>
    <row r="826" spans="1:7" x14ac:dyDescent="0.25">
      <c r="A826" s="94" t="str">
        <f t="shared" si="12"/>
        <v>KAW1101Bay of Plenty load</v>
      </c>
      <c r="B826" s="92" t="s">
        <v>406</v>
      </c>
      <c r="C826" s="92" t="s">
        <v>476</v>
      </c>
      <c r="D826" s="92" t="s">
        <v>443</v>
      </c>
      <c r="E826" s="92" t="s">
        <v>95</v>
      </c>
      <c r="F826" s="92" t="s">
        <v>95</v>
      </c>
      <c r="G826" s="92">
        <v>1</v>
      </c>
    </row>
    <row r="827" spans="1:7" x14ac:dyDescent="0.25">
      <c r="A827" s="94" t="str">
        <f t="shared" si="12"/>
        <v>KMO0331Bay of Plenty load</v>
      </c>
      <c r="B827" s="92" t="s">
        <v>235</v>
      </c>
      <c r="C827" s="92" t="s">
        <v>476</v>
      </c>
      <c r="D827" s="92" t="s">
        <v>443</v>
      </c>
      <c r="E827" s="92" t="s">
        <v>95</v>
      </c>
      <c r="F827" s="92" t="s">
        <v>95</v>
      </c>
      <c r="G827" s="92">
        <v>1</v>
      </c>
    </row>
    <row r="828" spans="1:7" x14ac:dyDescent="0.25">
      <c r="A828" s="94" t="str">
        <f t="shared" si="12"/>
        <v>MAT1101Bay of Plenty load</v>
      </c>
      <c r="B828" s="92" t="s">
        <v>249</v>
      </c>
      <c r="C828" s="92" t="s">
        <v>476</v>
      </c>
      <c r="D828" s="92" t="s">
        <v>443</v>
      </c>
      <c r="E828" s="92" t="s">
        <v>95</v>
      </c>
      <c r="F828" s="92" t="s">
        <v>95</v>
      </c>
      <c r="G828" s="92">
        <v>1</v>
      </c>
    </row>
    <row r="829" spans="1:7" x14ac:dyDescent="0.25">
      <c r="A829" s="94" t="str">
        <f t="shared" si="12"/>
        <v>MTM0331Bay of Plenty load</v>
      </c>
      <c r="B829" s="92" t="s">
        <v>268</v>
      </c>
      <c r="C829" s="92" t="s">
        <v>476</v>
      </c>
      <c r="D829" s="92" t="s">
        <v>443</v>
      </c>
      <c r="E829" s="92" t="s">
        <v>95</v>
      </c>
      <c r="F829" s="92" t="s">
        <v>95</v>
      </c>
      <c r="G829" s="92">
        <v>1</v>
      </c>
    </row>
    <row r="830" spans="1:7" x14ac:dyDescent="0.25">
      <c r="A830" s="94" t="str">
        <f t="shared" si="12"/>
        <v>OWH0111Bay of Plenty load</v>
      </c>
      <c r="B830" s="92" t="s">
        <v>295</v>
      </c>
      <c r="C830" s="92" t="s">
        <v>476</v>
      </c>
      <c r="D830" s="92" t="s">
        <v>443</v>
      </c>
      <c r="E830" s="92" t="s">
        <v>95</v>
      </c>
      <c r="F830" s="92" t="s">
        <v>95</v>
      </c>
      <c r="G830" s="92">
        <v>1</v>
      </c>
    </row>
    <row r="831" spans="1:7" x14ac:dyDescent="0.25">
      <c r="A831" s="94" t="str">
        <f t="shared" si="12"/>
        <v>ROT0111Bay of Plenty load</v>
      </c>
      <c r="B831" s="92" t="s">
        <v>311</v>
      </c>
      <c r="C831" s="92" t="s">
        <v>476</v>
      </c>
      <c r="D831" s="92" t="s">
        <v>443</v>
      </c>
      <c r="E831" s="92" t="s">
        <v>95</v>
      </c>
      <c r="F831" s="92" t="s">
        <v>95</v>
      </c>
      <c r="G831" s="92">
        <v>1</v>
      </c>
    </row>
    <row r="832" spans="1:7" x14ac:dyDescent="0.25">
      <c r="A832" s="94" t="str">
        <f t="shared" si="12"/>
        <v>ROT0331Bay of Plenty load</v>
      </c>
      <c r="B832" s="92" t="s">
        <v>312</v>
      </c>
      <c r="C832" s="92" t="s">
        <v>476</v>
      </c>
      <c r="D832" s="92" t="s">
        <v>443</v>
      </c>
      <c r="E832" s="92" t="s">
        <v>95</v>
      </c>
      <c r="F832" s="92" t="s">
        <v>95</v>
      </c>
      <c r="G832" s="92">
        <v>1</v>
      </c>
    </row>
    <row r="833" spans="1:7" x14ac:dyDescent="0.25">
      <c r="A833" s="94" t="str">
        <f t="shared" si="12"/>
        <v>ROT1101Bay of Plenty load</v>
      </c>
      <c r="B833" s="92" t="s">
        <v>313</v>
      </c>
      <c r="C833" s="92" t="s">
        <v>476</v>
      </c>
      <c r="D833" s="92" t="s">
        <v>443</v>
      </c>
      <c r="E833" s="92" t="s">
        <v>95</v>
      </c>
      <c r="F833" s="92" t="s">
        <v>95</v>
      </c>
      <c r="G833" s="92">
        <v>1</v>
      </c>
    </row>
    <row r="834" spans="1:7" x14ac:dyDescent="0.25">
      <c r="A834" s="94" t="str">
        <f t="shared" si="12"/>
        <v>TGA0111Bay of Plenty load</v>
      </c>
      <c r="B834" s="92" t="s">
        <v>333</v>
      </c>
      <c r="C834" s="92" t="s">
        <v>476</v>
      </c>
      <c r="D834" s="92" t="s">
        <v>443</v>
      </c>
      <c r="E834" s="92" t="s">
        <v>95</v>
      </c>
      <c r="F834" s="92" t="s">
        <v>95</v>
      </c>
      <c r="G834" s="92">
        <v>1</v>
      </c>
    </row>
    <row r="835" spans="1:7" x14ac:dyDescent="0.25">
      <c r="A835" s="94" t="str">
        <f t="shared" si="12"/>
        <v>TGA0331Bay of Plenty load</v>
      </c>
      <c r="B835" s="92" t="s">
        <v>334</v>
      </c>
      <c r="C835" s="92" t="s">
        <v>476</v>
      </c>
      <c r="D835" s="92" t="s">
        <v>443</v>
      </c>
      <c r="E835" s="92" t="s">
        <v>95</v>
      </c>
      <c r="F835" s="92" t="s">
        <v>95</v>
      </c>
      <c r="G835" s="92">
        <v>1</v>
      </c>
    </row>
    <row r="836" spans="1:7" x14ac:dyDescent="0.25">
      <c r="A836" s="94" t="str">
        <f t="shared" si="12"/>
        <v>TKH0111Bay of Plenty load</v>
      </c>
      <c r="B836" s="92" t="s">
        <v>342</v>
      </c>
      <c r="C836" s="92" t="s">
        <v>476</v>
      </c>
      <c r="D836" s="92" t="s">
        <v>443</v>
      </c>
      <c r="E836" s="92" t="s">
        <v>95</v>
      </c>
      <c r="F836" s="92" t="s">
        <v>95</v>
      </c>
      <c r="G836" s="92">
        <v>1</v>
      </c>
    </row>
    <row r="837" spans="1:7" x14ac:dyDescent="0.25">
      <c r="A837" s="94" t="str">
        <f t="shared" si="12"/>
        <v>TMI0331Bay of Plenty load</v>
      </c>
      <c r="B837" s="92" t="s">
        <v>346</v>
      </c>
      <c r="C837" s="92" t="s">
        <v>476</v>
      </c>
      <c r="D837" s="92" t="s">
        <v>443</v>
      </c>
      <c r="E837" s="92" t="s">
        <v>95</v>
      </c>
      <c r="F837" s="92" t="s">
        <v>95</v>
      </c>
      <c r="G837" s="92">
        <v>1</v>
      </c>
    </row>
    <row r="838" spans="1:7" x14ac:dyDescent="0.25">
      <c r="A838" s="94" t="str">
        <f t="shared" si="12"/>
        <v>TRK0111Bay of Plenty load</v>
      </c>
      <c r="B838" s="92" t="s">
        <v>352</v>
      </c>
      <c r="C838" s="92" t="s">
        <v>476</v>
      </c>
      <c r="D838" s="92" t="s">
        <v>443</v>
      </c>
      <c r="E838" s="92" t="s">
        <v>95</v>
      </c>
      <c r="F838" s="92" t="s">
        <v>95</v>
      </c>
      <c r="G838" s="92">
        <v>1</v>
      </c>
    </row>
    <row r="839" spans="1:7" x14ac:dyDescent="0.25">
      <c r="A839" s="94" t="str">
        <f t="shared" si="12"/>
        <v>WAI0111Bay of Plenty load</v>
      </c>
      <c r="B839" s="92" t="s">
        <v>364</v>
      </c>
      <c r="C839" s="92" t="s">
        <v>476</v>
      </c>
      <c r="D839" s="92" t="s">
        <v>443</v>
      </c>
      <c r="E839" s="92" t="s">
        <v>95</v>
      </c>
      <c r="F839" s="92" t="s">
        <v>95</v>
      </c>
      <c r="G839" s="92">
        <v>1</v>
      </c>
    </row>
    <row r="840" spans="1:7" x14ac:dyDescent="0.25">
      <c r="A840" s="94" t="str">
        <f t="shared" si="12"/>
        <v>BAL0331Load at Tiwai and Invercargill and in the Southland 110kV network</v>
      </c>
      <c r="B840" s="92" t="s">
        <v>150</v>
      </c>
      <c r="C840" s="92" t="s">
        <v>477</v>
      </c>
      <c r="D840" s="92" t="s">
        <v>443</v>
      </c>
      <c r="E840" s="92" t="s">
        <v>95</v>
      </c>
      <c r="F840" s="92" t="s">
        <v>95</v>
      </c>
      <c r="G840" s="92">
        <v>1</v>
      </c>
    </row>
    <row r="841" spans="1:7" x14ac:dyDescent="0.25">
      <c r="A841" s="94" t="str">
        <f t="shared" si="12"/>
        <v>BDE0111Load at Tiwai and Invercargill and in the Southland 110kV network</v>
      </c>
      <c r="B841" s="92" t="s">
        <v>151</v>
      </c>
      <c r="C841" s="92" t="s">
        <v>477</v>
      </c>
      <c r="D841" s="92" t="s">
        <v>443</v>
      </c>
      <c r="E841" s="92" t="s">
        <v>95</v>
      </c>
      <c r="F841" s="92" t="s">
        <v>95</v>
      </c>
      <c r="G841" s="92">
        <v>1</v>
      </c>
    </row>
    <row r="842" spans="1:7" x14ac:dyDescent="0.25">
      <c r="A842" s="94" t="str">
        <f t="shared" ref="A842:A907" si="13">B842&amp;C842</f>
        <v>BWK1101Load at Tiwai and Invercargill and in the Southland 110kV network</v>
      </c>
      <c r="B842" s="92" t="s">
        <v>164</v>
      </c>
      <c r="C842" s="92" t="s">
        <v>477</v>
      </c>
      <c r="D842" s="92" t="s">
        <v>443</v>
      </c>
      <c r="E842" s="92" t="s">
        <v>95</v>
      </c>
      <c r="F842" s="92" t="s">
        <v>95</v>
      </c>
      <c r="G842" s="92">
        <v>1</v>
      </c>
    </row>
    <row r="843" spans="1:7" x14ac:dyDescent="0.25">
      <c r="A843" s="94" t="str">
        <f t="shared" si="13"/>
        <v>EDN0331Load at Tiwai and Invercargill and in the Southland 110kV network</v>
      </c>
      <c r="B843" s="92" t="s">
        <v>183</v>
      </c>
      <c r="C843" s="92" t="s">
        <v>477</v>
      </c>
      <c r="D843" s="92" t="s">
        <v>443</v>
      </c>
      <c r="E843" s="92" t="s">
        <v>95</v>
      </c>
      <c r="F843" s="92" t="s">
        <v>95</v>
      </c>
      <c r="G843" s="92">
        <v>1</v>
      </c>
    </row>
    <row r="844" spans="1:7" x14ac:dyDescent="0.25">
      <c r="A844" s="94" t="str">
        <f t="shared" si="13"/>
        <v>GOR0331Load at Tiwai and Invercargill and in the Southland 110kV network</v>
      </c>
      <c r="B844" s="92" t="s">
        <v>189</v>
      </c>
      <c r="C844" s="92" t="s">
        <v>477</v>
      </c>
      <c r="D844" s="92" t="s">
        <v>443</v>
      </c>
      <c r="E844" s="92" t="s">
        <v>95</v>
      </c>
      <c r="F844" s="92" t="s">
        <v>95</v>
      </c>
      <c r="G844" s="92">
        <v>1</v>
      </c>
    </row>
    <row r="845" spans="1:7" x14ac:dyDescent="0.25">
      <c r="A845" s="94" t="str">
        <f t="shared" si="13"/>
        <v>INV0331Load at Tiwai and Invercargill and in the Southland 110kV network</v>
      </c>
      <c r="B845" s="92" t="s">
        <v>224</v>
      </c>
      <c r="C845" s="92" t="s">
        <v>477</v>
      </c>
      <c r="D845" s="92" t="s">
        <v>443</v>
      </c>
      <c r="E845" s="92" t="s">
        <v>95</v>
      </c>
      <c r="F845" s="92" t="s">
        <v>95</v>
      </c>
      <c r="G845" s="92">
        <v>1</v>
      </c>
    </row>
    <row r="846" spans="1:7" x14ac:dyDescent="0.25">
      <c r="A846" s="94" t="str">
        <f t="shared" si="13"/>
        <v>TWI2201Load at Tiwai and Invercargill and in the Southland 110kV network</v>
      </c>
      <c r="B846" s="92" t="s">
        <v>361</v>
      </c>
      <c r="C846" s="92" t="s">
        <v>477</v>
      </c>
      <c r="D846" s="92" t="s">
        <v>443</v>
      </c>
      <c r="E846" s="92" t="s">
        <v>95</v>
      </c>
      <c r="F846" s="92" t="s">
        <v>95</v>
      </c>
      <c r="G846" s="92">
        <v>1</v>
      </c>
    </row>
    <row r="847" spans="1:7" x14ac:dyDescent="0.25">
      <c r="A847" s="94" t="str">
        <f t="shared" si="13"/>
        <v>KOE1101Loads Bombay and north</v>
      </c>
      <c r="B847" s="92" t="s">
        <v>236</v>
      </c>
      <c r="C847" s="92" t="s">
        <v>478</v>
      </c>
      <c r="D847" s="92" t="s">
        <v>443</v>
      </c>
      <c r="E847" s="92" t="s">
        <v>95</v>
      </c>
      <c r="F847" s="92" t="s">
        <v>95</v>
      </c>
      <c r="G847" s="92">
        <v>1</v>
      </c>
    </row>
    <row r="848" spans="1:7" x14ac:dyDescent="0.25">
      <c r="A848" s="94" t="str">
        <f t="shared" si="13"/>
        <v>KEN0331Loads Bombay and north</v>
      </c>
      <c r="B848" s="92" t="s">
        <v>407</v>
      </c>
      <c r="C848" s="92" t="s">
        <v>478</v>
      </c>
      <c r="D848" s="92" t="s">
        <v>443</v>
      </c>
      <c r="E848" s="92" t="s">
        <v>95</v>
      </c>
      <c r="F848" s="92" t="s">
        <v>95</v>
      </c>
      <c r="G848" s="92">
        <v>1</v>
      </c>
    </row>
    <row r="849" spans="1:21" x14ac:dyDescent="0.25">
      <c r="A849" s="94" t="str">
        <f t="shared" si="13"/>
        <v>MPE1101Loads Bombay and north</v>
      </c>
      <c r="B849" s="92" t="s">
        <v>265</v>
      </c>
      <c r="C849" s="92" t="s">
        <v>478</v>
      </c>
      <c r="D849" s="92" t="s">
        <v>443</v>
      </c>
      <c r="E849" s="92" t="s">
        <v>95</v>
      </c>
      <c r="F849" s="92" t="s">
        <v>95</v>
      </c>
      <c r="G849" s="92">
        <v>1</v>
      </c>
    </row>
    <row r="850" spans="1:21" x14ac:dyDescent="0.25">
      <c r="A850" s="94" t="str">
        <f t="shared" si="13"/>
        <v>BRB0331Loads Bombay and north</v>
      </c>
      <c r="B850" s="92" t="s">
        <v>161</v>
      </c>
      <c r="C850" s="92" t="s">
        <v>478</v>
      </c>
      <c r="D850" s="92" t="s">
        <v>443</v>
      </c>
      <c r="E850" s="92" t="s">
        <v>95</v>
      </c>
      <c r="F850" s="92" t="s">
        <v>95</v>
      </c>
      <c r="G850" s="92">
        <v>1</v>
      </c>
    </row>
    <row r="851" spans="1:21" x14ac:dyDescent="0.25">
      <c r="A851" s="94" t="str">
        <f t="shared" si="13"/>
        <v>MTO0331Loads Bombay and north</v>
      </c>
      <c r="B851" s="92" t="s">
        <v>270</v>
      </c>
      <c r="C851" s="92" t="s">
        <v>478</v>
      </c>
      <c r="D851" s="92" t="s">
        <v>443</v>
      </c>
      <c r="E851" s="92" t="s">
        <v>95</v>
      </c>
      <c r="F851" s="92" t="s">
        <v>95</v>
      </c>
      <c r="G851" s="92">
        <v>1</v>
      </c>
    </row>
    <row r="852" spans="1:21" x14ac:dyDescent="0.25">
      <c r="A852" s="94" t="str">
        <f t="shared" si="13"/>
        <v>WEL0331Loads Bombay and north</v>
      </c>
      <c r="B852" s="92" t="s">
        <v>367</v>
      </c>
      <c r="C852" s="92" t="s">
        <v>478</v>
      </c>
      <c r="D852" s="92" t="s">
        <v>443</v>
      </c>
      <c r="E852" s="92" t="s">
        <v>95</v>
      </c>
      <c r="F852" s="92" t="s">
        <v>95</v>
      </c>
      <c r="G852" s="92">
        <v>1</v>
      </c>
    </row>
    <row r="853" spans="1:21" x14ac:dyDescent="0.25">
      <c r="A853" s="94" t="str">
        <f t="shared" si="13"/>
        <v>SVL0331Loads Bombay and north</v>
      </c>
      <c r="B853" s="92" t="s">
        <v>328</v>
      </c>
      <c r="C853" s="92" t="s">
        <v>478</v>
      </c>
      <c r="D853" s="92" t="s">
        <v>443</v>
      </c>
      <c r="E853" s="92" t="s">
        <v>95</v>
      </c>
      <c r="F853" s="92" t="s">
        <v>95</v>
      </c>
      <c r="G853" s="92">
        <v>1</v>
      </c>
    </row>
    <row r="854" spans="1:21" x14ac:dyDescent="0.25">
      <c r="A854" s="94" t="str">
        <f t="shared" si="13"/>
        <v>ALB0331Loads Bombay and north</v>
      </c>
      <c r="B854" s="92" t="s">
        <v>132</v>
      </c>
      <c r="C854" s="92" t="s">
        <v>478</v>
      </c>
      <c r="D854" s="92" t="s">
        <v>443</v>
      </c>
      <c r="E854" s="92" t="s">
        <v>95</v>
      </c>
      <c r="F854" s="92" t="s">
        <v>95</v>
      </c>
      <c r="G854" s="92">
        <v>1</v>
      </c>
    </row>
    <row r="855" spans="1:21" x14ac:dyDescent="0.25">
      <c r="A855" s="94" t="str">
        <f t="shared" si="13"/>
        <v>ALB1101Loads Bombay and north</v>
      </c>
      <c r="B855" s="92" t="s">
        <v>133</v>
      </c>
      <c r="C855" s="92" t="s">
        <v>478</v>
      </c>
      <c r="D855" s="92" t="s">
        <v>443</v>
      </c>
      <c r="E855" s="92" t="s">
        <v>95</v>
      </c>
      <c r="F855" s="92" t="s">
        <v>95</v>
      </c>
      <c r="G855" s="92">
        <v>1</v>
      </c>
    </row>
    <row r="856" spans="1:21" x14ac:dyDescent="0.25">
      <c r="A856" s="94" t="str">
        <f t="shared" si="13"/>
        <v>WRD0331Loads Bombay and north</v>
      </c>
      <c r="B856" s="92" t="s">
        <v>384</v>
      </c>
      <c r="C856" s="92" t="s">
        <v>478</v>
      </c>
      <c r="D856" s="92" t="s">
        <v>443</v>
      </c>
      <c r="E856" s="92" t="s">
        <v>95</v>
      </c>
      <c r="F856" s="92" t="s">
        <v>95</v>
      </c>
      <c r="G856" s="92">
        <v>1</v>
      </c>
    </row>
    <row r="857" spans="1:21" x14ac:dyDescent="0.25">
      <c r="A857" s="94" t="str">
        <f t="shared" si="13"/>
        <v>HEN0331Loads Bombay and north</v>
      </c>
      <c r="B857" s="92" t="s">
        <v>197</v>
      </c>
      <c r="C857" s="92" t="s">
        <v>478</v>
      </c>
      <c r="D857" s="92" t="s">
        <v>443</v>
      </c>
      <c r="E857" s="92" t="s">
        <v>95</v>
      </c>
      <c r="F857" s="92" t="s">
        <v>95</v>
      </c>
      <c r="G857" s="92">
        <v>1</v>
      </c>
    </row>
    <row r="858" spans="1:21" x14ac:dyDescent="0.25">
      <c r="A858" s="94" t="str">
        <f t="shared" si="13"/>
        <v>HEP0331Loads Bombay and north</v>
      </c>
      <c r="B858" s="92" t="s">
        <v>198</v>
      </c>
      <c r="C858" s="92" t="s">
        <v>478</v>
      </c>
      <c r="D858" s="92" t="s">
        <v>443</v>
      </c>
      <c r="E858" s="92" t="s">
        <v>95</v>
      </c>
      <c r="F858" s="92" t="s">
        <v>95</v>
      </c>
      <c r="G858" s="92">
        <v>1</v>
      </c>
    </row>
    <row r="859" spans="1:21" s="190" customFormat="1" x14ac:dyDescent="0.25">
      <c r="A859" s="94" t="str">
        <f t="shared" si="13"/>
        <v>HOB1101Loads Bombay and north</v>
      </c>
      <c r="B859" s="92" t="s">
        <v>206</v>
      </c>
      <c r="C859" s="92" t="s">
        <v>478</v>
      </c>
      <c r="D859" s="92" t="s">
        <v>443</v>
      </c>
      <c r="E859" s="92" t="s">
        <v>95</v>
      </c>
      <c r="F859" s="92" t="s">
        <v>95</v>
      </c>
      <c r="G859" s="92">
        <v>1</v>
      </c>
      <c r="K859" s="20"/>
      <c r="L859" s="20"/>
      <c r="M859" s="20"/>
      <c r="N859" s="20"/>
      <c r="O859" s="20"/>
      <c r="P859" s="20"/>
      <c r="Q859" s="20"/>
      <c r="R859" s="20"/>
      <c r="S859" s="20"/>
      <c r="T859" s="20"/>
      <c r="U859" s="20"/>
    </row>
    <row r="860" spans="1:21" x14ac:dyDescent="0.25">
      <c r="A860" s="94" t="str">
        <f t="shared" si="13"/>
        <v>ROS0221Loads Bombay and north</v>
      </c>
      <c r="B860" s="92" t="s">
        <v>309</v>
      </c>
      <c r="C860" s="92" t="s">
        <v>478</v>
      </c>
      <c r="D860" s="92" t="s">
        <v>443</v>
      </c>
      <c r="E860" s="92" t="s">
        <v>95</v>
      </c>
      <c r="F860" s="92" t="s">
        <v>95</v>
      </c>
      <c r="G860" s="92">
        <v>1</v>
      </c>
    </row>
    <row r="861" spans="1:21" x14ac:dyDescent="0.25">
      <c r="A861" s="94" t="str">
        <f t="shared" si="13"/>
        <v>ROS1101Loads Bombay and north</v>
      </c>
      <c r="B861" s="92" t="s">
        <v>310</v>
      </c>
      <c r="C861" s="92" t="s">
        <v>478</v>
      </c>
      <c r="D861" s="92" t="s">
        <v>443</v>
      </c>
      <c r="E861" s="92" t="s">
        <v>95</v>
      </c>
      <c r="F861" s="92" t="s">
        <v>95</v>
      </c>
      <c r="G861" s="92">
        <v>1</v>
      </c>
    </row>
    <row r="862" spans="1:21" x14ac:dyDescent="0.25">
      <c r="A862" s="94" t="str">
        <f t="shared" si="13"/>
        <v>PEN0221Loads Bombay and north</v>
      </c>
      <c r="B862" s="92" t="s">
        <v>298</v>
      </c>
      <c r="C862" s="92" t="s">
        <v>478</v>
      </c>
      <c r="D862" s="92" t="s">
        <v>443</v>
      </c>
      <c r="E862" s="92" t="s">
        <v>95</v>
      </c>
      <c r="F862" s="92" t="s">
        <v>95</v>
      </c>
      <c r="G862" s="92">
        <v>1</v>
      </c>
    </row>
    <row r="863" spans="1:21" x14ac:dyDescent="0.25">
      <c r="A863" s="94" t="str">
        <f t="shared" si="13"/>
        <v>PEN0331Loads Bombay and north</v>
      </c>
      <c r="B863" s="92" t="s">
        <v>300</v>
      </c>
      <c r="C863" s="92" t="s">
        <v>478</v>
      </c>
      <c r="D863" s="92" t="s">
        <v>443</v>
      </c>
      <c r="E863" s="92" t="s">
        <v>95</v>
      </c>
      <c r="F863" s="92" t="s">
        <v>95</v>
      </c>
      <c r="G863" s="92">
        <v>1</v>
      </c>
    </row>
    <row r="864" spans="1:21" x14ac:dyDescent="0.25">
      <c r="A864" s="94" t="str">
        <f t="shared" si="13"/>
        <v>PEN1101Loads Bombay and north</v>
      </c>
      <c r="B864" s="92" t="s">
        <v>301</v>
      </c>
      <c r="C864" s="92" t="s">
        <v>478</v>
      </c>
      <c r="D864" s="92" t="s">
        <v>443</v>
      </c>
      <c r="E864" s="92" t="s">
        <v>95</v>
      </c>
      <c r="F864" s="92" t="s">
        <v>95</v>
      </c>
      <c r="G864" s="92">
        <v>1</v>
      </c>
    </row>
    <row r="865" spans="1:7" x14ac:dyDescent="0.25">
      <c r="A865" s="94" t="str">
        <f t="shared" si="13"/>
        <v>SWN2201Loads Bombay and north</v>
      </c>
      <c r="B865" s="92" t="s">
        <v>330</v>
      </c>
      <c r="C865" s="92" t="s">
        <v>478</v>
      </c>
      <c r="D865" s="92" t="s">
        <v>443</v>
      </c>
      <c r="E865" s="92" t="s">
        <v>95</v>
      </c>
      <c r="F865" s="92" t="s">
        <v>95</v>
      </c>
      <c r="G865" s="92">
        <v>1</v>
      </c>
    </row>
    <row r="866" spans="1:7" x14ac:dyDescent="0.25">
      <c r="A866" s="94" t="str">
        <f t="shared" si="13"/>
        <v>MNG0331Loads Bombay and north</v>
      </c>
      <c r="B866" s="92" t="s">
        <v>262</v>
      </c>
      <c r="C866" s="92" t="s">
        <v>478</v>
      </c>
      <c r="D866" s="92" t="s">
        <v>443</v>
      </c>
      <c r="E866" s="92" t="s">
        <v>95</v>
      </c>
      <c r="F866" s="92" t="s">
        <v>95</v>
      </c>
      <c r="G866" s="92">
        <v>1</v>
      </c>
    </row>
    <row r="867" spans="1:7" x14ac:dyDescent="0.25">
      <c r="A867" s="94" t="str">
        <f t="shared" si="13"/>
        <v>MNG1101Loads Bombay and north</v>
      </c>
      <c r="B867" s="92" t="s">
        <v>263</v>
      </c>
      <c r="C867" s="92" t="s">
        <v>478</v>
      </c>
      <c r="D867" s="92" t="s">
        <v>443</v>
      </c>
      <c r="E867" s="92" t="s">
        <v>95</v>
      </c>
      <c r="F867" s="92" t="s">
        <v>95</v>
      </c>
      <c r="G867" s="92">
        <v>1</v>
      </c>
    </row>
    <row r="868" spans="1:7" x14ac:dyDescent="0.25">
      <c r="A868" s="94" t="str">
        <f t="shared" si="13"/>
        <v>PAK0331Loads Bombay and north</v>
      </c>
      <c r="B868" s="92" t="s">
        <v>296</v>
      </c>
      <c r="C868" s="92" t="s">
        <v>478</v>
      </c>
      <c r="D868" s="92" t="s">
        <v>443</v>
      </c>
      <c r="E868" s="92" t="s">
        <v>95</v>
      </c>
      <c r="F868" s="92" t="s">
        <v>95</v>
      </c>
      <c r="G868" s="92">
        <v>1</v>
      </c>
    </row>
    <row r="869" spans="1:7" x14ac:dyDescent="0.25">
      <c r="A869" s="94" t="str">
        <f t="shared" si="13"/>
        <v>OTA0221Loads Bombay and north</v>
      </c>
      <c r="B869" s="92" t="s">
        <v>293</v>
      </c>
      <c r="C869" s="92" t="s">
        <v>478</v>
      </c>
      <c r="D869" s="92" t="s">
        <v>443</v>
      </c>
      <c r="E869" s="92" t="s">
        <v>95</v>
      </c>
      <c r="F869" s="92" t="s">
        <v>95</v>
      </c>
      <c r="G869" s="92">
        <v>1</v>
      </c>
    </row>
    <row r="870" spans="1:7" x14ac:dyDescent="0.25">
      <c r="A870" s="94" t="str">
        <f t="shared" si="13"/>
        <v>OTA1101Loads Bombay and north</v>
      </c>
      <c r="B870" s="92" t="s">
        <v>417</v>
      </c>
      <c r="C870" s="92" t="s">
        <v>478</v>
      </c>
      <c r="D870" s="92" t="s">
        <v>443</v>
      </c>
      <c r="E870" s="92" t="s">
        <v>95</v>
      </c>
      <c r="F870" s="92" t="s">
        <v>95</v>
      </c>
      <c r="G870" s="92">
        <v>1</v>
      </c>
    </row>
    <row r="871" spans="1:7" x14ac:dyDescent="0.25">
      <c r="A871" s="94" t="str">
        <f t="shared" si="13"/>
        <v>OTA1102Loads Bombay and north</v>
      </c>
      <c r="B871" s="92" t="s">
        <v>418</v>
      </c>
      <c r="C871" s="92" t="s">
        <v>478</v>
      </c>
      <c r="D871" s="92" t="s">
        <v>443</v>
      </c>
      <c r="E871" s="92" t="s">
        <v>95</v>
      </c>
      <c r="F871" s="92" t="s">
        <v>95</v>
      </c>
      <c r="G871" s="92">
        <v>1</v>
      </c>
    </row>
    <row r="872" spans="1:7" x14ac:dyDescent="0.25">
      <c r="A872" s="94" t="str">
        <f t="shared" si="13"/>
        <v>WIR0331Loads Bombay and north</v>
      </c>
      <c r="B872" s="92" t="s">
        <v>374</v>
      </c>
      <c r="C872" s="92" t="s">
        <v>478</v>
      </c>
      <c r="D872" s="92" t="s">
        <v>443</v>
      </c>
      <c r="E872" s="92" t="s">
        <v>95</v>
      </c>
      <c r="F872" s="92" t="s">
        <v>95</v>
      </c>
      <c r="G872" s="92">
        <v>1</v>
      </c>
    </row>
    <row r="873" spans="1:7" x14ac:dyDescent="0.25">
      <c r="A873" s="94" t="str">
        <f t="shared" si="13"/>
        <v>TAK0331Loads Bombay and north</v>
      </c>
      <c r="B873" s="92" t="s">
        <v>332</v>
      </c>
      <c r="C873" s="92" t="s">
        <v>478</v>
      </c>
      <c r="D873" s="92" t="s">
        <v>443</v>
      </c>
      <c r="E873" s="92" t="s">
        <v>95</v>
      </c>
      <c r="F873" s="92" t="s">
        <v>95</v>
      </c>
      <c r="G873" s="92">
        <v>1</v>
      </c>
    </row>
    <row r="874" spans="1:7" x14ac:dyDescent="0.25">
      <c r="A874" s="94" t="str">
        <f t="shared" si="13"/>
        <v>GLN0331Loads Bombay and north</v>
      </c>
      <c r="B874" s="92" t="s">
        <v>402</v>
      </c>
      <c r="C874" s="92" t="s">
        <v>478</v>
      </c>
      <c r="D874" s="92" t="s">
        <v>443</v>
      </c>
      <c r="E874" s="92" t="s">
        <v>95</v>
      </c>
      <c r="F874" s="92" t="s">
        <v>95</v>
      </c>
      <c r="G874" s="92">
        <v>1</v>
      </c>
    </row>
    <row r="875" spans="1:7" x14ac:dyDescent="0.25">
      <c r="A875" s="94" t="str">
        <f t="shared" si="13"/>
        <v>GLN0332Loads Bombay and north</v>
      </c>
      <c r="B875" s="92" t="s">
        <v>403</v>
      </c>
      <c r="C875" s="92" t="s">
        <v>478</v>
      </c>
      <c r="D875" s="92" t="s">
        <v>443</v>
      </c>
      <c r="E875" s="92" t="s">
        <v>95</v>
      </c>
      <c r="F875" s="92" t="s">
        <v>95</v>
      </c>
      <c r="G875" s="92">
        <v>1</v>
      </c>
    </row>
    <row r="876" spans="1:7" x14ac:dyDescent="0.25">
      <c r="A876" s="94" t="str">
        <f t="shared" si="13"/>
        <v>BOB0331Loads Bombay and north</v>
      </c>
      <c r="B876" s="92" t="s">
        <v>154</v>
      </c>
      <c r="C876" s="92" t="s">
        <v>478</v>
      </c>
      <c r="D876" s="92" t="s">
        <v>443</v>
      </c>
      <c r="E876" s="92" t="s">
        <v>95</v>
      </c>
      <c r="F876" s="92" t="s">
        <v>95</v>
      </c>
      <c r="G876" s="92">
        <v>1</v>
      </c>
    </row>
    <row r="877" spans="1:7" x14ac:dyDescent="0.25">
      <c r="A877" s="94" t="str">
        <f t="shared" si="13"/>
        <v>BOB1101Loads Bombay and north</v>
      </c>
      <c r="B877" s="92" t="s">
        <v>155</v>
      </c>
      <c r="C877" s="92" t="s">
        <v>478</v>
      </c>
      <c r="D877" s="92" t="s">
        <v>443</v>
      </c>
      <c r="E877" s="92" t="s">
        <v>95</v>
      </c>
      <c r="F877" s="92" t="s">
        <v>95</v>
      </c>
      <c r="G877" s="92">
        <v>1</v>
      </c>
    </row>
    <row r="878" spans="1:7" x14ac:dyDescent="0.25">
      <c r="A878" s="94" t="str">
        <f t="shared" si="13"/>
        <v>MER0331Loads Bombay and north</v>
      </c>
      <c r="B878" s="92" t="s">
        <v>254</v>
      </c>
      <c r="C878" s="92" t="s">
        <v>478</v>
      </c>
      <c r="D878" s="92" t="s">
        <v>443</v>
      </c>
      <c r="E878" s="92" t="s">
        <v>95</v>
      </c>
      <c r="F878" s="92" t="s">
        <v>95</v>
      </c>
      <c r="G878" s="92">
        <v>1</v>
      </c>
    </row>
    <row r="879" spans="1:7" x14ac:dyDescent="0.25">
      <c r="A879" s="94" t="str">
        <f t="shared" si="13"/>
        <v>KOE1101Loads Pakuranga and north</v>
      </c>
      <c r="B879" s="92" t="s">
        <v>236</v>
      </c>
      <c r="C879" s="92" t="s">
        <v>479</v>
      </c>
      <c r="D879" s="92" t="s">
        <v>443</v>
      </c>
      <c r="E879" s="92" t="s">
        <v>95</v>
      </c>
      <c r="F879" s="92" t="s">
        <v>95</v>
      </c>
      <c r="G879" s="92">
        <v>1</v>
      </c>
    </row>
    <row r="880" spans="1:7" x14ac:dyDescent="0.25">
      <c r="A880" s="94" t="str">
        <f t="shared" si="13"/>
        <v>KEN0331Loads Pakuranga and north</v>
      </c>
      <c r="B880" s="92" t="s">
        <v>407</v>
      </c>
      <c r="C880" s="92" t="s">
        <v>479</v>
      </c>
      <c r="D880" s="92" t="s">
        <v>443</v>
      </c>
      <c r="E880" s="92" t="s">
        <v>95</v>
      </c>
      <c r="F880" s="92" t="s">
        <v>95</v>
      </c>
      <c r="G880" s="92">
        <v>1</v>
      </c>
    </row>
    <row r="881" spans="1:21" x14ac:dyDescent="0.25">
      <c r="A881" s="94" t="str">
        <f t="shared" si="13"/>
        <v>MPE1101Loads Pakuranga and north</v>
      </c>
      <c r="B881" s="92" t="s">
        <v>265</v>
      </c>
      <c r="C881" s="92" t="s">
        <v>479</v>
      </c>
      <c r="D881" s="92" t="s">
        <v>443</v>
      </c>
      <c r="E881" s="92" t="s">
        <v>95</v>
      </c>
      <c r="F881" s="92" t="s">
        <v>95</v>
      </c>
      <c r="G881" s="92">
        <v>1</v>
      </c>
    </row>
    <row r="882" spans="1:21" x14ac:dyDescent="0.25">
      <c r="A882" s="94" t="str">
        <f t="shared" si="13"/>
        <v>BRB0331Loads Pakuranga and north</v>
      </c>
      <c r="B882" s="92" t="s">
        <v>161</v>
      </c>
      <c r="C882" s="92" t="s">
        <v>479</v>
      </c>
      <c r="D882" s="92" t="s">
        <v>443</v>
      </c>
      <c r="E882" s="92" t="s">
        <v>95</v>
      </c>
      <c r="F882" s="92" t="s">
        <v>95</v>
      </c>
      <c r="G882" s="92">
        <v>1</v>
      </c>
    </row>
    <row r="883" spans="1:21" x14ac:dyDescent="0.25">
      <c r="A883" s="94" t="str">
        <f t="shared" si="13"/>
        <v>MTO0331Loads Pakuranga and north</v>
      </c>
      <c r="B883" s="92" t="s">
        <v>270</v>
      </c>
      <c r="C883" s="92" t="s">
        <v>479</v>
      </c>
      <c r="D883" s="92" t="s">
        <v>443</v>
      </c>
      <c r="E883" s="92" t="s">
        <v>95</v>
      </c>
      <c r="F883" s="92" t="s">
        <v>95</v>
      </c>
      <c r="G883" s="92">
        <v>1</v>
      </c>
    </row>
    <row r="884" spans="1:21" x14ac:dyDescent="0.25">
      <c r="A884" s="94" t="str">
        <f t="shared" si="13"/>
        <v>WEL0331Loads Pakuranga and north</v>
      </c>
      <c r="B884" s="92" t="s">
        <v>367</v>
      </c>
      <c r="C884" s="92" t="s">
        <v>479</v>
      </c>
      <c r="D884" s="92" t="s">
        <v>443</v>
      </c>
      <c r="E884" s="92" t="s">
        <v>95</v>
      </c>
      <c r="F884" s="92" t="s">
        <v>95</v>
      </c>
      <c r="G884" s="92">
        <v>1</v>
      </c>
    </row>
    <row r="885" spans="1:21" x14ac:dyDescent="0.25">
      <c r="A885" s="94" t="str">
        <f t="shared" si="13"/>
        <v>SVL0331Loads Pakuranga and north</v>
      </c>
      <c r="B885" s="92" t="s">
        <v>328</v>
      </c>
      <c r="C885" s="92" t="s">
        <v>479</v>
      </c>
      <c r="D885" s="92" t="s">
        <v>443</v>
      </c>
      <c r="E885" s="92" t="s">
        <v>95</v>
      </c>
      <c r="F885" s="92" t="s">
        <v>95</v>
      </c>
      <c r="G885" s="92">
        <v>1</v>
      </c>
    </row>
    <row r="886" spans="1:21" x14ac:dyDescent="0.25">
      <c r="A886" s="94" t="str">
        <f t="shared" si="13"/>
        <v>ALB0331Loads Pakuranga and north</v>
      </c>
      <c r="B886" s="92" t="s">
        <v>132</v>
      </c>
      <c r="C886" s="92" t="s">
        <v>479</v>
      </c>
      <c r="D886" s="92" t="s">
        <v>443</v>
      </c>
      <c r="E886" s="92" t="s">
        <v>95</v>
      </c>
      <c r="F886" s="92" t="s">
        <v>95</v>
      </c>
      <c r="G886" s="92">
        <v>1</v>
      </c>
    </row>
    <row r="887" spans="1:21" x14ac:dyDescent="0.25">
      <c r="A887" s="94" t="str">
        <f t="shared" si="13"/>
        <v>ALB1101Loads Pakuranga and north</v>
      </c>
      <c r="B887" s="92" t="s">
        <v>133</v>
      </c>
      <c r="C887" s="92" t="s">
        <v>479</v>
      </c>
      <c r="D887" s="92" t="s">
        <v>443</v>
      </c>
      <c r="E887" s="92" t="s">
        <v>95</v>
      </c>
      <c r="F887" s="92" t="s">
        <v>95</v>
      </c>
      <c r="G887" s="92">
        <v>1</v>
      </c>
    </row>
    <row r="888" spans="1:21" x14ac:dyDescent="0.25">
      <c r="A888" s="94" t="str">
        <f t="shared" si="13"/>
        <v>WRD0331Loads Pakuranga and north</v>
      </c>
      <c r="B888" s="92" t="s">
        <v>384</v>
      </c>
      <c r="C888" s="92" t="s">
        <v>479</v>
      </c>
      <c r="D888" s="92" t="s">
        <v>443</v>
      </c>
      <c r="E888" s="92" t="s">
        <v>95</v>
      </c>
      <c r="F888" s="92" t="s">
        <v>95</v>
      </c>
      <c r="G888" s="92">
        <v>1</v>
      </c>
    </row>
    <row r="889" spans="1:21" x14ac:dyDescent="0.25">
      <c r="A889" s="94" t="str">
        <f t="shared" si="13"/>
        <v>HEN0331Loads Pakuranga and north</v>
      </c>
      <c r="B889" s="92" t="s">
        <v>197</v>
      </c>
      <c r="C889" s="92" t="s">
        <v>479</v>
      </c>
      <c r="D889" s="92" t="s">
        <v>443</v>
      </c>
      <c r="E889" s="92" t="s">
        <v>95</v>
      </c>
      <c r="F889" s="92" t="s">
        <v>95</v>
      </c>
      <c r="G889" s="92">
        <v>1</v>
      </c>
    </row>
    <row r="890" spans="1:21" x14ac:dyDescent="0.25">
      <c r="A890" s="94" t="str">
        <f t="shared" si="13"/>
        <v>HEP0331Loads Pakuranga and north</v>
      </c>
      <c r="B890" s="92" t="s">
        <v>198</v>
      </c>
      <c r="C890" s="92" t="s">
        <v>479</v>
      </c>
      <c r="D890" s="92" t="s">
        <v>443</v>
      </c>
      <c r="E890" s="92" t="s">
        <v>95</v>
      </c>
      <c r="F890" s="92" t="s">
        <v>95</v>
      </c>
      <c r="G890" s="92">
        <v>1</v>
      </c>
    </row>
    <row r="891" spans="1:21" s="190" customFormat="1" x14ac:dyDescent="0.25">
      <c r="A891" s="94" t="str">
        <f t="shared" ref="A891" si="14">B891&amp;C891</f>
        <v>HOB1101Loads Pakuranga and north</v>
      </c>
      <c r="B891" s="92" t="s">
        <v>206</v>
      </c>
      <c r="C891" s="92" t="s">
        <v>479</v>
      </c>
      <c r="D891" s="92" t="s">
        <v>443</v>
      </c>
      <c r="E891" s="92" t="s">
        <v>95</v>
      </c>
      <c r="F891" s="92" t="s">
        <v>95</v>
      </c>
      <c r="G891" s="92">
        <v>1</v>
      </c>
      <c r="K891" s="20"/>
      <c r="L891" s="20"/>
      <c r="M891" s="20"/>
      <c r="N891" s="20"/>
      <c r="O891" s="20"/>
      <c r="P891" s="20"/>
      <c r="Q891" s="20"/>
      <c r="R891" s="20"/>
      <c r="S891" s="20"/>
      <c r="T891" s="20"/>
      <c r="U891" s="20"/>
    </row>
    <row r="892" spans="1:21" x14ac:dyDescent="0.25">
      <c r="A892" s="94" t="str">
        <f t="shared" si="13"/>
        <v>ROS0221Loads Pakuranga and north</v>
      </c>
      <c r="B892" s="92" t="s">
        <v>309</v>
      </c>
      <c r="C892" s="92" t="s">
        <v>479</v>
      </c>
      <c r="D892" s="92" t="s">
        <v>443</v>
      </c>
      <c r="E892" s="92" t="s">
        <v>95</v>
      </c>
      <c r="F892" s="92" t="s">
        <v>95</v>
      </c>
      <c r="G892" s="92">
        <v>1</v>
      </c>
    </row>
    <row r="893" spans="1:21" x14ac:dyDescent="0.25">
      <c r="A893" s="94" t="str">
        <f t="shared" si="13"/>
        <v>ROS1101Loads Pakuranga and north</v>
      </c>
      <c r="B893" s="92" t="s">
        <v>310</v>
      </c>
      <c r="C893" s="92" t="s">
        <v>479</v>
      </c>
      <c r="D893" s="92" t="s">
        <v>443</v>
      </c>
      <c r="E893" s="92" t="s">
        <v>95</v>
      </c>
      <c r="F893" s="92" t="s">
        <v>95</v>
      </c>
      <c r="G893" s="92">
        <v>1</v>
      </c>
    </row>
    <row r="894" spans="1:21" x14ac:dyDescent="0.25">
      <c r="A894" s="94" t="str">
        <f t="shared" si="13"/>
        <v>PEN0221Loads Pakuranga and north</v>
      </c>
      <c r="B894" s="92" t="s">
        <v>298</v>
      </c>
      <c r="C894" s="92" t="s">
        <v>479</v>
      </c>
      <c r="D894" s="92" t="s">
        <v>443</v>
      </c>
      <c r="E894" s="92" t="s">
        <v>95</v>
      </c>
      <c r="F894" s="92" t="s">
        <v>95</v>
      </c>
      <c r="G894" s="92">
        <v>1</v>
      </c>
    </row>
    <row r="895" spans="1:21" x14ac:dyDescent="0.25">
      <c r="A895" s="94" t="str">
        <f t="shared" si="13"/>
        <v>PEN0331Loads Pakuranga and north</v>
      </c>
      <c r="B895" s="92" t="s">
        <v>300</v>
      </c>
      <c r="C895" s="92" t="s">
        <v>479</v>
      </c>
      <c r="D895" s="92" t="s">
        <v>443</v>
      </c>
      <c r="E895" s="92" t="s">
        <v>95</v>
      </c>
      <c r="F895" s="92" t="s">
        <v>95</v>
      </c>
      <c r="G895" s="92">
        <v>1</v>
      </c>
    </row>
    <row r="896" spans="1:21" x14ac:dyDescent="0.25">
      <c r="A896" s="94" t="str">
        <f t="shared" si="13"/>
        <v>PEN1101Loads Pakuranga and north</v>
      </c>
      <c r="B896" s="92" t="s">
        <v>301</v>
      </c>
      <c r="C896" s="92" t="s">
        <v>479</v>
      </c>
      <c r="D896" s="92" t="s">
        <v>443</v>
      </c>
      <c r="E896" s="92" t="s">
        <v>95</v>
      </c>
      <c r="F896" s="92" t="s">
        <v>95</v>
      </c>
      <c r="G896" s="92">
        <v>1</v>
      </c>
    </row>
    <row r="897" spans="1:7" x14ac:dyDescent="0.25">
      <c r="A897" s="94" t="str">
        <f t="shared" si="13"/>
        <v>SWN2201Loads Pakuranga and north</v>
      </c>
      <c r="B897" s="92" t="s">
        <v>330</v>
      </c>
      <c r="C897" s="92" t="s">
        <v>479</v>
      </c>
      <c r="D897" s="92" t="s">
        <v>443</v>
      </c>
      <c r="E897" s="92" t="s">
        <v>95</v>
      </c>
      <c r="F897" s="92" t="s">
        <v>95</v>
      </c>
      <c r="G897" s="92">
        <v>1</v>
      </c>
    </row>
    <row r="898" spans="1:7" x14ac:dyDescent="0.25">
      <c r="A898" s="94" t="str">
        <f t="shared" si="13"/>
        <v>MNG0331Loads Pakuranga and north</v>
      </c>
      <c r="B898" s="92" t="s">
        <v>262</v>
      </c>
      <c r="C898" s="92" t="s">
        <v>479</v>
      </c>
      <c r="D898" s="92" t="s">
        <v>443</v>
      </c>
      <c r="E898" s="92" t="s">
        <v>95</v>
      </c>
      <c r="F898" s="92" t="s">
        <v>95</v>
      </c>
      <c r="G898" s="92">
        <v>1</v>
      </c>
    </row>
    <row r="899" spans="1:7" x14ac:dyDescent="0.25">
      <c r="A899" s="94" t="str">
        <f t="shared" si="13"/>
        <v>MNG1101Loads Pakuranga and north</v>
      </c>
      <c r="B899" s="92" t="s">
        <v>263</v>
      </c>
      <c r="C899" s="92" t="s">
        <v>479</v>
      </c>
      <c r="D899" s="92" t="s">
        <v>443</v>
      </c>
      <c r="E899" s="92" t="s">
        <v>95</v>
      </c>
      <c r="F899" s="92" t="s">
        <v>95</v>
      </c>
      <c r="G899" s="92">
        <v>1</v>
      </c>
    </row>
    <row r="900" spans="1:7" x14ac:dyDescent="0.25">
      <c r="A900" s="94" t="str">
        <f t="shared" si="13"/>
        <v>PAK0331Loads Pakuranga and north</v>
      </c>
      <c r="B900" s="92" t="s">
        <v>296</v>
      </c>
      <c r="C900" s="92" t="s">
        <v>479</v>
      </c>
      <c r="D900" s="92" t="s">
        <v>443</v>
      </c>
      <c r="E900" s="92" t="s">
        <v>95</v>
      </c>
      <c r="F900" s="92" t="s">
        <v>95</v>
      </c>
      <c r="G900" s="92">
        <v>1</v>
      </c>
    </row>
    <row r="901" spans="1:7" x14ac:dyDescent="0.25">
      <c r="A901" s="94" t="str">
        <f t="shared" si="13"/>
        <v>KOE1101Loads Penrose and north</v>
      </c>
      <c r="B901" s="92" t="s">
        <v>236</v>
      </c>
      <c r="C901" s="92" t="s">
        <v>480</v>
      </c>
      <c r="D901" s="92" t="s">
        <v>443</v>
      </c>
      <c r="E901" s="92" t="s">
        <v>95</v>
      </c>
      <c r="F901" s="92" t="s">
        <v>95</v>
      </c>
      <c r="G901" s="92">
        <v>1</v>
      </c>
    </row>
    <row r="902" spans="1:7" x14ac:dyDescent="0.25">
      <c r="A902" s="94" t="str">
        <f t="shared" si="13"/>
        <v>KEN0331Loads Penrose and north</v>
      </c>
      <c r="B902" s="92" t="s">
        <v>407</v>
      </c>
      <c r="C902" s="92" t="s">
        <v>480</v>
      </c>
      <c r="D902" s="92" t="s">
        <v>443</v>
      </c>
      <c r="E902" s="92" t="s">
        <v>95</v>
      </c>
      <c r="F902" s="92" t="s">
        <v>95</v>
      </c>
      <c r="G902" s="92">
        <v>1</v>
      </c>
    </row>
    <row r="903" spans="1:7" x14ac:dyDescent="0.25">
      <c r="A903" s="94" t="str">
        <f t="shared" si="13"/>
        <v>MPE1101Loads Penrose and north</v>
      </c>
      <c r="B903" s="92" t="s">
        <v>265</v>
      </c>
      <c r="C903" s="92" t="s">
        <v>480</v>
      </c>
      <c r="D903" s="92" t="s">
        <v>443</v>
      </c>
      <c r="E903" s="92" t="s">
        <v>95</v>
      </c>
      <c r="F903" s="92" t="s">
        <v>95</v>
      </c>
      <c r="G903" s="92">
        <v>1</v>
      </c>
    </row>
    <row r="904" spans="1:7" x14ac:dyDescent="0.25">
      <c r="A904" s="94" t="str">
        <f t="shared" si="13"/>
        <v>BRB0331Loads Penrose and north</v>
      </c>
      <c r="B904" s="92" t="s">
        <v>161</v>
      </c>
      <c r="C904" s="92" t="s">
        <v>480</v>
      </c>
      <c r="D904" s="92" t="s">
        <v>443</v>
      </c>
      <c r="E904" s="92" t="s">
        <v>95</v>
      </c>
      <c r="F904" s="92" t="s">
        <v>95</v>
      </c>
      <c r="G904" s="92">
        <v>1</v>
      </c>
    </row>
    <row r="905" spans="1:7" x14ac:dyDescent="0.25">
      <c r="A905" s="94" t="str">
        <f t="shared" si="13"/>
        <v>MTO0331Loads Penrose and north</v>
      </c>
      <c r="B905" s="92" t="s">
        <v>270</v>
      </c>
      <c r="C905" s="92" t="s">
        <v>480</v>
      </c>
      <c r="D905" s="92" t="s">
        <v>443</v>
      </c>
      <c r="E905" s="92" t="s">
        <v>95</v>
      </c>
      <c r="F905" s="92" t="s">
        <v>95</v>
      </c>
      <c r="G905" s="92">
        <v>1</v>
      </c>
    </row>
    <row r="906" spans="1:7" x14ac:dyDescent="0.25">
      <c r="A906" s="94" t="str">
        <f t="shared" si="13"/>
        <v>WEL0331Loads Penrose and north</v>
      </c>
      <c r="B906" s="92" t="s">
        <v>367</v>
      </c>
      <c r="C906" s="92" t="s">
        <v>480</v>
      </c>
      <c r="D906" s="92" t="s">
        <v>443</v>
      </c>
      <c r="E906" s="92" t="s">
        <v>95</v>
      </c>
      <c r="F906" s="92" t="s">
        <v>95</v>
      </c>
      <c r="G906" s="92">
        <v>1</v>
      </c>
    </row>
    <row r="907" spans="1:7" x14ac:dyDescent="0.25">
      <c r="A907" s="94" t="str">
        <f t="shared" si="13"/>
        <v>SVL0331Loads Penrose and north</v>
      </c>
      <c r="B907" s="92" t="s">
        <v>328</v>
      </c>
      <c r="C907" s="92" t="s">
        <v>480</v>
      </c>
      <c r="D907" s="92" t="s">
        <v>443</v>
      </c>
      <c r="E907" s="92" t="s">
        <v>95</v>
      </c>
      <c r="F907" s="92" t="s">
        <v>95</v>
      </c>
      <c r="G907" s="92">
        <v>1</v>
      </c>
    </row>
    <row r="908" spans="1:7" x14ac:dyDescent="0.25">
      <c r="A908" s="94" t="str">
        <f t="shared" ref="A908:A972" si="15">B908&amp;C908</f>
        <v>ALB0331Loads Penrose and north</v>
      </c>
      <c r="B908" s="92" t="s">
        <v>132</v>
      </c>
      <c r="C908" s="92" t="s">
        <v>480</v>
      </c>
      <c r="D908" s="92" t="s">
        <v>443</v>
      </c>
      <c r="E908" s="92" t="s">
        <v>95</v>
      </c>
      <c r="F908" s="92" t="s">
        <v>95</v>
      </c>
      <c r="G908" s="92">
        <v>1</v>
      </c>
    </row>
    <row r="909" spans="1:7" x14ac:dyDescent="0.25">
      <c r="A909" s="94" t="str">
        <f t="shared" si="15"/>
        <v>ALB1101Loads Penrose and north</v>
      </c>
      <c r="B909" s="92" t="s">
        <v>133</v>
      </c>
      <c r="C909" s="92" t="s">
        <v>480</v>
      </c>
      <c r="D909" s="92" t="s">
        <v>443</v>
      </c>
      <c r="E909" s="92" t="s">
        <v>95</v>
      </c>
      <c r="F909" s="92" t="s">
        <v>95</v>
      </c>
      <c r="G909" s="92">
        <v>1</v>
      </c>
    </row>
    <row r="910" spans="1:7" x14ac:dyDescent="0.25">
      <c r="A910" s="94" t="str">
        <f t="shared" si="15"/>
        <v>WRD0331Loads Penrose and north</v>
      </c>
      <c r="B910" s="92" t="s">
        <v>384</v>
      </c>
      <c r="C910" s="92" t="s">
        <v>480</v>
      </c>
      <c r="D910" s="92" t="s">
        <v>443</v>
      </c>
      <c r="E910" s="92" t="s">
        <v>95</v>
      </c>
      <c r="F910" s="92" t="s">
        <v>95</v>
      </c>
      <c r="G910" s="92">
        <v>1</v>
      </c>
    </row>
    <row r="911" spans="1:7" x14ac:dyDescent="0.25">
      <c r="A911" s="94" t="str">
        <f t="shared" si="15"/>
        <v>HEN0331Loads Penrose and north</v>
      </c>
      <c r="B911" s="92" t="s">
        <v>197</v>
      </c>
      <c r="C911" s="92" t="s">
        <v>480</v>
      </c>
      <c r="D911" s="92" t="s">
        <v>443</v>
      </c>
      <c r="E911" s="92" t="s">
        <v>95</v>
      </c>
      <c r="F911" s="92" t="s">
        <v>95</v>
      </c>
      <c r="G911" s="92">
        <v>1</v>
      </c>
    </row>
    <row r="912" spans="1:7" x14ac:dyDescent="0.25">
      <c r="A912" s="94" t="str">
        <f t="shared" si="15"/>
        <v>HEP0331Loads Penrose and north</v>
      </c>
      <c r="B912" s="92" t="s">
        <v>198</v>
      </c>
      <c r="C912" s="92" t="s">
        <v>480</v>
      </c>
      <c r="D912" s="92" t="s">
        <v>443</v>
      </c>
      <c r="E912" s="92" t="s">
        <v>95</v>
      </c>
      <c r="F912" s="92" t="s">
        <v>95</v>
      </c>
      <c r="G912" s="92">
        <v>1</v>
      </c>
    </row>
    <row r="913" spans="1:21" s="190" customFormat="1" x14ac:dyDescent="0.25">
      <c r="A913" s="94" t="str">
        <f t="shared" si="15"/>
        <v>HOB1101Loads Penrose and north</v>
      </c>
      <c r="B913" s="92" t="s">
        <v>206</v>
      </c>
      <c r="C913" s="92" t="s">
        <v>480</v>
      </c>
      <c r="D913" s="92" t="s">
        <v>443</v>
      </c>
      <c r="E913" s="92" t="s">
        <v>95</v>
      </c>
      <c r="F913" s="92" t="s">
        <v>95</v>
      </c>
      <c r="G913" s="92">
        <v>1</v>
      </c>
      <c r="K913" s="20"/>
      <c r="L913" s="20"/>
      <c r="M913" s="20"/>
      <c r="N913" s="20"/>
      <c r="O913" s="20"/>
      <c r="P913" s="20"/>
      <c r="Q913" s="20"/>
      <c r="R913" s="20"/>
      <c r="S913" s="20"/>
      <c r="T913" s="20"/>
      <c r="U913" s="20"/>
    </row>
    <row r="914" spans="1:21" x14ac:dyDescent="0.25">
      <c r="A914" s="94" t="str">
        <f t="shared" si="15"/>
        <v>ROS0221Loads Penrose and north</v>
      </c>
      <c r="B914" s="92" t="s">
        <v>309</v>
      </c>
      <c r="C914" s="92" t="s">
        <v>480</v>
      </c>
      <c r="D914" s="92" t="s">
        <v>443</v>
      </c>
      <c r="E914" s="92" t="s">
        <v>95</v>
      </c>
      <c r="F914" s="92" t="s">
        <v>95</v>
      </c>
      <c r="G914" s="92">
        <v>1</v>
      </c>
    </row>
    <row r="915" spans="1:21" x14ac:dyDescent="0.25">
      <c r="A915" s="94" t="str">
        <f t="shared" si="15"/>
        <v>ROS1101Loads Penrose and north</v>
      </c>
      <c r="B915" s="92" t="s">
        <v>310</v>
      </c>
      <c r="C915" s="92" t="s">
        <v>480</v>
      </c>
      <c r="D915" s="92" t="s">
        <v>443</v>
      </c>
      <c r="E915" s="92" t="s">
        <v>95</v>
      </c>
      <c r="F915" s="92" t="s">
        <v>95</v>
      </c>
      <c r="G915" s="92">
        <v>1</v>
      </c>
    </row>
    <row r="916" spans="1:21" x14ac:dyDescent="0.25">
      <c r="A916" s="94" t="str">
        <f t="shared" si="15"/>
        <v>PEN0221Loads Penrose and north</v>
      </c>
      <c r="B916" s="92" t="s">
        <v>298</v>
      </c>
      <c r="C916" s="92" t="s">
        <v>480</v>
      </c>
      <c r="D916" s="92" t="s">
        <v>443</v>
      </c>
      <c r="E916" s="92" t="s">
        <v>95</v>
      </c>
      <c r="F916" s="92" t="s">
        <v>95</v>
      </c>
      <c r="G916" s="92">
        <v>1</v>
      </c>
    </row>
    <row r="917" spans="1:21" x14ac:dyDescent="0.25">
      <c r="A917" s="94" t="str">
        <f t="shared" si="15"/>
        <v>PEN0331Loads Penrose and north</v>
      </c>
      <c r="B917" s="92" t="s">
        <v>300</v>
      </c>
      <c r="C917" s="92" t="s">
        <v>480</v>
      </c>
      <c r="D917" s="92" t="s">
        <v>443</v>
      </c>
      <c r="E917" s="92" t="s">
        <v>95</v>
      </c>
      <c r="F917" s="92" t="s">
        <v>95</v>
      </c>
      <c r="G917" s="92">
        <v>1</v>
      </c>
    </row>
    <row r="918" spans="1:21" x14ac:dyDescent="0.25">
      <c r="A918" s="94" t="str">
        <f t="shared" si="15"/>
        <v>PEN1101Loads Penrose and north</v>
      </c>
      <c r="B918" s="92" t="s">
        <v>301</v>
      </c>
      <c r="C918" s="92" t="s">
        <v>480</v>
      </c>
      <c r="D918" s="92" t="s">
        <v>443</v>
      </c>
      <c r="E918" s="92" t="s">
        <v>95</v>
      </c>
      <c r="F918" s="92" t="s">
        <v>95</v>
      </c>
      <c r="G918" s="92">
        <v>1</v>
      </c>
    </row>
    <row r="919" spans="1:21" x14ac:dyDescent="0.25">
      <c r="A919" s="94" t="str">
        <f t="shared" si="15"/>
        <v>KOE1101Loads Henderson and north</v>
      </c>
      <c r="B919" s="92" t="s">
        <v>236</v>
      </c>
      <c r="C919" s="92" t="s">
        <v>481</v>
      </c>
      <c r="D919" s="92" t="s">
        <v>443</v>
      </c>
      <c r="E919" s="92" t="s">
        <v>95</v>
      </c>
      <c r="F919" s="92" t="s">
        <v>95</v>
      </c>
      <c r="G919" s="92">
        <v>1</v>
      </c>
    </row>
    <row r="920" spans="1:21" x14ac:dyDescent="0.25">
      <c r="A920" s="94" t="str">
        <f t="shared" si="15"/>
        <v>KEN0331Loads Henderson and north</v>
      </c>
      <c r="B920" s="92" t="s">
        <v>407</v>
      </c>
      <c r="C920" s="92" t="s">
        <v>481</v>
      </c>
      <c r="D920" s="92" t="s">
        <v>443</v>
      </c>
      <c r="E920" s="92" t="s">
        <v>95</v>
      </c>
      <c r="F920" s="92" t="s">
        <v>95</v>
      </c>
      <c r="G920" s="92">
        <v>1</v>
      </c>
    </row>
    <row r="921" spans="1:21" x14ac:dyDescent="0.25">
      <c r="A921" s="94" t="str">
        <f t="shared" si="15"/>
        <v>MPE1101Loads Henderson and north</v>
      </c>
      <c r="B921" s="92" t="s">
        <v>265</v>
      </c>
      <c r="C921" s="92" t="s">
        <v>481</v>
      </c>
      <c r="D921" s="92" t="s">
        <v>443</v>
      </c>
      <c r="E921" s="92" t="s">
        <v>95</v>
      </c>
      <c r="F921" s="92" t="s">
        <v>95</v>
      </c>
      <c r="G921" s="92">
        <v>1</v>
      </c>
    </row>
    <row r="922" spans="1:21" x14ac:dyDescent="0.25">
      <c r="A922" s="94" t="str">
        <f t="shared" si="15"/>
        <v>BRB0331Loads Henderson and north</v>
      </c>
      <c r="B922" s="92" t="s">
        <v>161</v>
      </c>
      <c r="C922" s="92" t="s">
        <v>481</v>
      </c>
      <c r="D922" s="92" t="s">
        <v>443</v>
      </c>
      <c r="E922" s="92" t="s">
        <v>95</v>
      </c>
      <c r="F922" s="92" t="s">
        <v>95</v>
      </c>
      <c r="G922" s="92">
        <v>1</v>
      </c>
    </row>
    <row r="923" spans="1:21" x14ac:dyDescent="0.25">
      <c r="A923" s="94" t="str">
        <f t="shared" si="15"/>
        <v>MTO0331Loads Henderson and north</v>
      </c>
      <c r="B923" s="92" t="s">
        <v>270</v>
      </c>
      <c r="C923" s="92" t="s">
        <v>481</v>
      </c>
      <c r="D923" s="92" t="s">
        <v>443</v>
      </c>
      <c r="E923" s="92" t="s">
        <v>95</v>
      </c>
      <c r="F923" s="92" t="s">
        <v>95</v>
      </c>
      <c r="G923" s="92">
        <v>1</v>
      </c>
    </row>
    <row r="924" spans="1:21" x14ac:dyDescent="0.25">
      <c r="A924" s="94" t="str">
        <f t="shared" si="15"/>
        <v>WEL0331Loads Henderson and north</v>
      </c>
      <c r="B924" s="92" t="s">
        <v>367</v>
      </c>
      <c r="C924" s="92" t="s">
        <v>481</v>
      </c>
      <c r="D924" s="92" t="s">
        <v>443</v>
      </c>
      <c r="E924" s="92" t="s">
        <v>95</v>
      </c>
      <c r="F924" s="92" t="s">
        <v>95</v>
      </c>
      <c r="G924" s="92">
        <v>1</v>
      </c>
    </row>
    <row r="925" spans="1:21" x14ac:dyDescent="0.25">
      <c r="A925" s="94" t="str">
        <f t="shared" si="15"/>
        <v>SVL0331Loads Henderson and north</v>
      </c>
      <c r="B925" s="92" t="s">
        <v>328</v>
      </c>
      <c r="C925" s="92" t="s">
        <v>481</v>
      </c>
      <c r="D925" s="92" t="s">
        <v>443</v>
      </c>
      <c r="E925" s="92" t="s">
        <v>95</v>
      </c>
      <c r="F925" s="92" t="s">
        <v>95</v>
      </c>
      <c r="G925" s="92">
        <v>1</v>
      </c>
    </row>
    <row r="926" spans="1:21" x14ac:dyDescent="0.25">
      <c r="A926" s="94" t="str">
        <f t="shared" si="15"/>
        <v>ALB0331Loads Henderson and north</v>
      </c>
      <c r="B926" s="92" t="s">
        <v>132</v>
      </c>
      <c r="C926" s="92" t="s">
        <v>481</v>
      </c>
      <c r="D926" s="92" t="s">
        <v>443</v>
      </c>
      <c r="E926" s="92" t="s">
        <v>95</v>
      </c>
      <c r="F926" s="92" t="s">
        <v>95</v>
      </c>
      <c r="G926" s="92">
        <v>1</v>
      </c>
    </row>
    <row r="927" spans="1:21" x14ac:dyDescent="0.25">
      <c r="A927" s="94" t="str">
        <f t="shared" si="15"/>
        <v>ALB1101Loads Henderson and north</v>
      </c>
      <c r="B927" s="92" t="s">
        <v>133</v>
      </c>
      <c r="C927" s="92" t="s">
        <v>481</v>
      </c>
      <c r="D927" s="92" t="s">
        <v>443</v>
      </c>
      <c r="E927" s="92" t="s">
        <v>95</v>
      </c>
      <c r="F927" s="92" t="s">
        <v>95</v>
      </c>
      <c r="G927" s="92">
        <v>1</v>
      </c>
    </row>
    <row r="928" spans="1:21" x14ac:dyDescent="0.25">
      <c r="A928" s="94" t="str">
        <f t="shared" si="15"/>
        <v>WRD0331Loads Henderson and north</v>
      </c>
      <c r="B928" s="92" t="s">
        <v>384</v>
      </c>
      <c r="C928" s="92" t="s">
        <v>481</v>
      </c>
      <c r="D928" s="92" t="s">
        <v>443</v>
      </c>
      <c r="E928" s="92" t="s">
        <v>95</v>
      </c>
      <c r="F928" s="92" t="s">
        <v>95</v>
      </c>
      <c r="G928" s="92">
        <v>1</v>
      </c>
    </row>
    <row r="929" spans="1:7" x14ac:dyDescent="0.25">
      <c r="A929" s="94" t="str">
        <f t="shared" si="15"/>
        <v>HEN0331Loads Henderson and north</v>
      </c>
      <c r="B929" s="92" t="s">
        <v>197</v>
      </c>
      <c r="C929" s="92" t="s">
        <v>481</v>
      </c>
      <c r="D929" s="92" t="s">
        <v>443</v>
      </c>
      <c r="E929" s="92" t="s">
        <v>95</v>
      </c>
      <c r="F929" s="92" t="s">
        <v>95</v>
      </c>
      <c r="G929" s="92">
        <v>1</v>
      </c>
    </row>
    <row r="930" spans="1:7" x14ac:dyDescent="0.25">
      <c r="A930" s="94" t="str">
        <f t="shared" si="15"/>
        <v>HEP0331Loads Henderson and north</v>
      </c>
      <c r="B930" s="92" t="s">
        <v>198</v>
      </c>
      <c r="C930" s="92" t="s">
        <v>481</v>
      </c>
      <c r="D930" s="92" t="s">
        <v>443</v>
      </c>
      <c r="E930" s="92" t="s">
        <v>95</v>
      </c>
      <c r="F930" s="92" t="s">
        <v>95</v>
      </c>
      <c r="G930" s="92">
        <v>1</v>
      </c>
    </row>
    <row r="931" spans="1:7" x14ac:dyDescent="0.25">
      <c r="A931" s="94" t="str">
        <f t="shared" si="15"/>
        <v>KOE1101Loads Hepburn and north</v>
      </c>
      <c r="B931" s="92" t="s">
        <v>236</v>
      </c>
      <c r="C931" s="92" t="s">
        <v>482</v>
      </c>
      <c r="D931" s="92" t="s">
        <v>443</v>
      </c>
      <c r="E931" s="92" t="s">
        <v>95</v>
      </c>
      <c r="F931" s="92" t="s">
        <v>95</v>
      </c>
      <c r="G931" s="92">
        <v>1</v>
      </c>
    </row>
    <row r="932" spans="1:7" x14ac:dyDescent="0.25">
      <c r="A932" s="94" t="str">
        <f t="shared" si="15"/>
        <v>KEN0331Loads Hepburn and north</v>
      </c>
      <c r="B932" s="92" t="s">
        <v>407</v>
      </c>
      <c r="C932" s="92" t="s">
        <v>482</v>
      </c>
      <c r="D932" s="92" t="s">
        <v>443</v>
      </c>
      <c r="E932" s="92" t="s">
        <v>95</v>
      </c>
      <c r="F932" s="92" t="s">
        <v>95</v>
      </c>
      <c r="G932" s="92">
        <v>1</v>
      </c>
    </row>
    <row r="933" spans="1:7" x14ac:dyDescent="0.25">
      <c r="A933" s="94" t="str">
        <f t="shared" si="15"/>
        <v>MPE1101Loads Hepburn and north</v>
      </c>
      <c r="B933" s="92" t="s">
        <v>265</v>
      </c>
      <c r="C933" s="92" t="s">
        <v>482</v>
      </c>
      <c r="D933" s="92" t="s">
        <v>443</v>
      </c>
      <c r="E933" s="92" t="s">
        <v>95</v>
      </c>
      <c r="F933" s="92" t="s">
        <v>95</v>
      </c>
      <c r="G933" s="92">
        <v>1</v>
      </c>
    </row>
    <row r="934" spans="1:7" x14ac:dyDescent="0.25">
      <c r="A934" s="94" t="str">
        <f t="shared" si="15"/>
        <v>BRB0331Loads Hepburn and north</v>
      </c>
      <c r="B934" s="92" t="s">
        <v>161</v>
      </c>
      <c r="C934" s="92" t="s">
        <v>482</v>
      </c>
      <c r="D934" s="92" t="s">
        <v>443</v>
      </c>
      <c r="E934" s="92" t="s">
        <v>95</v>
      </c>
      <c r="F934" s="92" t="s">
        <v>95</v>
      </c>
      <c r="G934" s="92">
        <v>1</v>
      </c>
    </row>
    <row r="935" spans="1:7" x14ac:dyDescent="0.25">
      <c r="A935" s="94" t="str">
        <f t="shared" si="15"/>
        <v>MTO0331Loads Hepburn and north</v>
      </c>
      <c r="B935" s="92" t="s">
        <v>270</v>
      </c>
      <c r="C935" s="92" t="s">
        <v>482</v>
      </c>
      <c r="D935" s="92" t="s">
        <v>443</v>
      </c>
      <c r="E935" s="92" t="s">
        <v>95</v>
      </c>
      <c r="F935" s="92" t="s">
        <v>95</v>
      </c>
      <c r="G935" s="92">
        <v>1</v>
      </c>
    </row>
    <row r="936" spans="1:7" x14ac:dyDescent="0.25">
      <c r="A936" s="94" t="str">
        <f t="shared" si="15"/>
        <v>WEL0331Loads Hepburn and north</v>
      </c>
      <c r="B936" s="92" t="s">
        <v>367</v>
      </c>
      <c r="C936" s="92" t="s">
        <v>482</v>
      </c>
      <c r="D936" s="92" t="s">
        <v>443</v>
      </c>
      <c r="E936" s="92" t="s">
        <v>95</v>
      </c>
      <c r="F936" s="92" t="s">
        <v>95</v>
      </c>
      <c r="G936" s="92">
        <v>1</v>
      </c>
    </row>
    <row r="937" spans="1:7" x14ac:dyDescent="0.25">
      <c r="A937" s="94" t="str">
        <f t="shared" si="15"/>
        <v>SVL0331Loads Hepburn and north</v>
      </c>
      <c r="B937" s="92" t="s">
        <v>328</v>
      </c>
      <c r="C937" s="92" t="s">
        <v>482</v>
      </c>
      <c r="D937" s="92" t="s">
        <v>443</v>
      </c>
      <c r="E937" s="92" t="s">
        <v>95</v>
      </c>
      <c r="F937" s="92" t="s">
        <v>95</v>
      </c>
      <c r="G937" s="92">
        <v>1</v>
      </c>
    </row>
    <row r="938" spans="1:7" x14ac:dyDescent="0.25">
      <c r="A938" s="94" t="str">
        <f t="shared" si="15"/>
        <v>ALB0331Loads Hepburn and north</v>
      </c>
      <c r="B938" s="92" t="s">
        <v>132</v>
      </c>
      <c r="C938" s="92" t="s">
        <v>482</v>
      </c>
      <c r="D938" s="92" t="s">
        <v>443</v>
      </c>
      <c r="E938" s="92" t="s">
        <v>95</v>
      </c>
      <c r="F938" s="92" t="s">
        <v>95</v>
      </c>
      <c r="G938" s="92">
        <v>1</v>
      </c>
    </row>
    <row r="939" spans="1:7" x14ac:dyDescent="0.25">
      <c r="A939" s="94" t="str">
        <f t="shared" si="15"/>
        <v>ALB1101Loads Hepburn and north</v>
      </c>
      <c r="B939" s="92" t="s">
        <v>133</v>
      </c>
      <c r="C939" s="92" t="s">
        <v>482</v>
      </c>
      <c r="D939" s="92" t="s">
        <v>443</v>
      </c>
      <c r="E939" s="92" t="s">
        <v>95</v>
      </c>
      <c r="F939" s="92" t="s">
        <v>95</v>
      </c>
      <c r="G939" s="92">
        <v>1</v>
      </c>
    </row>
    <row r="940" spans="1:7" x14ac:dyDescent="0.25">
      <c r="A940" s="94" t="str">
        <f t="shared" si="15"/>
        <v>WRD0331Loads Hepburn and north</v>
      </c>
      <c r="B940" s="92" t="s">
        <v>384</v>
      </c>
      <c r="C940" s="92" t="s">
        <v>482</v>
      </c>
      <c r="D940" s="92" t="s">
        <v>443</v>
      </c>
      <c r="E940" s="92" t="s">
        <v>95</v>
      </c>
      <c r="F940" s="92" t="s">
        <v>95</v>
      </c>
      <c r="G940" s="92">
        <v>1</v>
      </c>
    </row>
    <row r="941" spans="1:7" x14ac:dyDescent="0.25">
      <c r="A941" s="94" t="str">
        <f t="shared" si="15"/>
        <v>HEN0331Loads Hepburn and north</v>
      </c>
      <c r="B941" s="92" t="s">
        <v>197</v>
      </c>
      <c r="C941" s="92" t="s">
        <v>482</v>
      </c>
      <c r="D941" s="92" t="s">
        <v>443</v>
      </c>
      <c r="E941" s="92" t="s">
        <v>95</v>
      </c>
      <c r="F941" s="92" t="s">
        <v>95</v>
      </c>
      <c r="G941" s="92">
        <v>1</v>
      </c>
    </row>
    <row r="942" spans="1:7" x14ac:dyDescent="0.25">
      <c r="A942" s="94" t="str">
        <f t="shared" si="15"/>
        <v>KOE1101Loads Albany and north</v>
      </c>
      <c r="B942" s="92" t="s">
        <v>236</v>
      </c>
      <c r="C942" s="92" t="s">
        <v>483</v>
      </c>
      <c r="D942" s="92" t="s">
        <v>443</v>
      </c>
      <c r="E942" s="92" t="s">
        <v>95</v>
      </c>
      <c r="F942" s="92" t="s">
        <v>95</v>
      </c>
      <c r="G942" s="92">
        <v>1</v>
      </c>
    </row>
    <row r="943" spans="1:7" x14ac:dyDescent="0.25">
      <c r="A943" s="94" t="str">
        <f t="shared" si="15"/>
        <v>KEN0331Loads Albany and north</v>
      </c>
      <c r="B943" s="92" t="s">
        <v>407</v>
      </c>
      <c r="C943" s="92" t="s">
        <v>483</v>
      </c>
      <c r="D943" s="92" t="s">
        <v>443</v>
      </c>
      <c r="E943" s="92" t="s">
        <v>95</v>
      </c>
      <c r="F943" s="92" t="s">
        <v>95</v>
      </c>
      <c r="G943" s="92">
        <v>1</v>
      </c>
    </row>
    <row r="944" spans="1:7" x14ac:dyDescent="0.25">
      <c r="A944" s="94" t="str">
        <f t="shared" si="15"/>
        <v>MPE1101Loads Albany and north</v>
      </c>
      <c r="B944" s="92" t="s">
        <v>265</v>
      </c>
      <c r="C944" s="92" t="s">
        <v>483</v>
      </c>
      <c r="D944" s="92" t="s">
        <v>443</v>
      </c>
      <c r="E944" s="92" t="s">
        <v>95</v>
      </c>
      <c r="F944" s="92" t="s">
        <v>95</v>
      </c>
      <c r="G944" s="92">
        <v>1</v>
      </c>
    </row>
    <row r="945" spans="1:7" x14ac:dyDescent="0.25">
      <c r="A945" s="94" t="str">
        <f t="shared" si="15"/>
        <v>BRB0331Loads Albany and north</v>
      </c>
      <c r="B945" s="92" t="s">
        <v>161</v>
      </c>
      <c r="C945" s="92" t="s">
        <v>483</v>
      </c>
      <c r="D945" s="92" t="s">
        <v>443</v>
      </c>
      <c r="E945" s="92" t="s">
        <v>95</v>
      </c>
      <c r="F945" s="92" t="s">
        <v>95</v>
      </c>
      <c r="G945" s="92">
        <v>1</v>
      </c>
    </row>
    <row r="946" spans="1:7" x14ac:dyDescent="0.25">
      <c r="A946" s="94" t="str">
        <f t="shared" si="15"/>
        <v>MTO0331Loads Albany and north</v>
      </c>
      <c r="B946" s="92" t="s">
        <v>270</v>
      </c>
      <c r="C946" s="92" t="s">
        <v>483</v>
      </c>
      <c r="D946" s="92" t="s">
        <v>443</v>
      </c>
      <c r="E946" s="92" t="s">
        <v>95</v>
      </c>
      <c r="F946" s="92" t="s">
        <v>95</v>
      </c>
      <c r="G946" s="92">
        <v>1</v>
      </c>
    </row>
    <row r="947" spans="1:7" x14ac:dyDescent="0.25">
      <c r="A947" s="94" t="str">
        <f t="shared" si="15"/>
        <v>WEL0331Loads Albany and north</v>
      </c>
      <c r="B947" s="92" t="s">
        <v>367</v>
      </c>
      <c r="C947" s="92" t="s">
        <v>483</v>
      </c>
      <c r="D947" s="92" t="s">
        <v>443</v>
      </c>
      <c r="E947" s="92" t="s">
        <v>95</v>
      </c>
      <c r="F947" s="92" t="s">
        <v>95</v>
      </c>
      <c r="G947" s="92">
        <v>1</v>
      </c>
    </row>
    <row r="948" spans="1:7" x14ac:dyDescent="0.25">
      <c r="A948" s="94" t="str">
        <f t="shared" si="15"/>
        <v>SVL0331Loads Albany and north</v>
      </c>
      <c r="B948" s="92" t="s">
        <v>328</v>
      </c>
      <c r="C948" s="92" t="s">
        <v>483</v>
      </c>
      <c r="D948" s="92" t="s">
        <v>443</v>
      </c>
      <c r="E948" s="92" t="s">
        <v>95</v>
      </c>
      <c r="F948" s="92" t="s">
        <v>95</v>
      </c>
      <c r="G948" s="92">
        <v>1</v>
      </c>
    </row>
    <row r="949" spans="1:7" x14ac:dyDescent="0.25">
      <c r="A949" s="94" t="str">
        <f t="shared" si="15"/>
        <v>ALB0331Loads Albany and north</v>
      </c>
      <c r="B949" s="92" t="s">
        <v>132</v>
      </c>
      <c r="C949" s="92" t="s">
        <v>483</v>
      </c>
      <c r="D949" s="92" t="s">
        <v>443</v>
      </c>
      <c r="E949" s="92" t="s">
        <v>95</v>
      </c>
      <c r="F949" s="92" t="s">
        <v>95</v>
      </c>
      <c r="G949" s="92">
        <v>1</v>
      </c>
    </row>
    <row r="950" spans="1:7" x14ac:dyDescent="0.25">
      <c r="A950" s="94" t="str">
        <f t="shared" si="15"/>
        <v>ALB1101Loads Albany and north</v>
      </c>
      <c r="B950" s="92" t="s">
        <v>133</v>
      </c>
      <c r="C950" s="92" t="s">
        <v>483</v>
      </c>
      <c r="D950" s="92" t="s">
        <v>443</v>
      </c>
      <c r="E950" s="92" t="s">
        <v>95</v>
      </c>
      <c r="F950" s="92" t="s">
        <v>95</v>
      </c>
      <c r="G950" s="92">
        <v>1</v>
      </c>
    </row>
    <row r="951" spans="1:7" x14ac:dyDescent="0.25">
      <c r="A951" s="94" t="str">
        <f t="shared" si="15"/>
        <v>KOE1101Loads Marsden and north</v>
      </c>
      <c r="B951" s="92" t="s">
        <v>236</v>
      </c>
      <c r="C951" s="92" t="s">
        <v>484</v>
      </c>
      <c r="D951" s="92" t="s">
        <v>443</v>
      </c>
      <c r="E951" s="92" t="s">
        <v>95</v>
      </c>
      <c r="F951" s="92" t="s">
        <v>95</v>
      </c>
      <c r="G951" s="92">
        <v>1</v>
      </c>
    </row>
    <row r="952" spans="1:7" x14ac:dyDescent="0.25">
      <c r="A952" s="94" t="str">
        <f t="shared" si="15"/>
        <v>KEN0331Loads Marsden and north</v>
      </c>
      <c r="B952" s="92" t="s">
        <v>407</v>
      </c>
      <c r="C952" s="92" t="s">
        <v>484</v>
      </c>
      <c r="D952" s="92" t="s">
        <v>443</v>
      </c>
      <c r="E952" s="92" t="s">
        <v>95</v>
      </c>
      <c r="F952" s="92" t="s">
        <v>95</v>
      </c>
      <c r="G952" s="92">
        <v>1</v>
      </c>
    </row>
    <row r="953" spans="1:7" x14ac:dyDescent="0.25">
      <c r="A953" s="94" t="str">
        <f t="shared" si="15"/>
        <v>MPE1101Loads Marsden and north</v>
      </c>
      <c r="B953" s="92" t="s">
        <v>265</v>
      </c>
      <c r="C953" s="92" t="s">
        <v>484</v>
      </c>
      <c r="D953" s="92" t="s">
        <v>443</v>
      </c>
      <c r="E953" s="92" t="s">
        <v>95</v>
      </c>
      <c r="F953" s="92" t="s">
        <v>95</v>
      </c>
      <c r="G953" s="92">
        <v>1</v>
      </c>
    </row>
    <row r="954" spans="1:7" x14ac:dyDescent="0.25">
      <c r="A954" s="94" t="str">
        <f t="shared" si="15"/>
        <v>BRB0331Loads Marsden and north</v>
      </c>
      <c r="B954" s="92" t="s">
        <v>161</v>
      </c>
      <c r="C954" s="92" t="s">
        <v>484</v>
      </c>
      <c r="D954" s="92" t="s">
        <v>443</v>
      </c>
      <c r="E954" s="92" t="s">
        <v>95</v>
      </c>
      <c r="F954" s="92" t="s">
        <v>95</v>
      </c>
      <c r="G954" s="92">
        <v>1</v>
      </c>
    </row>
    <row r="955" spans="1:7" x14ac:dyDescent="0.25">
      <c r="A955" s="94" t="str">
        <f t="shared" si="15"/>
        <v>HWA1101 PTA1Taranaki generation</v>
      </c>
      <c r="B955" s="92" t="s">
        <v>214</v>
      </c>
      <c r="C955" s="92" t="s">
        <v>485</v>
      </c>
      <c r="D955" s="92" t="s">
        <v>95</v>
      </c>
      <c r="E955" s="92" t="s">
        <v>95</v>
      </c>
      <c r="F955" s="92" t="s">
        <v>443</v>
      </c>
      <c r="G955" s="92">
        <v>1</v>
      </c>
    </row>
    <row r="956" spans="1:7" x14ac:dyDescent="0.25">
      <c r="A956" s="94" t="str">
        <f t="shared" si="15"/>
        <v>HWA1101 PTA2Taranaki generation</v>
      </c>
      <c r="B956" s="92" t="s">
        <v>215</v>
      </c>
      <c r="C956" s="92" t="s">
        <v>485</v>
      </c>
      <c r="D956" s="92" t="s">
        <v>95</v>
      </c>
      <c r="E956" s="92" t="s">
        <v>95</v>
      </c>
      <c r="F956" s="92" t="s">
        <v>443</v>
      </c>
      <c r="G956" s="92">
        <v>1</v>
      </c>
    </row>
    <row r="957" spans="1:7" x14ac:dyDescent="0.25">
      <c r="A957" s="94" t="str">
        <f t="shared" si="15"/>
        <v>HWA1101 PTA3Taranaki generation</v>
      </c>
      <c r="B957" s="92" t="s">
        <v>216</v>
      </c>
      <c r="C957" s="92" t="s">
        <v>485</v>
      </c>
      <c r="D957" s="92" t="s">
        <v>95</v>
      </c>
      <c r="E957" s="92" t="s">
        <v>95</v>
      </c>
      <c r="F957" s="92" t="s">
        <v>443</v>
      </c>
      <c r="G957" s="92">
        <v>1</v>
      </c>
    </row>
    <row r="958" spans="1:7" x14ac:dyDescent="0.25">
      <c r="A958" s="94" t="str">
        <f t="shared" si="15"/>
        <v>HWA1102 WAA0Taranaki generation</v>
      </c>
      <c r="B958" s="92" t="s">
        <v>218</v>
      </c>
      <c r="C958" s="92" t="s">
        <v>485</v>
      </c>
      <c r="D958" s="92" t="s">
        <v>95</v>
      </c>
      <c r="E958" s="92" t="s">
        <v>95</v>
      </c>
      <c r="F958" s="92" t="s">
        <v>443</v>
      </c>
      <c r="G958" s="92">
        <v>1</v>
      </c>
    </row>
    <row r="959" spans="1:7" x14ac:dyDescent="0.25">
      <c r="A959" s="94" t="str">
        <f t="shared" si="15"/>
        <v>HWA1102 WAA1Taranaki generation</v>
      </c>
      <c r="B959" s="92" t="s">
        <v>219</v>
      </c>
      <c r="C959" s="92" t="s">
        <v>485</v>
      </c>
      <c r="D959" s="92" t="s">
        <v>95</v>
      </c>
      <c r="E959" s="92" t="s">
        <v>95</v>
      </c>
      <c r="F959" s="92" t="s">
        <v>443</v>
      </c>
      <c r="G959" s="92">
        <v>1</v>
      </c>
    </row>
    <row r="960" spans="1:7" x14ac:dyDescent="0.25">
      <c r="A960" s="94" t="str">
        <f t="shared" si="15"/>
        <v>KPA1101 KPI1Taranaki generation</v>
      </c>
      <c r="B960" s="92" t="s">
        <v>238</v>
      </c>
      <c r="C960" s="92" t="s">
        <v>485</v>
      </c>
      <c r="D960" s="92" t="s">
        <v>95</v>
      </c>
      <c r="E960" s="92" t="s">
        <v>95</v>
      </c>
      <c r="F960" s="92" t="s">
        <v>443</v>
      </c>
      <c r="G960" s="92">
        <v>1</v>
      </c>
    </row>
    <row r="961" spans="1:7" x14ac:dyDescent="0.25">
      <c r="A961" s="94" t="str">
        <f t="shared" si="15"/>
        <v>MKE1101 MKE1Taranaki generation</v>
      </c>
      <c r="B961" s="92" t="s">
        <v>259</v>
      </c>
      <c r="C961" s="92" t="s">
        <v>485</v>
      </c>
      <c r="D961" s="92" t="s">
        <v>95</v>
      </c>
      <c r="E961" s="92" t="s">
        <v>95</v>
      </c>
      <c r="F961" s="92" t="s">
        <v>443</v>
      </c>
      <c r="G961" s="92">
        <v>1</v>
      </c>
    </row>
    <row r="962" spans="1:7" x14ac:dyDescent="0.25">
      <c r="A962" s="94" t="str">
        <f t="shared" si="15"/>
        <v>SFD2201 SFD21Taranaki generation</v>
      </c>
      <c r="B962" s="92" t="s">
        <v>322</v>
      </c>
      <c r="C962" s="92" t="s">
        <v>485</v>
      </c>
      <c r="D962" s="92" t="s">
        <v>95</v>
      </c>
      <c r="E962" s="92" t="s">
        <v>95</v>
      </c>
      <c r="F962" s="92" t="s">
        <v>443</v>
      </c>
      <c r="G962" s="92">
        <v>1</v>
      </c>
    </row>
    <row r="963" spans="1:7" x14ac:dyDescent="0.25">
      <c r="A963" s="94" t="str">
        <f t="shared" si="15"/>
        <v>SFD2201 SFD22Taranaki generation</v>
      </c>
      <c r="B963" s="92" t="s">
        <v>323</v>
      </c>
      <c r="C963" s="92" t="s">
        <v>485</v>
      </c>
      <c r="D963" s="92" t="s">
        <v>95</v>
      </c>
      <c r="E963" s="92" t="s">
        <v>95</v>
      </c>
      <c r="F963" s="92" t="s">
        <v>443</v>
      </c>
      <c r="G963" s="92">
        <v>1</v>
      </c>
    </row>
    <row r="964" spans="1:7" x14ac:dyDescent="0.25">
      <c r="A964" s="94" t="str">
        <f t="shared" si="15"/>
        <v>SFD2201 SPL0Taranaki generation</v>
      </c>
      <c r="B964" s="92" t="s">
        <v>324</v>
      </c>
      <c r="C964" s="92" t="s">
        <v>485</v>
      </c>
      <c r="D964" s="92" t="s">
        <v>95</v>
      </c>
      <c r="E964" s="92" t="s">
        <v>95</v>
      </c>
      <c r="F964" s="92" t="s">
        <v>443</v>
      </c>
      <c r="G964" s="92">
        <v>1</v>
      </c>
    </row>
    <row r="965" spans="1:7" x14ac:dyDescent="0.25">
      <c r="A965" s="94" t="str">
        <f t="shared" si="15"/>
        <v>WDV1101Te Apiti</v>
      </c>
      <c r="B965" s="92" t="s">
        <v>366</v>
      </c>
      <c r="C965" s="92" t="s">
        <v>486</v>
      </c>
      <c r="D965" s="92" t="s">
        <v>95</v>
      </c>
      <c r="E965" s="92" t="s">
        <v>443</v>
      </c>
      <c r="F965" s="92" t="s">
        <v>95</v>
      </c>
      <c r="G965" s="92">
        <v>1</v>
      </c>
    </row>
    <row r="966" spans="1:7" x14ac:dyDescent="0.25">
      <c r="A966" s="94" t="str">
        <f t="shared" si="15"/>
        <v>WWD1102West Wind</v>
      </c>
      <c r="B966" s="92" t="s">
        <v>393</v>
      </c>
      <c r="C966" s="92" t="s">
        <v>487</v>
      </c>
      <c r="D966" s="92" t="s">
        <v>95</v>
      </c>
      <c r="E966" s="92" t="s">
        <v>443</v>
      </c>
      <c r="F966" s="92" t="s">
        <v>95</v>
      </c>
      <c r="G966" s="92">
        <v>1</v>
      </c>
    </row>
    <row r="967" spans="1:7" x14ac:dyDescent="0.25">
      <c r="A967" s="94" t="str">
        <f t="shared" si="15"/>
        <v>WWD1103West Wind</v>
      </c>
      <c r="B967" s="92" t="s">
        <v>394</v>
      </c>
      <c r="C967" s="92" t="s">
        <v>487</v>
      </c>
      <c r="D967" s="92" t="s">
        <v>95</v>
      </c>
      <c r="E967" s="92" t="s">
        <v>443</v>
      </c>
      <c r="F967" s="92" t="s">
        <v>95</v>
      </c>
      <c r="G967" s="92">
        <v>1</v>
      </c>
    </row>
    <row r="968" spans="1:7" x14ac:dyDescent="0.25">
      <c r="A968" s="94" t="str">
        <f t="shared" si="15"/>
        <v>BWK1101 WPI0Waipori</v>
      </c>
      <c r="B968" s="92" t="s">
        <v>165</v>
      </c>
      <c r="C968" s="92" t="s">
        <v>488</v>
      </c>
      <c r="D968" s="92" t="s">
        <v>95</v>
      </c>
      <c r="E968" s="92" t="s">
        <v>95</v>
      </c>
      <c r="F968" s="92" t="s">
        <v>443</v>
      </c>
      <c r="G968" s="92">
        <v>1</v>
      </c>
    </row>
    <row r="969" spans="1:7" x14ac:dyDescent="0.25">
      <c r="A969" s="94" t="str">
        <f t="shared" si="15"/>
        <v>HWA1101 PTA1Generation at Waverley Hawera and Whareroa</v>
      </c>
      <c r="B969" s="92" t="s">
        <v>214</v>
      </c>
      <c r="C969" s="92" t="s">
        <v>489</v>
      </c>
      <c r="D969" s="92" t="s">
        <v>95</v>
      </c>
      <c r="E969" s="92" t="s">
        <v>95</v>
      </c>
      <c r="F969" s="92" t="s">
        <v>443</v>
      </c>
      <c r="G969" s="92">
        <v>1</v>
      </c>
    </row>
    <row r="970" spans="1:7" x14ac:dyDescent="0.25">
      <c r="A970" s="94" t="str">
        <f t="shared" si="15"/>
        <v>HWA1101 PTA2Generation at Waverley Hawera and Whareroa</v>
      </c>
      <c r="B970" s="92" t="s">
        <v>215</v>
      </c>
      <c r="C970" s="92" t="s">
        <v>489</v>
      </c>
      <c r="D970" s="92" t="s">
        <v>95</v>
      </c>
      <c r="E970" s="92" t="s">
        <v>95</v>
      </c>
      <c r="F970" s="92" t="s">
        <v>443</v>
      </c>
      <c r="G970" s="92">
        <v>1</v>
      </c>
    </row>
    <row r="971" spans="1:7" x14ac:dyDescent="0.25">
      <c r="A971" s="94" t="str">
        <f t="shared" si="15"/>
        <v>HWA1101 PTA3Generation at Waverley Hawera and Whareroa</v>
      </c>
      <c r="B971" s="92" t="s">
        <v>216</v>
      </c>
      <c r="C971" s="92" t="s">
        <v>489</v>
      </c>
      <c r="D971" s="92" t="s">
        <v>95</v>
      </c>
      <c r="E971" s="92" t="s">
        <v>95</v>
      </c>
      <c r="F971" s="92" t="s">
        <v>443</v>
      </c>
      <c r="G971" s="92">
        <v>1</v>
      </c>
    </row>
    <row r="972" spans="1:7" x14ac:dyDescent="0.25">
      <c r="A972" s="94" t="str">
        <f t="shared" si="15"/>
        <v>HWA1102 WAA0Generation at Waverley Hawera and Whareroa</v>
      </c>
      <c r="B972" s="92" t="s">
        <v>218</v>
      </c>
      <c r="C972" s="92" t="s">
        <v>489</v>
      </c>
      <c r="D972" s="92" t="s">
        <v>95</v>
      </c>
      <c r="E972" s="92" t="s">
        <v>95</v>
      </c>
      <c r="F972" s="92" t="s">
        <v>443</v>
      </c>
      <c r="G972" s="92">
        <v>1</v>
      </c>
    </row>
    <row r="973" spans="1:7" x14ac:dyDescent="0.25">
      <c r="A973" s="94" t="str">
        <f t="shared" ref="A973:A1011" si="16">B973&amp;C973</f>
        <v>HWA1102 WAA1Generation at Waverley Hawera and Whareroa</v>
      </c>
      <c r="B973" s="92" t="s">
        <v>219</v>
      </c>
      <c r="C973" s="92" t="s">
        <v>489</v>
      </c>
      <c r="D973" s="92" t="s">
        <v>95</v>
      </c>
      <c r="E973" s="92" t="s">
        <v>95</v>
      </c>
      <c r="F973" s="92" t="s">
        <v>443</v>
      </c>
      <c r="G973" s="92">
        <v>1</v>
      </c>
    </row>
    <row r="974" spans="1:7" x14ac:dyDescent="0.25">
      <c r="A974" s="94" t="str">
        <f t="shared" si="16"/>
        <v>KAW0112 ONU0Generation at Atiamuri Ohakuri and in the Bay of Plenty</v>
      </c>
      <c r="B974" s="92" t="s">
        <v>431</v>
      </c>
      <c r="C974" s="92" t="s">
        <v>490</v>
      </c>
      <c r="D974" s="92" t="s">
        <v>95</v>
      </c>
      <c r="E974" s="92" t="s">
        <v>95</v>
      </c>
      <c r="F974" s="92" t="s">
        <v>443</v>
      </c>
      <c r="G974" s="92">
        <v>1</v>
      </c>
    </row>
    <row r="975" spans="1:7" x14ac:dyDescent="0.25">
      <c r="A975" s="94" t="str">
        <f t="shared" si="16"/>
        <v>KAW1101 KAG0Generation at Atiamuri Ohakuri and in the Bay of Plenty</v>
      </c>
      <c r="B975" s="92" t="s">
        <v>432</v>
      </c>
      <c r="C975" s="92" t="s">
        <v>490</v>
      </c>
      <c r="D975" s="92" t="s">
        <v>95</v>
      </c>
      <c r="E975" s="92" t="s">
        <v>95</v>
      </c>
      <c r="F975" s="92" t="s">
        <v>443</v>
      </c>
      <c r="G975" s="92">
        <v>1</v>
      </c>
    </row>
    <row r="976" spans="1:7" x14ac:dyDescent="0.25">
      <c r="A976" s="94" t="str">
        <f t="shared" si="16"/>
        <v>MAT1101Generation at Atiamuri Ohakuri and in the Bay of Plenty</v>
      </c>
      <c r="B976" s="92" t="s">
        <v>249</v>
      </c>
      <c r="C976" s="92" t="s">
        <v>490</v>
      </c>
      <c r="D976" s="92" t="s">
        <v>95</v>
      </c>
      <c r="E976" s="92" t="s">
        <v>443</v>
      </c>
      <c r="F976" s="92" t="s">
        <v>95</v>
      </c>
      <c r="G976" s="92">
        <v>1</v>
      </c>
    </row>
    <row r="977" spans="1:7" x14ac:dyDescent="0.25">
      <c r="A977" s="94" t="str">
        <f t="shared" si="16"/>
        <v>MAT1101 ANI0Generation at Atiamuri Ohakuri and in the Bay of Plenty</v>
      </c>
      <c r="B977" s="92" t="s">
        <v>250</v>
      </c>
      <c r="C977" s="92" t="s">
        <v>490</v>
      </c>
      <c r="D977" s="92" t="s">
        <v>95</v>
      </c>
      <c r="E977" s="92" t="s">
        <v>95</v>
      </c>
      <c r="F977" s="92" t="s">
        <v>443</v>
      </c>
      <c r="G977" s="92">
        <v>1</v>
      </c>
    </row>
    <row r="978" spans="1:7" x14ac:dyDescent="0.25">
      <c r="A978" s="94" t="str">
        <f t="shared" si="16"/>
        <v>MAT1101 MAT0Generation at Atiamuri Ohakuri and in the Bay of Plenty</v>
      </c>
      <c r="B978" s="92" t="s">
        <v>251</v>
      </c>
      <c r="C978" s="92" t="s">
        <v>490</v>
      </c>
      <c r="D978" s="92" t="s">
        <v>95</v>
      </c>
      <c r="E978" s="92" t="s">
        <v>95</v>
      </c>
      <c r="F978" s="92" t="s">
        <v>443</v>
      </c>
      <c r="G978" s="92">
        <v>1</v>
      </c>
    </row>
    <row r="979" spans="1:7" x14ac:dyDescent="0.25">
      <c r="A979" s="94" t="str">
        <f t="shared" si="16"/>
        <v>MAT1102 MAT0Generation at Atiamuri Ohakuri and in the Bay of Plenty</v>
      </c>
      <c r="B979" s="92" t="s">
        <v>252</v>
      </c>
      <c r="C979" s="92" t="s">
        <v>490</v>
      </c>
      <c r="D979" s="92" t="s">
        <v>95</v>
      </c>
      <c r="E979" s="92" t="s">
        <v>95</v>
      </c>
      <c r="F979" s="92" t="s">
        <v>443</v>
      </c>
      <c r="G979" s="92">
        <v>1</v>
      </c>
    </row>
    <row r="980" spans="1:7" x14ac:dyDescent="0.25">
      <c r="A980" s="94" t="str">
        <f t="shared" si="16"/>
        <v>ROT1101 WHE0Generation at Atiamuri Ohakuri and in the Bay of Plenty</v>
      </c>
      <c r="B980" s="92" t="s">
        <v>314</v>
      </c>
      <c r="C980" s="92" t="s">
        <v>490</v>
      </c>
      <c r="D980" s="92" t="s">
        <v>95</v>
      </c>
      <c r="E980" s="92" t="s">
        <v>95</v>
      </c>
      <c r="F980" s="92" t="s">
        <v>443</v>
      </c>
      <c r="G980" s="92">
        <v>1</v>
      </c>
    </row>
    <row r="981" spans="1:7" x14ac:dyDescent="0.25">
      <c r="A981" s="94" t="str">
        <f t="shared" si="16"/>
        <v>TGA0331 KMI0Generation at Atiamuri Ohakuri and in the Bay of Plenty</v>
      </c>
      <c r="B981" s="92" t="s">
        <v>335</v>
      </c>
      <c r="C981" s="92" t="s">
        <v>490</v>
      </c>
      <c r="D981" s="92" t="s">
        <v>95</v>
      </c>
      <c r="E981" s="92" t="s">
        <v>95</v>
      </c>
      <c r="F981" s="92" t="s">
        <v>443</v>
      </c>
      <c r="G981" s="92">
        <v>1</v>
      </c>
    </row>
    <row r="982" spans="1:7" x14ac:dyDescent="0.25">
      <c r="A982" s="94" t="str">
        <f t="shared" si="16"/>
        <v>ATI2201 ATI0Generation at Atiamuri Ohakuri and in the Bay of Plenty</v>
      </c>
      <c r="B982" s="92" t="s">
        <v>147</v>
      </c>
      <c r="C982" s="92" t="s">
        <v>490</v>
      </c>
      <c r="D982" s="92" t="s">
        <v>95</v>
      </c>
      <c r="E982" s="92" t="s">
        <v>95</v>
      </c>
      <c r="F982" s="92" t="s">
        <v>443</v>
      </c>
      <c r="G982" s="92">
        <v>1</v>
      </c>
    </row>
    <row r="983" spans="1:7" x14ac:dyDescent="0.25">
      <c r="A983" s="94" t="str">
        <f t="shared" si="16"/>
        <v>OHK2201 OHK0Generation at Atiamuri Ohakuri and in the Bay of Plenty</v>
      </c>
      <c r="B983" s="92" t="s">
        <v>286</v>
      </c>
      <c r="C983" s="92" t="s">
        <v>490</v>
      </c>
      <c r="D983" s="92" t="s">
        <v>95</v>
      </c>
      <c r="E983" s="92" t="s">
        <v>95</v>
      </c>
      <c r="F983" s="92" t="s">
        <v>443</v>
      </c>
      <c r="G983" s="92">
        <v>1</v>
      </c>
    </row>
    <row r="984" spans="1:7" x14ac:dyDescent="0.25">
      <c r="A984" s="94" t="str">
        <f t="shared" si="16"/>
        <v>RPO2201 RPO0Rangipo</v>
      </c>
      <c r="B984" s="92" t="s">
        <v>317</v>
      </c>
      <c r="C984" s="92" t="s">
        <v>491</v>
      </c>
      <c r="D984" s="92" t="s">
        <v>95</v>
      </c>
      <c r="E984" s="92" t="s">
        <v>95</v>
      </c>
      <c r="F984" s="92" t="s">
        <v>443</v>
      </c>
      <c r="G984" s="92">
        <v>1</v>
      </c>
    </row>
    <row r="985" spans="1:7" x14ac:dyDescent="0.25">
      <c r="A985" s="94" t="str">
        <f t="shared" si="16"/>
        <v>TKU2201 TKU0Tokaanu</v>
      </c>
      <c r="B985" s="92" t="s">
        <v>345</v>
      </c>
      <c r="C985" s="92" t="s">
        <v>492</v>
      </c>
      <c r="D985" s="92" t="s">
        <v>95</v>
      </c>
      <c r="E985" s="92" t="s">
        <v>95</v>
      </c>
      <c r="F985" s="92" t="s">
        <v>443</v>
      </c>
      <c r="G985" s="92">
        <v>1</v>
      </c>
    </row>
    <row r="986" spans="1:7" x14ac:dyDescent="0.25">
      <c r="A986" s="94" t="str">
        <f t="shared" si="16"/>
        <v>GOR0331Gore</v>
      </c>
      <c r="B986" s="92" t="s">
        <v>189</v>
      </c>
      <c r="C986" s="92" t="s">
        <v>493</v>
      </c>
      <c r="D986" s="92" t="s">
        <v>443</v>
      </c>
      <c r="E986" s="92" t="s">
        <v>95</v>
      </c>
      <c r="F986" s="92" t="s">
        <v>95</v>
      </c>
      <c r="G986" s="92">
        <v>1</v>
      </c>
    </row>
    <row r="987" spans="1:7" x14ac:dyDescent="0.25">
      <c r="A987" s="94" t="str">
        <f t="shared" si="16"/>
        <v>TNG0111Tangiwai</v>
      </c>
      <c r="B987" s="92" t="s">
        <v>350</v>
      </c>
      <c r="C987" s="92" t="s">
        <v>494</v>
      </c>
      <c r="D987" s="92" t="s">
        <v>443</v>
      </c>
      <c r="E987" s="92" t="s">
        <v>95</v>
      </c>
      <c r="F987" s="92" t="s">
        <v>95</v>
      </c>
      <c r="G987" s="92">
        <v>1</v>
      </c>
    </row>
    <row r="988" spans="1:7" x14ac:dyDescent="0.25">
      <c r="A988" s="94" t="str">
        <f t="shared" si="16"/>
        <v>TNG0551Tangiwai</v>
      </c>
      <c r="B988" s="92" t="s">
        <v>351</v>
      </c>
      <c r="C988" s="92" t="s">
        <v>494</v>
      </c>
      <c r="D988" s="92" t="s">
        <v>443</v>
      </c>
      <c r="E988" s="92" t="s">
        <v>95</v>
      </c>
      <c r="F988" s="92" t="s">
        <v>95</v>
      </c>
      <c r="G988" s="92">
        <v>1</v>
      </c>
    </row>
    <row r="989" spans="1:7" x14ac:dyDescent="0.25">
      <c r="A989" s="94" t="str">
        <f t="shared" si="16"/>
        <v>MTM0331Load at Tarukenga Rotorua Mt Maunganui Tauranga</v>
      </c>
      <c r="B989" s="92" t="s">
        <v>268</v>
      </c>
      <c r="C989" s="92" t="s">
        <v>495</v>
      </c>
      <c r="D989" s="92" t="s">
        <v>443</v>
      </c>
      <c r="E989" s="92" t="s">
        <v>95</v>
      </c>
      <c r="F989" s="92" t="s">
        <v>95</v>
      </c>
      <c r="G989" s="92">
        <v>1</v>
      </c>
    </row>
    <row r="990" spans="1:7" x14ac:dyDescent="0.25">
      <c r="A990" s="94" t="str">
        <f t="shared" si="16"/>
        <v>ROT0331Load at Tarukenga Rotorua Mt Maunganui Tauranga</v>
      </c>
      <c r="B990" s="92" t="s">
        <v>312</v>
      </c>
      <c r="C990" s="92" t="s">
        <v>495</v>
      </c>
      <c r="D990" s="92" t="s">
        <v>443</v>
      </c>
      <c r="E990" s="92" t="s">
        <v>95</v>
      </c>
      <c r="F990" s="92" t="s">
        <v>95</v>
      </c>
      <c r="G990" s="92">
        <v>1</v>
      </c>
    </row>
    <row r="991" spans="1:7" x14ac:dyDescent="0.25">
      <c r="A991" s="94" t="str">
        <f t="shared" si="16"/>
        <v>ROT1101Load at Tarukenga Rotorua Mt Maunganui Tauranga</v>
      </c>
      <c r="B991" s="92" t="s">
        <v>313</v>
      </c>
      <c r="C991" s="92" t="s">
        <v>495</v>
      </c>
      <c r="D991" s="92" t="s">
        <v>443</v>
      </c>
      <c r="E991" s="92" t="s">
        <v>95</v>
      </c>
      <c r="F991" s="92" t="s">
        <v>95</v>
      </c>
      <c r="G991" s="92">
        <v>1</v>
      </c>
    </row>
    <row r="992" spans="1:7" x14ac:dyDescent="0.25">
      <c r="A992" s="94" t="str">
        <f t="shared" si="16"/>
        <v>TGA0111Load at Tarukenga Rotorua Mt Maunganui Tauranga</v>
      </c>
      <c r="B992" s="92" t="s">
        <v>333</v>
      </c>
      <c r="C992" s="92" t="s">
        <v>495</v>
      </c>
      <c r="D992" s="92" t="s">
        <v>443</v>
      </c>
      <c r="E992" s="92" t="s">
        <v>95</v>
      </c>
      <c r="F992" s="92" t="s">
        <v>95</v>
      </c>
      <c r="G992" s="92">
        <v>1</v>
      </c>
    </row>
    <row r="993" spans="1:16" x14ac:dyDescent="0.25">
      <c r="A993" s="94" t="str">
        <f t="shared" si="16"/>
        <v>TGA0331Load at Tarukenga Rotorua Mt Maunganui Tauranga</v>
      </c>
      <c r="B993" s="92" t="s">
        <v>334</v>
      </c>
      <c r="C993" s="92" t="s">
        <v>495</v>
      </c>
      <c r="D993" s="92" t="s">
        <v>443</v>
      </c>
      <c r="E993" s="92" t="s">
        <v>95</v>
      </c>
      <c r="F993" s="92" t="s">
        <v>95</v>
      </c>
      <c r="G993" s="92">
        <v>1</v>
      </c>
    </row>
    <row r="994" spans="1:16" x14ac:dyDescent="0.25">
      <c r="A994" s="94" t="str">
        <f t="shared" si="16"/>
        <v>TRK0111Load at Tarukenga Rotorua Mt Maunganui Tauranga</v>
      </c>
      <c r="B994" s="92" t="s">
        <v>352</v>
      </c>
      <c r="C994" s="92" t="s">
        <v>495</v>
      </c>
      <c r="D994" s="92" t="s">
        <v>443</v>
      </c>
      <c r="E994" s="92" t="s">
        <v>95</v>
      </c>
      <c r="F994" s="92" t="s">
        <v>95</v>
      </c>
      <c r="G994" s="92">
        <v>1</v>
      </c>
    </row>
    <row r="995" spans="1:16" x14ac:dyDescent="0.25">
      <c r="A995" s="94" t="str">
        <f t="shared" si="16"/>
        <v>HWB0331Dunedin loads</v>
      </c>
      <c r="B995" s="92" t="s">
        <v>220</v>
      </c>
      <c r="C995" s="92" t="s">
        <v>496</v>
      </c>
      <c r="D995" s="92" t="s">
        <v>443</v>
      </c>
      <c r="E995" s="92" t="s">
        <v>95</v>
      </c>
      <c r="F995" s="92" t="s">
        <v>95</v>
      </c>
      <c r="G995" s="92">
        <v>1</v>
      </c>
    </row>
    <row r="996" spans="1:16" x14ac:dyDescent="0.25">
      <c r="A996" s="94" t="str">
        <f t="shared" si="16"/>
        <v>HWB0332Dunedin loads</v>
      </c>
      <c r="B996" s="92" t="s">
        <v>222</v>
      </c>
      <c r="C996" s="92" t="s">
        <v>496</v>
      </c>
      <c r="D996" s="92" t="s">
        <v>443</v>
      </c>
      <c r="E996" s="92" t="s">
        <v>95</v>
      </c>
      <c r="F996" s="92" t="s">
        <v>95</v>
      </c>
      <c r="G996" s="92">
        <v>1</v>
      </c>
    </row>
    <row r="997" spans="1:16" x14ac:dyDescent="0.25">
      <c r="A997" s="94" t="str">
        <f t="shared" si="16"/>
        <v>HWB1101Dunedin loads</v>
      </c>
      <c r="B997" s="92" t="s">
        <v>223</v>
      </c>
      <c r="C997" s="92" t="s">
        <v>496</v>
      </c>
      <c r="D997" s="92" t="s">
        <v>443</v>
      </c>
      <c r="E997" s="92" t="s">
        <v>95</v>
      </c>
      <c r="F997" s="92" t="s">
        <v>95</v>
      </c>
      <c r="G997" s="92">
        <v>1</v>
      </c>
    </row>
    <row r="998" spans="1:16" x14ac:dyDescent="0.25">
      <c r="A998" s="94" t="str">
        <f t="shared" si="16"/>
        <v>SDN0331Dunedin loads</v>
      </c>
      <c r="B998" s="92" t="s">
        <v>319</v>
      </c>
      <c r="C998" s="92" t="s">
        <v>496</v>
      </c>
      <c r="D998" s="92" t="s">
        <v>443</v>
      </c>
      <c r="E998" s="92" t="s">
        <v>95</v>
      </c>
      <c r="F998" s="92" t="s">
        <v>95</v>
      </c>
      <c r="G998" s="92">
        <v>1</v>
      </c>
    </row>
    <row r="999" spans="1:16" x14ac:dyDescent="0.25">
      <c r="A999" s="94" t="str">
        <f t="shared" si="16"/>
        <v>BAL0331Southland loads</v>
      </c>
      <c r="B999" s="92" t="s">
        <v>150</v>
      </c>
      <c r="C999" s="92" t="s">
        <v>497</v>
      </c>
      <c r="D999" s="92" t="s">
        <v>443</v>
      </c>
      <c r="E999" s="92" t="s">
        <v>95</v>
      </c>
      <c r="F999" s="92" t="s">
        <v>95</v>
      </c>
      <c r="G999" s="92">
        <v>1</v>
      </c>
    </row>
    <row r="1000" spans="1:16" ht="18.75" x14ac:dyDescent="0.25">
      <c r="A1000" s="94" t="str">
        <f t="shared" si="16"/>
        <v>BDE0111Southland loads</v>
      </c>
      <c r="B1000" s="92" t="s">
        <v>151</v>
      </c>
      <c r="C1000" s="92" t="s">
        <v>497</v>
      </c>
      <c r="D1000" s="92" t="s">
        <v>443</v>
      </c>
      <c r="E1000" s="92" t="s">
        <v>95</v>
      </c>
      <c r="F1000" s="92" t="s">
        <v>95</v>
      </c>
      <c r="G1000" s="92">
        <v>1</v>
      </c>
      <c r="K1000" s="156"/>
    </row>
    <row r="1001" spans="1:16" x14ac:dyDescent="0.25">
      <c r="A1001" s="94" t="str">
        <f t="shared" si="16"/>
        <v>BWK1101Southland loads</v>
      </c>
      <c r="B1001" s="92" t="s">
        <v>164</v>
      </c>
      <c r="C1001" s="92" t="s">
        <v>497</v>
      </c>
      <c r="D1001" s="92" t="s">
        <v>443</v>
      </c>
      <c r="E1001" s="92" t="s">
        <v>95</v>
      </c>
      <c r="F1001" s="92" t="s">
        <v>95</v>
      </c>
      <c r="G1001" s="92">
        <v>1</v>
      </c>
      <c r="K1001" s="21"/>
      <c r="P1001" s="21"/>
    </row>
    <row r="1002" spans="1:16" x14ac:dyDescent="0.25">
      <c r="A1002" s="94" t="str">
        <f t="shared" si="16"/>
        <v>EDN0331Southland loads</v>
      </c>
      <c r="B1002" s="92" t="s">
        <v>183</v>
      </c>
      <c r="C1002" s="92" t="s">
        <v>497</v>
      </c>
      <c r="D1002" s="92" t="s">
        <v>443</v>
      </c>
      <c r="E1002" s="92" t="s">
        <v>95</v>
      </c>
      <c r="F1002" s="92" t="s">
        <v>95</v>
      </c>
      <c r="G1002" s="92">
        <v>1</v>
      </c>
    </row>
    <row r="1003" spans="1:16" x14ac:dyDescent="0.25">
      <c r="A1003" s="94" t="str">
        <f t="shared" si="16"/>
        <v>GOR0331Southland loads</v>
      </c>
      <c r="B1003" s="92" t="s">
        <v>189</v>
      </c>
      <c r="C1003" s="92" t="s">
        <v>497</v>
      </c>
      <c r="D1003" s="92" t="s">
        <v>443</v>
      </c>
      <c r="E1003" s="92" t="s">
        <v>95</v>
      </c>
      <c r="F1003" s="92" t="s">
        <v>95</v>
      </c>
      <c r="G1003" s="92">
        <v>1</v>
      </c>
      <c r="J1003" s="155"/>
      <c r="M1003" s="47"/>
      <c r="N1003" s="157"/>
    </row>
    <row r="1004" spans="1:16" x14ac:dyDescent="0.25">
      <c r="A1004" s="94" t="str">
        <f t="shared" si="16"/>
        <v>INV0331Southland loads</v>
      </c>
      <c r="B1004" s="92" t="s">
        <v>224</v>
      </c>
      <c r="C1004" s="92" t="s">
        <v>497</v>
      </c>
      <c r="D1004" s="92" t="s">
        <v>443</v>
      </c>
      <c r="E1004" s="92" t="s">
        <v>95</v>
      </c>
      <c r="F1004" s="92" t="s">
        <v>95</v>
      </c>
      <c r="G1004" s="92">
        <v>1</v>
      </c>
      <c r="J1004" s="155"/>
      <c r="M1004" s="95"/>
      <c r="N1004" s="95"/>
    </row>
    <row r="1005" spans="1:16" x14ac:dyDescent="0.25">
      <c r="A1005" s="94" t="str">
        <f t="shared" si="16"/>
        <v>TWI2201Southland loads</v>
      </c>
      <c r="B1005" s="92" t="s">
        <v>361</v>
      </c>
      <c r="C1005" s="92" t="s">
        <v>497</v>
      </c>
      <c r="D1005" s="92" t="s">
        <v>443</v>
      </c>
      <c r="E1005" s="92" t="s">
        <v>95</v>
      </c>
      <c r="F1005" s="92" t="s">
        <v>95</v>
      </c>
      <c r="G1005" s="92">
        <v>1</v>
      </c>
      <c r="J1005" s="155"/>
      <c r="M1005" s="95"/>
      <c r="N1005" s="95"/>
    </row>
    <row r="1006" spans="1:16" x14ac:dyDescent="0.25">
      <c r="A1006" s="94" t="str">
        <f t="shared" si="16"/>
        <v>INV0331Southland loads</v>
      </c>
      <c r="B1006" s="92" t="s">
        <v>224</v>
      </c>
      <c r="C1006" s="92" t="s">
        <v>497</v>
      </c>
      <c r="D1006" s="92" t="s">
        <v>443</v>
      </c>
      <c r="E1006" s="92" t="s">
        <v>95</v>
      </c>
      <c r="F1006" s="92" t="s">
        <v>95</v>
      </c>
      <c r="G1006" s="92">
        <v>1</v>
      </c>
      <c r="J1006" s="155"/>
      <c r="M1006" s="95"/>
      <c r="N1006" s="95"/>
    </row>
    <row r="1007" spans="1:16" x14ac:dyDescent="0.25">
      <c r="A1007" s="94" t="str">
        <f t="shared" si="16"/>
        <v>NMA0331Southland loads</v>
      </c>
      <c r="B1007" s="92" t="s">
        <v>276</v>
      </c>
      <c r="C1007" s="92" t="s">
        <v>497</v>
      </c>
      <c r="D1007" s="92" t="s">
        <v>443</v>
      </c>
      <c r="E1007" s="92" t="s">
        <v>95</v>
      </c>
      <c r="F1007" s="92" t="s">
        <v>95</v>
      </c>
      <c r="G1007" s="92">
        <v>1</v>
      </c>
      <c r="J1007" s="155"/>
      <c r="M1007" s="95"/>
      <c r="N1007" s="95"/>
    </row>
    <row r="1008" spans="1:16" x14ac:dyDescent="0.25">
      <c r="A1008" s="94" t="str">
        <f t="shared" si="16"/>
        <v>NPK0331Loads in Ongarue National Park Ohakune Mataroa</v>
      </c>
      <c r="B1008" s="92" t="s">
        <v>278</v>
      </c>
      <c r="C1008" s="92" t="s">
        <v>498</v>
      </c>
      <c r="D1008" s="92" t="s">
        <v>443</v>
      </c>
      <c r="E1008" s="92" t="s">
        <v>95</v>
      </c>
      <c r="F1008" s="92" t="s">
        <v>95</v>
      </c>
      <c r="G1008" s="92">
        <v>1</v>
      </c>
      <c r="J1008" s="155"/>
      <c r="M1008" s="95"/>
      <c r="N1008" s="95"/>
    </row>
    <row r="1009" spans="1:17" x14ac:dyDescent="0.25">
      <c r="A1009" s="94" t="str">
        <f t="shared" si="16"/>
        <v>MTR0331Loads in Ongarue National Park Ohakune Mataroa</v>
      </c>
      <c r="B1009" s="92" t="s">
        <v>271</v>
      </c>
      <c r="C1009" s="92" t="s">
        <v>498</v>
      </c>
      <c r="D1009" s="92" t="s">
        <v>443</v>
      </c>
      <c r="E1009" s="92" t="s">
        <v>95</v>
      </c>
      <c r="F1009" s="92" t="s">
        <v>95</v>
      </c>
      <c r="G1009" s="92">
        <v>1</v>
      </c>
      <c r="J1009" s="155"/>
      <c r="M1009" s="95"/>
      <c r="N1009" s="95"/>
      <c r="O1009" s="158"/>
    </row>
    <row r="1010" spans="1:17" x14ac:dyDescent="0.25">
      <c r="A1010" s="94" t="str">
        <f t="shared" si="16"/>
        <v>ONG0331Loads in Ongarue National Park Ohakune Mataroa</v>
      </c>
      <c r="B1010" s="92" t="s">
        <v>289</v>
      </c>
      <c r="C1010" s="92" t="s">
        <v>498</v>
      </c>
      <c r="D1010" s="92" t="s">
        <v>443</v>
      </c>
      <c r="E1010" s="92" t="s">
        <v>95</v>
      </c>
      <c r="F1010" s="92" t="s">
        <v>95</v>
      </c>
      <c r="G1010" s="92">
        <v>1</v>
      </c>
      <c r="J1010" s="155"/>
      <c r="M1010" s="95"/>
      <c r="N1010" s="95"/>
      <c r="O1010" s="158"/>
    </row>
    <row r="1011" spans="1:17" x14ac:dyDescent="0.25">
      <c r="A1011" s="94" t="str">
        <f t="shared" si="16"/>
        <v>OKN0111Loads in Ongarue National Park Ohakune Mataroa</v>
      </c>
      <c r="B1011" s="92" t="s">
        <v>288</v>
      </c>
      <c r="C1011" s="92" t="s">
        <v>498</v>
      </c>
      <c r="D1011" s="92" t="s">
        <v>443</v>
      </c>
      <c r="E1011" s="92" t="s">
        <v>95</v>
      </c>
      <c r="F1011" s="92" t="s">
        <v>95</v>
      </c>
      <c r="G1011" s="92">
        <v>1</v>
      </c>
      <c r="J1011" s="155"/>
      <c r="M1011" s="95"/>
      <c r="N1011" s="95"/>
    </row>
    <row r="1012" spans="1:17" x14ac:dyDescent="0.25">
      <c r="J1012" s="155"/>
      <c r="M1012" s="95"/>
      <c r="N1012" s="95"/>
    </row>
    <row r="1013" spans="1:17" x14ac:dyDescent="0.25">
      <c r="J1013" s="155"/>
      <c r="M1013" s="95"/>
      <c r="N1013" s="95"/>
      <c r="O1013" s="132"/>
      <c r="P1013" s="132"/>
      <c r="Q1013" s="132"/>
    </row>
    <row r="1014" spans="1:17" x14ac:dyDescent="0.25">
      <c r="M1014" s="95"/>
      <c r="N1014" s="95"/>
      <c r="P1014" s="143"/>
      <c r="Q1014" s="143"/>
    </row>
    <row r="1017" spans="1:17" x14ac:dyDescent="0.25">
      <c r="J1017" s="20"/>
      <c r="M1017" s="21"/>
      <c r="N1017" s="132"/>
      <c r="O1017" s="132"/>
      <c r="P1017" s="132"/>
      <c r="Q1017" s="132"/>
    </row>
    <row r="1018" spans="1:17" x14ac:dyDescent="0.25">
      <c r="J1018" s="36"/>
      <c r="M1018" s="95"/>
      <c r="N1018" s="95"/>
      <c r="O1018" s="132"/>
      <c r="P1018" s="132"/>
      <c r="Q1018" s="132"/>
    </row>
    <row r="1019" spans="1:17" x14ac:dyDescent="0.25">
      <c r="J1019" s="20"/>
    </row>
    <row r="1020" spans="1:17" x14ac:dyDescent="0.25">
      <c r="J1020" s="20"/>
    </row>
  </sheetData>
  <sortState ref="K6:U90">
    <sortCondition descending="1" ref="T6:T90"/>
  </sortState>
  <pageMargins left="0.7" right="0.7" top="0.75" bottom="0.75" header="0.3" footer="0.3"/>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0"/>
  <sheetViews>
    <sheetView topLeftCell="A79" workbookViewId="0">
      <pane ySplit="5700" topLeftCell="A37" activePane="bottomLeft"/>
      <selection activeCell="C198" sqref="C198"/>
      <selection pane="bottomLeft" activeCell="J37" sqref="J37"/>
    </sheetView>
  </sheetViews>
  <sheetFormatPr defaultRowHeight="15" x14ac:dyDescent="0.25"/>
  <cols>
    <col min="8" max="8" width="21.5703125" bestFit="1" customWidth="1"/>
  </cols>
  <sheetData>
    <row r="1" spans="1:10" x14ac:dyDescent="0.25">
      <c r="A1" s="94"/>
      <c r="B1" s="190" t="s">
        <v>1568</v>
      </c>
      <c r="C1" s="190" t="s">
        <v>915</v>
      </c>
      <c r="D1" s="190" t="s">
        <v>1579</v>
      </c>
      <c r="E1" s="190" t="s">
        <v>1580</v>
      </c>
      <c r="F1" s="190"/>
    </row>
    <row r="2" spans="1:10" x14ac:dyDescent="0.25">
      <c r="A2" s="94" t="str">
        <f>C2&amp;B2</f>
        <v>ABY0111Alpine Energy</v>
      </c>
      <c r="B2" s="190" t="s">
        <v>0</v>
      </c>
      <c r="C2" s="190" t="s">
        <v>130</v>
      </c>
      <c r="D2" s="190" t="s">
        <v>641</v>
      </c>
      <c r="E2" s="190" t="s">
        <v>96</v>
      </c>
      <c r="F2" s="190"/>
      <c r="I2" s="16" t="s">
        <v>1668</v>
      </c>
      <c r="J2" s="16" t="s">
        <v>1667</v>
      </c>
    </row>
    <row r="3" spans="1:10" x14ac:dyDescent="0.25">
      <c r="A3" s="94" t="str">
        <f t="shared" ref="A3:A66" si="0">C3&amp;B3</f>
        <v>ALB0331Vector</v>
      </c>
      <c r="B3" s="190" t="s">
        <v>37</v>
      </c>
      <c r="C3" s="190" t="s">
        <v>132</v>
      </c>
      <c r="D3" s="190" t="s">
        <v>827</v>
      </c>
      <c r="E3" s="190" t="s">
        <v>95</v>
      </c>
      <c r="F3" s="190"/>
      <c r="I3" s="190" t="s">
        <v>0</v>
      </c>
      <c r="J3" t="s">
        <v>0</v>
      </c>
    </row>
    <row r="4" spans="1:10" x14ac:dyDescent="0.25">
      <c r="A4" s="94" t="str">
        <f t="shared" si="0"/>
        <v>ALB1101Vector</v>
      </c>
      <c r="B4" s="190" t="s">
        <v>37</v>
      </c>
      <c r="C4" s="190" t="s">
        <v>133</v>
      </c>
      <c r="D4" s="190" t="s">
        <v>827</v>
      </c>
      <c r="E4" s="190" t="s">
        <v>95</v>
      </c>
      <c r="F4" s="190"/>
      <c r="I4" s="190" t="s">
        <v>1</v>
      </c>
      <c r="J4" t="s">
        <v>1</v>
      </c>
    </row>
    <row r="5" spans="1:10" x14ac:dyDescent="0.25">
      <c r="A5" s="94" t="str">
        <f t="shared" si="0"/>
        <v>APS0111Orion</v>
      </c>
      <c r="B5" s="190" t="s">
        <v>25</v>
      </c>
      <c r="C5" s="190" t="s">
        <v>134</v>
      </c>
      <c r="D5" s="190" t="s">
        <v>723</v>
      </c>
      <c r="E5" s="190" t="s">
        <v>96</v>
      </c>
      <c r="F5" s="190"/>
      <c r="I5" s="190" t="s">
        <v>2</v>
      </c>
      <c r="J5" t="s">
        <v>2</v>
      </c>
    </row>
    <row r="6" spans="1:10" x14ac:dyDescent="0.25">
      <c r="A6" s="94" t="str">
        <f t="shared" si="0"/>
        <v>ARA2201MRP</v>
      </c>
      <c r="B6" s="190" t="s">
        <v>17</v>
      </c>
      <c r="C6" s="190" t="s">
        <v>927</v>
      </c>
      <c r="D6" s="190" t="s">
        <v>521</v>
      </c>
      <c r="E6" s="190" t="s">
        <v>95</v>
      </c>
      <c r="F6" s="190"/>
      <c r="I6" s="190" t="s">
        <v>100</v>
      </c>
      <c r="J6" t="s">
        <v>100</v>
      </c>
    </row>
    <row r="7" spans="1:10" x14ac:dyDescent="0.25">
      <c r="A7" s="94" t="str">
        <f t="shared" si="0"/>
        <v>ARG1101TrustPower</v>
      </c>
      <c r="B7" s="190" t="s">
        <v>138</v>
      </c>
      <c r="C7" s="190" t="s">
        <v>137</v>
      </c>
      <c r="D7" s="190" t="s">
        <v>1208</v>
      </c>
      <c r="E7" s="190" t="s">
        <v>96</v>
      </c>
      <c r="F7" s="190"/>
      <c r="I7" s="190" t="s">
        <v>5</v>
      </c>
      <c r="J7" t="s">
        <v>5</v>
      </c>
    </row>
    <row r="8" spans="1:10" x14ac:dyDescent="0.25">
      <c r="A8" s="94" t="str">
        <f t="shared" si="0"/>
        <v>ARI1101MRP</v>
      </c>
      <c r="B8" s="190" t="s">
        <v>17</v>
      </c>
      <c r="C8" s="190" t="s">
        <v>928</v>
      </c>
      <c r="D8" s="190" t="s">
        <v>1194</v>
      </c>
      <c r="E8" s="190" t="s">
        <v>95</v>
      </c>
      <c r="F8" s="190"/>
      <c r="I8" s="190" t="s">
        <v>7</v>
      </c>
      <c r="J8" t="s">
        <v>7</v>
      </c>
    </row>
    <row r="9" spans="1:10" x14ac:dyDescent="0.25">
      <c r="A9" s="94" t="str">
        <f t="shared" si="0"/>
        <v>ARI1102MRP</v>
      </c>
      <c r="B9" s="190" t="s">
        <v>17</v>
      </c>
      <c r="C9" s="190" t="s">
        <v>929</v>
      </c>
      <c r="D9" s="190" t="s">
        <v>1194</v>
      </c>
      <c r="E9" s="190" t="s">
        <v>95</v>
      </c>
      <c r="F9" s="190"/>
      <c r="I9" s="190" t="s">
        <v>8</v>
      </c>
      <c r="J9" t="s">
        <v>8</v>
      </c>
    </row>
    <row r="10" spans="1:10" x14ac:dyDescent="0.25">
      <c r="A10" s="94" t="str">
        <f t="shared" si="0"/>
        <v>ASB0331Electricity Ashburton</v>
      </c>
      <c r="B10" s="190" t="s">
        <v>9</v>
      </c>
      <c r="C10" s="190" t="s">
        <v>142</v>
      </c>
      <c r="D10" s="190" t="s">
        <v>677</v>
      </c>
      <c r="E10" s="190" t="s">
        <v>96</v>
      </c>
      <c r="F10" s="190"/>
      <c r="I10" s="190" t="s">
        <v>9</v>
      </c>
      <c r="J10" t="s">
        <v>9</v>
      </c>
    </row>
    <row r="11" spans="1:10" x14ac:dyDescent="0.25">
      <c r="A11" s="94" t="str">
        <f t="shared" si="0"/>
        <v>ASB0661Electricity Ashburton</v>
      </c>
      <c r="B11" s="190" t="s">
        <v>9</v>
      </c>
      <c r="C11" s="190" t="s">
        <v>143</v>
      </c>
      <c r="D11" s="190" t="s">
        <v>677</v>
      </c>
      <c r="E11" s="190" t="s">
        <v>96</v>
      </c>
      <c r="F11" s="190"/>
      <c r="I11" s="190" t="s">
        <v>101</v>
      </c>
      <c r="J11" t="s">
        <v>101</v>
      </c>
    </row>
    <row r="12" spans="1:10" x14ac:dyDescent="0.25">
      <c r="A12" s="94" t="str">
        <f t="shared" si="0"/>
        <v>ASY0111Daiken MDF</v>
      </c>
      <c r="B12" s="190" t="s">
        <v>6</v>
      </c>
      <c r="C12" s="190" t="s">
        <v>146</v>
      </c>
      <c r="D12" s="190" t="s">
        <v>688</v>
      </c>
      <c r="E12" s="190" t="s">
        <v>96</v>
      </c>
      <c r="F12" s="190"/>
      <c r="I12" s="190" t="s">
        <v>11</v>
      </c>
      <c r="J12" t="s">
        <v>11</v>
      </c>
    </row>
    <row r="13" spans="1:10" x14ac:dyDescent="0.25">
      <c r="A13" s="94" t="str">
        <f t="shared" si="0"/>
        <v>ATI2201MRP</v>
      </c>
      <c r="B13" s="190" t="s">
        <v>17</v>
      </c>
      <c r="C13" s="190" t="s">
        <v>930</v>
      </c>
      <c r="D13" s="190" t="s">
        <v>522</v>
      </c>
      <c r="E13" s="190" t="s">
        <v>95</v>
      </c>
      <c r="F13" s="190"/>
      <c r="I13" s="190" t="s">
        <v>102</v>
      </c>
      <c r="J13" t="s">
        <v>102</v>
      </c>
    </row>
    <row r="14" spans="1:10" x14ac:dyDescent="0.25">
      <c r="A14" s="94" t="str">
        <f t="shared" si="0"/>
        <v>ATU1101Westpower</v>
      </c>
      <c r="B14" s="190" t="s">
        <v>41</v>
      </c>
      <c r="C14" s="190" t="s">
        <v>148</v>
      </c>
      <c r="D14" s="190" t="s">
        <v>1582</v>
      </c>
      <c r="E14" s="190" t="s">
        <v>96</v>
      </c>
      <c r="F14" s="190"/>
      <c r="I14" s="190" t="s">
        <v>12</v>
      </c>
      <c r="J14" t="s">
        <v>12</v>
      </c>
    </row>
    <row r="15" spans="1:10" x14ac:dyDescent="0.25">
      <c r="A15" s="94" t="str">
        <f t="shared" si="0"/>
        <v>AVI2201Meridian</v>
      </c>
      <c r="B15" s="190" t="s">
        <v>14</v>
      </c>
      <c r="C15" s="190" t="s">
        <v>922</v>
      </c>
      <c r="D15" s="190" t="s">
        <v>528</v>
      </c>
      <c r="E15" s="190" t="s">
        <v>96</v>
      </c>
      <c r="F15" s="190"/>
      <c r="I15" s="190" t="s">
        <v>13</v>
      </c>
      <c r="J15" t="s">
        <v>13</v>
      </c>
    </row>
    <row r="16" spans="1:10" x14ac:dyDescent="0.25">
      <c r="A16" s="94" t="str">
        <f t="shared" si="0"/>
        <v>BAL0331OtagoNet JV</v>
      </c>
      <c r="B16" s="198" t="s">
        <v>103</v>
      </c>
      <c r="C16" s="190" t="s">
        <v>150</v>
      </c>
      <c r="D16" s="190" t="s">
        <v>739</v>
      </c>
      <c r="E16" s="190" t="s">
        <v>96</v>
      </c>
      <c r="F16" s="190"/>
      <c r="I16" s="190" t="s">
        <v>19</v>
      </c>
      <c r="J16" t="s">
        <v>19</v>
      </c>
    </row>
    <row r="17" spans="1:10" x14ac:dyDescent="0.25">
      <c r="A17" s="94" t="str">
        <f t="shared" si="0"/>
        <v>BDE0111Other</v>
      </c>
      <c r="B17" s="190" t="s">
        <v>53</v>
      </c>
      <c r="C17" s="190" t="s">
        <v>151</v>
      </c>
      <c r="D17" s="190" t="s">
        <v>1583</v>
      </c>
      <c r="E17" s="190" t="s">
        <v>96</v>
      </c>
      <c r="F17" s="190"/>
      <c r="I17" s="190" t="s">
        <v>20</v>
      </c>
      <c r="J17" t="s">
        <v>20</v>
      </c>
    </row>
    <row r="18" spans="1:10" x14ac:dyDescent="0.25">
      <c r="A18" s="94" t="str">
        <f t="shared" si="0"/>
        <v>BDE0111Rayonier</v>
      </c>
      <c r="B18" s="190" t="s">
        <v>30</v>
      </c>
      <c r="C18" s="190" t="s">
        <v>151</v>
      </c>
      <c r="D18" s="190" t="s">
        <v>1583</v>
      </c>
      <c r="E18" s="190" t="s">
        <v>96</v>
      </c>
      <c r="F18" s="190"/>
      <c r="I18" s="190" t="s">
        <v>23</v>
      </c>
      <c r="J18" t="s">
        <v>23</v>
      </c>
    </row>
    <row r="19" spans="1:10" x14ac:dyDescent="0.25">
      <c r="A19" s="94" t="str">
        <f t="shared" si="0"/>
        <v>BEN2202Meridian</v>
      </c>
      <c r="B19" s="190" t="s">
        <v>14</v>
      </c>
      <c r="C19" s="190" t="s">
        <v>923</v>
      </c>
      <c r="D19" s="190" t="s">
        <v>529</v>
      </c>
      <c r="E19" s="190" t="s">
        <v>96</v>
      </c>
      <c r="F19" s="190"/>
      <c r="I19" s="190" t="s">
        <v>25</v>
      </c>
      <c r="J19" t="s">
        <v>25</v>
      </c>
    </row>
    <row r="20" spans="1:10" x14ac:dyDescent="0.25">
      <c r="A20" s="94" t="str">
        <f t="shared" si="0"/>
        <v>BLN0331Marlborough Lines</v>
      </c>
      <c r="B20" s="190" t="s">
        <v>13</v>
      </c>
      <c r="C20" s="190" t="s">
        <v>153</v>
      </c>
      <c r="D20" s="190" t="s">
        <v>695</v>
      </c>
      <c r="E20" s="190" t="s">
        <v>96</v>
      </c>
      <c r="F20" s="190"/>
      <c r="I20" s="190" t="s">
        <v>103</v>
      </c>
      <c r="J20" t="s">
        <v>103</v>
      </c>
    </row>
    <row r="21" spans="1:10" x14ac:dyDescent="0.25">
      <c r="A21" s="94" t="str">
        <f t="shared" si="0"/>
        <v>BOB0331Counties Power</v>
      </c>
      <c r="B21" s="190" t="s">
        <v>5</v>
      </c>
      <c r="C21" s="190" t="s">
        <v>154</v>
      </c>
      <c r="D21" s="190" t="s">
        <v>668</v>
      </c>
      <c r="E21" s="190" t="s">
        <v>95</v>
      </c>
      <c r="F21" s="190"/>
      <c r="I21" s="190" t="s">
        <v>28</v>
      </c>
      <c r="J21" t="s">
        <v>28</v>
      </c>
    </row>
    <row r="22" spans="1:10" x14ac:dyDescent="0.25">
      <c r="A22" s="94" t="str">
        <f t="shared" si="0"/>
        <v>BOB1101Counties Power</v>
      </c>
      <c r="B22" s="190" t="s">
        <v>5</v>
      </c>
      <c r="C22" s="190" t="s">
        <v>155</v>
      </c>
      <c r="D22" s="190" t="s">
        <v>668</v>
      </c>
      <c r="E22" s="190" t="s">
        <v>95</v>
      </c>
      <c r="F22" s="190"/>
      <c r="I22" s="190" t="s">
        <v>31</v>
      </c>
      <c r="J22" t="s">
        <v>31</v>
      </c>
    </row>
    <row r="23" spans="1:10" x14ac:dyDescent="0.25">
      <c r="A23" s="94" t="str">
        <f t="shared" si="0"/>
        <v>BPD1101Alpine Energy</v>
      </c>
      <c r="B23" s="190" t="s">
        <v>0</v>
      </c>
      <c r="C23" s="190" t="s">
        <v>156</v>
      </c>
      <c r="D23" s="190" t="s">
        <v>643</v>
      </c>
      <c r="E23" s="190" t="s">
        <v>96</v>
      </c>
      <c r="F23" s="190"/>
      <c r="I23" s="190" t="s">
        <v>32</v>
      </c>
      <c r="J23" t="s">
        <v>32</v>
      </c>
    </row>
    <row r="24" spans="1:10" x14ac:dyDescent="0.25">
      <c r="A24" s="94" t="str">
        <f t="shared" si="0"/>
        <v>BPE0331Powerco</v>
      </c>
      <c r="B24" s="190" t="s">
        <v>28</v>
      </c>
      <c r="C24" s="190" t="s">
        <v>157</v>
      </c>
      <c r="D24" s="190" t="s">
        <v>770</v>
      </c>
      <c r="E24" s="190" t="s">
        <v>95</v>
      </c>
      <c r="F24" s="190"/>
      <c r="I24" s="190" t="s">
        <v>105</v>
      </c>
      <c r="J24" t="s">
        <v>105</v>
      </c>
    </row>
    <row r="25" spans="1:10" x14ac:dyDescent="0.25">
      <c r="A25" s="94" t="str">
        <f t="shared" si="0"/>
        <v>BPE0551Kiwirail</v>
      </c>
      <c r="B25" s="190" t="s">
        <v>51</v>
      </c>
      <c r="C25" s="190" t="s">
        <v>159</v>
      </c>
      <c r="D25" s="190" t="s">
        <v>770</v>
      </c>
      <c r="E25" s="190" t="s">
        <v>95</v>
      </c>
      <c r="F25" s="190"/>
      <c r="I25" s="190" t="s">
        <v>34</v>
      </c>
      <c r="J25" t="s">
        <v>34</v>
      </c>
    </row>
    <row r="26" spans="1:10" x14ac:dyDescent="0.25">
      <c r="A26" s="94" t="str">
        <f t="shared" si="0"/>
        <v>BPT1101Network Waitaki</v>
      </c>
      <c r="B26" s="190" t="s">
        <v>20</v>
      </c>
      <c r="C26" s="190" t="s">
        <v>160</v>
      </c>
      <c r="D26" s="190" t="s">
        <v>707</v>
      </c>
      <c r="E26" s="190" t="s">
        <v>96</v>
      </c>
      <c r="F26" s="190"/>
      <c r="I26" s="190" t="s">
        <v>36</v>
      </c>
      <c r="J26" t="s">
        <v>36</v>
      </c>
    </row>
    <row r="27" spans="1:10" x14ac:dyDescent="0.25">
      <c r="A27" s="94" t="str">
        <f t="shared" si="0"/>
        <v>BRB0331Northpower</v>
      </c>
      <c r="B27" s="190" t="s">
        <v>23</v>
      </c>
      <c r="C27" s="190" t="s">
        <v>161</v>
      </c>
      <c r="D27" s="190" t="s">
        <v>716</v>
      </c>
      <c r="E27" s="190" t="s">
        <v>95</v>
      </c>
      <c r="F27" s="190"/>
      <c r="I27" s="190" t="s">
        <v>37</v>
      </c>
      <c r="J27" t="s">
        <v>37</v>
      </c>
    </row>
    <row r="28" spans="1:10" x14ac:dyDescent="0.25">
      <c r="A28" s="94" t="str">
        <f t="shared" si="0"/>
        <v>BRB0331Refinery</v>
      </c>
      <c r="B28" s="190" t="s">
        <v>904</v>
      </c>
      <c r="C28" s="190" t="s">
        <v>161</v>
      </c>
      <c r="D28" s="190" t="s">
        <v>716</v>
      </c>
      <c r="E28" s="190" t="s">
        <v>95</v>
      </c>
      <c r="F28" s="190"/>
      <c r="I28" s="190" t="s">
        <v>38</v>
      </c>
      <c r="J28" t="s">
        <v>38</v>
      </c>
    </row>
    <row r="29" spans="1:10" x14ac:dyDescent="0.25">
      <c r="A29" s="94" t="str">
        <f t="shared" si="0"/>
        <v>BRK0331Powerco</v>
      </c>
      <c r="B29" s="190" t="s">
        <v>28</v>
      </c>
      <c r="C29" s="190" t="s">
        <v>162</v>
      </c>
      <c r="D29" s="190" t="s">
        <v>768</v>
      </c>
      <c r="E29" s="190" t="s">
        <v>95</v>
      </c>
      <c r="F29" s="190"/>
      <c r="I29" s="190" t="s">
        <v>39</v>
      </c>
      <c r="J29" t="s">
        <v>590</v>
      </c>
    </row>
    <row r="30" spans="1:10" x14ac:dyDescent="0.25">
      <c r="A30" s="94" t="str">
        <f t="shared" si="0"/>
        <v>BRY0661Orion</v>
      </c>
      <c r="B30" s="190" t="s">
        <v>25</v>
      </c>
      <c r="C30" s="190" t="s">
        <v>163</v>
      </c>
      <c r="D30" s="190" t="s">
        <v>729</v>
      </c>
      <c r="E30" s="190" t="s">
        <v>96</v>
      </c>
      <c r="F30" s="190"/>
      <c r="I30" s="190" t="s">
        <v>40</v>
      </c>
      <c r="J30" t="s">
        <v>40</v>
      </c>
    </row>
    <row r="31" spans="1:10" x14ac:dyDescent="0.25">
      <c r="A31" s="94" t="str">
        <f t="shared" si="0"/>
        <v>BWK1101TrustPower</v>
      </c>
      <c r="B31" s="190" t="s">
        <v>138</v>
      </c>
      <c r="C31" s="190" t="s">
        <v>164</v>
      </c>
      <c r="D31" s="190" t="s">
        <v>1210</v>
      </c>
      <c r="E31" s="190" t="s">
        <v>96</v>
      </c>
      <c r="F31" s="190"/>
      <c r="I31" s="190" t="s">
        <v>41</v>
      </c>
      <c r="J31" t="s">
        <v>41</v>
      </c>
    </row>
    <row r="32" spans="1:10" x14ac:dyDescent="0.25">
      <c r="A32" s="94" t="str">
        <f t="shared" si="0"/>
        <v>CBG0111Waipa Power</v>
      </c>
      <c r="B32" s="190" t="s">
        <v>38</v>
      </c>
      <c r="C32" s="190" t="s">
        <v>166</v>
      </c>
      <c r="D32" s="190" t="s">
        <v>849</v>
      </c>
      <c r="E32" s="190" t="s">
        <v>95</v>
      </c>
      <c r="F32" s="190"/>
      <c r="I32" s="190"/>
    </row>
    <row r="33" spans="1:10" x14ac:dyDescent="0.25">
      <c r="A33" s="94" t="str">
        <f t="shared" si="0"/>
        <v>CLH0111Orion</v>
      </c>
      <c r="B33" s="190" t="s">
        <v>25</v>
      </c>
      <c r="C33" s="190" t="s">
        <v>167</v>
      </c>
      <c r="D33" s="190" t="s">
        <v>725</v>
      </c>
      <c r="E33" s="190" t="s">
        <v>96</v>
      </c>
      <c r="F33" s="190"/>
      <c r="I33" s="190"/>
    </row>
    <row r="34" spans="1:10" x14ac:dyDescent="0.25">
      <c r="A34" s="94" t="str">
        <f t="shared" si="0"/>
        <v>CML0331Aurora Energy</v>
      </c>
      <c r="B34" s="190" t="s">
        <v>1</v>
      </c>
      <c r="C34" s="190" t="s">
        <v>168</v>
      </c>
      <c r="D34" s="190" t="s">
        <v>660</v>
      </c>
      <c r="E34" s="190" t="s">
        <v>96</v>
      </c>
      <c r="F34" s="190"/>
      <c r="I34" s="190" t="s">
        <v>4</v>
      </c>
      <c r="J34" t="s">
        <v>4</v>
      </c>
    </row>
    <row r="35" spans="1:10" x14ac:dyDescent="0.25">
      <c r="A35" s="94" t="str">
        <f t="shared" si="0"/>
        <v>COB0661TrustPower</v>
      </c>
      <c r="B35" s="190" t="s">
        <v>138</v>
      </c>
      <c r="C35" s="190" t="s">
        <v>934</v>
      </c>
      <c r="D35" s="190" t="s">
        <v>511</v>
      </c>
      <c r="E35" s="190" t="s">
        <v>96</v>
      </c>
      <c r="F35" s="190"/>
      <c r="I35" s="190" t="s">
        <v>10</v>
      </c>
      <c r="J35" t="s">
        <v>10</v>
      </c>
    </row>
    <row r="36" spans="1:10" x14ac:dyDescent="0.25">
      <c r="A36" s="94" t="str">
        <f t="shared" si="0"/>
        <v>COL0111Orion</v>
      </c>
      <c r="B36" s="190" t="s">
        <v>25</v>
      </c>
      <c r="C36" s="190" t="s">
        <v>169</v>
      </c>
      <c r="D36" s="190" t="s">
        <v>512</v>
      </c>
      <c r="E36" s="190" t="s">
        <v>96</v>
      </c>
      <c r="F36" s="190"/>
      <c r="I36" s="190" t="s">
        <v>14</v>
      </c>
      <c r="J36" t="s">
        <v>14</v>
      </c>
    </row>
    <row r="37" spans="1:10" x14ac:dyDescent="0.25">
      <c r="A37" s="94" t="str">
        <f t="shared" si="0"/>
        <v>COL0661TrustPower</v>
      </c>
      <c r="B37" s="190" t="s">
        <v>138</v>
      </c>
      <c r="C37" s="190" t="s">
        <v>170</v>
      </c>
      <c r="D37" s="190" t="s">
        <v>512</v>
      </c>
      <c r="E37" s="190" t="s">
        <v>96</v>
      </c>
      <c r="F37" s="190"/>
      <c r="I37" s="190" t="s">
        <v>16</v>
      </c>
      <c r="J37" t="s">
        <v>1620</v>
      </c>
    </row>
    <row r="38" spans="1:10" x14ac:dyDescent="0.25">
      <c r="A38" s="94" t="str">
        <f t="shared" si="0"/>
        <v>CPK0111Wellington Electricity</v>
      </c>
      <c r="B38" s="190" t="s">
        <v>40</v>
      </c>
      <c r="C38" s="190" t="s">
        <v>172</v>
      </c>
      <c r="D38" s="190" t="s">
        <v>869</v>
      </c>
      <c r="E38" s="190" t="s">
        <v>95</v>
      </c>
      <c r="F38" s="190"/>
      <c r="I38" s="190" t="s">
        <v>17</v>
      </c>
      <c r="J38" t="s">
        <v>1613</v>
      </c>
    </row>
    <row r="39" spans="1:10" x14ac:dyDescent="0.25">
      <c r="A39" s="94" t="str">
        <f t="shared" si="0"/>
        <v>CPK0331Wellington Electricity</v>
      </c>
      <c r="B39" s="190" t="s">
        <v>40</v>
      </c>
      <c r="C39" s="190" t="s">
        <v>173</v>
      </c>
      <c r="D39" s="190" t="s">
        <v>869</v>
      </c>
      <c r="E39" s="190" t="s">
        <v>95</v>
      </c>
      <c r="F39" s="190"/>
      <c r="I39" s="190" t="s">
        <v>18</v>
      </c>
      <c r="J39" t="s">
        <v>1614</v>
      </c>
    </row>
    <row r="40" spans="1:10" x14ac:dyDescent="0.25">
      <c r="A40" s="94" t="str">
        <f t="shared" si="0"/>
        <v>CST0331Powerco</v>
      </c>
      <c r="B40" s="190" t="s">
        <v>28</v>
      </c>
      <c r="C40" s="190" t="s">
        <v>174</v>
      </c>
      <c r="D40" s="190" t="s">
        <v>782</v>
      </c>
      <c r="E40" s="190" t="s">
        <v>95</v>
      </c>
      <c r="F40" s="190"/>
      <c r="I40" s="190" t="s">
        <v>21</v>
      </c>
      <c r="J40" t="s">
        <v>21</v>
      </c>
    </row>
    <row r="41" spans="1:10" x14ac:dyDescent="0.25">
      <c r="A41" s="94" t="str">
        <f t="shared" si="0"/>
        <v>CUL0331Mainpower</v>
      </c>
      <c r="B41" s="190" t="s">
        <v>12</v>
      </c>
      <c r="C41" s="190" t="s">
        <v>175</v>
      </c>
      <c r="D41" s="190" t="s">
        <v>692</v>
      </c>
      <c r="E41" s="190" t="s">
        <v>96</v>
      </c>
      <c r="F41" s="190"/>
      <c r="I41" s="190" t="s">
        <v>27</v>
      </c>
      <c r="J41" t="s">
        <v>27</v>
      </c>
    </row>
    <row r="42" spans="1:10" x14ac:dyDescent="0.25">
      <c r="A42" s="94" t="str">
        <f t="shared" si="0"/>
        <v>CUL0661Mainpower</v>
      </c>
      <c r="B42" s="190" t="s">
        <v>12</v>
      </c>
      <c r="C42" s="190" t="s">
        <v>176</v>
      </c>
      <c r="D42" s="190" t="s">
        <v>692</v>
      </c>
      <c r="E42" s="190" t="s">
        <v>96</v>
      </c>
      <c r="F42" s="190"/>
      <c r="I42" s="190" t="s">
        <v>33</v>
      </c>
      <c r="J42" t="s">
        <v>33</v>
      </c>
    </row>
    <row r="43" spans="1:10" x14ac:dyDescent="0.25">
      <c r="A43" s="94" t="str">
        <f t="shared" si="0"/>
        <v>CYD0331Aurora Energy</v>
      </c>
      <c r="B43" s="190" t="s">
        <v>1</v>
      </c>
      <c r="C43" s="190" t="s">
        <v>177</v>
      </c>
      <c r="D43" s="190" t="s">
        <v>509</v>
      </c>
      <c r="E43" s="190" t="s">
        <v>96</v>
      </c>
      <c r="F43" s="190"/>
      <c r="I43" s="190" t="s">
        <v>35</v>
      </c>
      <c r="J43" t="s">
        <v>35</v>
      </c>
    </row>
    <row r="44" spans="1:10" x14ac:dyDescent="0.25">
      <c r="A44" s="94" t="str">
        <f t="shared" si="0"/>
        <v>CYD0331Contact</v>
      </c>
      <c r="B44" s="190" t="s">
        <v>4</v>
      </c>
      <c r="C44" s="190" t="s">
        <v>177</v>
      </c>
      <c r="D44" s="190" t="s">
        <v>509</v>
      </c>
      <c r="E44" s="190" t="s">
        <v>96</v>
      </c>
      <c r="F44" s="190"/>
      <c r="I44" s="190"/>
    </row>
    <row r="45" spans="1:10" x14ac:dyDescent="0.25">
      <c r="A45" s="94" t="str">
        <f t="shared" si="0"/>
        <v>CYD2201Contact</v>
      </c>
      <c r="B45" s="190" t="s">
        <v>4</v>
      </c>
      <c r="C45" s="190" t="s">
        <v>178</v>
      </c>
      <c r="D45" s="190" t="s">
        <v>509</v>
      </c>
      <c r="E45" s="190" t="s">
        <v>96</v>
      </c>
      <c r="F45" s="190"/>
      <c r="I45" s="190"/>
    </row>
    <row r="46" spans="1:10" x14ac:dyDescent="0.25">
      <c r="A46" s="94" t="str">
        <f t="shared" si="0"/>
        <v>DOB0331Westpower</v>
      </c>
      <c r="B46" s="190" t="s">
        <v>41</v>
      </c>
      <c r="C46" s="190" t="s">
        <v>180</v>
      </c>
      <c r="D46" s="190" t="s">
        <v>881</v>
      </c>
      <c r="E46" s="190" t="s">
        <v>96</v>
      </c>
      <c r="F46" s="190"/>
      <c r="I46" s="190" t="s">
        <v>3</v>
      </c>
      <c r="J46" t="s">
        <v>1671</v>
      </c>
    </row>
    <row r="47" spans="1:10" x14ac:dyDescent="0.25">
      <c r="A47" s="94" t="str">
        <f t="shared" si="0"/>
        <v>DVK0111Scanpower</v>
      </c>
      <c r="B47" s="190" t="s">
        <v>31</v>
      </c>
      <c r="C47" s="190" t="s">
        <v>181</v>
      </c>
      <c r="D47" s="190" t="s">
        <v>801</v>
      </c>
      <c r="E47" s="190" t="s">
        <v>95</v>
      </c>
      <c r="F47" s="190"/>
      <c r="I47" s="190" t="s">
        <v>6</v>
      </c>
      <c r="J47" t="s">
        <v>6</v>
      </c>
    </row>
    <row r="48" spans="1:10" x14ac:dyDescent="0.25">
      <c r="A48" s="94" t="str">
        <f t="shared" si="0"/>
        <v>EDG0331Horizon</v>
      </c>
      <c r="B48" s="190" t="s">
        <v>11</v>
      </c>
      <c r="C48" s="190" t="s">
        <v>182</v>
      </c>
      <c r="D48" s="190" t="s">
        <v>684</v>
      </c>
      <c r="E48" s="190" t="s">
        <v>95</v>
      </c>
      <c r="F48" s="190"/>
      <c r="I48" s="190" t="s">
        <v>51</v>
      </c>
      <c r="J48" t="s">
        <v>51</v>
      </c>
    </row>
    <row r="49" spans="1:10" x14ac:dyDescent="0.25">
      <c r="A49" s="94" t="str">
        <f t="shared" si="0"/>
        <v>EDN0331The Power Company</v>
      </c>
      <c r="B49" s="198" t="s">
        <v>105</v>
      </c>
      <c r="C49" s="190" t="s">
        <v>183</v>
      </c>
      <c r="D49" s="190" t="s">
        <v>794</v>
      </c>
      <c r="E49" s="190" t="s">
        <v>96</v>
      </c>
      <c r="F49" s="190"/>
      <c r="I49" s="190" t="s">
        <v>15</v>
      </c>
      <c r="J49" t="s">
        <v>15</v>
      </c>
    </row>
    <row r="50" spans="1:10" x14ac:dyDescent="0.25">
      <c r="A50" s="94" t="str">
        <f t="shared" si="0"/>
        <v>FHL0331Unison</v>
      </c>
      <c r="B50" s="190" t="s">
        <v>36</v>
      </c>
      <c r="C50" s="190" t="s">
        <v>184</v>
      </c>
      <c r="D50" s="190" t="s">
        <v>817</v>
      </c>
      <c r="E50" s="190" t="s">
        <v>95</v>
      </c>
      <c r="F50" s="190"/>
      <c r="I50" s="190" t="s">
        <v>22</v>
      </c>
      <c r="J50" t="s">
        <v>22</v>
      </c>
    </row>
    <row r="51" spans="1:10" x14ac:dyDescent="0.25">
      <c r="A51" s="94" t="str">
        <f t="shared" si="0"/>
        <v>FKN0331Aurora Energy</v>
      </c>
      <c r="B51" s="190" t="s">
        <v>1</v>
      </c>
      <c r="C51" s="190" t="s">
        <v>185</v>
      </c>
      <c r="D51" s="190" t="s">
        <v>658</v>
      </c>
      <c r="E51" s="190" t="s">
        <v>96</v>
      </c>
      <c r="F51" s="190"/>
      <c r="I51" s="190" t="s">
        <v>24</v>
      </c>
      <c r="J51" t="s">
        <v>24</v>
      </c>
    </row>
    <row r="52" spans="1:10" x14ac:dyDescent="0.25">
      <c r="A52" s="94" t="str">
        <f t="shared" si="0"/>
        <v>FKN0331Lakeland Network</v>
      </c>
      <c r="B52" s="198" t="s">
        <v>102</v>
      </c>
      <c r="C52" s="190" t="s">
        <v>185</v>
      </c>
      <c r="D52" s="190" t="s">
        <v>658</v>
      </c>
      <c r="E52" s="190" t="s">
        <v>96</v>
      </c>
      <c r="F52" s="190"/>
      <c r="I52" s="190" t="s">
        <v>44</v>
      </c>
      <c r="J52" t="s">
        <v>1617</v>
      </c>
    </row>
    <row r="53" spans="1:10" x14ac:dyDescent="0.25">
      <c r="A53" s="94" t="str">
        <f t="shared" si="0"/>
        <v>GFD0331Wellington Electricity</v>
      </c>
      <c r="B53" s="190" t="s">
        <v>40</v>
      </c>
      <c r="C53" s="190" t="s">
        <v>186</v>
      </c>
      <c r="D53" s="190" t="s">
        <v>875</v>
      </c>
      <c r="E53" s="190" t="s">
        <v>95</v>
      </c>
      <c r="F53" s="190"/>
      <c r="I53" s="190" t="s">
        <v>26</v>
      </c>
      <c r="J53" t="s">
        <v>1615</v>
      </c>
    </row>
    <row r="54" spans="1:10" x14ac:dyDescent="0.25">
      <c r="A54" s="94" t="str">
        <f t="shared" si="0"/>
        <v>GLN0331NZ Steel</v>
      </c>
      <c r="B54" s="190" t="s">
        <v>24</v>
      </c>
      <c r="C54" s="190" t="s">
        <v>402</v>
      </c>
      <c r="D54" s="190" t="s">
        <v>187</v>
      </c>
      <c r="E54" s="190" t="s">
        <v>95</v>
      </c>
      <c r="F54" s="190"/>
      <c r="I54" s="190" t="s">
        <v>30</v>
      </c>
      <c r="J54" t="s">
        <v>30</v>
      </c>
    </row>
    <row r="55" spans="1:10" x14ac:dyDescent="0.25">
      <c r="A55" s="94" t="str">
        <f t="shared" si="0"/>
        <v>GLN0332Counties Power</v>
      </c>
      <c r="B55" s="190" t="s">
        <v>5</v>
      </c>
      <c r="C55" s="190" t="s">
        <v>403</v>
      </c>
      <c r="D55" s="190" t="s">
        <v>187</v>
      </c>
      <c r="E55" s="190" t="s">
        <v>95</v>
      </c>
      <c r="F55" s="190"/>
      <c r="I55" s="190" t="s">
        <v>904</v>
      </c>
      <c r="J55" t="s">
        <v>1616</v>
      </c>
    </row>
    <row r="56" spans="1:10" x14ac:dyDescent="0.25">
      <c r="A56" s="94" t="str">
        <f t="shared" si="0"/>
        <v>GLN0332NZ Steel</v>
      </c>
      <c r="B56" s="190" t="s">
        <v>24</v>
      </c>
      <c r="C56" s="190" t="s">
        <v>403</v>
      </c>
      <c r="D56" s="190" t="s">
        <v>187</v>
      </c>
      <c r="E56" s="190" t="s">
        <v>95</v>
      </c>
      <c r="F56" s="190"/>
      <c r="I56" s="190" t="s">
        <v>42</v>
      </c>
      <c r="J56" t="s">
        <v>42</v>
      </c>
    </row>
    <row r="57" spans="1:10" x14ac:dyDescent="0.25">
      <c r="A57" s="94" t="str">
        <f t="shared" si="0"/>
        <v>GOR0331The Power Company</v>
      </c>
      <c r="B57" s="190" t="s">
        <v>105</v>
      </c>
      <c r="C57" s="190" t="s">
        <v>189</v>
      </c>
      <c r="D57" s="190" t="s">
        <v>796</v>
      </c>
      <c r="E57" s="190" t="s">
        <v>96</v>
      </c>
      <c r="F57" s="190"/>
      <c r="I57" s="190"/>
    </row>
    <row r="58" spans="1:10" x14ac:dyDescent="0.25">
      <c r="A58" s="94" t="str">
        <f t="shared" si="0"/>
        <v>GYM0661Westpower</v>
      </c>
      <c r="B58" s="190" t="s">
        <v>41</v>
      </c>
      <c r="C58" s="190" t="s">
        <v>190</v>
      </c>
      <c r="D58" s="190" t="s">
        <v>877</v>
      </c>
      <c r="E58" s="190" t="s">
        <v>96</v>
      </c>
      <c r="F58" s="190"/>
      <c r="I58" s="190"/>
    </row>
    <row r="59" spans="1:10" x14ac:dyDescent="0.25">
      <c r="A59" s="94" t="str">
        <f t="shared" si="0"/>
        <v>GYT0331Powerco</v>
      </c>
      <c r="B59" s="190" t="s">
        <v>28</v>
      </c>
      <c r="C59" s="190" t="s">
        <v>191</v>
      </c>
      <c r="D59" s="190" t="s">
        <v>745</v>
      </c>
      <c r="E59" s="190" t="s">
        <v>95</v>
      </c>
      <c r="F59" s="190"/>
      <c r="I59" s="190"/>
    </row>
    <row r="60" spans="1:10" x14ac:dyDescent="0.25">
      <c r="A60" s="94" t="str">
        <f t="shared" si="0"/>
        <v>HAM0111WEL</v>
      </c>
      <c r="B60" s="190" t="s">
        <v>39</v>
      </c>
      <c r="C60" s="190" t="s">
        <v>192</v>
      </c>
      <c r="D60" s="190" t="s">
        <v>855</v>
      </c>
      <c r="E60" s="190" t="s">
        <v>95</v>
      </c>
      <c r="F60" s="190"/>
      <c r="I60" s="190"/>
    </row>
    <row r="61" spans="1:10" x14ac:dyDescent="0.25">
      <c r="A61" s="94" t="str">
        <f t="shared" si="0"/>
        <v>HAM0331WEL</v>
      </c>
      <c r="B61" s="190" t="s">
        <v>39</v>
      </c>
      <c r="C61" s="190" t="s">
        <v>193</v>
      </c>
      <c r="D61" s="190" t="s">
        <v>855</v>
      </c>
      <c r="E61" s="190" t="s">
        <v>95</v>
      </c>
      <c r="F61" s="190"/>
      <c r="I61" s="190"/>
    </row>
    <row r="62" spans="1:10" x14ac:dyDescent="0.25">
      <c r="A62" s="94" t="str">
        <f t="shared" si="0"/>
        <v>HAM0551Kiwirail</v>
      </c>
      <c r="B62" s="190" t="s">
        <v>51</v>
      </c>
      <c r="C62" s="190" t="s">
        <v>194</v>
      </c>
      <c r="D62" s="190" t="s">
        <v>855</v>
      </c>
      <c r="E62" s="190" t="s">
        <v>95</v>
      </c>
      <c r="F62" s="190"/>
      <c r="I62" s="190"/>
    </row>
    <row r="63" spans="1:10" x14ac:dyDescent="0.25">
      <c r="A63" s="94" t="str">
        <f t="shared" si="0"/>
        <v>HAY0111Wellington Electricity</v>
      </c>
      <c r="B63" s="190" t="s">
        <v>40</v>
      </c>
      <c r="C63" s="190" t="s">
        <v>195</v>
      </c>
      <c r="D63" s="190" t="s">
        <v>865</v>
      </c>
      <c r="E63" s="190" t="s">
        <v>95</v>
      </c>
      <c r="F63" s="190"/>
      <c r="I63" s="190"/>
    </row>
    <row r="64" spans="1:10" x14ac:dyDescent="0.25">
      <c r="A64" s="94" t="str">
        <f t="shared" si="0"/>
        <v>HAY0331Wellington Electricity</v>
      </c>
      <c r="B64" s="190" t="s">
        <v>40</v>
      </c>
      <c r="C64" s="190" t="s">
        <v>196</v>
      </c>
      <c r="D64" s="190" t="s">
        <v>865</v>
      </c>
      <c r="E64" s="190" t="s">
        <v>95</v>
      </c>
      <c r="F64" s="190"/>
      <c r="I64" s="190"/>
    </row>
    <row r="65" spans="1:9" x14ac:dyDescent="0.25">
      <c r="A65" s="94" t="str">
        <f t="shared" si="0"/>
        <v>HEN0331Vector</v>
      </c>
      <c r="B65" s="190" t="s">
        <v>37</v>
      </c>
      <c r="C65" s="190" t="s">
        <v>197</v>
      </c>
      <c r="D65" s="190" t="s">
        <v>834</v>
      </c>
      <c r="E65" s="190" t="s">
        <v>95</v>
      </c>
      <c r="F65" s="190"/>
      <c r="I65" s="190"/>
    </row>
    <row r="66" spans="1:9" x14ac:dyDescent="0.25">
      <c r="A66" s="94" t="str">
        <f t="shared" si="0"/>
        <v>HEP0331Vector</v>
      </c>
      <c r="B66" s="190" t="s">
        <v>37</v>
      </c>
      <c r="C66" s="190" t="s">
        <v>198</v>
      </c>
      <c r="D66" s="190" t="s">
        <v>838</v>
      </c>
      <c r="E66" s="190" t="s">
        <v>95</v>
      </c>
      <c r="F66" s="190"/>
      <c r="I66" s="190"/>
    </row>
    <row r="67" spans="1:9" x14ac:dyDescent="0.25">
      <c r="A67" s="94" t="str">
        <f t="shared" ref="A67:A130" si="1">C67&amp;B67</f>
        <v>HIN0331Powerco</v>
      </c>
      <c r="B67" s="190" t="s">
        <v>28</v>
      </c>
      <c r="C67" s="190" t="s">
        <v>199</v>
      </c>
      <c r="D67" s="190" t="s">
        <v>756</v>
      </c>
      <c r="E67" s="190" t="s">
        <v>95</v>
      </c>
      <c r="F67" s="190"/>
      <c r="I67" s="190"/>
    </row>
    <row r="68" spans="1:9" x14ac:dyDescent="0.25">
      <c r="A68" s="94" t="str">
        <f t="shared" si="1"/>
        <v>HKK0661Westpower</v>
      </c>
      <c r="B68" s="190" t="s">
        <v>41</v>
      </c>
      <c r="C68" s="190" t="s">
        <v>200</v>
      </c>
      <c r="D68" s="190" t="s">
        <v>879</v>
      </c>
      <c r="E68" s="190" t="s">
        <v>96</v>
      </c>
      <c r="F68" s="190"/>
      <c r="I68" s="190"/>
    </row>
    <row r="69" spans="1:9" x14ac:dyDescent="0.25">
      <c r="A69" s="94" t="str">
        <f t="shared" si="1"/>
        <v>HLY0331WEL</v>
      </c>
      <c r="B69" s="190" t="s">
        <v>39</v>
      </c>
      <c r="C69" s="190" t="s">
        <v>201</v>
      </c>
      <c r="D69" s="190" t="s">
        <v>536</v>
      </c>
      <c r="E69" s="190" t="s">
        <v>95</v>
      </c>
      <c r="F69" s="190"/>
      <c r="I69" s="190"/>
    </row>
    <row r="70" spans="1:9" x14ac:dyDescent="0.25">
      <c r="A70" s="94" t="str">
        <f t="shared" si="1"/>
        <v>HLY2201Genesis</v>
      </c>
      <c r="B70" s="190" t="s">
        <v>10</v>
      </c>
      <c r="C70" s="190" t="s">
        <v>918</v>
      </c>
      <c r="D70" s="190" t="s">
        <v>536</v>
      </c>
      <c r="E70" s="190" t="s">
        <v>95</v>
      </c>
      <c r="F70" s="190"/>
      <c r="I70" s="190"/>
    </row>
    <row r="71" spans="1:9" x14ac:dyDescent="0.25">
      <c r="A71" s="94" t="str">
        <f t="shared" si="1"/>
        <v>HOB1101Vector</v>
      </c>
      <c r="B71" s="190" t="s">
        <v>37</v>
      </c>
      <c r="C71" s="190" t="s">
        <v>206</v>
      </c>
      <c r="D71" s="190" t="s">
        <v>1584</v>
      </c>
      <c r="E71" s="190" t="s">
        <v>95</v>
      </c>
      <c r="F71" s="190"/>
      <c r="I71" s="190"/>
    </row>
    <row r="72" spans="1:9" x14ac:dyDescent="0.25">
      <c r="A72" s="94" t="str">
        <f t="shared" si="1"/>
        <v>HOR0331Orion</v>
      </c>
      <c r="B72" s="190" t="s">
        <v>25</v>
      </c>
      <c r="C72" s="190" t="s">
        <v>207</v>
      </c>
      <c r="D72" s="190" t="s">
        <v>727</v>
      </c>
      <c r="E72" s="190" t="s">
        <v>96</v>
      </c>
      <c r="F72" s="190"/>
      <c r="I72" s="190"/>
    </row>
    <row r="73" spans="1:9" x14ac:dyDescent="0.25">
      <c r="A73" s="94" t="str">
        <f t="shared" si="1"/>
        <v>HOR0661Orion</v>
      </c>
      <c r="B73" s="190" t="s">
        <v>25</v>
      </c>
      <c r="C73" s="190" t="s">
        <v>208</v>
      </c>
      <c r="D73" s="190" t="s">
        <v>727</v>
      </c>
      <c r="E73" s="190" t="s">
        <v>96</v>
      </c>
      <c r="F73" s="190"/>
      <c r="I73" s="190"/>
    </row>
    <row r="74" spans="1:9" x14ac:dyDescent="0.25">
      <c r="A74" s="94" t="str">
        <f t="shared" si="1"/>
        <v>HTI0331The Lines Company</v>
      </c>
      <c r="B74" s="190" t="s">
        <v>32</v>
      </c>
      <c r="C74" s="190" t="s">
        <v>209</v>
      </c>
      <c r="D74" s="190" t="s">
        <v>805</v>
      </c>
      <c r="E74" s="190" t="s">
        <v>95</v>
      </c>
      <c r="F74" s="190"/>
      <c r="I74" s="190"/>
    </row>
    <row r="75" spans="1:9" x14ac:dyDescent="0.25">
      <c r="A75" s="94" t="str">
        <f t="shared" si="1"/>
        <v>HUI0331Powerco</v>
      </c>
      <c r="B75" s="190" t="s">
        <v>28</v>
      </c>
      <c r="C75" s="190" t="s">
        <v>210</v>
      </c>
      <c r="D75" s="190" t="s">
        <v>789</v>
      </c>
      <c r="E75" s="190" t="s">
        <v>95</v>
      </c>
      <c r="F75" s="190"/>
      <c r="I75" s="190"/>
    </row>
    <row r="76" spans="1:9" x14ac:dyDescent="0.25">
      <c r="A76" s="94" t="str">
        <f t="shared" si="1"/>
        <v>HWA0331Powerco</v>
      </c>
      <c r="B76" s="190" t="s">
        <v>28</v>
      </c>
      <c r="C76" s="190" t="s">
        <v>211</v>
      </c>
      <c r="D76" s="190" t="s">
        <v>787</v>
      </c>
      <c r="E76" s="190" t="s">
        <v>95</v>
      </c>
      <c r="F76" s="190"/>
      <c r="I76" s="190"/>
    </row>
    <row r="77" spans="1:9" x14ac:dyDescent="0.25">
      <c r="A77" s="94" t="str">
        <f t="shared" si="1"/>
        <v>HWA0332Other</v>
      </c>
      <c r="B77" s="190" t="s">
        <v>53</v>
      </c>
      <c r="C77" s="190" t="s">
        <v>212</v>
      </c>
      <c r="D77" s="190" t="s">
        <v>787</v>
      </c>
      <c r="E77" s="190" t="s">
        <v>95</v>
      </c>
      <c r="F77" s="190"/>
      <c r="I77" s="190"/>
    </row>
    <row r="78" spans="1:9" x14ac:dyDescent="0.25">
      <c r="A78" s="94" t="str">
        <f t="shared" si="1"/>
        <v>HWA1101TrustPower</v>
      </c>
      <c r="B78" s="190" t="s">
        <v>138</v>
      </c>
      <c r="C78" s="190" t="s">
        <v>213</v>
      </c>
      <c r="D78" s="190" t="s">
        <v>787</v>
      </c>
      <c r="E78" s="190" t="s">
        <v>95</v>
      </c>
      <c r="F78" s="190"/>
      <c r="I78" s="190"/>
    </row>
    <row r="79" spans="1:9" x14ac:dyDescent="0.25">
      <c r="A79" s="94" t="str">
        <f t="shared" si="1"/>
        <v>HWA1102Meridian</v>
      </c>
      <c r="B79" s="190" t="s">
        <v>14</v>
      </c>
      <c r="C79" s="190" t="s">
        <v>217</v>
      </c>
      <c r="D79" s="190" t="s">
        <v>787</v>
      </c>
      <c r="E79" s="190" t="s">
        <v>95</v>
      </c>
      <c r="F79" s="190"/>
      <c r="I79" s="190"/>
    </row>
    <row r="80" spans="1:9" x14ac:dyDescent="0.25">
      <c r="A80" s="94" t="str">
        <f t="shared" si="1"/>
        <v>HWB0331Aurora Energy</v>
      </c>
      <c r="B80" s="190" t="s">
        <v>1</v>
      </c>
      <c r="C80" s="190" t="s">
        <v>220</v>
      </c>
      <c r="D80" s="190" t="s">
        <v>654</v>
      </c>
      <c r="E80" s="190" t="s">
        <v>96</v>
      </c>
      <c r="F80" s="190"/>
      <c r="I80" s="190"/>
    </row>
    <row r="81" spans="1:9" x14ac:dyDescent="0.25">
      <c r="A81" s="94" t="str">
        <f t="shared" si="1"/>
        <v>HWB0331OtagoNet JV</v>
      </c>
      <c r="B81" s="198" t="s">
        <v>103</v>
      </c>
      <c r="C81" s="190" t="s">
        <v>220</v>
      </c>
      <c r="D81" s="190" t="s">
        <v>654</v>
      </c>
      <c r="E81" s="190" t="s">
        <v>96</v>
      </c>
      <c r="F81" s="190"/>
      <c r="I81" s="190"/>
    </row>
    <row r="82" spans="1:9" x14ac:dyDescent="0.25">
      <c r="A82" s="94" t="str">
        <f t="shared" si="1"/>
        <v>HWB0332Aurora Energy</v>
      </c>
      <c r="B82" s="190" t="s">
        <v>1</v>
      </c>
      <c r="C82" s="190" t="s">
        <v>222</v>
      </c>
      <c r="D82" s="190" t="s">
        <v>654</v>
      </c>
      <c r="E82" s="190" t="s">
        <v>96</v>
      </c>
      <c r="F82" s="190"/>
      <c r="I82" s="190"/>
    </row>
    <row r="83" spans="1:9" x14ac:dyDescent="0.25">
      <c r="A83" s="94" t="str">
        <f t="shared" si="1"/>
        <v>HWB1101OtagoNet JV</v>
      </c>
      <c r="B83" s="198" t="s">
        <v>103</v>
      </c>
      <c r="C83" s="190" t="s">
        <v>223</v>
      </c>
      <c r="D83" s="190" t="s">
        <v>654</v>
      </c>
      <c r="E83" s="190" t="s">
        <v>96</v>
      </c>
      <c r="F83" s="190"/>
      <c r="I83" s="190"/>
    </row>
    <row r="84" spans="1:9" x14ac:dyDescent="0.25">
      <c r="A84" s="94" t="str">
        <f t="shared" si="1"/>
        <v>INV0331Electricity Invercargill</v>
      </c>
      <c r="B84" s="198" t="s">
        <v>101</v>
      </c>
      <c r="C84" s="198" t="s">
        <v>224</v>
      </c>
      <c r="D84" s="190" t="s">
        <v>797</v>
      </c>
      <c r="E84" s="190" t="s">
        <v>96</v>
      </c>
      <c r="F84" s="190"/>
      <c r="I84" s="190"/>
    </row>
    <row r="85" spans="1:9" x14ac:dyDescent="0.25">
      <c r="A85" s="94" t="str">
        <f t="shared" si="1"/>
        <v>INV0331The Power Company</v>
      </c>
      <c r="B85" s="198" t="s">
        <v>105</v>
      </c>
      <c r="C85" s="198" t="s">
        <v>224</v>
      </c>
      <c r="D85" s="190" t="s">
        <v>797</v>
      </c>
      <c r="E85" s="190" t="s">
        <v>96</v>
      </c>
      <c r="F85" s="190"/>
      <c r="I85" s="190"/>
    </row>
    <row r="86" spans="1:9" x14ac:dyDescent="0.25">
      <c r="A86" s="94" t="str">
        <f t="shared" si="1"/>
        <v>ISL0331Orion</v>
      </c>
      <c r="B86" s="190" t="s">
        <v>25</v>
      </c>
      <c r="C86" s="190" t="s">
        <v>225</v>
      </c>
      <c r="D86" s="190" t="s">
        <v>733</v>
      </c>
      <c r="E86" s="190" t="s">
        <v>96</v>
      </c>
      <c r="F86" s="190"/>
      <c r="I86" s="190"/>
    </row>
    <row r="87" spans="1:9" x14ac:dyDescent="0.25">
      <c r="A87" s="94" t="str">
        <f t="shared" si="1"/>
        <v>ISL0661Orion</v>
      </c>
      <c r="B87" s="190" t="s">
        <v>25</v>
      </c>
      <c r="C87" s="190" t="s">
        <v>226</v>
      </c>
      <c r="D87" s="190" t="s">
        <v>733</v>
      </c>
      <c r="E87" s="190" t="s">
        <v>96</v>
      </c>
      <c r="F87" s="190"/>
      <c r="I87" s="190"/>
    </row>
    <row r="88" spans="1:9" x14ac:dyDescent="0.25">
      <c r="A88" s="94" t="str">
        <f t="shared" si="1"/>
        <v>KAI0111Mainpower</v>
      </c>
      <c r="B88" s="190" t="s">
        <v>12</v>
      </c>
      <c r="C88" s="190" t="s">
        <v>227</v>
      </c>
      <c r="D88" s="190" t="s">
        <v>693</v>
      </c>
      <c r="E88" s="190" t="s">
        <v>96</v>
      </c>
      <c r="F88" s="190"/>
      <c r="I88" s="190"/>
    </row>
    <row r="89" spans="1:9" x14ac:dyDescent="0.25">
      <c r="A89" s="94" t="str">
        <f t="shared" si="1"/>
        <v>KAW0111Horizon</v>
      </c>
      <c r="B89" s="190" t="s">
        <v>11</v>
      </c>
      <c r="C89" s="190" t="s">
        <v>229</v>
      </c>
      <c r="D89" s="190" t="s">
        <v>228</v>
      </c>
      <c r="E89" s="190" t="s">
        <v>95</v>
      </c>
      <c r="F89" s="190"/>
      <c r="I89" s="190"/>
    </row>
    <row r="90" spans="1:9" x14ac:dyDescent="0.25">
      <c r="A90" s="94" t="str">
        <f t="shared" si="1"/>
        <v>KAW0112Norske Skog</v>
      </c>
      <c r="B90" s="190" t="s">
        <v>22</v>
      </c>
      <c r="C90" s="190" t="s">
        <v>404</v>
      </c>
      <c r="D90" s="190" t="s">
        <v>228</v>
      </c>
      <c r="E90" s="190" t="s">
        <v>95</v>
      </c>
      <c r="F90" s="190"/>
      <c r="I90" s="190"/>
    </row>
    <row r="91" spans="1:9" x14ac:dyDescent="0.25">
      <c r="A91" s="94" t="str">
        <f t="shared" si="1"/>
        <v>KAW0113Norske Skog</v>
      </c>
      <c r="B91" s="190" t="s">
        <v>22</v>
      </c>
      <c r="C91" s="190" t="s">
        <v>405</v>
      </c>
      <c r="D91" s="190" t="s">
        <v>228</v>
      </c>
      <c r="E91" s="190" t="s">
        <v>95</v>
      </c>
      <c r="F91" s="190"/>
      <c r="I91" s="190"/>
    </row>
    <row r="92" spans="1:9" x14ac:dyDescent="0.25">
      <c r="A92" s="94" t="str">
        <f t="shared" si="1"/>
        <v>KAW1101Other</v>
      </c>
      <c r="B92" s="190" t="s">
        <v>53</v>
      </c>
      <c r="C92" s="190" t="s">
        <v>406</v>
      </c>
      <c r="D92" s="190" t="s">
        <v>228</v>
      </c>
      <c r="E92" s="190" t="s">
        <v>95</v>
      </c>
      <c r="F92" s="190"/>
      <c r="I92" s="190"/>
    </row>
    <row r="93" spans="1:9" x14ac:dyDescent="0.25">
      <c r="A93" s="94" t="str">
        <f t="shared" si="1"/>
        <v>KBY0661Orion</v>
      </c>
      <c r="B93" s="190" t="s">
        <v>25</v>
      </c>
      <c r="C93" s="190" t="s">
        <v>230</v>
      </c>
      <c r="D93" s="190" t="s">
        <v>1585</v>
      </c>
      <c r="E93" s="190" t="s">
        <v>96</v>
      </c>
      <c r="F93" s="190"/>
      <c r="I93" s="190"/>
    </row>
    <row r="94" spans="1:9" x14ac:dyDescent="0.25">
      <c r="A94" s="94" t="str">
        <f t="shared" si="1"/>
        <v>KBY0662Orion</v>
      </c>
      <c r="B94" s="190" t="s">
        <v>25</v>
      </c>
      <c r="C94" s="190" t="s">
        <v>231</v>
      </c>
      <c r="D94" s="190" t="s">
        <v>1585</v>
      </c>
      <c r="E94" s="190" t="s">
        <v>96</v>
      </c>
      <c r="F94" s="190"/>
      <c r="I94" s="190"/>
    </row>
    <row r="95" spans="1:9" x14ac:dyDescent="0.25">
      <c r="A95" s="94" t="str">
        <f t="shared" si="1"/>
        <v>KIK0111Network Tasman</v>
      </c>
      <c r="B95" s="190" t="s">
        <v>19</v>
      </c>
      <c r="C95" s="190" t="s">
        <v>232</v>
      </c>
      <c r="D95" s="190" t="s">
        <v>705</v>
      </c>
      <c r="E95" s="190" t="s">
        <v>96</v>
      </c>
      <c r="F95" s="190"/>
      <c r="I95" s="190"/>
    </row>
    <row r="96" spans="1:9" x14ac:dyDescent="0.25">
      <c r="A96" s="94" t="str">
        <f t="shared" si="1"/>
        <v>KIN0111CHH</v>
      </c>
      <c r="B96" s="190" t="s">
        <v>3</v>
      </c>
      <c r="C96" s="190" t="s">
        <v>408</v>
      </c>
      <c r="D96" s="190" t="s">
        <v>233</v>
      </c>
      <c r="E96" s="190" t="s">
        <v>95</v>
      </c>
      <c r="F96" s="190"/>
      <c r="I96" s="190"/>
    </row>
    <row r="97" spans="1:9" x14ac:dyDescent="0.25">
      <c r="A97" s="94" t="str">
        <f t="shared" si="1"/>
        <v>KIN0112CHH</v>
      </c>
      <c r="B97" s="190" t="s">
        <v>3</v>
      </c>
      <c r="C97" s="190" t="s">
        <v>409</v>
      </c>
      <c r="D97" s="190" t="s">
        <v>233</v>
      </c>
      <c r="E97" s="190" t="s">
        <v>95</v>
      </c>
      <c r="F97" s="190"/>
      <c r="I97" s="190"/>
    </row>
    <row r="98" spans="1:9" x14ac:dyDescent="0.25">
      <c r="A98" s="94" t="str">
        <f t="shared" si="1"/>
        <v>KIN0113CHH</v>
      </c>
      <c r="B98" s="190" t="s">
        <v>3</v>
      </c>
      <c r="C98" s="190" t="s">
        <v>410</v>
      </c>
      <c r="D98" s="190" t="s">
        <v>233</v>
      </c>
      <c r="E98" s="190" t="s">
        <v>95</v>
      </c>
      <c r="F98" s="190"/>
      <c r="I98" s="190"/>
    </row>
    <row r="99" spans="1:9" x14ac:dyDescent="0.25">
      <c r="A99" s="94" t="str">
        <f t="shared" si="1"/>
        <v>KIN0331Powerco</v>
      </c>
      <c r="B99" s="190" t="s">
        <v>28</v>
      </c>
      <c r="C99" s="190" t="s">
        <v>234</v>
      </c>
      <c r="D99" s="190" t="s">
        <v>233</v>
      </c>
      <c r="E99" s="190" t="s">
        <v>95</v>
      </c>
      <c r="F99" s="190"/>
      <c r="I99" s="190"/>
    </row>
    <row r="100" spans="1:9" x14ac:dyDescent="0.25">
      <c r="A100" s="94" t="str">
        <f t="shared" si="1"/>
        <v>KMO0331Powerco</v>
      </c>
      <c r="B100" s="190" t="s">
        <v>28</v>
      </c>
      <c r="C100" s="190" t="s">
        <v>235</v>
      </c>
      <c r="D100" s="190" t="s">
        <v>764</v>
      </c>
      <c r="E100" s="190" t="s">
        <v>95</v>
      </c>
      <c r="F100" s="190"/>
      <c r="I100" s="190"/>
    </row>
    <row r="101" spans="1:9" x14ac:dyDescent="0.25">
      <c r="A101" s="94" t="str">
        <f t="shared" si="1"/>
        <v>KOE1101Top Energy</v>
      </c>
      <c r="B101" s="190" t="s">
        <v>34</v>
      </c>
      <c r="C101" s="190" t="s">
        <v>236</v>
      </c>
      <c r="D101" s="190" t="s">
        <v>809</v>
      </c>
      <c r="E101" s="190" t="s">
        <v>95</v>
      </c>
      <c r="F101" s="190"/>
      <c r="I101" s="190"/>
    </row>
    <row r="102" spans="1:9" x14ac:dyDescent="0.25">
      <c r="A102" s="94" t="str">
        <f t="shared" si="1"/>
        <v>KPU0661Powerco</v>
      </c>
      <c r="B102" s="190" t="s">
        <v>28</v>
      </c>
      <c r="C102" s="190" t="s">
        <v>240</v>
      </c>
      <c r="D102" s="190" t="s">
        <v>758</v>
      </c>
      <c r="E102" s="190" t="s">
        <v>95</v>
      </c>
      <c r="F102" s="190"/>
      <c r="I102" s="190"/>
    </row>
    <row r="103" spans="1:9" x14ac:dyDescent="0.25">
      <c r="A103" s="94" t="str">
        <f t="shared" si="1"/>
        <v>KUM0661Westpower</v>
      </c>
      <c r="B103" s="190" t="s">
        <v>41</v>
      </c>
      <c r="C103" s="190" t="s">
        <v>241</v>
      </c>
      <c r="D103" s="190" t="s">
        <v>1586</v>
      </c>
      <c r="E103" s="190" t="s">
        <v>96</v>
      </c>
      <c r="F103" s="190"/>
      <c r="I103" s="190"/>
    </row>
    <row r="104" spans="1:9" x14ac:dyDescent="0.25">
      <c r="A104" s="94" t="str">
        <f t="shared" si="1"/>
        <v>KWA0111Wellington Electricity</v>
      </c>
      <c r="B104" s="190" t="s">
        <v>40</v>
      </c>
      <c r="C104" s="190" t="s">
        <v>243</v>
      </c>
      <c r="D104" s="190" t="s">
        <v>859</v>
      </c>
      <c r="E104" s="190" t="s">
        <v>95</v>
      </c>
      <c r="F104" s="190"/>
      <c r="I104" s="190"/>
    </row>
    <row r="105" spans="1:9" x14ac:dyDescent="0.25">
      <c r="A105" s="94" t="str">
        <f t="shared" si="1"/>
        <v>LFD1101Fonterra</v>
      </c>
      <c r="B105" s="190" t="s">
        <v>49</v>
      </c>
      <c r="C105" s="190" t="s">
        <v>244</v>
      </c>
      <c r="D105" s="190" t="s">
        <v>825</v>
      </c>
      <c r="E105" s="190" t="s">
        <v>95</v>
      </c>
      <c r="F105" s="190"/>
      <c r="I105" s="190"/>
    </row>
    <row r="106" spans="1:9" x14ac:dyDescent="0.25">
      <c r="A106" s="94" t="str">
        <f t="shared" si="1"/>
        <v>LFD1102Fonterra</v>
      </c>
      <c r="B106" s="190" t="s">
        <v>49</v>
      </c>
      <c r="C106" s="190" t="s">
        <v>245</v>
      </c>
      <c r="D106" s="190" t="s">
        <v>825</v>
      </c>
      <c r="E106" s="190" t="s">
        <v>95</v>
      </c>
      <c r="F106" s="190"/>
      <c r="I106" s="190"/>
    </row>
    <row r="107" spans="1:9" x14ac:dyDescent="0.25">
      <c r="A107" s="94" t="str">
        <f t="shared" si="1"/>
        <v>LTN0331Powerco</v>
      </c>
      <c r="B107" s="190" t="s">
        <v>28</v>
      </c>
      <c r="C107" s="190" t="s">
        <v>246</v>
      </c>
      <c r="D107" s="190" t="s">
        <v>747</v>
      </c>
      <c r="E107" s="190" t="s">
        <v>95</v>
      </c>
      <c r="F107" s="190"/>
      <c r="I107" s="190"/>
    </row>
    <row r="108" spans="1:9" x14ac:dyDescent="0.25">
      <c r="A108" s="94" t="str">
        <f t="shared" si="1"/>
        <v>MAT1101TrustPower</v>
      </c>
      <c r="B108" s="190" t="s">
        <v>138</v>
      </c>
      <c r="C108" s="190" t="s">
        <v>249</v>
      </c>
      <c r="D108" s="190" t="s">
        <v>516</v>
      </c>
      <c r="E108" s="190" t="s">
        <v>95</v>
      </c>
      <c r="F108" s="190"/>
      <c r="I108" s="190"/>
    </row>
    <row r="109" spans="1:9" x14ac:dyDescent="0.25">
      <c r="A109" s="94" t="str">
        <f t="shared" si="1"/>
        <v>MAT1102TrustPower</v>
      </c>
      <c r="B109" s="190" t="s">
        <v>138</v>
      </c>
      <c r="C109" s="190" t="s">
        <v>935</v>
      </c>
      <c r="D109" s="190" t="s">
        <v>516</v>
      </c>
      <c r="E109" s="190" t="s">
        <v>95</v>
      </c>
      <c r="F109" s="190"/>
      <c r="I109" s="190"/>
    </row>
    <row r="110" spans="1:9" x14ac:dyDescent="0.25">
      <c r="A110" s="94" t="str">
        <f t="shared" si="1"/>
        <v>MCH0111Network Tasman</v>
      </c>
      <c r="B110" s="190" t="s">
        <v>19</v>
      </c>
      <c r="C110" s="190" t="s">
        <v>253</v>
      </c>
      <c r="D110" s="190" t="s">
        <v>699</v>
      </c>
      <c r="E110" s="190" t="s">
        <v>96</v>
      </c>
      <c r="F110" s="190"/>
      <c r="I110" s="190"/>
    </row>
    <row r="111" spans="1:9" x14ac:dyDescent="0.25">
      <c r="A111" s="94" t="str">
        <f t="shared" si="1"/>
        <v>MER0331WEL</v>
      </c>
      <c r="B111" s="190" t="s">
        <v>39</v>
      </c>
      <c r="C111" s="190" t="s">
        <v>254</v>
      </c>
      <c r="D111" s="190" t="s">
        <v>853</v>
      </c>
      <c r="E111" s="190" t="s">
        <v>95</v>
      </c>
      <c r="F111" s="190"/>
      <c r="I111" s="190"/>
    </row>
    <row r="112" spans="1:9" x14ac:dyDescent="0.25">
      <c r="A112" s="94" t="str">
        <f t="shared" si="1"/>
        <v>MGM0331Powerco</v>
      </c>
      <c r="B112" s="190" t="s">
        <v>28</v>
      </c>
      <c r="C112" s="190" t="s">
        <v>255</v>
      </c>
      <c r="D112" s="190" t="s">
        <v>751</v>
      </c>
      <c r="E112" s="190" t="s">
        <v>95</v>
      </c>
      <c r="F112" s="190"/>
      <c r="I112" s="190"/>
    </row>
    <row r="113" spans="1:9" x14ac:dyDescent="0.25">
      <c r="A113" s="94" t="str">
        <f t="shared" si="1"/>
        <v>MHO0331Electra</v>
      </c>
      <c r="B113" s="190" t="s">
        <v>8</v>
      </c>
      <c r="C113" s="190" t="s">
        <v>256</v>
      </c>
      <c r="D113" s="190" t="s">
        <v>515</v>
      </c>
      <c r="E113" s="190" t="s">
        <v>95</v>
      </c>
      <c r="F113" s="190"/>
      <c r="I113" s="190"/>
    </row>
    <row r="114" spans="1:9" x14ac:dyDescent="0.25">
      <c r="A114" s="94" t="str">
        <f t="shared" si="1"/>
        <v>MKE1101Todd</v>
      </c>
      <c r="B114" s="190" t="s">
        <v>33</v>
      </c>
      <c r="C114" s="190" t="s">
        <v>258</v>
      </c>
      <c r="D114" s="190" t="s">
        <v>1587</v>
      </c>
      <c r="E114" s="190" t="s">
        <v>95</v>
      </c>
      <c r="F114" s="190"/>
      <c r="I114" s="190"/>
    </row>
    <row r="115" spans="1:9" x14ac:dyDescent="0.25">
      <c r="A115" s="94" t="str">
        <f t="shared" si="1"/>
        <v>MLG0111Wellington Electricity</v>
      </c>
      <c r="B115" s="190" t="s">
        <v>40</v>
      </c>
      <c r="C115" s="190" t="s">
        <v>260</v>
      </c>
      <c r="D115" s="190" t="s">
        <v>863</v>
      </c>
      <c r="E115" s="190" t="s">
        <v>95</v>
      </c>
      <c r="F115" s="190"/>
      <c r="I115" s="190"/>
    </row>
    <row r="116" spans="1:9" x14ac:dyDescent="0.25">
      <c r="A116" s="94" t="str">
        <f t="shared" si="1"/>
        <v>MLG0331Wellington Electricity</v>
      </c>
      <c r="B116" s="190" t="s">
        <v>40</v>
      </c>
      <c r="C116" s="190" t="s">
        <v>261</v>
      </c>
      <c r="D116" s="190" t="s">
        <v>863</v>
      </c>
      <c r="E116" s="190" t="s">
        <v>95</v>
      </c>
      <c r="F116" s="190"/>
      <c r="I116" s="190"/>
    </row>
    <row r="117" spans="1:9" x14ac:dyDescent="0.25">
      <c r="A117" s="94" t="str">
        <f t="shared" si="1"/>
        <v>MNG0331Vector</v>
      </c>
      <c r="B117" s="190" t="s">
        <v>37</v>
      </c>
      <c r="C117" s="190" t="s">
        <v>262</v>
      </c>
      <c r="D117" s="190" t="s">
        <v>831</v>
      </c>
      <c r="E117" s="190" t="s">
        <v>95</v>
      </c>
      <c r="F117" s="190"/>
      <c r="I117" s="190"/>
    </row>
    <row r="118" spans="1:9" x14ac:dyDescent="0.25">
      <c r="A118" s="94" t="str">
        <f t="shared" si="1"/>
        <v>MNG1101Pacific Steel</v>
      </c>
      <c r="B118" s="198" t="s">
        <v>50</v>
      </c>
      <c r="C118" s="198" t="s">
        <v>263</v>
      </c>
      <c r="D118" s="190" t="s">
        <v>831</v>
      </c>
      <c r="E118" s="190" t="s">
        <v>95</v>
      </c>
      <c r="F118" s="190"/>
      <c r="I118" s="190"/>
    </row>
    <row r="119" spans="1:9" x14ac:dyDescent="0.25">
      <c r="A119" s="94" t="str">
        <f t="shared" si="1"/>
        <v>MNI0111Methanex</v>
      </c>
      <c r="B119" s="190" t="s">
        <v>15</v>
      </c>
      <c r="C119" s="190" t="s">
        <v>264</v>
      </c>
      <c r="D119" s="190" t="s">
        <v>1188</v>
      </c>
      <c r="E119" s="190" t="s">
        <v>95</v>
      </c>
      <c r="F119" s="190"/>
      <c r="I119" s="190"/>
    </row>
    <row r="120" spans="1:9" x14ac:dyDescent="0.25">
      <c r="A120" s="94" t="str">
        <f t="shared" si="1"/>
        <v>MPE1101Northpower</v>
      </c>
      <c r="B120" s="190" t="s">
        <v>23</v>
      </c>
      <c r="C120" s="190" t="s">
        <v>265</v>
      </c>
      <c r="D120" s="190" t="s">
        <v>712</v>
      </c>
      <c r="E120" s="190" t="s">
        <v>95</v>
      </c>
      <c r="F120" s="190"/>
      <c r="I120" s="190"/>
    </row>
    <row r="121" spans="1:9" x14ac:dyDescent="0.25">
      <c r="A121" s="94" t="str">
        <f t="shared" si="1"/>
        <v>MST0331Powerco</v>
      </c>
      <c r="B121" s="190" t="s">
        <v>28</v>
      </c>
      <c r="C121" s="190" t="s">
        <v>266</v>
      </c>
      <c r="D121" s="190" t="s">
        <v>774</v>
      </c>
      <c r="E121" s="190" t="s">
        <v>95</v>
      </c>
      <c r="F121" s="190"/>
      <c r="I121" s="190"/>
    </row>
    <row r="122" spans="1:9" x14ac:dyDescent="0.25">
      <c r="A122" s="94" t="str">
        <f t="shared" si="1"/>
        <v>MTI2201MRP</v>
      </c>
      <c r="B122" s="190" t="s">
        <v>17</v>
      </c>
      <c r="C122" s="190" t="s">
        <v>931</v>
      </c>
      <c r="D122" s="190" t="s">
        <v>524</v>
      </c>
      <c r="E122" s="190" t="s">
        <v>95</v>
      </c>
      <c r="F122" s="190"/>
      <c r="I122" s="190"/>
    </row>
    <row r="123" spans="1:9" x14ac:dyDescent="0.25">
      <c r="A123" s="94" t="str">
        <f t="shared" si="1"/>
        <v>MTM0331Powerco</v>
      </c>
      <c r="B123" s="190" t="s">
        <v>28</v>
      </c>
      <c r="C123" s="190" t="s">
        <v>268</v>
      </c>
      <c r="D123" s="190" t="s">
        <v>783</v>
      </c>
      <c r="E123" s="190" t="s">
        <v>95</v>
      </c>
      <c r="F123" s="190"/>
      <c r="I123" s="190"/>
    </row>
    <row r="124" spans="1:9" x14ac:dyDescent="0.25">
      <c r="A124" s="94" t="str">
        <f t="shared" si="1"/>
        <v>MTN0331Powerco</v>
      </c>
      <c r="B124" s="190" t="s">
        <v>28</v>
      </c>
      <c r="C124" s="190" t="s">
        <v>269</v>
      </c>
      <c r="D124" s="190" t="s">
        <v>766</v>
      </c>
      <c r="E124" s="190" t="s">
        <v>95</v>
      </c>
      <c r="F124" s="190"/>
      <c r="I124" s="190"/>
    </row>
    <row r="125" spans="1:9" x14ac:dyDescent="0.25">
      <c r="A125" s="94" t="str">
        <f t="shared" si="1"/>
        <v>MTO0331Northpower</v>
      </c>
      <c r="B125" s="190" t="s">
        <v>23</v>
      </c>
      <c r="C125" s="190" t="s">
        <v>270</v>
      </c>
      <c r="D125" s="190" t="s">
        <v>714</v>
      </c>
      <c r="E125" s="190" t="s">
        <v>95</v>
      </c>
      <c r="F125" s="190"/>
      <c r="I125" s="190"/>
    </row>
    <row r="126" spans="1:9" x14ac:dyDescent="0.25">
      <c r="A126" s="94" t="str">
        <f t="shared" si="1"/>
        <v>MTR0331Powerco</v>
      </c>
      <c r="B126" s="190" t="s">
        <v>28</v>
      </c>
      <c r="C126" s="190" t="s">
        <v>271</v>
      </c>
      <c r="D126" s="190" t="s">
        <v>749</v>
      </c>
      <c r="E126" s="190" t="s">
        <v>95</v>
      </c>
      <c r="F126" s="190"/>
      <c r="I126" s="190"/>
    </row>
    <row r="127" spans="1:9" x14ac:dyDescent="0.25">
      <c r="A127" s="94" t="str">
        <f t="shared" si="1"/>
        <v>NAP2201Other</v>
      </c>
      <c r="B127" s="190" t="s">
        <v>53</v>
      </c>
      <c r="C127" s="190" t="s">
        <v>272</v>
      </c>
      <c r="D127" s="190" t="s">
        <v>506</v>
      </c>
      <c r="E127" s="190" t="s">
        <v>95</v>
      </c>
      <c r="F127" s="190"/>
      <c r="I127" s="190"/>
    </row>
    <row r="128" spans="1:9" x14ac:dyDescent="0.25">
      <c r="A128" s="94" t="str">
        <f t="shared" si="1"/>
        <v>NAP2202MRP</v>
      </c>
      <c r="B128" s="190" t="s">
        <v>17</v>
      </c>
      <c r="C128" s="190" t="s">
        <v>274</v>
      </c>
      <c r="D128" s="190" t="s">
        <v>506</v>
      </c>
      <c r="E128" s="190" t="s">
        <v>95</v>
      </c>
      <c r="F128" s="190"/>
      <c r="I128" s="190"/>
    </row>
    <row r="129" spans="1:9" x14ac:dyDescent="0.25">
      <c r="A129" s="94" t="str">
        <f t="shared" si="1"/>
        <v>NMA0331The Power Company</v>
      </c>
      <c r="B129" s="190" t="s">
        <v>105</v>
      </c>
      <c r="C129" s="190" t="s">
        <v>276</v>
      </c>
      <c r="D129" s="190" t="s">
        <v>792</v>
      </c>
      <c r="E129" s="190" t="s">
        <v>96</v>
      </c>
      <c r="F129" s="190"/>
      <c r="I129" s="190"/>
    </row>
    <row r="130" spans="1:9" x14ac:dyDescent="0.25">
      <c r="A130" s="94" t="str">
        <f t="shared" si="1"/>
        <v>NPK0331The Lines Company</v>
      </c>
      <c r="B130" s="190" t="s">
        <v>32</v>
      </c>
      <c r="C130" s="190" t="s">
        <v>278</v>
      </c>
      <c r="D130" s="190" t="s">
        <v>807</v>
      </c>
      <c r="E130" s="190" t="s">
        <v>95</v>
      </c>
      <c r="F130" s="190"/>
      <c r="I130" s="190"/>
    </row>
    <row r="131" spans="1:9" x14ac:dyDescent="0.25">
      <c r="A131" s="94" t="str">
        <f t="shared" ref="A131:A194" si="2">C131&amp;B131</f>
        <v>NPL0331Other</v>
      </c>
      <c r="B131" s="190" t="s">
        <v>53</v>
      </c>
      <c r="C131" s="190" t="s">
        <v>279</v>
      </c>
      <c r="D131" s="190" t="s">
        <v>785</v>
      </c>
      <c r="E131" s="190" t="s">
        <v>95</v>
      </c>
      <c r="F131" s="190"/>
      <c r="I131" s="190"/>
    </row>
    <row r="132" spans="1:9" x14ac:dyDescent="0.25">
      <c r="A132" s="94" t="str">
        <f t="shared" si="2"/>
        <v>NPL0331Powerco</v>
      </c>
      <c r="B132" s="190" t="s">
        <v>28</v>
      </c>
      <c r="C132" s="190" t="s">
        <v>279</v>
      </c>
      <c r="D132" s="190" t="s">
        <v>785</v>
      </c>
      <c r="E132" s="190" t="s">
        <v>95</v>
      </c>
      <c r="F132" s="190"/>
      <c r="I132" s="190"/>
    </row>
    <row r="133" spans="1:9" x14ac:dyDescent="0.25">
      <c r="A133" s="94" t="str">
        <f t="shared" si="2"/>
        <v>NSY0331OtagoNet JV</v>
      </c>
      <c r="B133" s="190" t="s">
        <v>103</v>
      </c>
      <c r="C133" s="190" t="s">
        <v>280</v>
      </c>
      <c r="D133" s="190" t="s">
        <v>741</v>
      </c>
      <c r="E133" s="190" t="s">
        <v>96</v>
      </c>
      <c r="F133" s="190"/>
      <c r="I133" s="190"/>
    </row>
    <row r="134" spans="1:9" x14ac:dyDescent="0.25">
      <c r="A134" s="94" t="str">
        <f t="shared" si="2"/>
        <v>OAM0331Network Waitaki</v>
      </c>
      <c r="B134" s="190" t="s">
        <v>20</v>
      </c>
      <c r="C134" s="190" t="s">
        <v>282</v>
      </c>
      <c r="D134" s="190" t="s">
        <v>709</v>
      </c>
      <c r="E134" s="190" t="s">
        <v>96</v>
      </c>
      <c r="F134" s="190"/>
      <c r="I134" s="190"/>
    </row>
    <row r="135" spans="1:9" x14ac:dyDescent="0.25">
      <c r="A135" s="94" t="str">
        <f t="shared" si="2"/>
        <v>OHA2201Meridian</v>
      </c>
      <c r="B135" s="190" t="s">
        <v>14</v>
      </c>
      <c r="C135" s="190" t="s">
        <v>924</v>
      </c>
      <c r="D135" s="190" t="s">
        <v>530</v>
      </c>
      <c r="E135" s="190" t="s">
        <v>96</v>
      </c>
      <c r="F135" s="190"/>
      <c r="I135" s="190"/>
    </row>
    <row r="136" spans="1:9" x14ac:dyDescent="0.25">
      <c r="A136" s="94" t="str">
        <f t="shared" si="2"/>
        <v>OHB2201Meridian</v>
      </c>
      <c r="B136" s="190" t="s">
        <v>14</v>
      </c>
      <c r="C136" s="190" t="s">
        <v>925</v>
      </c>
      <c r="D136" s="190" t="s">
        <v>531</v>
      </c>
      <c r="E136" s="190" t="s">
        <v>96</v>
      </c>
      <c r="F136" s="190"/>
      <c r="I136" s="190"/>
    </row>
    <row r="137" spans="1:9" x14ac:dyDescent="0.25">
      <c r="A137" s="94" t="str">
        <f t="shared" si="2"/>
        <v>OHC2201Meridian</v>
      </c>
      <c r="B137" s="190" t="s">
        <v>14</v>
      </c>
      <c r="C137" s="190" t="s">
        <v>926</v>
      </c>
      <c r="D137" s="190" t="s">
        <v>532</v>
      </c>
      <c r="E137" s="190" t="s">
        <v>96</v>
      </c>
      <c r="F137" s="190"/>
      <c r="I137" s="190"/>
    </row>
    <row r="138" spans="1:9" x14ac:dyDescent="0.25">
      <c r="A138" s="94" t="str">
        <f t="shared" si="2"/>
        <v>OHK2201MRP</v>
      </c>
      <c r="B138" s="190" t="s">
        <v>17</v>
      </c>
      <c r="C138" s="190" t="s">
        <v>932</v>
      </c>
      <c r="D138" s="190" t="s">
        <v>525</v>
      </c>
      <c r="E138" s="190" t="s">
        <v>95</v>
      </c>
      <c r="F138" s="190"/>
      <c r="I138" s="190"/>
    </row>
    <row r="139" spans="1:9" x14ac:dyDescent="0.25">
      <c r="A139" s="94" t="str">
        <f t="shared" si="2"/>
        <v>OKI2201Contact</v>
      </c>
      <c r="B139" s="190" t="s">
        <v>4</v>
      </c>
      <c r="C139" s="190" t="s">
        <v>916</v>
      </c>
      <c r="D139" s="190" t="s">
        <v>503</v>
      </c>
      <c r="E139" s="190" t="s">
        <v>95</v>
      </c>
      <c r="F139" s="190"/>
      <c r="I139" s="190"/>
    </row>
    <row r="140" spans="1:9" x14ac:dyDescent="0.25">
      <c r="A140" s="94" t="str">
        <f t="shared" si="2"/>
        <v>OKN0111Powerco</v>
      </c>
      <c r="B140" s="190" t="s">
        <v>28</v>
      </c>
      <c r="C140" s="190" t="s">
        <v>288</v>
      </c>
      <c r="D140" s="190" t="s">
        <v>776</v>
      </c>
      <c r="E140" s="190" t="s">
        <v>95</v>
      </c>
      <c r="F140" s="190"/>
      <c r="I140" s="190"/>
    </row>
    <row r="141" spans="1:9" x14ac:dyDescent="0.25">
      <c r="A141" s="94" t="str">
        <f t="shared" si="2"/>
        <v>OKN0111The Lines Company</v>
      </c>
      <c r="B141" s="190" t="s">
        <v>32</v>
      </c>
      <c r="C141" s="190" t="s">
        <v>288</v>
      </c>
      <c r="D141" s="190" t="s">
        <v>776</v>
      </c>
      <c r="E141" s="190" t="s">
        <v>95</v>
      </c>
      <c r="F141" s="190"/>
      <c r="I141" s="190"/>
    </row>
    <row r="142" spans="1:9" x14ac:dyDescent="0.25">
      <c r="A142" s="94" t="str">
        <f t="shared" si="2"/>
        <v>ONG0331The Lines Company</v>
      </c>
      <c r="B142" s="190" t="s">
        <v>32</v>
      </c>
      <c r="C142" s="190" t="s">
        <v>289</v>
      </c>
      <c r="D142" s="190" t="s">
        <v>803</v>
      </c>
      <c r="E142" s="190" t="s">
        <v>95</v>
      </c>
      <c r="F142" s="190"/>
      <c r="I142" s="190"/>
    </row>
    <row r="143" spans="1:9" x14ac:dyDescent="0.25">
      <c r="A143" s="94" t="str">
        <f t="shared" si="2"/>
        <v>OPK0331Powerco</v>
      </c>
      <c r="B143" s="190" t="s">
        <v>28</v>
      </c>
      <c r="C143" s="190" t="s">
        <v>290</v>
      </c>
      <c r="D143" s="190" t="s">
        <v>753</v>
      </c>
      <c r="E143" s="190" t="s">
        <v>95</v>
      </c>
      <c r="F143" s="190"/>
      <c r="I143" s="190"/>
    </row>
    <row r="144" spans="1:9" x14ac:dyDescent="0.25">
      <c r="A144" s="94" t="str">
        <f t="shared" si="2"/>
        <v>ORO1101Buller Electricity</v>
      </c>
      <c r="B144" s="190" t="s">
        <v>2</v>
      </c>
      <c r="C144" s="190" t="s">
        <v>291</v>
      </c>
      <c r="D144" s="190" t="s">
        <v>662</v>
      </c>
      <c r="E144" s="190" t="s">
        <v>96</v>
      </c>
      <c r="F144" s="190"/>
      <c r="I144" s="190"/>
    </row>
    <row r="145" spans="1:9" x14ac:dyDescent="0.25">
      <c r="A145" s="94" t="str">
        <f t="shared" si="2"/>
        <v>ORO1102Buller Electricity</v>
      </c>
      <c r="B145" s="190" t="s">
        <v>2</v>
      </c>
      <c r="C145" s="190" t="s">
        <v>292</v>
      </c>
      <c r="D145" s="190" t="s">
        <v>662</v>
      </c>
      <c r="E145" s="190" t="s">
        <v>96</v>
      </c>
      <c r="F145" s="190"/>
      <c r="I145" s="190"/>
    </row>
    <row r="146" spans="1:9" x14ac:dyDescent="0.25">
      <c r="A146" s="94" t="str">
        <f t="shared" si="2"/>
        <v>OTA0221Contact</v>
      </c>
      <c r="B146" s="190" t="s">
        <v>4</v>
      </c>
      <c r="C146" s="190" t="s">
        <v>293</v>
      </c>
      <c r="D146" s="190" t="s">
        <v>833</v>
      </c>
      <c r="E146" s="190" t="s">
        <v>95</v>
      </c>
      <c r="F146" s="190"/>
      <c r="I146" s="190"/>
    </row>
    <row r="147" spans="1:9" x14ac:dyDescent="0.25">
      <c r="A147" s="94" t="str">
        <f t="shared" si="2"/>
        <v>OTA0221Vector</v>
      </c>
      <c r="B147" s="190" t="s">
        <v>37</v>
      </c>
      <c r="C147" s="190" t="s">
        <v>293</v>
      </c>
      <c r="D147" s="190" t="s">
        <v>833</v>
      </c>
      <c r="E147" s="190" t="s">
        <v>95</v>
      </c>
      <c r="F147" s="190"/>
      <c r="I147" s="190"/>
    </row>
    <row r="148" spans="1:9" x14ac:dyDescent="0.25">
      <c r="A148" s="94" t="str">
        <f t="shared" si="2"/>
        <v>OTI0111Westpower</v>
      </c>
      <c r="B148" s="190" t="s">
        <v>41</v>
      </c>
      <c r="C148" s="190" t="s">
        <v>294</v>
      </c>
      <c r="D148" s="190" t="s">
        <v>883</v>
      </c>
      <c r="E148" s="190" t="s">
        <v>96</v>
      </c>
      <c r="F148" s="190"/>
      <c r="I148" s="190"/>
    </row>
    <row r="149" spans="1:9" x14ac:dyDescent="0.25">
      <c r="A149" s="94" t="str">
        <f t="shared" si="2"/>
        <v>OWH0111Unison</v>
      </c>
      <c r="B149" s="190" t="s">
        <v>36</v>
      </c>
      <c r="C149" s="190" t="s">
        <v>295</v>
      </c>
      <c r="D149" s="190" t="s">
        <v>811</v>
      </c>
      <c r="E149" s="190" t="s">
        <v>95</v>
      </c>
      <c r="F149" s="190"/>
      <c r="I149" s="190"/>
    </row>
    <row r="150" spans="1:9" x14ac:dyDescent="0.25">
      <c r="A150" s="94" t="str">
        <f t="shared" si="2"/>
        <v>PAK0331Vector</v>
      </c>
      <c r="B150" s="190" t="s">
        <v>37</v>
      </c>
      <c r="C150" s="190" t="s">
        <v>296</v>
      </c>
      <c r="D150" s="190" t="s">
        <v>836</v>
      </c>
      <c r="E150" s="190" t="s">
        <v>95</v>
      </c>
      <c r="F150" s="190"/>
      <c r="I150" s="190"/>
    </row>
    <row r="151" spans="1:9" x14ac:dyDescent="0.25">
      <c r="A151" s="94" t="str">
        <f t="shared" si="2"/>
        <v>PAO1101Powerco</v>
      </c>
      <c r="B151" s="190" t="s">
        <v>28</v>
      </c>
      <c r="C151" s="190" t="s">
        <v>297</v>
      </c>
      <c r="D151" s="190" t="s">
        <v>1588</v>
      </c>
      <c r="E151" s="190" t="s">
        <v>95</v>
      </c>
      <c r="F151" s="190"/>
      <c r="I151" s="190"/>
    </row>
    <row r="152" spans="1:9" x14ac:dyDescent="0.25">
      <c r="A152" s="94" t="str">
        <f t="shared" si="2"/>
        <v>PEN0221Vector</v>
      </c>
      <c r="B152" s="190" t="s">
        <v>37</v>
      </c>
      <c r="C152" s="190" t="s">
        <v>298</v>
      </c>
      <c r="D152" s="190" t="s">
        <v>843</v>
      </c>
      <c r="E152" s="190" t="s">
        <v>95</v>
      </c>
      <c r="F152" s="190"/>
      <c r="I152" s="190"/>
    </row>
    <row r="153" spans="1:9" x14ac:dyDescent="0.25">
      <c r="A153" s="94" t="str">
        <f t="shared" si="2"/>
        <v>PEN0251Kiwirail</v>
      </c>
      <c r="B153" s="190" t="s">
        <v>51</v>
      </c>
      <c r="C153" s="190" t="s">
        <v>299</v>
      </c>
      <c r="D153" s="190" t="s">
        <v>843</v>
      </c>
      <c r="E153" s="190" t="s">
        <v>95</v>
      </c>
      <c r="F153" s="190"/>
      <c r="I153" s="190"/>
    </row>
    <row r="154" spans="1:9" x14ac:dyDescent="0.25">
      <c r="A154" s="94" t="str">
        <f t="shared" si="2"/>
        <v>PEN0331Other</v>
      </c>
      <c r="B154" s="190" t="s">
        <v>53</v>
      </c>
      <c r="C154" s="190" t="s">
        <v>300</v>
      </c>
      <c r="D154" s="190" t="s">
        <v>843</v>
      </c>
      <c r="E154" s="190" t="s">
        <v>95</v>
      </c>
      <c r="F154" s="190"/>
      <c r="I154" s="190"/>
    </row>
    <row r="155" spans="1:9" x14ac:dyDescent="0.25">
      <c r="A155" s="94" t="str">
        <f t="shared" si="2"/>
        <v>PEN0331Vector</v>
      </c>
      <c r="B155" s="190" t="s">
        <v>37</v>
      </c>
      <c r="C155" s="190" t="s">
        <v>300</v>
      </c>
      <c r="D155" s="190" t="s">
        <v>843</v>
      </c>
      <c r="E155" s="190" t="s">
        <v>95</v>
      </c>
      <c r="F155" s="190"/>
      <c r="I155" s="190"/>
    </row>
    <row r="156" spans="1:9" x14ac:dyDescent="0.25">
      <c r="A156" s="94" t="str">
        <f t="shared" si="2"/>
        <v>PEN1101Vector</v>
      </c>
      <c r="B156" s="190" t="s">
        <v>37</v>
      </c>
      <c r="C156" s="190" t="s">
        <v>301</v>
      </c>
      <c r="D156" s="190" t="s">
        <v>843</v>
      </c>
      <c r="E156" s="190" t="s">
        <v>95</v>
      </c>
      <c r="F156" s="190"/>
      <c r="I156" s="190"/>
    </row>
    <row r="157" spans="1:9" x14ac:dyDescent="0.25">
      <c r="A157" s="94" t="str">
        <f t="shared" si="2"/>
        <v>PNI0331Wellington Electricity</v>
      </c>
      <c r="B157" s="190" t="s">
        <v>40</v>
      </c>
      <c r="C157" s="190" t="s">
        <v>302</v>
      </c>
      <c r="D157" s="190" t="s">
        <v>861</v>
      </c>
      <c r="E157" s="190" t="s">
        <v>95</v>
      </c>
      <c r="F157" s="190"/>
      <c r="I157" s="190"/>
    </row>
    <row r="158" spans="1:9" x14ac:dyDescent="0.25">
      <c r="A158" s="94" t="str">
        <f t="shared" si="2"/>
        <v>PPI2201Contact</v>
      </c>
      <c r="B158" s="190" t="s">
        <v>4</v>
      </c>
      <c r="C158" s="190" t="s">
        <v>303</v>
      </c>
      <c r="D158" s="190" t="s">
        <v>505</v>
      </c>
      <c r="E158" s="190" t="s">
        <v>95</v>
      </c>
      <c r="F158" s="190"/>
      <c r="I158" s="190"/>
    </row>
    <row r="159" spans="1:9" x14ac:dyDescent="0.25">
      <c r="A159" s="94" t="str">
        <f t="shared" si="2"/>
        <v>PRM0331Electra</v>
      </c>
      <c r="B159" s="190" t="s">
        <v>8</v>
      </c>
      <c r="C159" s="190" t="s">
        <v>305</v>
      </c>
      <c r="D159" s="190" t="s">
        <v>676</v>
      </c>
      <c r="E159" s="190" t="s">
        <v>95</v>
      </c>
      <c r="F159" s="190"/>
      <c r="I159" s="190"/>
    </row>
    <row r="160" spans="1:9" x14ac:dyDescent="0.25">
      <c r="A160" s="94" t="str">
        <f t="shared" si="2"/>
        <v>RDF0331Unison</v>
      </c>
      <c r="B160" s="190" t="s">
        <v>36</v>
      </c>
      <c r="C160" s="190" t="s">
        <v>306</v>
      </c>
      <c r="D160" s="190" t="s">
        <v>821</v>
      </c>
      <c r="E160" s="190" t="s">
        <v>95</v>
      </c>
      <c r="F160" s="190"/>
      <c r="I160" s="190"/>
    </row>
    <row r="161" spans="1:9" x14ac:dyDescent="0.25">
      <c r="A161" s="94" t="str">
        <f t="shared" si="2"/>
        <v>RFN1101Westpower</v>
      </c>
      <c r="B161" s="190" t="s">
        <v>41</v>
      </c>
      <c r="C161" s="190" t="s">
        <v>307</v>
      </c>
      <c r="D161" s="190" t="s">
        <v>1589</v>
      </c>
      <c r="E161" s="190" t="s">
        <v>96</v>
      </c>
      <c r="F161" s="190"/>
      <c r="I161" s="190"/>
    </row>
    <row r="162" spans="1:9" x14ac:dyDescent="0.25">
      <c r="A162" s="94" t="str">
        <f t="shared" si="2"/>
        <v>RFN1102Westpower</v>
      </c>
      <c r="B162" s="190" t="s">
        <v>41</v>
      </c>
      <c r="C162" s="190" t="s">
        <v>308</v>
      </c>
      <c r="D162" s="190" t="s">
        <v>1589</v>
      </c>
      <c r="E162" s="190" t="s">
        <v>96</v>
      </c>
      <c r="F162" s="190"/>
      <c r="I162" s="190"/>
    </row>
    <row r="163" spans="1:9" x14ac:dyDescent="0.25">
      <c r="A163" s="94" t="str">
        <f t="shared" si="2"/>
        <v>ROS0221Vector</v>
      </c>
      <c r="B163" s="190" t="s">
        <v>37</v>
      </c>
      <c r="C163" s="190" t="s">
        <v>309</v>
      </c>
      <c r="D163" s="190" t="s">
        <v>840</v>
      </c>
      <c r="E163" s="190" t="s">
        <v>95</v>
      </c>
      <c r="F163" s="190"/>
      <c r="I163" s="190"/>
    </row>
    <row r="164" spans="1:9" x14ac:dyDescent="0.25">
      <c r="A164" s="94" t="str">
        <f t="shared" si="2"/>
        <v>ROS1101Vector</v>
      </c>
      <c r="B164" s="190" t="s">
        <v>37</v>
      </c>
      <c r="C164" s="190" t="s">
        <v>310</v>
      </c>
      <c r="D164" s="190" t="s">
        <v>840</v>
      </c>
      <c r="E164" s="190" t="s">
        <v>95</v>
      </c>
      <c r="F164" s="190"/>
      <c r="I164" s="190"/>
    </row>
    <row r="165" spans="1:9" x14ac:dyDescent="0.25">
      <c r="A165" s="94" t="str">
        <f t="shared" si="2"/>
        <v>ROT0111Unison</v>
      </c>
      <c r="B165" s="190" t="s">
        <v>36</v>
      </c>
      <c r="C165" s="190" t="s">
        <v>311</v>
      </c>
      <c r="D165" s="190" t="s">
        <v>823</v>
      </c>
      <c r="E165" s="190" t="s">
        <v>95</v>
      </c>
      <c r="F165" s="190"/>
      <c r="I165" s="190"/>
    </row>
    <row r="166" spans="1:9" x14ac:dyDescent="0.25">
      <c r="A166" s="94" t="str">
        <f t="shared" si="2"/>
        <v>ROT0331Unison</v>
      </c>
      <c r="B166" s="190" t="s">
        <v>36</v>
      </c>
      <c r="C166" s="190" t="s">
        <v>312</v>
      </c>
      <c r="D166" s="190" t="s">
        <v>823</v>
      </c>
      <c r="E166" s="190" t="s">
        <v>95</v>
      </c>
      <c r="F166" s="190"/>
      <c r="I166" s="190"/>
    </row>
    <row r="167" spans="1:9" x14ac:dyDescent="0.25">
      <c r="A167" s="94" t="str">
        <f t="shared" si="2"/>
        <v>ROT1101TrustPower</v>
      </c>
      <c r="B167" s="190" t="s">
        <v>138</v>
      </c>
      <c r="C167" s="190" t="s">
        <v>313</v>
      </c>
      <c r="D167" s="190" t="s">
        <v>823</v>
      </c>
      <c r="E167" s="190" t="s">
        <v>95</v>
      </c>
      <c r="F167" s="190"/>
      <c r="I167" s="190"/>
    </row>
    <row r="168" spans="1:9" x14ac:dyDescent="0.25">
      <c r="A168" s="94" t="str">
        <f t="shared" si="2"/>
        <v>SBK0331Mainpower</v>
      </c>
      <c r="B168" s="190" t="s">
        <v>12</v>
      </c>
      <c r="C168" s="190" t="s">
        <v>318</v>
      </c>
      <c r="D168" s="190" t="s">
        <v>690</v>
      </c>
      <c r="E168" s="190" t="s">
        <v>96</v>
      </c>
      <c r="F168" s="190"/>
      <c r="I168" s="190"/>
    </row>
    <row r="169" spans="1:9" x14ac:dyDescent="0.25">
      <c r="A169" s="94" t="str">
        <f t="shared" si="2"/>
        <v>SDN0331Aurora Energy</v>
      </c>
      <c r="B169" s="190" t="s">
        <v>1</v>
      </c>
      <c r="C169" s="190" t="s">
        <v>319</v>
      </c>
      <c r="D169" s="190" t="s">
        <v>657</v>
      </c>
      <c r="E169" s="190" t="s">
        <v>96</v>
      </c>
      <c r="F169" s="190"/>
      <c r="I169" s="190"/>
    </row>
    <row r="170" spans="1:9" x14ac:dyDescent="0.25">
      <c r="A170" s="94" t="str">
        <f t="shared" si="2"/>
        <v>SFD0331Powerco</v>
      </c>
      <c r="B170" s="190" t="s">
        <v>28</v>
      </c>
      <c r="C170" s="190" t="s">
        <v>320</v>
      </c>
      <c r="D170" s="190" t="s">
        <v>538</v>
      </c>
      <c r="E170" s="190" t="s">
        <v>95</v>
      </c>
      <c r="F170" s="190"/>
      <c r="I170" s="190"/>
    </row>
    <row r="171" spans="1:9" x14ac:dyDescent="0.25">
      <c r="A171" s="94" t="str">
        <f t="shared" si="2"/>
        <v>SFD2201Contact</v>
      </c>
      <c r="B171" s="190" t="s">
        <v>4</v>
      </c>
      <c r="C171" s="190" t="s">
        <v>321</v>
      </c>
      <c r="D171" s="190" t="s">
        <v>538</v>
      </c>
      <c r="E171" s="190" t="s">
        <v>95</v>
      </c>
      <c r="F171" s="190"/>
      <c r="I171" s="190"/>
    </row>
    <row r="172" spans="1:9" x14ac:dyDescent="0.25">
      <c r="A172" s="94" t="str">
        <f t="shared" si="2"/>
        <v>STK0331Network Tasman</v>
      </c>
      <c r="B172" s="190" t="s">
        <v>19</v>
      </c>
      <c r="C172" s="190" t="s">
        <v>325</v>
      </c>
      <c r="D172" s="190" t="s">
        <v>697</v>
      </c>
      <c r="E172" s="190" t="s">
        <v>96</v>
      </c>
      <c r="F172" s="190"/>
      <c r="I172" s="190"/>
    </row>
    <row r="173" spans="1:9" x14ac:dyDescent="0.25">
      <c r="A173" s="94" t="str">
        <f t="shared" si="2"/>
        <v>STU0111Alpine Energy</v>
      </c>
      <c r="B173" s="190" t="s">
        <v>0</v>
      </c>
      <c r="C173" s="190" t="s">
        <v>327</v>
      </c>
      <c r="D173" s="190" t="s">
        <v>646</v>
      </c>
      <c r="E173" s="190" t="s">
        <v>96</v>
      </c>
      <c r="F173" s="190"/>
      <c r="I173" s="190"/>
    </row>
    <row r="174" spans="1:9" x14ac:dyDescent="0.25">
      <c r="A174" s="94" t="str">
        <f t="shared" si="2"/>
        <v>SVL0331Vector</v>
      </c>
      <c r="B174" s="190" t="s">
        <v>37</v>
      </c>
      <c r="C174" s="190" t="s">
        <v>328</v>
      </c>
      <c r="D174" s="190" t="s">
        <v>847</v>
      </c>
      <c r="E174" s="190" t="s">
        <v>95</v>
      </c>
      <c r="F174" s="190"/>
      <c r="I174" s="190"/>
    </row>
    <row r="175" spans="1:9" x14ac:dyDescent="0.25">
      <c r="A175" s="94" t="str">
        <f t="shared" si="2"/>
        <v>SWN0251Kiwirail</v>
      </c>
      <c r="B175" s="190" t="s">
        <v>51</v>
      </c>
      <c r="C175" s="190" t="s">
        <v>329</v>
      </c>
      <c r="D175" s="190" t="s">
        <v>537</v>
      </c>
      <c r="E175" s="190" t="s">
        <v>95</v>
      </c>
      <c r="F175" s="190"/>
      <c r="I175" s="190"/>
    </row>
    <row r="176" spans="1:9" x14ac:dyDescent="0.25">
      <c r="A176" s="94" t="str">
        <f t="shared" si="2"/>
        <v>SWN2201MRP</v>
      </c>
      <c r="B176" s="190" t="s">
        <v>17</v>
      </c>
      <c r="C176" s="190" t="s">
        <v>330</v>
      </c>
      <c r="D176" s="190" t="s">
        <v>537</v>
      </c>
      <c r="E176" s="190" t="s">
        <v>95</v>
      </c>
      <c r="F176" s="190"/>
      <c r="I176" s="190"/>
    </row>
    <row r="177" spans="1:9" x14ac:dyDescent="0.25">
      <c r="A177" s="94" t="str">
        <f t="shared" si="2"/>
        <v>TAK0331Vector</v>
      </c>
      <c r="B177" s="190" t="s">
        <v>37</v>
      </c>
      <c r="C177" s="190" t="s">
        <v>332</v>
      </c>
      <c r="D177" s="190" t="s">
        <v>845</v>
      </c>
      <c r="E177" s="190" t="s">
        <v>95</v>
      </c>
      <c r="F177" s="190"/>
      <c r="I177" s="190"/>
    </row>
    <row r="178" spans="1:9" x14ac:dyDescent="0.25">
      <c r="A178" s="94" t="str">
        <f t="shared" si="2"/>
        <v>TGA0111Powerco</v>
      </c>
      <c r="B178" s="190" t="s">
        <v>28</v>
      </c>
      <c r="C178" s="190" t="s">
        <v>333</v>
      </c>
      <c r="D178" s="190" t="s">
        <v>780</v>
      </c>
      <c r="E178" s="190" t="s">
        <v>95</v>
      </c>
      <c r="F178" s="190"/>
      <c r="I178" s="190"/>
    </row>
    <row r="179" spans="1:9" x14ac:dyDescent="0.25">
      <c r="A179" s="94" t="str">
        <f t="shared" si="2"/>
        <v>TGA0331Powerco</v>
      </c>
      <c r="B179" s="190" t="s">
        <v>28</v>
      </c>
      <c r="C179" s="190" t="s">
        <v>334</v>
      </c>
      <c r="D179" s="190" t="s">
        <v>780</v>
      </c>
      <c r="E179" s="190" t="s">
        <v>95</v>
      </c>
      <c r="F179" s="190"/>
      <c r="I179" s="190"/>
    </row>
    <row r="180" spans="1:9" x14ac:dyDescent="0.25">
      <c r="A180" s="94" t="str">
        <f t="shared" si="2"/>
        <v>THI2201Contact</v>
      </c>
      <c r="B180" s="190" t="s">
        <v>4</v>
      </c>
      <c r="C180" s="190" t="s">
        <v>336</v>
      </c>
      <c r="D180" s="190" t="s">
        <v>1590</v>
      </c>
      <c r="E180" s="190" t="s">
        <v>95</v>
      </c>
      <c r="F180" s="190"/>
      <c r="I180" s="190"/>
    </row>
    <row r="181" spans="1:9" x14ac:dyDescent="0.25">
      <c r="A181" s="94" t="str">
        <f t="shared" si="2"/>
        <v>TIM0111Alpine Energy</v>
      </c>
      <c r="B181" s="190" t="s">
        <v>0</v>
      </c>
      <c r="C181" s="190" t="s">
        <v>339</v>
      </c>
      <c r="D181" s="190" t="s">
        <v>652</v>
      </c>
      <c r="E181" s="190" t="s">
        <v>96</v>
      </c>
      <c r="F181" s="190"/>
      <c r="I181" s="190"/>
    </row>
    <row r="182" spans="1:9" x14ac:dyDescent="0.25">
      <c r="A182" s="94" t="str">
        <f t="shared" si="2"/>
        <v>TKA0111Genesis</v>
      </c>
      <c r="B182" s="190" t="s">
        <v>10</v>
      </c>
      <c r="C182" s="190" t="s">
        <v>919</v>
      </c>
      <c r="D182" s="190" t="s">
        <v>534</v>
      </c>
      <c r="E182" s="190" t="s">
        <v>96</v>
      </c>
      <c r="F182" s="190"/>
      <c r="I182" s="190"/>
    </row>
    <row r="183" spans="1:9" x14ac:dyDescent="0.25">
      <c r="A183" s="94" t="str">
        <f t="shared" si="2"/>
        <v>TKA0331Alpine Energy</v>
      </c>
      <c r="B183" s="190" t="s">
        <v>0</v>
      </c>
      <c r="C183" s="190" t="s">
        <v>422</v>
      </c>
      <c r="D183" s="190" t="s">
        <v>534</v>
      </c>
      <c r="E183" s="190" t="s">
        <v>96</v>
      </c>
      <c r="F183" s="190"/>
      <c r="I183" s="190"/>
    </row>
    <row r="184" spans="1:9" x14ac:dyDescent="0.25">
      <c r="A184" s="94" t="str">
        <f t="shared" si="2"/>
        <v>TKB2201Genesis</v>
      </c>
      <c r="B184" s="190" t="s">
        <v>10</v>
      </c>
      <c r="C184" s="190" t="s">
        <v>920</v>
      </c>
      <c r="D184" s="190" t="s">
        <v>533</v>
      </c>
      <c r="E184" s="190" t="s">
        <v>96</v>
      </c>
      <c r="F184" s="190"/>
      <c r="I184" s="190"/>
    </row>
    <row r="185" spans="1:9" x14ac:dyDescent="0.25">
      <c r="A185" s="94" t="str">
        <f t="shared" si="2"/>
        <v>TKH0111Horizon</v>
      </c>
      <c r="B185" s="190" t="s">
        <v>11</v>
      </c>
      <c r="C185" s="190" t="s">
        <v>342</v>
      </c>
      <c r="D185" s="190" t="s">
        <v>681</v>
      </c>
      <c r="E185" s="190" t="s">
        <v>95</v>
      </c>
      <c r="F185" s="190"/>
      <c r="I185" s="190"/>
    </row>
    <row r="186" spans="1:9" x14ac:dyDescent="0.25">
      <c r="A186" s="94" t="str">
        <f t="shared" si="2"/>
        <v>TKR0331Wellington Electricity</v>
      </c>
      <c r="B186" s="190" t="s">
        <v>40</v>
      </c>
      <c r="C186" s="190" t="s">
        <v>343</v>
      </c>
      <c r="D186" s="190" t="s">
        <v>871</v>
      </c>
      <c r="E186" s="190" t="s">
        <v>95</v>
      </c>
      <c r="F186" s="190"/>
      <c r="I186" s="190"/>
    </row>
    <row r="187" spans="1:9" x14ac:dyDescent="0.25">
      <c r="A187" s="94" t="str">
        <f t="shared" si="2"/>
        <v>TKU0331Genesis</v>
      </c>
      <c r="B187" s="190" t="s">
        <v>10</v>
      </c>
      <c r="C187" s="190" t="s">
        <v>344</v>
      </c>
      <c r="D187" s="190" t="s">
        <v>519</v>
      </c>
      <c r="E187" s="190" t="s">
        <v>95</v>
      </c>
      <c r="F187" s="190"/>
      <c r="I187" s="190"/>
    </row>
    <row r="188" spans="1:9" x14ac:dyDescent="0.25">
      <c r="A188" s="94" t="str">
        <f t="shared" si="2"/>
        <v>TKU0331The Lines Company</v>
      </c>
      <c r="B188" s="190" t="s">
        <v>32</v>
      </c>
      <c r="C188" s="190" t="s">
        <v>344</v>
      </c>
      <c r="D188" s="190" t="s">
        <v>519</v>
      </c>
      <c r="E188" s="190" t="s">
        <v>95</v>
      </c>
      <c r="F188" s="190"/>
      <c r="I188" s="190"/>
    </row>
    <row r="189" spans="1:9" x14ac:dyDescent="0.25">
      <c r="A189" s="94" t="str">
        <f t="shared" si="2"/>
        <v>TKU2201Genesis</v>
      </c>
      <c r="B189" s="190" t="s">
        <v>10</v>
      </c>
      <c r="C189" s="190" t="s">
        <v>921</v>
      </c>
      <c r="D189" s="190" t="s">
        <v>519</v>
      </c>
      <c r="E189" s="190" t="s">
        <v>95</v>
      </c>
      <c r="F189" s="190"/>
      <c r="I189" s="190"/>
    </row>
    <row r="190" spans="1:9" x14ac:dyDescent="0.25">
      <c r="A190" s="94" t="str">
        <f t="shared" si="2"/>
        <v>TMI0331Powerco</v>
      </c>
      <c r="B190" s="190" t="s">
        <v>28</v>
      </c>
      <c r="C190" s="190" t="s">
        <v>346</v>
      </c>
      <c r="D190" s="190" t="s">
        <v>762</v>
      </c>
      <c r="E190" s="190" t="s">
        <v>95</v>
      </c>
      <c r="F190" s="190"/>
      <c r="I190" s="190"/>
    </row>
    <row r="191" spans="1:9" x14ac:dyDescent="0.25">
      <c r="A191" s="94" t="str">
        <f t="shared" si="2"/>
        <v>TMK0331Alpine Energy</v>
      </c>
      <c r="B191" s="190" t="s">
        <v>0</v>
      </c>
      <c r="C191" s="190" t="s">
        <v>347</v>
      </c>
      <c r="D191" s="190" t="s">
        <v>650</v>
      </c>
      <c r="E191" s="190" t="s">
        <v>96</v>
      </c>
      <c r="F191" s="190"/>
      <c r="I191" s="190"/>
    </row>
    <row r="192" spans="1:9" x14ac:dyDescent="0.25">
      <c r="A192" s="94" t="str">
        <f t="shared" si="2"/>
        <v>TMN0551Kiwirail</v>
      </c>
      <c r="B192" s="190" t="s">
        <v>51</v>
      </c>
      <c r="C192" s="190" t="s">
        <v>348</v>
      </c>
      <c r="D192" s="190" t="s">
        <v>1206</v>
      </c>
      <c r="E192" s="190" t="s">
        <v>95</v>
      </c>
      <c r="F192" s="190"/>
      <c r="I192" s="190"/>
    </row>
    <row r="193" spans="1:9" x14ac:dyDescent="0.25">
      <c r="A193" s="94" t="str">
        <f t="shared" si="2"/>
        <v>TMU0111Waipa Power</v>
      </c>
      <c r="B193" s="190" t="s">
        <v>38</v>
      </c>
      <c r="C193" s="190" t="s">
        <v>349</v>
      </c>
      <c r="D193" s="190" t="s">
        <v>851</v>
      </c>
      <c r="E193" s="190" t="s">
        <v>95</v>
      </c>
      <c r="F193" s="190"/>
      <c r="I193" s="190"/>
    </row>
    <row r="194" spans="1:9" x14ac:dyDescent="0.25">
      <c r="A194" s="94" t="str">
        <f t="shared" si="2"/>
        <v>TNG0111The Lines Company</v>
      </c>
      <c r="B194" s="190" t="s">
        <v>32</v>
      </c>
      <c r="C194" s="190" t="s">
        <v>350</v>
      </c>
      <c r="D194" s="190" t="s">
        <v>1047</v>
      </c>
      <c r="E194" s="190" t="s">
        <v>95</v>
      </c>
      <c r="F194" s="190"/>
      <c r="I194" s="190"/>
    </row>
    <row r="195" spans="1:9" x14ac:dyDescent="0.25">
      <c r="A195" s="94" t="str">
        <f t="shared" ref="A195:A258" si="3">C195&amp;B195</f>
        <v>TNG0111Winstones</v>
      </c>
      <c r="B195" s="190" t="s">
        <v>42</v>
      </c>
      <c r="C195" s="190" t="s">
        <v>350</v>
      </c>
      <c r="D195" s="190" t="s">
        <v>1047</v>
      </c>
      <c r="E195" s="190" t="s">
        <v>95</v>
      </c>
      <c r="F195" s="190"/>
      <c r="I195" s="190"/>
    </row>
    <row r="196" spans="1:9" x14ac:dyDescent="0.25">
      <c r="A196" s="94" t="str">
        <f t="shared" si="3"/>
        <v>TNG0551Kiwirail</v>
      </c>
      <c r="B196" s="190" t="s">
        <v>51</v>
      </c>
      <c r="C196" s="190" t="s">
        <v>351</v>
      </c>
      <c r="D196" s="190" t="s">
        <v>1047</v>
      </c>
      <c r="E196" s="190" t="s">
        <v>95</v>
      </c>
      <c r="F196" s="190"/>
      <c r="I196" s="190"/>
    </row>
    <row r="197" spans="1:9" x14ac:dyDescent="0.25">
      <c r="A197" s="94" t="str">
        <f t="shared" si="3"/>
        <v>TRK0111Unison</v>
      </c>
      <c r="B197" s="190" t="s">
        <v>36</v>
      </c>
      <c r="C197" s="190" t="s">
        <v>352</v>
      </c>
      <c r="D197" s="190" t="s">
        <v>814</v>
      </c>
      <c r="E197" s="190" t="s">
        <v>95</v>
      </c>
      <c r="F197" s="190"/>
      <c r="I197" s="190"/>
    </row>
    <row r="198" spans="1:9" x14ac:dyDescent="0.25">
      <c r="A198" s="94" t="str">
        <f t="shared" si="3"/>
        <v>TUI1101Eastland Network</v>
      </c>
      <c r="B198" s="190" t="s">
        <v>7</v>
      </c>
      <c r="C198" s="190" t="s">
        <v>353</v>
      </c>
      <c r="D198" s="190" t="s">
        <v>520</v>
      </c>
      <c r="E198" s="190" t="s">
        <v>95</v>
      </c>
      <c r="F198" s="190"/>
      <c r="I198" s="190"/>
    </row>
    <row r="199" spans="1:9" x14ac:dyDescent="0.25">
      <c r="A199" s="94" t="str">
        <f t="shared" si="3"/>
        <v>TUI1101Genesis</v>
      </c>
      <c r="B199" s="190" t="s">
        <v>10</v>
      </c>
      <c r="C199" s="190" t="s">
        <v>353</v>
      </c>
      <c r="D199" s="190" t="s">
        <v>520</v>
      </c>
      <c r="E199" s="190" t="s">
        <v>95</v>
      </c>
      <c r="F199" s="190"/>
      <c r="I199" s="190"/>
    </row>
    <row r="200" spans="1:9" x14ac:dyDescent="0.25">
      <c r="A200" s="94" t="str">
        <f t="shared" si="3"/>
        <v>TWC2201TrustPower</v>
      </c>
      <c r="B200" s="190" t="s">
        <v>138</v>
      </c>
      <c r="C200" s="190" t="s">
        <v>357</v>
      </c>
      <c r="D200" s="190" t="s">
        <v>1192</v>
      </c>
      <c r="E200" s="190" t="s">
        <v>95</v>
      </c>
      <c r="F200" s="190"/>
      <c r="I200" s="190"/>
    </row>
    <row r="201" spans="1:9" x14ac:dyDescent="0.25">
      <c r="A201" s="94" t="str">
        <f t="shared" si="3"/>
        <v>TWH0331WEL</v>
      </c>
      <c r="B201" s="190" t="s">
        <v>39</v>
      </c>
      <c r="C201" s="190" t="s">
        <v>358</v>
      </c>
      <c r="D201" s="190" t="s">
        <v>1591</v>
      </c>
      <c r="E201" s="190" t="s">
        <v>95</v>
      </c>
      <c r="F201" s="190"/>
      <c r="I201" s="190"/>
    </row>
    <row r="202" spans="1:9" x14ac:dyDescent="0.25">
      <c r="A202" s="94" t="str">
        <f t="shared" si="3"/>
        <v>TWI2201Pacific Aluminium</v>
      </c>
      <c r="B202" s="190" t="s">
        <v>54</v>
      </c>
      <c r="C202" s="190" t="s">
        <v>361</v>
      </c>
      <c r="D202" s="190" t="s">
        <v>1200</v>
      </c>
      <c r="E202" s="190" t="s">
        <v>96</v>
      </c>
      <c r="F202" s="190"/>
      <c r="I202" s="190"/>
    </row>
    <row r="203" spans="1:9" x14ac:dyDescent="0.25">
      <c r="A203" s="94" t="str">
        <f t="shared" si="3"/>
        <v>TWZ0331Alpine Energy</v>
      </c>
      <c r="B203" s="190" t="s">
        <v>0</v>
      </c>
      <c r="C203" s="190" t="s">
        <v>362</v>
      </c>
      <c r="D203" s="190" t="s">
        <v>648</v>
      </c>
      <c r="E203" s="190" t="s">
        <v>96</v>
      </c>
      <c r="F203" s="190"/>
      <c r="I203" s="190"/>
    </row>
    <row r="204" spans="1:9" x14ac:dyDescent="0.25">
      <c r="A204" s="94" t="str">
        <f t="shared" si="3"/>
        <v>TWZ0331Meridian</v>
      </c>
      <c r="B204" s="190" t="s">
        <v>14</v>
      </c>
      <c r="C204" s="190" t="s">
        <v>362</v>
      </c>
      <c r="D204" s="190" t="s">
        <v>648</v>
      </c>
      <c r="E204" s="190" t="s">
        <v>96</v>
      </c>
      <c r="F204" s="190"/>
      <c r="I204" s="190"/>
    </row>
    <row r="205" spans="1:9" x14ac:dyDescent="0.25">
      <c r="A205" s="94" t="str">
        <f t="shared" si="3"/>
        <v>TWZ0331Network Waitaki</v>
      </c>
      <c r="B205" s="190" t="s">
        <v>20</v>
      </c>
      <c r="C205" s="190" t="s">
        <v>362</v>
      </c>
      <c r="D205" s="190" t="s">
        <v>648</v>
      </c>
      <c r="E205" s="190" t="s">
        <v>96</v>
      </c>
      <c r="F205" s="190"/>
      <c r="I205" s="190"/>
    </row>
    <row r="206" spans="1:9" x14ac:dyDescent="0.25">
      <c r="A206" s="94" t="str">
        <f t="shared" si="3"/>
        <v>UHT0331Wellington Electricity</v>
      </c>
      <c r="B206" s="190" t="s">
        <v>40</v>
      </c>
      <c r="C206" s="190" t="s">
        <v>363</v>
      </c>
      <c r="D206" s="190" t="s">
        <v>867</v>
      </c>
      <c r="E206" s="190" t="s">
        <v>95</v>
      </c>
      <c r="F206" s="190"/>
      <c r="I206" s="190"/>
    </row>
    <row r="207" spans="1:9" x14ac:dyDescent="0.25">
      <c r="A207" s="94" t="str">
        <f t="shared" si="3"/>
        <v>WAI0111Horizon</v>
      </c>
      <c r="B207" s="190" t="s">
        <v>11</v>
      </c>
      <c r="C207" s="190" t="s">
        <v>364</v>
      </c>
      <c r="D207" s="190" t="s">
        <v>679</v>
      </c>
      <c r="E207" s="190" t="s">
        <v>95</v>
      </c>
      <c r="F207" s="190"/>
      <c r="I207" s="190"/>
    </row>
    <row r="208" spans="1:9" x14ac:dyDescent="0.25">
      <c r="A208" s="94" t="str">
        <f t="shared" si="3"/>
        <v>WDV0111Scanpower</v>
      </c>
      <c r="B208" s="190" t="s">
        <v>31</v>
      </c>
      <c r="C208" s="190" t="s">
        <v>365</v>
      </c>
      <c r="D208" s="190" t="s">
        <v>799</v>
      </c>
      <c r="E208" s="190" t="s">
        <v>95</v>
      </c>
      <c r="F208" s="190"/>
      <c r="I208" s="190"/>
    </row>
    <row r="209" spans="1:9" x14ac:dyDescent="0.25">
      <c r="A209" s="94" t="str">
        <f t="shared" si="3"/>
        <v>WDV1101Meridian</v>
      </c>
      <c r="B209" s="190" t="s">
        <v>14</v>
      </c>
      <c r="C209" s="190" t="s">
        <v>366</v>
      </c>
      <c r="D209" s="190" t="s">
        <v>799</v>
      </c>
      <c r="E209" s="190" t="s">
        <v>95</v>
      </c>
      <c r="F209" s="190"/>
      <c r="I209" s="190"/>
    </row>
    <row r="210" spans="1:9" x14ac:dyDescent="0.25">
      <c r="A210" s="94" t="str">
        <f t="shared" si="3"/>
        <v>WEL0331Vector</v>
      </c>
      <c r="B210" s="190" t="s">
        <v>37</v>
      </c>
      <c r="C210" s="190" t="s">
        <v>367</v>
      </c>
      <c r="D210" s="190" t="s">
        <v>39</v>
      </c>
      <c r="E210" s="190" t="s">
        <v>95</v>
      </c>
      <c r="F210" s="190"/>
      <c r="I210" s="190"/>
    </row>
    <row r="211" spans="1:9" x14ac:dyDescent="0.25">
      <c r="A211" s="94" t="str">
        <f t="shared" si="3"/>
        <v>WGN0331Powerco</v>
      </c>
      <c r="B211" s="190" t="s">
        <v>28</v>
      </c>
      <c r="C211" s="190" t="s">
        <v>368</v>
      </c>
      <c r="D211" s="190" t="s">
        <v>772</v>
      </c>
      <c r="E211" s="190" t="s">
        <v>95</v>
      </c>
      <c r="F211" s="190"/>
      <c r="I211" s="190"/>
    </row>
    <row r="212" spans="1:9" x14ac:dyDescent="0.25">
      <c r="A212" s="94" t="str">
        <f t="shared" si="3"/>
        <v>WHI0111Contact</v>
      </c>
      <c r="B212" s="190" t="s">
        <v>4</v>
      </c>
      <c r="C212" s="190" t="s">
        <v>369</v>
      </c>
      <c r="D212" s="190" t="s">
        <v>539</v>
      </c>
      <c r="E212" s="190" t="s">
        <v>95</v>
      </c>
      <c r="F212" s="190"/>
      <c r="I212" s="190"/>
    </row>
    <row r="213" spans="1:9" x14ac:dyDescent="0.25">
      <c r="A213" s="94" t="str">
        <f t="shared" si="3"/>
        <v>WHI0111PanPac</v>
      </c>
      <c r="B213" s="190" t="s">
        <v>26</v>
      </c>
      <c r="C213" s="190" t="s">
        <v>369</v>
      </c>
      <c r="D213" s="190" t="s">
        <v>539</v>
      </c>
      <c r="E213" s="190" t="s">
        <v>95</v>
      </c>
      <c r="F213" s="190"/>
      <c r="I213" s="190"/>
    </row>
    <row r="214" spans="1:9" x14ac:dyDescent="0.25">
      <c r="A214" s="94" t="str">
        <f t="shared" si="3"/>
        <v>WHI2201Contact</v>
      </c>
      <c r="B214" s="190" t="s">
        <v>4</v>
      </c>
      <c r="C214" s="190" t="s">
        <v>370</v>
      </c>
      <c r="D214" s="190" t="s">
        <v>539</v>
      </c>
      <c r="E214" s="190" t="s">
        <v>95</v>
      </c>
      <c r="F214" s="190"/>
      <c r="I214" s="190"/>
    </row>
    <row r="215" spans="1:9" x14ac:dyDescent="0.25">
      <c r="A215" s="94" t="str">
        <f t="shared" si="3"/>
        <v>WHU0331Powerco</v>
      </c>
      <c r="B215" s="190" t="s">
        <v>28</v>
      </c>
      <c r="C215" s="190" t="s">
        <v>372</v>
      </c>
      <c r="D215" s="190" t="s">
        <v>742</v>
      </c>
      <c r="E215" s="190" t="s">
        <v>95</v>
      </c>
      <c r="F215" s="190"/>
      <c r="I215" s="190"/>
    </row>
    <row r="216" spans="1:9" x14ac:dyDescent="0.25">
      <c r="A216" s="94" t="str">
        <f t="shared" si="3"/>
        <v>WIL0331Wellington Electricity</v>
      </c>
      <c r="B216" s="190" t="s">
        <v>40</v>
      </c>
      <c r="C216" s="190" t="s">
        <v>373</v>
      </c>
      <c r="D216" s="190" t="s">
        <v>873</v>
      </c>
      <c r="E216" s="190" t="s">
        <v>95</v>
      </c>
      <c r="F216" s="190"/>
      <c r="I216" s="190"/>
    </row>
    <row r="217" spans="1:9" x14ac:dyDescent="0.25">
      <c r="A217" s="94" t="str">
        <f t="shared" si="3"/>
        <v>WIR0331Vector</v>
      </c>
      <c r="B217" s="190" t="s">
        <v>37</v>
      </c>
      <c r="C217" s="190" t="s">
        <v>374</v>
      </c>
      <c r="D217" s="190" t="s">
        <v>829</v>
      </c>
      <c r="E217" s="190" t="s">
        <v>95</v>
      </c>
      <c r="F217" s="190"/>
      <c r="I217" s="190"/>
    </row>
    <row r="218" spans="1:9" x14ac:dyDescent="0.25">
      <c r="A218" s="94" t="str">
        <f t="shared" si="3"/>
        <v>WKM2201Other</v>
      </c>
      <c r="B218" s="190" t="s">
        <v>53</v>
      </c>
      <c r="C218" s="190" t="s">
        <v>375</v>
      </c>
      <c r="D218" s="190" t="s">
        <v>527</v>
      </c>
      <c r="E218" s="190" t="s">
        <v>95</v>
      </c>
      <c r="F218" s="190"/>
      <c r="I218" s="190"/>
    </row>
    <row r="219" spans="1:9" x14ac:dyDescent="0.25">
      <c r="A219" s="94" t="str">
        <f t="shared" si="3"/>
        <v>WKO0331Powerco</v>
      </c>
      <c r="B219" s="190" t="s">
        <v>28</v>
      </c>
      <c r="C219" s="190" t="s">
        <v>378</v>
      </c>
      <c r="D219" s="190" t="s">
        <v>760</v>
      </c>
      <c r="E219" s="190" t="s">
        <v>95</v>
      </c>
      <c r="F219" s="190"/>
      <c r="I219" s="190"/>
    </row>
    <row r="220" spans="1:9" x14ac:dyDescent="0.25">
      <c r="A220" s="94" t="str">
        <f t="shared" si="3"/>
        <v>WPA2201MRP</v>
      </c>
      <c r="B220" s="190" t="s">
        <v>17</v>
      </c>
      <c r="C220" s="190" t="s">
        <v>933</v>
      </c>
      <c r="D220" s="190" t="s">
        <v>526</v>
      </c>
      <c r="E220" s="190" t="s">
        <v>95</v>
      </c>
      <c r="F220" s="190"/>
      <c r="I220" s="190"/>
    </row>
    <row r="221" spans="1:9" x14ac:dyDescent="0.25">
      <c r="A221" s="94" t="str">
        <f t="shared" si="3"/>
        <v>WPR0331Mainpower</v>
      </c>
      <c r="B221" s="190" t="s">
        <v>12</v>
      </c>
      <c r="C221" s="190" t="s">
        <v>380</v>
      </c>
      <c r="D221" s="190" t="s">
        <v>686</v>
      </c>
      <c r="E221" s="190" t="s">
        <v>96</v>
      </c>
      <c r="F221" s="190"/>
      <c r="I221" s="190"/>
    </row>
    <row r="222" spans="1:9" x14ac:dyDescent="0.25">
      <c r="A222" s="94" t="str">
        <f t="shared" si="3"/>
        <v>WPR0661Mainpower</v>
      </c>
      <c r="B222" s="190" t="s">
        <v>12</v>
      </c>
      <c r="C222" s="190" t="s">
        <v>381</v>
      </c>
      <c r="D222" s="190" t="s">
        <v>686</v>
      </c>
      <c r="E222" s="190" t="s">
        <v>96</v>
      </c>
      <c r="F222" s="190"/>
      <c r="I222" s="190"/>
    </row>
    <row r="223" spans="1:9" x14ac:dyDescent="0.25">
      <c r="A223" s="94" t="str">
        <f t="shared" si="3"/>
        <v>WPT0111Buller Electricity</v>
      </c>
      <c r="B223" s="190" t="s">
        <v>2</v>
      </c>
      <c r="C223" s="190" t="s">
        <v>382</v>
      </c>
      <c r="D223" s="190" t="s">
        <v>663</v>
      </c>
      <c r="E223" s="190" t="s">
        <v>96</v>
      </c>
      <c r="F223" s="190"/>
      <c r="I223" s="190"/>
    </row>
    <row r="224" spans="1:9" x14ac:dyDescent="0.25">
      <c r="A224" s="94" t="str">
        <f t="shared" si="3"/>
        <v>WPW0331Centralines</v>
      </c>
      <c r="B224" s="190" t="s">
        <v>100</v>
      </c>
      <c r="C224" s="190" t="s">
        <v>383</v>
      </c>
      <c r="D224" s="190" t="s">
        <v>665</v>
      </c>
      <c r="E224" s="190" t="s">
        <v>95</v>
      </c>
      <c r="F224" s="190"/>
      <c r="I224" s="190"/>
    </row>
    <row r="225" spans="1:9" x14ac:dyDescent="0.25">
      <c r="A225" s="94" t="str">
        <f t="shared" si="3"/>
        <v>WRD0331Vector</v>
      </c>
      <c r="B225" s="190" t="s">
        <v>37</v>
      </c>
      <c r="C225" s="190" t="s">
        <v>384</v>
      </c>
      <c r="D225" s="190" t="s">
        <v>1592</v>
      </c>
      <c r="E225" s="190" t="s">
        <v>95</v>
      </c>
      <c r="F225" s="190"/>
      <c r="I225" s="190"/>
    </row>
    <row r="226" spans="1:9" x14ac:dyDescent="0.25">
      <c r="A226" s="94" t="str">
        <f t="shared" si="3"/>
        <v>WRK0331Unison</v>
      </c>
      <c r="B226" s="190" t="s">
        <v>36</v>
      </c>
      <c r="C226" s="190" t="s">
        <v>385</v>
      </c>
      <c r="D226" s="190" t="s">
        <v>507</v>
      </c>
      <c r="E226" s="190" t="s">
        <v>95</v>
      </c>
      <c r="F226" s="190"/>
      <c r="I226" s="190"/>
    </row>
    <row r="227" spans="1:9" x14ac:dyDescent="0.25">
      <c r="A227" s="94" t="str">
        <f t="shared" si="3"/>
        <v>WRK2201Contact</v>
      </c>
      <c r="B227" s="190" t="s">
        <v>4</v>
      </c>
      <c r="C227" s="190" t="s">
        <v>917</v>
      </c>
      <c r="D227" s="190" t="s">
        <v>507</v>
      </c>
      <c r="E227" s="190" t="s">
        <v>95</v>
      </c>
      <c r="F227" s="190"/>
      <c r="I227" s="190"/>
    </row>
    <row r="228" spans="1:9" x14ac:dyDescent="0.25">
      <c r="A228" s="94" t="str">
        <f t="shared" si="3"/>
        <v>WTK0111Network Waitaki</v>
      </c>
      <c r="B228" s="190" t="s">
        <v>20</v>
      </c>
      <c r="C228" s="190" t="s">
        <v>389</v>
      </c>
      <c r="D228" s="190" t="s">
        <v>535</v>
      </c>
      <c r="E228" s="190" t="s">
        <v>96</v>
      </c>
      <c r="F228" s="190"/>
      <c r="I228" s="190"/>
    </row>
    <row r="229" spans="1:9" x14ac:dyDescent="0.25">
      <c r="A229" s="94" t="str">
        <f t="shared" si="3"/>
        <v>WTU0331Unison</v>
      </c>
      <c r="B229" s="190" t="s">
        <v>36</v>
      </c>
      <c r="C229" s="190" t="s">
        <v>391</v>
      </c>
      <c r="D229" s="190" t="s">
        <v>819</v>
      </c>
      <c r="E229" s="190" t="s">
        <v>95</v>
      </c>
      <c r="F229" s="190"/>
      <c r="I229" s="190"/>
    </row>
    <row r="230" spans="1:9" x14ac:dyDescent="0.25">
      <c r="A230" s="94" t="str">
        <f t="shared" si="3"/>
        <v>WVY0111Powerco</v>
      </c>
      <c r="B230" s="190" t="s">
        <v>28</v>
      </c>
      <c r="C230" s="190" t="s">
        <v>392</v>
      </c>
      <c r="D230" s="190" t="s">
        <v>778</v>
      </c>
      <c r="E230" s="190" t="s">
        <v>95</v>
      </c>
      <c r="F230" s="190"/>
      <c r="I230" s="190"/>
    </row>
    <row r="231" spans="1:9" x14ac:dyDescent="0.25">
      <c r="A231" s="94" t="str">
        <f t="shared" si="3"/>
        <v>WWD1102Meridian</v>
      </c>
      <c r="B231" s="190" t="s">
        <v>14</v>
      </c>
      <c r="C231" s="190" t="s">
        <v>393</v>
      </c>
      <c r="D231" s="190" t="s">
        <v>540</v>
      </c>
      <c r="E231" s="190" t="s">
        <v>95</v>
      </c>
      <c r="F231" s="190"/>
      <c r="I231" s="190"/>
    </row>
    <row r="232" spans="1:9" x14ac:dyDescent="0.25">
      <c r="A232" s="94" t="str">
        <f t="shared" si="3"/>
        <v>WWD1103Meridian</v>
      </c>
      <c r="B232" s="190" t="s">
        <v>14</v>
      </c>
      <c r="C232" s="190" t="s">
        <v>394</v>
      </c>
      <c r="D232" s="190" t="s">
        <v>540</v>
      </c>
      <c r="E232" s="190" t="s">
        <v>95</v>
      </c>
      <c r="F232" s="190"/>
      <c r="I232" s="190"/>
    </row>
    <row r="233" spans="1:9" x14ac:dyDescent="0.25">
      <c r="A233" s="94" t="str">
        <f t="shared" si="3"/>
        <v>ARA2201 ARA0MRP</v>
      </c>
      <c r="B233" s="190" t="s">
        <v>17</v>
      </c>
      <c r="C233" s="98" t="s">
        <v>135</v>
      </c>
      <c r="D233" t="s">
        <v>521</v>
      </c>
      <c r="E233" t="s">
        <v>95</v>
      </c>
      <c r="I233" s="190"/>
    </row>
    <row r="234" spans="1:9" x14ac:dyDescent="0.25">
      <c r="A234" s="94" t="str">
        <f t="shared" si="3"/>
        <v>ARG1101 BRR0Trustpower</v>
      </c>
      <c r="B234" s="190" t="s">
        <v>35</v>
      </c>
      <c r="C234" s="98" t="s">
        <v>139</v>
      </c>
      <c r="D234" t="s">
        <v>1208</v>
      </c>
      <c r="E234" t="s">
        <v>96</v>
      </c>
      <c r="I234" s="190"/>
    </row>
    <row r="235" spans="1:9" x14ac:dyDescent="0.25">
      <c r="A235" s="94" t="str">
        <f t="shared" si="3"/>
        <v>ARI1101 ARI0MRP</v>
      </c>
      <c r="B235" s="98" t="s">
        <v>17</v>
      </c>
      <c r="C235" s="98" t="s">
        <v>140</v>
      </c>
      <c r="D235" t="s">
        <v>1194</v>
      </c>
      <c r="E235" t="s">
        <v>95</v>
      </c>
      <c r="I235" s="190"/>
    </row>
    <row r="236" spans="1:9" x14ac:dyDescent="0.25">
      <c r="A236" s="94" t="str">
        <f t="shared" si="3"/>
        <v>ARI1102 ARI0MRP</v>
      </c>
      <c r="B236" s="98" t="s">
        <v>17</v>
      </c>
      <c r="C236" s="98" t="s">
        <v>141</v>
      </c>
      <c r="D236" t="s">
        <v>1194</v>
      </c>
      <c r="E236" t="s">
        <v>95</v>
      </c>
      <c r="I236" s="190"/>
    </row>
    <row r="237" spans="1:9" x14ac:dyDescent="0.25">
      <c r="A237" s="94" t="str">
        <f t="shared" si="3"/>
        <v>ASB0661 HBK0Trustpower</v>
      </c>
      <c r="B237" t="s">
        <v>35</v>
      </c>
      <c r="C237" t="s">
        <v>144</v>
      </c>
      <c r="D237" t="s">
        <v>677</v>
      </c>
      <c r="E237" t="s">
        <v>96</v>
      </c>
      <c r="I237" s="190"/>
    </row>
    <row r="238" spans="1:9" x14ac:dyDescent="0.25">
      <c r="A238" s="94" t="str">
        <f t="shared" si="3"/>
        <v>ATI2201 ATI0MRP</v>
      </c>
      <c r="B238" t="s">
        <v>17</v>
      </c>
      <c r="C238" t="s">
        <v>147</v>
      </c>
      <c r="D238" t="s">
        <v>522</v>
      </c>
      <c r="E238" t="s">
        <v>95</v>
      </c>
      <c r="I238" s="190"/>
    </row>
    <row r="239" spans="1:9" x14ac:dyDescent="0.25">
      <c r="A239" s="94" t="str">
        <f t="shared" si="3"/>
        <v>AVI2201 AVI0Meridian</v>
      </c>
      <c r="B239" t="s">
        <v>14</v>
      </c>
      <c r="C239" t="s">
        <v>149</v>
      </c>
      <c r="D239" t="s">
        <v>528</v>
      </c>
      <c r="E239" t="s">
        <v>96</v>
      </c>
      <c r="I239" s="190"/>
    </row>
    <row r="240" spans="1:9" x14ac:dyDescent="0.25">
      <c r="A240" s="94" t="str">
        <f t="shared" si="3"/>
        <v>BEN0162 BEN0Meridian</v>
      </c>
      <c r="B240" t="s">
        <v>14</v>
      </c>
      <c r="C240" t="s">
        <v>427</v>
      </c>
      <c r="D240" t="s">
        <v>529</v>
      </c>
      <c r="E240" t="s">
        <v>96</v>
      </c>
      <c r="I240" s="190"/>
    </row>
    <row r="241" spans="1:9" x14ac:dyDescent="0.25">
      <c r="A241" s="94" t="str">
        <f t="shared" si="3"/>
        <v>BEN0163 BEN0Meridian</v>
      </c>
      <c r="B241" t="s">
        <v>14</v>
      </c>
      <c r="C241" t="s">
        <v>428</v>
      </c>
      <c r="D241" t="s">
        <v>529</v>
      </c>
      <c r="E241" t="s">
        <v>96</v>
      </c>
      <c r="I241" s="190"/>
    </row>
    <row r="242" spans="1:9" x14ac:dyDescent="0.25">
      <c r="A242" s="94" t="str">
        <f t="shared" si="3"/>
        <v>BEN2202 BEN0Meridian</v>
      </c>
      <c r="B242" t="s">
        <v>14</v>
      </c>
      <c r="C242" t="s">
        <v>152</v>
      </c>
      <c r="D242" t="s">
        <v>529</v>
      </c>
      <c r="E242" t="s">
        <v>96</v>
      </c>
      <c r="I242" s="190"/>
    </row>
    <row r="243" spans="1:9" x14ac:dyDescent="0.25">
      <c r="A243" s="94" t="str">
        <f t="shared" si="3"/>
        <v>BWK1101 WPI0Trustpower</v>
      </c>
      <c r="B243" t="s">
        <v>35</v>
      </c>
      <c r="C243" t="s">
        <v>165</v>
      </c>
      <c r="D243" t="s">
        <v>1210</v>
      </c>
      <c r="E243" t="s">
        <v>96</v>
      </c>
      <c r="I243" s="190"/>
    </row>
    <row r="244" spans="1:9" x14ac:dyDescent="0.25">
      <c r="A244" s="94" t="str">
        <f t="shared" si="3"/>
        <v>COB0661 COB0Trustpower</v>
      </c>
      <c r="B244" t="s">
        <v>35</v>
      </c>
      <c r="C244" t="s">
        <v>429</v>
      </c>
      <c r="D244" t="s">
        <v>511</v>
      </c>
      <c r="E244" t="s">
        <v>96</v>
      </c>
      <c r="I244" s="190"/>
    </row>
    <row r="245" spans="1:9" x14ac:dyDescent="0.25">
      <c r="A245" s="94" t="str">
        <f t="shared" si="3"/>
        <v>COL0661 COL0Trustpower</v>
      </c>
      <c r="B245" t="s">
        <v>35</v>
      </c>
      <c r="C245" t="s">
        <v>171</v>
      </c>
      <c r="D245" t="s">
        <v>512</v>
      </c>
      <c r="E245" t="s">
        <v>96</v>
      </c>
      <c r="I245" s="190"/>
    </row>
    <row r="246" spans="1:9" x14ac:dyDescent="0.25">
      <c r="A246" s="94" t="str">
        <f t="shared" si="3"/>
        <v>CYD2201 CYD0Contact</v>
      </c>
      <c r="B246" t="s">
        <v>4</v>
      </c>
      <c r="C246" t="s">
        <v>179</v>
      </c>
      <c r="D246" t="s">
        <v>509</v>
      </c>
      <c r="E246" t="s">
        <v>96</v>
      </c>
      <c r="I246" s="190"/>
    </row>
    <row r="247" spans="1:9" x14ac:dyDescent="0.25">
      <c r="A247" s="94" t="str">
        <f t="shared" si="3"/>
        <v>GLN0332 GLN0NZ Steel</v>
      </c>
      <c r="B247" t="s">
        <v>24</v>
      </c>
      <c r="C247" t="s">
        <v>430</v>
      </c>
      <c r="D247" t="s">
        <v>187</v>
      </c>
      <c r="E247" t="s">
        <v>95</v>
      </c>
      <c r="I247" s="190"/>
    </row>
    <row r="248" spans="1:9" x14ac:dyDescent="0.25">
      <c r="A248" s="94" t="str">
        <f t="shared" si="3"/>
        <v>HLY2201 HLY1Genesis</v>
      </c>
      <c r="B248" t="s">
        <v>10</v>
      </c>
      <c r="C248" t="s">
        <v>202</v>
      </c>
      <c r="D248" t="s">
        <v>536</v>
      </c>
      <c r="E248" t="s">
        <v>95</v>
      </c>
      <c r="I248" s="190"/>
    </row>
    <row r="249" spans="1:9" x14ac:dyDescent="0.25">
      <c r="A249" s="94" t="str">
        <f t="shared" si="3"/>
        <v>HLY2201 HLY2Genesis</v>
      </c>
      <c r="B249" t="s">
        <v>10</v>
      </c>
      <c r="C249" t="s">
        <v>203</v>
      </c>
      <c r="D249" t="s">
        <v>536</v>
      </c>
      <c r="E249" t="s">
        <v>95</v>
      </c>
      <c r="I249" s="190"/>
    </row>
    <row r="250" spans="1:9" x14ac:dyDescent="0.25">
      <c r="A250" s="94" t="str">
        <f t="shared" si="3"/>
        <v>HLY2201 HLY5Genesis</v>
      </c>
      <c r="B250" t="s">
        <v>10</v>
      </c>
      <c r="C250" t="s">
        <v>204</v>
      </c>
      <c r="D250" t="s">
        <v>536</v>
      </c>
      <c r="E250" t="s">
        <v>95</v>
      </c>
      <c r="I250" s="190"/>
    </row>
    <row r="251" spans="1:9" x14ac:dyDescent="0.25">
      <c r="A251" s="94" t="str">
        <f t="shared" si="3"/>
        <v>HLY2201 HLY6Genesis</v>
      </c>
      <c r="B251" t="s">
        <v>10</v>
      </c>
      <c r="C251" t="s">
        <v>205</v>
      </c>
      <c r="D251" t="s">
        <v>536</v>
      </c>
      <c r="E251" t="s">
        <v>95</v>
      </c>
      <c r="I251" s="190"/>
    </row>
    <row r="252" spans="1:9" x14ac:dyDescent="0.25">
      <c r="A252" s="94" t="str">
        <f t="shared" si="3"/>
        <v>HWA1101 PTA1Trustpower</v>
      </c>
      <c r="B252" t="s">
        <v>35</v>
      </c>
      <c r="C252" t="s">
        <v>214</v>
      </c>
      <c r="D252" t="s">
        <v>787</v>
      </c>
      <c r="E252" t="s">
        <v>95</v>
      </c>
      <c r="I252" s="190"/>
    </row>
    <row r="253" spans="1:9" x14ac:dyDescent="0.25">
      <c r="A253" s="94" t="str">
        <f t="shared" si="3"/>
        <v>HWA1101 PTA2Trustpower</v>
      </c>
      <c r="B253" t="s">
        <v>35</v>
      </c>
      <c r="C253" t="s">
        <v>215</v>
      </c>
      <c r="D253" t="s">
        <v>787</v>
      </c>
      <c r="E253" t="s">
        <v>95</v>
      </c>
      <c r="I253" s="190"/>
    </row>
    <row r="254" spans="1:9" x14ac:dyDescent="0.25">
      <c r="A254" s="94" t="str">
        <f t="shared" si="3"/>
        <v>HWA1101 PTA3Trustpower</v>
      </c>
      <c r="B254" t="s">
        <v>35</v>
      </c>
      <c r="C254" t="s">
        <v>216</v>
      </c>
      <c r="D254" t="s">
        <v>787</v>
      </c>
      <c r="E254" t="s">
        <v>95</v>
      </c>
      <c r="I254" s="190"/>
    </row>
    <row r="255" spans="1:9" x14ac:dyDescent="0.25">
      <c r="A255" s="94" t="str">
        <f t="shared" si="3"/>
        <v>HWA1102 WAA0Fonterra</v>
      </c>
      <c r="B255" t="s">
        <v>49</v>
      </c>
      <c r="C255" t="s">
        <v>218</v>
      </c>
      <c r="D255" t="s">
        <v>787</v>
      </c>
      <c r="E255" t="s">
        <v>95</v>
      </c>
      <c r="I255" s="190"/>
    </row>
    <row r="256" spans="1:9" x14ac:dyDescent="0.25">
      <c r="A256" s="94" t="str">
        <f t="shared" si="3"/>
        <v>HWA1102 WAA1Fonterra</v>
      </c>
      <c r="B256" t="s">
        <v>49</v>
      </c>
      <c r="C256" t="s">
        <v>219</v>
      </c>
      <c r="D256" t="s">
        <v>787</v>
      </c>
      <c r="E256" t="s">
        <v>95</v>
      </c>
      <c r="I256" s="190"/>
    </row>
    <row r="257" spans="1:9" x14ac:dyDescent="0.25">
      <c r="A257" s="94" t="str">
        <f t="shared" si="3"/>
        <v>HWB0331 WPI0Trustpower</v>
      </c>
      <c r="B257" t="s">
        <v>35</v>
      </c>
      <c r="C257" t="s">
        <v>221</v>
      </c>
      <c r="D257" t="s">
        <v>654</v>
      </c>
      <c r="E257" t="s">
        <v>96</v>
      </c>
      <c r="I257" s="190"/>
    </row>
    <row r="258" spans="1:9" x14ac:dyDescent="0.25">
      <c r="A258" s="94" t="str">
        <f t="shared" si="3"/>
        <v>KAW0112 ONU0Todd</v>
      </c>
      <c r="B258" t="s">
        <v>33</v>
      </c>
      <c r="C258" t="s">
        <v>431</v>
      </c>
      <c r="D258" t="s">
        <v>228</v>
      </c>
      <c r="E258" t="s">
        <v>95</v>
      </c>
      <c r="I258" s="190"/>
    </row>
    <row r="259" spans="1:9" x14ac:dyDescent="0.25">
      <c r="A259" s="94" t="str">
        <f t="shared" ref="A259:A310" si="4">C259&amp;B259</f>
        <v>KAW1101 KAG0MRP</v>
      </c>
      <c r="B259" t="s">
        <v>17</v>
      </c>
      <c r="C259" t="s">
        <v>432</v>
      </c>
      <c r="D259" t="s">
        <v>228</v>
      </c>
      <c r="E259" t="s">
        <v>95</v>
      </c>
      <c r="I259" s="190"/>
    </row>
    <row r="260" spans="1:9" x14ac:dyDescent="0.25">
      <c r="A260" s="94" t="str">
        <f t="shared" si="4"/>
        <v>KIN0112 KIN0CHH</v>
      </c>
      <c r="B260" t="s">
        <v>3</v>
      </c>
      <c r="C260" t="s">
        <v>433</v>
      </c>
      <c r="D260" t="s">
        <v>233</v>
      </c>
      <c r="E260" t="s">
        <v>95</v>
      </c>
      <c r="I260" s="190"/>
    </row>
    <row r="261" spans="1:9" x14ac:dyDescent="0.25">
      <c r="A261" s="94" t="str">
        <f t="shared" si="4"/>
        <v>KPA1101 KPI1Todd</v>
      </c>
      <c r="B261" t="s">
        <v>33</v>
      </c>
      <c r="C261" t="s">
        <v>238</v>
      </c>
      <c r="D261" t="s">
        <v>1101</v>
      </c>
      <c r="E261" t="s">
        <v>95</v>
      </c>
      <c r="I261" s="190"/>
    </row>
    <row r="262" spans="1:9" x14ac:dyDescent="0.25">
      <c r="A262" s="94" t="str">
        <f t="shared" si="4"/>
        <v>KPO1101 KPO0MRP</v>
      </c>
      <c r="B262" t="s">
        <v>17</v>
      </c>
      <c r="C262" t="s">
        <v>239</v>
      </c>
      <c r="D262" t="s">
        <v>523</v>
      </c>
      <c r="E262" t="s">
        <v>95</v>
      </c>
      <c r="I262" s="190"/>
    </row>
    <row r="263" spans="1:9" x14ac:dyDescent="0.25">
      <c r="A263" s="94" t="str">
        <f t="shared" si="4"/>
        <v>KUM0661 KUM0Trustpower</v>
      </c>
      <c r="B263" t="s">
        <v>35</v>
      </c>
      <c r="C263" t="s">
        <v>242</v>
      </c>
      <c r="D263" t="s">
        <v>1586</v>
      </c>
      <c r="E263" t="s">
        <v>96</v>
      </c>
      <c r="I263" s="190"/>
    </row>
    <row r="264" spans="1:9" x14ac:dyDescent="0.25">
      <c r="A264" s="94" t="str">
        <f t="shared" si="4"/>
        <v>MAN2201 MAN0Meridian</v>
      </c>
      <c r="B264" t="s">
        <v>14</v>
      </c>
      <c r="C264" t="s">
        <v>248</v>
      </c>
      <c r="D264" t="s">
        <v>513</v>
      </c>
      <c r="E264" t="s">
        <v>96</v>
      </c>
      <c r="I264" s="190"/>
    </row>
    <row r="265" spans="1:9" x14ac:dyDescent="0.25">
      <c r="A265" s="94" t="str">
        <f t="shared" si="4"/>
        <v>MAT1101 ANI0Todd</v>
      </c>
      <c r="B265" t="s">
        <v>33</v>
      </c>
      <c r="C265" t="s">
        <v>250</v>
      </c>
      <c r="D265" t="s">
        <v>516</v>
      </c>
      <c r="E265" t="s">
        <v>95</v>
      </c>
      <c r="I265" s="190"/>
    </row>
    <row r="266" spans="1:9" x14ac:dyDescent="0.25">
      <c r="A266" s="94" t="str">
        <f t="shared" si="4"/>
        <v>MAT1101 MAT0Trustpower</v>
      </c>
      <c r="B266" t="s">
        <v>35</v>
      </c>
      <c r="C266" t="s">
        <v>251</v>
      </c>
      <c r="D266" t="s">
        <v>516</v>
      </c>
      <c r="E266" t="s">
        <v>95</v>
      </c>
      <c r="I266" s="190"/>
    </row>
    <row r="267" spans="1:9" x14ac:dyDescent="0.25">
      <c r="A267" s="94" t="str">
        <f t="shared" si="4"/>
        <v>MAT1102 MAT0Trustpower</v>
      </c>
      <c r="B267" t="s">
        <v>35</v>
      </c>
      <c r="C267" t="s">
        <v>252</v>
      </c>
      <c r="D267" t="s">
        <v>516</v>
      </c>
      <c r="E267" t="s">
        <v>95</v>
      </c>
      <c r="I267" s="190"/>
    </row>
    <row r="268" spans="1:9" x14ac:dyDescent="0.25">
      <c r="A268" s="94" t="str">
        <f t="shared" si="4"/>
        <v>MHO0331 MHO0Todd</v>
      </c>
      <c r="B268" t="s">
        <v>33</v>
      </c>
      <c r="C268" t="s">
        <v>257</v>
      </c>
      <c r="D268" t="s">
        <v>515</v>
      </c>
      <c r="E268" t="s">
        <v>95</v>
      </c>
      <c r="I268" s="190"/>
    </row>
    <row r="269" spans="1:9" x14ac:dyDescent="0.25">
      <c r="A269" s="94" t="str">
        <f t="shared" si="4"/>
        <v>MKE1101 MKE1Todd</v>
      </c>
      <c r="B269" t="s">
        <v>33</v>
      </c>
      <c r="C269" t="s">
        <v>259</v>
      </c>
      <c r="D269" t="s">
        <v>1587</v>
      </c>
      <c r="E269" t="s">
        <v>95</v>
      </c>
      <c r="I269" s="190"/>
    </row>
    <row r="270" spans="1:9" x14ac:dyDescent="0.25">
      <c r="A270" s="94" t="str">
        <f t="shared" si="4"/>
        <v>MTI2201 MTI0MRP</v>
      </c>
      <c r="B270" t="s">
        <v>17</v>
      </c>
      <c r="C270" t="s">
        <v>267</v>
      </c>
      <c r="D270" t="s">
        <v>524</v>
      </c>
      <c r="E270" t="s">
        <v>95</v>
      </c>
      <c r="I270" s="190"/>
    </row>
    <row r="271" spans="1:9" x14ac:dyDescent="0.25">
      <c r="A271" s="94" t="str">
        <f t="shared" si="4"/>
        <v>NAP2201 NAP0NAP JV</v>
      </c>
      <c r="B271" t="s">
        <v>18</v>
      </c>
      <c r="C271" t="s">
        <v>273</v>
      </c>
      <c r="D271" t="s">
        <v>506</v>
      </c>
      <c r="E271" t="s">
        <v>95</v>
      </c>
      <c r="I271" s="190"/>
    </row>
    <row r="272" spans="1:9" x14ac:dyDescent="0.25">
      <c r="A272" s="94" t="str">
        <f t="shared" si="4"/>
        <v>NAP2202 NTM0Ngatamariki</v>
      </c>
      <c r="B272" t="s">
        <v>21</v>
      </c>
      <c r="C272" t="s">
        <v>275</v>
      </c>
      <c r="D272" t="s">
        <v>506</v>
      </c>
      <c r="E272" t="s">
        <v>95</v>
      </c>
      <c r="I272" s="190"/>
    </row>
    <row r="273" spans="1:9" x14ac:dyDescent="0.25">
      <c r="A273" s="94" t="str">
        <f t="shared" si="4"/>
        <v>NSY0331 PAE0Trustpower</v>
      </c>
      <c r="B273" t="s">
        <v>35</v>
      </c>
      <c r="C273" t="s">
        <v>281</v>
      </c>
      <c r="D273" t="s">
        <v>741</v>
      </c>
      <c r="E273" t="s">
        <v>96</v>
      </c>
      <c r="I273" s="190"/>
    </row>
    <row r="274" spans="1:9" x14ac:dyDescent="0.25">
      <c r="A274" s="94" t="str">
        <f t="shared" si="4"/>
        <v>OHA2201 OHA0Meridian</v>
      </c>
      <c r="B274" t="s">
        <v>14</v>
      </c>
      <c r="C274" t="s">
        <v>283</v>
      </c>
      <c r="D274" t="s">
        <v>530</v>
      </c>
      <c r="E274" t="s">
        <v>96</v>
      </c>
      <c r="I274" s="190"/>
    </row>
    <row r="275" spans="1:9" x14ac:dyDescent="0.25">
      <c r="A275" s="94" t="str">
        <f t="shared" si="4"/>
        <v>OHB2201 OHB0Meridian</v>
      </c>
      <c r="B275" t="s">
        <v>14</v>
      </c>
      <c r="C275" t="s">
        <v>284</v>
      </c>
      <c r="D275" t="s">
        <v>531</v>
      </c>
      <c r="E275" t="s">
        <v>96</v>
      </c>
      <c r="I275" s="190"/>
    </row>
    <row r="276" spans="1:9" x14ac:dyDescent="0.25">
      <c r="A276" s="94" t="str">
        <f t="shared" si="4"/>
        <v>OHC2201 OHC0Meridian</v>
      </c>
      <c r="B276" t="s">
        <v>14</v>
      </c>
      <c r="C276" t="s">
        <v>285</v>
      </c>
      <c r="D276" t="s">
        <v>532</v>
      </c>
      <c r="E276" t="s">
        <v>96</v>
      </c>
      <c r="I276" s="190"/>
    </row>
    <row r="277" spans="1:9" x14ac:dyDescent="0.25">
      <c r="A277" s="94" t="str">
        <f t="shared" si="4"/>
        <v>OHK2201 OHK0MRP</v>
      </c>
      <c r="B277" t="s">
        <v>17</v>
      </c>
      <c r="C277" t="s">
        <v>286</v>
      </c>
      <c r="D277" t="s">
        <v>525</v>
      </c>
      <c r="E277" t="s">
        <v>95</v>
      </c>
      <c r="I277" s="190"/>
    </row>
    <row r="278" spans="1:9" x14ac:dyDescent="0.25">
      <c r="A278" s="94" t="str">
        <f t="shared" si="4"/>
        <v>OKI2201 OKI0Contact</v>
      </c>
      <c r="B278" t="s">
        <v>4</v>
      </c>
      <c r="C278" t="s">
        <v>287</v>
      </c>
      <c r="D278" t="s">
        <v>503</v>
      </c>
      <c r="E278" t="s">
        <v>95</v>
      </c>
      <c r="I278" s="190"/>
    </row>
    <row r="279" spans="1:9" x14ac:dyDescent="0.25">
      <c r="A279" s="94" t="str">
        <f t="shared" si="4"/>
        <v>OTA2202 OTC0Contact</v>
      </c>
      <c r="B279" t="s">
        <v>4</v>
      </c>
      <c r="C279" t="s">
        <v>434</v>
      </c>
      <c r="D279" t="s">
        <v>833</v>
      </c>
      <c r="E279" t="s">
        <v>95</v>
      </c>
      <c r="I279" s="190"/>
    </row>
    <row r="280" spans="1:9" x14ac:dyDescent="0.25">
      <c r="A280" s="94" t="str">
        <f t="shared" si="4"/>
        <v>PPI2201 PPI0Contact</v>
      </c>
      <c r="B280" t="s">
        <v>4</v>
      </c>
      <c r="C280" t="s">
        <v>304</v>
      </c>
      <c r="D280" t="s">
        <v>505</v>
      </c>
      <c r="E280" t="s">
        <v>95</v>
      </c>
      <c r="I280" s="190"/>
    </row>
    <row r="281" spans="1:9" x14ac:dyDescent="0.25">
      <c r="A281" s="94" t="str">
        <f t="shared" si="4"/>
        <v>ROT1101 WHE0Trustpower</v>
      </c>
      <c r="B281" t="s">
        <v>35</v>
      </c>
      <c r="C281" t="s">
        <v>314</v>
      </c>
      <c r="D281" t="s">
        <v>823</v>
      </c>
      <c r="E281" t="s">
        <v>95</v>
      </c>
      <c r="I281" s="190"/>
    </row>
    <row r="282" spans="1:9" x14ac:dyDescent="0.25">
      <c r="A282" s="94" t="str">
        <f t="shared" si="4"/>
        <v>ROX1101 ROX0Contact</v>
      </c>
      <c r="B282" t="s">
        <v>4</v>
      </c>
      <c r="C282" t="s">
        <v>315</v>
      </c>
      <c r="D282" t="s">
        <v>510</v>
      </c>
      <c r="E282" t="s">
        <v>96</v>
      </c>
      <c r="I282" s="190"/>
    </row>
    <row r="283" spans="1:9" x14ac:dyDescent="0.25">
      <c r="A283" s="94" t="str">
        <f t="shared" si="4"/>
        <v>ROX2201 ROX0Contact</v>
      </c>
      <c r="B283" t="s">
        <v>4</v>
      </c>
      <c r="C283" t="s">
        <v>316</v>
      </c>
      <c r="D283" t="s">
        <v>510</v>
      </c>
      <c r="E283" t="s">
        <v>96</v>
      </c>
      <c r="I283" s="190"/>
    </row>
    <row r="284" spans="1:9" x14ac:dyDescent="0.25">
      <c r="A284" s="94" t="str">
        <f t="shared" si="4"/>
        <v>RPO2201 RPO0Genesis</v>
      </c>
      <c r="B284" t="s">
        <v>10</v>
      </c>
      <c r="C284" t="s">
        <v>317</v>
      </c>
      <c r="D284" t="s">
        <v>517</v>
      </c>
      <c r="E284" t="s">
        <v>95</v>
      </c>
      <c r="I284" s="190"/>
    </row>
    <row r="285" spans="1:9" x14ac:dyDescent="0.25">
      <c r="A285" s="94" t="str">
        <f t="shared" si="4"/>
        <v>SFD2201 SFD21Contact</v>
      </c>
      <c r="B285" t="s">
        <v>4</v>
      </c>
      <c r="C285" t="s">
        <v>322</v>
      </c>
      <c r="D285" t="s">
        <v>538</v>
      </c>
      <c r="E285" t="s">
        <v>95</v>
      </c>
      <c r="I285" s="190"/>
    </row>
    <row r="286" spans="1:9" x14ac:dyDescent="0.25">
      <c r="A286" s="94" t="str">
        <f t="shared" si="4"/>
        <v>SFD2201 SFD22Contact</v>
      </c>
      <c r="B286" t="s">
        <v>4</v>
      </c>
      <c r="C286" t="s">
        <v>323</v>
      </c>
      <c r="D286" t="s">
        <v>538</v>
      </c>
      <c r="E286" t="s">
        <v>95</v>
      </c>
      <c r="I286" s="190"/>
    </row>
    <row r="287" spans="1:9" x14ac:dyDescent="0.25">
      <c r="A287" s="94" t="str">
        <f t="shared" si="4"/>
        <v>SFD2201 SPL0Contact</v>
      </c>
      <c r="B287" t="s">
        <v>4</v>
      </c>
      <c r="C287" t="s">
        <v>324</v>
      </c>
      <c r="D287" t="s">
        <v>538</v>
      </c>
      <c r="E287" t="s">
        <v>95</v>
      </c>
      <c r="I287" s="190"/>
    </row>
    <row r="288" spans="1:9" x14ac:dyDescent="0.25">
      <c r="A288" s="94" t="str">
        <f t="shared" si="4"/>
        <v>STK0661 COB0Trustpower</v>
      </c>
      <c r="B288" t="s">
        <v>35</v>
      </c>
      <c r="C288" t="s">
        <v>326</v>
      </c>
      <c r="D288" t="s">
        <v>697</v>
      </c>
      <c r="E288" t="s">
        <v>96</v>
      </c>
      <c r="I288" s="190"/>
    </row>
    <row r="289" spans="1:9" x14ac:dyDescent="0.25">
      <c r="A289" s="94" t="str">
        <f t="shared" si="4"/>
        <v>SWN2201 SWN0MRP</v>
      </c>
      <c r="B289" t="s">
        <v>17</v>
      </c>
      <c r="C289" t="s">
        <v>435</v>
      </c>
      <c r="D289" t="s">
        <v>537</v>
      </c>
      <c r="E289" t="s">
        <v>95</v>
      </c>
      <c r="I289" s="190"/>
    </row>
    <row r="290" spans="1:9" x14ac:dyDescent="0.25">
      <c r="A290" s="94" t="str">
        <f t="shared" si="4"/>
        <v>SWN2201 SWN5MRP</v>
      </c>
      <c r="B290" t="s">
        <v>17</v>
      </c>
      <c r="C290" t="s">
        <v>331</v>
      </c>
      <c r="D290" t="s">
        <v>537</v>
      </c>
      <c r="E290" t="s">
        <v>95</v>
      </c>
      <c r="I290" s="190"/>
    </row>
    <row r="291" spans="1:9" x14ac:dyDescent="0.25">
      <c r="A291" s="94" t="str">
        <f t="shared" si="4"/>
        <v>TGA0331 KMI0Trustpower</v>
      </c>
      <c r="B291" t="s">
        <v>35</v>
      </c>
      <c r="C291" t="s">
        <v>335</v>
      </c>
      <c r="D291" t="s">
        <v>780</v>
      </c>
      <c r="E291" t="s">
        <v>95</v>
      </c>
      <c r="I291" s="190"/>
    </row>
    <row r="292" spans="1:9" x14ac:dyDescent="0.25">
      <c r="A292" s="94" t="str">
        <f t="shared" si="4"/>
        <v>THI2201 THI1Contact</v>
      </c>
      <c r="B292" t="s">
        <v>4</v>
      </c>
      <c r="C292" t="s">
        <v>337</v>
      </c>
      <c r="D292" t="s">
        <v>1590</v>
      </c>
      <c r="E292" t="s">
        <v>95</v>
      </c>
      <c r="I292" s="190"/>
    </row>
    <row r="293" spans="1:9" x14ac:dyDescent="0.25">
      <c r="A293" s="94" t="str">
        <f t="shared" si="4"/>
        <v>THI2201 THI2Contact</v>
      </c>
      <c r="B293" t="s">
        <v>4</v>
      </c>
      <c r="C293" t="s">
        <v>338</v>
      </c>
      <c r="D293" t="s">
        <v>1590</v>
      </c>
      <c r="E293" t="s">
        <v>95</v>
      </c>
      <c r="I293" s="190"/>
    </row>
    <row r="294" spans="1:9" x14ac:dyDescent="0.25">
      <c r="A294" s="94" t="str">
        <f t="shared" si="4"/>
        <v>TKA0111 TKA0Genesis</v>
      </c>
      <c r="B294" t="s">
        <v>10</v>
      </c>
      <c r="C294" t="s">
        <v>436</v>
      </c>
      <c r="D294" t="s">
        <v>534</v>
      </c>
      <c r="E294" t="s">
        <v>96</v>
      </c>
      <c r="I294" s="190"/>
    </row>
    <row r="295" spans="1:9" x14ac:dyDescent="0.25">
      <c r="A295" s="94" t="str">
        <f t="shared" si="4"/>
        <v>TKA0111 TKA1Genesis</v>
      </c>
      <c r="B295" t="s">
        <v>10</v>
      </c>
      <c r="C295" t="s">
        <v>340</v>
      </c>
      <c r="D295" t="s">
        <v>534</v>
      </c>
      <c r="E295" t="s">
        <v>96</v>
      </c>
      <c r="I295" s="190"/>
    </row>
    <row r="296" spans="1:9" x14ac:dyDescent="0.25">
      <c r="A296" s="94" t="str">
        <f t="shared" si="4"/>
        <v>TKB2201 TKB0Genesis</v>
      </c>
      <c r="B296" t="s">
        <v>10</v>
      </c>
      <c r="C296" t="s">
        <v>437</v>
      </c>
      <c r="D296" t="s">
        <v>533</v>
      </c>
      <c r="E296" t="s">
        <v>96</v>
      </c>
      <c r="I296" s="190"/>
    </row>
    <row r="297" spans="1:9" x14ac:dyDescent="0.25">
      <c r="A297" s="94" t="str">
        <f t="shared" si="4"/>
        <v>TKB2201 TKB1Genesis</v>
      </c>
      <c r="B297" t="s">
        <v>10</v>
      </c>
      <c r="C297" t="s">
        <v>341</v>
      </c>
      <c r="D297" t="s">
        <v>533</v>
      </c>
      <c r="E297" t="s">
        <v>96</v>
      </c>
      <c r="I297" s="190"/>
    </row>
    <row r="298" spans="1:9" x14ac:dyDescent="0.25">
      <c r="A298" s="94" t="str">
        <f t="shared" si="4"/>
        <v>TKU2201 TKU0Genesis</v>
      </c>
      <c r="B298" t="s">
        <v>10</v>
      </c>
      <c r="C298" t="s">
        <v>345</v>
      </c>
      <c r="D298" t="s">
        <v>519</v>
      </c>
      <c r="E298" t="s">
        <v>95</v>
      </c>
      <c r="I298" s="190"/>
    </row>
    <row r="299" spans="1:9" x14ac:dyDescent="0.25">
      <c r="A299" s="94" t="str">
        <f t="shared" si="4"/>
        <v>TUI1101 KTW0Genesis</v>
      </c>
      <c r="B299" t="s">
        <v>10</v>
      </c>
      <c r="C299" t="s">
        <v>354</v>
      </c>
      <c r="D299" t="s">
        <v>520</v>
      </c>
      <c r="E299" t="s">
        <v>95</v>
      </c>
      <c r="I299" s="190"/>
    </row>
    <row r="300" spans="1:9" x14ac:dyDescent="0.25">
      <c r="A300" s="94" t="str">
        <f t="shared" si="4"/>
        <v>TUI1101 PRI0Genesis</v>
      </c>
      <c r="B300" t="s">
        <v>10</v>
      </c>
      <c r="C300" t="s">
        <v>355</v>
      </c>
      <c r="D300" t="s">
        <v>520</v>
      </c>
      <c r="E300" t="s">
        <v>95</v>
      </c>
      <c r="I300" s="190"/>
    </row>
    <row r="301" spans="1:9" x14ac:dyDescent="0.25">
      <c r="A301" s="94" t="str">
        <f t="shared" si="4"/>
        <v>TUI1101 TUI0Genesis</v>
      </c>
      <c r="B301" t="s">
        <v>10</v>
      </c>
      <c r="C301" t="s">
        <v>356</v>
      </c>
      <c r="D301" t="s">
        <v>520</v>
      </c>
      <c r="E301" t="s">
        <v>95</v>
      </c>
      <c r="I301" s="190"/>
    </row>
    <row r="302" spans="1:9" x14ac:dyDescent="0.25">
      <c r="A302" s="94" t="str">
        <f t="shared" si="4"/>
        <v>TWH0331 TRC1Contact</v>
      </c>
      <c r="B302" t="s">
        <v>4</v>
      </c>
      <c r="C302" t="s">
        <v>359</v>
      </c>
      <c r="D302" t="s">
        <v>1591</v>
      </c>
      <c r="E302" t="s">
        <v>95</v>
      </c>
      <c r="I302" s="190"/>
    </row>
    <row r="303" spans="1:9" x14ac:dyDescent="0.25">
      <c r="A303" s="94" t="str">
        <f t="shared" si="4"/>
        <v>WHI2201 WHI0Contact</v>
      </c>
      <c r="B303" t="s">
        <v>4</v>
      </c>
      <c r="C303" t="s">
        <v>371</v>
      </c>
      <c r="D303" t="s">
        <v>539</v>
      </c>
      <c r="E303" t="s">
        <v>95</v>
      </c>
      <c r="I303" s="190"/>
    </row>
    <row r="304" spans="1:9" x14ac:dyDescent="0.25">
      <c r="A304" s="94" t="str">
        <f t="shared" si="4"/>
        <v>WKM2201 MOK0Mokai JV</v>
      </c>
      <c r="B304" t="s">
        <v>16</v>
      </c>
      <c r="C304" t="s">
        <v>376</v>
      </c>
      <c r="D304" t="s">
        <v>527</v>
      </c>
      <c r="E304" t="s">
        <v>95</v>
      </c>
      <c r="I304" s="190"/>
    </row>
    <row r="305" spans="1:9" x14ac:dyDescent="0.25">
      <c r="A305" s="94" t="str">
        <f t="shared" si="4"/>
        <v>WKM2201 WKM0MRP</v>
      </c>
      <c r="B305" t="s">
        <v>17</v>
      </c>
      <c r="C305" t="s">
        <v>377</v>
      </c>
      <c r="D305" t="s">
        <v>527</v>
      </c>
      <c r="E305" t="s">
        <v>95</v>
      </c>
      <c r="I305" s="190"/>
    </row>
    <row r="306" spans="1:9" x14ac:dyDescent="0.25">
      <c r="A306" s="94" t="str">
        <f t="shared" si="4"/>
        <v>WPA2201 WPA0MRP</v>
      </c>
      <c r="B306" t="s">
        <v>17</v>
      </c>
      <c r="C306" t="s">
        <v>379</v>
      </c>
      <c r="D306" t="s">
        <v>526</v>
      </c>
      <c r="E306" t="s">
        <v>95</v>
      </c>
      <c r="I306" s="190"/>
    </row>
    <row r="307" spans="1:9" x14ac:dyDescent="0.25">
      <c r="A307" s="94" t="str">
        <f t="shared" si="4"/>
        <v>WRK0331 RKA0MRP</v>
      </c>
      <c r="B307" t="s">
        <v>17</v>
      </c>
      <c r="C307" t="s">
        <v>386</v>
      </c>
      <c r="D307" t="s">
        <v>507</v>
      </c>
      <c r="E307" t="s">
        <v>95</v>
      </c>
      <c r="I307" s="190"/>
    </row>
    <row r="308" spans="1:9" x14ac:dyDescent="0.25">
      <c r="A308" s="94" t="str">
        <f t="shared" si="4"/>
        <v>WRK0331 TAA0Contact</v>
      </c>
      <c r="B308" t="s">
        <v>4</v>
      </c>
      <c r="C308" t="s">
        <v>387</v>
      </c>
      <c r="D308" t="s">
        <v>507</v>
      </c>
      <c r="E308" t="s">
        <v>95</v>
      </c>
      <c r="I308" s="190"/>
    </row>
    <row r="309" spans="1:9" x14ac:dyDescent="0.25">
      <c r="A309" s="94" t="str">
        <f t="shared" si="4"/>
        <v>WRK2201 WRK0Contact</v>
      </c>
      <c r="B309" t="s">
        <v>4</v>
      </c>
      <c r="C309" t="s">
        <v>388</v>
      </c>
      <c r="D309" t="s">
        <v>507</v>
      </c>
      <c r="E309" t="s">
        <v>95</v>
      </c>
      <c r="I309" s="190"/>
    </row>
    <row r="310" spans="1:9" x14ac:dyDescent="0.25">
      <c r="A310" s="94" t="str">
        <f t="shared" si="4"/>
        <v>WTK0111 WTK0Meridian</v>
      </c>
      <c r="B310" t="s">
        <v>14</v>
      </c>
      <c r="C310" t="s">
        <v>390</v>
      </c>
      <c r="D310" t="s">
        <v>535</v>
      </c>
      <c r="E310" t="s">
        <v>96</v>
      </c>
      <c r="I310" s="19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4526"/>
  <sheetViews>
    <sheetView topLeftCell="AF13" zoomScale="85" zoomScaleNormal="85" workbookViewId="0">
      <selection activeCell="AH22" sqref="AH22"/>
    </sheetView>
  </sheetViews>
  <sheetFormatPr defaultRowHeight="15" x14ac:dyDescent="0.25"/>
  <cols>
    <col min="1" max="1" width="10.140625" style="155" customWidth="1"/>
    <col min="2" max="2" width="11.140625" bestFit="1" customWidth="1"/>
    <col min="3" max="3" width="11.5703125" bestFit="1" customWidth="1"/>
    <col min="4" max="4" width="19" customWidth="1"/>
    <col min="5" max="5" width="20.28515625" bestFit="1" customWidth="1"/>
    <col min="6" max="6" width="13.85546875" bestFit="1" customWidth="1"/>
    <col min="7" max="7" width="20.85546875" bestFit="1" customWidth="1"/>
    <col min="8" max="8" width="17.7109375" bestFit="1" customWidth="1"/>
    <col min="9" max="10" width="9.140625" style="15"/>
    <col min="11" max="11" width="14.42578125" customWidth="1"/>
    <col min="12" max="12" width="16" customWidth="1"/>
    <col min="14" max="14" width="14.5703125" customWidth="1"/>
    <col min="15" max="16" width="18" customWidth="1"/>
    <col min="17" max="17" width="20.42578125" customWidth="1"/>
    <col min="18" max="21" width="15.140625" customWidth="1"/>
    <col min="22" max="22" width="18.42578125" customWidth="1"/>
    <col min="23" max="25" width="15.140625" customWidth="1"/>
    <col min="26" max="26" width="14.28515625" customWidth="1"/>
    <col min="27" max="27" width="15" customWidth="1"/>
    <col min="32" max="32" width="16.42578125" customWidth="1"/>
    <col min="34" max="34" width="18.42578125" customWidth="1"/>
    <col min="38" max="50" width="16.85546875" customWidth="1"/>
    <col min="52" max="52" width="20.140625" customWidth="1"/>
    <col min="53" max="53" width="18.7109375" customWidth="1"/>
    <col min="56" max="56" width="16" customWidth="1"/>
    <col min="57" max="57" width="11.85546875" customWidth="1"/>
    <col min="58" max="58" width="21" bestFit="1" customWidth="1"/>
    <col min="59" max="59" width="16.28515625" bestFit="1" customWidth="1"/>
    <col min="61" max="61" width="12.140625" customWidth="1"/>
    <col min="62" max="62" width="13.85546875" customWidth="1"/>
    <col min="63" max="63" width="17.28515625" style="190" customWidth="1"/>
    <col min="64" max="64" width="17.85546875" style="190" customWidth="1"/>
    <col min="65" max="65" width="13.85546875" style="28" customWidth="1"/>
    <col min="67" max="67" width="12.42578125" customWidth="1"/>
  </cols>
  <sheetData>
    <row r="1" spans="1:68" s="15" customFormat="1" ht="23.25" x14ac:dyDescent="0.35">
      <c r="M1" s="136" t="s">
        <v>558</v>
      </c>
      <c r="AG1" s="136" t="s">
        <v>566</v>
      </c>
      <c r="BD1" s="136" t="s">
        <v>567</v>
      </c>
      <c r="BK1" s="190"/>
      <c r="BL1" s="190"/>
      <c r="BM1" s="28"/>
    </row>
    <row r="2" spans="1:68" s="15" customFormat="1" x14ac:dyDescent="0.25">
      <c r="A2" s="155"/>
      <c r="B2" s="16" t="s">
        <v>1669</v>
      </c>
      <c r="C2" s="16"/>
      <c r="D2" s="16"/>
      <c r="E2" s="16"/>
      <c r="F2" s="16"/>
      <c r="G2" s="16"/>
      <c r="BG2" s="20"/>
      <c r="BH2" s="20"/>
      <c r="BI2" s="20"/>
      <c r="BJ2" s="20"/>
      <c r="BK2" s="20"/>
      <c r="BL2" s="20"/>
      <c r="BM2" s="82"/>
    </row>
    <row r="3" spans="1:68" s="15" customFormat="1" x14ac:dyDescent="0.25">
      <c r="A3" s="155"/>
      <c r="B3" s="16"/>
      <c r="C3" s="16"/>
      <c r="D3" s="16"/>
      <c r="E3" s="16"/>
      <c r="F3" s="16"/>
      <c r="G3" s="16"/>
      <c r="BG3" s="532"/>
      <c r="BH3" s="532"/>
      <c r="BI3" s="532"/>
      <c r="BJ3" s="532"/>
      <c r="BK3" s="532"/>
      <c r="BL3" s="532"/>
      <c r="BM3" s="532"/>
    </row>
    <row r="4" spans="1:68" s="15" customFormat="1" ht="15.75" x14ac:dyDescent="0.25">
      <c r="B4" s="456"/>
      <c r="C4" s="21"/>
      <c r="D4" s="21"/>
      <c r="E4" s="21"/>
      <c r="F4" s="21"/>
      <c r="G4" s="21"/>
      <c r="N4" s="317" t="s">
        <v>1659</v>
      </c>
      <c r="O4" s="17">
        <v>1</v>
      </c>
      <c r="P4" s="17">
        <v>2</v>
      </c>
      <c r="Q4" s="17">
        <v>3</v>
      </c>
      <c r="R4" s="17">
        <v>4</v>
      </c>
      <c r="S4" s="17">
        <v>5</v>
      </c>
      <c r="T4" s="17">
        <v>6</v>
      </c>
      <c r="U4" s="17">
        <v>7</v>
      </c>
      <c r="V4" s="17">
        <v>8</v>
      </c>
      <c r="W4" s="17">
        <v>9</v>
      </c>
      <c r="X4" s="17">
        <v>10</v>
      </c>
      <c r="Y4" s="17">
        <v>11</v>
      </c>
      <c r="Z4" s="17"/>
      <c r="AA4" s="17"/>
      <c r="BE4" s="94"/>
      <c r="BF4" s="256"/>
      <c r="BG4" s="532"/>
      <c r="BH4" s="532"/>
      <c r="BI4" s="340"/>
      <c r="BJ4" s="340"/>
      <c r="BK4" s="340"/>
      <c r="BL4" s="340"/>
      <c r="BM4" s="341"/>
    </row>
    <row r="5" spans="1:68" x14ac:dyDescent="0.25">
      <c r="B5" s="98" t="s">
        <v>124</v>
      </c>
      <c r="C5" s="98" t="s">
        <v>125</v>
      </c>
      <c r="D5" s="98" t="s">
        <v>126</v>
      </c>
      <c r="E5" s="98" t="s">
        <v>127</v>
      </c>
      <c r="F5" s="98" t="s">
        <v>128</v>
      </c>
      <c r="G5" s="98" t="s">
        <v>129</v>
      </c>
      <c r="H5" s="299" t="s">
        <v>1581</v>
      </c>
      <c r="N5" s="131" t="s">
        <v>559</v>
      </c>
      <c r="O5" s="88">
        <f ca="1">OFFSET('Recovery amounts'!$C$22,'Rev Adequacy'!O4,0)</f>
        <v>85.33</v>
      </c>
      <c r="P5" s="88">
        <f ca="1">OFFSET('Recovery amounts'!$C$22,'Rev Adequacy'!P4,0)</f>
        <v>72.930555555555557</v>
      </c>
      <c r="Q5" s="88">
        <f ca="1">OFFSET('Recovery amounts'!$C$22,'Rev Adequacy'!Q4,0)</f>
        <v>45.069444444444443</v>
      </c>
      <c r="R5" s="88">
        <f ca="1">OFFSET('Recovery amounts'!$C$22,'Rev Adequacy'!R4,0)</f>
        <v>39.150000000000006</v>
      </c>
      <c r="S5" s="88">
        <f ca="1">OFFSET('Recovery amounts'!$C$22,'Rev Adequacy'!S4,0)</f>
        <v>4.16</v>
      </c>
      <c r="T5" s="88">
        <f ca="1">OFFSET('Recovery amounts'!$C$22,'Rev Adequacy'!T4,0)</f>
        <v>14.840000000000002</v>
      </c>
      <c r="U5" s="88">
        <f ca="1">OFFSET('Recovery amounts'!$C$22,'Rev Adequacy'!U4,0)</f>
        <v>12.01</v>
      </c>
      <c r="V5" s="88">
        <f ca="1">OFFSET('Recovery amounts'!$C$22,'Rev Adequacy'!V4,0)</f>
        <v>5.5390379746835432</v>
      </c>
      <c r="W5" s="88">
        <f ca="1">OFFSET('Recovery amounts'!$C$22,'Rev Adequacy'!W4,0)</f>
        <v>3.4618987341772147</v>
      </c>
      <c r="X5" s="88">
        <f ca="1">OFFSET('Recovery amounts'!$C$22,'Rev Adequacy'!X4,0)</f>
        <v>5.5390379746835432</v>
      </c>
      <c r="Y5" s="88">
        <f ca="1">OFFSET('Recovery amounts'!$C$22,'Rev Adequacy'!Y4,0)</f>
        <v>2.0771392405063285</v>
      </c>
      <c r="Z5" s="88"/>
      <c r="AA5" s="88"/>
      <c r="BE5" s="94"/>
      <c r="BF5" s="190"/>
      <c r="BG5" s="20"/>
      <c r="BH5" s="20"/>
      <c r="BI5" s="20"/>
      <c r="BJ5" s="20"/>
      <c r="BK5" s="20"/>
      <c r="BL5" s="20"/>
      <c r="BM5" s="82"/>
    </row>
    <row r="6" spans="1:68" ht="27" customHeight="1" x14ac:dyDescent="0.25">
      <c r="B6" s="98" t="s">
        <v>552</v>
      </c>
      <c r="C6" s="98">
        <v>2014</v>
      </c>
      <c r="D6" s="98" t="s">
        <v>130</v>
      </c>
      <c r="E6" s="98" t="s">
        <v>0</v>
      </c>
      <c r="F6" s="98" t="s">
        <v>131</v>
      </c>
      <c r="G6" s="248">
        <v>1808.2170000000101</v>
      </c>
      <c r="H6" s="299" t="str">
        <f>VLOOKUP(LEFT('Rev Adequacy'!D6,3),'Mapping B'!$D$2:$E$400,2,0)</f>
        <v>S</v>
      </c>
      <c r="N6" s="28" t="s">
        <v>109</v>
      </c>
      <c r="O6" s="138" t="s">
        <v>554</v>
      </c>
      <c r="P6" s="138" t="s">
        <v>111</v>
      </c>
      <c r="Q6" s="138" t="s">
        <v>112</v>
      </c>
      <c r="R6" s="138" t="s">
        <v>553</v>
      </c>
      <c r="S6" s="138" t="s">
        <v>552</v>
      </c>
      <c r="T6" s="138" t="s">
        <v>555</v>
      </c>
      <c r="U6" s="138" t="s">
        <v>116</v>
      </c>
      <c r="V6" s="138" t="s">
        <v>117</v>
      </c>
      <c r="W6" s="138" t="s">
        <v>118</v>
      </c>
      <c r="X6" s="138" t="s">
        <v>119</v>
      </c>
      <c r="Y6" s="138" t="s">
        <v>120</v>
      </c>
      <c r="Z6" s="138" t="s">
        <v>121</v>
      </c>
      <c r="AA6" s="138" t="s">
        <v>122</v>
      </c>
      <c r="AB6" s="87"/>
      <c r="AG6" s="15"/>
      <c r="AH6" s="15"/>
      <c r="AI6" s="15"/>
      <c r="AJ6" s="15"/>
      <c r="AK6" s="28" t="s">
        <v>109</v>
      </c>
      <c r="AL6" s="86" t="s">
        <v>110</v>
      </c>
      <c r="AM6" s="86" t="s">
        <v>111</v>
      </c>
      <c r="AN6" s="86" t="s">
        <v>112</v>
      </c>
      <c r="AO6" s="86" t="s">
        <v>113</v>
      </c>
      <c r="AP6" s="86" t="s">
        <v>552</v>
      </c>
      <c r="AQ6" s="86" t="s">
        <v>115</v>
      </c>
      <c r="AR6" s="86" t="s">
        <v>116</v>
      </c>
      <c r="AS6" s="86" t="s">
        <v>117</v>
      </c>
      <c r="AT6" s="86" t="s">
        <v>118</v>
      </c>
      <c r="AU6" s="86" t="s">
        <v>119</v>
      </c>
      <c r="AV6" s="86" t="s">
        <v>120</v>
      </c>
      <c r="AW6" s="86" t="s">
        <v>121</v>
      </c>
      <c r="AX6" s="86" t="s">
        <v>122</v>
      </c>
      <c r="BE6" s="94"/>
      <c r="BF6" s="190"/>
      <c r="BG6" s="20"/>
      <c r="BH6" s="20"/>
      <c r="BI6" s="20"/>
      <c r="BJ6" s="20"/>
      <c r="BK6" s="20"/>
      <c r="BL6" s="20"/>
      <c r="BM6" s="82"/>
    </row>
    <row r="7" spans="1:68" x14ac:dyDescent="0.25">
      <c r="B7" s="98" t="s">
        <v>552</v>
      </c>
      <c r="C7" s="98">
        <v>2014</v>
      </c>
      <c r="D7" s="98" t="s">
        <v>156</v>
      </c>
      <c r="E7" s="98" t="s">
        <v>0</v>
      </c>
      <c r="F7" s="98" t="s">
        <v>131</v>
      </c>
      <c r="G7" s="248">
        <v>5127.0430000001297</v>
      </c>
      <c r="H7" s="299" t="str">
        <f>VLOOKUP(LEFT('Rev Adequacy'!D7,3),'Mapping B'!$D$2:$E$400,2,0)</f>
        <v>S</v>
      </c>
      <c r="L7" s="20"/>
      <c r="M7" s="20"/>
      <c r="N7" s="132" t="s">
        <v>396</v>
      </c>
      <c r="O7" s="133">
        <f ca="1">IF(O8&gt;O5,0,(O5-O8))</f>
        <v>0</v>
      </c>
      <c r="P7" s="133">
        <f t="shared" ref="P7:AA7" ca="1" si="0">IF(P8&gt;P5,0,(P5-P8))</f>
        <v>0</v>
      </c>
      <c r="Q7" s="133">
        <f t="shared" ca="1" si="0"/>
        <v>0</v>
      </c>
      <c r="R7" s="133">
        <f t="shared" ca="1" si="0"/>
        <v>18.820255354847664</v>
      </c>
      <c r="S7" s="133">
        <v>0</v>
      </c>
      <c r="T7" s="133">
        <f t="shared" ca="1" si="0"/>
        <v>0</v>
      </c>
      <c r="U7" s="133">
        <f t="shared" ca="1" si="0"/>
        <v>12.01</v>
      </c>
      <c r="V7" s="133">
        <f t="shared" ca="1" si="0"/>
        <v>5.5390379746835432</v>
      </c>
      <c r="W7" s="133">
        <f t="shared" ca="1" si="0"/>
        <v>3.4618987341772147</v>
      </c>
      <c r="X7" s="133">
        <f t="shared" ca="1" si="0"/>
        <v>5.5390379746835432</v>
      </c>
      <c r="Y7" s="133">
        <f t="shared" ca="1" si="0"/>
        <v>2.0771392405063285</v>
      </c>
      <c r="Z7" s="133">
        <f t="shared" si="0"/>
        <v>0</v>
      </c>
      <c r="AA7" s="133">
        <f t="shared" si="0"/>
        <v>0</v>
      </c>
      <c r="AB7" s="20"/>
      <c r="AG7" s="15"/>
      <c r="AH7" s="15"/>
      <c r="AI7" s="15"/>
      <c r="AJ7" s="15"/>
      <c r="AK7" s="28"/>
      <c r="AL7" s="106">
        <f ca="1">O7</f>
        <v>0</v>
      </c>
      <c r="AM7" s="106">
        <f t="shared" ref="AM7:AO7" ca="1" si="1">P7</f>
        <v>0</v>
      </c>
      <c r="AN7" s="106">
        <f t="shared" ca="1" si="1"/>
        <v>0</v>
      </c>
      <c r="AO7" s="106">
        <f t="shared" ca="1" si="1"/>
        <v>18.820255354847664</v>
      </c>
      <c r="AP7" s="106">
        <f>S7</f>
        <v>0</v>
      </c>
      <c r="AQ7" s="106">
        <f t="shared" ref="AQ7:AR7" ca="1" si="2">T7</f>
        <v>0</v>
      </c>
      <c r="AR7" s="106">
        <f t="shared" ca="1" si="2"/>
        <v>12.01</v>
      </c>
      <c r="AS7" s="106">
        <f t="shared" ref="AS7" ca="1" si="3">V7</f>
        <v>5.5390379746835432</v>
      </c>
      <c r="AT7" s="106">
        <f t="shared" ref="AT7" ca="1" si="4">W7</f>
        <v>3.4618987341772147</v>
      </c>
      <c r="AU7" s="106">
        <f t="shared" ref="AU7:AV7" ca="1" si="5">X7</f>
        <v>5.5390379746835432</v>
      </c>
      <c r="AV7" s="106">
        <f t="shared" ca="1" si="5"/>
        <v>2.0771392405063285</v>
      </c>
      <c r="AW7" s="106">
        <f t="shared" ref="AW7:AX7" si="6">Z7</f>
        <v>0</v>
      </c>
      <c r="AX7" s="106">
        <f t="shared" si="6"/>
        <v>0</v>
      </c>
      <c r="BP7" s="190"/>
    </row>
    <row r="8" spans="1:68" x14ac:dyDescent="0.25">
      <c r="B8" s="98" t="s">
        <v>552</v>
      </c>
      <c r="C8" s="98">
        <v>2014</v>
      </c>
      <c r="D8" s="98" t="s">
        <v>327</v>
      </c>
      <c r="E8" s="98" t="s">
        <v>0</v>
      </c>
      <c r="F8" s="98" t="s">
        <v>131</v>
      </c>
      <c r="G8" s="248">
        <v>11178.513000000101</v>
      </c>
      <c r="H8" s="299" t="str">
        <f>VLOOKUP(LEFT('Rev Adequacy'!D8,3),'Mapping B'!$D$2:$E$400,2,0)</f>
        <v>S</v>
      </c>
      <c r="L8" s="20"/>
      <c r="M8" s="20"/>
      <c r="N8" s="132" t="s">
        <v>564</v>
      </c>
      <c r="O8" s="134">
        <f t="shared" ref="O8:T8" si="7">SUMIF($B$6:$B$5002,O6,$G$6:$G$5002)/1000000</f>
        <v>335.43025153772447</v>
      </c>
      <c r="P8" s="134">
        <f t="shared" si="7"/>
        <v>582.39837783842086</v>
      </c>
      <c r="Q8" s="134">
        <f t="shared" si="7"/>
        <v>1330.1975265174901</v>
      </c>
      <c r="R8" s="147">
        <f t="shared" si="7"/>
        <v>20.329744645152342</v>
      </c>
      <c r="S8" s="147">
        <f t="shared" si="7"/>
        <v>4.0263527995043207</v>
      </c>
      <c r="T8" s="134">
        <f t="shared" si="7"/>
        <v>49.567833247832766</v>
      </c>
      <c r="U8" s="20">
        <f t="shared" ref="U8:AA8" si="8">SUMIF($B$6:$B$5002,U6,$G$6:$G$5002)</f>
        <v>0</v>
      </c>
      <c r="V8" s="20">
        <f t="shared" si="8"/>
        <v>0</v>
      </c>
      <c r="W8" s="20">
        <f t="shared" si="8"/>
        <v>0</v>
      </c>
      <c r="X8" s="20">
        <f t="shared" si="8"/>
        <v>0</v>
      </c>
      <c r="Y8" s="20">
        <f t="shared" si="8"/>
        <v>0</v>
      </c>
      <c r="Z8" s="20">
        <f t="shared" si="8"/>
        <v>0</v>
      </c>
      <c r="AA8" s="20">
        <f t="shared" si="8"/>
        <v>0</v>
      </c>
      <c r="AB8" s="20"/>
      <c r="AG8" s="15"/>
      <c r="AH8" s="15"/>
      <c r="AI8" s="15"/>
      <c r="AJ8" s="15"/>
      <c r="AK8" s="108" t="s">
        <v>556</v>
      </c>
      <c r="AL8" s="107">
        <f ca="1">SUM(AL22:AL652)</f>
        <v>0</v>
      </c>
      <c r="AM8" s="109">
        <f t="shared" ref="AM8:AX8" ca="1" si="9">SUM(AM22:AM652)</f>
        <v>0</v>
      </c>
      <c r="AN8" s="109">
        <f t="shared" ca="1" si="9"/>
        <v>0</v>
      </c>
      <c r="AO8" s="109">
        <f t="shared" ca="1" si="9"/>
        <v>18.820255354847667</v>
      </c>
      <c r="AP8" s="109">
        <f t="shared" si="9"/>
        <v>0</v>
      </c>
      <c r="AQ8" s="109">
        <f t="shared" ca="1" si="9"/>
        <v>0</v>
      </c>
      <c r="AR8" s="109">
        <f ca="1">SUM(AR22:AR652)</f>
        <v>12.01</v>
      </c>
      <c r="AS8" s="109">
        <f t="shared" ca="1" si="9"/>
        <v>5.5390379746835441</v>
      </c>
      <c r="AT8" s="109">
        <f t="shared" ca="1" si="9"/>
        <v>3.4618987341772147</v>
      </c>
      <c r="AU8" s="109">
        <f t="shared" ca="1" si="9"/>
        <v>5.5390379746835423</v>
      </c>
      <c r="AV8" s="109">
        <f t="shared" ca="1" si="9"/>
        <v>2.0771392405063285</v>
      </c>
      <c r="AW8" s="107">
        <f t="shared" si="9"/>
        <v>0</v>
      </c>
      <c r="AX8" s="107">
        <f t="shared" si="9"/>
        <v>0</v>
      </c>
      <c r="BP8" s="190"/>
    </row>
    <row r="9" spans="1:68" x14ac:dyDescent="0.25">
      <c r="B9" s="98" t="s">
        <v>552</v>
      </c>
      <c r="C9" s="98">
        <v>2014</v>
      </c>
      <c r="D9" s="98" t="s">
        <v>339</v>
      </c>
      <c r="E9" s="98" t="s">
        <v>0</v>
      </c>
      <c r="F9" s="98" t="s">
        <v>131</v>
      </c>
      <c r="G9" s="248">
        <v>26483.832000000599</v>
      </c>
      <c r="H9" s="299" t="str">
        <f>VLOOKUP(LEFT('Rev Adequacy'!D9,3),'Mapping B'!$D$2:$E$400,2,0)</f>
        <v>S</v>
      </c>
      <c r="L9" s="20"/>
      <c r="M9" s="20"/>
      <c r="N9" s="132" t="s">
        <v>1660</v>
      </c>
      <c r="O9" s="396">
        <f ca="1">O5-O7</f>
        <v>85.33</v>
      </c>
      <c r="P9" s="396">
        <f t="shared" ref="P9:AA9" ca="1" si="10">P5-P7</f>
        <v>72.930555555555557</v>
      </c>
      <c r="Q9" s="396">
        <f t="shared" ca="1" si="10"/>
        <v>45.069444444444443</v>
      </c>
      <c r="R9" s="396">
        <f ca="1">R5-R7</f>
        <v>20.329744645152342</v>
      </c>
      <c r="S9" s="395">
        <f ca="1">S5-S7</f>
        <v>4.16</v>
      </c>
      <c r="T9" s="396">
        <f t="shared" ca="1" si="10"/>
        <v>14.840000000000002</v>
      </c>
      <c r="U9" s="396">
        <f t="shared" ca="1" si="10"/>
        <v>0</v>
      </c>
      <c r="V9" s="396">
        <f t="shared" ca="1" si="10"/>
        <v>0</v>
      </c>
      <c r="W9" s="396">
        <f t="shared" ca="1" si="10"/>
        <v>0</v>
      </c>
      <c r="X9" s="396">
        <f t="shared" ca="1" si="10"/>
        <v>0</v>
      </c>
      <c r="Y9" s="396">
        <f t="shared" ca="1" si="10"/>
        <v>0</v>
      </c>
      <c r="Z9" s="396">
        <f t="shared" si="10"/>
        <v>0</v>
      </c>
      <c r="AA9" s="396">
        <f t="shared" si="10"/>
        <v>0</v>
      </c>
      <c r="AB9" s="20"/>
      <c r="AG9" s="15"/>
      <c r="AH9" s="15"/>
      <c r="AI9" s="15"/>
      <c r="AJ9" s="15"/>
      <c r="AK9" s="15"/>
      <c r="AL9" s="84"/>
      <c r="AM9" s="84"/>
      <c r="AN9" s="84"/>
      <c r="AO9" s="84"/>
      <c r="AP9" s="84"/>
      <c r="AQ9" s="84"/>
      <c r="AR9" s="84"/>
      <c r="AS9" s="84"/>
      <c r="AT9" s="84"/>
      <c r="AU9" s="84"/>
      <c r="AV9" s="84"/>
      <c r="AW9" s="84"/>
      <c r="AX9" s="84"/>
      <c r="BP9" s="190"/>
    </row>
    <row r="10" spans="1:68" x14ac:dyDescent="0.25">
      <c r="B10" s="98" t="s">
        <v>552</v>
      </c>
      <c r="C10" s="98">
        <v>2014</v>
      </c>
      <c r="D10" s="98" t="s">
        <v>422</v>
      </c>
      <c r="E10" s="98" t="s">
        <v>0</v>
      </c>
      <c r="F10" s="98" t="s">
        <v>131</v>
      </c>
      <c r="G10" s="248">
        <v>1363.5080000000401</v>
      </c>
      <c r="H10" s="299" t="str">
        <f>VLOOKUP(LEFT('Rev Adequacy'!D10,3),'Mapping B'!$D$2:$E$400,2,0)</f>
        <v>S</v>
      </c>
      <c r="L10" s="20"/>
      <c r="M10" s="20"/>
      <c r="N10" s="132"/>
      <c r="O10" s="414"/>
      <c r="P10" s="414"/>
      <c r="Q10" s="414"/>
      <c r="R10" s="414"/>
      <c r="S10" s="414"/>
      <c r="T10" s="414"/>
      <c r="U10" s="414"/>
      <c r="V10" s="414"/>
      <c r="W10" s="414"/>
      <c r="X10" s="414"/>
      <c r="Y10" s="414"/>
      <c r="Z10" s="414"/>
      <c r="AA10" s="414"/>
      <c r="AB10" s="20"/>
      <c r="AG10" s="15"/>
      <c r="AH10" s="15"/>
      <c r="AI10" s="15"/>
      <c r="AJ10" s="15"/>
      <c r="AK10" s="28"/>
      <c r="AL10" s="89"/>
      <c r="AM10" s="89"/>
      <c r="AN10" s="89"/>
      <c r="AO10" s="89"/>
      <c r="AP10" s="89"/>
      <c r="AQ10" s="89"/>
      <c r="AR10" s="89"/>
      <c r="AS10" s="89"/>
      <c r="AT10" s="89"/>
      <c r="AU10" s="89"/>
      <c r="AV10" s="89"/>
      <c r="AW10" s="89"/>
      <c r="AX10" s="89"/>
      <c r="BP10" s="190"/>
    </row>
    <row r="11" spans="1:68" x14ac:dyDescent="0.25">
      <c r="B11" s="98" t="s">
        <v>552</v>
      </c>
      <c r="C11" s="98">
        <v>2014</v>
      </c>
      <c r="D11" s="98" t="s">
        <v>347</v>
      </c>
      <c r="E11" s="98" t="s">
        <v>0</v>
      </c>
      <c r="F11" s="98" t="s">
        <v>131</v>
      </c>
      <c r="G11" s="248">
        <v>20599.2560000003</v>
      </c>
      <c r="H11" s="299" t="str">
        <f>VLOOKUP(LEFT('Rev Adequacy'!D11,3),'Mapping B'!$D$2:$E$400,2,0)</f>
        <v>S</v>
      </c>
      <c r="K11" s="15"/>
      <c r="L11" s="15"/>
      <c r="M11" s="15"/>
      <c r="N11" s="28"/>
      <c r="O11" s="89"/>
      <c r="P11" s="89"/>
      <c r="Q11" s="89"/>
      <c r="R11" s="89"/>
      <c r="S11" s="89"/>
      <c r="T11" s="89"/>
      <c r="U11" s="89"/>
      <c r="V11" s="89"/>
      <c r="W11" s="89"/>
      <c r="X11" s="89"/>
      <c r="Y11" s="89"/>
      <c r="Z11" s="89"/>
      <c r="AA11" s="89"/>
      <c r="AG11" s="15"/>
      <c r="AH11" s="15"/>
      <c r="AI11" s="15"/>
      <c r="AJ11" s="15"/>
      <c r="AK11" s="28"/>
      <c r="AL11" s="89"/>
      <c r="AM11" s="89"/>
      <c r="AN11" s="89"/>
      <c r="AO11" s="89"/>
      <c r="AP11" s="89"/>
      <c r="AQ11" s="89"/>
      <c r="AR11" s="89"/>
      <c r="AS11" s="89"/>
      <c r="AT11" s="89"/>
      <c r="AU11" s="89"/>
      <c r="AV11" s="89"/>
      <c r="AW11" s="89"/>
      <c r="AX11" s="89"/>
      <c r="BP11" s="190"/>
    </row>
    <row r="12" spans="1:68" ht="15" customHeight="1" x14ac:dyDescent="0.25">
      <c r="B12" s="98" t="s">
        <v>552</v>
      </c>
      <c r="C12" s="98">
        <v>2014</v>
      </c>
      <c r="D12" s="98" t="s">
        <v>362</v>
      </c>
      <c r="E12" s="98" t="s">
        <v>0</v>
      </c>
      <c r="F12" s="98" t="s">
        <v>131</v>
      </c>
      <c r="G12" s="248">
        <v>256.74550000002102</v>
      </c>
      <c r="H12" s="299" t="str">
        <f>VLOOKUP(LEFT('Rev Adequacy'!D12,3),'Mapping B'!$D$2:$E$400,2,0)</f>
        <v>S</v>
      </c>
      <c r="K12" s="15"/>
      <c r="L12" s="15"/>
      <c r="O12" s="20" t="s">
        <v>478</v>
      </c>
      <c r="P12" s="20" t="s">
        <v>442</v>
      </c>
      <c r="Q12" s="20" t="s">
        <v>445</v>
      </c>
      <c r="R12" s="20" t="s">
        <v>482</v>
      </c>
      <c r="S12" s="20" t="s">
        <v>444</v>
      </c>
      <c r="T12" s="20" t="s">
        <v>449</v>
      </c>
      <c r="U12" s="20" t="s">
        <v>478</v>
      </c>
      <c r="V12" s="20" t="s">
        <v>446</v>
      </c>
      <c r="W12" s="20" t="s">
        <v>453</v>
      </c>
      <c r="X12" s="20" t="s">
        <v>478</v>
      </c>
      <c r="Y12" s="20" t="s">
        <v>477</v>
      </c>
      <c r="Z12" s="20" t="s">
        <v>474</v>
      </c>
      <c r="AA12" s="20" t="s">
        <v>472</v>
      </c>
      <c r="AG12" s="15"/>
      <c r="AH12" s="15"/>
      <c r="AI12" s="15"/>
      <c r="AJ12" s="15"/>
      <c r="AK12" s="15"/>
      <c r="AL12" s="20" t="s">
        <v>478</v>
      </c>
      <c r="AM12" s="20" t="s">
        <v>442</v>
      </c>
      <c r="AN12" s="20" t="s">
        <v>445</v>
      </c>
      <c r="AO12" s="20" t="s">
        <v>482</v>
      </c>
      <c r="AP12" s="20" t="s">
        <v>444</v>
      </c>
      <c r="AQ12" s="20" t="s">
        <v>449</v>
      </c>
      <c r="AR12" s="20" t="s">
        <v>478</v>
      </c>
      <c r="AS12" s="20" t="s">
        <v>446</v>
      </c>
      <c r="AT12" s="20" t="s">
        <v>453</v>
      </c>
      <c r="AU12" s="20" t="s">
        <v>478</v>
      </c>
      <c r="AV12" s="20" t="s">
        <v>477</v>
      </c>
      <c r="AW12" s="20" t="s">
        <v>474</v>
      </c>
      <c r="AX12" s="20" t="s">
        <v>472</v>
      </c>
      <c r="BP12" s="190"/>
    </row>
    <row r="13" spans="1:68" ht="15" customHeight="1" x14ac:dyDescent="0.25">
      <c r="B13" s="98" t="s">
        <v>553</v>
      </c>
      <c r="C13" s="98">
        <v>2014</v>
      </c>
      <c r="D13" s="98" t="s">
        <v>130</v>
      </c>
      <c r="E13" s="98" t="s">
        <v>0</v>
      </c>
      <c r="F13" s="98" t="s">
        <v>131</v>
      </c>
      <c r="G13" s="248">
        <v>1649.7619999999999</v>
      </c>
      <c r="H13" s="299" t="str">
        <f>VLOOKUP(LEFT('Rev Adequacy'!D13,3),'Mapping B'!$D$2:$E$400,2,0)</f>
        <v>S</v>
      </c>
      <c r="K13" s="15"/>
      <c r="L13" s="15"/>
      <c r="O13" s="93">
        <v>1</v>
      </c>
      <c r="P13" s="93">
        <v>0.6</v>
      </c>
      <c r="Q13" s="93">
        <v>0.56999999999999995</v>
      </c>
      <c r="R13" s="93">
        <v>1</v>
      </c>
      <c r="S13" s="93">
        <v>1</v>
      </c>
      <c r="T13" s="93">
        <v>0.5</v>
      </c>
      <c r="U13" s="93">
        <v>1</v>
      </c>
      <c r="V13" s="93">
        <v>0.5</v>
      </c>
      <c r="W13" s="93">
        <v>1</v>
      </c>
      <c r="X13" s="93">
        <v>1</v>
      </c>
      <c r="Y13" s="93">
        <v>1</v>
      </c>
      <c r="Z13" s="93">
        <v>0.5</v>
      </c>
      <c r="AA13" s="93">
        <v>1</v>
      </c>
      <c r="AG13" s="15"/>
      <c r="AH13" s="15"/>
      <c r="AI13" s="15"/>
      <c r="AJ13" s="15"/>
      <c r="AK13" s="15"/>
      <c r="AL13" s="93">
        <v>1</v>
      </c>
      <c r="AM13" s="93">
        <v>0.6</v>
      </c>
      <c r="AN13" s="93">
        <v>0.56999999999999995</v>
      </c>
      <c r="AO13" s="93">
        <v>1</v>
      </c>
      <c r="AP13" s="93">
        <v>1</v>
      </c>
      <c r="AQ13" s="93">
        <v>0.5</v>
      </c>
      <c r="AR13" s="93">
        <v>1</v>
      </c>
      <c r="AS13" s="93">
        <v>0.5</v>
      </c>
      <c r="AT13" s="93">
        <v>1</v>
      </c>
      <c r="AU13" s="93">
        <v>1</v>
      </c>
      <c r="AV13" s="93">
        <v>1</v>
      </c>
      <c r="AW13" s="93">
        <v>0.5</v>
      </c>
      <c r="AX13" s="93">
        <v>1</v>
      </c>
      <c r="BG13" t="s">
        <v>947</v>
      </c>
      <c r="BH13">
        <v>200</v>
      </c>
      <c r="BP13" s="190"/>
    </row>
    <row r="14" spans="1:68" ht="15" customHeight="1" x14ac:dyDescent="0.25">
      <c r="B14" s="98" t="s">
        <v>553</v>
      </c>
      <c r="C14" s="98">
        <v>2014</v>
      </c>
      <c r="D14" s="98" t="s">
        <v>156</v>
      </c>
      <c r="E14" s="98" t="s">
        <v>0</v>
      </c>
      <c r="F14" s="98" t="s">
        <v>131</v>
      </c>
      <c r="G14" s="248">
        <v>7482.2149999999001</v>
      </c>
      <c r="H14" s="299" t="str">
        <f>VLOOKUP(LEFT('Rev Adequacy'!D14,3),'Mapping B'!$D$2:$E$400,2,0)</f>
        <v>S</v>
      </c>
      <c r="K14" s="15"/>
      <c r="L14" s="15"/>
      <c r="O14" s="20"/>
      <c r="P14" s="20" t="s">
        <v>448</v>
      </c>
      <c r="Q14" s="20" t="s">
        <v>447</v>
      </c>
      <c r="R14" s="20"/>
      <c r="S14" s="20"/>
      <c r="T14" s="20" t="s">
        <v>450</v>
      </c>
      <c r="U14" s="20"/>
      <c r="V14" s="20" t="s">
        <v>448</v>
      </c>
      <c r="W14" s="20"/>
      <c r="X14" s="20"/>
      <c r="Y14" s="20"/>
      <c r="Z14" s="20" t="s">
        <v>489</v>
      </c>
      <c r="AA14" s="20"/>
      <c r="AG14" s="15"/>
      <c r="AH14" s="15"/>
      <c r="AI14" s="15"/>
      <c r="AJ14" s="15"/>
      <c r="AK14" s="15"/>
      <c r="AL14" s="20"/>
      <c r="AM14" s="20" t="s">
        <v>448</v>
      </c>
      <c r="AN14" s="20" t="s">
        <v>447</v>
      </c>
      <c r="AO14" s="20"/>
      <c r="AP14" s="20"/>
      <c r="AQ14" s="20" t="s">
        <v>450</v>
      </c>
      <c r="AR14" s="20"/>
      <c r="AS14" s="20" t="s">
        <v>448</v>
      </c>
      <c r="AT14" s="20"/>
      <c r="AU14" s="20"/>
      <c r="AV14" s="20"/>
      <c r="AW14" s="20" t="s">
        <v>489</v>
      </c>
      <c r="AX14" s="20"/>
      <c r="BG14" t="s">
        <v>948</v>
      </c>
      <c r="BH14" s="261">
        <v>0.06</v>
      </c>
      <c r="BP14" s="190"/>
    </row>
    <row r="15" spans="1:68" ht="15" customHeight="1" x14ac:dyDescent="0.25">
      <c r="B15" s="98" t="s">
        <v>553</v>
      </c>
      <c r="C15" s="98">
        <v>2014</v>
      </c>
      <c r="D15" s="98" t="s">
        <v>327</v>
      </c>
      <c r="E15" s="98" t="s">
        <v>0</v>
      </c>
      <c r="F15" s="98" t="s">
        <v>131</v>
      </c>
      <c r="G15" s="248">
        <v>18387.173999999901</v>
      </c>
      <c r="H15" s="299" t="str">
        <f>VLOOKUP(LEFT('Rev Adequacy'!D15,3),'Mapping B'!$D$2:$E$400,2,0)</f>
        <v>S</v>
      </c>
      <c r="K15" s="15"/>
      <c r="L15" s="15"/>
      <c r="O15" s="20"/>
      <c r="P15" s="93">
        <v>0.4</v>
      </c>
      <c r="Q15" s="93">
        <v>0.18</v>
      </c>
      <c r="R15" s="20"/>
      <c r="S15" s="20"/>
      <c r="T15" s="93">
        <v>0.5</v>
      </c>
      <c r="U15" s="20"/>
      <c r="V15" s="93">
        <v>0.5</v>
      </c>
      <c r="W15" s="20"/>
      <c r="X15" s="20"/>
      <c r="Y15" s="20"/>
      <c r="Z15" s="93">
        <v>0.5</v>
      </c>
      <c r="AA15" s="20"/>
      <c r="AG15" s="15"/>
      <c r="AH15" s="15"/>
      <c r="AI15" s="15"/>
      <c r="AJ15" s="15"/>
      <c r="AK15" s="15"/>
      <c r="AL15" s="20"/>
      <c r="AM15" s="93">
        <v>0.4</v>
      </c>
      <c r="AN15" s="93">
        <v>0.18</v>
      </c>
      <c r="AO15" s="20"/>
      <c r="AP15" s="20"/>
      <c r="AQ15" s="93">
        <v>0.5</v>
      </c>
      <c r="AR15" s="20"/>
      <c r="AS15" s="93">
        <v>0.5</v>
      </c>
      <c r="AT15" s="20"/>
      <c r="AU15" s="20"/>
      <c r="AV15" s="20"/>
      <c r="AW15" s="93">
        <v>0.5</v>
      </c>
      <c r="AX15" s="20"/>
      <c r="BG15" t="s">
        <v>949</v>
      </c>
      <c r="BH15" s="261">
        <v>0.94</v>
      </c>
      <c r="BP15" s="190"/>
    </row>
    <row r="16" spans="1:68" x14ac:dyDescent="0.25">
      <c r="B16" s="98" t="s">
        <v>553</v>
      </c>
      <c r="C16" s="98">
        <v>2014</v>
      </c>
      <c r="D16" s="98" t="s">
        <v>339</v>
      </c>
      <c r="E16" s="98" t="s">
        <v>0</v>
      </c>
      <c r="F16" s="98" t="s">
        <v>131</v>
      </c>
      <c r="G16" s="248">
        <v>121930.23599999701</v>
      </c>
      <c r="H16" s="299" t="str">
        <f>VLOOKUP(LEFT('Rev Adequacy'!D16,3),'Mapping B'!$D$2:$E$400,2,0)</f>
        <v>S</v>
      </c>
      <c r="K16" s="15"/>
      <c r="L16" s="15"/>
      <c r="O16" s="20"/>
      <c r="P16" s="20"/>
      <c r="Q16" s="20" t="s">
        <v>448</v>
      </c>
      <c r="R16" s="20"/>
      <c r="S16" s="20"/>
      <c r="T16" s="20"/>
      <c r="U16" s="20"/>
      <c r="V16" s="20"/>
      <c r="W16" s="20"/>
      <c r="X16" s="20"/>
      <c r="Y16" s="20"/>
      <c r="Z16" s="20"/>
      <c r="AA16" s="20"/>
      <c r="AG16" s="15"/>
      <c r="AH16" s="15"/>
      <c r="AI16" s="15"/>
      <c r="AJ16" s="15"/>
      <c r="AK16" s="15"/>
      <c r="AL16" s="20"/>
      <c r="AM16" s="20"/>
      <c r="AN16" s="20" t="s">
        <v>448</v>
      </c>
      <c r="AO16" s="20"/>
      <c r="AP16" s="20"/>
      <c r="AQ16" s="20"/>
      <c r="AR16" s="20"/>
      <c r="AS16" s="20"/>
      <c r="AT16" s="20"/>
      <c r="AU16" s="20"/>
      <c r="AV16" s="20"/>
      <c r="AW16" s="20"/>
      <c r="AX16" s="20"/>
      <c r="BA16" s="20"/>
      <c r="BP16" s="190"/>
    </row>
    <row r="17" spans="2:70" x14ac:dyDescent="0.25">
      <c r="B17" s="98" t="s">
        <v>553</v>
      </c>
      <c r="C17" s="98">
        <v>2014</v>
      </c>
      <c r="D17" s="98" t="s">
        <v>422</v>
      </c>
      <c r="E17" s="98" t="s">
        <v>0</v>
      </c>
      <c r="F17" s="98" t="s">
        <v>131</v>
      </c>
      <c r="G17" s="248">
        <v>6097.0089999998399</v>
      </c>
      <c r="H17" s="299" t="str">
        <f>VLOOKUP(LEFT('Rev Adequacy'!D17,3),'Mapping B'!$D$2:$E$400,2,0)</f>
        <v>S</v>
      </c>
      <c r="J17" s="15" t="s">
        <v>542</v>
      </c>
      <c r="K17" s="15"/>
      <c r="L17" s="15"/>
      <c r="O17" s="20"/>
      <c r="P17" s="20"/>
      <c r="Q17" s="93">
        <v>0.25</v>
      </c>
      <c r="R17" s="20"/>
      <c r="S17" s="20"/>
      <c r="T17" s="20"/>
      <c r="U17" s="20"/>
      <c r="V17" s="20"/>
      <c r="W17" s="20"/>
      <c r="X17" s="20"/>
      <c r="Y17" s="20"/>
      <c r="Z17" s="20"/>
      <c r="AA17" s="20"/>
      <c r="AG17" s="15" t="s">
        <v>542</v>
      </c>
      <c r="AH17" s="15"/>
      <c r="AI17" s="15"/>
      <c r="AJ17" s="15"/>
      <c r="AK17" s="15"/>
      <c r="AL17" s="20"/>
      <c r="AM17" s="20"/>
      <c r="AN17" s="93">
        <v>0.25</v>
      </c>
      <c r="AO17" s="20"/>
      <c r="AP17" s="20"/>
      <c r="AQ17" s="20"/>
      <c r="AR17" s="20"/>
      <c r="AS17" s="20"/>
      <c r="AT17" s="20"/>
      <c r="AU17" s="20"/>
      <c r="AV17" s="20"/>
      <c r="AW17" s="20"/>
      <c r="AX17" s="20"/>
      <c r="BA17" s="20"/>
      <c r="BF17" s="90"/>
      <c r="BG17" s="139" t="s">
        <v>1654</v>
      </c>
      <c r="BH17" s="140">
        <f>'Recovery amounts'!E14</f>
        <v>499.69677013337639</v>
      </c>
      <c r="BJ17" s="29"/>
      <c r="BP17" s="190"/>
    </row>
    <row r="18" spans="2:70" x14ac:dyDescent="0.25">
      <c r="B18" s="98" t="s">
        <v>553</v>
      </c>
      <c r="C18" s="98">
        <v>2014</v>
      </c>
      <c r="D18" s="98" t="s">
        <v>347</v>
      </c>
      <c r="E18" s="98" t="s">
        <v>0</v>
      </c>
      <c r="F18" s="98" t="s">
        <v>131</v>
      </c>
      <c r="G18" s="248">
        <v>69890.4299999988</v>
      </c>
      <c r="H18" s="299" t="str">
        <f>VLOOKUP(LEFT('Rev Adequacy'!D18,3),'Mapping B'!$D$2:$E$400,2,0)</f>
        <v>S</v>
      </c>
      <c r="J18" s="91" t="s">
        <v>939</v>
      </c>
      <c r="O18" s="95"/>
      <c r="P18" s="20"/>
      <c r="Q18" s="20"/>
      <c r="R18" s="20"/>
      <c r="S18" s="20"/>
      <c r="T18" s="20"/>
      <c r="U18" s="20"/>
      <c r="V18" s="20"/>
      <c r="W18" s="20"/>
      <c r="X18" s="20"/>
      <c r="Y18" s="20"/>
      <c r="Z18" s="20"/>
      <c r="AA18" s="20"/>
      <c r="AG18" s="91" t="s">
        <v>425</v>
      </c>
      <c r="AH18" s="15"/>
      <c r="AI18" s="15"/>
      <c r="AJ18" s="15"/>
      <c r="AK18" s="15"/>
      <c r="AL18" s="95"/>
      <c r="AM18" s="20"/>
      <c r="AN18" s="20"/>
      <c r="AO18" s="20"/>
      <c r="AP18" s="20"/>
      <c r="AQ18" s="20"/>
      <c r="AR18" s="20"/>
      <c r="AS18" s="20"/>
      <c r="AT18" s="20"/>
      <c r="AU18" s="20"/>
      <c r="AV18" s="20"/>
      <c r="AW18" s="142"/>
      <c r="AX18" s="20"/>
      <c r="BA18" s="20"/>
      <c r="BF18" s="90"/>
      <c r="BG18" s="139" t="s">
        <v>565</v>
      </c>
      <c r="BH18" s="141">
        <f>SUM(BH27:BH257)-(BH122-BI122)</f>
        <v>8775.682400823971</v>
      </c>
      <c r="BP18" s="190"/>
    </row>
    <row r="19" spans="2:70" x14ac:dyDescent="0.25">
      <c r="B19" s="98" t="s">
        <v>553</v>
      </c>
      <c r="C19" s="98">
        <v>2014</v>
      </c>
      <c r="D19" s="98" t="s">
        <v>362</v>
      </c>
      <c r="E19" s="98" t="s">
        <v>0</v>
      </c>
      <c r="F19" s="98" t="s">
        <v>131</v>
      </c>
      <c r="G19" s="248">
        <v>4151.9425558937701</v>
      </c>
      <c r="H19" s="299" t="str">
        <f>VLOOKUP(LEFT('Rev Adequacy'!D19,3),'Mapping B'!$D$2:$E$400,2,0)</f>
        <v>S</v>
      </c>
      <c r="O19" s="99"/>
      <c r="AG19" s="15"/>
      <c r="AH19" s="15"/>
      <c r="AI19" s="15"/>
      <c r="AJ19" s="15"/>
      <c r="AK19" s="15"/>
      <c r="AL19" s="15"/>
      <c r="AM19" s="15"/>
      <c r="AN19" s="15"/>
      <c r="AO19" s="15"/>
      <c r="AP19" s="15"/>
      <c r="AQ19" s="15"/>
      <c r="AR19" s="15"/>
      <c r="AS19" s="15"/>
      <c r="AT19" s="15"/>
      <c r="AU19" s="15"/>
      <c r="AV19" s="15"/>
      <c r="AW19" s="15"/>
      <c r="AX19" s="15"/>
      <c r="BA19" s="20"/>
      <c r="BF19" s="90"/>
      <c r="BG19" s="90" t="s">
        <v>946</v>
      </c>
      <c r="BH19" s="90">
        <f>BH13*BH15</f>
        <v>188</v>
      </c>
      <c r="BP19" s="190"/>
    </row>
    <row r="20" spans="2:70" x14ac:dyDescent="0.25">
      <c r="B20" s="98" t="s">
        <v>554</v>
      </c>
      <c r="C20" s="98">
        <v>2014</v>
      </c>
      <c r="D20" s="98" t="s">
        <v>130</v>
      </c>
      <c r="E20" s="98" t="s">
        <v>0</v>
      </c>
      <c r="F20" s="98" t="s">
        <v>131</v>
      </c>
      <c r="G20" s="248">
        <v>9238.4339999999902</v>
      </c>
      <c r="H20" s="299" t="str">
        <f>VLOOKUP(LEFT('Rev Adequacy'!D20,3),'Mapping B'!$D$2:$E$400,2,0)</f>
        <v>S</v>
      </c>
      <c r="J20" s="16" t="s">
        <v>543</v>
      </c>
      <c r="AG20" s="15" t="s">
        <v>543</v>
      </c>
      <c r="AH20" s="15"/>
      <c r="AI20" s="15"/>
      <c r="AJ20" s="15"/>
      <c r="AK20" s="15"/>
      <c r="AL20" s="15"/>
      <c r="AM20" s="15"/>
      <c r="AN20" s="15"/>
      <c r="AO20" s="15"/>
      <c r="AP20" s="15"/>
      <c r="AQ20" s="15"/>
      <c r="AR20" s="20"/>
      <c r="AS20" s="143"/>
      <c r="AT20" s="20"/>
      <c r="AU20" s="20"/>
      <c r="AV20" s="20"/>
      <c r="AW20" s="15"/>
      <c r="AX20" s="15"/>
      <c r="BA20" s="20"/>
      <c r="BF20" s="90"/>
      <c r="BG20" s="139"/>
      <c r="BH20" s="141"/>
      <c r="BP20" s="190"/>
    </row>
    <row r="21" spans="2:70" x14ac:dyDescent="0.25">
      <c r="B21" s="98" t="s">
        <v>554</v>
      </c>
      <c r="C21" s="98">
        <v>2014</v>
      </c>
      <c r="D21" s="98" t="s">
        <v>156</v>
      </c>
      <c r="E21" s="98" t="s">
        <v>0</v>
      </c>
      <c r="F21" s="98" t="s">
        <v>131</v>
      </c>
      <c r="G21" s="98">
        <v>28707.318999999901</v>
      </c>
      <c r="H21" s="299" t="str">
        <f>VLOOKUP(LEFT('Rev Adequacy'!D21,3),'Mapping B'!$D$2:$E$400,2,0)</f>
        <v>S</v>
      </c>
      <c r="J21" s="91" t="s">
        <v>397</v>
      </c>
      <c r="K21" s="91" t="s">
        <v>52</v>
      </c>
      <c r="L21" s="91" t="s">
        <v>424</v>
      </c>
      <c r="O21" s="137">
        <f t="shared" ref="O21:R21" si="11">SUM(O22:O252)</f>
        <v>2744.7692999999999</v>
      </c>
      <c r="P21" s="137">
        <f t="shared" si="11"/>
        <v>8656.721600823972</v>
      </c>
      <c r="Q21" s="137">
        <f t="shared" si="11"/>
        <v>5818.8830008239747</v>
      </c>
      <c r="R21" s="137">
        <f t="shared" si="11"/>
        <v>870.08249999999998</v>
      </c>
      <c r="S21" s="137">
        <f>SUM(S22:S252)</f>
        <v>79.251899999999992</v>
      </c>
      <c r="T21" s="137">
        <f t="shared" ref="T21" si="12">SUM(T22:T252)</f>
        <v>4279.3793008239736</v>
      </c>
      <c r="U21" s="137">
        <f t="shared" ref="U21" si="13">SUM(U22:U252)</f>
        <v>2744.7692999999999</v>
      </c>
      <c r="V21" s="137">
        <f t="shared" ref="V21" si="14">SUM(V22:V252)</f>
        <v>226.93020000000001</v>
      </c>
      <c r="W21" s="137">
        <f t="shared" ref="W21:X21" si="15">SUM(W22:W252)</f>
        <v>1213.1679000000004</v>
      </c>
      <c r="X21" s="137">
        <f t="shared" si="15"/>
        <v>2744.7692999999999</v>
      </c>
      <c r="Y21" s="137">
        <f t="shared" ref="Y21" si="16">SUM(Y22:Y252)</f>
        <v>771.44070000000011</v>
      </c>
      <c r="Z21" s="137">
        <f t="shared" ref="Z21:AA21" si="17">SUM(Z22:Z252)</f>
        <v>44.860200000000006</v>
      </c>
      <c r="AA21" s="137">
        <f t="shared" si="17"/>
        <v>340.851</v>
      </c>
      <c r="AF21" s="155" t="s">
        <v>57</v>
      </c>
      <c r="AG21" s="91" t="s">
        <v>397</v>
      </c>
      <c r="AH21" s="91" t="s">
        <v>52</v>
      </c>
      <c r="AI21" s="91" t="s">
        <v>424</v>
      </c>
      <c r="AJ21" s="15"/>
      <c r="AK21" s="15"/>
      <c r="AL21" s="98"/>
      <c r="AM21" s="15"/>
      <c r="AN21" s="15"/>
      <c r="AO21" s="15"/>
      <c r="AP21" s="15"/>
      <c r="AQ21" s="7"/>
      <c r="AR21" s="15"/>
      <c r="AS21" s="15"/>
      <c r="AT21" s="15"/>
      <c r="AU21" s="15"/>
      <c r="AV21" s="15"/>
      <c r="AW21" s="15"/>
      <c r="AX21" s="15"/>
      <c r="BA21" s="20"/>
      <c r="BK21" s="129"/>
      <c r="BL21" s="129"/>
      <c r="BP21" s="190"/>
    </row>
    <row r="22" spans="2:70" x14ac:dyDescent="0.25">
      <c r="B22" s="98" t="s">
        <v>554</v>
      </c>
      <c r="C22" s="98">
        <v>2014</v>
      </c>
      <c r="D22" s="98" t="s">
        <v>327</v>
      </c>
      <c r="E22" s="98" t="s">
        <v>0</v>
      </c>
      <c r="F22" s="98" t="s">
        <v>131</v>
      </c>
      <c r="G22" s="98">
        <v>41565.782999999901</v>
      </c>
      <c r="H22" s="299" t="str">
        <f>VLOOKUP(LEFT('Rev Adequacy'!D22,3),'Mapping B'!$D$2:$E$400,2,0)</f>
        <v>S</v>
      </c>
      <c r="I22" s="190"/>
      <c r="J22" s="15" t="s">
        <v>130</v>
      </c>
      <c r="K22" t="s">
        <v>0</v>
      </c>
      <c r="L22" s="190">
        <f>BH27</f>
        <v>4.4687999999999999</v>
      </c>
      <c r="M22" s="15"/>
      <c r="O22">
        <f>_xlfn.IFNA(IF(VLOOKUP($J22&amp;O$12,'Mapping A'!$A$6:$G$1011,7,0)=1,$L22,""),0)</f>
        <v>0</v>
      </c>
      <c r="P22" s="15">
        <f>_xlfn.IFNA(IF(VLOOKUP($J22&amp;P$12,'Mapping A'!$A$6:$G$1011,7,0)=1,$L22,""),0)</f>
        <v>4.4687999999999999</v>
      </c>
      <c r="Q22" s="15">
        <f>_xlfn.IFNA(IF(VLOOKUP($J22&amp;Q$12,'Mapping A'!$A$6:$G$1011,7,0)=1,$L22,""),0)</f>
        <v>0</v>
      </c>
      <c r="R22" s="15">
        <f>_xlfn.IFNA(IF(VLOOKUP($J22&amp;R$12,'Mapping A'!$A$6:$G$1011,7,0)=1,$L22,""),0)</f>
        <v>0</v>
      </c>
      <c r="S22" s="15">
        <f>_xlfn.IFNA(IF(VLOOKUP($J22&amp;S$12,'Mapping A'!$A$6:$G$1011,7,0)=1,$L22,""),0)</f>
        <v>0</v>
      </c>
      <c r="T22" s="15">
        <f>_xlfn.IFNA(IF(VLOOKUP($J22&amp;T$14,'Mapping A'!$A$6:$G$1011,7,0)=1,$L22,""),0)</f>
        <v>0</v>
      </c>
      <c r="U22" s="15">
        <f>_xlfn.IFNA(IF(VLOOKUP($J22&amp;U$12,'Mapping A'!$A$6:$G$1011,7,0)=1,$L22,""),0)</f>
        <v>0</v>
      </c>
      <c r="V22" s="15">
        <f>_xlfn.IFNA(IF(VLOOKUP($J22&amp;V$12,'Mapping A'!$A$6:$G$1011,7,0)=1,$L22,""),0)</f>
        <v>0</v>
      </c>
      <c r="W22" s="15">
        <f>_xlfn.IFNA(IF(VLOOKUP($J22&amp;W$12,'Mapping A'!$A$6:$G$1011,7,0)=1,$L22,""),0)</f>
        <v>0</v>
      </c>
      <c r="X22" s="15">
        <f>_xlfn.IFNA(IF(VLOOKUP($J22&amp;X$12,'Mapping A'!$A$6:$G$1011,7,0)=1,$L22,""),0)</f>
        <v>0</v>
      </c>
      <c r="Y22" s="15">
        <f>_xlfn.IFNA(IF(VLOOKUP($J22&amp;Y$12,'Mapping A'!$A$6:$G$1011,7,0)=1,$L22,""),0)</f>
        <v>0</v>
      </c>
      <c r="Z22" s="15">
        <f>_xlfn.IFNA(IF(VLOOKUP($J22&amp;Z$12,'Mapping A'!$A$6:$G$1011,7,0)=1,$L22,""),0)</f>
        <v>0</v>
      </c>
      <c r="AA22" s="15">
        <f>_xlfn.IFNA(IF(VLOOKUP($J22&amp;AA$12,'Mapping A'!$A$6:$G$1011,7,0)=1,$L22,""),0)</f>
        <v>0</v>
      </c>
      <c r="AF22" s="155" t="str">
        <f>AG22&amp;AH22</f>
        <v>ABY0111Alpine Energy</v>
      </c>
      <c r="AG22" s="15" t="s">
        <v>130</v>
      </c>
      <c r="AH22" s="15" t="s">
        <v>0</v>
      </c>
      <c r="AI22" s="190">
        <f>BH27</f>
        <v>4.4687999999999999</v>
      </c>
      <c r="AJ22" s="292" t="s">
        <v>96</v>
      </c>
      <c r="AK22" s="15"/>
      <c r="AL22" s="15">
        <f ca="1">O$13*O$7*O22/O$21</f>
        <v>0</v>
      </c>
      <c r="AM22" s="15">
        <f ca="1">P$13*P$7*P22/P$21</f>
        <v>0</v>
      </c>
      <c r="AN22" s="15">
        <f ca="1">Q$13*Q$7*Q22/Q$21</f>
        <v>0</v>
      </c>
      <c r="AO22" s="15">
        <f ca="1">R$13*R$7*R22/R$21</f>
        <v>0</v>
      </c>
      <c r="AP22" s="15"/>
      <c r="AQ22" s="15">
        <f ca="1">T$15*T$7*T22/T$21</f>
        <v>0</v>
      </c>
      <c r="AR22" s="20">
        <f ca="1">U$13*U$7*U22/U$21</f>
        <v>0</v>
      </c>
      <c r="AS22" s="20"/>
      <c r="AT22" s="20">
        <f ca="1">W$13*W$7*W22/W$21</f>
        <v>0</v>
      </c>
      <c r="AU22" s="20">
        <f ca="1">X$13*X$7*X22/X$21</f>
        <v>0</v>
      </c>
      <c r="AV22" s="20">
        <f ca="1">Y$13*Y$7*Y22/Y$21</f>
        <v>0</v>
      </c>
      <c r="AW22" s="20">
        <f>Z$13*Z$7*Z22/Z$21</f>
        <v>0</v>
      </c>
      <c r="AX22" s="20">
        <f>AA$13*AA$7*AA22/AA$21</f>
        <v>0</v>
      </c>
      <c r="BA22" s="20"/>
      <c r="BG22" s="386" t="s">
        <v>556</v>
      </c>
      <c r="BH22" s="387">
        <f>SUM(BJ27:BJ257)</f>
        <v>311.6967701333765</v>
      </c>
      <c r="BI22" s="387">
        <f>BH17-BH19</f>
        <v>311.69677013337639</v>
      </c>
      <c r="BP22" s="190"/>
    </row>
    <row r="23" spans="2:70" x14ac:dyDescent="0.25">
      <c r="B23" s="98" t="s">
        <v>554</v>
      </c>
      <c r="C23" s="98">
        <v>2014</v>
      </c>
      <c r="D23" s="98" t="s">
        <v>339</v>
      </c>
      <c r="E23" s="98" t="s">
        <v>0</v>
      </c>
      <c r="F23" s="98" t="s">
        <v>131</v>
      </c>
      <c r="G23" s="98">
        <v>90395.671999999293</v>
      </c>
      <c r="H23" s="299" t="str">
        <f>VLOOKUP(LEFT('Rev Adequacy'!D23,3),'Mapping B'!$D$2:$E$400,2,0)</f>
        <v>S</v>
      </c>
      <c r="I23" s="190"/>
      <c r="J23" s="15" t="s">
        <v>132</v>
      </c>
      <c r="K23" s="190" t="s">
        <v>37</v>
      </c>
      <c r="L23" s="190">
        <f t="shared" ref="L23:L86" si="18">BH28</f>
        <v>158.68439999999998</v>
      </c>
      <c r="O23" s="15">
        <f>_xlfn.IFNA(IF(VLOOKUP($J23&amp;O$12,'Mapping A'!$A$6:$G$1011,7,0)=1,$L23,""),0)</f>
        <v>158.68439999999998</v>
      </c>
      <c r="P23" s="15">
        <f>_xlfn.IFNA(IF(VLOOKUP($J23&amp;P$12,'Mapping A'!$A$6:$G$1011,7,0)=1,$L23,""),0)</f>
        <v>158.68439999999998</v>
      </c>
      <c r="Q23" s="15">
        <f>_xlfn.IFNA(IF(VLOOKUP($J23&amp;Q$12,'Mapping A'!$A$6:$G$1011,7,0)=1,$L23,""),0)</f>
        <v>158.68439999999998</v>
      </c>
      <c r="R23" s="15">
        <f>_xlfn.IFNA(IF(VLOOKUP($J23&amp;R$12,'Mapping A'!$A$6:$G$1011,7,0)=1,$L23,""),0)</f>
        <v>158.68439999999998</v>
      </c>
      <c r="S23" s="15">
        <f>_xlfn.IFNA(IF(VLOOKUP($J23&amp;S$12,'Mapping A'!$A$6:$G$1011,7,0)=1,$L23,""),0)</f>
        <v>0</v>
      </c>
      <c r="T23" s="15">
        <f>_xlfn.IFNA(IF(VLOOKUP($J23&amp;T$14,'Mapping A'!$A$6:$G$1011,7,0)=1,$L23,""),0)</f>
        <v>158.68439999999998</v>
      </c>
      <c r="U23" s="15">
        <f>_xlfn.IFNA(IF(VLOOKUP($J23&amp;U$12,'Mapping A'!$A$6:$G$1011,7,0)=1,$L23,""),0)</f>
        <v>158.68439999999998</v>
      </c>
      <c r="V23" s="15">
        <f>_xlfn.IFNA(IF(VLOOKUP($J23&amp;V$12,'Mapping A'!$A$6:$G$1011,7,0)=1,$L23,""),0)</f>
        <v>0</v>
      </c>
      <c r="W23" s="15">
        <f>_xlfn.IFNA(IF(VLOOKUP($J23&amp;W$12,'Mapping A'!$A$6:$G$1011,7,0)=1,$L23,""),0)</f>
        <v>0</v>
      </c>
      <c r="X23" s="15">
        <f>_xlfn.IFNA(IF(VLOOKUP($J23&amp;X$12,'Mapping A'!$A$6:$G$1011,7,0)=1,$L23,""),0)</f>
        <v>158.68439999999998</v>
      </c>
      <c r="Y23" s="15">
        <f>_xlfn.IFNA(IF(VLOOKUP($J23&amp;Y$12,'Mapping A'!$A$6:$G$1011,7,0)=1,$L23,""),0)</f>
        <v>0</v>
      </c>
      <c r="Z23" s="15">
        <f>_xlfn.IFNA(IF(VLOOKUP($J23&amp;Z$12,'Mapping A'!$A$6:$G$1011,7,0)=1,$L23,""),0)</f>
        <v>0</v>
      </c>
      <c r="AA23" s="15">
        <f>_xlfn.IFNA(IF(VLOOKUP($J23&amp;AA$12,'Mapping A'!$A$6:$G$1011,7,0)=1,$L23,""),0)</f>
        <v>0</v>
      </c>
      <c r="AF23" s="155" t="str">
        <f t="shared" ref="AF23:AF87" si="19">AG23&amp;AH23</f>
        <v>ALB0331Vector</v>
      </c>
      <c r="AG23" s="15" t="s">
        <v>132</v>
      </c>
      <c r="AH23" s="190" t="s">
        <v>37</v>
      </c>
      <c r="AI23" s="190">
        <f t="shared" ref="AI23:AI86" si="20">BH28</f>
        <v>158.68439999999998</v>
      </c>
      <c r="AJ23" s="292" t="s">
        <v>95</v>
      </c>
      <c r="AK23" s="15"/>
      <c r="AL23" s="15">
        <f t="shared" ref="AL23:AL42" ca="1" si="21">O$13*O$7*O23/O$21</f>
        <v>0</v>
      </c>
      <c r="AM23" s="15">
        <f t="shared" ref="AM23:AM42" ca="1" si="22">P$13*P$7*P23/P$21</f>
        <v>0</v>
      </c>
      <c r="AN23" s="15">
        <f t="shared" ref="AN23:AN42" ca="1" si="23">Q$13*Q$7*Q23/Q$21</f>
        <v>0</v>
      </c>
      <c r="AO23" s="15">
        <f t="shared" ref="AO23:AO42" ca="1" si="24">R$13*R$7*R23/R$21</f>
        <v>3.4324112125353499</v>
      </c>
      <c r="AP23" s="15"/>
      <c r="AQ23" s="15">
        <f t="shared" ref="AQ23:AQ42" ca="1" si="25">T$15*T$7*T23/T$21</f>
        <v>0</v>
      </c>
      <c r="AR23" s="20">
        <f t="shared" ref="AR23:AR86" ca="1" si="26">U$13*U$7*U23/U$21</f>
        <v>0.69433873513522604</v>
      </c>
      <c r="AS23" s="20"/>
      <c r="AT23" s="20">
        <f t="shared" ref="AT23:AT86" ca="1" si="27">W$13*W$7*W23/W$21</f>
        <v>0</v>
      </c>
      <c r="AU23" s="20">
        <f t="shared" ref="AU23:AU86" ca="1" si="28">X$13*X$7*X23/X$21</f>
        <v>0.32023052632870574</v>
      </c>
      <c r="AV23" s="20">
        <f t="shared" ref="AV23:AV86" ca="1" si="29">Y$13*Y$7*Y23/Y$21</f>
        <v>0</v>
      </c>
      <c r="AW23" s="20">
        <f t="shared" ref="AW23:AW86" si="30">Z$13*Z$7*Z23/Z$21</f>
        <v>0</v>
      </c>
      <c r="AX23" s="20">
        <f t="shared" ref="AX23:AX86" si="31">AA$13*AA$7*AA23/AA$21</f>
        <v>0</v>
      </c>
      <c r="BA23" s="20"/>
      <c r="BF23" s="15"/>
      <c r="BP23" s="190"/>
    </row>
    <row r="24" spans="2:70" x14ac:dyDescent="0.25">
      <c r="B24" s="98" t="s">
        <v>554</v>
      </c>
      <c r="C24" s="98">
        <v>2014</v>
      </c>
      <c r="D24" s="98" t="s">
        <v>422</v>
      </c>
      <c r="E24" s="98" t="s">
        <v>0</v>
      </c>
      <c r="F24" s="98" t="s">
        <v>131</v>
      </c>
      <c r="G24" s="98">
        <v>80.191000000010803</v>
      </c>
      <c r="H24" s="299" t="str">
        <f>VLOOKUP(LEFT('Rev Adequacy'!D24,3),'Mapping B'!$D$2:$E$400,2,0)</f>
        <v>S</v>
      </c>
      <c r="I24" s="190"/>
      <c r="J24" s="15" t="s">
        <v>133</v>
      </c>
      <c r="K24" s="190" t="s">
        <v>37</v>
      </c>
      <c r="L24" s="190">
        <f t="shared" si="18"/>
        <v>146.62620000000001</v>
      </c>
      <c r="O24" s="15">
        <f>_xlfn.IFNA(IF(VLOOKUP($J24&amp;O$12,'Mapping A'!$A$6:$G$1011,7,0)=1,$L24,""),0)</f>
        <v>146.62620000000001</v>
      </c>
      <c r="P24" s="15">
        <f>_xlfn.IFNA(IF(VLOOKUP($J24&amp;P$12,'Mapping A'!$A$6:$G$1011,7,0)=1,$L24,""),0)</f>
        <v>146.62620000000001</v>
      </c>
      <c r="Q24" s="15">
        <f>_xlfn.IFNA(IF(VLOOKUP($J24&amp;Q$12,'Mapping A'!$A$6:$G$1011,7,0)=1,$L24,""),0)</f>
        <v>146.62620000000001</v>
      </c>
      <c r="R24" s="15">
        <f>_xlfn.IFNA(IF(VLOOKUP($J24&amp;R$12,'Mapping A'!$A$6:$G$1011,7,0)=1,$L24,""),0)</f>
        <v>146.62620000000001</v>
      </c>
      <c r="S24" s="15">
        <f>_xlfn.IFNA(IF(VLOOKUP($J24&amp;S$12,'Mapping A'!$A$6:$G$1011,7,0)=1,$L24,""),0)</f>
        <v>0</v>
      </c>
      <c r="T24" s="15">
        <f>_xlfn.IFNA(IF(VLOOKUP($J24&amp;T$14,'Mapping A'!$A$6:$G$1011,7,0)=1,$L24,""),0)</f>
        <v>146.62620000000001</v>
      </c>
      <c r="U24" s="15">
        <f>_xlfn.IFNA(IF(VLOOKUP($J24&amp;U$12,'Mapping A'!$A$6:$G$1011,7,0)=1,$L24,""),0)</f>
        <v>146.62620000000001</v>
      </c>
      <c r="V24" s="15">
        <f>_xlfn.IFNA(IF(VLOOKUP($J24&amp;V$12,'Mapping A'!$A$6:$G$1011,7,0)=1,$L24,""),0)</f>
        <v>0</v>
      </c>
      <c r="W24" s="15">
        <f>_xlfn.IFNA(IF(VLOOKUP($J24&amp;W$12,'Mapping A'!$A$6:$G$1011,7,0)=1,$L24,""),0)</f>
        <v>0</v>
      </c>
      <c r="X24" s="15">
        <f>_xlfn.IFNA(IF(VLOOKUP($J24&amp;X$12,'Mapping A'!$A$6:$G$1011,7,0)=1,$L24,""),0)</f>
        <v>146.62620000000001</v>
      </c>
      <c r="Y24" s="15">
        <f>_xlfn.IFNA(IF(VLOOKUP($J24&amp;Y$12,'Mapping A'!$A$6:$G$1011,7,0)=1,$L24,""),0)</f>
        <v>0</v>
      </c>
      <c r="Z24" s="15">
        <f>_xlfn.IFNA(IF(VLOOKUP($J24&amp;Z$12,'Mapping A'!$A$6:$G$1011,7,0)=1,$L24,""),0)</f>
        <v>0</v>
      </c>
      <c r="AA24" s="15">
        <f>_xlfn.IFNA(IF(VLOOKUP($J24&amp;AA$12,'Mapping A'!$A$6:$G$1011,7,0)=1,$L24,""),0)</f>
        <v>0</v>
      </c>
      <c r="AF24" s="155" t="str">
        <f t="shared" si="19"/>
        <v>ALB1101Vector</v>
      </c>
      <c r="AG24" s="15" t="s">
        <v>133</v>
      </c>
      <c r="AH24" s="190" t="s">
        <v>37</v>
      </c>
      <c r="AI24" s="190">
        <f t="shared" si="20"/>
        <v>146.62620000000001</v>
      </c>
      <c r="AJ24" s="292" t="s">
        <v>95</v>
      </c>
      <c r="AK24" s="15"/>
      <c r="AL24" s="15">
        <f t="shared" ca="1" si="21"/>
        <v>0</v>
      </c>
      <c r="AM24" s="15">
        <f t="shared" ca="1" si="22"/>
        <v>0</v>
      </c>
      <c r="AN24" s="15">
        <f t="shared" ca="1" si="23"/>
        <v>0</v>
      </c>
      <c r="AO24" s="15">
        <f t="shared" ca="1" si="24"/>
        <v>3.1715872066280664</v>
      </c>
      <c r="AP24" s="15"/>
      <c r="AQ24" s="15">
        <f t="shared" ca="1" si="25"/>
        <v>0</v>
      </c>
      <c r="AR24" s="20">
        <f t="shared" ca="1" si="26"/>
        <v>0.64157693034529362</v>
      </c>
      <c r="AS24" s="20"/>
      <c r="AT24" s="20">
        <f t="shared" ca="1" si="27"/>
        <v>0</v>
      </c>
      <c r="AU24" s="20">
        <f t="shared" ca="1" si="28"/>
        <v>0.29589666784874935</v>
      </c>
      <c r="AV24" s="20">
        <f t="shared" ca="1" si="29"/>
        <v>0</v>
      </c>
      <c r="AW24" s="20">
        <f t="shared" si="30"/>
        <v>0</v>
      </c>
      <c r="AX24" s="20">
        <f t="shared" si="31"/>
        <v>0</v>
      </c>
      <c r="BA24" s="20"/>
      <c r="BD24" s="339"/>
      <c r="BE24" s="339"/>
      <c r="BF24" s="339"/>
      <c r="BG24" s="339"/>
      <c r="BH24" s="339"/>
      <c r="BI24" s="339"/>
      <c r="BJ24" s="339"/>
      <c r="BK24" s="533" t="s">
        <v>938</v>
      </c>
      <c r="BL24" s="533"/>
      <c r="BO24" s="20"/>
      <c r="BP24" s="190"/>
      <c r="BQ24" s="20"/>
      <c r="BR24" s="20"/>
    </row>
    <row r="25" spans="2:70" x14ac:dyDescent="0.25">
      <c r="B25" s="98" t="s">
        <v>554</v>
      </c>
      <c r="C25" s="98">
        <v>2014</v>
      </c>
      <c r="D25" s="98" t="s">
        <v>347</v>
      </c>
      <c r="E25" s="98" t="s">
        <v>0</v>
      </c>
      <c r="F25" s="98" t="s">
        <v>131</v>
      </c>
      <c r="G25" s="98">
        <v>315311.85299999901</v>
      </c>
      <c r="H25" s="299" t="str">
        <f>VLOOKUP(LEFT('Rev Adequacy'!D25,3),'Mapping B'!$D$2:$E$400,2,0)</f>
        <v>S</v>
      </c>
      <c r="I25" s="190"/>
      <c r="J25" s="15" t="s">
        <v>134</v>
      </c>
      <c r="K25" s="190" t="s">
        <v>25</v>
      </c>
      <c r="L25" s="190">
        <f t="shared" si="18"/>
        <v>0.37169999999999997</v>
      </c>
      <c r="O25" s="15">
        <f>_xlfn.IFNA(IF(VLOOKUP($J25&amp;O$12,'Mapping A'!$A$6:$G$1011,7,0)=1,$L25,""),0)</f>
        <v>0</v>
      </c>
      <c r="P25" s="15">
        <f>_xlfn.IFNA(IF(VLOOKUP($J25&amp;P$12,'Mapping A'!$A$6:$G$1011,7,0)=1,$L25,""),0)</f>
        <v>0.37169999999999997</v>
      </c>
      <c r="Q25" s="15">
        <f>_xlfn.IFNA(IF(VLOOKUP($J25&amp;Q$12,'Mapping A'!$A$6:$G$1011,7,0)=1,$L25,""),0)</f>
        <v>0</v>
      </c>
      <c r="R25" s="15">
        <f>_xlfn.IFNA(IF(VLOOKUP($J25&amp;R$12,'Mapping A'!$A$6:$G$1011,7,0)=1,$L25,""),0)</f>
        <v>0</v>
      </c>
      <c r="S25" s="15">
        <f>_xlfn.IFNA(IF(VLOOKUP($J25&amp;S$12,'Mapping A'!$A$6:$G$1011,7,0)=1,$L25,""),0)</f>
        <v>0</v>
      </c>
      <c r="T25" s="15">
        <f>_xlfn.IFNA(IF(VLOOKUP($J25&amp;T$14,'Mapping A'!$A$6:$G$1011,7,0)=1,$L25,""),0)</f>
        <v>0</v>
      </c>
      <c r="U25" s="15">
        <f>_xlfn.IFNA(IF(VLOOKUP($J25&amp;U$12,'Mapping A'!$A$6:$G$1011,7,0)=1,$L25,""),0)</f>
        <v>0</v>
      </c>
      <c r="V25" s="15">
        <f>_xlfn.IFNA(IF(VLOOKUP($J25&amp;V$12,'Mapping A'!$A$6:$G$1011,7,0)=1,$L25,""),0)</f>
        <v>0</v>
      </c>
      <c r="W25" s="15">
        <f>_xlfn.IFNA(IF(VLOOKUP($J25&amp;W$12,'Mapping A'!$A$6:$G$1011,7,0)=1,$L25,""),0)</f>
        <v>0.37169999999999997</v>
      </c>
      <c r="X25" s="15">
        <f>_xlfn.IFNA(IF(VLOOKUP($J25&amp;X$12,'Mapping A'!$A$6:$G$1011,7,0)=1,$L25,""),0)</f>
        <v>0</v>
      </c>
      <c r="Y25" s="15">
        <f>_xlfn.IFNA(IF(VLOOKUP($J25&amp;Y$12,'Mapping A'!$A$6:$G$1011,7,0)=1,$L25,""),0)</f>
        <v>0</v>
      </c>
      <c r="Z25" s="15">
        <f>_xlfn.IFNA(IF(VLOOKUP($J25&amp;Z$12,'Mapping A'!$A$6:$G$1011,7,0)=1,$L25,""),0)</f>
        <v>0</v>
      </c>
      <c r="AA25" s="15">
        <f>_xlfn.IFNA(IF(VLOOKUP($J25&amp;AA$12,'Mapping A'!$A$6:$G$1011,7,0)=1,$L25,""),0)</f>
        <v>0.37169999999999997</v>
      </c>
      <c r="AF25" s="155" t="str">
        <f t="shared" si="19"/>
        <v>APS0111Orion</v>
      </c>
      <c r="AG25" s="15" t="s">
        <v>134</v>
      </c>
      <c r="AH25" s="190" t="s">
        <v>25</v>
      </c>
      <c r="AI25" s="190">
        <f t="shared" si="20"/>
        <v>0.37169999999999997</v>
      </c>
      <c r="AJ25" s="292" t="s">
        <v>96</v>
      </c>
      <c r="AK25" s="15"/>
      <c r="AL25" s="15">
        <f t="shared" ca="1" si="21"/>
        <v>0</v>
      </c>
      <c r="AM25" s="15">
        <f t="shared" ca="1" si="22"/>
        <v>0</v>
      </c>
      <c r="AN25" s="15">
        <f t="shared" ca="1" si="23"/>
        <v>0</v>
      </c>
      <c r="AO25" s="15">
        <f t="shared" ca="1" si="24"/>
        <v>0</v>
      </c>
      <c r="AP25" s="15"/>
      <c r="AQ25" s="15">
        <f t="shared" ca="1" si="25"/>
        <v>0</v>
      </c>
      <c r="AR25" s="20">
        <f t="shared" ca="1" si="26"/>
        <v>0</v>
      </c>
      <c r="AS25" s="20"/>
      <c r="AT25" s="20">
        <f t="shared" ca="1" si="27"/>
        <v>1.0606839824015045E-3</v>
      </c>
      <c r="AU25" s="20">
        <f t="shared" ca="1" si="28"/>
        <v>0</v>
      </c>
      <c r="AV25" s="20">
        <f t="shared" ca="1" si="29"/>
        <v>0</v>
      </c>
      <c r="AW25" s="20">
        <f t="shared" si="30"/>
        <v>0</v>
      </c>
      <c r="AX25" s="20">
        <f t="shared" si="31"/>
        <v>0</v>
      </c>
      <c r="BA25" s="20"/>
      <c r="BD25" s="531" t="s">
        <v>1658</v>
      </c>
      <c r="BE25" s="531"/>
      <c r="BF25" s="531"/>
      <c r="BG25" s="531"/>
      <c r="BH25" s="531"/>
      <c r="BI25" s="339"/>
      <c r="BJ25" s="339"/>
      <c r="BK25" s="344">
        <v>30</v>
      </c>
      <c r="BL25" s="344">
        <v>50</v>
      </c>
      <c r="BO25" s="21"/>
      <c r="BP25" s="190"/>
      <c r="BQ25" s="20"/>
      <c r="BR25" s="20"/>
    </row>
    <row r="26" spans="2:70" ht="15.75" x14ac:dyDescent="0.25">
      <c r="B26" s="98" t="s">
        <v>554</v>
      </c>
      <c r="C26" s="98">
        <v>2014</v>
      </c>
      <c r="D26" s="98" t="s">
        <v>362</v>
      </c>
      <c r="E26" s="98" t="s">
        <v>0</v>
      </c>
      <c r="F26" s="98" t="s">
        <v>131</v>
      </c>
      <c r="G26" s="98">
        <v>6126.2928412976498</v>
      </c>
      <c r="H26" s="299" t="str">
        <f>VLOOKUP(LEFT('Rev Adequacy'!D26,3),'Mapping B'!$D$2:$E$400,2,0)</f>
        <v>S</v>
      </c>
      <c r="I26" s="190"/>
      <c r="J26" s="15" t="s">
        <v>927</v>
      </c>
      <c r="K26" s="190" t="s">
        <v>17</v>
      </c>
      <c r="L26" s="190">
        <f t="shared" si="18"/>
        <v>5.1029999999999998</v>
      </c>
      <c r="O26" s="15">
        <f>_xlfn.IFNA(IF(VLOOKUP($J26&amp;O$12,'Mapping A'!$A$6:$G$1011,7,0)=1,$L26,""),0)</f>
        <v>0</v>
      </c>
      <c r="P26" s="15">
        <f>_xlfn.IFNA(IF(VLOOKUP($J26&amp;P$12,'Mapping A'!$A$6:$G$1011,7,0)=1,$L26,""),0)</f>
        <v>0</v>
      </c>
      <c r="Q26" s="15">
        <f>_xlfn.IFNA(IF(VLOOKUP($J26&amp;Q$12,'Mapping A'!$A$6:$G$1011,7,0)=1,$L26,""),0)</f>
        <v>0</v>
      </c>
      <c r="R26" s="15">
        <f>_xlfn.IFNA(IF(VLOOKUP($J26&amp;R$12,'Mapping A'!$A$6:$G$1011,7,0)=1,$L26,""),0)</f>
        <v>0</v>
      </c>
      <c r="S26" s="15">
        <f>_xlfn.IFNA(IF(VLOOKUP($J26&amp;S$12,'Mapping A'!$A$6:$G$1011,7,0)=1,$L26,""),0)</f>
        <v>0</v>
      </c>
      <c r="T26" s="15">
        <f>_xlfn.IFNA(IF(VLOOKUP($J26&amp;T$14,'Mapping A'!$A$6:$G$1011,7,0)=1,$L26,""),0)</f>
        <v>0</v>
      </c>
      <c r="U26" s="15">
        <f>_xlfn.IFNA(IF(VLOOKUP($J26&amp;U$12,'Mapping A'!$A$6:$G$1011,7,0)=1,$L26,""),0)</f>
        <v>0</v>
      </c>
      <c r="V26" s="15">
        <f>_xlfn.IFNA(IF(VLOOKUP($J26&amp;V$12,'Mapping A'!$A$6:$G$1011,7,0)=1,$L26,""),0)</f>
        <v>0</v>
      </c>
      <c r="W26" s="15">
        <f>_xlfn.IFNA(IF(VLOOKUP($J26&amp;W$12,'Mapping A'!$A$6:$G$1011,7,0)=1,$L26,""),0)</f>
        <v>0</v>
      </c>
      <c r="X26" s="15">
        <f>_xlfn.IFNA(IF(VLOOKUP($J26&amp;X$12,'Mapping A'!$A$6:$G$1011,7,0)=1,$L26,""),0)</f>
        <v>0</v>
      </c>
      <c r="Y26" s="15">
        <f>_xlfn.IFNA(IF(VLOOKUP($J26&amp;Y$12,'Mapping A'!$A$6:$G$1011,7,0)=1,$L26,""),0)</f>
        <v>0</v>
      </c>
      <c r="Z26" s="15">
        <f>_xlfn.IFNA(IF(VLOOKUP($J26&amp;Z$12,'Mapping A'!$A$6:$G$1011,7,0)=1,$L26,""),0)</f>
        <v>0</v>
      </c>
      <c r="AA26" s="15">
        <f>_xlfn.IFNA(IF(VLOOKUP($J26&amp;AA$12,'Mapping A'!$A$6:$G$1011,7,0)=1,$L26,""),0)</f>
        <v>0</v>
      </c>
      <c r="AF26" s="155" t="str">
        <f t="shared" si="19"/>
        <v>ARA2201MRP</v>
      </c>
      <c r="AG26" s="15" t="s">
        <v>927</v>
      </c>
      <c r="AH26" s="190" t="s">
        <v>17</v>
      </c>
      <c r="AI26" s="190">
        <f t="shared" si="20"/>
        <v>5.1029999999999998</v>
      </c>
      <c r="AJ26" s="292" t="s">
        <v>95</v>
      </c>
      <c r="AK26" s="15"/>
      <c r="AL26" s="15">
        <f t="shared" ca="1" si="21"/>
        <v>0</v>
      </c>
      <c r="AM26" s="15">
        <f t="shared" ca="1" si="22"/>
        <v>0</v>
      </c>
      <c r="AN26" s="15">
        <f t="shared" ca="1" si="23"/>
        <v>0</v>
      </c>
      <c r="AO26" s="15">
        <f t="shared" ca="1" si="24"/>
        <v>0</v>
      </c>
      <c r="AP26" s="15"/>
      <c r="AQ26" s="15">
        <f t="shared" ca="1" si="25"/>
        <v>0</v>
      </c>
      <c r="AR26" s="20">
        <f t="shared" ca="1" si="26"/>
        <v>0</v>
      </c>
      <c r="AS26" s="20"/>
      <c r="AT26" s="20">
        <f t="shared" ca="1" si="27"/>
        <v>0</v>
      </c>
      <c r="AU26" s="20">
        <f t="shared" ca="1" si="28"/>
        <v>0</v>
      </c>
      <c r="AV26" s="20">
        <f t="shared" ca="1" si="29"/>
        <v>0</v>
      </c>
      <c r="AW26" s="20">
        <f t="shared" si="30"/>
        <v>0</v>
      </c>
      <c r="AX26" s="20">
        <f t="shared" si="31"/>
        <v>0</v>
      </c>
      <c r="BA26" s="82"/>
      <c r="BD26" s="390" t="s">
        <v>572</v>
      </c>
      <c r="BE26" s="391"/>
      <c r="BF26" s="339" t="s">
        <v>127</v>
      </c>
      <c r="BG26" s="339" t="s">
        <v>915</v>
      </c>
      <c r="BH26" s="339" t="s">
        <v>936</v>
      </c>
      <c r="BI26" s="339" t="s">
        <v>937</v>
      </c>
      <c r="BJ26" s="343" t="s">
        <v>56</v>
      </c>
      <c r="BK26" s="343" t="s">
        <v>1632</v>
      </c>
      <c r="BL26" s="343" t="s">
        <v>1631</v>
      </c>
      <c r="BM26" s="28" t="s">
        <v>1580</v>
      </c>
      <c r="BO26" s="20"/>
      <c r="BP26" s="190"/>
      <c r="BQ26" s="20"/>
      <c r="BR26" s="20"/>
    </row>
    <row r="27" spans="2:70" x14ac:dyDescent="0.25">
      <c r="B27" s="98" t="s">
        <v>563</v>
      </c>
      <c r="C27" s="98">
        <v>2014</v>
      </c>
      <c r="D27" s="98" t="s">
        <v>130</v>
      </c>
      <c r="E27" s="98" t="s">
        <v>0</v>
      </c>
      <c r="F27" s="98" t="s">
        <v>131</v>
      </c>
      <c r="G27" s="98">
        <v>13255.587</v>
      </c>
      <c r="H27" s="299" t="str">
        <f>VLOOKUP(LEFT('Rev Adequacy'!D27,3),'Mapping B'!$D$2:$E$400,2,0)</f>
        <v>S</v>
      </c>
      <c r="I27" s="190"/>
      <c r="J27" s="15" t="s">
        <v>137</v>
      </c>
      <c r="K27" s="190" t="s">
        <v>138</v>
      </c>
      <c r="L27" s="190">
        <f t="shared" si="18"/>
        <v>4.6200000000000005E-2</v>
      </c>
      <c r="O27" s="15">
        <f>_xlfn.IFNA(IF(VLOOKUP($J27&amp;O$12,'Mapping A'!$A$6:$G$1011,7,0)=1,$L27,""),0)</f>
        <v>0</v>
      </c>
      <c r="P27" s="15">
        <f>_xlfn.IFNA(IF(VLOOKUP($J27&amp;P$12,'Mapping A'!$A$6:$G$1011,7,0)=1,$L27,""),0)</f>
        <v>4.6200000000000005E-2</v>
      </c>
      <c r="Q27" s="15">
        <f>_xlfn.IFNA(IF(VLOOKUP($J27&amp;Q$12,'Mapping A'!$A$6:$G$1011,7,0)=1,$L27,""),0)</f>
        <v>0</v>
      </c>
      <c r="R27" s="15">
        <f>_xlfn.IFNA(IF(VLOOKUP($J27&amp;R$12,'Mapping A'!$A$6:$G$1011,7,0)=1,$L27,""),0)</f>
        <v>0</v>
      </c>
      <c r="S27" s="15">
        <f>_xlfn.IFNA(IF(VLOOKUP($J27&amp;S$12,'Mapping A'!$A$6:$G$1011,7,0)=1,$L27,""),0)</f>
        <v>0</v>
      </c>
      <c r="T27" s="15">
        <f>_xlfn.IFNA(IF(VLOOKUP($J27&amp;T$14,'Mapping A'!$A$6:$G$1011,7,0)=1,$L27,""),0)</f>
        <v>0</v>
      </c>
      <c r="U27" s="15">
        <f>_xlfn.IFNA(IF(VLOOKUP($J27&amp;U$12,'Mapping A'!$A$6:$G$1011,7,0)=1,$L27,""),0)</f>
        <v>0</v>
      </c>
      <c r="V27" s="15">
        <f>_xlfn.IFNA(IF(VLOOKUP($J27&amp;V$12,'Mapping A'!$A$6:$G$1011,7,0)=1,$L27,""),0)</f>
        <v>0</v>
      </c>
      <c r="W27" s="15">
        <f>_xlfn.IFNA(IF(VLOOKUP($J27&amp;W$12,'Mapping A'!$A$6:$G$1011,7,0)=1,$L27,""),0)</f>
        <v>4.6200000000000005E-2</v>
      </c>
      <c r="X27" s="15">
        <f>_xlfn.IFNA(IF(VLOOKUP($J27&amp;X$12,'Mapping A'!$A$6:$G$1011,7,0)=1,$L27,""),0)</f>
        <v>0</v>
      </c>
      <c r="Y27" s="15">
        <f>_xlfn.IFNA(IF(VLOOKUP($J27&amp;Y$12,'Mapping A'!$A$6:$G$1011,7,0)=1,$L27,""),0)</f>
        <v>0</v>
      </c>
      <c r="Z27" s="15">
        <f>_xlfn.IFNA(IF(VLOOKUP($J27&amp;Z$12,'Mapping A'!$A$6:$G$1011,7,0)=1,$L27,""),0)</f>
        <v>0</v>
      </c>
      <c r="AA27" s="15">
        <f>_xlfn.IFNA(IF(VLOOKUP($J27&amp;AA$12,'Mapping A'!$A$6:$G$1011,7,0)=1,$L27,""),0)</f>
        <v>4.6200000000000005E-2</v>
      </c>
      <c r="AF27" s="155" t="str">
        <f t="shared" si="19"/>
        <v>ARG1101TrustPower</v>
      </c>
      <c r="AG27" s="15" t="s">
        <v>137</v>
      </c>
      <c r="AH27" s="190" t="s">
        <v>138</v>
      </c>
      <c r="AI27" s="190">
        <f t="shared" si="20"/>
        <v>4.6200000000000005E-2</v>
      </c>
      <c r="AJ27" s="292" t="s">
        <v>96</v>
      </c>
      <c r="AK27" s="15"/>
      <c r="AL27" s="15">
        <f t="shared" ca="1" si="21"/>
        <v>0</v>
      </c>
      <c r="AM27" s="15">
        <f t="shared" ca="1" si="22"/>
        <v>0</v>
      </c>
      <c r="AN27" s="15">
        <f t="shared" ca="1" si="23"/>
        <v>0</v>
      </c>
      <c r="AO27" s="15">
        <f t="shared" ca="1" si="24"/>
        <v>0</v>
      </c>
      <c r="AP27" s="15"/>
      <c r="AQ27" s="15">
        <f t="shared" ca="1" si="25"/>
        <v>0</v>
      </c>
      <c r="AR27" s="20">
        <f t="shared" ca="1" si="26"/>
        <v>0</v>
      </c>
      <c r="AS27" s="20"/>
      <c r="AT27" s="20">
        <f t="shared" ca="1" si="27"/>
        <v>1.3183642719114748E-4</v>
      </c>
      <c r="AU27" s="20">
        <f t="shared" ca="1" si="28"/>
        <v>0</v>
      </c>
      <c r="AV27" s="20">
        <f t="shared" ca="1" si="29"/>
        <v>0</v>
      </c>
      <c r="AW27" s="20">
        <f t="shared" si="30"/>
        <v>0</v>
      </c>
      <c r="AX27" s="20">
        <f t="shared" si="31"/>
        <v>0</v>
      </c>
      <c r="BA27" s="20"/>
      <c r="BD27" s="94" t="str">
        <f>BG27&amp;BF27</f>
        <v>ABY0111Alpine Energy</v>
      </c>
      <c r="BF27" s="15" t="s">
        <v>0</v>
      </c>
      <c r="BG27" t="s">
        <v>130</v>
      </c>
      <c r="BH27">
        <v>4.4687999999999999</v>
      </c>
      <c r="BI27">
        <v>4.2769999504089302</v>
      </c>
      <c r="BJ27" s="257">
        <f>($BH$17-$BH$19)*BH27/$BH$18</f>
        <v>0.15872389892337585</v>
      </c>
      <c r="BK27" s="257">
        <f t="shared" ref="BK27:BK90" si="32">($BH$17-$BH$19+$BK$25)*BH27/$BH$18</f>
        <v>0.1740006596214855</v>
      </c>
      <c r="BL27" s="257">
        <f t="shared" ref="BL27:BL90" si="33">($BH$17-$BH$19+$BL$25)*BH27/$BH$18</f>
        <v>0.18418516675355859</v>
      </c>
      <c r="BM27" s="342" t="str">
        <f>VLOOKUP(LEFT(BG27,3),'Mapping B'!$D$2:$E$310,2,0)</f>
        <v>S</v>
      </c>
      <c r="BO27" s="20"/>
      <c r="BP27" s="190"/>
      <c r="BQ27" s="20"/>
      <c r="BR27" s="20"/>
    </row>
    <row r="28" spans="2:70" x14ac:dyDescent="0.25">
      <c r="B28" s="98" t="s">
        <v>563</v>
      </c>
      <c r="C28" s="98">
        <v>2014</v>
      </c>
      <c r="D28" s="98" t="s">
        <v>156</v>
      </c>
      <c r="E28" s="98" t="s">
        <v>0</v>
      </c>
      <c r="F28" s="98" t="s">
        <v>131</v>
      </c>
      <c r="G28" s="98">
        <v>52349.595999999801</v>
      </c>
      <c r="H28" s="299" t="str">
        <f>VLOOKUP(LEFT('Rev Adequacy'!D28,3),'Mapping B'!$D$2:$E$400,2,0)</f>
        <v>S</v>
      </c>
      <c r="I28" s="190"/>
      <c r="J28" s="15" t="s">
        <v>928</v>
      </c>
      <c r="K28" s="190" t="s">
        <v>17</v>
      </c>
      <c r="L28" s="190">
        <f t="shared" si="18"/>
        <v>2.1483000000000003</v>
      </c>
      <c r="O28" s="15">
        <f>_xlfn.IFNA(IF(VLOOKUP($J28&amp;O$12,'Mapping A'!$A$6:$G$1011,7,0)=1,$L28,""),0)</f>
        <v>0</v>
      </c>
      <c r="P28" s="15">
        <f>_xlfn.IFNA(IF(VLOOKUP($J28&amp;P$12,'Mapping A'!$A$6:$G$1011,7,0)=1,$L28,""),0)</f>
        <v>0</v>
      </c>
      <c r="Q28" s="15">
        <f>_xlfn.IFNA(IF(VLOOKUP($J28&amp;Q$12,'Mapping A'!$A$6:$G$1011,7,0)=1,$L28,""),0)</f>
        <v>0</v>
      </c>
      <c r="R28" s="15">
        <f>_xlfn.IFNA(IF(VLOOKUP($J28&amp;R$12,'Mapping A'!$A$6:$G$1011,7,0)=1,$L28,""),0)</f>
        <v>0</v>
      </c>
      <c r="S28" s="15">
        <f>_xlfn.IFNA(IF(VLOOKUP($J28&amp;S$12,'Mapping A'!$A$6:$G$1011,7,0)=1,$L28,""),0)</f>
        <v>0</v>
      </c>
      <c r="T28" s="15">
        <f>_xlfn.IFNA(IF(VLOOKUP($J28&amp;T$14,'Mapping A'!$A$6:$G$1011,7,0)=1,$L28,""),0)</f>
        <v>0</v>
      </c>
      <c r="U28" s="15">
        <f>_xlfn.IFNA(IF(VLOOKUP($J28&amp;U$12,'Mapping A'!$A$6:$G$1011,7,0)=1,$L28,""),0)</f>
        <v>0</v>
      </c>
      <c r="V28" s="15">
        <f>_xlfn.IFNA(IF(VLOOKUP($J28&amp;V$12,'Mapping A'!$A$6:$G$1011,7,0)=1,$L28,""),0)</f>
        <v>0</v>
      </c>
      <c r="W28" s="15">
        <f>_xlfn.IFNA(IF(VLOOKUP($J28&amp;W$12,'Mapping A'!$A$6:$G$1011,7,0)=1,$L28,""),0)</f>
        <v>0</v>
      </c>
      <c r="X28" s="15">
        <f>_xlfn.IFNA(IF(VLOOKUP($J28&amp;X$12,'Mapping A'!$A$6:$G$1011,7,0)=1,$L28,""),0)</f>
        <v>0</v>
      </c>
      <c r="Y28" s="15">
        <f>_xlfn.IFNA(IF(VLOOKUP($J28&amp;Y$12,'Mapping A'!$A$6:$G$1011,7,0)=1,$L28,""),0)</f>
        <v>0</v>
      </c>
      <c r="Z28" s="15">
        <f>_xlfn.IFNA(IF(VLOOKUP($J28&amp;Z$12,'Mapping A'!$A$6:$G$1011,7,0)=1,$L28,""),0)</f>
        <v>0</v>
      </c>
      <c r="AA28" s="15">
        <f>_xlfn.IFNA(IF(VLOOKUP($J28&amp;AA$12,'Mapping A'!$A$6:$G$1011,7,0)=1,$L28,""),0)</f>
        <v>0</v>
      </c>
      <c r="AF28" s="155" t="str">
        <f t="shared" si="19"/>
        <v>ARI1101MRP</v>
      </c>
      <c r="AG28" s="15" t="s">
        <v>928</v>
      </c>
      <c r="AH28" s="190" t="s">
        <v>17</v>
      </c>
      <c r="AI28" s="190">
        <f t="shared" si="20"/>
        <v>2.1483000000000003</v>
      </c>
      <c r="AJ28" s="292" t="s">
        <v>95</v>
      </c>
      <c r="AK28" s="15"/>
      <c r="AL28" s="15">
        <f t="shared" ca="1" si="21"/>
        <v>0</v>
      </c>
      <c r="AM28" s="15">
        <f t="shared" ca="1" si="22"/>
        <v>0</v>
      </c>
      <c r="AN28" s="15">
        <f t="shared" ca="1" si="23"/>
        <v>0</v>
      </c>
      <c r="AO28" s="15">
        <f t="shared" ca="1" si="24"/>
        <v>0</v>
      </c>
      <c r="AP28" s="15"/>
      <c r="AQ28" s="15">
        <f t="shared" ca="1" si="25"/>
        <v>0</v>
      </c>
      <c r="AR28" s="20">
        <f t="shared" ca="1" si="26"/>
        <v>0</v>
      </c>
      <c r="AS28" s="20"/>
      <c r="AT28" s="20">
        <f t="shared" ca="1" si="27"/>
        <v>0</v>
      </c>
      <c r="AU28" s="20">
        <f t="shared" ca="1" si="28"/>
        <v>0</v>
      </c>
      <c r="AV28" s="20">
        <f t="shared" ca="1" si="29"/>
        <v>0</v>
      </c>
      <c r="AW28" s="20">
        <f t="shared" si="30"/>
        <v>0</v>
      </c>
      <c r="AX28" s="20">
        <f t="shared" si="31"/>
        <v>0</v>
      </c>
      <c r="BA28" s="20"/>
      <c r="BD28" s="94" t="str">
        <f t="shared" ref="BD28:BD91" si="34">BG28&amp;BF28</f>
        <v>ALB0331Vector</v>
      </c>
      <c r="BF28" s="15" t="s">
        <v>37</v>
      </c>
      <c r="BG28" t="s">
        <v>132</v>
      </c>
      <c r="BH28" s="190">
        <v>158.68439999999998</v>
      </c>
      <c r="BI28" s="190">
        <v>158.53300476074199</v>
      </c>
      <c r="BJ28" s="257">
        <f t="shared" ref="BJ28:BJ91" si="35">($BH$17-$BH$19)*BH28/$BH$18</f>
        <v>5.6361901777471672</v>
      </c>
      <c r="BK28" s="257">
        <f t="shared" si="32"/>
        <v>6.178658761108049</v>
      </c>
      <c r="BL28" s="257">
        <f t="shared" si="33"/>
        <v>6.5403044833486366</v>
      </c>
      <c r="BM28" s="342" t="str">
        <f>VLOOKUP(LEFT(BG28,3),'Mapping B'!$D$2:$E$310,2,0)</f>
        <v>N</v>
      </c>
      <c r="BO28" s="20"/>
      <c r="BP28" s="190"/>
      <c r="BQ28" s="20"/>
      <c r="BR28" s="20"/>
    </row>
    <row r="29" spans="2:70" x14ac:dyDescent="0.25">
      <c r="B29" s="98" t="s">
        <v>563</v>
      </c>
      <c r="C29" s="98">
        <v>2014</v>
      </c>
      <c r="D29" s="98" t="s">
        <v>327</v>
      </c>
      <c r="E29" s="98" t="s">
        <v>0</v>
      </c>
      <c r="F29" s="98" t="s">
        <v>131</v>
      </c>
      <c r="G29" s="98">
        <v>113188.243999999</v>
      </c>
      <c r="H29" s="299" t="str">
        <f>VLOOKUP(LEFT('Rev Adequacy'!D29,3),'Mapping B'!$D$2:$E$400,2,0)</f>
        <v>S</v>
      </c>
      <c r="I29" s="190"/>
      <c r="J29" s="15" t="s">
        <v>929</v>
      </c>
      <c r="K29" s="190" t="s">
        <v>17</v>
      </c>
      <c r="L29" s="190">
        <f t="shared" si="18"/>
        <v>3.5679000000000003</v>
      </c>
      <c r="O29" s="15">
        <f>_xlfn.IFNA(IF(VLOOKUP($J29&amp;O$12,'Mapping A'!$A$6:$G$1011,7,0)=1,$L29,""),0)</f>
        <v>0</v>
      </c>
      <c r="P29" s="15">
        <f>_xlfn.IFNA(IF(VLOOKUP($J29&amp;P$12,'Mapping A'!$A$6:$G$1011,7,0)=1,$L29,""),0)</f>
        <v>0</v>
      </c>
      <c r="Q29" s="15">
        <f>_xlfn.IFNA(IF(VLOOKUP($J29&amp;Q$12,'Mapping A'!$A$6:$G$1011,7,0)=1,$L29,""),0)</f>
        <v>0</v>
      </c>
      <c r="R29" s="15">
        <f>_xlfn.IFNA(IF(VLOOKUP($J29&amp;R$12,'Mapping A'!$A$6:$G$1011,7,0)=1,$L29,""),0)</f>
        <v>0</v>
      </c>
      <c r="S29" s="15">
        <f>_xlfn.IFNA(IF(VLOOKUP($J29&amp;S$12,'Mapping A'!$A$6:$G$1011,7,0)=1,$L29,""),0)</f>
        <v>0</v>
      </c>
      <c r="T29" s="15">
        <f>_xlfn.IFNA(IF(VLOOKUP($J29&amp;T$14,'Mapping A'!$A$6:$G$1011,7,0)=1,$L29,""),0)</f>
        <v>0</v>
      </c>
      <c r="U29" s="15">
        <f>_xlfn.IFNA(IF(VLOOKUP($J29&amp;U$12,'Mapping A'!$A$6:$G$1011,7,0)=1,$L29,""),0)</f>
        <v>0</v>
      </c>
      <c r="V29" s="15">
        <f>_xlfn.IFNA(IF(VLOOKUP($J29&amp;V$12,'Mapping A'!$A$6:$G$1011,7,0)=1,$L29,""),0)</f>
        <v>0</v>
      </c>
      <c r="W29" s="15">
        <f>_xlfn.IFNA(IF(VLOOKUP($J29&amp;W$12,'Mapping A'!$A$6:$G$1011,7,0)=1,$L29,""),0)</f>
        <v>0</v>
      </c>
      <c r="X29" s="15">
        <f>_xlfn.IFNA(IF(VLOOKUP($J29&amp;X$12,'Mapping A'!$A$6:$G$1011,7,0)=1,$L29,""),0)</f>
        <v>0</v>
      </c>
      <c r="Y29" s="15">
        <f>_xlfn.IFNA(IF(VLOOKUP($J29&amp;Y$12,'Mapping A'!$A$6:$G$1011,7,0)=1,$L29,""),0)</f>
        <v>0</v>
      </c>
      <c r="Z29" s="15">
        <f>_xlfn.IFNA(IF(VLOOKUP($J29&amp;Z$12,'Mapping A'!$A$6:$G$1011,7,0)=1,$L29,""),0)</f>
        <v>0</v>
      </c>
      <c r="AA29" s="15">
        <f>_xlfn.IFNA(IF(VLOOKUP($J29&amp;AA$12,'Mapping A'!$A$6:$G$1011,7,0)=1,$L29,""),0)</f>
        <v>0</v>
      </c>
      <c r="AF29" s="155" t="str">
        <f t="shared" si="19"/>
        <v>ARI1102MRP</v>
      </c>
      <c r="AG29" s="15" t="s">
        <v>929</v>
      </c>
      <c r="AH29" s="190" t="s">
        <v>17</v>
      </c>
      <c r="AI29" s="190">
        <f t="shared" si="20"/>
        <v>3.5679000000000003</v>
      </c>
      <c r="AJ29" s="292" t="s">
        <v>95</v>
      </c>
      <c r="AK29" s="15"/>
      <c r="AL29" s="15">
        <f t="shared" ca="1" si="21"/>
        <v>0</v>
      </c>
      <c r="AM29" s="15">
        <f t="shared" ca="1" si="22"/>
        <v>0</v>
      </c>
      <c r="AN29" s="15">
        <f t="shared" ca="1" si="23"/>
        <v>0</v>
      </c>
      <c r="AO29" s="15">
        <f t="shared" ca="1" si="24"/>
        <v>0</v>
      </c>
      <c r="AP29" s="15"/>
      <c r="AQ29" s="15">
        <f t="shared" ca="1" si="25"/>
        <v>0</v>
      </c>
      <c r="AR29" s="20">
        <f t="shared" ca="1" si="26"/>
        <v>0</v>
      </c>
      <c r="AS29" s="20"/>
      <c r="AT29" s="20">
        <f t="shared" ca="1" si="27"/>
        <v>0</v>
      </c>
      <c r="AU29" s="20">
        <f t="shared" ca="1" si="28"/>
        <v>0</v>
      </c>
      <c r="AV29" s="20">
        <f t="shared" ca="1" si="29"/>
        <v>0</v>
      </c>
      <c r="AW29" s="20">
        <f t="shared" si="30"/>
        <v>0</v>
      </c>
      <c r="AX29" s="20">
        <f t="shared" si="31"/>
        <v>0</v>
      </c>
      <c r="BA29" s="20"/>
      <c r="BD29" s="94" t="str">
        <f t="shared" si="34"/>
        <v>ALB1101Vector</v>
      </c>
      <c r="BF29" s="15" t="s">
        <v>37</v>
      </c>
      <c r="BG29" t="s">
        <v>133</v>
      </c>
      <c r="BH29" s="190">
        <v>146.62620000000001</v>
      </c>
      <c r="BI29" s="190">
        <v>146.62699890136699</v>
      </c>
      <c r="BJ29" s="257">
        <f t="shared" si="35"/>
        <v>5.2079041685281728</v>
      </c>
      <c r="BK29" s="257">
        <f t="shared" si="32"/>
        <v>5.7091513421481963</v>
      </c>
      <c r="BL29" s="257">
        <f t="shared" si="33"/>
        <v>6.043316124561545</v>
      </c>
      <c r="BM29" s="342" t="str">
        <f>VLOOKUP(LEFT(BG29,3),'Mapping B'!$D$2:$E$310,2,0)</f>
        <v>N</v>
      </c>
      <c r="BO29" s="20"/>
      <c r="BP29" s="190"/>
      <c r="BQ29" s="20"/>
      <c r="BR29" s="20"/>
    </row>
    <row r="30" spans="2:70" x14ac:dyDescent="0.25">
      <c r="B30" s="98" t="s">
        <v>563</v>
      </c>
      <c r="C30" s="98">
        <v>2014</v>
      </c>
      <c r="D30" s="98" t="s">
        <v>339</v>
      </c>
      <c r="E30" s="98" t="s">
        <v>0</v>
      </c>
      <c r="F30" s="98" t="s">
        <v>131</v>
      </c>
      <c r="G30" s="98">
        <v>685370.81899999897</v>
      </c>
      <c r="H30" s="299" t="str">
        <f>VLOOKUP(LEFT('Rev Adequacy'!D30,3),'Mapping B'!$D$2:$E$400,2,0)</f>
        <v>S</v>
      </c>
      <c r="I30" s="190"/>
      <c r="J30" s="15" t="s">
        <v>142</v>
      </c>
      <c r="K30" s="190" t="s">
        <v>9</v>
      </c>
      <c r="L30" s="190">
        <f t="shared" si="18"/>
        <v>39.173400000000001</v>
      </c>
      <c r="O30" s="15">
        <f>_xlfn.IFNA(IF(VLOOKUP($J30&amp;O$12,'Mapping A'!$A$6:$G$1011,7,0)=1,$L30,""),0)</f>
        <v>0</v>
      </c>
      <c r="P30" s="15">
        <f>_xlfn.IFNA(IF(VLOOKUP($J30&amp;P$12,'Mapping A'!$A$6:$G$1011,7,0)=1,$L30,""),0)</f>
        <v>39.173400000000001</v>
      </c>
      <c r="Q30" s="15">
        <f>_xlfn.IFNA(IF(VLOOKUP($J30&amp;Q$12,'Mapping A'!$A$6:$G$1011,7,0)=1,$L30,""),0)</f>
        <v>0</v>
      </c>
      <c r="R30" s="15">
        <f>_xlfn.IFNA(IF(VLOOKUP($J30&amp;R$12,'Mapping A'!$A$6:$G$1011,7,0)=1,$L30,""),0)</f>
        <v>0</v>
      </c>
      <c r="S30" s="15">
        <f>_xlfn.IFNA(IF(VLOOKUP($J30&amp;S$12,'Mapping A'!$A$6:$G$1011,7,0)=1,$L30,""),0)</f>
        <v>0</v>
      </c>
      <c r="T30" s="15">
        <f>_xlfn.IFNA(IF(VLOOKUP($J30&amp;T$14,'Mapping A'!$A$6:$G$1011,7,0)=1,$L30,""),0)</f>
        <v>0</v>
      </c>
      <c r="U30" s="15">
        <f>_xlfn.IFNA(IF(VLOOKUP($J30&amp;U$12,'Mapping A'!$A$6:$G$1011,7,0)=1,$L30,""),0)</f>
        <v>0</v>
      </c>
      <c r="V30" s="15">
        <f>_xlfn.IFNA(IF(VLOOKUP($J30&amp;V$12,'Mapping A'!$A$6:$G$1011,7,0)=1,$L30,""),0)</f>
        <v>0</v>
      </c>
      <c r="W30" s="15">
        <f>_xlfn.IFNA(IF(VLOOKUP($J30&amp;W$12,'Mapping A'!$A$6:$G$1011,7,0)=1,$L30,""),0)</f>
        <v>0</v>
      </c>
      <c r="X30" s="15">
        <f>_xlfn.IFNA(IF(VLOOKUP($J30&amp;X$12,'Mapping A'!$A$6:$G$1011,7,0)=1,$L30,""),0)</f>
        <v>0</v>
      </c>
      <c r="Y30" s="15">
        <f>_xlfn.IFNA(IF(VLOOKUP($J30&amp;Y$12,'Mapping A'!$A$6:$G$1011,7,0)=1,$L30,""),0)</f>
        <v>0</v>
      </c>
      <c r="Z30" s="15">
        <f>_xlfn.IFNA(IF(VLOOKUP($J30&amp;Z$12,'Mapping A'!$A$6:$G$1011,7,0)=1,$L30,""),0)</f>
        <v>0</v>
      </c>
      <c r="AA30" s="15">
        <f>_xlfn.IFNA(IF(VLOOKUP($J30&amp;AA$12,'Mapping A'!$A$6:$G$1011,7,0)=1,$L30,""),0)</f>
        <v>0</v>
      </c>
      <c r="AF30" s="155" t="str">
        <f t="shared" si="19"/>
        <v>ASB0331Electricity Ashburton</v>
      </c>
      <c r="AG30" s="15" t="s">
        <v>142</v>
      </c>
      <c r="AH30" s="190" t="s">
        <v>9</v>
      </c>
      <c r="AI30" s="190">
        <f t="shared" si="20"/>
        <v>39.173400000000001</v>
      </c>
      <c r="AJ30" s="292" t="s">
        <v>96</v>
      </c>
      <c r="AK30" s="15"/>
      <c r="AL30" s="15">
        <f t="shared" ca="1" si="21"/>
        <v>0</v>
      </c>
      <c r="AM30" s="15">
        <f t="shared" ca="1" si="22"/>
        <v>0</v>
      </c>
      <c r="AN30" s="15">
        <f t="shared" ca="1" si="23"/>
        <v>0</v>
      </c>
      <c r="AO30" s="15">
        <f t="shared" ca="1" si="24"/>
        <v>0</v>
      </c>
      <c r="AP30" s="15"/>
      <c r="AQ30" s="15">
        <f t="shared" ca="1" si="25"/>
        <v>0</v>
      </c>
      <c r="AR30" s="20">
        <f t="shared" ca="1" si="26"/>
        <v>0</v>
      </c>
      <c r="AS30" s="20"/>
      <c r="AT30" s="20">
        <f t="shared" ca="1" si="27"/>
        <v>0</v>
      </c>
      <c r="AU30" s="20">
        <f t="shared" ca="1" si="28"/>
        <v>0</v>
      </c>
      <c r="AV30" s="20">
        <f t="shared" ca="1" si="29"/>
        <v>0</v>
      </c>
      <c r="AW30" s="20">
        <f t="shared" si="30"/>
        <v>0</v>
      </c>
      <c r="AX30" s="20">
        <f t="shared" si="31"/>
        <v>0</v>
      </c>
      <c r="BA30" s="20"/>
      <c r="BD30" s="94" t="str">
        <f t="shared" si="34"/>
        <v>APS0111Orion</v>
      </c>
      <c r="BF30" s="15" t="s">
        <v>25</v>
      </c>
      <c r="BG30" t="s">
        <v>134</v>
      </c>
      <c r="BH30" s="190">
        <v>0.37169999999999997</v>
      </c>
      <c r="BI30" s="190">
        <v>0.37000000476837103</v>
      </c>
      <c r="BJ30" s="257">
        <f t="shared" si="35"/>
        <v>1.3202128810825905E-2</v>
      </c>
      <c r="BK30" s="257">
        <f t="shared" si="32"/>
        <v>1.4472799226035213E-2</v>
      </c>
      <c r="BL30" s="257">
        <f t="shared" si="33"/>
        <v>1.5319912836174749E-2</v>
      </c>
      <c r="BM30" s="342" t="str">
        <f>VLOOKUP(LEFT(BG30,3),'Mapping B'!$D$2:$E$310,2,0)</f>
        <v>S</v>
      </c>
      <c r="BO30" s="20"/>
      <c r="BP30" s="190"/>
      <c r="BQ30" s="20"/>
      <c r="BR30" s="20"/>
    </row>
    <row r="31" spans="2:70" x14ac:dyDescent="0.25">
      <c r="B31" s="98" t="s">
        <v>563</v>
      </c>
      <c r="C31" s="98">
        <v>2014</v>
      </c>
      <c r="D31" s="98" t="s">
        <v>422</v>
      </c>
      <c r="E31" s="98" t="s">
        <v>0</v>
      </c>
      <c r="F31" s="98" t="s">
        <v>131</v>
      </c>
      <c r="G31" s="98">
        <v>31005.230999999902</v>
      </c>
      <c r="H31" s="299" t="str">
        <f>VLOOKUP(LEFT('Rev Adequacy'!D31,3),'Mapping B'!$D$2:$E$400,2,0)</f>
        <v>S</v>
      </c>
      <c r="I31" s="190"/>
      <c r="J31" s="15" t="s">
        <v>143</v>
      </c>
      <c r="K31" s="190" t="s">
        <v>9</v>
      </c>
      <c r="L31" s="190">
        <f t="shared" si="18"/>
        <v>158.02710000000002</v>
      </c>
      <c r="O31" s="15">
        <f>_xlfn.IFNA(IF(VLOOKUP($J31&amp;O$12,'Mapping A'!$A$6:$G$1011,7,0)=1,$L31,""),0)</f>
        <v>0</v>
      </c>
      <c r="P31" s="15">
        <f>_xlfn.IFNA(IF(VLOOKUP($J31&amp;P$12,'Mapping A'!$A$6:$G$1011,7,0)=1,$L31,""),0)</f>
        <v>158.02710000000002</v>
      </c>
      <c r="Q31" s="15">
        <f>_xlfn.IFNA(IF(VLOOKUP($J31&amp;Q$12,'Mapping A'!$A$6:$G$1011,7,0)=1,$L31,""),0)</f>
        <v>0</v>
      </c>
      <c r="R31" s="15">
        <f>_xlfn.IFNA(IF(VLOOKUP($J31&amp;R$12,'Mapping A'!$A$6:$G$1011,7,0)=1,$L31,""),0)</f>
        <v>0</v>
      </c>
      <c r="S31" s="15">
        <f>_xlfn.IFNA(IF(VLOOKUP($J31&amp;S$12,'Mapping A'!$A$6:$G$1011,7,0)=1,$L31,""),0)</f>
        <v>0</v>
      </c>
      <c r="T31" s="15">
        <f>_xlfn.IFNA(IF(VLOOKUP($J31&amp;T$14,'Mapping A'!$A$6:$G$1011,7,0)=1,$L31,""),0)</f>
        <v>0</v>
      </c>
      <c r="U31" s="15">
        <f>_xlfn.IFNA(IF(VLOOKUP($J31&amp;U$12,'Mapping A'!$A$6:$G$1011,7,0)=1,$L31,""),0)</f>
        <v>0</v>
      </c>
      <c r="V31" s="15">
        <f>_xlfn.IFNA(IF(VLOOKUP($J31&amp;V$12,'Mapping A'!$A$6:$G$1011,7,0)=1,$L31,""),0)</f>
        <v>0</v>
      </c>
      <c r="W31" s="15">
        <f>_xlfn.IFNA(IF(VLOOKUP($J31&amp;W$12,'Mapping A'!$A$6:$G$1011,7,0)=1,$L31,""),0)</f>
        <v>0</v>
      </c>
      <c r="X31" s="15">
        <f>_xlfn.IFNA(IF(VLOOKUP($J31&amp;X$12,'Mapping A'!$A$6:$G$1011,7,0)=1,$L31,""),0)</f>
        <v>0</v>
      </c>
      <c r="Y31" s="15">
        <f>_xlfn.IFNA(IF(VLOOKUP($J31&amp;Y$12,'Mapping A'!$A$6:$G$1011,7,0)=1,$L31,""),0)</f>
        <v>0</v>
      </c>
      <c r="Z31" s="15">
        <f>_xlfn.IFNA(IF(VLOOKUP($J31&amp;Z$12,'Mapping A'!$A$6:$G$1011,7,0)=1,$L31,""),0)</f>
        <v>0</v>
      </c>
      <c r="AA31" s="15">
        <f>_xlfn.IFNA(IF(VLOOKUP($J31&amp;AA$12,'Mapping A'!$A$6:$G$1011,7,0)=1,$L31,""),0)</f>
        <v>0</v>
      </c>
      <c r="AF31" s="155" t="str">
        <f t="shared" si="19"/>
        <v>ASB0661Electricity Ashburton</v>
      </c>
      <c r="AG31" s="15" t="s">
        <v>143</v>
      </c>
      <c r="AH31" s="190" t="s">
        <v>9</v>
      </c>
      <c r="AI31" s="190">
        <f t="shared" si="20"/>
        <v>158.02710000000002</v>
      </c>
      <c r="AJ31" s="292" t="s">
        <v>96</v>
      </c>
      <c r="AK31" s="15"/>
      <c r="AL31" s="15">
        <f t="shared" ca="1" si="21"/>
        <v>0</v>
      </c>
      <c r="AM31" s="15">
        <f t="shared" ca="1" si="22"/>
        <v>0</v>
      </c>
      <c r="AN31" s="15">
        <f t="shared" ca="1" si="23"/>
        <v>0</v>
      </c>
      <c r="AO31" s="15">
        <f t="shared" ca="1" si="24"/>
        <v>0</v>
      </c>
      <c r="AP31" s="15"/>
      <c r="AQ31" s="15">
        <f t="shared" ca="1" si="25"/>
        <v>0</v>
      </c>
      <c r="AR31" s="20">
        <f t="shared" ca="1" si="26"/>
        <v>0</v>
      </c>
      <c r="AS31" s="20"/>
      <c r="AT31" s="20">
        <f t="shared" ca="1" si="27"/>
        <v>0</v>
      </c>
      <c r="AU31" s="20">
        <f t="shared" ca="1" si="28"/>
        <v>0</v>
      </c>
      <c r="AV31" s="20">
        <f t="shared" ca="1" si="29"/>
        <v>0</v>
      </c>
      <c r="AW31" s="20">
        <f t="shared" si="30"/>
        <v>0</v>
      </c>
      <c r="AX31" s="20">
        <f t="shared" si="31"/>
        <v>0</v>
      </c>
      <c r="BA31" s="20"/>
      <c r="BD31" s="94" t="str">
        <f t="shared" si="34"/>
        <v>ARA2201MRP</v>
      </c>
      <c r="BF31" s="15" t="s">
        <v>17</v>
      </c>
      <c r="BG31" t="s">
        <v>927</v>
      </c>
      <c r="BH31" s="190">
        <v>5.1029999999999998</v>
      </c>
      <c r="BI31" s="190">
        <v>0</v>
      </c>
      <c r="BJ31" s="257">
        <f t="shared" si="35"/>
        <v>0.18124956502998277</v>
      </c>
      <c r="BK31" s="257">
        <f t="shared" si="32"/>
        <v>0.19869436225573767</v>
      </c>
      <c r="BL31" s="257">
        <f t="shared" si="33"/>
        <v>0.21032422707290757</v>
      </c>
      <c r="BM31" s="342" t="str">
        <f>VLOOKUP(LEFT(BG31,3),'Mapping B'!$D$2:$E$310,2,0)</f>
        <v>N</v>
      </c>
      <c r="BO31" s="20"/>
      <c r="BP31" s="190"/>
      <c r="BQ31" s="20"/>
      <c r="BR31" s="20"/>
    </row>
    <row r="32" spans="2:70" x14ac:dyDescent="0.25">
      <c r="B32" s="98" t="s">
        <v>563</v>
      </c>
      <c r="C32" s="98">
        <v>2014</v>
      </c>
      <c r="D32" s="98" t="s">
        <v>347</v>
      </c>
      <c r="E32" s="98" t="s">
        <v>0</v>
      </c>
      <c r="F32" s="98" t="s">
        <v>131</v>
      </c>
      <c r="G32" s="98">
        <v>516494.83199999703</v>
      </c>
      <c r="H32" s="299" t="str">
        <f>VLOOKUP(LEFT('Rev Adequacy'!D32,3),'Mapping B'!$D$2:$E$400,2,0)</f>
        <v>S</v>
      </c>
      <c r="I32" s="190"/>
      <c r="J32" s="15" t="s">
        <v>146</v>
      </c>
      <c r="K32" s="190" t="s">
        <v>6</v>
      </c>
      <c r="L32" s="190">
        <f t="shared" si="18"/>
        <v>11.3736</v>
      </c>
      <c r="O32" s="15">
        <f>_xlfn.IFNA(IF(VLOOKUP($J32&amp;O$12,'Mapping A'!$A$6:$G$1011,7,0)=1,$L32,""),0)</f>
        <v>0</v>
      </c>
      <c r="P32" s="15">
        <f>_xlfn.IFNA(IF(VLOOKUP($J32&amp;P$12,'Mapping A'!$A$6:$G$1011,7,0)=1,$L32,""),0)</f>
        <v>11.3736</v>
      </c>
      <c r="Q32" s="15">
        <f>_xlfn.IFNA(IF(VLOOKUP($J32&amp;Q$12,'Mapping A'!$A$6:$G$1011,7,0)=1,$L32,""),0)</f>
        <v>0</v>
      </c>
      <c r="R32" s="15">
        <f>_xlfn.IFNA(IF(VLOOKUP($J32&amp;R$12,'Mapping A'!$A$6:$G$1011,7,0)=1,$L32,""),0)</f>
        <v>0</v>
      </c>
      <c r="S32" s="15">
        <f>_xlfn.IFNA(IF(VLOOKUP($J32&amp;S$12,'Mapping A'!$A$6:$G$1011,7,0)=1,$L32,""),0)</f>
        <v>0</v>
      </c>
      <c r="T32" s="15">
        <f>_xlfn.IFNA(IF(VLOOKUP($J32&amp;T$14,'Mapping A'!$A$6:$G$1011,7,0)=1,$L32,""),0)</f>
        <v>0</v>
      </c>
      <c r="U32" s="15">
        <f>_xlfn.IFNA(IF(VLOOKUP($J32&amp;U$12,'Mapping A'!$A$6:$G$1011,7,0)=1,$L32,""),0)</f>
        <v>0</v>
      </c>
      <c r="V32" s="15">
        <f>_xlfn.IFNA(IF(VLOOKUP($J32&amp;V$12,'Mapping A'!$A$6:$G$1011,7,0)=1,$L32,""),0)</f>
        <v>0</v>
      </c>
      <c r="W32" s="15">
        <f>_xlfn.IFNA(IF(VLOOKUP($J32&amp;W$12,'Mapping A'!$A$6:$G$1011,7,0)=1,$L32,""),0)</f>
        <v>11.3736</v>
      </c>
      <c r="X32" s="15">
        <f>_xlfn.IFNA(IF(VLOOKUP($J32&amp;X$12,'Mapping A'!$A$6:$G$1011,7,0)=1,$L32,""),0)</f>
        <v>0</v>
      </c>
      <c r="Y32" s="15">
        <f>_xlfn.IFNA(IF(VLOOKUP($J32&amp;Y$12,'Mapping A'!$A$6:$G$1011,7,0)=1,$L32,""),0)</f>
        <v>0</v>
      </c>
      <c r="Z32" s="15">
        <f>_xlfn.IFNA(IF(VLOOKUP($J32&amp;Z$12,'Mapping A'!$A$6:$G$1011,7,0)=1,$L32,""),0)</f>
        <v>0</v>
      </c>
      <c r="AA32" s="15">
        <f>_xlfn.IFNA(IF(VLOOKUP($J32&amp;AA$12,'Mapping A'!$A$6:$G$1011,7,0)=1,$L32,""),0)</f>
        <v>0</v>
      </c>
      <c r="AF32" s="155" t="str">
        <f t="shared" si="19"/>
        <v>ASY0111Daiken MDF</v>
      </c>
      <c r="AG32" s="15" t="s">
        <v>146</v>
      </c>
      <c r="AH32" s="190" t="s">
        <v>6</v>
      </c>
      <c r="AI32" s="190">
        <f t="shared" si="20"/>
        <v>11.3736</v>
      </c>
      <c r="AJ32" s="292" t="s">
        <v>96</v>
      </c>
      <c r="AK32" s="15"/>
      <c r="AL32" s="15">
        <f t="shared" ca="1" si="21"/>
        <v>0</v>
      </c>
      <c r="AM32" s="15">
        <f t="shared" ca="1" si="22"/>
        <v>0</v>
      </c>
      <c r="AN32" s="15">
        <f t="shared" ca="1" si="23"/>
        <v>0</v>
      </c>
      <c r="AO32" s="15">
        <f t="shared" ca="1" si="24"/>
        <v>0</v>
      </c>
      <c r="AP32" s="15"/>
      <c r="AQ32" s="15">
        <f t="shared" ca="1" si="25"/>
        <v>0</v>
      </c>
      <c r="AR32" s="20">
        <f t="shared" ca="1" si="26"/>
        <v>0</v>
      </c>
      <c r="AS32" s="20"/>
      <c r="AT32" s="20">
        <f t="shared" ca="1" si="27"/>
        <v>3.2455731348511575E-2</v>
      </c>
      <c r="AU32" s="20">
        <f t="shared" ca="1" si="28"/>
        <v>0</v>
      </c>
      <c r="AV32" s="20">
        <f t="shared" ca="1" si="29"/>
        <v>0</v>
      </c>
      <c r="AW32" s="20">
        <f t="shared" si="30"/>
        <v>0</v>
      </c>
      <c r="AX32" s="20">
        <f t="shared" si="31"/>
        <v>0</v>
      </c>
      <c r="BA32" s="20"/>
      <c r="BD32" s="94" t="str">
        <f t="shared" si="34"/>
        <v>ARG1101TrustPower</v>
      </c>
      <c r="BF32" s="15" t="s">
        <v>138</v>
      </c>
      <c r="BG32" t="s">
        <v>137</v>
      </c>
      <c r="BH32" s="190">
        <v>4.6200000000000005E-2</v>
      </c>
      <c r="BI32" s="190">
        <v>4.6999998390674501E-2</v>
      </c>
      <c r="BJ32" s="257">
        <f t="shared" si="35"/>
        <v>1.6409425640574573E-3</v>
      </c>
      <c r="BK32" s="257">
        <f t="shared" si="32"/>
        <v>1.7988789998461849E-3</v>
      </c>
      <c r="BL32" s="257">
        <f t="shared" si="33"/>
        <v>1.9041699570386697E-3</v>
      </c>
      <c r="BM32" s="342" t="str">
        <f>VLOOKUP(LEFT(BG32,3),'Mapping B'!$D$2:$E$310,2,0)</f>
        <v>S</v>
      </c>
      <c r="BO32" s="20"/>
      <c r="BP32" s="190"/>
      <c r="BQ32" s="20"/>
      <c r="BR32" s="20"/>
    </row>
    <row r="33" spans="2:70" x14ac:dyDescent="0.25">
      <c r="B33" s="98" t="s">
        <v>563</v>
      </c>
      <c r="C33" s="98">
        <v>2014</v>
      </c>
      <c r="D33" s="98" t="s">
        <v>362</v>
      </c>
      <c r="E33" s="98" t="s">
        <v>0</v>
      </c>
      <c r="F33" s="98" t="s">
        <v>131</v>
      </c>
      <c r="G33" s="98">
        <v>26025.693813239701</v>
      </c>
      <c r="H33" s="299" t="str">
        <f>VLOOKUP(LEFT('Rev Adequacy'!D33,3),'Mapping B'!$D$2:$E$400,2,0)</f>
        <v>S</v>
      </c>
      <c r="I33" s="190"/>
      <c r="J33" s="15" t="s">
        <v>930</v>
      </c>
      <c r="K33" s="190" t="s">
        <v>17</v>
      </c>
      <c r="L33" s="190">
        <f t="shared" si="18"/>
        <v>13.465200000000001</v>
      </c>
      <c r="O33" s="15">
        <f>_xlfn.IFNA(IF(VLOOKUP($J33&amp;O$12,'Mapping A'!$A$6:$G$1011,7,0)=1,$L33,""),0)</f>
        <v>0</v>
      </c>
      <c r="P33" s="15">
        <f>_xlfn.IFNA(IF(VLOOKUP($J33&amp;P$12,'Mapping A'!$A$6:$G$1011,7,0)=1,$L33,""),0)</f>
        <v>0</v>
      </c>
      <c r="Q33" s="15">
        <f>_xlfn.IFNA(IF(VLOOKUP($J33&amp;Q$12,'Mapping A'!$A$6:$G$1011,7,0)=1,$L33,""),0)</f>
        <v>0</v>
      </c>
      <c r="R33" s="15">
        <f>_xlfn.IFNA(IF(VLOOKUP($J33&amp;R$12,'Mapping A'!$A$6:$G$1011,7,0)=1,$L33,""),0)</f>
        <v>0</v>
      </c>
      <c r="S33" s="15">
        <f>_xlfn.IFNA(IF(VLOOKUP($J33&amp;S$12,'Mapping A'!$A$6:$G$1011,7,0)=1,$L33,""),0)</f>
        <v>0</v>
      </c>
      <c r="T33" s="15">
        <f>_xlfn.IFNA(IF(VLOOKUP($J33&amp;T$14,'Mapping A'!$A$6:$G$1011,7,0)=1,$L33,""),0)</f>
        <v>0</v>
      </c>
      <c r="U33" s="15">
        <f>_xlfn.IFNA(IF(VLOOKUP($J33&amp;U$12,'Mapping A'!$A$6:$G$1011,7,0)=1,$L33,""),0)</f>
        <v>0</v>
      </c>
      <c r="V33" s="15">
        <f>_xlfn.IFNA(IF(VLOOKUP($J33&amp;V$12,'Mapping A'!$A$6:$G$1011,7,0)=1,$L33,""),0)</f>
        <v>0</v>
      </c>
      <c r="W33" s="15">
        <f>_xlfn.IFNA(IF(VLOOKUP($J33&amp;W$12,'Mapping A'!$A$6:$G$1011,7,0)=1,$L33,""),0)</f>
        <v>0</v>
      </c>
      <c r="X33" s="15">
        <f>_xlfn.IFNA(IF(VLOOKUP($J33&amp;X$12,'Mapping A'!$A$6:$G$1011,7,0)=1,$L33,""),0)</f>
        <v>0</v>
      </c>
      <c r="Y33" s="15">
        <f>_xlfn.IFNA(IF(VLOOKUP($J33&amp;Y$12,'Mapping A'!$A$6:$G$1011,7,0)=1,$L33,""),0)</f>
        <v>0</v>
      </c>
      <c r="Z33" s="15">
        <f>_xlfn.IFNA(IF(VLOOKUP($J33&amp;Z$12,'Mapping A'!$A$6:$G$1011,7,0)=1,$L33,""),0)</f>
        <v>0</v>
      </c>
      <c r="AA33" s="15">
        <f>_xlfn.IFNA(IF(VLOOKUP($J33&amp;AA$12,'Mapping A'!$A$6:$G$1011,7,0)=1,$L33,""),0)</f>
        <v>0</v>
      </c>
      <c r="AF33" s="155" t="str">
        <f t="shared" si="19"/>
        <v>ATI2201MRP</v>
      </c>
      <c r="AG33" s="15" t="s">
        <v>930</v>
      </c>
      <c r="AH33" s="190" t="s">
        <v>17</v>
      </c>
      <c r="AI33" s="190">
        <f t="shared" si="20"/>
        <v>13.465200000000001</v>
      </c>
      <c r="AJ33" s="292" t="s">
        <v>95</v>
      </c>
      <c r="AK33" s="15"/>
      <c r="AL33" s="15">
        <f t="shared" ca="1" si="21"/>
        <v>0</v>
      </c>
      <c r="AM33" s="15">
        <f t="shared" ca="1" si="22"/>
        <v>0</v>
      </c>
      <c r="AN33" s="15">
        <f t="shared" ca="1" si="23"/>
        <v>0</v>
      </c>
      <c r="AO33" s="15">
        <f t="shared" ca="1" si="24"/>
        <v>0</v>
      </c>
      <c r="AP33" s="15"/>
      <c r="AQ33" s="15">
        <f t="shared" ca="1" si="25"/>
        <v>0</v>
      </c>
      <c r="AR33" s="20">
        <f t="shared" ca="1" si="26"/>
        <v>0</v>
      </c>
      <c r="AS33" s="20"/>
      <c r="AT33" s="20">
        <f t="shared" ca="1" si="27"/>
        <v>0</v>
      </c>
      <c r="AU33" s="20">
        <f t="shared" ca="1" si="28"/>
        <v>0</v>
      </c>
      <c r="AV33" s="20">
        <f t="shared" ca="1" si="29"/>
        <v>0</v>
      </c>
      <c r="AW33" s="20">
        <f t="shared" si="30"/>
        <v>0</v>
      </c>
      <c r="AX33" s="20">
        <f t="shared" si="31"/>
        <v>0</v>
      </c>
      <c r="BA33" s="20"/>
      <c r="BD33" s="94" t="str">
        <f t="shared" si="34"/>
        <v>ARI1101MRP</v>
      </c>
      <c r="BF33" s="15" t="s">
        <v>17</v>
      </c>
      <c r="BG33" t="s">
        <v>928</v>
      </c>
      <c r="BH33" s="190">
        <v>2.1483000000000003</v>
      </c>
      <c r="BI33" s="190">
        <v>0</v>
      </c>
      <c r="BJ33" s="257">
        <f t="shared" si="35"/>
        <v>7.630382922867178E-2</v>
      </c>
      <c r="BK33" s="257">
        <f t="shared" si="32"/>
        <v>8.3647873492847594E-2</v>
      </c>
      <c r="BL33" s="257">
        <f t="shared" si="33"/>
        <v>8.8543903002298141E-2</v>
      </c>
      <c r="BM33" s="342" t="str">
        <f>VLOOKUP(LEFT(BG33,3),'Mapping B'!$D$2:$E$310,2,0)</f>
        <v>N</v>
      </c>
      <c r="BO33" s="20"/>
      <c r="BP33" s="190"/>
      <c r="BQ33" s="20"/>
      <c r="BR33" s="20"/>
    </row>
    <row r="34" spans="2:70" x14ac:dyDescent="0.25">
      <c r="B34" s="98" t="s">
        <v>555</v>
      </c>
      <c r="C34" s="98">
        <v>2014</v>
      </c>
      <c r="D34" s="98" t="s">
        <v>130</v>
      </c>
      <c r="E34" s="98" t="s">
        <v>0</v>
      </c>
      <c r="F34" s="98" t="s">
        <v>131</v>
      </c>
      <c r="G34" s="98">
        <v>3252.3330000000001</v>
      </c>
      <c r="H34" s="299" t="str">
        <f>VLOOKUP(LEFT('Rev Adequacy'!D34,3),'Mapping B'!$D$2:$E$400,2,0)</f>
        <v>S</v>
      </c>
      <c r="I34" s="190"/>
      <c r="J34" s="15" t="s">
        <v>148</v>
      </c>
      <c r="K34" s="190" t="s">
        <v>41</v>
      </c>
      <c r="L34" s="190">
        <f t="shared" si="18"/>
        <v>1.1487000000000001</v>
      </c>
      <c r="O34" s="15">
        <f>_xlfn.IFNA(IF(VLOOKUP($J34&amp;O$12,'Mapping A'!$A$6:$G$1011,7,0)=1,$L34,""),0)</f>
        <v>0</v>
      </c>
      <c r="P34" s="15">
        <f>_xlfn.IFNA(IF(VLOOKUP($J34&amp;P$12,'Mapping A'!$A$6:$G$1011,7,0)=1,$L34,""),0)</f>
        <v>1.1487000000000001</v>
      </c>
      <c r="Q34" s="15">
        <f>_xlfn.IFNA(IF(VLOOKUP($J34&amp;Q$12,'Mapping A'!$A$6:$G$1011,7,0)=1,$L34,""),0)</f>
        <v>0</v>
      </c>
      <c r="R34" s="15">
        <f>_xlfn.IFNA(IF(VLOOKUP($J34&amp;R$12,'Mapping A'!$A$6:$G$1011,7,0)=1,$L34,""),0)</f>
        <v>0</v>
      </c>
      <c r="S34" s="15">
        <f>_xlfn.IFNA(IF(VLOOKUP($J34&amp;S$12,'Mapping A'!$A$6:$G$1011,7,0)=1,$L34,""),0)</f>
        <v>0</v>
      </c>
      <c r="T34" s="15">
        <f>_xlfn.IFNA(IF(VLOOKUP($J34&amp;T$14,'Mapping A'!$A$6:$G$1011,7,0)=1,$L34,""),0)</f>
        <v>0</v>
      </c>
      <c r="U34" s="15">
        <f>_xlfn.IFNA(IF(VLOOKUP($J34&amp;U$12,'Mapping A'!$A$6:$G$1011,7,0)=1,$L34,""),0)</f>
        <v>0</v>
      </c>
      <c r="V34" s="15">
        <f>_xlfn.IFNA(IF(VLOOKUP($J34&amp;V$12,'Mapping A'!$A$6:$G$1011,7,0)=1,$L34,""),0)</f>
        <v>0</v>
      </c>
      <c r="W34" s="15">
        <f>_xlfn.IFNA(IF(VLOOKUP($J34&amp;W$12,'Mapping A'!$A$6:$G$1011,7,0)=1,$L34,""),0)</f>
        <v>1.1487000000000001</v>
      </c>
      <c r="X34" s="15">
        <f>_xlfn.IFNA(IF(VLOOKUP($J34&amp;X$12,'Mapping A'!$A$6:$G$1011,7,0)=1,$L34,""),0)</f>
        <v>0</v>
      </c>
      <c r="Y34" s="15">
        <f>_xlfn.IFNA(IF(VLOOKUP($J34&amp;Y$12,'Mapping A'!$A$6:$G$1011,7,0)=1,$L34,""),0)</f>
        <v>0</v>
      </c>
      <c r="Z34" s="15">
        <f>_xlfn.IFNA(IF(VLOOKUP($J34&amp;Z$12,'Mapping A'!$A$6:$G$1011,7,0)=1,$L34,""),0)</f>
        <v>0</v>
      </c>
      <c r="AA34" s="15">
        <f>_xlfn.IFNA(IF(VLOOKUP($J34&amp;AA$12,'Mapping A'!$A$6:$G$1011,7,0)=1,$L34,""),0)</f>
        <v>1.1487000000000001</v>
      </c>
      <c r="AF34" s="155" t="str">
        <f t="shared" si="19"/>
        <v>ATU1101Westpower</v>
      </c>
      <c r="AG34" s="15" t="s">
        <v>148</v>
      </c>
      <c r="AH34" s="190" t="s">
        <v>41</v>
      </c>
      <c r="AI34" s="190">
        <f t="shared" si="20"/>
        <v>1.1487000000000001</v>
      </c>
      <c r="AJ34" s="292" t="s">
        <v>96</v>
      </c>
      <c r="AK34" s="15"/>
      <c r="AL34" s="15">
        <f t="shared" ca="1" si="21"/>
        <v>0</v>
      </c>
      <c r="AM34" s="15">
        <f t="shared" ca="1" si="22"/>
        <v>0</v>
      </c>
      <c r="AN34" s="15">
        <f t="shared" ca="1" si="23"/>
        <v>0</v>
      </c>
      <c r="AO34" s="15">
        <f t="shared" ca="1" si="24"/>
        <v>0</v>
      </c>
      <c r="AP34" s="15"/>
      <c r="AQ34" s="15">
        <f t="shared" ca="1" si="25"/>
        <v>0</v>
      </c>
      <c r="AR34" s="20">
        <f t="shared" ca="1" si="26"/>
        <v>0</v>
      </c>
      <c r="AS34" s="20"/>
      <c r="AT34" s="20">
        <f t="shared" ca="1" si="27"/>
        <v>3.2779329851617121E-3</v>
      </c>
      <c r="AU34" s="20">
        <f t="shared" ca="1" si="28"/>
        <v>0</v>
      </c>
      <c r="AV34" s="20">
        <f t="shared" ca="1" si="29"/>
        <v>0</v>
      </c>
      <c r="AW34" s="20">
        <f t="shared" si="30"/>
        <v>0</v>
      </c>
      <c r="AX34" s="20">
        <f t="shared" si="31"/>
        <v>0</v>
      </c>
      <c r="BA34" s="20"/>
      <c r="BD34" s="94" t="str">
        <f t="shared" si="34"/>
        <v>ARI1102MRP</v>
      </c>
      <c r="BF34" s="15" t="s">
        <v>17</v>
      </c>
      <c r="BG34" t="s">
        <v>929</v>
      </c>
      <c r="BH34" s="190">
        <v>3.5679000000000003</v>
      </c>
      <c r="BI34" s="190">
        <v>0</v>
      </c>
      <c r="BJ34" s="257">
        <f t="shared" si="35"/>
        <v>0.12672551892425546</v>
      </c>
      <c r="BK34" s="257">
        <f t="shared" si="32"/>
        <v>0.13892251912448492</v>
      </c>
      <c r="BL34" s="257">
        <f t="shared" si="33"/>
        <v>0.14705385259130455</v>
      </c>
      <c r="BM34" s="342" t="str">
        <f>VLOOKUP(LEFT(BG34,3),'Mapping B'!$D$2:$E$310,2,0)</f>
        <v>N</v>
      </c>
      <c r="BO34" s="20"/>
      <c r="BP34" s="190"/>
      <c r="BQ34" s="20"/>
      <c r="BR34" s="20"/>
    </row>
    <row r="35" spans="2:70" x14ac:dyDescent="0.25">
      <c r="B35" s="98" t="s">
        <v>555</v>
      </c>
      <c r="C35" s="98">
        <v>2014</v>
      </c>
      <c r="D35" s="98" t="s">
        <v>156</v>
      </c>
      <c r="E35" s="98" t="s">
        <v>0</v>
      </c>
      <c r="F35" s="98" t="s">
        <v>131</v>
      </c>
      <c r="G35" s="98">
        <v>30988.308999999899</v>
      </c>
      <c r="H35" s="299" t="str">
        <f>VLOOKUP(LEFT('Rev Adequacy'!D35,3),'Mapping B'!$D$2:$E$400,2,0)</f>
        <v>S</v>
      </c>
      <c r="I35" s="190"/>
      <c r="J35" s="15" t="s">
        <v>922</v>
      </c>
      <c r="K35" s="190" t="s">
        <v>14</v>
      </c>
      <c r="L35" s="190">
        <f t="shared" si="18"/>
        <v>2.6459999999999999</v>
      </c>
      <c r="O35" s="15">
        <f>_xlfn.IFNA(IF(VLOOKUP($J35&amp;O$12,'Mapping A'!$A$6:$G$1011,7,0)=1,$L35,""),0)</f>
        <v>0</v>
      </c>
      <c r="P35" s="15">
        <f>_xlfn.IFNA(IF(VLOOKUP($J35&amp;P$12,'Mapping A'!$A$6:$G$1011,7,0)=1,$L35,""),0)</f>
        <v>0</v>
      </c>
      <c r="Q35" s="15">
        <f>_xlfn.IFNA(IF(VLOOKUP($J35&amp;Q$12,'Mapping A'!$A$6:$G$1011,7,0)=1,$L35,""),0)</f>
        <v>0</v>
      </c>
      <c r="R35" s="15">
        <f>_xlfn.IFNA(IF(VLOOKUP($J35&amp;R$12,'Mapping A'!$A$6:$G$1011,7,0)=1,$L35,""),0)</f>
        <v>0</v>
      </c>
      <c r="S35" s="15">
        <f>_xlfn.IFNA(IF(VLOOKUP($J35&amp;S$12,'Mapping A'!$A$6:$G$1011,7,0)=1,$L35,""),0)</f>
        <v>0</v>
      </c>
      <c r="T35" s="15">
        <f>_xlfn.IFNA(IF(VLOOKUP($J35&amp;T$14,'Mapping A'!$A$6:$G$1011,7,0)=1,$L35,""),0)</f>
        <v>0</v>
      </c>
      <c r="U35" s="15">
        <f>_xlfn.IFNA(IF(VLOOKUP($J35&amp;U$12,'Mapping A'!$A$6:$G$1011,7,0)=1,$L35,""),0)</f>
        <v>0</v>
      </c>
      <c r="V35" s="15">
        <f>_xlfn.IFNA(IF(VLOOKUP($J35&amp;V$12,'Mapping A'!$A$6:$G$1011,7,0)=1,$L35,""),0)</f>
        <v>0</v>
      </c>
      <c r="W35" s="15">
        <f>_xlfn.IFNA(IF(VLOOKUP($J35&amp;W$12,'Mapping A'!$A$6:$G$1011,7,0)=1,$L35,""),0)</f>
        <v>0</v>
      </c>
      <c r="X35" s="15">
        <f>_xlfn.IFNA(IF(VLOOKUP($J35&amp;X$12,'Mapping A'!$A$6:$G$1011,7,0)=1,$L35,""),0)</f>
        <v>0</v>
      </c>
      <c r="Y35" s="15">
        <f>_xlfn.IFNA(IF(VLOOKUP($J35&amp;Y$12,'Mapping A'!$A$6:$G$1011,7,0)=1,$L35,""),0)</f>
        <v>0</v>
      </c>
      <c r="Z35" s="15">
        <f>_xlfn.IFNA(IF(VLOOKUP($J35&amp;Z$12,'Mapping A'!$A$6:$G$1011,7,0)=1,$L35,""),0)</f>
        <v>0</v>
      </c>
      <c r="AA35" s="15">
        <f>_xlfn.IFNA(IF(VLOOKUP($J35&amp;AA$12,'Mapping A'!$A$6:$G$1011,7,0)=1,$L35,""),0)</f>
        <v>0</v>
      </c>
      <c r="AF35" s="155" t="str">
        <f t="shared" si="19"/>
        <v>AVI2201Meridian</v>
      </c>
      <c r="AG35" s="15" t="s">
        <v>922</v>
      </c>
      <c r="AH35" s="190" t="s">
        <v>14</v>
      </c>
      <c r="AI35" s="190">
        <f t="shared" si="20"/>
        <v>2.6459999999999999</v>
      </c>
      <c r="AJ35" s="292" t="s">
        <v>96</v>
      </c>
      <c r="AK35" s="15"/>
      <c r="AL35" s="15">
        <f t="shared" ca="1" si="21"/>
        <v>0</v>
      </c>
      <c r="AM35" s="15">
        <f t="shared" ca="1" si="22"/>
        <v>0</v>
      </c>
      <c r="AN35" s="15">
        <f t="shared" ca="1" si="23"/>
        <v>0</v>
      </c>
      <c r="AO35" s="15">
        <f t="shared" ca="1" si="24"/>
        <v>0</v>
      </c>
      <c r="AP35" s="15"/>
      <c r="AQ35" s="15">
        <f t="shared" ca="1" si="25"/>
        <v>0</v>
      </c>
      <c r="AR35" s="20">
        <f t="shared" ca="1" si="26"/>
        <v>0</v>
      </c>
      <c r="AS35" s="20"/>
      <c r="AT35" s="20">
        <f t="shared" ca="1" si="27"/>
        <v>0</v>
      </c>
      <c r="AU35" s="20">
        <f t="shared" ca="1" si="28"/>
        <v>0</v>
      </c>
      <c r="AV35" s="20">
        <f t="shared" ca="1" si="29"/>
        <v>0</v>
      </c>
      <c r="AW35" s="20">
        <f t="shared" si="30"/>
        <v>0</v>
      </c>
      <c r="AX35" s="20">
        <f t="shared" si="31"/>
        <v>0</v>
      </c>
      <c r="BA35" s="20"/>
      <c r="BD35" s="94" t="str">
        <f t="shared" si="34"/>
        <v>ASB0331Electricity Ashburton</v>
      </c>
      <c r="BF35" s="15" t="s">
        <v>9</v>
      </c>
      <c r="BG35" t="s">
        <v>142</v>
      </c>
      <c r="BH35" s="190">
        <v>39.173400000000001</v>
      </c>
      <c r="BI35" s="190">
        <v>39.173999786376903</v>
      </c>
      <c r="BJ35" s="257">
        <f t="shared" si="35"/>
        <v>1.3913701177239914</v>
      </c>
      <c r="BK35" s="257">
        <f t="shared" si="32"/>
        <v>1.5252858574150332</v>
      </c>
      <c r="BL35" s="257">
        <f t="shared" si="33"/>
        <v>1.614563017209061</v>
      </c>
      <c r="BM35" s="342" t="str">
        <f>VLOOKUP(LEFT(BG35,3),'Mapping B'!$D$2:$E$310,2,0)</f>
        <v>S</v>
      </c>
      <c r="BO35" s="20"/>
      <c r="BP35" s="190"/>
      <c r="BQ35" s="20"/>
      <c r="BR35" s="20"/>
    </row>
    <row r="36" spans="2:70" x14ac:dyDescent="0.25">
      <c r="B36" s="98" t="s">
        <v>555</v>
      </c>
      <c r="C36" s="98">
        <v>2014</v>
      </c>
      <c r="D36" s="98" t="s">
        <v>327</v>
      </c>
      <c r="E36" s="98" t="s">
        <v>0</v>
      </c>
      <c r="F36" s="98" t="s">
        <v>131</v>
      </c>
      <c r="G36" s="98">
        <v>58957.196000000098</v>
      </c>
      <c r="H36" s="299" t="str">
        <f>VLOOKUP(LEFT('Rev Adequacy'!D36,3),'Mapping B'!$D$2:$E$400,2,0)</f>
        <v>S</v>
      </c>
      <c r="I36" s="190"/>
      <c r="J36" s="15" t="s">
        <v>150</v>
      </c>
      <c r="K36" s="190" t="s">
        <v>103</v>
      </c>
      <c r="L36" s="190">
        <f t="shared" si="18"/>
        <v>29.0913</v>
      </c>
      <c r="O36" s="15">
        <f>_xlfn.IFNA(IF(VLOOKUP($J36&amp;O$12,'Mapping A'!$A$6:$G$1011,7,0)=1,$L36,""),0)</f>
        <v>0</v>
      </c>
      <c r="P36" s="15">
        <f>_xlfn.IFNA(IF(VLOOKUP($J36&amp;P$12,'Mapping A'!$A$6:$G$1011,7,0)=1,$L36,""),0)</f>
        <v>29.0913</v>
      </c>
      <c r="Q36" s="15">
        <f>_xlfn.IFNA(IF(VLOOKUP($J36&amp;Q$12,'Mapping A'!$A$6:$G$1011,7,0)=1,$L36,""),0)</f>
        <v>0</v>
      </c>
      <c r="R36" s="15">
        <f>_xlfn.IFNA(IF(VLOOKUP($J36&amp;R$12,'Mapping A'!$A$6:$G$1011,7,0)=1,$L36,""),0)</f>
        <v>0</v>
      </c>
      <c r="S36" s="15">
        <f>_xlfn.IFNA(IF(VLOOKUP($J36&amp;S$12,'Mapping A'!$A$6:$G$1011,7,0)=1,$L36,""),0)</f>
        <v>0</v>
      </c>
      <c r="T36" s="15">
        <f>_xlfn.IFNA(IF(VLOOKUP($J36&amp;T$14,'Mapping A'!$A$6:$G$1011,7,0)=1,$L36,""),0)</f>
        <v>0</v>
      </c>
      <c r="U36" s="15">
        <f>_xlfn.IFNA(IF(VLOOKUP($J36&amp;U$12,'Mapping A'!$A$6:$G$1011,7,0)=1,$L36,""),0)</f>
        <v>0</v>
      </c>
      <c r="V36" s="15">
        <f>_xlfn.IFNA(IF(VLOOKUP($J36&amp;V$12,'Mapping A'!$A$6:$G$1011,7,0)=1,$L36,""),0)</f>
        <v>0</v>
      </c>
      <c r="W36" s="15">
        <f>_xlfn.IFNA(IF(VLOOKUP($J36&amp;W$12,'Mapping A'!$A$6:$G$1011,7,0)=1,$L36,""),0)</f>
        <v>0</v>
      </c>
      <c r="X36" s="15">
        <f>_xlfn.IFNA(IF(VLOOKUP($J36&amp;X$12,'Mapping A'!$A$6:$G$1011,7,0)=1,$L36,""),0)</f>
        <v>0</v>
      </c>
      <c r="Y36" s="15">
        <f>_xlfn.IFNA(IF(VLOOKUP($J36&amp;Y$12,'Mapping A'!$A$6:$G$1011,7,0)=1,$L36,""),0)</f>
        <v>29.0913</v>
      </c>
      <c r="Z36" s="15">
        <f>_xlfn.IFNA(IF(VLOOKUP($J36&amp;Z$12,'Mapping A'!$A$6:$G$1011,7,0)=1,$L36,""),0)</f>
        <v>0</v>
      </c>
      <c r="AA36" s="15">
        <f>_xlfn.IFNA(IF(VLOOKUP($J36&amp;AA$12,'Mapping A'!$A$6:$G$1011,7,0)=1,$L36,""),0)</f>
        <v>0</v>
      </c>
      <c r="AF36" s="155" t="str">
        <f t="shared" si="19"/>
        <v>BAL0331OtagoNet JV</v>
      </c>
      <c r="AG36" s="15" t="s">
        <v>150</v>
      </c>
      <c r="AH36" s="190" t="s">
        <v>103</v>
      </c>
      <c r="AI36" s="190">
        <f t="shared" si="20"/>
        <v>29.0913</v>
      </c>
      <c r="AJ36" s="292" t="s">
        <v>96</v>
      </c>
      <c r="AK36" s="15"/>
      <c r="AL36" s="15">
        <f t="shared" ca="1" si="21"/>
        <v>0</v>
      </c>
      <c r="AM36" s="15">
        <f t="shared" ca="1" si="22"/>
        <v>0</v>
      </c>
      <c r="AN36" s="15">
        <f t="shared" ca="1" si="23"/>
        <v>0</v>
      </c>
      <c r="AO36" s="15">
        <f t="shared" ca="1" si="24"/>
        <v>0</v>
      </c>
      <c r="AP36" s="15"/>
      <c r="AQ36" s="15">
        <f t="shared" ca="1" si="25"/>
        <v>0</v>
      </c>
      <c r="AR36" s="20">
        <f t="shared" ca="1" si="26"/>
        <v>0</v>
      </c>
      <c r="AS36" s="20"/>
      <c r="AT36" s="20">
        <f t="shared" ca="1" si="27"/>
        <v>0</v>
      </c>
      <c r="AU36" s="20">
        <f t="shared" ca="1" si="28"/>
        <v>0</v>
      </c>
      <c r="AV36" s="20">
        <f t="shared" ca="1" si="29"/>
        <v>7.8329650985930283E-2</v>
      </c>
      <c r="AW36" s="20">
        <f t="shared" si="30"/>
        <v>0</v>
      </c>
      <c r="AX36" s="20">
        <f t="shared" si="31"/>
        <v>0</v>
      </c>
      <c r="BA36" s="20"/>
      <c r="BD36" s="94" t="str">
        <f t="shared" si="34"/>
        <v>ASB0661Electricity Ashburton</v>
      </c>
      <c r="BF36" s="15" t="s">
        <v>9</v>
      </c>
      <c r="BG36" t="s">
        <v>143</v>
      </c>
      <c r="BH36" s="190">
        <v>158.02710000000002</v>
      </c>
      <c r="BI36" s="190">
        <v>156.496002197265</v>
      </c>
      <c r="BJ36" s="257">
        <f t="shared" si="35"/>
        <v>5.6128440403585333</v>
      </c>
      <c r="BK36" s="257">
        <f t="shared" si="32"/>
        <v>6.1530656189738755</v>
      </c>
      <c r="BL36" s="257">
        <f t="shared" si="33"/>
        <v>6.51321333805077</v>
      </c>
      <c r="BM36" s="342" t="str">
        <f>VLOOKUP(LEFT(BG36,3),'Mapping B'!$D$2:$E$310,2,0)</f>
        <v>S</v>
      </c>
      <c r="BO36" s="20"/>
      <c r="BP36" s="190"/>
      <c r="BQ36" s="20"/>
      <c r="BR36" s="20"/>
    </row>
    <row r="37" spans="2:70" x14ac:dyDescent="0.25">
      <c r="B37" s="98" t="s">
        <v>555</v>
      </c>
      <c r="C37" s="98">
        <v>2014</v>
      </c>
      <c r="D37" s="98" t="s">
        <v>339</v>
      </c>
      <c r="E37" s="98" t="s">
        <v>0</v>
      </c>
      <c r="F37" s="98" t="s">
        <v>131</v>
      </c>
      <c r="G37" s="98">
        <v>298146.07199999999</v>
      </c>
      <c r="H37" s="299" t="str">
        <f>VLOOKUP(LEFT('Rev Adequacy'!D37,3),'Mapping B'!$D$2:$E$400,2,0)</f>
        <v>S</v>
      </c>
      <c r="I37" s="190"/>
      <c r="J37" s="15" t="s">
        <v>151</v>
      </c>
      <c r="K37" s="190" t="s">
        <v>53</v>
      </c>
      <c r="L37" s="190">
        <f t="shared" si="18"/>
        <v>0</v>
      </c>
      <c r="O37" s="15">
        <f>_xlfn.IFNA(IF(VLOOKUP($J37&amp;O$12,'Mapping A'!$A$6:$G$1011,7,0)=1,$L37,""),0)</f>
        <v>0</v>
      </c>
      <c r="P37" s="15">
        <f>_xlfn.IFNA(IF(VLOOKUP($J37&amp;P$12,'Mapping A'!$A$6:$G$1011,7,0)=1,$L37,""),0)</f>
        <v>0</v>
      </c>
      <c r="Q37" s="15">
        <f>_xlfn.IFNA(IF(VLOOKUP($J37&amp;Q$12,'Mapping A'!$A$6:$G$1011,7,0)=1,$L37,""),0)</f>
        <v>0</v>
      </c>
      <c r="R37" s="15">
        <f>_xlfn.IFNA(IF(VLOOKUP($J37&amp;R$12,'Mapping A'!$A$6:$G$1011,7,0)=1,$L37,""),0)</f>
        <v>0</v>
      </c>
      <c r="S37" s="15">
        <f>_xlfn.IFNA(IF(VLOOKUP($J37&amp;S$12,'Mapping A'!$A$6:$G$1011,7,0)=1,$L37,""),0)</f>
        <v>0</v>
      </c>
      <c r="T37" s="15">
        <f>_xlfn.IFNA(IF(VLOOKUP($J37&amp;T$14,'Mapping A'!$A$6:$G$1011,7,0)=1,$L37,""),0)</f>
        <v>0</v>
      </c>
      <c r="U37" s="15">
        <f>_xlfn.IFNA(IF(VLOOKUP($J37&amp;U$12,'Mapping A'!$A$6:$G$1011,7,0)=1,$L37,""),0)</f>
        <v>0</v>
      </c>
      <c r="V37" s="15">
        <f>_xlfn.IFNA(IF(VLOOKUP($J37&amp;V$12,'Mapping A'!$A$6:$G$1011,7,0)=1,$L37,""),0)</f>
        <v>0</v>
      </c>
      <c r="W37" s="15">
        <f>_xlfn.IFNA(IF(VLOOKUP($J37&amp;W$12,'Mapping A'!$A$6:$G$1011,7,0)=1,$L37,""),0)</f>
        <v>0</v>
      </c>
      <c r="X37" s="15">
        <f>_xlfn.IFNA(IF(VLOOKUP($J37&amp;X$12,'Mapping A'!$A$6:$G$1011,7,0)=1,$L37,""),0)</f>
        <v>0</v>
      </c>
      <c r="Y37" s="15">
        <f>_xlfn.IFNA(IF(VLOOKUP($J37&amp;Y$12,'Mapping A'!$A$6:$G$1011,7,0)=1,$L37,""),0)</f>
        <v>0</v>
      </c>
      <c r="Z37" s="15">
        <f>_xlfn.IFNA(IF(VLOOKUP($J37&amp;Z$12,'Mapping A'!$A$6:$G$1011,7,0)=1,$L37,""),0)</f>
        <v>0</v>
      </c>
      <c r="AA37" s="15">
        <f>_xlfn.IFNA(IF(VLOOKUP($J37&amp;AA$12,'Mapping A'!$A$6:$G$1011,7,0)=1,$L37,""),0)</f>
        <v>0</v>
      </c>
      <c r="AF37" s="155" t="str">
        <f t="shared" si="19"/>
        <v>BDE0111Other</v>
      </c>
      <c r="AG37" s="15" t="s">
        <v>151</v>
      </c>
      <c r="AH37" s="190" t="s">
        <v>53</v>
      </c>
      <c r="AI37" s="190">
        <f t="shared" si="20"/>
        <v>0</v>
      </c>
      <c r="AJ37" s="292" t="s">
        <v>96</v>
      </c>
      <c r="AK37" s="15"/>
      <c r="AL37" s="15">
        <f t="shared" ca="1" si="21"/>
        <v>0</v>
      </c>
      <c r="AM37" s="15">
        <f t="shared" ca="1" si="22"/>
        <v>0</v>
      </c>
      <c r="AN37" s="15">
        <f t="shared" ca="1" si="23"/>
        <v>0</v>
      </c>
      <c r="AO37" s="15">
        <f t="shared" ca="1" si="24"/>
        <v>0</v>
      </c>
      <c r="AP37" s="15"/>
      <c r="AQ37" s="15">
        <f t="shared" ca="1" si="25"/>
        <v>0</v>
      </c>
      <c r="AR37" s="20">
        <f t="shared" ca="1" si="26"/>
        <v>0</v>
      </c>
      <c r="AS37" s="20"/>
      <c r="AT37" s="20">
        <f t="shared" ca="1" si="27"/>
        <v>0</v>
      </c>
      <c r="AU37" s="20">
        <f t="shared" ca="1" si="28"/>
        <v>0</v>
      </c>
      <c r="AV37" s="20">
        <f t="shared" ca="1" si="29"/>
        <v>0</v>
      </c>
      <c r="AW37" s="20">
        <f t="shared" si="30"/>
        <v>0</v>
      </c>
      <c r="AX37" s="20">
        <f t="shared" si="31"/>
        <v>0</v>
      </c>
      <c r="BA37" s="20"/>
      <c r="BD37" s="94" t="str">
        <f t="shared" si="34"/>
        <v>ASY0111Daiken MDF</v>
      </c>
      <c r="BF37" s="15" t="s">
        <v>6</v>
      </c>
      <c r="BG37" t="s">
        <v>146</v>
      </c>
      <c r="BH37" s="190">
        <v>11.3736</v>
      </c>
      <c r="BI37" s="190">
        <v>11.375</v>
      </c>
      <c r="BJ37" s="257">
        <f t="shared" si="35"/>
        <v>0.40397022395159948</v>
      </c>
      <c r="BK37" s="257">
        <f t="shared" si="32"/>
        <v>0.44285130287122432</v>
      </c>
      <c r="BL37" s="257">
        <f t="shared" si="33"/>
        <v>0.46877202215097424</v>
      </c>
      <c r="BM37" s="342" t="str">
        <f>VLOOKUP(LEFT(BG37,3),'Mapping B'!$D$2:$E$310,2,0)</f>
        <v>S</v>
      </c>
      <c r="BO37" s="20"/>
      <c r="BP37" s="190"/>
      <c r="BQ37" s="20"/>
      <c r="BR37" s="20"/>
    </row>
    <row r="38" spans="2:70" x14ac:dyDescent="0.25">
      <c r="B38" s="98" t="s">
        <v>555</v>
      </c>
      <c r="C38" s="98">
        <v>2014</v>
      </c>
      <c r="D38" s="98" t="s">
        <v>422</v>
      </c>
      <c r="E38" s="98" t="s">
        <v>0</v>
      </c>
      <c r="F38" s="98" t="s">
        <v>131</v>
      </c>
      <c r="G38" s="98">
        <v>13841.300999999899</v>
      </c>
      <c r="H38" s="299" t="str">
        <f>VLOOKUP(LEFT('Rev Adequacy'!D38,3),'Mapping B'!$D$2:$E$400,2,0)</f>
        <v>S</v>
      </c>
      <c r="I38" s="190"/>
      <c r="J38" s="15" t="s">
        <v>151</v>
      </c>
      <c r="K38" s="190" t="s">
        <v>30</v>
      </c>
      <c r="L38" s="190">
        <f t="shared" si="18"/>
        <v>9.1181999999999999</v>
      </c>
      <c r="O38" s="15">
        <f>_xlfn.IFNA(IF(VLOOKUP($J38&amp;O$12,'Mapping A'!$A$6:$G$1011,7,0)=1,$L38,""),0)</f>
        <v>0</v>
      </c>
      <c r="P38" s="15">
        <f>_xlfn.IFNA(IF(VLOOKUP($J38&amp;P$12,'Mapping A'!$A$6:$G$1011,7,0)=1,$L38,""),0)</f>
        <v>9.1181999999999999</v>
      </c>
      <c r="Q38" s="15">
        <f>_xlfn.IFNA(IF(VLOOKUP($J38&amp;Q$12,'Mapping A'!$A$6:$G$1011,7,0)=1,$L38,""),0)</f>
        <v>0</v>
      </c>
      <c r="R38" s="15">
        <f>_xlfn.IFNA(IF(VLOOKUP($J38&amp;R$12,'Mapping A'!$A$6:$G$1011,7,0)=1,$L38,""),0)</f>
        <v>0</v>
      </c>
      <c r="S38" s="15">
        <f>_xlfn.IFNA(IF(VLOOKUP($J38&amp;S$12,'Mapping A'!$A$6:$G$1011,7,0)=1,$L38,""),0)</f>
        <v>0</v>
      </c>
      <c r="T38" s="15">
        <f>_xlfn.IFNA(IF(VLOOKUP($J38&amp;T$14,'Mapping A'!$A$6:$G$1011,7,0)=1,$L38,""),0)</f>
        <v>0</v>
      </c>
      <c r="U38" s="15">
        <f>_xlfn.IFNA(IF(VLOOKUP($J38&amp;U$12,'Mapping A'!$A$6:$G$1011,7,0)=1,$L38,""),0)</f>
        <v>0</v>
      </c>
      <c r="V38" s="15">
        <f>_xlfn.IFNA(IF(VLOOKUP($J38&amp;V$12,'Mapping A'!$A$6:$G$1011,7,0)=1,$L38,""),0)</f>
        <v>0</v>
      </c>
      <c r="W38" s="15">
        <f>_xlfn.IFNA(IF(VLOOKUP($J38&amp;W$12,'Mapping A'!$A$6:$G$1011,7,0)=1,$L38,""),0)</f>
        <v>0</v>
      </c>
      <c r="X38" s="15">
        <f>_xlfn.IFNA(IF(VLOOKUP($J38&amp;X$12,'Mapping A'!$A$6:$G$1011,7,0)=1,$L38,""),0)</f>
        <v>0</v>
      </c>
      <c r="Y38" s="15">
        <f>_xlfn.IFNA(IF(VLOOKUP($J38&amp;Y$12,'Mapping A'!$A$6:$G$1011,7,0)=1,$L38,""),0)</f>
        <v>9.1181999999999999</v>
      </c>
      <c r="Z38" s="15">
        <f>_xlfn.IFNA(IF(VLOOKUP($J38&amp;Z$12,'Mapping A'!$A$6:$G$1011,7,0)=1,$L38,""),0)</f>
        <v>0</v>
      </c>
      <c r="AA38" s="15">
        <f>_xlfn.IFNA(IF(VLOOKUP($J38&amp;AA$12,'Mapping A'!$A$6:$G$1011,7,0)=1,$L38,""),0)</f>
        <v>0</v>
      </c>
      <c r="AF38" s="155" t="str">
        <f t="shared" si="19"/>
        <v>BDE0111Rayonier</v>
      </c>
      <c r="AG38" s="15" t="s">
        <v>151</v>
      </c>
      <c r="AH38" s="190" t="s">
        <v>30</v>
      </c>
      <c r="AI38" s="190">
        <f t="shared" si="20"/>
        <v>9.1181999999999999</v>
      </c>
      <c r="AJ38" s="292" t="s">
        <v>96</v>
      </c>
      <c r="AK38" s="15"/>
      <c r="AL38" s="15">
        <f t="shared" ca="1" si="21"/>
        <v>0</v>
      </c>
      <c r="AM38" s="15">
        <f t="shared" ca="1" si="22"/>
        <v>0</v>
      </c>
      <c r="AN38" s="15">
        <f t="shared" ca="1" si="23"/>
        <v>0</v>
      </c>
      <c r="AO38" s="15">
        <f t="shared" ca="1" si="24"/>
        <v>0</v>
      </c>
      <c r="AP38" s="15"/>
      <c r="AQ38" s="15">
        <f t="shared" ca="1" si="25"/>
        <v>0</v>
      </c>
      <c r="AR38" s="20">
        <f t="shared" ca="1" si="26"/>
        <v>0</v>
      </c>
      <c r="AS38" s="20"/>
      <c r="AT38" s="20">
        <f t="shared" ca="1" si="27"/>
        <v>0</v>
      </c>
      <c r="AU38" s="20">
        <f t="shared" ca="1" si="28"/>
        <v>0</v>
      </c>
      <c r="AV38" s="20">
        <f t="shared" ca="1" si="29"/>
        <v>2.4551169030600537E-2</v>
      </c>
      <c r="AW38" s="20">
        <f t="shared" si="30"/>
        <v>0</v>
      </c>
      <c r="AX38" s="20">
        <f t="shared" si="31"/>
        <v>0</v>
      </c>
      <c r="BA38" s="20"/>
      <c r="BD38" s="94" t="str">
        <f t="shared" si="34"/>
        <v>ATI2201MRP</v>
      </c>
      <c r="BF38" s="15" t="s">
        <v>17</v>
      </c>
      <c r="BG38" t="s">
        <v>930</v>
      </c>
      <c r="BH38" s="190">
        <v>13.465200000000001</v>
      </c>
      <c r="BI38" s="190">
        <v>0</v>
      </c>
      <c r="BJ38" s="257">
        <f t="shared" si="35"/>
        <v>0.47826016912438252</v>
      </c>
      <c r="BK38" s="257">
        <f t="shared" si="32"/>
        <v>0.52429146122789705</v>
      </c>
      <c r="BL38" s="257">
        <f t="shared" si="33"/>
        <v>0.55497898929690681</v>
      </c>
      <c r="BM38" s="342" t="str">
        <f>VLOOKUP(LEFT(BG38,3),'Mapping B'!$D$2:$E$310,2,0)</f>
        <v>N</v>
      </c>
      <c r="BO38" s="20"/>
      <c r="BP38" s="190"/>
      <c r="BQ38" s="20"/>
      <c r="BR38" s="20"/>
    </row>
    <row r="39" spans="2:70" x14ac:dyDescent="0.25">
      <c r="B39" s="98" t="s">
        <v>555</v>
      </c>
      <c r="C39" s="98">
        <v>2014</v>
      </c>
      <c r="D39" s="98" t="s">
        <v>347</v>
      </c>
      <c r="E39" s="98" t="s">
        <v>0</v>
      </c>
      <c r="F39" s="98" t="s">
        <v>131</v>
      </c>
      <c r="G39" s="98">
        <v>254369.47700000001</v>
      </c>
      <c r="H39" s="299" t="str">
        <f>VLOOKUP(LEFT('Rev Adequacy'!D39,3),'Mapping B'!$D$2:$E$400,2,0)</f>
        <v>S</v>
      </c>
      <c r="I39" s="190"/>
      <c r="J39" s="15" t="s">
        <v>923</v>
      </c>
      <c r="K39" s="190" t="s">
        <v>14</v>
      </c>
      <c r="L39" s="190">
        <f t="shared" si="18"/>
        <v>8.2928999999999995</v>
      </c>
      <c r="O39" s="15">
        <f>_xlfn.IFNA(IF(VLOOKUP($J39&amp;O$12,'Mapping A'!$A$6:$G$1011,7,0)=1,$L39,""),0)</f>
        <v>0</v>
      </c>
      <c r="P39" s="15">
        <f>_xlfn.IFNA(IF(VLOOKUP($J39&amp;P$12,'Mapping A'!$A$6:$G$1011,7,0)=1,$L39,""),0)</f>
        <v>0</v>
      </c>
      <c r="Q39" s="15">
        <f>_xlfn.IFNA(IF(VLOOKUP($J39&amp;Q$12,'Mapping A'!$A$6:$G$1011,7,0)=1,$L39,""),0)</f>
        <v>0</v>
      </c>
      <c r="R39" s="15">
        <f>_xlfn.IFNA(IF(VLOOKUP($J39&amp;R$12,'Mapping A'!$A$6:$G$1011,7,0)=1,$L39,""),0)</f>
        <v>0</v>
      </c>
      <c r="S39" s="15">
        <f>_xlfn.IFNA(IF(VLOOKUP($J39&amp;S$12,'Mapping A'!$A$6:$G$1011,7,0)=1,$L39,""),0)</f>
        <v>0</v>
      </c>
      <c r="T39" s="15">
        <f>_xlfn.IFNA(IF(VLOOKUP($J39&amp;T$14,'Mapping A'!$A$6:$G$1011,7,0)=1,$L39,""),0)</f>
        <v>0</v>
      </c>
      <c r="U39" s="15">
        <f>_xlfn.IFNA(IF(VLOOKUP($J39&amp;U$12,'Mapping A'!$A$6:$G$1011,7,0)=1,$L39,""),0)</f>
        <v>0</v>
      </c>
      <c r="V39" s="15">
        <f>_xlfn.IFNA(IF(VLOOKUP($J39&amp;V$12,'Mapping A'!$A$6:$G$1011,7,0)=1,$L39,""),0)</f>
        <v>0</v>
      </c>
      <c r="W39" s="15">
        <f>_xlfn.IFNA(IF(VLOOKUP($J39&amp;W$12,'Mapping A'!$A$6:$G$1011,7,0)=1,$L39,""),0)</f>
        <v>0</v>
      </c>
      <c r="X39" s="15">
        <f>_xlfn.IFNA(IF(VLOOKUP($J39&amp;X$12,'Mapping A'!$A$6:$G$1011,7,0)=1,$L39,""),0)</f>
        <v>0</v>
      </c>
      <c r="Y39" s="15">
        <f>_xlfn.IFNA(IF(VLOOKUP($J39&amp;Y$12,'Mapping A'!$A$6:$G$1011,7,0)=1,$L39,""),0)</f>
        <v>0</v>
      </c>
      <c r="Z39" s="15">
        <f>_xlfn.IFNA(IF(VLOOKUP($J39&amp;Z$12,'Mapping A'!$A$6:$G$1011,7,0)=1,$L39,""),0)</f>
        <v>0</v>
      </c>
      <c r="AA39" s="15">
        <f>_xlfn.IFNA(IF(VLOOKUP($J39&amp;AA$12,'Mapping A'!$A$6:$G$1011,7,0)=1,$L39,""),0)</f>
        <v>0</v>
      </c>
      <c r="AF39" s="155" t="str">
        <f t="shared" si="19"/>
        <v>BEN2202Meridian</v>
      </c>
      <c r="AG39" s="15" t="s">
        <v>923</v>
      </c>
      <c r="AH39" s="190" t="s">
        <v>14</v>
      </c>
      <c r="AI39" s="190">
        <f t="shared" si="20"/>
        <v>8.2928999999999995</v>
      </c>
      <c r="AJ39" s="292" t="s">
        <v>96</v>
      </c>
      <c r="AK39" s="15"/>
      <c r="AL39" s="15">
        <f t="shared" ca="1" si="21"/>
        <v>0</v>
      </c>
      <c r="AM39" s="15">
        <f t="shared" ca="1" si="22"/>
        <v>0</v>
      </c>
      <c r="AN39" s="15">
        <f t="shared" ca="1" si="23"/>
        <v>0</v>
      </c>
      <c r="AO39" s="15">
        <f t="shared" ca="1" si="24"/>
        <v>0</v>
      </c>
      <c r="AP39" s="15"/>
      <c r="AQ39" s="15">
        <f t="shared" ca="1" si="25"/>
        <v>0</v>
      </c>
      <c r="AR39" s="20">
        <f t="shared" ca="1" si="26"/>
        <v>0</v>
      </c>
      <c r="AS39" s="20"/>
      <c r="AT39" s="20">
        <f t="shared" ca="1" si="27"/>
        <v>0</v>
      </c>
      <c r="AU39" s="20">
        <f t="shared" ca="1" si="28"/>
        <v>0</v>
      </c>
      <c r="AV39" s="20">
        <f t="shared" ca="1" si="29"/>
        <v>0</v>
      </c>
      <c r="AW39" s="20">
        <f t="shared" si="30"/>
        <v>0</v>
      </c>
      <c r="AX39" s="20">
        <f t="shared" si="31"/>
        <v>0</v>
      </c>
      <c r="BA39" s="20"/>
      <c r="BD39" s="94" t="str">
        <f t="shared" si="34"/>
        <v>ATU1101Westpower</v>
      </c>
      <c r="BF39" s="15" t="s">
        <v>41</v>
      </c>
      <c r="BG39" t="s">
        <v>148</v>
      </c>
      <c r="BH39" s="190">
        <v>1.1487000000000001</v>
      </c>
      <c r="BI39" s="190">
        <v>1.1460000276565501</v>
      </c>
      <c r="BJ39" s="257">
        <f t="shared" si="35"/>
        <v>4.0799799206337688E-2</v>
      </c>
      <c r="BK39" s="257">
        <f t="shared" si="32"/>
        <v>4.472667331435741E-2</v>
      </c>
      <c r="BL39" s="257">
        <f t="shared" si="33"/>
        <v>4.734458938637056E-2</v>
      </c>
      <c r="BM39" s="342" t="str">
        <f>VLOOKUP(LEFT(BG39,3),'Mapping B'!$D$2:$E$310,2,0)</f>
        <v>S</v>
      </c>
      <c r="BO39" s="20"/>
      <c r="BP39" s="190"/>
      <c r="BQ39" s="20"/>
      <c r="BR39" s="20"/>
    </row>
    <row r="40" spans="2:70" x14ac:dyDescent="0.25">
      <c r="B40" s="98" t="s">
        <v>555</v>
      </c>
      <c r="C40" s="98">
        <v>2014</v>
      </c>
      <c r="D40" s="98" t="s">
        <v>362</v>
      </c>
      <c r="E40" s="98" t="s">
        <v>0</v>
      </c>
      <c r="F40" s="98" t="s">
        <v>131</v>
      </c>
      <c r="G40" s="98">
        <v>12115.387119245899</v>
      </c>
      <c r="H40" s="299" t="str">
        <f>VLOOKUP(LEFT('Rev Adequacy'!D40,3),'Mapping B'!$D$2:$E$400,2,0)</f>
        <v>S</v>
      </c>
      <c r="I40" s="190"/>
      <c r="J40" s="15" t="s">
        <v>153</v>
      </c>
      <c r="K40" s="190" t="s">
        <v>13</v>
      </c>
      <c r="L40" s="190">
        <f t="shared" si="18"/>
        <v>76.263600000000011</v>
      </c>
      <c r="O40" s="15">
        <f>_xlfn.IFNA(IF(VLOOKUP($J40&amp;O$12,'Mapping A'!$A$6:$G$1011,7,0)=1,$L40,""),0)</f>
        <v>0</v>
      </c>
      <c r="P40" s="15">
        <f>_xlfn.IFNA(IF(VLOOKUP($J40&amp;P$12,'Mapping A'!$A$6:$G$1011,7,0)=1,$L40,""),0)</f>
        <v>76.263600000000011</v>
      </c>
      <c r="Q40" s="15">
        <f>_xlfn.IFNA(IF(VLOOKUP($J40&amp;Q$12,'Mapping A'!$A$6:$G$1011,7,0)=1,$L40,""),0)</f>
        <v>0</v>
      </c>
      <c r="R40" s="15">
        <f>_xlfn.IFNA(IF(VLOOKUP($J40&amp;R$12,'Mapping A'!$A$6:$G$1011,7,0)=1,$L40,""),0)</f>
        <v>0</v>
      </c>
      <c r="S40" s="15">
        <f>_xlfn.IFNA(IF(VLOOKUP($J40&amp;S$12,'Mapping A'!$A$6:$G$1011,7,0)=1,$L40,""),0)</f>
        <v>0</v>
      </c>
      <c r="T40" s="15">
        <f>_xlfn.IFNA(IF(VLOOKUP($J40&amp;T$14,'Mapping A'!$A$6:$G$1011,7,0)=1,$L40,""),0)</f>
        <v>0</v>
      </c>
      <c r="U40" s="15">
        <f>_xlfn.IFNA(IF(VLOOKUP($J40&amp;U$12,'Mapping A'!$A$6:$G$1011,7,0)=1,$L40,""),0)</f>
        <v>0</v>
      </c>
      <c r="V40" s="15">
        <f>_xlfn.IFNA(IF(VLOOKUP($J40&amp;V$12,'Mapping A'!$A$6:$G$1011,7,0)=1,$L40,""),0)</f>
        <v>0</v>
      </c>
      <c r="W40" s="15">
        <f>_xlfn.IFNA(IF(VLOOKUP($J40&amp;W$12,'Mapping A'!$A$6:$G$1011,7,0)=1,$L40,""),0)</f>
        <v>76.263600000000011</v>
      </c>
      <c r="X40" s="15">
        <f>_xlfn.IFNA(IF(VLOOKUP($J40&amp;X$12,'Mapping A'!$A$6:$G$1011,7,0)=1,$L40,""),0)</f>
        <v>0</v>
      </c>
      <c r="Y40" s="15">
        <f>_xlfn.IFNA(IF(VLOOKUP($J40&amp;Y$12,'Mapping A'!$A$6:$G$1011,7,0)=1,$L40,""),0)</f>
        <v>0</v>
      </c>
      <c r="Z40" s="15">
        <f>_xlfn.IFNA(IF(VLOOKUP($J40&amp;Z$12,'Mapping A'!$A$6:$G$1011,7,0)=1,$L40,""),0)</f>
        <v>0</v>
      </c>
      <c r="AA40" s="15">
        <f>_xlfn.IFNA(IF(VLOOKUP($J40&amp;AA$12,'Mapping A'!$A$6:$G$1011,7,0)=1,$L40,""),0)</f>
        <v>76.263600000000011</v>
      </c>
      <c r="AF40" s="155" t="str">
        <f t="shared" si="19"/>
        <v>BLN0331Marlborough Lines</v>
      </c>
      <c r="AG40" s="15" t="s">
        <v>153</v>
      </c>
      <c r="AH40" s="190" t="s">
        <v>13</v>
      </c>
      <c r="AI40" s="190">
        <f t="shared" si="20"/>
        <v>76.263600000000011</v>
      </c>
      <c r="AJ40" s="292" t="s">
        <v>96</v>
      </c>
      <c r="AK40" s="15"/>
      <c r="AL40" s="15">
        <f t="shared" ca="1" si="21"/>
        <v>0</v>
      </c>
      <c r="AM40" s="15">
        <f t="shared" ca="1" si="22"/>
        <v>0</v>
      </c>
      <c r="AN40" s="15">
        <f t="shared" ca="1" si="23"/>
        <v>0</v>
      </c>
      <c r="AO40" s="15">
        <f t="shared" ca="1" si="24"/>
        <v>0</v>
      </c>
      <c r="AP40" s="15"/>
      <c r="AQ40" s="15">
        <f t="shared" ca="1" si="25"/>
        <v>0</v>
      </c>
      <c r="AR40" s="20">
        <f t="shared" ca="1" si="26"/>
        <v>0</v>
      </c>
      <c r="AS40" s="20"/>
      <c r="AT40" s="20">
        <f t="shared" ca="1" si="27"/>
        <v>0.21762598590335053</v>
      </c>
      <c r="AU40" s="20">
        <f t="shared" ca="1" si="28"/>
        <v>0</v>
      </c>
      <c r="AV40" s="20">
        <f t="shared" ca="1" si="29"/>
        <v>0</v>
      </c>
      <c r="AW40" s="20">
        <f t="shared" si="30"/>
        <v>0</v>
      </c>
      <c r="AX40" s="20">
        <f t="shared" si="31"/>
        <v>0</v>
      </c>
      <c r="BA40" s="20"/>
      <c r="BD40" s="94" t="str">
        <f t="shared" si="34"/>
        <v>AVI2201Meridian</v>
      </c>
      <c r="BF40" s="15" t="s">
        <v>14</v>
      </c>
      <c r="BG40" t="s">
        <v>922</v>
      </c>
      <c r="BH40" s="190">
        <v>2.6459999999999999</v>
      </c>
      <c r="BI40" s="190">
        <v>0</v>
      </c>
      <c r="BJ40" s="257">
        <f t="shared" si="35"/>
        <v>9.3981255941472552E-2</v>
      </c>
      <c r="BK40" s="257">
        <f t="shared" si="32"/>
        <v>0.10302670635482694</v>
      </c>
      <c r="BL40" s="257">
        <f t="shared" si="33"/>
        <v>0.10905700663039652</v>
      </c>
      <c r="BM40" s="342" t="str">
        <f>VLOOKUP(LEFT(BG40,3),'Mapping B'!$D$2:$E$310,2,0)</f>
        <v>S</v>
      </c>
      <c r="BO40" s="20"/>
      <c r="BP40" s="190"/>
      <c r="BQ40" s="20"/>
      <c r="BR40" s="20"/>
    </row>
    <row r="41" spans="2:70" x14ac:dyDescent="0.25">
      <c r="B41" s="98" t="s">
        <v>112</v>
      </c>
      <c r="C41" s="98">
        <v>2014</v>
      </c>
      <c r="D41" s="98" t="s">
        <v>130</v>
      </c>
      <c r="E41" s="98" t="s">
        <v>0</v>
      </c>
      <c r="F41" s="98" t="s">
        <v>131</v>
      </c>
      <c r="G41" s="98">
        <v>0</v>
      </c>
      <c r="H41" s="299" t="str">
        <f>VLOOKUP(LEFT('Rev Adequacy'!D41,3),'Mapping B'!$D$2:$E$400,2,0)</f>
        <v>S</v>
      </c>
      <c r="I41" s="190"/>
      <c r="J41" s="15" t="s">
        <v>154</v>
      </c>
      <c r="K41" s="190" t="s">
        <v>5</v>
      </c>
      <c r="L41" s="190">
        <f t="shared" si="18"/>
        <v>29.406299999999998</v>
      </c>
      <c r="O41" s="15">
        <f>_xlfn.IFNA(IF(VLOOKUP($J41&amp;O$12,'Mapping A'!$A$6:$G$1011,7,0)=1,$L41,""),0)</f>
        <v>29.406299999999998</v>
      </c>
      <c r="P41" s="15">
        <f>_xlfn.IFNA(IF(VLOOKUP($J41&amp;P$12,'Mapping A'!$A$6:$G$1011,7,0)=1,$L41,""),0)</f>
        <v>29.406299999999998</v>
      </c>
      <c r="Q41" s="15">
        <f>_xlfn.IFNA(IF(VLOOKUP($J41&amp;Q$12,'Mapping A'!$A$6:$G$1011,7,0)=1,$L41,""),0)</f>
        <v>29.406299999999998</v>
      </c>
      <c r="R41" s="15">
        <f>_xlfn.IFNA(IF(VLOOKUP($J41&amp;R$12,'Mapping A'!$A$6:$G$1011,7,0)=1,$L41,""),0)</f>
        <v>0</v>
      </c>
      <c r="S41" s="15">
        <f>_xlfn.IFNA(IF(VLOOKUP($J41&amp;S$12,'Mapping A'!$A$6:$G$1011,7,0)=1,$L41,""),0)</f>
        <v>0</v>
      </c>
      <c r="T41" s="15">
        <f>_xlfn.IFNA(IF(VLOOKUP($J41&amp;T$14,'Mapping A'!$A$6:$G$1011,7,0)=1,$L41,""),0)</f>
        <v>29.406299999999998</v>
      </c>
      <c r="U41" s="15">
        <f>_xlfn.IFNA(IF(VLOOKUP($J41&amp;U$12,'Mapping A'!$A$6:$G$1011,7,0)=1,$L41,""),0)</f>
        <v>29.406299999999998</v>
      </c>
      <c r="V41" s="15">
        <f>_xlfn.IFNA(IF(VLOOKUP($J41&amp;V$12,'Mapping A'!$A$6:$G$1011,7,0)=1,$L41,""),0)</f>
        <v>0</v>
      </c>
      <c r="W41" s="15">
        <f>_xlfn.IFNA(IF(VLOOKUP($J41&amp;W$12,'Mapping A'!$A$6:$G$1011,7,0)=1,$L41,""),0)</f>
        <v>0</v>
      </c>
      <c r="X41" s="15">
        <f>_xlfn.IFNA(IF(VLOOKUP($J41&amp;X$12,'Mapping A'!$A$6:$G$1011,7,0)=1,$L41,""),0)</f>
        <v>29.406299999999998</v>
      </c>
      <c r="Y41" s="15">
        <f>_xlfn.IFNA(IF(VLOOKUP($J41&amp;Y$12,'Mapping A'!$A$6:$G$1011,7,0)=1,$L41,""),0)</f>
        <v>0</v>
      </c>
      <c r="Z41" s="15">
        <f>_xlfn.IFNA(IF(VLOOKUP($J41&amp;Z$12,'Mapping A'!$A$6:$G$1011,7,0)=1,$L41,""),0)</f>
        <v>0</v>
      </c>
      <c r="AA41" s="15">
        <f>_xlfn.IFNA(IF(VLOOKUP($J41&amp;AA$12,'Mapping A'!$A$6:$G$1011,7,0)=1,$L41,""),0)</f>
        <v>0</v>
      </c>
      <c r="AF41" s="155" t="str">
        <f t="shared" si="19"/>
        <v>BOB0331Counties Power</v>
      </c>
      <c r="AG41" s="15" t="s">
        <v>154</v>
      </c>
      <c r="AH41" s="190" t="s">
        <v>5</v>
      </c>
      <c r="AI41" s="190">
        <f t="shared" si="20"/>
        <v>29.406299999999998</v>
      </c>
      <c r="AJ41" s="292" t="s">
        <v>95</v>
      </c>
      <c r="AK41" s="15"/>
      <c r="AL41" s="15">
        <f t="shared" ca="1" si="21"/>
        <v>0</v>
      </c>
      <c r="AM41" s="15">
        <f t="shared" ca="1" si="22"/>
        <v>0</v>
      </c>
      <c r="AN41" s="15">
        <f t="shared" ca="1" si="23"/>
        <v>0</v>
      </c>
      <c r="AO41" s="15">
        <f t="shared" ca="1" si="24"/>
        <v>0</v>
      </c>
      <c r="AP41" s="15"/>
      <c r="AQ41" s="15">
        <f t="shared" ca="1" si="25"/>
        <v>0</v>
      </c>
      <c r="AR41" s="20">
        <f t="shared" ca="1" si="26"/>
        <v>0.12867007183445253</v>
      </c>
      <c r="AS41" s="20"/>
      <c r="AT41" s="20">
        <f t="shared" ca="1" si="27"/>
        <v>0</v>
      </c>
      <c r="AU41" s="20">
        <f t="shared" ca="1" si="28"/>
        <v>5.9342915411847795E-2</v>
      </c>
      <c r="AV41" s="20">
        <f t="shared" ca="1" si="29"/>
        <v>0</v>
      </c>
      <c r="AW41" s="20">
        <f t="shared" si="30"/>
        <v>0</v>
      </c>
      <c r="AX41" s="20">
        <f t="shared" si="31"/>
        <v>0</v>
      </c>
      <c r="BA41" s="20"/>
      <c r="BC41" s="15" t="s">
        <v>48</v>
      </c>
      <c r="BD41" s="94" t="str">
        <f>BG41&amp;BF41</f>
        <v>BAL0331OtagoNet JV</v>
      </c>
      <c r="BF41" s="198" t="s">
        <v>103</v>
      </c>
      <c r="BG41" t="s">
        <v>150</v>
      </c>
      <c r="BH41" s="190">
        <v>29.0913</v>
      </c>
      <c r="BI41" s="190" t="e">
        <v>#N/A</v>
      </c>
      <c r="BJ41" s="257">
        <f t="shared" si="35"/>
        <v>1.0332716972676343</v>
      </c>
      <c r="BK41" s="257">
        <f t="shared" si="32"/>
        <v>1.1327213993122363</v>
      </c>
      <c r="BL41" s="257">
        <f t="shared" si="33"/>
        <v>1.199021200675304</v>
      </c>
      <c r="BM41" s="342" t="str">
        <f>VLOOKUP(LEFT(BG41,3),'Mapping B'!$D$2:$E$310,2,0)</f>
        <v>S</v>
      </c>
      <c r="BO41" s="20"/>
      <c r="BP41" s="190"/>
      <c r="BQ41" s="20"/>
      <c r="BR41" s="20"/>
    </row>
    <row r="42" spans="2:70" x14ac:dyDescent="0.25">
      <c r="B42" s="98" t="s">
        <v>112</v>
      </c>
      <c r="C42" s="98">
        <v>2014</v>
      </c>
      <c r="D42" s="98" t="s">
        <v>156</v>
      </c>
      <c r="E42" s="98" t="s">
        <v>0</v>
      </c>
      <c r="F42" s="98" t="s">
        <v>131</v>
      </c>
      <c r="G42" s="98">
        <v>0</v>
      </c>
      <c r="H42" s="299" t="str">
        <f>VLOOKUP(LEFT('Rev Adequacy'!D42,3),'Mapping B'!$D$2:$E$400,2,0)</f>
        <v>S</v>
      </c>
      <c r="I42" s="190"/>
      <c r="J42" s="15" t="s">
        <v>155</v>
      </c>
      <c r="K42" s="190" t="s">
        <v>5</v>
      </c>
      <c r="L42" s="190">
        <f t="shared" si="18"/>
        <v>59.278800000000004</v>
      </c>
      <c r="O42" s="15">
        <f>_xlfn.IFNA(IF(VLOOKUP($J42&amp;O$12,'Mapping A'!$A$6:$G$1011,7,0)=1,$L42,""),0)</f>
        <v>59.278800000000004</v>
      </c>
      <c r="P42" s="190">
        <f>_xlfn.IFNA(IF(VLOOKUP($J42&amp;P$12,'Mapping A'!$A$6:$G$1011,7,0)=1,$L42,""),0)</f>
        <v>59.278800000000004</v>
      </c>
      <c r="Q42" s="190">
        <f>_xlfn.IFNA(IF(VLOOKUP($J42&amp;Q$12,'Mapping A'!$A$6:$G$1011,7,0)=1,$L42,""),0)</f>
        <v>59.278800000000004</v>
      </c>
      <c r="R42" s="190">
        <f>_xlfn.IFNA(IF(VLOOKUP($J42&amp;R$12,'Mapping A'!$A$6:$G$1011,7,0)=1,$L42,""),0)</f>
        <v>0</v>
      </c>
      <c r="S42" s="190">
        <f>_xlfn.IFNA(IF(VLOOKUP($J42&amp;S$12,'Mapping A'!$A$6:$G$1011,7,0)=1,$L42,""),0)</f>
        <v>0</v>
      </c>
      <c r="T42" s="190">
        <f>_xlfn.IFNA(IF(VLOOKUP($J42&amp;T$12,'Mapping A'!$A$6:$G$1011,7,0)=1,$L42,""),0)</f>
        <v>0</v>
      </c>
      <c r="U42" s="190">
        <f>_xlfn.IFNA(IF(VLOOKUP($J42&amp;U$12,'Mapping A'!$A$6:$G$1011,7,0)=1,$L42,""),0)</f>
        <v>59.278800000000004</v>
      </c>
      <c r="V42" s="190">
        <f>_xlfn.IFNA(IF(VLOOKUP($J42&amp;V$12,'Mapping A'!$A$6:$G$1011,7,0)=1,$L42,""),0)</f>
        <v>0</v>
      </c>
      <c r="W42" s="190">
        <f>_xlfn.IFNA(IF(VLOOKUP($J42&amp;W$12,'Mapping A'!$A$6:$G$1011,7,0)=1,$L42,""),0)</f>
        <v>0</v>
      </c>
      <c r="X42" s="190">
        <f>_xlfn.IFNA(IF(VLOOKUP($J42&amp;X$12,'Mapping A'!$A$6:$G$1011,7,0)=1,$L42,""),0)</f>
        <v>59.278800000000004</v>
      </c>
      <c r="Y42" s="190">
        <f>_xlfn.IFNA(IF(VLOOKUP($J42&amp;Y$12,'Mapping A'!$A$6:$G$1011,7,0)=1,$L42,""),0)</f>
        <v>0</v>
      </c>
      <c r="Z42" s="190">
        <f>_xlfn.IFNA(IF(VLOOKUP($J42&amp;Z$12,'Mapping A'!$A$6:$G$1011,7,0)=1,$L42,""),0)</f>
        <v>0</v>
      </c>
      <c r="AA42" s="190">
        <f>_xlfn.IFNA(IF(VLOOKUP($J42&amp;AA$12,'Mapping A'!$A$6:$G$1011,7,0)=1,$L42,""),0)</f>
        <v>0</v>
      </c>
      <c r="AF42" s="155" t="str">
        <f t="shared" si="19"/>
        <v>BOB1101Counties Power</v>
      </c>
      <c r="AG42" s="15" t="s">
        <v>155</v>
      </c>
      <c r="AH42" s="190" t="s">
        <v>5</v>
      </c>
      <c r="AI42" s="190">
        <f t="shared" si="20"/>
        <v>59.278800000000004</v>
      </c>
      <c r="AJ42" s="292" t="s">
        <v>95</v>
      </c>
      <c r="AK42" s="15"/>
      <c r="AL42" s="15">
        <f t="shared" ca="1" si="21"/>
        <v>0</v>
      </c>
      <c r="AM42" s="15">
        <f t="shared" ca="1" si="22"/>
        <v>0</v>
      </c>
      <c r="AN42" s="15">
        <f t="shared" ca="1" si="23"/>
        <v>0</v>
      </c>
      <c r="AO42" s="15">
        <f t="shared" ca="1" si="24"/>
        <v>0</v>
      </c>
      <c r="AP42" s="15"/>
      <c r="AQ42" s="15">
        <f t="shared" ca="1" si="25"/>
        <v>0</v>
      </c>
      <c r="AR42" s="20">
        <f t="shared" ca="1" si="26"/>
        <v>0.2593800462574396</v>
      </c>
      <c r="AS42" s="20"/>
      <c r="AT42" s="20">
        <f t="shared" ca="1" si="27"/>
        <v>0</v>
      </c>
      <c r="AU42" s="20">
        <f t="shared" ca="1" si="28"/>
        <v>0.11962663830933655</v>
      </c>
      <c r="AV42" s="20">
        <f t="shared" ca="1" si="29"/>
        <v>0</v>
      </c>
      <c r="AW42" s="20">
        <f t="shared" si="30"/>
        <v>0</v>
      </c>
      <c r="AX42" s="20">
        <f t="shared" si="31"/>
        <v>0</v>
      </c>
      <c r="BA42" s="20"/>
      <c r="BC42" s="190" t="e">
        <f>#REF!/1000</f>
        <v>#REF!</v>
      </c>
      <c r="BD42" s="94" t="str">
        <f t="shared" si="34"/>
        <v>BDE0111Other</v>
      </c>
      <c r="BF42" s="15" t="s">
        <v>53</v>
      </c>
      <c r="BG42" t="s">
        <v>151</v>
      </c>
      <c r="BH42" s="190"/>
      <c r="BI42" s="190">
        <v>0.264585242749098</v>
      </c>
      <c r="BJ42" s="257">
        <f t="shared" si="35"/>
        <v>0</v>
      </c>
      <c r="BK42" s="257">
        <f t="shared" si="32"/>
        <v>0</v>
      </c>
      <c r="BL42" s="257">
        <f t="shared" si="33"/>
        <v>0</v>
      </c>
      <c r="BM42" s="342" t="str">
        <f>VLOOKUP(LEFT(BG42,3),'Mapping B'!$D$2:$E$310,2,0)</f>
        <v>S</v>
      </c>
      <c r="BO42" s="20"/>
      <c r="BP42" s="190"/>
      <c r="BQ42" s="20"/>
      <c r="BR42" s="20"/>
    </row>
    <row r="43" spans="2:70" x14ac:dyDescent="0.25">
      <c r="B43" s="98" t="s">
        <v>112</v>
      </c>
      <c r="C43" s="98">
        <v>2014</v>
      </c>
      <c r="D43" s="98" t="s">
        <v>327</v>
      </c>
      <c r="E43" s="98" t="s">
        <v>0</v>
      </c>
      <c r="F43" s="98" t="s">
        <v>131</v>
      </c>
      <c r="G43" s="98">
        <v>0</v>
      </c>
      <c r="H43" s="299" t="str">
        <f>VLOOKUP(LEFT('Rev Adequacy'!D43,3),'Mapping B'!$D$2:$E$400,2,0)</f>
        <v>S</v>
      </c>
      <c r="I43" s="190"/>
      <c r="J43" s="190" t="s">
        <v>156</v>
      </c>
      <c r="K43" s="190" t="s">
        <v>0</v>
      </c>
      <c r="L43" s="190">
        <f t="shared" si="18"/>
        <v>10.7898</v>
      </c>
      <c r="M43" s="190"/>
      <c r="N43" s="190"/>
      <c r="O43" s="190">
        <f>_xlfn.IFNA(IF(VLOOKUP($J43&amp;O$12,'Mapping A'!$A$6:$G$1011,7,0)=1,$L43,""),0)</f>
        <v>0</v>
      </c>
      <c r="P43" s="190">
        <f>_xlfn.IFNA(IF(VLOOKUP($J43&amp;P$12,'Mapping A'!$A$6:$G$1011,7,0)=1,$L43,""),0)</f>
        <v>10.7898</v>
      </c>
      <c r="Q43" s="190">
        <f>_xlfn.IFNA(IF(VLOOKUP($J43&amp;Q$12,'Mapping A'!$A$6:$G$1011,7,0)=1,$L43,""),0)</f>
        <v>0</v>
      </c>
      <c r="R43" s="190">
        <f>_xlfn.IFNA(IF(VLOOKUP($J43&amp;R$12,'Mapping A'!$A$6:$G$1011,7,0)=1,$L43,""),0)</f>
        <v>0</v>
      </c>
      <c r="S43" s="190">
        <f>_xlfn.IFNA(IF(VLOOKUP($J43&amp;S$12,'Mapping A'!$A$6:$G$1011,7,0)=1,$L43,""),0)</f>
        <v>0</v>
      </c>
      <c r="T43" s="190">
        <f>_xlfn.IFNA(IF(VLOOKUP($J43&amp;T$12,'Mapping A'!$A$6:$G$1011,7,0)=1,$L43,""),0)</f>
        <v>0</v>
      </c>
      <c r="U43" s="190">
        <f>_xlfn.IFNA(IF(VLOOKUP($J43&amp;U$12,'Mapping A'!$A$6:$G$1011,7,0)=1,$L43,""),0)</f>
        <v>0</v>
      </c>
      <c r="V43" s="190">
        <f>_xlfn.IFNA(IF(VLOOKUP($J43&amp;V$12,'Mapping A'!$A$6:$G$1011,7,0)=1,$L43,""),0)</f>
        <v>0</v>
      </c>
      <c r="W43" s="190">
        <f>_xlfn.IFNA(IF(VLOOKUP($J43&amp;W$12,'Mapping A'!$A$6:$G$1011,7,0)=1,$L43,""),0)</f>
        <v>0</v>
      </c>
      <c r="X43" s="190">
        <f>_xlfn.IFNA(IF(VLOOKUP($J43&amp;X$12,'Mapping A'!$A$6:$G$1011,7,0)=1,$L43,""),0)</f>
        <v>0</v>
      </c>
      <c r="Y43" s="190">
        <f>_xlfn.IFNA(IF(VLOOKUP($J43&amp;Y$12,'Mapping A'!$A$6:$G$1011,7,0)=1,$L43,""),0)</f>
        <v>0</v>
      </c>
      <c r="Z43" s="190">
        <f>_xlfn.IFNA(IF(VLOOKUP($J43&amp;Z$12,'Mapping A'!$A$6:$G$1011,7,0)=1,$L43,""),0)</f>
        <v>0</v>
      </c>
      <c r="AA43" s="190">
        <f>_xlfn.IFNA(IF(VLOOKUP($J43&amp;AA$12,'Mapping A'!$A$6:$G$1011,7,0)=1,$L43,""),0)</f>
        <v>0</v>
      </c>
      <c r="AF43" s="155" t="str">
        <f t="shared" si="19"/>
        <v>BPD1101Alpine Energy</v>
      </c>
      <c r="AG43" s="190" t="s">
        <v>156</v>
      </c>
      <c r="AH43" s="190" t="s">
        <v>0</v>
      </c>
      <c r="AI43" s="190">
        <f t="shared" si="20"/>
        <v>10.7898</v>
      </c>
      <c r="AJ43" s="292" t="s">
        <v>96</v>
      </c>
      <c r="AK43" s="190"/>
      <c r="AL43" s="190">
        <f ca="1">O$13*O$7*O43/O$21</f>
        <v>0</v>
      </c>
      <c r="AM43" s="190">
        <f ca="1">P$13*P$7*P43/P$21</f>
        <v>0</v>
      </c>
      <c r="AN43" s="190">
        <f ca="1">Q$13*Q$7*Q43/Q$21</f>
        <v>0</v>
      </c>
      <c r="AO43" s="190">
        <f ca="1">R$13*R$7*R43/R$21</f>
        <v>0</v>
      </c>
      <c r="AP43" s="190"/>
      <c r="AQ43" s="190">
        <f ca="1">T$15*T$7*T43/T$21</f>
        <v>0</v>
      </c>
      <c r="AR43" s="20">
        <f t="shared" ca="1" si="26"/>
        <v>0</v>
      </c>
      <c r="AS43" s="20"/>
      <c r="AT43" s="20">
        <f t="shared" ca="1" si="27"/>
        <v>0</v>
      </c>
      <c r="AU43" s="20">
        <f t="shared" ca="1" si="28"/>
        <v>0</v>
      </c>
      <c r="AV43" s="20">
        <f t="shared" ca="1" si="29"/>
        <v>0</v>
      </c>
      <c r="AW43" s="20">
        <f t="shared" si="30"/>
        <v>0</v>
      </c>
      <c r="AX43" s="20">
        <f t="shared" si="31"/>
        <v>0</v>
      </c>
      <c r="AY43" s="190"/>
      <c r="BA43" s="20"/>
      <c r="BD43" s="94" t="str">
        <f t="shared" si="34"/>
        <v>BDE0111Rayonier</v>
      </c>
      <c r="BF43" s="15" t="s">
        <v>30</v>
      </c>
      <c r="BG43" t="s">
        <v>151</v>
      </c>
      <c r="BH43" s="190">
        <v>9.1181999999999999</v>
      </c>
      <c r="BI43" s="190">
        <v>9.1143148299285208</v>
      </c>
      <c r="BJ43" s="257">
        <f t="shared" si="35"/>
        <v>0.32386239150624907</v>
      </c>
      <c r="BK43" s="257">
        <f t="shared" si="32"/>
        <v>0.35503330078782425</v>
      </c>
      <c r="BL43" s="257">
        <f t="shared" si="33"/>
        <v>0.37581390697554107</v>
      </c>
      <c r="BM43" s="342" t="str">
        <f>VLOOKUP(LEFT(BG43,3),'Mapping B'!$D$2:$E$310,2,0)</f>
        <v>S</v>
      </c>
      <c r="BO43" s="20"/>
      <c r="BP43" s="190"/>
      <c r="BQ43" s="20"/>
      <c r="BR43" s="20"/>
    </row>
    <row r="44" spans="2:70" x14ac:dyDescent="0.25">
      <c r="B44" s="98" t="s">
        <v>112</v>
      </c>
      <c r="C44" s="98">
        <v>2014</v>
      </c>
      <c r="D44" s="98" t="s">
        <v>339</v>
      </c>
      <c r="E44" s="98" t="s">
        <v>0</v>
      </c>
      <c r="F44" s="98" t="s">
        <v>131</v>
      </c>
      <c r="G44" s="98">
        <v>0</v>
      </c>
      <c r="H44" s="299" t="str">
        <f>VLOOKUP(LEFT('Rev Adequacy'!D44,3),'Mapping B'!$D$2:$E$400,2,0)</f>
        <v>S</v>
      </c>
      <c r="I44" s="190"/>
      <c r="J44" s="15" t="s">
        <v>157</v>
      </c>
      <c r="K44" s="190" t="s">
        <v>28</v>
      </c>
      <c r="L44" s="190">
        <f t="shared" si="18"/>
        <v>97.179600000000008</v>
      </c>
      <c r="O44" s="15">
        <f>_xlfn.IFNA(IF(VLOOKUP($J44&amp;O$12,'Mapping A'!$A$6:$G$1011,7,0)=1,$L44,""),0)</f>
        <v>0</v>
      </c>
      <c r="P44" s="15">
        <f>_xlfn.IFNA(IF(VLOOKUP($J44&amp;P$12,'Mapping A'!$A$6:$G$1011,7,0)=1,$L44,""),0)</f>
        <v>97.179600000000008</v>
      </c>
      <c r="Q44" s="15">
        <f>_xlfn.IFNA(IF(VLOOKUP($J44&amp;Q$12,'Mapping A'!$A$6:$G$1011,7,0)=1,$L44,""),0)</f>
        <v>97.179600000000008</v>
      </c>
      <c r="R44" s="15">
        <f>_xlfn.IFNA(IF(VLOOKUP($J44&amp;R$12,'Mapping A'!$A$6:$G$1011,7,0)=1,$L44,""),0)</f>
        <v>0</v>
      </c>
      <c r="S44" s="15">
        <f>_xlfn.IFNA(IF(VLOOKUP($J44&amp;S$12,'Mapping A'!$A$6:$G$1011,7,0)=1,$L44,""),0)</f>
        <v>0</v>
      </c>
      <c r="T44" s="15">
        <f>_xlfn.IFNA(IF(VLOOKUP($J44&amp;T$14,'Mapping A'!$A$6:$G$1011,7,0)=1,$L44,""),0)</f>
        <v>0</v>
      </c>
      <c r="U44" s="15">
        <f>_xlfn.IFNA(IF(VLOOKUP($J44&amp;U$12,'Mapping A'!$A$6:$G$1011,7,0)=1,$L44,""),0)</f>
        <v>0</v>
      </c>
      <c r="V44" s="15">
        <f>_xlfn.IFNA(IF(VLOOKUP($J44&amp;V$12,'Mapping A'!$A$6:$G$1011,7,0)=1,$L44,""),0)</f>
        <v>0</v>
      </c>
      <c r="W44" s="15">
        <f>_xlfn.IFNA(IF(VLOOKUP($J44&amp;W$12,'Mapping A'!$A$6:$G$1011,7,0)=1,$L44,""),0)</f>
        <v>0</v>
      </c>
      <c r="X44" s="15">
        <f>_xlfn.IFNA(IF(VLOOKUP($J44&amp;X$12,'Mapping A'!$A$6:$G$1011,7,0)=1,$L44,""),0)</f>
        <v>0</v>
      </c>
      <c r="Y44" s="15">
        <f>_xlfn.IFNA(IF(VLOOKUP($J44&amp;Y$12,'Mapping A'!$A$6:$G$1011,7,0)=1,$L44,""),0)</f>
        <v>0</v>
      </c>
      <c r="Z44" s="15">
        <f>_xlfn.IFNA(IF(VLOOKUP($J44&amp;Z$12,'Mapping A'!$A$6:$G$1011,7,0)=1,$L44,""),0)</f>
        <v>0</v>
      </c>
      <c r="AA44" s="15">
        <f>_xlfn.IFNA(IF(VLOOKUP($J44&amp;AA$12,'Mapping A'!$A$6:$G$1011,7,0)=1,$L44,""),0)</f>
        <v>0</v>
      </c>
      <c r="AF44" s="155" t="str">
        <f t="shared" si="19"/>
        <v>BPE0331Powerco</v>
      </c>
      <c r="AG44" s="15" t="s">
        <v>157</v>
      </c>
      <c r="AH44" s="190" t="s">
        <v>28</v>
      </c>
      <c r="AI44" s="190">
        <f t="shared" si="20"/>
        <v>97.179600000000008</v>
      </c>
      <c r="AJ44" s="292" t="s">
        <v>95</v>
      </c>
      <c r="AK44" s="15"/>
      <c r="AL44" s="15">
        <f t="shared" ref="AL44:AL107" ca="1" si="36">O$13*O$7*O44/O$21</f>
        <v>0</v>
      </c>
      <c r="AM44" s="15">
        <f t="shared" ref="AM44:AM107" ca="1" si="37">P$13*P$7*P44/P$21</f>
        <v>0</v>
      </c>
      <c r="AN44" s="15">
        <f t="shared" ref="AN44:AN107" ca="1" si="38">Q$13*Q$7*Q44/Q$21</f>
        <v>0</v>
      </c>
      <c r="AO44" s="15">
        <f t="shared" ref="AO44:AO107" ca="1" si="39">R$13*R$7*R44/R$21</f>
        <v>0</v>
      </c>
      <c r="AP44" s="15"/>
      <c r="AQ44" s="15">
        <f t="shared" ref="AQ44:AQ107" ca="1" si="40">T$15*T$7*T44/T$21</f>
        <v>0</v>
      </c>
      <c r="AR44" s="20">
        <f t="shared" ca="1" si="26"/>
        <v>0</v>
      </c>
      <c r="AS44" s="20"/>
      <c r="AT44" s="20">
        <f t="shared" ca="1" si="27"/>
        <v>0</v>
      </c>
      <c r="AU44" s="20">
        <f t="shared" ca="1" si="28"/>
        <v>0</v>
      </c>
      <c r="AV44" s="20">
        <f t="shared" ca="1" si="29"/>
        <v>0</v>
      </c>
      <c r="AW44" s="20">
        <f t="shared" si="30"/>
        <v>0</v>
      </c>
      <c r="AX44" s="20">
        <f t="shared" si="31"/>
        <v>0</v>
      </c>
      <c r="BA44" s="20"/>
      <c r="BD44" s="94" t="str">
        <f t="shared" si="34"/>
        <v>BEN2202Meridian</v>
      </c>
      <c r="BF44" s="15" t="s">
        <v>14</v>
      </c>
      <c r="BG44" t="s">
        <v>923</v>
      </c>
      <c r="BH44" s="190">
        <v>8.2928999999999995</v>
      </c>
      <c r="BI44" s="190">
        <v>0</v>
      </c>
      <c r="BJ44" s="257">
        <f t="shared" si="35"/>
        <v>0.29454919024831355</v>
      </c>
      <c r="BK44" s="257">
        <f t="shared" si="32"/>
        <v>0.32289878047239012</v>
      </c>
      <c r="BL44" s="257">
        <f t="shared" si="33"/>
        <v>0.34179850728844113</v>
      </c>
      <c r="BM44" s="342" t="str">
        <f>VLOOKUP(LEFT(BG44,3),'Mapping B'!$D$2:$E$310,2,0)</f>
        <v>S</v>
      </c>
      <c r="BO44" s="20"/>
      <c r="BP44" s="190"/>
      <c r="BQ44" s="20"/>
      <c r="BR44" s="20"/>
    </row>
    <row r="45" spans="2:70" x14ac:dyDescent="0.25">
      <c r="B45" s="98" t="s">
        <v>112</v>
      </c>
      <c r="C45" s="98">
        <v>2014</v>
      </c>
      <c r="D45" s="98" t="s">
        <v>422</v>
      </c>
      <c r="E45" s="98" t="s">
        <v>0</v>
      </c>
      <c r="F45" s="98" t="s">
        <v>131</v>
      </c>
      <c r="G45" s="98">
        <v>0</v>
      </c>
      <c r="H45" s="299" t="str">
        <f>VLOOKUP(LEFT('Rev Adequacy'!D45,3),'Mapping B'!$D$2:$E$400,2,0)</f>
        <v>S</v>
      </c>
      <c r="I45" s="190"/>
      <c r="J45" s="15" t="s">
        <v>159</v>
      </c>
      <c r="K45" s="190" t="s">
        <v>51</v>
      </c>
      <c r="L45" s="190">
        <f t="shared" si="18"/>
        <v>5.9535</v>
      </c>
      <c r="O45" s="15">
        <f>_xlfn.IFNA(IF(VLOOKUP($J45&amp;O$12,'Mapping A'!$A$6:$G$1011,7,0)=1,$L45,""),0)</f>
        <v>0</v>
      </c>
      <c r="P45" s="15">
        <f>_xlfn.IFNA(IF(VLOOKUP($J45&amp;P$12,'Mapping A'!$A$6:$G$1011,7,0)=1,$L45,""),0)</f>
        <v>5.9535</v>
      </c>
      <c r="Q45" s="15">
        <f>_xlfn.IFNA(IF(VLOOKUP($J45&amp;Q$12,'Mapping A'!$A$6:$G$1011,7,0)=1,$L45,""),0)</f>
        <v>5.9535</v>
      </c>
      <c r="R45" s="15">
        <f>_xlfn.IFNA(IF(VLOOKUP($J45&amp;R$12,'Mapping A'!$A$6:$G$1011,7,0)=1,$L45,""),0)</f>
        <v>0</v>
      </c>
      <c r="S45" s="15">
        <f>_xlfn.IFNA(IF(VLOOKUP($J45&amp;S$12,'Mapping A'!$A$6:$G$1011,7,0)=1,$L45,""),0)</f>
        <v>0</v>
      </c>
      <c r="T45" s="15">
        <f>_xlfn.IFNA(IF(VLOOKUP($J45&amp;T$14,'Mapping A'!$A$6:$G$1011,7,0)=1,$L45,""),0)</f>
        <v>0</v>
      </c>
      <c r="U45" s="15">
        <f>_xlfn.IFNA(IF(VLOOKUP($J45&amp;U$12,'Mapping A'!$A$6:$G$1011,7,0)=1,$L45,""),0)</f>
        <v>0</v>
      </c>
      <c r="V45" s="15">
        <f>_xlfn.IFNA(IF(VLOOKUP($J45&amp;V$12,'Mapping A'!$A$6:$G$1011,7,0)=1,$L45,""),0)</f>
        <v>0</v>
      </c>
      <c r="W45" s="15">
        <f>_xlfn.IFNA(IF(VLOOKUP($J45&amp;W$12,'Mapping A'!$A$6:$G$1011,7,0)=1,$L45,""),0)</f>
        <v>0</v>
      </c>
      <c r="X45" s="15">
        <f>_xlfn.IFNA(IF(VLOOKUP($J45&amp;X$12,'Mapping A'!$A$6:$G$1011,7,0)=1,$L45,""),0)</f>
        <v>0</v>
      </c>
      <c r="Y45" s="15">
        <f>_xlfn.IFNA(IF(VLOOKUP($J45&amp;Y$12,'Mapping A'!$A$6:$G$1011,7,0)=1,$L45,""),0)</f>
        <v>0</v>
      </c>
      <c r="Z45" s="15">
        <f>_xlfn.IFNA(IF(VLOOKUP($J45&amp;Z$12,'Mapping A'!$A$6:$G$1011,7,0)=1,$L45,""),0)</f>
        <v>0</v>
      </c>
      <c r="AA45" s="15">
        <f>_xlfn.IFNA(IF(VLOOKUP($J45&amp;AA$12,'Mapping A'!$A$6:$G$1011,7,0)=1,$L45,""),0)</f>
        <v>0</v>
      </c>
      <c r="AF45" s="155" t="str">
        <f t="shared" si="19"/>
        <v>BPE0551Kiwirail</v>
      </c>
      <c r="AG45" s="15" t="s">
        <v>159</v>
      </c>
      <c r="AH45" s="190" t="s">
        <v>51</v>
      </c>
      <c r="AI45" s="190">
        <f t="shared" si="20"/>
        <v>5.9535</v>
      </c>
      <c r="AJ45" s="292" t="s">
        <v>95</v>
      </c>
      <c r="AK45" s="15"/>
      <c r="AL45" s="15">
        <f t="shared" ca="1" si="36"/>
        <v>0</v>
      </c>
      <c r="AM45" s="15">
        <f t="shared" ca="1" si="37"/>
        <v>0</v>
      </c>
      <c r="AN45" s="15">
        <f t="shared" ca="1" si="38"/>
        <v>0</v>
      </c>
      <c r="AO45" s="15">
        <f t="shared" ca="1" si="39"/>
        <v>0</v>
      </c>
      <c r="AP45" s="15"/>
      <c r="AQ45" s="15">
        <f t="shared" ca="1" si="40"/>
        <v>0</v>
      </c>
      <c r="AR45" s="20">
        <f t="shared" ca="1" si="26"/>
        <v>0</v>
      </c>
      <c r="AS45" s="20"/>
      <c r="AT45" s="20">
        <f t="shared" ca="1" si="27"/>
        <v>0</v>
      </c>
      <c r="AU45" s="20">
        <f t="shared" ca="1" si="28"/>
        <v>0</v>
      </c>
      <c r="AV45" s="20">
        <f t="shared" ca="1" si="29"/>
        <v>0</v>
      </c>
      <c r="AW45" s="20">
        <f t="shared" si="30"/>
        <v>0</v>
      </c>
      <c r="AX45" s="20">
        <f t="shared" si="31"/>
        <v>0</v>
      </c>
      <c r="BA45" s="20"/>
      <c r="BD45" s="94" t="str">
        <f t="shared" si="34"/>
        <v>BLN0331Marlborough Lines</v>
      </c>
      <c r="BF45" s="15" t="s">
        <v>13</v>
      </c>
      <c r="BG45" t="s">
        <v>153</v>
      </c>
      <c r="BH45" s="190">
        <v>76.263600000000011</v>
      </c>
      <c r="BI45" s="190">
        <v>73.336997985839801</v>
      </c>
      <c r="BJ45" s="257">
        <f t="shared" si="35"/>
        <v>2.7087486434686645</v>
      </c>
      <c r="BK45" s="257">
        <f t="shared" si="32"/>
        <v>2.9694586253824569</v>
      </c>
      <c r="BL45" s="257">
        <f t="shared" si="33"/>
        <v>3.1432652799916512</v>
      </c>
      <c r="BM45" s="342" t="str">
        <f>VLOOKUP(LEFT(BG45,3),'Mapping B'!$D$2:$E$310,2,0)</f>
        <v>S</v>
      </c>
      <c r="BO45" s="20"/>
      <c r="BP45" s="190"/>
      <c r="BQ45" s="20"/>
      <c r="BR45" s="20"/>
    </row>
    <row r="46" spans="2:70" x14ac:dyDescent="0.25">
      <c r="B46" s="98" t="s">
        <v>112</v>
      </c>
      <c r="C46" s="98">
        <v>2014</v>
      </c>
      <c r="D46" s="98" t="s">
        <v>347</v>
      </c>
      <c r="E46" s="98" t="s">
        <v>0</v>
      </c>
      <c r="F46" s="98" t="s">
        <v>131</v>
      </c>
      <c r="G46" s="98">
        <v>0</v>
      </c>
      <c r="H46" s="299" t="str">
        <f>VLOOKUP(LEFT('Rev Adequacy'!D46,3),'Mapping B'!$D$2:$E$400,2,0)</f>
        <v>S</v>
      </c>
      <c r="I46" s="190"/>
      <c r="J46" s="15" t="s">
        <v>160</v>
      </c>
      <c r="K46" s="190" t="s">
        <v>20</v>
      </c>
      <c r="L46" s="190">
        <f t="shared" si="18"/>
        <v>11.4366</v>
      </c>
      <c r="O46" s="15">
        <f>_xlfn.IFNA(IF(VLOOKUP($J46&amp;O$12,'Mapping A'!$A$6:$G$1011,7,0)=1,$L46,""),0)</f>
        <v>0</v>
      </c>
      <c r="P46" s="15">
        <f>_xlfn.IFNA(IF(VLOOKUP($J46&amp;P$12,'Mapping A'!$A$6:$G$1011,7,0)=1,$L46,""),0)</f>
        <v>11.4366</v>
      </c>
      <c r="Q46" s="15">
        <f>_xlfn.IFNA(IF(VLOOKUP($J46&amp;Q$12,'Mapping A'!$A$6:$G$1011,7,0)=1,$L46,""),0)</f>
        <v>0</v>
      </c>
      <c r="R46" s="15">
        <f>_xlfn.IFNA(IF(VLOOKUP($J46&amp;R$12,'Mapping A'!$A$6:$G$1011,7,0)=1,$L46,""),0)</f>
        <v>0</v>
      </c>
      <c r="S46" s="15">
        <f>_xlfn.IFNA(IF(VLOOKUP($J46&amp;S$12,'Mapping A'!$A$6:$G$1011,7,0)=1,$L46,""),0)</f>
        <v>0</v>
      </c>
      <c r="T46" s="15">
        <f>_xlfn.IFNA(IF(VLOOKUP($J46&amp;T$14,'Mapping A'!$A$6:$G$1011,7,0)=1,$L46,""),0)</f>
        <v>0</v>
      </c>
      <c r="U46" s="15">
        <f>_xlfn.IFNA(IF(VLOOKUP($J46&amp;U$12,'Mapping A'!$A$6:$G$1011,7,0)=1,$L46,""),0)</f>
        <v>0</v>
      </c>
      <c r="V46" s="15">
        <f>_xlfn.IFNA(IF(VLOOKUP($J46&amp;V$12,'Mapping A'!$A$6:$G$1011,7,0)=1,$L46,""),0)</f>
        <v>0</v>
      </c>
      <c r="W46" s="15">
        <f>_xlfn.IFNA(IF(VLOOKUP($J46&amp;W$12,'Mapping A'!$A$6:$G$1011,7,0)=1,$L46,""),0)</f>
        <v>0</v>
      </c>
      <c r="X46" s="15">
        <f>_xlfn.IFNA(IF(VLOOKUP($J46&amp;X$12,'Mapping A'!$A$6:$G$1011,7,0)=1,$L46,""),0)</f>
        <v>0</v>
      </c>
      <c r="Y46" s="15">
        <f>_xlfn.IFNA(IF(VLOOKUP($J46&amp;Y$12,'Mapping A'!$A$6:$G$1011,7,0)=1,$L46,""),0)</f>
        <v>0</v>
      </c>
      <c r="Z46" s="15">
        <f>_xlfn.IFNA(IF(VLOOKUP($J46&amp;Z$12,'Mapping A'!$A$6:$G$1011,7,0)=1,$L46,""),0)</f>
        <v>0</v>
      </c>
      <c r="AA46" s="15">
        <f>_xlfn.IFNA(IF(VLOOKUP($J46&amp;AA$12,'Mapping A'!$A$6:$G$1011,7,0)=1,$L46,""),0)</f>
        <v>0</v>
      </c>
      <c r="AF46" s="155" t="str">
        <f t="shared" si="19"/>
        <v>BPT1101Network Waitaki</v>
      </c>
      <c r="AG46" s="15" t="s">
        <v>160</v>
      </c>
      <c r="AH46" s="190" t="s">
        <v>20</v>
      </c>
      <c r="AI46" s="190">
        <f t="shared" si="20"/>
        <v>11.4366</v>
      </c>
      <c r="AJ46" s="292" t="s">
        <v>96</v>
      </c>
      <c r="AK46" s="15"/>
      <c r="AL46" s="15">
        <f t="shared" ca="1" si="36"/>
        <v>0</v>
      </c>
      <c r="AM46" s="15">
        <f t="shared" ca="1" si="37"/>
        <v>0</v>
      </c>
      <c r="AN46" s="15">
        <f t="shared" ca="1" si="38"/>
        <v>0</v>
      </c>
      <c r="AO46" s="15">
        <f t="shared" ca="1" si="39"/>
        <v>0</v>
      </c>
      <c r="AP46" s="15"/>
      <c r="AQ46" s="15">
        <f t="shared" ca="1" si="40"/>
        <v>0</v>
      </c>
      <c r="AR46" s="20">
        <f t="shared" ca="1" si="26"/>
        <v>0</v>
      </c>
      <c r="AS46" s="20"/>
      <c r="AT46" s="20">
        <f t="shared" ca="1" si="27"/>
        <v>0</v>
      </c>
      <c r="AU46" s="20">
        <f t="shared" ca="1" si="28"/>
        <v>0</v>
      </c>
      <c r="AV46" s="20">
        <f t="shared" ca="1" si="29"/>
        <v>0</v>
      </c>
      <c r="AW46" s="20">
        <f t="shared" si="30"/>
        <v>0</v>
      </c>
      <c r="AX46" s="20">
        <f t="shared" si="31"/>
        <v>0</v>
      </c>
      <c r="BA46" s="20"/>
      <c r="BD46" s="94" t="str">
        <f t="shared" si="34"/>
        <v>BOB0331Counties Power</v>
      </c>
      <c r="BF46" s="15" t="s">
        <v>5</v>
      </c>
      <c r="BG46" t="s">
        <v>154</v>
      </c>
      <c r="BH46" s="190">
        <v>29.406299999999998</v>
      </c>
      <c r="BI46" s="190">
        <v>26.434999465942301</v>
      </c>
      <c r="BJ46" s="257">
        <f t="shared" si="35"/>
        <v>1.0444599420225715</v>
      </c>
      <c r="BK46" s="257">
        <f t="shared" si="32"/>
        <v>1.1449864834020964</v>
      </c>
      <c r="BL46" s="257">
        <f t="shared" si="33"/>
        <v>1.2120041776551131</v>
      </c>
      <c r="BM46" s="342" t="str">
        <f>VLOOKUP(LEFT(BG46,3),'Mapping B'!$D$2:$E$310,2,0)</f>
        <v>N</v>
      </c>
      <c r="BO46" s="20"/>
      <c r="BP46" s="190"/>
      <c r="BQ46" s="20"/>
      <c r="BR46" s="20"/>
    </row>
    <row r="47" spans="2:70" x14ac:dyDescent="0.25">
      <c r="B47" s="98" t="s">
        <v>112</v>
      </c>
      <c r="C47" s="98">
        <v>2014</v>
      </c>
      <c r="D47" s="98" t="s">
        <v>362</v>
      </c>
      <c r="E47" s="98" t="s">
        <v>0</v>
      </c>
      <c r="F47" s="98" t="s">
        <v>131</v>
      </c>
      <c r="G47" s="98">
        <v>0</v>
      </c>
      <c r="H47" s="299" t="str">
        <f>VLOOKUP(LEFT('Rev Adequacy'!D47,3),'Mapping B'!$D$2:$E$400,2,0)</f>
        <v>S</v>
      </c>
      <c r="I47" s="190"/>
      <c r="J47" s="15" t="s">
        <v>161</v>
      </c>
      <c r="K47" s="190" t="s">
        <v>23</v>
      </c>
      <c r="L47" s="190">
        <f t="shared" si="18"/>
        <v>13.4841</v>
      </c>
      <c r="O47" s="15">
        <f>_xlfn.IFNA(IF(VLOOKUP($J47&amp;O$12,'Mapping A'!$A$6:$G$1011,7,0)=1,$L47,""),0)</f>
        <v>13.4841</v>
      </c>
      <c r="P47" s="15">
        <f>_xlfn.IFNA(IF(VLOOKUP($J47&amp;P$12,'Mapping A'!$A$6:$G$1011,7,0)=1,$L47,""),0)</f>
        <v>13.4841</v>
      </c>
      <c r="Q47" s="15">
        <f>_xlfn.IFNA(IF(VLOOKUP($J47&amp;Q$12,'Mapping A'!$A$6:$G$1011,7,0)=1,$L47,""),0)</f>
        <v>13.4841</v>
      </c>
      <c r="R47" s="15">
        <f>_xlfn.IFNA(IF(VLOOKUP($J47&amp;R$12,'Mapping A'!$A$6:$G$1011,7,0)=1,$L47,""),0)</f>
        <v>13.4841</v>
      </c>
      <c r="S47" s="15">
        <f>_xlfn.IFNA(IF(VLOOKUP($J47&amp;S$12,'Mapping A'!$A$6:$G$1011,7,0)=1,$L47,""),0)</f>
        <v>0</v>
      </c>
      <c r="T47" s="15">
        <f>_xlfn.IFNA(IF(VLOOKUP($J47&amp;T$14,'Mapping A'!$A$6:$G$1011,7,0)=1,$L47,""),0)</f>
        <v>13.4841</v>
      </c>
      <c r="U47" s="15">
        <f>_xlfn.IFNA(IF(VLOOKUP($J47&amp;U$12,'Mapping A'!$A$6:$G$1011,7,0)=1,$L47,""),0)</f>
        <v>13.4841</v>
      </c>
      <c r="V47" s="15">
        <f>_xlfn.IFNA(IF(VLOOKUP($J47&amp;V$12,'Mapping A'!$A$6:$G$1011,7,0)=1,$L47,""),0)</f>
        <v>0</v>
      </c>
      <c r="W47" s="15">
        <f>_xlfn.IFNA(IF(VLOOKUP($J47&amp;W$12,'Mapping A'!$A$6:$G$1011,7,0)=1,$L47,""),0)</f>
        <v>0</v>
      </c>
      <c r="X47" s="15">
        <f>_xlfn.IFNA(IF(VLOOKUP($J47&amp;X$12,'Mapping A'!$A$6:$G$1011,7,0)=1,$L47,""),0)</f>
        <v>13.4841</v>
      </c>
      <c r="Y47" s="15">
        <f>_xlfn.IFNA(IF(VLOOKUP($J47&amp;Y$12,'Mapping A'!$A$6:$G$1011,7,0)=1,$L47,""),0)</f>
        <v>0</v>
      </c>
      <c r="Z47" s="15">
        <f>_xlfn.IFNA(IF(VLOOKUP($J47&amp;Z$12,'Mapping A'!$A$6:$G$1011,7,0)=1,$L47,""),0)</f>
        <v>0</v>
      </c>
      <c r="AA47" s="15">
        <f>_xlfn.IFNA(IF(VLOOKUP($J47&amp;AA$12,'Mapping A'!$A$6:$G$1011,7,0)=1,$L47,""),0)</f>
        <v>0</v>
      </c>
      <c r="AF47" s="155" t="str">
        <f t="shared" si="19"/>
        <v>BRB0331Northpower</v>
      </c>
      <c r="AG47" s="15" t="s">
        <v>161</v>
      </c>
      <c r="AH47" s="190" t="s">
        <v>23</v>
      </c>
      <c r="AI47" s="190">
        <f t="shared" si="20"/>
        <v>13.4841</v>
      </c>
      <c r="AJ47" s="292" t="s">
        <v>95</v>
      </c>
      <c r="AK47" s="15"/>
      <c r="AL47" s="15">
        <f t="shared" ca="1" si="36"/>
        <v>0</v>
      </c>
      <c r="AM47" s="15">
        <f t="shared" ca="1" si="37"/>
        <v>0</v>
      </c>
      <c r="AN47" s="15">
        <f t="shared" ca="1" si="38"/>
        <v>0</v>
      </c>
      <c r="AO47" s="15">
        <f t="shared" ca="1" si="39"/>
        <v>0.29166683070892863</v>
      </c>
      <c r="AP47" s="15"/>
      <c r="AQ47" s="15">
        <f t="shared" ca="1" si="40"/>
        <v>0</v>
      </c>
      <c r="AR47" s="20">
        <f t="shared" ca="1" si="26"/>
        <v>5.9000966310720541E-2</v>
      </c>
      <c r="AS47" s="20"/>
      <c r="AT47" s="20">
        <f t="shared" ca="1" si="27"/>
        <v>0</v>
      </c>
      <c r="AU47" s="20">
        <f t="shared" ca="1" si="28"/>
        <v>2.7211373267119521E-2</v>
      </c>
      <c r="AV47" s="20">
        <f t="shared" ca="1" si="29"/>
        <v>0</v>
      </c>
      <c r="AW47" s="20">
        <f t="shared" si="30"/>
        <v>0</v>
      </c>
      <c r="AX47" s="20">
        <f t="shared" si="31"/>
        <v>0</v>
      </c>
      <c r="BA47" s="20"/>
      <c r="BD47" s="94" t="str">
        <f t="shared" si="34"/>
        <v>BOB1101Counties Power</v>
      </c>
      <c r="BF47" s="15" t="s">
        <v>5</v>
      </c>
      <c r="BG47" t="s">
        <v>155</v>
      </c>
      <c r="BH47" s="190">
        <v>59.278800000000004</v>
      </c>
      <c r="BI47" s="190">
        <v>59.273998260497997</v>
      </c>
      <c r="BJ47" s="257">
        <f t="shared" si="35"/>
        <v>2.1054784862824505</v>
      </c>
      <c r="BK47" s="257">
        <f t="shared" si="32"/>
        <v>2.3081252912571864</v>
      </c>
      <c r="BL47" s="257">
        <f t="shared" si="33"/>
        <v>2.4432231612403439</v>
      </c>
      <c r="BM47" s="342" t="str">
        <f>VLOOKUP(LEFT(BG47,3),'Mapping B'!$D$2:$E$310,2,0)</f>
        <v>N</v>
      </c>
      <c r="BO47" s="20"/>
      <c r="BP47" s="190"/>
      <c r="BQ47" s="20"/>
      <c r="BR47" s="20"/>
    </row>
    <row r="48" spans="2:70" x14ac:dyDescent="0.25">
      <c r="B48" s="98" t="s">
        <v>111</v>
      </c>
      <c r="C48" s="98">
        <v>2014</v>
      </c>
      <c r="D48" s="98" t="s">
        <v>130</v>
      </c>
      <c r="E48" s="98" t="s">
        <v>0</v>
      </c>
      <c r="F48" s="98" t="s">
        <v>131</v>
      </c>
      <c r="G48" s="98">
        <v>0</v>
      </c>
      <c r="H48" s="299" t="str">
        <f>VLOOKUP(LEFT('Rev Adequacy'!D48,3),'Mapping B'!$D$2:$E$400,2,0)</f>
        <v>S</v>
      </c>
      <c r="I48" s="190"/>
      <c r="J48" s="15" t="s">
        <v>161</v>
      </c>
      <c r="K48" s="190" t="s">
        <v>904</v>
      </c>
      <c r="L48" s="190">
        <f t="shared" si="18"/>
        <v>35.599199999999996</v>
      </c>
      <c r="O48" s="15">
        <f>_xlfn.IFNA(IF(VLOOKUP($J48&amp;O$12,'Mapping A'!$A$6:$G$1011,7,0)=1,$L48,""),0)</f>
        <v>35.599199999999996</v>
      </c>
      <c r="P48" s="15">
        <f>_xlfn.IFNA(IF(VLOOKUP($J48&amp;P$12,'Mapping A'!$A$6:$G$1011,7,0)=1,$L48,""),0)</f>
        <v>35.599199999999996</v>
      </c>
      <c r="Q48" s="15">
        <f>_xlfn.IFNA(IF(VLOOKUP($J48&amp;Q$12,'Mapping A'!$A$6:$G$1011,7,0)=1,$L48,""),0)</f>
        <v>35.599199999999996</v>
      </c>
      <c r="R48" s="15">
        <f>_xlfn.IFNA(IF(VLOOKUP($J48&amp;R$12,'Mapping A'!$A$6:$G$1011,7,0)=1,$L48,""),0)</f>
        <v>35.599199999999996</v>
      </c>
      <c r="S48" s="15">
        <f>_xlfn.IFNA(IF(VLOOKUP($J48&amp;S$12,'Mapping A'!$A$6:$G$1011,7,0)=1,$L48,""),0)</f>
        <v>0</v>
      </c>
      <c r="T48" s="15">
        <f>_xlfn.IFNA(IF(VLOOKUP($J48&amp;T$14,'Mapping A'!$A$6:$G$1011,7,0)=1,$L48,""),0)</f>
        <v>35.599199999999996</v>
      </c>
      <c r="U48" s="15">
        <f>_xlfn.IFNA(IF(VLOOKUP($J48&amp;U$12,'Mapping A'!$A$6:$G$1011,7,0)=1,$L48,""),0)</f>
        <v>35.599199999999996</v>
      </c>
      <c r="V48" s="15">
        <f>_xlfn.IFNA(IF(VLOOKUP($J48&amp;V$12,'Mapping A'!$A$6:$G$1011,7,0)=1,$L48,""),0)</f>
        <v>0</v>
      </c>
      <c r="W48" s="15">
        <f>_xlfn.IFNA(IF(VLOOKUP($J48&amp;W$12,'Mapping A'!$A$6:$G$1011,7,0)=1,$L48,""),0)</f>
        <v>0</v>
      </c>
      <c r="X48" s="15">
        <f>_xlfn.IFNA(IF(VLOOKUP($J48&amp;X$12,'Mapping A'!$A$6:$G$1011,7,0)=1,$L48,""),0)</f>
        <v>35.599199999999996</v>
      </c>
      <c r="Y48" s="15">
        <f>_xlfn.IFNA(IF(VLOOKUP($J48&amp;Y$12,'Mapping A'!$A$6:$G$1011,7,0)=1,$L48,""),0)</f>
        <v>0</v>
      </c>
      <c r="Z48" s="15">
        <f>_xlfn.IFNA(IF(VLOOKUP($J48&amp;Z$12,'Mapping A'!$A$6:$G$1011,7,0)=1,$L48,""),0)</f>
        <v>0</v>
      </c>
      <c r="AA48" s="15">
        <f>_xlfn.IFNA(IF(VLOOKUP($J48&amp;AA$12,'Mapping A'!$A$6:$G$1011,7,0)=1,$L48,""),0)</f>
        <v>0</v>
      </c>
      <c r="AF48" s="155" t="str">
        <f t="shared" si="19"/>
        <v>BRB0331Refinery</v>
      </c>
      <c r="AG48" s="15" t="s">
        <v>161</v>
      </c>
      <c r="AH48" s="190" t="s">
        <v>904</v>
      </c>
      <c r="AI48" s="190">
        <f t="shared" si="20"/>
        <v>35.599199999999996</v>
      </c>
      <c r="AJ48" s="292" t="s">
        <v>95</v>
      </c>
      <c r="AK48" s="15"/>
      <c r="AL48" s="15">
        <f t="shared" ca="1" si="36"/>
        <v>0</v>
      </c>
      <c r="AM48" s="15">
        <f t="shared" ca="1" si="37"/>
        <v>0</v>
      </c>
      <c r="AN48" s="15">
        <f t="shared" ca="1" si="38"/>
        <v>0</v>
      </c>
      <c r="AO48" s="15">
        <f t="shared" ca="1" si="39"/>
        <v>0.7700258704528512</v>
      </c>
      <c r="AP48" s="15"/>
      <c r="AQ48" s="15">
        <f t="shared" ca="1" si="40"/>
        <v>0</v>
      </c>
      <c r="AR48" s="20">
        <f t="shared" ca="1" si="26"/>
        <v>0.15576769676052554</v>
      </c>
      <c r="AS48" s="20"/>
      <c r="AT48" s="20">
        <f t="shared" ca="1" si="27"/>
        <v>0</v>
      </c>
      <c r="AU48" s="20">
        <f t="shared" ca="1" si="28"/>
        <v>7.1840398633267424E-2</v>
      </c>
      <c r="AV48" s="20">
        <f t="shared" ca="1" si="29"/>
        <v>0</v>
      </c>
      <c r="AW48" s="20">
        <f t="shared" si="30"/>
        <v>0</v>
      </c>
      <c r="AX48" s="20">
        <f t="shared" si="31"/>
        <v>0</v>
      </c>
      <c r="BA48" s="98"/>
      <c r="BD48" s="94" t="str">
        <f t="shared" si="34"/>
        <v>BPD1101Alpine Energy</v>
      </c>
      <c r="BF48" s="15" t="s">
        <v>0</v>
      </c>
      <c r="BG48" t="s">
        <v>156</v>
      </c>
      <c r="BH48" s="190">
        <v>10.7898</v>
      </c>
      <c r="BI48" s="190">
        <v>10.793000221252401</v>
      </c>
      <c r="BJ48" s="257">
        <f t="shared" si="35"/>
        <v>0.38323467700578251</v>
      </c>
      <c r="BK48" s="257">
        <f t="shared" si="32"/>
        <v>0.42012001369134983</v>
      </c>
      <c r="BL48" s="257">
        <f t="shared" si="33"/>
        <v>0.44471023814839472</v>
      </c>
      <c r="BM48" s="342" t="str">
        <f>VLOOKUP(LEFT(BG48,3),'Mapping B'!$D$2:$E$310,2,0)</f>
        <v>S</v>
      </c>
      <c r="BO48" s="20"/>
      <c r="BP48" s="190"/>
      <c r="BQ48" s="20"/>
      <c r="BR48" s="20"/>
    </row>
    <row r="49" spans="2:70" x14ac:dyDescent="0.25">
      <c r="B49" s="98" t="s">
        <v>111</v>
      </c>
      <c r="C49" s="98">
        <v>2014</v>
      </c>
      <c r="D49" s="98" t="s">
        <v>156</v>
      </c>
      <c r="E49" s="98" t="s">
        <v>0</v>
      </c>
      <c r="F49" s="98" t="s">
        <v>131</v>
      </c>
      <c r="G49" s="98">
        <v>0</v>
      </c>
      <c r="H49" s="299" t="str">
        <f>VLOOKUP(LEFT('Rev Adequacy'!D49,3),'Mapping B'!$D$2:$E$400,2,0)</f>
        <v>S</v>
      </c>
      <c r="I49" s="190"/>
      <c r="J49" s="15" t="s">
        <v>162</v>
      </c>
      <c r="K49" s="190" t="s">
        <v>28</v>
      </c>
      <c r="L49" s="190">
        <f t="shared" si="18"/>
        <v>29.8431</v>
      </c>
      <c r="O49" s="15">
        <f>_xlfn.IFNA(IF(VLOOKUP($J49&amp;O$12,'Mapping A'!$A$6:$G$1011,7,0)=1,$L49,""),0)</f>
        <v>0</v>
      </c>
      <c r="P49" s="15">
        <f>_xlfn.IFNA(IF(VLOOKUP($J49&amp;P$12,'Mapping A'!$A$6:$G$1011,7,0)=1,$L49,""),0)</f>
        <v>29.8431</v>
      </c>
      <c r="Q49" s="15">
        <f>_xlfn.IFNA(IF(VLOOKUP($J49&amp;Q$12,'Mapping A'!$A$6:$G$1011,7,0)=1,$L49,""),0)</f>
        <v>29.8431</v>
      </c>
      <c r="R49" s="15">
        <f>_xlfn.IFNA(IF(VLOOKUP($J49&amp;R$12,'Mapping A'!$A$6:$G$1011,7,0)=1,$L49,""),0)</f>
        <v>0</v>
      </c>
      <c r="S49" s="15">
        <f>_xlfn.IFNA(IF(VLOOKUP($J49&amp;S$12,'Mapping A'!$A$6:$G$1011,7,0)=1,$L49,""),0)</f>
        <v>0</v>
      </c>
      <c r="T49" s="15">
        <f>_xlfn.IFNA(IF(VLOOKUP($J49&amp;T$14,'Mapping A'!$A$6:$G$1011,7,0)=1,$L49,""),0)</f>
        <v>0</v>
      </c>
      <c r="U49" s="15">
        <f>_xlfn.IFNA(IF(VLOOKUP($J49&amp;U$12,'Mapping A'!$A$6:$G$1011,7,0)=1,$L49,""),0)</f>
        <v>0</v>
      </c>
      <c r="V49" s="15">
        <f>_xlfn.IFNA(IF(VLOOKUP($J49&amp;V$12,'Mapping A'!$A$6:$G$1011,7,0)=1,$L49,""),0)</f>
        <v>0</v>
      </c>
      <c r="W49" s="15">
        <f>_xlfn.IFNA(IF(VLOOKUP($J49&amp;W$12,'Mapping A'!$A$6:$G$1011,7,0)=1,$L49,""),0)</f>
        <v>0</v>
      </c>
      <c r="X49" s="15">
        <f>_xlfn.IFNA(IF(VLOOKUP($J49&amp;X$12,'Mapping A'!$A$6:$G$1011,7,0)=1,$L49,""),0)</f>
        <v>0</v>
      </c>
      <c r="Y49" s="15">
        <f>_xlfn.IFNA(IF(VLOOKUP($J49&amp;Y$12,'Mapping A'!$A$6:$G$1011,7,0)=1,$L49,""),0)</f>
        <v>0</v>
      </c>
      <c r="Z49" s="15">
        <f>_xlfn.IFNA(IF(VLOOKUP($J49&amp;Z$12,'Mapping A'!$A$6:$G$1011,7,0)=1,$L49,""),0)</f>
        <v>0</v>
      </c>
      <c r="AA49" s="15">
        <f>_xlfn.IFNA(IF(VLOOKUP($J49&amp;AA$12,'Mapping A'!$A$6:$G$1011,7,0)=1,$L49,""),0)</f>
        <v>0</v>
      </c>
      <c r="AF49" s="155" t="str">
        <f t="shared" si="19"/>
        <v>BRK0331Powerco</v>
      </c>
      <c r="AG49" s="15" t="s">
        <v>162</v>
      </c>
      <c r="AH49" s="190" t="s">
        <v>28</v>
      </c>
      <c r="AI49" s="190">
        <f t="shared" si="20"/>
        <v>29.8431</v>
      </c>
      <c r="AJ49" s="292" t="s">
        <v>95</v>
      </c>
      <c r="AK49" s="15"/>
      <c r="AL49" s="15">
        <f t="shared" ca="1" si="36"/>
        <v>0</v>
      </c>
      <c r="AM49" s="15">
        <f t="shared" ca="1" si="37"/>
        <v>0</v>
      </c>
      <c r="AN49" s="15">
        <f t="shared" ca="1" si="38"/>
        <v>0</v>
      </c>
      <c r="AO49" s="15">
        <f t="shared" ca="1" si="39"/>
        <v>0</v>
      </c>
      <c r="AP49" s="15"/>
      <c r="AQ49" s="15">
        <f t="shared" ca="1" si="40"/>
        <v>0</v>
      </c>
      <c r="AR49" s="20">
        <f t="shared" ca="1" si="26"/>
        <v>0</v>
      </c>
      <c r="AS49" s="20"/>
      <c r="AT49" s="20">
        <f t="shared" ca="1" si="27"/>
        <v>0</v>
      </c>
      <c r="AU49" s="20">
        <f t="shared" ca="1" si="28"/>
        <v>0</v>
      </c>
      <c r="AV49" s="20">
        <f t="shared" ca="1" si="29"/>
        <v>0</v>
      </c>
      <c r="AW49" s="20">
        <f t="shared" si="30"/>
        <v>0</v>
      </c>
      <c r="AX49" s="20">
        <f t="shared" si="31"/>
        <v>0</v>
      </c>
      <c r="BA49" s="135"/>
      <c r="BD49" s="94" t="str">
        <f t="shared" si="34"/>
        <v>BPE0331Powerco</v>
      </c>
      <c r="BF49" s="15" t="s">
        <v>28</v>
      </c>
      <c r="BG49" t="s">
        <v>157</v>
      </c>
      <c r="BH49" s="190">
        <v>97.179600000000008</v>
      </c>
      <c r="BI49" s="190">
        <v>97.158996582031193</v>
      </c>
      <c r="BJ49" s="257">
        <f t="shared" si="35"/>
        <v>3.4516480951964952</v>
      </c>
      <c r="BK49" s="257">
        <f t="shared" si="32"/>
        <v>3.783860208949184</v>
      </c>
      <c r="BL49" s="257">
        <f t="shared" si="33"/>
        <v>4.0053349514509762</v>
      </c>
      <c r="BM49" s="342" t="str">
        <f>VLOOKUP(LEFT(BG49,3),'Mapping B'!$D$2:$E$310,2,0)</f>
        <v>N</v>
      </c>
      <c r="BO49" s="20"/>
      <c r="BP49" s="190"/>
      <c r="BQ49" s="20"/>
      <c r="BR49" s="20"/>
    </row>
    <row r="50" spans="2:70" x14ac:dyDescent="0.25">
      <c r="B50" s="98" t="s">
        <v>111</v>
      </c>
      <c r="C50" s="98">
        <v>2014</v>
      </c>
      <c r="D50" s="98" t="s">
        <v>327</v>
      </c>
      <c r="E50" s="98" t="s">
        <v>0</v>
      </c>
      <c r="F50" s="98" t="s">
        <v>131</v>
      </c>
      <c r="G50" s="98">
        <v>0</v>
      </c>
      <c r="H50" s="299" t="str">
        <f>VLOOKUP(LEFT('Rev Adequacy'!D50,3),'Mapping B'!$D$2:$E$400,2,0)</f>
        <v>S</v>
      </c>
      <c r="I50" s="190"/>
      <c r="J50" s="15" t="s">
        <v>163</v>
      </c>
      <c r="K50" s="190" t="s">
        <v>25</v>
      </c>
      <c r="L50" s="190">
        <f t="shared" si="18"/>
        <v>179.95529999999999</v>
      </c>
      <c r="O50" s="15">
        <f>_xlfn.IFNA(IF(VLOOKUP($J50&amp;O$12,'Mapping A'!$A$6:$G$1011,7,0)=1,$L50,""),0)</f>
        <v>0</v>
      </c>
      <c r="P50" s="15">
        <f>_xlfn.IFNA(IF(VLOOKUP($J50&amp;P$12,'Mapping A'!$A$6:$G$1011,7,0)=1,$L50,""),0)</f>
        <v>179.95529999999999</v>
      </c>
      <c r="Q50" s="15">
        <f>_xlfn.IFNA(IF(VLOOKUP($J50&amp;Q$12,'Mapping A'!$A$6:$G$1011,7,0)=1,$L50,""),0)</f>
        <v>0</v>
      </c>
      <c r="R50" s="15">
        <f>_xlfn.IFNA(IF(VLOOKUP($J50&amp;R$12,'Mapping A'!$A$6:$G$1011,7,0)=1,$L50,""),0)</f>
        <v>0</v>
      </c>
      <c r="S50" s="15">
        <f>_xlfn.IFNA(IF(VLOOKUP($J50&amp;S$12,'Mapping A'!$A$6:$G$1011,7,0)=1,$L50,""),0)</f>
        <v>0</v>
      </c>
      <c r="T50" s="15">
        <f>_xlfn.IFNA(IF(VLOOKUP($J50&amp;T$14,'Mapping A'!$A$6:$G$1011,7,0)=1,$L50,""),0)</f>
        <v>0</v>
      </c>
      <c r="U50" s="15">
        <f>_xlfn.IFNA(IF(VLOOKUP($J50&amp;U$12,'Mapping A'!$A$6:$G$1011,7,0)=1,$L50,""),0)</f>
        <v>0</v>
      </c>
      <c r="V50" s="15">
        <f>_xlfn.IFNA(IF(VLOOKUP($J50&amp;V$12,'Mapping A'!$A$6:$G$1011,7,0)=1,$L50,""),0)</f>
        <v>0</v>
      </c>
      <c r="W50" s="15">
        <f>_xlfn.IFNA(IF(VLOOKUP($J50&amp;W$12,'Mapping A'!$A$6:$G$1011,7,0)=1,$L50,""),0)</f>
        <v>179.95529999999999</v>
      </c>
      <c r="X50" s="15">
        <f>_xlfn.IFNA(IF(VLOOKUP($J50&amp;X$12,'Mapping A'!$A$6:$G$1011,7,0)=1,$L50,""),0)</f>
        <v>0</v>
      </c>
      <c r="Y50" s="15">
        <f>_xlfn.IFNA(IF(VLOOKUP($J50&amp;Y$12,'Mapping A'!$A$6:$G$1011,7,0)=1,$L50,""),0)</f>
        <v>0</v>
      </c>
      <c r="Z50" s="15">
        <f>_xlfn.IFNA(IF(VLOOKUP($J50&amp;Z$12,'Mapping A'!$A$6:$G$1011,7,0)=1,$L50,""),0)</f>
        <v>0</v>
      </c>
      <c r="AA50" s="15">
        <f>_xlfn.IFNA(IF(VLOOKUP($J50&amp;AA$12,'Mapping A'!$A$6:$G$1011,7,0)=1,$L50,""),0)</f>
        <v>0</v>
      </c>
      <c r="AF50" s="155" t="str">
        <f t="shared" si="19"/>
        <v>BRY0661Orion</v>
      </c>
      <c r="AG50" s="15" t="s">
        <v>163</v>
      </c>
      <c r="AH50" s="190" t="s">
        <v>25</v>
      </c>
      <c r="AI50" s="190">
        <f t="shared" si="20"/>
        <v>179.95529999999999</v>
      </c>
      <c r="AJ50" s="292" t="s">
        <v>96</v>
      </c>
      <c r="AK50" s="15"/>
      <c r="AL50" s="15">
        <f t="shared" ca="1" si="36"/>
        <v>0</v>
      </c>
      <c r="AM50" s="15">
        <f t="shared" ca="1" si="37"/>
        <v>0</v>
      </c>
      <c r="AN50" s="15">
        <f t="shared" ca="1" si="38"/>
        <v>0</v>
      </c>
      <c r="AO50" s="15">
        <f t="shared" ca="1" si="39"/>
        <v>0</v>
      </c>
      <c r="AP50" s="15"/>
      <c r="AQ50" s="15">
        <f t="shared" ca="1" si="40"/>
        <v>0</v>
      </c>
      <c r="AR50" s="20">
        <f t="shared" ca="1" si="26"/>
        <v>0</v>
      </c>
      <c r="AS50" s="20"/>
      <c r="AT50" s="20">
        <f t="shared" ca="1" si="27"/>
        <v>0.51352086160413635</v>
      </c>
      <c r="AU50" s="20">
        <f t="shared" ca="1" si="28"/>
        <v>0</v>
      </c>
      <c r="AV50" s="20">
        <f t="shared" ca="1" si="29"/>
        <v>0</v>
      </c>
      <c r="AW50" s="20">
        <f t="shared" si="30"/>
        <v>0</v>
      </c>
      <c r="AX50" s="20">
        <f t="shared" si="31"/>
        <v>0</v>
      </c>
      <c r="BA50" s="20"/>
      <c r="BD50" s="94" t="str">
        <f t="shared" si="34"/>
        <v>BPE0551Kiwirail</v>
      </c>
      <c r="BF50" s="15" t="s">
        <v>51</v>
      </c>
      <c r="BG50" t="s">
        <v>159</v>
      </c>
      <c r="BH50" s="190">
        <v>5.9535</v>
      </c>
      <c r="BI50" s="190">
        <v>5.9539999961853001</v>
      </c>
      <c r="BJ50" s="257">
        <f t="shared" si="35"/>
        <v>0.21145782586831324</v>
      </c>
      <c r="BK50" s="257">
        <f t="shared" si="32"/>
        <v>0.23181008929836061</v>
      </c>
      <c r="BL50" s="257">
        <f t="shared" si="33"/>
        <v>0.24537826491839218</v>
      </c>
      <c r="BM50" s="342" t="str">
        <f>VLOOKUP(LEFT(BG50,3),'Mapping B'!$D$2:$E$310,2,0)</f>
        <v>N</v>
      </c>
      <c r="BO50" s="20"/>
      <c r="BP50" s="190"/>
      <c r="BQ50" s="20"/>
      <c r="BR50" s="20"/>
    </row>
    <row r="51" spans="2:70" x14ac:dyDescent="0.25">
      <c r="B51" s="98" t="s">
        <v>111</v>
      </c>
      <c r="C51" s="98">
        <v>2014</v>
      </c>
      <c r="D51" s="98" t="s">
        <v>339</v>
      </c>
      <c r="E51" s="98" t="s">
        <v>0</v>
      </c>
      <c r="F51" s="98" t="s">
        <v>131</v>
      </c>
      <c r="G51" s="98">
        <v>0</v>
      </c>
      <c r="H51" s="299" t="str">
        <f>VLOOKUP(LEFT('Rev Adequacy'!D51,3),'Mapping B'!$D$2:$E$400,2,0)</f>
        <v>S</v>
      </c>
      <c r="I51" s="190"/>
      <c r="J51" s="15" t="s">
        <v>164</v>
      </c>
      <c r="K51" s="190" t="s">
        <v>138</v>
      </c>
      <c r="L51" s="190">
        <f t="shared" si="18"/>
        <v>0.1008</v>
      </c>
      <c r="O51" s="15">
        <f>_xlfn.IFNA(IF(VLOOKUP($J51&amp;O$12,'Mapping A'!$A$6:$G$1011,7,0)=1,$L51,""),0)</f>
        <v>0</v>
      </c>
      <c r="P51" s="15">
        <f>_xlfn.IFNA(IF(VLOOKUP($J51&amp;P$12,'Mapping A'!$A$6:$G$1011,7,0)=1,$L51,""),0)</f>
        <v>0.1008</v>
      </c>
      <c r="Q51" s="15">
        <f>_xlfn.IFNA(IF(VLOOKUP($J51&amp;Q$12,'Mapping A'!$A$6:$G$1011,7,0)=1,$L51,""),0)</f>
        <v>0</v>
      </c>
      <c r="R51" s="15">
        <f>_xlfn.IFNA(IF(VLOOKUP($J51&amp;R$12,'Mapping A'!$A$6:$G$1011,7,0)=1,$L51,""),0)</f>
        <v>0</v>
      </c>
      <c r="S51" s="15">
        <f>_xlfn.IFNA(IF(VLOOKUP($J51&amp;S$12,'Mapping A'!$A$6:$G$1011,7,0)=1,$L51,""),0)</f>
        <v>0</v>
      </c>
      <c r="T51" s="15">
        <f>_xlfn.IFNA(IF(VLOOKUP($J51&amp;T$14,'Mapping A'!$A$6:$G$1011,7,0)=1,$L51,""),0)</f>
        <v>0</v>
      </c>
      <c r="U51" s="15">
        <f>_xlfn.IFNA(IF(VLOOKUP($J51&amp;U$12,'Mapping A'!$A$6:$G$1011,7,0)=1,$L51,""),0)</f>
        <v>0</v>
      </c>
      <c r="V51" s="15">
        <f>_xlfn.IFNA(IF(VLOOKUP($J51&amp;V$12,'Mapping A'!$A$6:$G$1011,7,0)=1,$L51,""),0)</f>
        <v>0</v>
      </c>
      <c r="W51" s="15">
        <f>_xlfn.IFNA(IF(VLOOKUP($J51&amp;W$12,'Mapping A'!$A$6:$G$1011,7,0)=1,$L51,""),0)</f>
        <v>0</v>
      </c>
      <c r="X51" s="15">
        <f>_xlfn.IFNA(IF(VLOOKUP($J51&amp;X$12,'Mapping A'!$A$6:$G$1011,7,0)=1,$L51,""),0)</f>
        <v>0</v>
      </c>
      <c r="Y51" s="15">
        <f>_xlfn.IFNA(IF(VLOOKUP($J51&amp;Y$12,'Mapping A'!$A$6:$G$1011,7,0)=1,$L51,""),0)</f>
        <v>0.1008</v>
      </c>
      <c r="Z51" s="15">
        <f>_xlfn.IFNA(IF(VLOOKUP($J51&amp;Z$12,'Mapping A'!$A$6:$G$1011,7,0)=1,$L51,""),0)</f>
        <v>0</v>
      </c>
      <c r="AA51" s="15">
        <f>_xlfn.IFNA(IF(VLOOKUP($J51&amp;AA$12,'Mapping A'!$A$6:$G$1011,7,0)=1,$L51,""),0)</f>
        <v>0</v>
      </c>
      <c r="AF51" s="155" t="str">
        <f t="shared" si="19"/>
        <v>BWK1101TrustPower</v>
      </c>
      <c r="AG51" s="15" t="s">
        <v>164</v>
      </c>
      <c r="AH51" s="190" t="s">
        <v>138</v>
      </c>
      <c r="AI51" s="190">
        <f t="shared" si="20"/>
        <v>0.1008</v>
      </c>
      <c r="AJ51" s="292" t="s">
        <v>96</v>
      </c>
      <c r="AK51" s="15"/>
      <c r="AL51" s="15">
        <f t="shared" ca="1" si="36"/>
        <v>0</v>
      </c>
      <c r="AM51" s="15">
        <f t="shared" ca="1" si="37"/>
        <v>0</v>
      </c>
      <c r="AN51" s="15">
        <f t="shared" ca="1" si="38"/>
        <v>0</v>
      </c>
      <c r="AO51" s="15">
        <f t="shared" ca="1" si="39"/>
        <v>0</v>
      </c>
      <c r="AP51" s="15"/>
      <c r="AQ51" s="15">
        <f t="shared" ca="1" si="40"/>
        <v>0</v>
      </c>
      <c r="AR51" s="20">
        <f t="shared" ca="1" si="26"/>
        <v>0</v>
      </c>
      <c r="AS51" s="20"/>
      <c r="AT51" s="20">
        <f t="shared" ca="1" si="27"/>
        <v>0</v>
      </c>
      <c r="AU51" s="20">
        <f t="shared" ca="1" si="28"/>
        <v>0</v>
      </c>
      <c r="AV51" s="20">
        <f t="shared" ca="1" si="29"/>
        <v>2.7140859361327177E-4</v>
      </c>
      <c r="AW51" s="20">
        <f t="shared" si="30"/>
        <v>0</v>
      </c>
      <c r="AX51" s="20">
        <f t="shared" si="31"/>
        <v>0</v>
      </c>
      <c r="BA51" s="20"/>
      <c r="BD51" s="94" t="str">
        <f t="shared" si="34"/>
        <v>BPT1101Network Waitaki</v>
      </c>
      <c r="BF51" s="15" t="s">
        <v>20</v>
      </c>
      <c r="BG51" t="s">
        <v>160</v>
      </c>
      <c r="BH51" s="190">
        <v>11.4366</v>
      </c>
      <c r="BI51" s="190">
        <v>11.4370002746582</v>
      </c>
      <c r="BJ51" s="257">
        <f t="shared" si="35"/>
        <v>0.40620787290258692</v>
      </c>
      <c r="BK51" s="257">
        <f t="shared" si="32"/>
        <v>0.44530431968919648</v>
      </c>
      <c r="BL51" s="257">
        <f t="shared" si="33"/>
        <v>0.47136861754693615</v>
      </c>
      <c r="BM51" s="342" t="str">
        <f>VLOOKUP(LEFT(BG51,3),'Mapping B'!$D$2:$E$310,2,0)</f>
        <v>S</v>
      </c>
      <c r="BO51" s="20"/>
      <c r="BP51" s="190"/>
      <c r="BQ51" s="20"/>
      <c r="BR51" s="20"/>
    </row>
    <row r="52" spans="2:70" x14ac:dyDescent="0.25">
      <c r="B52" s="98" t="s">
        <v>111</v>
      </c>
      <c r="C52" s="98">
        <v>2014</v>
      </c>
      <c r="D52" s="98" t="s">
        <v>422</v>
      </c>
      <c r="E52" s="98" t="s">
        <v>0</v>
      </c>
      <c r="F52" s="98" t="s">
        <v>131</v>
      </c>
      <c r="G52" s="98">
        <v>0</v>
      </c>
      <c r="H52" s="299" t="str">
        <f>VLOOKUP(LEFT('Rev Adequacy'!D52,3),'Mapping B'!$D$2:$E$400,2,0)</f>
        <v>S</v>
      </c>
      <c r="I52" s="190"/>
      <c r="J52" s="15" t="s">
        <v>166</v>
      </c>
      <c r="K52" s="190" t="s">
        <v>38</v>
      </c>
      <c r="L52" s="190">
        <f t="shared" si="18"/>
        <v>41.208300000000001</v>
      </c>
      <c r="O52" s="15">
        <f>_xlfn.IFNA(IF(VLOOKUP($J52&amp;O$12,'Mapping A'!$A$6:$G$1011,7,0)=1,$L52,""),0)</f>
        <v>0</v>
      </c>
      <c r="P52" s="15">
        <f>_xlfn.IFNA(IF(VLOOKUP($J52&amp;P$12,'Mapping A'!$A$6:$G$1011,7,0)=1,$L52,""),0)</f>
        <v>41.208300000000001</v>
      </c>
      <c r="Q52" s="15">
        <f>_xlfn.IFNA(IF(VLOOKUP($J52&amp;Q$12,'Mapping A'!$A$6:$G$1011,7,0)=1,$L52,""),0)</f>
        <v>41.208300000000001</v>
      </c>
      <c r="R52" s="15">
        <f>_xlfn.IFNA(IF(VLOOKUP($J52&amp;R$12,'Mapping A'!$A$6:$G$1011,7,0)=1,$L52,""),0)</f>
        <v>0</v>
      </c>
      <c r="S52" s="15">
        <f>_xlfn.IFNA(IF(VLOOKUP($J52&amp;S$12,'Mapping A'!$A$6:$G$1011,7,0)=1,$L52,""),0)</f>
        <v>0</v>
      </c>
      <c r="T52" s="15">
        <f>_xlfn.IFNA(IF(VLOOKUP($J52&amp;T$14,'Mapping A'!$A$6:$G$1011,7,0)=1,$L52,""),0)</f>
        <v>41.208300000000001</v>
      </c>
      <c r="U52" s="15">
        <f>_xlfn.IFNA(IF(VLOOKUP($J52&amp;U$12,'Mapping A'!$A$6:$G$1011,7,0)=1,$L52,""),0)</f>
        <v>0</v>
      </c>
      <c r="V52" s="15">
        <f>_xlfn.IFNA(IF(VLOOKUP($J52&amp;V$12,'Mapping A'!$A$6:$G$1011,7,0)=1,$L52,""),0)</f>
        <v>0</v>
      </c>
      <c r="W52" s="15">
        <f>_xlfn.IFNA(IF(VLOOKUP($J52&amp;W$12,'Mapping A'!$A$6:$G$1011,7,0)=1,$L52,""),0)</f>
        <v>0</v>
      </c>
      <c r="X52" s="15">
        <f>_xlfn.IFNA(IF(VLOOKUP($J52&amp;X$12,'Mapping A'!$A$6:$G$1011,7,0)=1,$L52,""),0)</f>
        <v>0</v>
      </c>
      <c r="Y52" s="15">
        <f>_xlfn.IFNA(IF(VLOOKUP($J52&amp;Y$12,'Mapping A'!$A$6:$G$1011,7,0)=1,$L52,""),0)</f>
        <v>0</v>
      </c>
      <c r="Z52" s="15">
        <f>_xlfn.IFNA(IF(VLOOKUP($J52&amp;Z$12,'Mapping A'!$A$6:$G$1011,7,0)=1,$L52,""),0)</f>
        <v>0</v>
      </c>
      <c r="AA52" s="15">
        <f>_xlfn.IFNA(IF(VLOOKUP($J52&amp;AA$12,'Mapping A'!$A$6:$G$1011,7,0)=1,$L52,""),0)</f>
        <v>0</v>
      </c>
      <c r="AF52" s="155" t="str">
        <f t="shared" si="19"/>
        <v>CBG0111Waipa Power</v>
      </c>
      <c r="AG52" s="15" t="s">
        <v>166</v>
      </c>
      <c r="AH52" s="190" t="s">
        <v>38</v>
      </c>
      <c r="AI52" s="190">
        <f t="shared" si="20"/>
        <v>41.208300000000001</v>
      </c>
      <c r="AJ52" s="292" t="s">
        <v>95</v>
      </c>
      <c r="AK52" s="15"/>
      <c r="AL52" s="15">
        <f t="shared" ca="1" si="36"/>
        <v>0</v>
      </c>
      <c r="AM52" s="15">
        <f t="shared" ca="1" si="37"/>
        <v>0</v>
      </c>
      <c r="AN52" s="15">
        <f t="shared" ca="1" si="38"/>
        <v>0</v>
      </c>
      <c r="AO52" s="15">
        <f t="shared" ca="1" si="39"/>
        <v>0</v>
      </c>
      <c r="AP52" s="15"/>
      <c r="AQ52" s="15">
        <f t="shared" ca="1" si="40"/>
        <v>0</v>
      </c>
      <c r="AR52" s="20">
        <f t="shared" ca="1" si="26"/>
        <v>0</v>
      </c>
      <c r="AS52" s="20"/>
      <c r="AT52" s="20">
        <f t="shared" ca="1" si="27"/>
        <v>0</v>
      </c>
      <c r="AU52" s="20">
        <f t="shared" ca="1" si="28"/>
        <v>0</v>
      </c>
      <c r="AV52" s="20">
        <f t="shared" ca="1" si="29"/>
        <v>0</v>
      </c>
      <c r="AW52" s="20">
        <f t="shared" si="30"/>
        <v>0</v>
      </c>
      <c r="AX52" s="20">
        <f t="shared" si="31"/>
        <v>0</v>
      </c>
      <c r="BA52" s="20"/>
      <c r="BD52" s="94" t="str">
        <f t="shared" si="34"/>
        <v>BRB0331Northpower</v>
      </c>
      <c r="BF52" s="15" t="s">
        <v>23</v>
      </c>
      <c r="BG52" t="s">
        <v>161</v>
      </c>
      <c r="BH52" s="190">
        <v>13.4841</v>
      </c>
      <c r="BI52" s="190">
        <v>13.378671421960799</v>
      </c>
      <c r="BJ52" s="257">
        <f t="shared" si="35"/>
        <v>0.47893146380967871</v>
      </c>
      <c r="BK52" s="257">
        <f t="shared" si="32"/>
        <v>0.52502736627328872</v>
      </c>
      <c r="BL52" s="257">
        <f t="shared" si="33"/>
        <v>0.55575796791569532</v>
      </c>
      <c r="BM52" s="342" t="str">
        <f>VLOOKUP(LEFT(BG52,3),'Mapping B'!$D$2:$E$310,2,0)</f>
        <v>N</v>
      </c>
      <c r="BO52" s="20"/>
      <c r="BP52" s="190"/>
      <c r="BQ52" s="20"/>
      <c r="BR52" s="20"/>
    </row>
    <row r="53" spans="2:70" x14ac:dyDescent="0.25">
      <c r="B53" s="98" t="s">
        <v>111</v>
      </c>
      <c r="C53" s="98">
        <v>2014</v>
      </c>
      <c r="D53" s="98" t="s">
        <v>347</v>
      </c>
      <c r="E53" s="98" t="s">
        <v>0</v>
      </c>
      <c r="F53" s="98" t="s">
        <v>131</v>
      </c>
      <c r="G53" s="98">
        <v>0</v>
      </c>
      <c r="H53" s="299" t="str">
        <f>VLOOKUP(LEFT('Rev Adequacy'!D53,3),'Mapping B'!$D$2:$E$400,2,0)</f>
        <v>S</v>
      </c>
      <c r="I53" s="190"/>
      <c r="J53" s="15" t="s">
        <v>167</v>
      </c>
      <c r="K53" s="190" t="s">
        <v>25</v>
      </c>
      <c r="L53" s="190">
        <f t="shared" si="18"/>
        <v>0.61529999999999996</v>
      </c>
      <c r="O53" s="15">
        <f>_xlfn.IFNA(IF(VLOOKUP($J53&amp;O$12,'Mapping A'!$A$6:$G$1011,7,0)=1,$L53,""),0)</f>
        <v>0</v>
      </c>
      <c r="P53" s="15">
        <f>_xlfn.IFNA(IF(VLOOKUP($J53&amp;P$12,'Mapping A'!$A$6:$G$1011,7,0)=1,$L53,""),0)</f>
        <v>0.61529999999999996</v>
      </c>
      <c r="Q53" s="15">
        <f>_xlfn.IFNA(IF(VLOOKUP($J53&amp;Q$12,'Mapping A'!$A$6:$G$1011,7,0)=1,$L53,""),0)</f>
        <v>0</v>
      </c>
      <c r="R53" s="15">
        <f>_xlfn.IFNA(IF(VLOOKUP($J53&amp;R$12,'Mapping A'!$A$6:$G$1011,7,0)=1,$L53,""),0)</f>
        <v>0</v>
      </c>
      <c r="S53" s="15">
        <f>_xlfn.IFNA(IF(VLOOKUP($J53&amp;S$12,'Mapping A'!$A$6:$G$1011,7,0)=1,$L53,""),0)</f>
        <v>0</v>
      </c>
      <c r="T53" s="15">
        <f>_xlfn.IFNA(IF(VLOOKUP($J53&amp;T$14,'Mapping A'!$A$6:$G$1011,7,0)=1,$L53,""),0)</f>
        <v>0</v>
      </c>
      <c r="U53" s="15">
        <f>_xlfn.IFNA(IF(VLOOKUP($J53&amp;U$12,'Mapping A'!$A$6:$G$1011,7,0)=1,$L53,""),0)</f>
        <v>0</v>
      </c>
      <c r="V53" s="15">
        <f>_xlfn.IFNA(IF(VLOOKUP($J53&amp;V$12,'Mapping A'!$A$6:$G$1011,7,0)=1,$L53,""),0)</f>
        <v>0</v>
      </c>
      <c r="W53" s="15">
        <f>_xlfn.IFNA(IF(VLOOKUP($J53&amp;W$12,'Mapping A'!$A$6:$G$1011,7,0)=1,$L53,""),0)</f>
        <v>0.61529999999999996</v>
      </c>
      <c r="X53" s="15">
        <f>_xlfn.IFNA(IF(VLOOKUP($J53&amp;X$12,'Mapping A'!$A$6:$G$1011,7,0)=1,$L53,""),0)</f>
        <v>0</v>
      </c>
      <c r="Y53" s="15">
        <f>_xlfn.IFNA(IF(VLOOKUP($J53&amp;Y$12,'Mapping A'!$A$6:$G$1011,7,0)=1,$L53,""),0)</f>
        <v>0</v>
      </c>
      <c r="Z53" s="15">
        <f>_xlfn.IFNA(IF(VLOOKUP($J53&amp;Z$12,'Mapping A'!$A$6:$G$1011,7,0)=1,$L53,""),0)</f>
        <v>0</v>
      </c>
      <c r="AA53" s="15">
        <f>_xlfn.IFNA(IF(VLOOKUP($J53&amp;AA$12,'Mapping A'!$A$6:$G$1011,7,0)=1,$L53,""),0)</f>
        <v>0.61529999999999996</v>
      </c>
      <c r="AF53" s="155" t="str">
        <f t="shared" si="19"/>
        <v>CLH0111Orion</v>
      </c>
      <c r="AG53" s="15" t="s">
        <v>167</v>
      </c>
      <c r="AH53" s="190" t="s">
        <v>25</v>
      </c>
      <c r="AI53" s="190">
        <f t="shared" si="20"/>
        <v>0.61529999999999996</v>
      </c>
      <c r="AJ53" s="292" t="s">
        <v>96</v>
      </c>
      <c r="AK53" s="15"/>
      <c r="AL53" s="15">
        <f t="shared" ca="1" si="36"/>
        <v>0</v>
      </c>
      <c r="AM53" s="15">
        <f t="shared" ca="1" si="37"/>
        <v>0</v>
      </c>
      <c r="AN53" s="15">
        <f t="shared" ca="1" si="38"/>
        <v>0</v>
      </c>
      <c r="AO53" s="15">
        <f t="shared" ca="1" si="39"/>
        <v>0</v>
      </c>
      <c r="AP53" s="15"/>
      <c r="AQ53" s="15">
        <f t="shared" ca="1" si="40"/>
        <v>0</v>
      </c>
      <c r="AR53" s="20">
        <f t="shared" ca="1" si="26"/>
        <v>0</v>
      </c>
      <c r="AS53" s="20"/>
      <c r="AT53" s="20">
        <f t="shared" ca="1" si="27"/>
        <v>1.7558215075911909E-3</v>
      </c>
      <c r="AU53" s="20">
        <f t="shared" ca="1" si="28"/>
        <v>0</v>
      </c>
      <c r="AV53" s="20">
        <f t="shared" ca="1" si="29"/>
        <v>0</v>
      </c>
      <c r="AW53" s="20">
        <f t="shared" si="30"/>
        <v>0</v>
      </c>
      <c r="AX53" s="20">
        <f t="shared" si="31"/>
        <v>0</v>
      </c>
      <c r="BA53" s="20"/>
      <c r="BD53" s="94" t="str">
        <f t="shared" si="34"/>
        <v>BRB0331Refinery</v>
      </c>
      <c r="BF53" s="15" t="s">
        <v>904</v>
      </c>
      <c r="BG53" t="s">
        <v>161</v>
      </c>
      <c r="BH53" s="190">
        <v>35.599199999999996</v>
      </c>
      <c r="BI53" s="190">
        <v>35.599616184558499</v>
      </c>
      <c r="BJ53" s="257">
        <f t="shared" si="35"/>
        <v>1.2644208339046368</v>
      </c>
      <c r="BK53" s="257">
        <f t="shared" si="32"/>
        <v>1.3861180366087509</v>
      </c>
      <c r="BL53" s="257">
        <f t="shared" si="33"/>
        <v>1.4672495050781602</v>
      </c>
      <c r="BM53" s="342" t="str">
        <f>VLOOKUP(LEFT(BG53,3),'Mapping B'!$D$2:$E$310,2,0)</f>
        <v>N</v>
      </c>
      <c r="BO53" s="20"/>
      <c r="BP53" s="190"/>
      <c r="BQ53" s="20"/>
      <c r="BR53" s="20"/>
    </row>
    <row r="54" spans="2:70" x14ac:dyDescent="0.25">
      <c r="B54" s="98" t="s">
        <v>111</v>
      </c>
      <c r="C54" s="98">
        <v>2014</v>
      </c>
      <c r="D54" s="98" t="s">
        <v>362</v>
      </c>
      <c r="E54" s="98" t="s">
        <v>0</v>
      </c>
      <c r="F54" s="98" t="s">
        <v>131</v>
      </c>
      <c r="G54" s="98">
        <v>0</v>
      </c>
      <c r="H54" s="299" t="str">
        <f>VLOOKUP(LEFT('Rev Adequacy'!D54,3),'Mapping B'!$D$2:$E$400,2,0)</f>
        <v>S</v>
      </c>
      <c r="I54" s="190"/>
      <c r="J54" s="15" t="s">
        <v>168</v>
      </c>
      <c r="K54" s="190" t="s">
        <v>1</v>
      </c>
      <c r="L54" s="190">
        <f t="shared" si="18"/>
        <v>33.232500000000002</v>
      </c>
      <c r="O54" s="15">
        <f>_xlfn.IFNA(IF(VLOOKUP($J54&amp;O$12,'Mapping A'!$A$6:$G$1011,7,0)=1,$L54,""),0)</f>
        <v>0</v>
      </c>
      <c r="P54" s="15">
        <f>_xlfn.IFNA(IF(VLOOKUP($J54&amp;P$12,'Mapping A'!$A$6:$G$1011,7,0)=1,$L54,""),0)</f>
        <v>33.232500000000002</v>
      </c>
      <c r="Q54" s="15">
        <f>_xlfn.IFNA(IF(VLOOKUP($J54&amp;Q$12,'Mapping A'!$A$6:$G$1011,7,0)=1,$L54,""),0)</f>
        <v>0</v>
      </c>
      <c r="R54" s="15">
        <f>_xlfn.IFNA(IF(VLOOKUP($J54&amp;R$12,'Mapping A'!$A$6:$G$1011,7,0)=1,$L54,""),0)</f>
        <v>0</v>
      </c>
      <c r="S54" s="15">
        <f>_xlfn.IFNA(IF(VLOOKUP($J54&amp;S$12,'Mapping A'!$A$6:$G$1011,7,0)=1,$L54,""),0)</f>
        <v>0</v>
      </c>
      <c r="T54" s="15">
        <f>_xlfn.IFNA(IF(VLOOKUP($J54&amp;T$14,'Mapping A'!$A$6:$G$1011,7,0)=1,$L54,""),0)</f>
        <v>0</v>
      </c>
      <c r="U54" s="15">
        <f>_xlfn.IFNA(IF(VLOOKUP($J54&amp;U$12,'Mapping A'!$A$6:$G$1011,7,0)=1,$L54,""),0)</f>
        <v>0</v>
      </c>
      <c r="V54" s="15">
        <f>_xlfn.IFNA(IF(VLOOKUP($J54&amp;V$12,'Mapping A'!$A$6:$G$1011,7,0)=1,$L54,""),0)</f>
        <v>0</v>
      </c>
      <c r="W54" s="15">
        <f>_xlfn.IFNA(IF(VLOOKUP($J54&amp;W$12,'Mapping A'!$A$6:$G$1011,7,0)=1,$L54,""),0)</f>
        <v>0</v>
      </c>
      <c r="X54" s="15">
        <f>_xlfn.IFNA(IF(VLOOKUP($J54&amp;X$12,'Mapping A'!$A$6:$G$1011,7,0)=1,$L54,""),0)</f>
        <v>0</v>
      </c>
      <c r="Y54" s="15">
        <f>_xlfn.IFNA(IF(VLOOKUP($J54&amp;Y$12,'Mapping A'!$A$6:$G$1011,7,0)=1,$L54,""),0)</f>
        <v>0</v>
      </c>
      <c r="Z54" s="15">
        <f>_xlfn.IFNA(IF(VLOOKUP($J54&amp;Z$12,'Mapping A'!$A$6:$G$1011,7,0)=1,$L54,""),0)</f>
        <v>0</v>
      </c>
      <c r="AA54" s="15">
        <f>_xlfn.IFNA(IF(VLOOKUP($J54&amp;AA$12,'Mapping A'!$A$6:$G$1011,7,0)=1,$L54,""),0)</f>
        <v>0</v>
      </c>
      <c r="AF54" s="155" t="str">
        <f t="shared" si="19"/>
        <v>CML0331Aurora Energy</v>
      </c>
      <c r="AG54" s="15" t="s">
        <v>168</v>
      </c>
      <c r="AH54" s="190" t="s">
        <v>1</v>
      </c>
      <c r="AI54" s="190">
        <f t="shared" si="20"/>
        <v>33.232500000000002</v>
      </c>
      <c r="AJ54" s="292" t="s">
        <v>96</v>
      </c>
      <c r="AK54" s="15"/>
      <c r="AL54" s="15">
        <f t="shared" ca="1" si="36"/>
        <v>0</v>
      </c>
      <c r="AM54" s="15">
        <f t="shared" ca="1" si="37"/>
        <v>0</v>
      </c>
      <c r="AN54" s="15">
        <f t="shared" ca="1" si="38"/>
        <v>0</v>
      </c>
      <c r="AO54" s="15">
        <f t="shared" ca="1" si="39"/>
        <v>0</v>
      </c>
      <c r="AP54" s="15"/>
      <c r="AQ54" s="15">
        <f t="shared" ca="1" si="40"/>
        <v>0</v>
      </c>
      <c r="AR54" s="20">
        <f t="shared" ca="1" si="26"/>
        <v>0</v>
      </c>
      <c r="AS54" s="20"/>
      <c r="AT54" s="20">
        <f t="shared" ca="1" si="27"/>
        <v>0</v>
      </c>
      <c r="AU54" s="20">
        <f t="shared" ca="1" si="28"/>
        <v>0</v>
      </c>
      <c r="AV54" s="20">
        <f t="shared" ca="1" si="29"/>
        <v>0</v>
      </c>
      <c r="AW54" s="20">
        <f t="shared" si="30"/>
        <v>0</v>
      </c>
      <c r="AX54" s="20">
        <f t="shared" si="31"/>
        <v>0</v>
      </c>
      <c r="BA54" s="20"/>
      <c r="BD54" s="94" t="str">
        <f t="shared" si="34"/>
        <v>BRK0331Powerco</v>
      </c>
      <c r="BF54" s="15" t="s">
        <v>28</v>
      </c>
      <c r="BG54" t="s">
        <v>162</v>
      </c>
      <c r="BH54" s="190">
        <v>29.8431</v>
      </c>
      <c r="BI54" s="190">
        <v>29.8449993133544</v>
      </c>
      <c r="BJ54" s="257">
        <f t="shared" si="35"/>
        <v>1.0599743080827511</v>
      </c>
      <c r="BK54" s="257">
        <f t="shared" si="32"/>
        <v>1.1619940666733695</v>
      </c>
      <c r="BL54" s="257">
        <f t="shared" si="33"/>
        <v>1.2300072390671151</v>
      </c>
      <c r="BM54" s="342" t="str">
        <f>VLOOKUP(LEFT(BG54,3),'Mapping B'!$D$2:$E$310,2,0)</f>
        <v>N</v>
      </c>
      <c r="BO54" s="20"/>
      <c r="BP54" s="190"/>
      <c r="BQ54" s="20"/>
      <c r="BR54" s="20"/>
    </row>
    <row r="55" spans="2:70" x14ac:dyDescent="0.25">
      <c r="B55" s="98" t="s">
        <v>552</v>
      </c>
      <c r="C55" s="98">
        <v>2014</v>
      </c>
      <c r="D55" s="98" t="s">
        <v>168</v>
      </c>
      <c r="E55" s="98" t="s">
        <v>1</v>
      </c>
      <c r="F55" s="98" t="s">
        <v>131</v>
      </c>
      <c r="G55" s="248">
        <v>4111.84800000006</v>
      </c>
      <c r="H55" s="299" t="str">
        <f>VLOOKUP(LEFT('Rev Adequacy'!D55,3),'Mapping B'!$D$2:$E$400,2,0)</f>
        <v>S</v>
      </c>
      <c r="I55" s="190"/>
      <c r="J55" s="15" t="s">
        <v>934</v>
      </c>
      <c r="K55" s="190" t="s">
        <v>138</v>
      </c>
      <c r="L55" s="190">
        <f t="shared" si="18"/>
        <v>0.12179999999999999</v>
      </c>
      <c r="O55" s="15">
        <f>_xlfn.IFNA(IF(VLOOKUP($J55&amp;O$12,'Mapping A'!$A$6:$G$1011,7,0)=1,$L55,""),0)</f>
        <v>0</v>
      </c>
      <c r="P55" s="15">
        <f>_xlfn.IFNA(IF(VLOOKUP($J55&amp;P$12,'Mapping A'!$A$6:$G$1011,7,0)=1,$L55,""),0)</f>
        <v>0</v>
      </c>
      <c r="Q55" s="15">
        <f>_xlfn.IFNA(IF(VLOOKUP($J55&amp;Q$12,'Mapping A'!$A$6:$G$1011,7,0)=1,$L55,""),0)</f>
        <v>0</v>
      </c>
      <c r="R55" s="15">
        <f>_xlfn.IFNA(IF(VLOOKUP($J55&amp;R$12,'Mapping A'!$A$6:$G$1011,7,0)=1,$L55,""),0)</f>
        <v>0</v>
      </c>
      <c r="S55" s="15">
        <f>_xlfn.IFNA(IF(VLOOKUP($J55&amp;S$12,'Mapping A'!$A$6:$G$1011,7,0)=1,$L55,""),0)</f>
        <v>0</v>
      </c>
      <c r="T55" s="15">
        <f>_xlfn.IFNA(IF(VLOOKUP($J55&amp;T$14,'Mapping A'!$A$6:$G$1011,7,0)=1,$L55,""),0)</f>
        <v>0</v>
      </c>
      <c r="U55" s="15">
        <f>_xlfn.IFNA(IF(VLOOKUP($J55&amp;U$12,'Mapping A'!$A$6:$G$1011,7,0)=1,$L55,""),0)</f>
        <v>0</v>
      </c>
      <c r="V55" s="15">
        <f>_xlfn.IFNA(IF(VLOOKUP($J55&amp;V$12,'Mapping A'!$A$6:$G$1011,7,0)=1,$L55,""),0)</f>
        <v>0</v>
      </c>
      <c r="W55" s="15">
        <f>_xlfn.IFNA(IF(VLOOKUP($J55&amp;W$12,'Mapping A'!$A$6:$G$1011,7,0)=1,$L55,""),0)</f>
        <v>0</v>
      </c>
      <c r="X55" s="15">
        <f>_xlfn.IFNA(IF(VLOOKUP($J55&amp;X$12,'Mapping A'!$A$6:$G$1011,7,0)=1,$L55,""),0)</f>
        <v>0</v>
      </c>
      <c r="Y55" s="15">
        <f>_xlfn.IFNA(IF(VLOOKUP($J55&amp;Y$12,'Mapping A'!$A$6:$G$1011,7,0)=1,$L55,""),0)</f>
        <v>0</v>
      </c>
      <c r="Z55" s="15">
        <f>_xlfn.IFNA(IF(VLOOKUP($J55&amp;Z$12,'Mapping A'!$A$6:$G$1011,7,0)=1,$L55,""),0)</f>
        <v>0</v>
      </c>
      <c r="AA55" s="15">
        <f>_xlfn.IFNA(IF(VLOOKUP($J55&amp;AA$12,'Mapping A'!$A$6:$G$1011,7,0)=1,$L55,""),0)</f>
        <v>0</v>
      </c>
      <c r="AF55" s="155" t="str">
        <f t="shared" si="19"/>
        <v>COB0661TrustPower</v>
      </c>
      <c r="AG55" s="15" t="s">
        <v>934</v>
      </c>
      <c r="AH55" s="190" t="s">
        <v>138</v>
      </c>
      <c r="AI55" s="190">
        <f t="shared" si="20"/>
        <v>0.12179999999999999</v>
      </c>
      <c r="AJ55" s="292" t="s">
        <v>96</v>
      </c>
      <c r="AK55" s="15"/>
      <c r="AL55" s="15">
        <f t="shared" ca="1" si="36"/>
        <v>0</v>
      </c>
      <c r="AM55" s="15">
        <f t="shared" ca="1" si="37"/>
        <v>0</v>
      </c>
      <c r="AN55" s="15">
        <f t="shared" ca="1" si="38"/>
        <v>0</v>
      </c>
      <c r="AO55" s="15">
        <f t="shared" ca="1" si="39"/>
        <v>0</v>
      </c>
      <c r="AP55" s="15"/>
      <c r="AQ55" s="15">
        <f t="shared" ca="1" si="40"/>
        <v>0</v>
      </c>
      <c r="AR55" s="20">
        <f t="shared" ca="1" si="26"/>
        <v>0</v>
      </c>
      <c r="AS55" s="20"/>
      <c r="AT55" s="20">
        <f t="shared" ca="1" si="27"/>
        <v>0</v>
      </c>
      <c r="AU55" s="20">
        <f t="shared" ca="1" si="28"/>
        <v>0</v>
      </c>
      <c r="AV55" s="20">
        <f t="shared" ca="1" si="29"/>
        <v>0</v>
      </c>
      <c r="AW55" s="20">
        <f t="shared" si="30"/>
        <v>0</v>
      </c>
      <c r="AX55" s="20">
        <f t="shared" si="31"/>
        <v>0</v>
      </c>
      <c r="BA55" s="20"/>
      <c r="BD55" s="94" t="str">
        <f t="shared" si="34"/>
        <v>BRY0661Orion</v>
      </c>
      <c r="BF55" s="15" t="s">
        <v>25</v>
      </c>
      <c r="BG55" t="s">
        <v>163</v>
      </c>
      <c r="BH55" s="190">
        <v>179.95529999999999</v>
      </c>
      <c r="BI55" s="190">
        <v>179.95399475097599</v>
      </c>
      <c r="BJ55" s="257">
        <f t="shared" si="35"/>
        <v>6.3916950518988944</v>
      </c>
      <c r="BK55" s="257">
        <f t="shared" si="32"/>
        <v>7.0068790060826869</v>
      </c>
      <c r="BL55" s="257">
        <f t="shared" si="33"/>
        <v>7.4170016422052143</v>
      </c>
      <c r="BM55" s="342" t="str">
        <f>VLOOKUP(LEFT(BG55,3),'Mapping B'!$D$2:$E$310,2,0)</f>
        <v>S</v>
      </c>
      <c r="BO55" s="20"/>
      <c r="BP55" s="190"/>
      <c r="BQ55" s="20"/>
      <c r="BR55" s="20"/>
    </row>
    <row r="56" spans="2:70" x14ac:dyDescent="0.25">
      <c r="B56" s="98" t="s">
        <v>552</v>
      </c>
      <c r="C56" s="98">
        <v>2014</v>
      </c>
      <c r="D56" s="98" t="s">
        <v>177</v>
      </c>
      <c r="E56" s="98" t="s">
        <v>1</v>
      </c>
      <c r="F56" s="98" t="s">
        <v>131</v>
      </c>
      <c r="G56" s="248">
        <v>0</v>
      </c>
      <c r="H56" s="299" t="str">
        <f>VLOOKUP(LEFT('Rev Adequacy'!D56,3),'Mapping B'!$D$2:$E$400,2,0)</f>
        <v>S</v>
      </c>
      <c r="I56" s="190"/>
      <c r="J56" s="15" t="s">
        <v>169</v>
      </c>
      <c r="K56" s="190" t="s">
        <v>25</v>
      </c>
      <c r="L56" s="190">
        <f t="shared" si="18"/>
        <v>0.40110000000000001</v>
      </c>
      <c r="O56" s="15">
        <f>_xlfn.IFNA(IF(VLOOKUP($J56&amp;O$12,'Mapping A'!$A$6:$G$1011,7,0)=1,$L56,""),0)</f>
        <v>0</v>
      </c>
      <c r="P56" s="15">
        <f>_xlfn.IFNA(IF(VLOOKUP($J56&amp;P$12,'Mapping A'!$A$6:$G$1011,7,0)=1,$L56,""),0)</f>
        <v>0.40110000000000001</v>
      </c>
      <c r="Q56" s="15">
        <f>_xlfn.IFNA(IF(VLOOKUP($J56&amp;Q$12,'Mapping A'!$A$6:$G$1011,7,0)=1,$L56,""),0)</f>
        <v>0</v>
      </c>
      <c r="R56" s="15">
        <f>_xlfn.IFNA(IF(VLOOKUP($J56&amp;R$12,'Mapping A'!$A$6:$G$1011,7,0)=1,$L56,""),0)</f>
        <v>0</v>
      </c>
      <c r="S56" s="15">
        <f>_xlfn.IFNA(IF(VLOOKUP($J56&amp;S$12,'Mapping A'!$A$6:$G$1011,7,0)=1,$L56,""),0)</f>
        <v>0</v>
      </c>
      <c r="T56" s="15">
        <f>_xlfn.IFNA(IF(VLOOKUP($J56&amp;T$14,'Mapping A'!$A$6:$G$1011,7,0)=1,$L56,""),0)</f>
        <v>0</v>
      </c>
      <c r="U56" s="15">
        <f>_xlfn.IFNA(IF(VLOOKUP($J56&amp;U$12,'Mapping A'!$A$6:$G$1011,7,0)=1,$L56,""),0)</f>
        <v>0</v>
      </c>
      <c r="V56" s="15">
        <f>_xlfn.IFNA(IF(VLOOKUP($J56&amp;V$12,'Mapping A'!$A$6:$G$1011,7,0)=1,$L56,""),0)</f>
        <v>0</v>
      </c>
      <c r="W56" s="15">
        <f>_xlfn.IFNA(IF(VLOOKUP($J56&amp;W$12,'Mapping A'!$A$6:$G$1011,7,0)=1,$L56,""),0)</f>
        <v>0.40110000000000001</v>
      </c>
      <c r="X56" s="15">
        <f>_xlfn.IFNA(IF(VLOOKUP($J56&amp;X$12,'Mapping A'!$A$6:$G$1011,7,0)=1,$L56,""),0)</f>
        <v>0</v>
      </c>
      <c r="Y56" s="15">
        <f>_xlfn.IFNA(IF(VLOOKUP($J56&amp;Y$12,'Mapping A'!$A$6:$G$1011,7,0)=1,$L56,""),0)</f>
        <v>0</v>
      </c>
      <c r="Z56" s="15">
        <f>_xlfn.IFNA(IF(VLOOKUP($J56&amp;Z$12,'Mapping A'!$A$6:$G$1011,7,0)=1,$L56,""),0)</f>
        <v>0</v>
      </c>
      <c r="AA56" s="15">
        <f>_xlfn.IFNA(IF(VLOOKUP($J56&amp;AA$12,'Mapping A'!$A$6:$G$1011,7,0)=1,$L56,""),0)</f>
        <v>0</v>
      </c>
      <c r="AF56" s="155" t="str">
        <f t="shared" si="19"/>
        <v>COL0111Orion</v>
      </c>
      <c r="AG56" s="15" t="s">
        <v>169</v>
      </c>
      <c r="AH56" s="190" t="s">
        <v>25</v>
      </c>
      <c r="AI56" s="190">
        <f t="shared" si="20"/>
        <v>0.40110000000000001</v>
      </c>
      <c r="AJ56" s="292" t="s">
        <v>96</v>
      </c>
      <c r="AK56" s="15"/>
      <c r="AL56" s="15">
        <f t="shared" ca="1" si="36"/>
        <v>0</v>
      </c>
      <c r="AM56" s="15">
        <f t="shared" ca="1" si="37"/>
        <v>0</v>
      </c>
      <c r="AN56" s="15">
        <f t="shared" ca="1" si="38"/>
        <v>0</v>
      </c>
      <c r="AO56" s="15">
        <f t="shared" ca="1" si="39"/>
        <v>0</v>
      </c>
      <c r="AP56" s="15"/>
      <c r="AQ56" s="15">
        <f t="shared" ca="1" si="40"/>
        <v>0</v>
      </c>
      <c r="AR56" s="20">
        <f t="shared" ca="1" si="26"/>
        <v>0</v>
      </c>
      <c r="AS56" s="20"/>
      <c r="AT56" s="20">
        <f t="shared" ca="1" si="27"/>
        <v>1.1445798906140529E-3</v>
      </c>
      <c r="AU56" s="20">
        <f t="shared" ca="1" si="28"/>
        <v>0</v>
      </c>
      <c r="AV56" s="20">
        <f t="shared" ca="1" si="29"/>
        <v>0</v>
      </c>
      <c r="AW56" s="20">
        <f t="shared" si="30"/>
        <v>0</v>
      </c>
      <c r="AX56" s="20">
        <f t="shared" si="31"/>
        <v>0</v>
      </c>
      <c r="BA56" s="20"/>
      <c r="BD56" s="94" t="str">
        <f t="shared" si="34"/>
        <v>BWK1101TrustPower</v>
      </c>
      <c r="BF56" s="15" t="s">
        <v>138</v>
      </c>
      <c r="BG56" t="s">
        <v>164</v>
      </c>
      <c r="BH56" s="190">
        <v>0.1008</v>
      </c>
      <c r="BI56" s="190">
        <v>0.101000003516674</v>
      </c>
      <c r="BJ56" s="257">
        <f t="shared" si="35"/>
        <v>3.5802383215799067E-3</v>
      </c>
      <c r="BK56" s="257">
        <f t="shared" si="32"/>
        <v>3.9248269087553116E-3</v>
      </c>
      <c r="BL56" s="257">
        <f t="shared" si="33"/>
        <v>4.1545526335389146E-3</v>
      </c>
      <c r="BM56" s="342" t="str">
        <f>VLOOKUP(LEFT(BG56,3),'Mapping B'!$D$2:$E$310,2,0)</f>
        <v>S</v>
      </c>
      <c r="BO56" s="20"/>
      <c r="BP56" s="190"/>
      <c r="BQ56" s="20"/>
      <c r="BR56" s="20"/>
    </row>
    <row r="57" spans="2:70" x14ac:dyDescent="0.25">
      <c r="B57" s="98" t="s">
        <v>552</v>
      </c>
      <c r="C57" s="98">
        <v>2014</v>
      </c>
      <c r="D57" s="98" t="s">
        <v>185</v>
      </c>
      <c r="E57" s="98" t="s">
        <v>1</v>
      </c>
      <c r="F57" s="98" t="s">
        <v>131</v>
      </c>
      <c r="G57" s="248">
        <v>3736.3192152300498</v>
      </c>
      <c r="H57" s="299" t="str">
        <f>VLOOKUP(LEFT('Rev Adequacy'!D57,3),'Mapping B'!$D$2:$E$400,2,0)</f>
        <v>S</v>
      </c>
      <c r="I57" s="190"/>
      <c r="J57" s="15" t="s">
        <v>170</v>
      </c>
      <c r="K57" s="190" t="s">
        <v>138</v>
      </c>
      <c r="L57" s="190">
        <f t="shared" si="18"/>
        <v>9.6599999999999991E-2</v>
      </c>
      <c r="O57" s="15">
        <f>_xlfn.IFNA(IF(VLOOKUP($J57&amp;O$12,'Mapping A'!$A$6:$G$1011,7,0)=1,$L57,""),0)</f>
        <v>0</v>
      </c>
      <c r="P57" s="15">
        <f>_xlfn.IFNA(IF(VLOOKUP($J57&amp;P$12,'Mapping A'!$A$6:$G$1011,7,0)=1,$L57,""),0)</f>
        <v>9.6599999999999991E-2</v>
      </c>
      <c r="Q57" s="15">
        <f>_xlfn.IFNA(IF(VLOOKUP($J57&amp;Q$12,'Mapping A'!$A$6:$G$1011,7,0)=1,$L57,""),0)</f>
        <v>0</v>
      </c>
      <c r="R57" s="15">
        <f>_xlfn.IFNA(IF(VLOOKUP($J57&amp;R$12,'Mapping A'!$A$6:$G$1011,7,0)=1,$L57,""),0)</f>
        <v>0</v>
      </c>
      <c r="S57" s="15">
        <f>_xlfn.IFNA(IF(VLOOKUP($J57&amp;S$12,'Mapping A'!$A$6:$G$1011,7,0)=1,$L57,""),0)</f>
        <v>0</v>
      </c>
      <c r="T57" s="15">
        <f>_xlfn.IFNA(IF(VLOOKUP($J57&amp;T$14,'Mapping A'!$A$6:$G$1011,7,0)=1,$L57,""),0)</f>
        <v>0</v>
      </c>
      <c r="U57" s="15">
        <f>_xlfn.IFNA(IF(VLOOKUP($J57&amp;U$12,'Mapping A'!$A$6:$G$1011,7,0)=1,$L57,""),0)</f>
        <v>0</v>
      </c>
      <c r="V57" s="15">
        <f>_xlfn.IFNA(IF(VLOOKUP($J57&amp;V$12,'Mapping A'!$A$6:$G$1011,7,0)=1,$L57,""),0)</f>
        <v>0</v>
      </c>
      <c r="W57" s="15">
        <f>_xlfn.IFNA(IF(VLOOKUP($J57&amp;W$12,'Mapping A'!$A$6:$G$1011,7,0)=1,$L57,""),0)</f>
        <v>9.6599999999999991E-2</v>
      </c>
      <c r="X57" s="15">
        <f>_xlfn.IFNA(IF(VLOOKUP($J57&amp;X$12,'Mapping A'!$A$6:$G$1011,7,0)=1,$L57,""),0)</f>
        <v>0</v>
      </c>
      <c r="Y57" s="15">
        <f>_xlfn.IFNA(IF(VLOOKUP($J57&amp;Y$12,'Mapping A'!$A$6:$G$1011,7,0)=1,$L57,""),0)</f>
        <v>0</v>
      </c>
      <c r="Z57" s="15">
        <f>_xlfn.IFNA(IF(VLOOKUP($J57&amp;Z$12,'Mapping A'!$A$6:$G$1011,7,0)=1,$L57,""),0)</f>
        <v>0</v>
      </c>
      <c r="AA57" s="15">
        <f>_xlfn.IFNA(IF(VLOOKUP($J57&amp;AA$12,'Mapping A'!$A$6:$G$1011,7,0)=1,$L57,""),0)</f>
        <v>0</v>
      </c>
      <c r="AF57" s="155" t="str">
        <f t="shared" si="19"/>
        <v>COL0661TrustPower</v>
      </c>
      <c r="AG57" s="15" t="s">
        <v>170</v>
      </c>
      <c r="AH57" s="190" t="s">
        <v>138</v>
      </c>
      <c r="AI57" s="190">
        <f t="shared" si="20"/>
        <v>9.6599999999999991E-2</v>
      </c>
      <c r="AJ57" s="292" t="s">
        <v>96</v>
      </c>
      <c r="AK57" s="15"/>
      <c r="AL57" s="15">
        <f t="shared" ca="1" si="36"/>
        <v>0</v>
      </c>
      <c r="AM57" s="15">
        <f t="shared" ca="1" si="37"/>
        <v>0</v>
      </c>
      <c r="AN57" s="15">
        <f t="shared" ca="1" si="38"/>
        <v>0</v>
      </c>
      <c r="AO57" s="15">
        <f t="shared" ca="1" si="39"/>
        <v>0</v>
      </c>
      <c r="AP57" s="15"/>
      <c r="AQ57" s="15">
        <f t="shared" ca="1" si="40"/>
        <v>0</v>
      </c>
      <c r="AR57" s="20">
        <f t="shared" ca="1" si="26"/>
        <v>0</v>
      </c>
      <c r="AS57" s="20"/>
      <c r="AT57" s="20">
        <f t="shared" ca="1" si="27"/>
        <v>2.7565798412694466E-4</v>
      </c>
      <c r="AU57" s="20">
        <f t="shared" ca="1" si="28"/>
        <v>0</v>
      </c>
      <c r="AV57" s="20">
        <f t="shared" ca="1" si="29"/>
        <v>0</v>
      </c>
      <c r="AW57" s="20">
        <f t="shared" si="30"/>
        <v>0</v>
      </c>
      <c r="AX57" s="20">
        <f t="shared" si="31"/>
        <v>0</v>
      </c>
      <c r="BA57" s="20"/>
      <c r="BD57" s="94" t="str">
        <f t="shared" si="34"/>
        <v>CBG0111Waipa Power</v>
      </c>
      <c r="BF57" s="15" t="s">
        <v>38</v>
      </c>
      <c r="BG57" t="s">
        <v>166</v>
      </c>
      <c r="BH57" s="190">
        <v>41.208300000000001</v>
      </c>
      <c r="BI57" s="190">
        <v>41.183998107910099</v>
      </c>
      <c r="BJ57" s="257">
        <f t="shared" si="35"/>
        <v>1.4636461788408857</v>
      </c>
      <c r="BK57" s="257">
        <f t="shared" si="32"/>
        <v>1.604518300635531</v>
      </c>
      <c r="BL57" s="257">
        <f t="shared" si="33"/>
        <v>1.6984330484986279</v>
      </c>
      <c r="BM57" s="342" t="str">
        <f>VLOOKUP(LEFT(BG57,3),'Mapping B'!$D$2:$E$310,2,0)</f>
        <v>N</v>
      </c>
      <c r="BO57" s="20"/>
      <c r="BP57" s="190"/>
      <c r="BQ57" s="20"/>
      <c r="BR57" s="20"/>
    </row>
    <row r="58" spans="2:70" x14ac:dyDescent="0.25">
      <c r="B58" s="98" t="s">
        <v>552</v>
      </c>
      <c r="C58" s="98">
        <v>2014</v>
      </c>
      <c r="D58" s="98" t="s">
        <v>220</v>
      </c>
      <c r="E58" s="98" t="s">
        <v>1</v>
      </c>
      <c r="F58" s="98" t="s">
        <v>131</v>
      </c>
      <c r="G58" s="248">
        <v>132292.89686143</v>
      </c>
      <c r="H58" s="299" t="str">
        <f>VLOOKUP(LEFT('Rev Adequacy'!D58,3),'Mapping B'!$D$2:$E$400,2,0)</f>
        <v>S</v>
      </c>
      <c r="I58" s="190"/>
      <c r="J58" s="15" t="s">
        <v>172</v>
      </c>
      <c r="K58" s="190" t="s">
        <v>40</v>
      </c>
      <c r="L58" s="190">
        <f t="shared" si="18"/>
        <v>24.2193</v>
      </c>
      <c r="O58" s="15">
        <f>_xlfn.IFNA(IF(VLOOKUP($J58&amp;O$12,'Mapping A'!$A$6:$G$1011,7,0)=1,$L58,""),0)</f>
        <v>0</v>
      </c>
      <c r="P58" s="15">
        <f>_xlfn.IFNA(IF(VLOOKUP($J58&amp;P$12,'Mapping A'!$A$6:$G$1011,7,0)=1,$L58,""),0)</f>
        <v>24.2193</v>
      </c>
      <c r="Q58" s="15">
        <f>_xlfn.IFNA(IF(VLOOKUP($J58&amp;Q$12,'Mapping A'!$A$6:$G$1011,7,0)=1,$L58,""),0)</f>
        <v>24.2193</v>
      </c>
      <c r="R58" s="15">
        <f>_xlfn.IFNA(IF(VLOOKUP($J58&amp;R$12,'Mapping A'!$A$6:$G$1011,7,0)=1,$L58,""),0)</f>
        <v>0</v>
      </c>
      <c r="S58" s="15">
        <f>_xlfn.IFNA(IF(VLOOKUP($J58&amp;S$12,'Mapping A'!$A$6:$G$1011,7,0)=1,$L58,""),0)</f>
        <v>0</v>
      </c>
      <c r="T58" s="15">
        <f>_xlfn.IFNA(IF(VLOOKUP($J58&amp;T$14,'Mapping A'!$A$6:$G$1011,7,0)=1,$L58,""),0)</f>
        <v>0</v>
      </c>
      <c r="U58" s="15">
        <f>_xlfn.IFNA(IF(VLOOKUP($J58&amp;U$12,'Mapping A'!$A$6:$G$1011,7,0)=1,$L58,""),0)</f>
        <v>0</v>
      </c>
      <c r="V58" s="15">
        <f>_xlfn.IFNA(IF(VLOOKUP($J58&amp;V$12,'Mapping A'!$A$6:$G$1011,7,0)=1,$L58,""),0)</f>
        <v>0</v>
      </c>
      <c r="W58" s="15">
        <f>_xlfn.IFNA(IF(VLOOKUP($J58&amp;W$12,'Mapping A'!$A$6:$G$1011,7,0)=1,$L58,""),0)</f>
        <v>0</v>
      </c>
      <c r="X58" s="15">
        <f>_xlfn.IFNA(IF(VLOOKUP($J58&amp;X$12,'Mapping A'!$A$6:$G$1011,7,0)=1,$L58,""),0)</f>
        <v>0</v>
      </c>
      <c r="Y58" s="15">
        <f>_xlfn.IFNA(IF(VLOOKUP($J58&amp;Y$12,'Mapping A'!$A$6:$G$1011,7,0)=1,$L58,""),0)</f>
        <v>0</v>
      </c>
      <c r="Z58" s="15">
        <f>_xlfn.IFNA(IF(VLOOKUP($J58&amp;Z$12,'Mapping A'!$A$6:$G$1011,7,0)=1,$L58,""),0)</f>
        <v>0</v>
      </c>
      <c r="AA58" s="15">
        <f>_xlfn.IFNA(IF(VLOOKUP($J58&amp;AA$12,'Mapping A'!$A$6:$G$1011,7,0)=1,$L58,""),0)</f>
        <v>0</v>
      </c>
      <c r="AF58" s="155" t="str">
        <f t="shared" si="19"/>
        <v>CPK0111Wellington Electricity</v>
      </c>
      <c r="AG58" s="15" t="s">
        <v>172</v>
      </c>
      <c r="AH58" s="190" t="s">
        <v>40</v>
      </c>
      <c r="AI58" s="190">
        <f t="shared" si="20"/>
        <v>24.2193</v>
      </c>
      <c r="AJ58" s="292" t="s">
        <v>95</v>
      </c>
      <c r="AK58" s="15"/>
      <c r="AL58" s="15">
        <f t="shared" ca="1" si="36"/>
        <v>0</v>
      </c>
      <c r="AM58" s="15">
        <f t="shared" ca="1" si="37"/>
        <v>0</v>
      </c>
      <c r="AN58" s="15">
        <f t="shared" ca="1" si="38"/>
        <v>0</v>
      </c>
      <c r="AO58" s="15">
        <f t="shared" ca="1" si="39"/>
        <v>0</v>
      </c>
      <c r="AP58" s="15"/>
      <c r="AQ58" s="15">
        <f t="shared" ca="1" si="40"/>
        <v>0</v>
      </c>
      <c r="AR58" s="20">
        <f t="shared" ca="1" si="26"/>
        <v>0</v>
      </c>
      <c r="AS58" s="20"/>
      <c r="AT58" s="20">
        <f t="shared" ca="1" si="27"/>
        <v>0</v>
      </c>
      <c r="AU58" s="20">
        <f t="shared" ca="1" si="28"/>
        <v>0</v>
      </c>
      <c r="AV58" s="20">
        <f t="shared" ca="1" si="29"/>
        <v>0</v>
      </c>
      <c r="AW58" s="20">
        <f t="shared" si="30"/>
        <v>0</v>
      </c>
      <c r="AX58" s="20">
        <f t="shared" si="31"/>
        <v>0</v>
      </c>
      <c r="BA58" s="20"/>
      <c r="BD58" s="94" t="str">
        <f t="shared" si="34"/>
        <v>CLH0111Orion</v>
      </c>
      <c r="BF58" s="15" t="s">
        <v>25</v>
      </c>
      <c r="BG58" t="s">
        <v>167</v>
      </c>
      <c r="BH58" s="190">
        <v>0.61529999999999996</v>
      </c>
      <c r="BI58" s="190">
        <v>0.61500000953674305</v>
      </c>
      <c r="BJ58" s="257">
        <f t="shared" si="35"/>
        <v>2.1854371421310678E-2</v>
      </c>
      <c r="BK58" s="257">
        <f t="shared" si="32"/>
        <v>2.3957797588860547E-2</v>
      </c>
      <c r="BL58" s="257">
        <f t="shared" si="33"/>
        <v>2.536008170056046E-2</v>
      </c>
      <c r="BM58" s="342" t="str">
        <f>VLOOKUP(LEFT(BG58,3),'Mapping B'!$D$2:$E$310,2,0)</f>
        <v>S</v>
      </c>
      <c r="BO58" s="20"/>
      <c r="BP58" s="190"/>
      <c r="BQ58" s="20"/>
      <c r="BR58" s="20"/>
    </row>
    <row r="59" spans="2:70" x14ac:dyDescent="0.25">
      <c r="B59" s="98" t="s">
        <v>552</v>
      </c>
      <c r="C59" s="98">
        <v>2014</v>
      </c>
      <c r="D59" s="98" t="s">
        <v>222</v>
      </c>
      <c r="E59" s="98" t="s">
        <v>1</v>
      </c>
      <c r="F59" s="98" t="s">
        <v>131</v>
      </c>
      <c r="G59" s="248">
        <v>88063.764999999694</v>
      </c>
      <c r="H59" s="299" t="str">
        <f>VLOOKUP(LEFT('Rev Adequacy'!D59,3),'Mapping B'!$D$2:$E$400,2,0)</f>
        <v>S</v>
      </c>
      <c r="I59" s="190"/>
      <c r="J59" s="15" t="s">
        <v>173</v>
      </c>
      <c r="K59" s="190" t="s">
        <v>40</v>
      </c>
      <c r="L59" s="190">
        <f t="shared" si="18"/>
        <v>165.72149999999999</v>
      </c>
      <c r="O59" s="15">
        <f>_xlfn.IFNA(IF(VLOOKUP($J59&amp;O$12,'Mapping A'!$A$6:$G$1011,7,0)=1,$L59,""),0)</f>
        <v>0</v>
      </c>
      <c r="P59" s="15">
        <f>_xlfn.IFNA(IF(VLOOKUP($J59&amp;P$12,'Mapping A'!$A$6:$G$1011,7,0)=1,$L59,""),0)</f>
        <v>165.72149999999999</v>
      </c>
      <c r="Q59" s="15">
        <f>_xlfn.IFNA(IF(VLOOKUP($J59&amp;Q$12,'Mapping A'!$A$6:$G$1011,7,0)=1,$L59,""),0)</f>
        <v>165.72149999999999</v>
      </c>
      <c r="R59" s="15">
        <f>_xlfn.IFNA(IF(VLOOKUP($J59&amp;R$12,'Mapping A'!$A$6:$G$1011,7,0)=1,$L59,""),0)</f>
        <v>0</v>
      </c>
      <c r="S59" s="15">
        <f>_xlfn.IFNA(IF(VLOOKUP($J59&amp;S$12,'Mapping A'!$A$6:$G$1011,7,0)=1,$L59,""),0)</f>
        <v>0</v>
      </c>
      <c r="T59" s="15">
        <f>_xlfn.IFNA(IF(VLOOKUP($J59&amp;T$14,'Mapping A'!$A$6:$G$1011,7,0)=1,$L59,""),0)</f>
        <v>0</v>
      </c>
      <c r="U59" s="15">
        <f>_xlfn.IFNA(IF(VLOOKUP($J59&amp;U$12,'Mapping A'!$A$6:$G$1011,7,0)=1,$L59,""),0)</f>
        <v>0</v>
      </c>
      <c r="V59" s="15">
        <f>_xlfn.IFNA(IF(VLOOKUP($J59&amp;V$12,'Mapping A'!$A$6:$G$1011,7,0)=1,$L59,""),0)</f>
        <v>0</v>
      </c>
      <c r="W59" s="15">
        <f>_xlfn.IFNA(IF(VLOOKUP($J59&amp;W$12,'Mapping A'!$A$6:$G$1011,7,0)=1,$L59,""),0)</f>
        <v>0</v>
      </c>
      <c r="X59" s="15">
        <f>_xlfn.IFNA(IF(VLOOKUP($J59&amp;X$12,'Mapping A'!$A$6:$G$1011,7,0)=1,$L59,""),0)</f>
        <v>0</v>
      </c>
      <c r="Y59" s="15">
        <f>_xlfn.IFNA(IF(VLOOKUP($J59&amp;Y$12,'Mapping A'!$A$6:$G$1011,7,0)=1,$L59,""),0)</f>
        <v>0</v>
      </c>
      <c r="Z59" s="15">
        <f>_xlfn.IFNA(IF(VLOOKUP($J59&amp;Z$12,'Mapping A'!$A$6:$G$1011,7,0)=1,$L59,""),0)</f>
        <v>0</v>
      </c>
      <c r="AA59" s="15">
        <f>_xlfn.IFNA(IF(VLOOKUP($J59&amp;AA$12,'Mapping A'!$A$6:$G$1011,7,0)=1,$L59,""),0)</f>
        <v>0</v>
      </c>
      <c r="AF59" s="155" t="str">
        <f t="shared" si="19"/>
        <v>CPK0331Wellington Electricity</v>
      </c>
      <c r="AG59" s="15" t="s">
        <v>173</v>
      </c>
      <c r="AH59" s="190" t="s">
        <v>40</v>
      </c>
      <c r="AI59" s="190">
        <f t="shared" si="20"/>
        <v>165.72149999999999</v>
      </c>
      <c r="AJ59" s="292" t="s">
        <v>95</v>
      </c>
      <c r="AK59" s="15"/>
      <c r="AL59" s="15">
        <f t="shared" ca="1" si="36"/>
        <v>0</v>
      </c>
      <c r="AM59" s="15">
        <f t="shared" ca="1" si="37"/>
        <v>0</v>
      </c>
      <c r="AN59" s="15">
        <f t="shared" ca="1" si="38"/>
        <v>0</v>
      </c>
      <c r="AO59" s="15">
        <f t="shared" ca="1" si="39"/>
        <v>0</v>
      </c>
      <c r="AP59" s="15"/>
      <c r="AQ59" s="15">
        <f t="shared" ca="1" si="40"/>
        <v>0</v>
      </c>
      <c r="AR59" s="20">
        <f t="shared" ca="1" si="26"/>
        <v>0</v>
      </c>
      <c r="AS59" s="20"/>
      <c r="AT59" s="20">
        <f t="shared" ca="1" si="27"/>
        <v>0</v>
      </c>
      <c r="AU59" s="20">
        <f t="shared" ca="1" si="28"/>
        <v>0</v>
      </c>
      <c r="AV59" s="20">
        <f t="shared" ca="1" si="29"/>
        <v>0</v>
      </c>
      <c r="AW59" s="20">
        <f t="shared" si="30"/>
        <v>0</v>
      </c>
      <c r="AX59" s="20">
        <f t="shared" si="31"/>
        <v>0</v>
      </c>
      <c r="BA59" s="20"/>
      <c r="BD59" s="94" t="str">
        <f t="shared" si="34"/>
        <v>CML0331Aurora Energy</v>
      </c>
      <c r="BF59" s="15" t="s">
        <v>1</v>
      </c>
      <c r="BG59" t="s">
        <v>168</v>
      </c>
      <c r="BH59" s="190">
        <v>33.232500000000002</v>
      </c>
      <c r="BI59" s="190">
        <v>29.420000076293899</v>
      </c>
      <c r="BJ59" s="257">
        <f t="shared" si="35"/>
        <v>1.1803598216458755</v>
      </c>
      <c r="BK59" s="257">
        <f t="shared" si="32"/>
        <v>1.2939663714802669</v>
      </c>
      <c r="BL59" s="257">
        <f t="shared" si="33"/>
        <v>1.3697040713698612</v>
      </c>
      <c r="BM59" s="342" t="str">
        <f>VLOOKUP(LEFT(BG59,3),'Mapping B'!$D$2:$E$310,2,0)</f>
        <v>S</v>
      </c>
      <c r="BO59" s="20"/>
      <c r="BP59" s="190"/>
      <c r="BQ59" s="20"/>
      <c r="BR59" s="20"/>
    </row>
    <row r="60" spans="2:70" x14ac:dyDescent="0.25">
      <c r="B60" s="98" t="s">
        <v>552</v>
      </c>
      <c r="C60" s="98">
        <v>2014</v>
      </c>
      <c r="D60" s="98" t="s">
        <v>319</v>
      </c>
      <c r="E60" s="98" t="s">
        <v>1</v>
      </c>
      <c r="F60" s="98" t="s">
        <v>131</v>
      </c>
      <c r="G60" s="248">
        <v>126987.546999998</v>
      </c>
      <c r="H60" s="299" t="str">
        <f>VLOOKUP(LEFT('Rev Adequacy'!D60,3),'Mapping B'!$D$2:$E$400,2,0)</f>
        <v>S</v>
      </c>
      <c r="I60" s="190"/>
      <c r="J60" s="15" t="s">
        <v>174</v>
      </c>
      <c r="K60" s="190" t="s">
        <v>28</v>
      </c>
      <c r="L60" s="190">
        <f t="shared" si="18"/>
        <v>60.456900000000005</v>
      </c>
      <c r="O60" s="15">
        <f>_xlfn.IFNA(IF(VLOOKUP($J60&amp;O$12,'Mapping A'!$A$6:$G$1011,7,0)=1,$L60,""),0)</f>
        <v>0</v>
      </c>
      <c r="P60" s="15">
        <f>_xlfn.IFNA(IF(VLOOKUP($J60&amp;P$12,'Mapping A'!$A$6:$G$1011,7,0)=1,$L60,""),0)</f>
        <v>60.456900000000005</v>
      </c>
      <c r="Q60" s="15">
        <f>_xlfn.IFNA(IF(VLOOKUP($J60&amp;Q$12,'Mapping A'!$A$6:$G$1011,7,0)=1,$L60,""),0)</f>
        <v>60.456900000000005</v>
      </c>
      <c r="R60" s="15">
        <f>_xlfn.IFNA(IF(VLOOKUP($J60&amp;R$12,'Mapping A'!$A$6:$G$1011,7,0)=1,$L60,""),0)</f>
        <v>0</v>
      </c>
      <c r="S60" s="15">
        <f>_xlfn.IFNA(IF(VLOOKUP($J60&amp;S$12,'Mapping A'!$A$6:$G$1011,7,0)=1,$L60,""),0)</f>
        <v>0</v>
      </c>
      <c r="T60" s="15">
        <f>_xlfn.IFNA(IF(VLOOKUP($J60&amp;T$14,'Mapping A'!$A$6:$G$1011,7,0)=1,$L60,""),0)</f>
        <v>0</v>
      </c>
      <c r="U60" s="15">
        <f>_xlfn.IFNA(IF(VLOOKUP($J60&amp;U$12,'Mapping A'!$A$6:$G$1011,7,0)=1,$L60,""),0)</f>
        <v>0</v>
      </c>
      <c r="V60" s="15">
        <f>_xlfn.IFNA(IF(VLOOKUP($J60&amp;V$12,'Mapping A'!$A$6:$G$1011,7,0)=1,$L60,""),0)</f>
        <v>0</v>
      </c>
      <c r="W60" s="15">
        <f>_xlfn.IFNA(IF(VLOOKUP($J60&amp;W$12,'Mapping A'!$A$6:$G$1011,7,0)=1,$L60,""),0)</f>
        <v>0</v>
      </c>
      <c r="X60" s="15">
        <f>_xlfn.IFNA(IF(VLOOKUP($J60&amp;X$12,'Mapping A'!$A$6:$G$1011,7,0)=1,$L60,""),0)</f>
        <v>0</v>
      </c>
      <c r="Y60" s="15">
        <f>_xlfn.IFNA(IF(VLOOKUP($J60&amp;Y$12,'Mapping A'!$A$6:$G$1011,7,0)=1,$L60,""),0)</f>
        <v>0</v>
      </c>
      <c r="Z60" s="15">
        <f>_xlfn.IFNA(IF(VLOOKUP($J60&amp;Z$12,'Mapping A'!$A$6:$G$1011,7,0)=1,$L60,""),0)</f>
        <v>0</v>
      </c>
      <c r="AA60" s="15">
        <f>_xlfn.IFNA(IF(VLOOKUP($J60&amp;AA$12,'Mapping A'!$A$6:$G$1011,7,0)=1,$L60,""),0)</f>
        <v>0</v>
      </c>
      <c r="AF60" s="155" t="str">
        <f t="shared" si="19"/>
        <v>CST0331Powerco</v>
      </c>
      <c r="AG60" s="15" t="s">
        <v>174</v>
      </c>
      <c r="AH60" s="190" t="s">
        <v>28</v>
      </c>
      <c r="AI60" s="190">
        <f t="shared" si="20"/>
        <v>60.456900000000005</v>
      </c>
      <c r="AJ60" s="292" t="s">
        <v>95</v>
      </c>
      <c r="AK60" s="15"/>
      <c r="AL60" s="15">
        <f t="shared" ca="1" si="36"/>
        <v>0</v>
      </c>
      <c r="AM60" s="15">
        <f t="shared" ca="1" si="37"/>
        <v>0</v>
      </c>
      <c r="AN60" s="15">
        <f t="shared" ca="1" si="38"/>
        <v>0</v>
      </c>
      <c r="AO60" s="15">
        <f t="shared" ca="1" si="39"/>
        <v>0</v>
      </c>
      <c r="AP60" s="15"/>
      <c r="AQ60" s="15">
        <f t="shared" ca="1" si="40"/>
        <v>0</v>
      </c>
      <c r="AR60" s="20">
        <f t="shared" ca="1" si="26"/>
        <v>0</v>
      </c>
      <c r="AS60" s="20"/>
      <c r="AT60" s="20">
        <f t="shared" ca="1" si="27"/>
        <v>0</v>
      </c>
      <c r="AU60" s="20">
        <f t="shared" ca="1" si="28"/>
        <v>0</v>
      </c>
      <c r="AV60" s="20">
        <f t="shared" ca="1" si="29"/>
        <v>0</v>
      </c>
      <c r="AW60" s="20">
        <f t="shared" si="30"/>
        <v>0</v>
      </c>
      <c r="AX60" s="20">
        <f t="shared" si="31"/>
        <v>0</v>
      </c>
      <c r="BA60" s="20"/>
      <c r="BD60" s="94" t="str">
        <f t="shared" si="34"/>
        <v>COB0661TrustPower</v>
      </c>
      <c r="BF60" s="15" t="s">
        <v>138</v>
      </c>
      <c r="BG60" t="s">
        <v>934</v>
      </c>
      <c r="BH60" s="190">
        <v>0.12179999999999999</v>
      </c>
      <c r="BI60" s="190" t="e">
        <v>#N/A</v>
      </c>
      <c r="BJ60" s="257">
        <f t="shared" si="35"/>
        <v>4.3261213052423874E-3</v>
      </c>
      <c r="BK60" s="257">
        <f t="shared" si="32"/>
        <v>4.7424991814126686E-3</v>
      </c>
      <c r="BL60" s="257">
        <f t="shared" si="33"/>
        <v>5.0200844321928555E-3</v>
      </c>
      <c r="BM60" s="342" t="str">
        <f>VLOOKUP(LEFT(BG60,3),'Mapping B'!$D$2:$E$310,2,0)</f>
        <v>S</v>
      </c>
      <c r="BO60" s="20"/>
      <c r="BP60" s="190"/>
      <c r="BQ60" s="20"/>
      <c r="BR60" s="20"/>
    </row>
    <row r="61" spans="2:70" x14ac:dyDescent="0.25">
      <c r="B61" s="98" t="s">
        <v>553</v>
      </c>
      <c r="C61" s="98">
        <v>2014</v>
      </c>
      <c r="D61" s="98" t="s">
        <v>168</v>
      </c>
      <c r="E61" s="98" t="s">
        <v>1</v>
      </c>
      <c r="F61" s="98" t="s">
        <v>131</v>
      </c>
      <c r="G61" s="248">
        <v>45694.513000000203</v>
      </c>
      <c r="H61" s="299" t="str">
        <f>VLOOKUP(LEFT('Rev Adequacy'!D61,3),'Mapping B'!$D$2:$E$400,2,0)</f>
        <v>S</v>
      </c>
      <c r="I61" s="190"/>
      <c r="J61" s="15" t="s">
        <v>175</v>
      </c>
      <c r="K61" s="190" t="s">
        <v>12</v>
      </c>
      <c r="L61" s="190">
        <f t="shared" si="18"/>
        <v>21.054599999999997</v>
      </c>
      <c r="O61" s="15">
        <f>_xlfn.IFNA(IF(VLOOKUP($J61&amp;O$12,'Mapping A'!$A$6:$G$1011,7,0)=1,$L61,""),0)</f>
        <v>0</v>
      </c>
      <c r="P61" s="15">
        <f>_xlfn.IFNA(IF(VLOOKUP($J61&amp;P$12,'Mapping A'!$A$6:$G$1011,7,0)=1,$L61,""),0)</f>
        <v>21.054599999999997</v>
      </c>
      <c r="Q61" s="15">
        <f>_xlfn.IFNA(IF(VLOOKUP($J61&amp;Q$12,'Mapping A'!$A$6:$G$1011,7,0)=1,$L61,""),0)</f>
        <v>0</v>
      </c>
      <c r="R61" s="15">
        <f>_xlfn.IFNA(IF(VLOOKUP($J61&amp;R$12,'Mapping A'!$A$6:$G$1011,7,0)=1,$L61,""),0)</f>
        <v>0</v>
      </c>
      <c r="S61" s="15">
        <f>_xlfn.IFNA(IF(VLOOKUP($J61&amp;S$12,'Mapping A'!$A$6:$G$1011,7,0)=1,$L61,""),0)</f>
        <v>0</v>
      </c>
      <c r="T61" s="15">
        <f>_xlfn.IFNA(IF(VLOOKUP($J61&amp;T$14,'Mapping A'!$A$6:$G$1011,7,0)=1,$L61,""),0)</f>
        <v>0</v>
      </c>
      <c r="U61" s="15">
        <f>_xlfn.IFNA(IF(VLOOKUP($J61&amp;U$12,'Mapping A'!$A$6:$G$1011,7,0)=1,$L61,""),0)</f>
        <v>0</v>
      </c>
      <c r="V61" s="15">
        <f>_xlfn.IFNA(IF(VLOOKUP($J61&amp;V$12,'Mapping A'!$A$6:$G$1011,7,0)=1,$L61,""),0)</f>
        <v>0</v>
      </c>
      <c r="W61" s="15">
        <f>_xlfn.IFNA(IF(VLOOKUP($J61&amp;W$12,'Mapping A'!$A$6:$G$1011,7,0)=1,$L61,""),0)</f>
        <v>21.054599999999997</v>
      </c>
      <c r="X61" s="15">
        <f>_xlfn.IFNA(IF(VLOOKUP($J61&amp;X$12,'Mapping A'!$A$6:$G$1011,7,0)=1,$L61,""),0)</f>
        <v>0</v>
      </c>
      <c r="Y61" s="15">
        <f>_xlfn.IFNA(IF(VLOOKUP($J61&amp;Y$12,'Mapping A'!$A$6:$G$1011,7,0)=1,$L61,""),0)</f>
        <v>0</v>
      </c>
      <c r="Z61" s="15">
        <f>_xlfn.IFNA(IF(VLOOKUP($J61&amp;Z$12,'Mapping A'!$A$6:$G$1011,7,0)=1,$L61,""),0)</f>
        <v>0</v>
      </c>
      <c r="AA61" s="15">
        <f>_xlfn.IFNA(IF(VLOOKUP($J61&amp;AA$12,'Mapping A'!$A$6:$G$1011,7,0)=1,$L61,""),0)</f>
        <v>0</v>
      </c>
      <c r="AF61" s="155" t="str">
        <f t="shared" si="19"/>
        <v>CUL0331Mainpower</v>
      </c>
      <c r="AG61" s="15" t="s">
        <v>175</v>
      </c>
      <c r="AH61" s="190" t="s">
        <v>12</v>
      </c>
      <c r="AI61" s="190">
        <f t="shared" si="20"/>
        <v>21.054599999999997</v>
      </c>
      <c r="AJ61" s="292" t="s">
        <v>96</v>
      </c>
      <c r="AK61" s="15"/>
      <c r="AL61" s="15">
        <f t="shared" ca="1" si="36"/>
        <v>0</v>
      </c>
      <c r="AM61" s="15">
        <f t="shared" ca="1" si="37"/>
        <v>0</v>
      </c>
      <c r="AN61" s="15">
        <f t="shared" ca="1" si="38"/>
        <v>0</v>
      </c>
      <c r="AO61" s="15">
        <f t="shared" ca="1" si="39"/>
        <v>0</v>
      </c>
      <c r="AP61" s="15"/>
      <c r="AQ61" s="15">
        <f t="shared" ca="1" si="40"/>
        <v>0</v>
      </c>
      <c r="AR61" s="20">
        <f t="shared" ca="1" si="26"/>
        <v>0</v>
      </c>
      <c r="AS61" s="20"/>
      <c r="AT61" s="20">
        <f t="shared" ca="1" si="27"/>
        <v>6.0081455409929284E-2</v>
      </c>
      <c r="AU61" s="20">
        <f t="shared" ca="1" si="28"/>
        <v>0</v>
      </c>
      <c r="AV61" s="20">
        <f t="shared" ca="1" si="29"/>
        <v>0</v>
      </c>
      <c r="AW61" s="20">
        <f t="shared" si="30"/>
        <v>0</v>
      </c>
      <c r="AX61" s="20">
        <f t="shared" si="31"/>
        <v>0</v>
      </c>
      <c r="BA61" s="20"/>
      <c r="BD61" s="94" t="str">
        <f t="shared" si="34"/>
        <v>COL0111Orion</v>
      </c>
      <c r="BF61" s="15" t="s">
        <v>25</v>
      </c>
      <c r="BG61" t="s">
        <v>169</v>
      </c>
      <c r="BH61" s="190">
        <v>0.40110000000000001</v>
      </c>
      <c r="BI61" s="190">
        <v>0.40099999308586098</v>
      </c>
      <c r="BJ61" s="257">
        <f t="shared" si="35"/>
        <v>1.424636498795338E-2</v>
      </c>
      <c r="BK61" s="257">
        <f t="shared" si="32"/>
        <v>1.5617540407755511E-2</v>
      </c>
      <c r="BL61" s="257">
        <f t="shared" si="33"/>
        <v>1.6531657354290269E-2</v>
      </c>
      <c r="BM61" s="342" t="str">
        <f>VLOOKUP(LEFT(BG61,3),'Mapping B'!$D$2:$E$310,2,0)</f>
        <v>S</v>
      </c>
      <c r="BO61" s="20"/>
      <c r="BP61" s="190"/>
      <c r="BQ61" s="20"/>
      <c r="BR61" s="20"/>
    </row>
    <row r="62" spans="2:70" x14ac:dyDescent="0.25">
      <c r="B62" s="98" t="s">
        <v>553</v>
      </c>
      <c r="C62" s="98">
        <v>2014</v>
      </c>
      <c r="D62" s="98" t="s">
        <v>177</v>
      </c>
      <c r="E62" s="98" t="s">
        <v>1</v>
      </c>
      <c r="F62" s="98" t="s">
        <v>131</v>
      </c>
      <c r="G62" s="248">
        <v>259.69974891020001</v>
      </c>
      <c r="H62" s="299" t="str">
        <f>VLOOKUP(LEFT('Rev Adequacy'!D62,3),'Mapping B'!$D$2:$E$400,2,0)</f>
        <v>S</v>
      </c>
      <c r="I62" s="190"/>
      <c r="J62" s="15" t="s">
        <v>176</v>
      </c>
      <c r="K62" s="190" t="s">
        <v>12</v>
      </c>
      <c r="L62" s="190">
        <f t="shared" si="18"/>
        <v>10.357200000000001</v>
      </c>
      <c r="O62" s="15">
        <f>_xlfn.IFNA(IF(VLOOKUP($J62&amp;O$12,'Mapping A'!$A$6:$G$1011,7,0)=1,$L62,""),0)</f>
        <v>0</v>
      </c>
      <c r="P62" s="15">
        <f>_xlfn.IFNA(IF(VLOOKUP($J62&amp;P$12,'Mapping A'!$A$6:$G$1011,7,0)=1,$L62,""),0)</f>
        <v>10.357200000000001</v>
      </c>
      <c r="Q62" s="15">
        <f>_xlfn.IFNA(IF(VLOOKUP($J62&amp;Q$12,'Mapping A'!$A$6:$G$1011,7,0)=1,$L62,""),0)</f>
        <v>0</v>
      </c>
      <c r="R62" s="15">
        <f>_xlfn.IFNA(IF(VLOOKUP($J62&amp;R$12,'Mapping A'!$A$6:$G$1011,7,0)=1,$L62,""),0)</f>
        <v>0</v>
      </c>
      <c r="S62" s="15">
        <f>_xlfn.IFNA(IF(VLOOKUP($J62&amp;S$12,'Mapping A'!$A$6:$G$1011,7,0)=1,$L62,""),0)</f>
        <v>0</v>
      </c>
      <c r="T62" s="15">
        <f>_xlfn.IFNA(IF(VLOOKUP($J62&amp;T$14,'Mapping A'!$A$6:$G$1011,7,0)=1,$L62,""),0)</f>
        <v>0</v>
      </c>
      <c r="U62" s="15">
        <f>_xlfn.IFNA(IF(VLOOKUP($J62&amp;U$12,'Mapping A'!$A$6:$G$1011,7,0)=1,$L62,""),0)</f>
        <v>0</v>
      </c>
      <c r="V62" s="15">
        <f>_xlfn.IFNA(IF(VLOOKUP($J62&amp;V$12,'Mapping A'!$A$6:$G$1011,7,0)=1,$L62,""),0)</f>
        <v>0</v>
      </c>
      <c r="W62" s="15">
        <f>_xlfn.IFNA(IF(VLOOKUP($J62&amp;W$12,'Mapping A'!$A$6:$G$1011,7,0)=1,$L62,""),0)</f>
        <v>10.357200000000001</v>
      </c>
      <c r="X62" s="15">
        <f>_xlfn.IFNA(IF(VLOOKUP($J62&amp;X$12,'Mapping A'!$A$6:$G$1011,7,0)=1,$L62,""),0)</f>
        <v>0</v>
      </c>
      <c r="Y62" s="15">
        <f>_xlfn.IFNA(IF(VLOOKUP($J62&amp;Y$12,'Mapping A'!$A$6:$G$1011,7,0)=1,$L62,""),0)</f>
        <v>0</v>
      </c>
      <c r="Z62" s="15">
        <f>_xlfn.IFNA(IF(VLOOKUP($J62&amp;Z$12,'Mapping A'!$A$6:$G$1011,7,0)=1,$L62,""),0)</f>
        <v>0</v>
      </c>
      <c r="AA62" s="15">
        <f>_xlfn.IFNA(IF(VLOOKUP($J62&amp;AA$12,'Mapping A'!$A$6:$G$1011,7,0)=1,$L62,""),0)</f>
        <v>0</v>
      </c>
      <c r="AF62" s="155" t="str">
        <f t="shared" si="19"/>
        <v>CUL0661Mainpower</v>
      </c>
      <c r="AG62" s="15" t="s">
        <v>176</v>
      </c>
      <c r="AH62" s="190" t="s">
        <v>12</v>
      </c>
      <c r="AI62" s="190">
        <f t="shared" si="20"/>
        <v>10.357200000000001</v>
      </c>
      <c r="AJ62" s="292" t="s">
        <v>96</v>
      </c>
      <c r="AK62" s="15"/>
      <c r="AL62" s="15">
        <f t="shared" ca="1" si="36"/>
        <v>0</v>
      </c>
      <c r="AM62" s="15">
        <f t="shared" ca="1" si="37"/>
        <v>0</v>
      </c>
      <c r="AN62" s="15">
        <f t="shared" ca="1" si="38"/>
        <v>0</v>
      </c>
      <c r="AO62" s="15">
        <f t="shared" ca="1" si="39"/>
        <v>0</v>
      </c>
      <c r="AP62" s="15"/>
      <c r="AQ62" s="15">
        <f t="shared" ca="1" si="40"/>
        <v>0</v>
      </c>
      <c r="AR62" s="20">
        <f t="shared" ca="1" si="26"/>
        <v>0</v>
      </c>
      <c r="AS62" s="20"/>
      <c r="AT62" s="20">
        <f t="shared" ca="1" si="27"/>
        <v>2.9555329950306335E-2</v>
      </c>
      <c r="AU62" s="20">
        <f t="shared" ca="1" si="28"/>
        <v>0</v>
      </c>
      <c r="AV62" s="20">
        <f t="shared" ca="1" si="29"/>
        <v>0</v>
      </c>
      <c r="AW62" s="20">
        <f t="shared" si="30"/>
        <v>0</v>
      </c>
      <c r="AX62" s="20">
        <f t="shared" si="31"/>
        <v>0</v>
      </c>
      <c r="BA62" s="20"/>
      <c r="BD62" s="94" t="str">
        <f t="shared" si="34"/>
        <v>COL0661TrustPower</v>
      </c>
      <c r="BF62" s="15" t="s">
        <v>138</v>
      </c>
      <c r="BG62" t="s">
        <v>170</v>
      </c>
      <c r="BH62" s="190">
        <v>9.6599999999999991E-2</v>
      </c>
      <c r="BI62" s="190">
        <v>9.7999997437000205E-2</v>
      </c>
      <c r="BJ62" s="257">
        <f t="shared" si="35"/>
        <v>3.4310617248474104E-3</v>
      </c>
      <c r="BK62" s="257">
        <f t="shared" si="32"/>
        <v>3.7612924542238402E-3</v>
      </c>
      <c r="BL62" s="257">
        <f t="shared" si="33"/>
        <v>3.9814462738081268E-3</v>
      </c>
      <c r="BM62" s="342" t="str">
        <f>VLOOKUP(LEFT(BG62,3),'Mapping B'!$D$2:$E$310,2,0)</f>
        <v>S</v>
      </c>
      <c r="BO62" s="20"/>
      <c r="BP62" s="190"/>
      <c r="BQ62" s="20"/>
      <c r="BR62" s="20"/>
    </row>
    <row r="63" spans="2:70" x14ac:dyDescent="0.25">
      <c r="B63" s="98" t="s">
        <v>553</v>
      </c>
      <c r="C63" s="98">
        <v>2014</v>
      </c>
      <c r="D63" s="98" t="s">
        <v>185</v>
      </c>
      <c r="E63" s="98" t="s">
        <v>1</v>
      </c>
      <c r="F63" s="98" t="s">
        <v>131</v>
      </c>
      <c r="G63" s="248">
        <v>79724.021667301698</v>
      </c>
      <c r="H63" s="299" t="str">
        <f>VLOOKUP(LEFT('Rev Adequacy'!D63,3),'Mapping B'!$D$2:$E$400,2,0)</f>
        <v>S</v>
      </c>
      <c r="I63" s="190"/>
      <c r="J63" s="15" t="s">
        <v>177</v>
      </c>
      <c r="K63" s="190" t="s">
        <v>1</v>
      </c>
      <c r="L63" s="190">
        <f t="shared" si="18"/>
        <v>18.156599999999997</v>
      </c>
      <c r="O63" s="15">
        <f>_xlfn.IFNA(IF(VLOOKUP($J63&amp;O$12,'Mapping A'!$A$6:$G$1011,7,0)=1,$L63,""),0)</f>
        <v>0</v>
      </c>
      <c r="P63" s="15">
        <f>_xlfn.IFNA(IF(VLOOKUP($J63&amp;P$12,'Mapping A'!$A$6:$G$1011,7,0)=1,$L63,""),0)</f>
        <v>18.156599999999997</v>
      </c>
      <c r="Q63" s="15">
        <f>_xlfn.IFNA(IF(VLOOKUP($J63&amp;Q$12,'Mapping A'!$A$6:$G$1011,7,0)=1,$L63,""),0)</f>
        <v>0</v>
      </c>
      <c r="R63" s="15">
        <f>_xlfn.IFNA(IF(VLOOKUP($J63&amp;R$12,'Mapping A'!$A$6:$G$1011,7,0)=1,$L63,""),0)</f>
        <v>0</v>
      </c>
      <c r="S63" s="15">
        <f>_xlfn.IFNA(IF(VLOOKUP($J63&amp;S$12,'Mapping A'!$A$6:$G$1011,7,0)=1,$L63,""),0)</f>
        <v>18.156599999999997</v>
      </c>
      <c r="T63" s="15">
        <f>_xlfn.IFNA(IF(VLOOKUP($J63&amp;T$14,'Mapping A'!$A$6:$G$1011,7,0)=1,$L63,""),0)</f>
        <v>0</v>
      </c>
      <c r="U63" s="15">
        <f>_xlfn.IFNA(IF(VLOOKUP($J63&amp;U$12,'Mapping A'!$A$6:$G$1011,7,0)=1,$L63,""),0)</f>
        <v>0</v>
      </c>
      <c r="V63" s="15">
        <f>_xlfn.IFNA(IF(VLOOKUP($J63&amp;V$12,'Mapping A'!$A$6:$G$1011,7,0)=1,$L63,""),0)</f>
        <v>0</v>
      </c>
      <c r="W63" s="15">
        <f>_xlfn.IFNA(IF(VLOOKUP($J63&amp;W$12,'Mapping A'!$A$6:$G$1011,7,0)=1,$L63,""),0)</f>
        <v>0</v>
      </c>
      <c r="X63" s="15">
        <f>_xlfn.IFNA(IF(VLOOKUP($J63&amp;X$12,'Mapping A'!$A$6:$G$1011,7,0)=1,$L63,""),0)</f>
        <v>0</v>
      </c>
      <c r="Y63" s="15">
        <f>_xlfn.IFNA(IF(VLOOKUP($J63&amp;Y$12,'Mapping A'!$A$6:$G$1011,7,0)=1,$L63,""),0)</f>
        <v>0</v>
      </c>
      <c r="Z63" s="15">
        <f>_xlfn.IFNA(IF(VLOOKUP($J63&amp;Z$12,'Mapping A'!$A$6:$G$1011,7,0)=1,$L63,""),0)</f>
        <v>0</v>
      </c>
      <c r="AA63" s="15">
        <f>_xlfn.IFNA(IF(VLOOKUP($J63&amp;AA$12,'Mapping A'!$A$6:$G$1011,7,0)=1,$L63,""),0)</f>
        <v>0</v>
      </c>
      <c r="AF63" s="155" t="str">
        <f t="shared" si="19"/>
        <v>CYD0331Aurora Energy</v>
      </c>
      <c r="AG63" s="15" t="s">
        <v>177</v>
      </c>
      <c r="AH63" s="190" t="s">
        <v>1</v>
      </c>
      <c r="AI63" s="190">
        <f t="shared" si="20"/>
        <v>18.156599999999997</v>
      </c>
      <c r="AJ63" s="292" t="s">
        <v>96</v>
      </c>
      <c r="AK63" s="15"/>
      <c r="AL63" s="15">
        <f t="shared" ca="1" si="36"/>
        <v>0</v>
      </c>
      <c r="AM63" s="15">
        <f t="shared" ca="1" si="37"/>
        <v>0</v>
      </c>
      <c r="AN63" s="15">
        <f t="shared" ca="1" si="38"/>
        <v>0</v>
      </c>
      <c r="AO63" s="15">
        <f t="shared" ca="1" si="39"/>
        <v>0</v>
      </c>
      <c r="AP63" s="15"/>
      <c r="AQ63" s="15">
        <f t="shared" ca="1" si="40"/>
        <v>0</v>
      </c>
      <c r="AR63" s="20">
        <f t="shared" ca="1" si="26"/>
        <v>0</v>
      </c>
      <c r="AS63" s="20"/>
      <c r="AT63" s="20">
        <f t="shared" ca="1" si="27"/>
        <v>0</v>
      </c>
      <c r="AU63" s="20">
        <f t="shared" ca="1" si="28"/>
        <v>0</v>
      </c>
      <c r="AV63" s="20">
        <f t="shared" ca="1" si="29"/>
        <v>0</v>
      </c>
      <c r="AW63" s="20">
        <f t="shared" si="30"/>
        <v>0</v>
      </c>
      <c r="AX63" s="20">
        <f t="shared" si="31"/>
        <v>0</v>
      </c>
      <c r="BA63" s="20"/>
      <c r="BD63" s="94" t="str">
        <f t="shared" si="34"/>
        <v>CPK0111Wellington Electricity</v>
      </c>
      <c r="BF63" s="15" t="s">
        <v>40</v>
      </c>
      <c r="BG63" t="s">
        <v>172</v>
      </c>
      <c r="BH63" s="190">
        <v>24.2193</v>
      </c>
      <c r="BI63" s="190">
        <v>24.218000411987301</v>
      </c>
      <c r="BJ63" s="257">
        <f t="shared" si="35"/>
        <v>0.86022684505793878</v>
      </c>
      <c r="BK63" s="257">
        <f t="shared" si="32"/>
        <v>0.94302143205572952</v>
      </c>
      <c r="BL63" s="257">
        <f t="shared" si="33"/>
        <v>0.99821782338758991</v>
      </c>
      <c r="BM63" s="342" t="str">
        <f>VLOOKUP(LEFT(BG63,3),'Mapping B'!$D$2:$E$310,2,0)</f>
        <v>N</v>
      </c>
      <c r="BO63" s="20"/>
      <c r="BP63" s="190"/>
      <c r="BQ63" s="20"/>
      <c r="BR63" s="20"/>
    </row>
    <row r="64" spans="2:70" x14ac:dyDescent="0.25">
      <c r="B64" s="98" t="s">
        <v>553</v>
      </c>
      <c r="C64" s="98">
        <v>2014</v>
      </c>
      <c r="D64" s="98" t="s">
        <v>220</v>
      </c>
      <c r="E64" s="98" t="s">
        <v>1</v>
      </c>
      <c r="F64" s="98" t="s">
        <v>131</v>
      </c>
      <c r="G64" s="248">
        <v>107845.0780499</v>
      </c>
      <c r="H64" s="299" t="str">
        <f>VLOOKUP(LEFT('Rev Adequacy'!D64,3),'Mapping B'!$D$2:$E$400,2,0)</f>
        <v>S</v>
      </c>
      <c r="I64" s="190"/>
      <c r="J64" s="15" t="s">
        <v>177</v>
      </c>
      <c r="K64" s="190" t="s">
        <v>4</v>
      </c>
      <c r="L64" s="190">
        <f t="shared" si="18"/>
        <v>0.47460000000000002</v>
      </c>
      <c r="O64" s="15">
        <f>_xlfn.IFNA(IF(VLOOKUP($J64&amp;O$12,'Mapping A'!$A$6:$G$1011,7,0)=1,$L64,""),0)</f>
        <v>0</v>
      </c>
      <c r="P64" s="15">
        <f>_xlfn.IFNA(IF(VLOOKUP($J64&amp;P$12,'Mapping A'!$A$6:$G$1011,7,0)=1,$L64,""),0)</f>
        <v>0.47460000000000002</v>
      </c>
      <c r="Q64" s="15">
        <f>_xlfn.IFNA(IF(VLOOKUP($J64&amp;Q$12,'Mapping A'!$A$6:$G$1011,7,0)=1,$L64,""),0)</f>
        <v>0</v>
      </c>
      <c r="R64" s="15">
        <f>_xlfn.IFNA(IF(VLOOKUP($J64&amp;R$12,'Mapping A'!$A$6:$G$1011,7,0)=1,$L64,""),0)</f>
        <v>0</v>
      </c>
      <c r="S64" s="15">
        <f>_xlfn.IFNA(IF(VLOOKUP($J64&amp;S$12,'Mapping A'!$A$6:$G$1011,7,0)=1,$L64,""),0)</f>
        <v>0.47460000000000002</v>
      </c>
      <c r="T64" s="15">
        <f>_xlfn.IFNA(IF(VLOOKUP($J64&amp;T$14,'Mapping A'!$A$6:$G$1011,7,0)=1,$L64,""),0)</f>
        <v>0</v>
      </c>
      <c r="U64" s="15">
        <f>_xlfn.IFNA(IF(VLOOKUP($J64&amp;U$12,'Mapping A'!$A$6:$G$1011,7,0)=1,$L64,""),0)</f>
        <v>0</v>
      </c>
      <c r="V64" s="15">
        <f>_xlfn.IFNA(IF(VLOOKUP($J64&amp;V$12,'Mapping A'!$A$6:$G$1011,7,0)=1,$L64,""),0)</f>
        <v>0</v>
      </c>
      <c r="W64" s="15">
        <f>_xlfn.IFNA(IF(VLOOKUP($J64&amp;W$12,'Mapping A'!$A$6:$G$1011,7,0)=1,$L64,""),0)</f>
        <v>0</v>
      </c>
      <c r="X64" s="15">
        <f>_xlfn.IFNA(IF(VLOOKUP($J64&amp;X$12,'Mapping A'!$A$6:$G$1011,7,0)=1,$L64,""),0)</f>
        <v>0</v>
      </c>
      <c r="Y64" s="15">
        <f>_xlfn.IFNA(IF(VLOOKUP($J64&amp;Y$12,'Mapping A'!$A$6:$G$1011,7,0)=1,$L64,""),0)</f>
        <v>0</v>
      </c>
      <c r="Z64" s="15">
        <f>_xlfn.IFNA(IF(VLOOKUP($J64&amp;Z$12,'Mapping A'!$A$6:$G$1011,7,0)=1,$L64,""),0)</f>
        <v>0</v>
      </c>
      <c r="AA64" s="15">
        <f>_xlfn.IFNA(IF(VLOOKUP($J64&amp;AA$12,'Mapping A'!$A$6:$G$1011,7,0)=1,$L64,""),0)</f>
        <v>0</v>
      </c>
      <c r="AF64" s="155" t="str">
        <f t="shared" si="19"/>
        <v>CYD0331Contact</v>
      </c>
      <c r="AG64" s="15" t="s">
        <v>177</v>
      </c>
      <c r="AH64" s="190" t="s">
        <v>4</v>
      </c>
      <c r="AI64" s="190">
        <f t="shared" si="20"/>
        <v>0.47460000000000002</v>
      </c>
      <c r="AJ64" s="292" t="s">
        <v>96</v>
      </c>
      <c r="AK64" s="15"/>
      <c r="AL64" s="15">
        <f t="shared" ca="1" si="36"/>
        <v>0</v>
      </c>
      <c r="AM64" s="15">
        <f t="shared" ca="1" si="37"/>
        <v>0</v>
      </c>
      <c r="AN64" s="15">
        <f t="shared" ca="1" si="38"/>
        <v>0</v>
      </c>
      <c r="AO64" s="15">
        <f t="shared" ca="1" si="39"/>
        <v>0</v>
      </c>
      <c r="AP64" s="15"/>
      <c r="AQ64" s="15">
        <f t="shared" ca="1" si="40"/>
        <v>0</v>
      </c>
      <c r="AR64" s="20">
        <f t="shared" ca="1" si="26"/>
        <v>0</v>
      </c>
      <c r="AS64" s="20"/>
      <c r="AT64" s="20">
        <f t="shared" ca="1" si="27"/>
        <v>0</v>
      </c>
      <c r="AU64" s="20">
        <f t="shared" ca="1" si="28"/>
        <v>0</v>
      </c>
      <c r="AV64" s="20">
        <f t="shared" ca="1" si="29"/>
        <v>0</v>
      </c>
      <c r="AW64" s="20">
        <f t="shared" si="30"/>
        <v>0</v>
      </c>
      <c r="AX64" s="20">
        <f t="shared" si="31"/>
        <v>0</v>
      </c>
      <c r="BA64" s="20"/>
      <c r="BD64" s="94" t="str">
        <f t="shared" si="34"/>
        <v>CPK0331Wellington Electricity</v>
      </c>
      <c r="BF64" s="15" t="s">
        <v>40</v>
      </c>
      <c r="BG64" t="s">
        <v>173</v>
      </c>
      <c r="BH64" s="190">
        <v>165.72149999999999</v>
      </c>
      <c r="BI64" s="190">
        <v>164.60200500488199</v>
      </c>
      <c r="BJ64" s="257">
        <f t="shared" si="35"/>
        <v>5.8861355655724648</v>
      </c>
      <c r="BK64" s="257">
        <f t="shared" si="32"/>
        <v>6.4526607396755296</v>
      </c>
      <c r="BL64" s="257">
        <f t="shared" si="33"/>
        <v>6.8303441890775725</v>
      </c>
      <c r="BM64" s="342" t="str">
        <f>VLOOKUP(LEFT(BG64,3),'Mapping B'!$D$2:$E$310,2,0)</f>
        <v>N</v>
      </c>
      <c r="BO64" s="20"/>
      <c r="BP64" s="190"/>
      <c r="BQ64" s="20"/>
      <c r="BR64" s="20"/>
    </row>
    <row r="65" spans="2:70" x14ac:dyDescent="0.25">
      <c r="B65" s="98" t="s">
        <v>553</v>
      </c>
      <c r="C65" s="98">
        <v>2014</v>
      </c>
      <c r="D65" s="98" t="s">
        <v>222</v>
      </c>
      <c r="E65" s="98" t="s">
        <v>1</v>
      </c>
      <c r="F65" s="98" t="s">
        <v>131</v>
      </c>
      <c r="G65" s="248">
        <v>73176.246000000101</v>
      </c>
      <c r="H65" s="299" t="str">
        <f>VLOOKUP(LEFT('Rev Adequacy'!D65,3),'Mapping B'!$D$2:$E$400,2,0)</f>
        <v>S</v>
      </c>
      <c r="I65" s="190"/>
      <c r="J65" s="15" t="s">
        <v>178</v>
      </c>
      <c r="K65" s="190" t="s">
        <v>4</v>
      </c>
      <c r="L65" s="190">
        <f t="shared" si="18"/>
        <v>6.51</v>
      </c>
      <c r="O65" s="15">
        <f>_xlfn.IFNA(IF(VLOOKUP($J65&amp;O$12,'Mapping A'!$A$6:$G$1011,7,0)=1,$L65,""),0)</f>
        <v>0</v>
      </c>
      <c r="P65" s="15">
        <f>_xlfn.IFNA(IF(VLOOKUP($J65&amp;P$12,'Mapping A'!$A$6:$G$1011,7,0)=1,$L65,""),0)</f>
        <v>6.51</v>
      </c>
      <c r="Q65" s="15">
        <f>_xlfn.IFNA(IF(VLOOKUP($J65&amp;Q$12,'Mapping A'!$A$6:$G$1011,7,0)=1,$L65,""),0)</f>
        <v>0</v>
      </c>
      <c r="R65" s="15">
        <f>_xlfn.IFNA(IF(VLOOKUP($J65&amp;R$12,'Mapping A'!$A$6:$G$1011,7,0)=1,$L65,""),0)</f>
        <v>0</v>
      </c>
      <c r="S65" s="15">
        <f>_xlfn.IFNA(IF(VLOOKUP($J65&amp;S$12,'Mapping A'!$A$6:$G$1011,7,0)=1,$L65,""),0)</f>
        <v>0</v>
      </c>
      <c r="T65" s="15">
        <f>_xlfn.IFNA(IF(VLOOKUP($J65&amp;T$14,'Mapping A'!$A$6:$G$1011,7,0)=1,$L65,""),0)</f>
        <v>0</v>
      </c>
      <c r="U65" s="15">
        <f>_xlfn.IFNA(IF(VLOOKUP($J65&amp;U$12,'Mapping A'!$A$6:$G$1011,7,0)=1,$L65,""),0)</f>
        <v>0</v>
      </c>
      <c r="V65" s="15">
        <f>_xlfn.IFNA(IF(VLOOKUP($J65&amp;V$12,'Mapping A'!$A$6:$G$1011,7,0)=1,$L65,""),0)</f>
        <v>0</v>
      </c>
      <c r="W65" s="15">
        <f>_xlfn.IFNA(IF(VLOOKUP($J65&amp;W$12,'Mapping A'!$A$6:$G$1011,7,0)=1,$L65,""),0)</f>
        <v>0</v>
      </c>
      <c r="X65" s="15">
        <f>_xlfn.IFNA(IF(VLOOKUP($J65&amp;X$12,'Mapping A'!$A$6:$G$1011,7,0)=1,$L65,""),0)</f>
        <v>0</v>
      </c>
      <c r="Y65" s="15">
        <f>_xlfn.IFNA(IF(VLOOKUP($J65&amp;Y$12,'Mapping A'!$A$6:$G$1011,7,0)=1,$L65,""),0)</f>
        <v>0</v>
      </c>
      <c r="Z65" s="15">
        <f>_xlfn.IFNA(IF(VLOOKUP($J65&amp;Z$12,'Mapping A'!$A$6:$G$1011,7,0)=1,$L65,""),0)</f>
        <v>0</v>
      </c>
      <c r="AA65" s="15">
        <f>_xlfn.IFNA(IF(VLOOKUP($J65&amp;AA$12,'Mapping A'!$A$6:$G$1011,7,0)=1,$L65,""),0)</f>
        <v>0</v>
      </c>
      <c r="AF65" s="155" t="str">
        <f t="shared" si="19"/>
        <v>CYD2201Contact</v>
      </c>
      <c r="AG65" s="15" t="s">
        <v>178</v>
      </c>
      <c r="AH65" s="190" t="s">
        <v>4</v>
      </c>
      <c r="AI65" s="190">
        <f t="shared" si="20"/>
        <v>6.51</v>
      </c>
      <c r="AJ65" s="292" t="s">
        <v>96</v>
      </c>
      <c r="AK65" s="15"/>
      <c r="AL65" s="15">
        <f t="shared" ca="1" si="36"/>
        <v>0</v>
      </c>
      <c r="AM65" s="15">
        <f t="shared" ca="1" si="37"/>
        <v>0</v>
      </c>
      <c r="AN65" s="15">
        <f t="shared" ca="1" si="38"/>
        <v>0</v>
      </c>
      <c r="AO65" s="15">
        <f t="shared" ca="1" si="39"/>
        <v>0</v>
      </c>
      <c r="AP65" s="15"/>
      <c r="AQ65" s="15">
        <f t="shared" ca="1" si="40"/>
        <v>0</v>
      </c>
      <c r="AR65" s="20">
        <f t="shared" ca="1" si="26"/>
        <v>0</v>
      </c>
      <c r="AS65" s="20"/>
      <c r="AT65" s="20">
        <f t="shared" ca="1" si="27"/>
        <v>0</v>
      </c>
      <c r="AU65" s="20">
        <f t="shared" ca="1" si="28"/>
        <v>0</v>
      </c>
      <c r="AV65" s="20">
        <f t="shared" ca="1" si="29"/>
        <v>0</v>
      </c>
      <c r="AW65" s="20">
        <f t="shared" si="30"/>
        <v>0</v>
      </c>
      <c r="AX65" s="20">
        <f t="shared" si="31"/>
        <v>0</v>
      </c>
      <c r="BA65" s="20"/>
      <c r="BD65" s="94" t="str">
        <f t="shared" si="34"/>
        <v>CST0331Powerco</v>
      </c>
      <c r="BF65" s="15" t="s">
        <v>28</v>
      </c>
      <c r="BG65" t="s">
        <v>174</v>
      </c>
      <c r="BH65" s="190">
        <v>60.456900000000005</v>
      </c>
      <c r="BI65" s="190">
        <v>57.896999359130803</v>
      </c>
      <c r="BJ65" s="257">
        <f t="shared" si="35"/>
        <v>2.1473225216659153</v>
      </c>
      <c r="BK65" s="257">
        <f t="shared" si="32"/>
        <v>2.3539967057532643</v>
      </c>
      <c r="BL65" s="257">
        <f t="shared" si="33"/>
        <v>2.4917794951448302</v>
      </c>
      <c r="BM65" s="342" t="str">
        <f>VLOOKUP(LEFT(BG65,3),'Mapping B'!$D$2:$E$310,2,0)</f>
        <v>N</v>
      </c>
      <c r="BO65" s="20"/>
      <c r="BP65" s="190"/>
      <c r="BQ65" s="20"/>
      <c r="BR65" s="20"/>
    </row>
    <row r="66" spans="2:70" x14ac:dyDescent="0.25">
      <c r="B66" s="98" t="s">
        <v>553</v>
      </c>
      <c r="C66" s="98">
        <v>2014</v>
      </c>
      <c r="D66" s="98" t="s">
        <v>319</v>
      </c>
      <c r="E66" s="98" t="s">
        <v>1</v>
      </c>
      <c r="F66" s="98" t="s">
        <v>131</v>
      </c>
      <c r="G66" s="248">
        <v>105393.55199999901</v>
      </c>
      <c r="H66" s="299" t="str">
        <f>VLOOKUP(LEFT('Rev Adequacy'!D66,3),'Mapping B'!$D$2:$E$400,2,0)</f>
        <v>S</v>
      </c>
      <c r="I66" s="190"/>
      <c r="J66" s="15" t="s">
        <v>180</v>
      </c>
      <c r="K66" s="190" t="s">
        <v>41</v>
      </c>
      <c r="L66" s="190">
        <f t="shared" si="18"/>
        <v>9.767100000000001</v>
      </c>
      <c r="O66" s="15">
        <f>_xlfn.IFNA(IF(VLOOKUP($J66&amp;O$12,'Mapping A'!$A$6:$G$1011,7,0)=1,$L66,""),0)</f>
        <v>0</v>
      </c>
      <c r="P66" s="15">
        <f>_xlfn.IFNA(IF(VLOOKUP($J66&amp;P$12,'Mapping A'!$A$6:$G$1011,7,0)=1,$L66,""),0)</f>
        <v>9.767100000000001</v>
      </c>
      <c r="Q66" s="15">
        <f>_xlfn.IFNA(IF(VLOOKUP($J66&amp;Q$12,'Mapping A'!$A$6:$G$1011,7,0)=1,$L66,""),0)</f>
        <v>0</v>
      </c>
      <c r="R66" s="15">
        <f>_xlfn.IFNA(IF(VLOOKUP($J66&amp;R$12,'Mapping A'!$A$6:$G$1011,7,0)=1,$L66,""),0)</f>
        <v>0</v>
      </c>
      <c r="S66" s="15">
        <f>_xlfn.IFNA(IF(VLOOKUP($J66&amp;S$12,'Mapping A'!$A$6:$G$1011,7,0)=1,$L66,""),0)</f>
        <v>0</v>
      </c>
      <c r="T66" s="15">
        <f>_xlfn.IFNA(IF(VLOOKUP($J66&amp;T$14,'Mapping A'!$A$6:$G$1011,7,0)=1,$L66,""),0)</f>
        <v>0</v>
      </c>
      <c r="U66" s="15">
        <f>_xlfn.IFNA(IF(VLOOKUP($J66&amp;U$12,'Mapping A'!$A$6:$G$1011,7,0)=1,$L66,""),0)</f>
        <v>0</v>
      </c>
      <c r="V66" s="15">
        <f>_xlfn.IFNA(IF(VLOOKUP($J66&amp;V$12,'Mapping A'!$A$6:$G$1011,7,0)=1,$L66,""),0)</f>
        <v>0</v>
      </c>
      <c r="W66" s="15">
        <f>_xlfn.IFNA(IF(VLOOKUP($J66&amp;W$12,'Mapping A'!$A$6:$G$1011,7,0)=1,$L66,""),0)</f>
        <v>9.767100000000001</v>
      </c>
      <c r="X66" s="15">
        <f>_xlfn.IFNA(IF(VLOOKUP($J66&amp;X$12,'Mapping A'!$A$6:$G$1011,7,0)=1,$L66,""),0)</f>
        <v>0</v>
      </c>
      <c r="Y66" s="15">
        <f>_xlfn.IFNA(IF(VLOOKUP($J66&amp;Y$12,'Mapping A'!$A$6:$G$1011,7,0)=1,$L66,""),0)</f>
        <v>0</v>
      </c>
      <c r="Z66" s="15">
        <f>_xlfn.IFNA(IF(VLOOKUP($J66&amp;Z$12,'Mapping A'!$A$6:$G$1011,7,0)=1,$L66,""),0)</f>
        <v>0</v>
      </c>
      <c r="AA66" s="15">
        <f>_xlfn.IFNA(IF(VLOOKUP($J66&amp;AA$12,'Mapping A'!$A$6:$G$1011,7,0)=1,$L66,""),0)</f>
        <v>9.767100000000001</v>
      </c>
      <c r="AF66" s="155" t="str">
        <f t="shared" si="19"/>
        <v>DOB0331Westpower</v>
      </c>
      <c r="AG66" s="15" t="s">
        <v>180</v>
      </c>
      <c r="AH66" s="190" t="s">
        <v>41</v>
      </c>
      <c r="AI66" s="190">
        <f t="shared" si="20"/>
        <v>9.767100000000001</v>
      </c>
      <c r="AJ66" s="292" t="s">
        <v>96</v>
      </c>
      <c r="AK66" s="15"/>
      <c r="AL66" s="15">
        <f t="shared" ca="1" si="36"/>
        <v>0</v>
      </c>
      <c r="AM66" s="15">
        <f t="shared" ca="1" si="37"/>
        <v>0</v>
      </c>
      <c r="AN66" s="15">
        <f t="shared" ca="1" si="38"/>
        <v>0</v>
      </c>
      <c r="AO66" s="15">
        <f t="shared" ca="1" si="39"/>
        <v>0</v>
      </c>
      <c r="AP66" s="15"/>
      <c r="AQ66" s="15">
        <f t="shared" ca="1" si="40"/>
        <v>0</v>
      </c>
      <c r="AR66" s="20">
        <f t="shared" ca="1" si="26"/>
        <v>0</v>
      </c>
      <c r="AS66" s="20"/>
      <c r="AT66" s="20">
        <f t="shared" ca="1" si="27"/>
        <v>2.7871419221183042E-2</v>
      </c>
      <c r="AU66" s="20">
        <f t="shared" ca="1" si="28"/>
        <v>0</v>
      </c>
      <c r="AV66" s="20">
        <f t="shared" ca="1" si="29"/>
        <v>0</v>
      </c>
      <c r="AW66" s="20">
        <f t="shared" si="30"/>
        <v>0</v>
      </c>
      <c r="AX66" s="20">
        <f t="shared" si="31"/>
        <v>0</v>
      </c>
      <c r="BA66" s="20"/>
      <c r="BD66" s="94" t="str">
        <f t="shared" si="34"/>
        <v>CUL0331Mainpower</v>
      </c>
      <c r="BF66" s="15" t="s">
        <v>12</v>
      </c>
      <c r="BG66" t="s">
        <v>175</v>
      </c>
      <c r="BH66" s="190">
        <v>21.054599999999997</v>
      </c>
      <c r="BI66" s="190">
        <v>21.062999725341701</v>
      </c>
      <c r="BJ66" s="257">
        <f t="shared" si="35"/>
        <v>0.7478222794200029</v>
      </c>
      <c r="BK66" s="257">
        <f t="shared" si="32"/>
        <v>0.81979822056626561</v>
      </c>
      <c r="BL66" s="257">
        <f t="shared" si="33"/>
        <v>0.86778218133044083</v>
      </c>
      <c r="BM66" s="342" t="str">
        <f>VLOOKUP(LEFT(BG66,3),'Mapping B'!$D$2:$E$310,2,0)</f>
        <v>S</v>
      </c>
      <c r="BO66" s="20"/>
      <c r="BP66" s="190"/>
      <c r="BQ66" s="20"/>
      <c r="BR66" s="20"/>
    </row>
    <row r="67" spans="2:70" x14ac:dyDescent="0.25">
      <c r="B67" s="98" t="s">
        <v>554</v>
      </c>
      <c r="C67" s="98">
        <v>2014</v>
      </c>
      <c r="D67" s="98" t="s">
        <v>168</v>
      </c>
      <c r="E67" s="98" t="s">
        <v>1</v>
      </c>
      <c r="F67" s="98" t="s">
        <v>131</v>
      </c>
      <c r="G67" s="98">
        <v>0</v>
      </c>
      <c r="H67" s="299" t="str">
        <f>VLOOKUP(LEFT('Rev Adequacy'!D67,3),'Mapping B'!$D$2:$E$400,2,0)</f>
        <v>S</v>
      </c>
      <c r="I67" s="190"/>
      <c r="J67" s="15" t="s">
        <v>181</v>
      </c>
      <c r="K67" s="190" t="s">
        <v>31</v>
      </c>
      <c r="L67" s="190">
        <f t="shared" si="18"/>
        <v>12.673500000000001</v>
      </c>
      <c r="O67" s="15">
        <f>_xlfn.IFNA(IF(VLOOKUP($J67&amp;O$12,'Mapping A'!$A$6:$G$1011,7,0)=1,$L67,""),0)</f>
        <v>0</v>
      </c>
      <c r="P67" s="15">
        <f>_xlfn.IFNA(IF(VLOOKUP($J67&amp;P$12,'Mapping A'!$A$6:$G$1011,7,0)=1,$L67,""),0)</f>
        <v>12.673500000000001</v>
      </c>
      <c r="Q67" s="15">
        <f>_xlfn.IFNA(IF(VLOOKUP($J67&amp;Q$12,'Mapping A'!$A$6:$G$1011,7,0)=1,$L67,""),0)</f>
        <v>12.673500000000001</v>
      </c>
      <c r="R67" s="15">
        <f>_xlfn.IFNA(IF(VLOOKUP($J67&amp;R$12,'Mapping A'!$A$6:$G$1011,7,0)=1,$L67,""),0)</f>
        <v>0</v>
      </c>
      <c r="S67" s="15">
        <f>_xlfn.IFNA(IF(VLOOKUP($J67&amp;S$12,'Mapping A'!$A$6:$G$1011,7,0)=1,$L67,""),0)</f>
        <v>0</v>
      </c>
      <c r="T67" s="15">
        <f>_xlfn.IFNA(IF(VLOOKUP($J67&amp;T$14,'Mapping A'!$A$6:$G$1011,7,0)=1,$L67,""),0)</f>
        <v>0</v>
      </c>
      <c r="U67" s="15">
        <f>_xlfn.IFNA(IF(VLOOKUP($J67&amp;U$12,'Mapping A'!$A$6:$G$1011,7,0)=1,$L67,""),0)</f>
        <v>0</v>
      </c>
      <c r="V67" s="15">
        <f>_xlfn.IFNA(IF(VLOOKUP($J67&amp;V$12,'Mapping A'!$A$6:$G$1011,7,0)=1,$L67,""),0)</f>
        <v>0</v>
      </c>
      <c r="W67" s="15">
        <f>_xlfn.IFNA(IF(VLOOKUP($J67&amp;W$12,'Mapping A'!$A$6:$G$1011,7,0)=1,$L67,""),0)</f>
        <v>0</v>
      </c>
      <c r="X67" s="15">
        <f>_xlfn.IFNA(IF(VLOOKUP($J67&amp;X$12,'Mapping A'!$A$6:$G$1011,7,0)=1,$L67,""),0)</f>
        <v>0</v>
      </c>
      <c r="Y67" s="15">
        <f>_xlfn.IFNA(IF(VLOOKUP($J67&amp;Y$12,'Mapping A'!$A$6:$G$1011,7,0)=1,$L67,""),0)</f>
        <v>0</v>
      </c>
      <c r="Z67" s="15">
        <f>_xlfn.IFNA(IF(VLOOKUP($J67&amp;Z$12,'Mapping A'!$A$6:$G$1011,7,0)=1,$L67,""),0)</f>
        <v>0</v>
      </c>
      <c r="AA67" s="15">
        <f>_xlfn.IFNA(IF(VLOOKUP($J67&amp;AA$12,'Mapping A'!$A$6:$G$1011,7,0)=1,$L67,""),0)</f>
        <v>0</v>
      </c>
      <c r="AF67" s="155" t="str">
        <f t="shared" si="19"/>
        <v>DVK0111Scanpower</v>
      </c>
      <c r="AG67" s="15" t="s">
        <v>181</v>
      </c>
      <c r="AH67" s="190" t="s">
        <v>31</v>
      </c>
      <c r="AI67" s="190">
        <f t="shared" si="20"/>
        <v>12.673500000000001</v>
      </c>
      <c r="AJ67" s="292" t="s">
        <v>95</v>
      </c>
      <c r="AK67" s="15"/>
      <c r="AL67" s="15">
        <f t="shared" ca="1" si="36"/>
        <v>0</v>
      </c>
      <c r="AM67" s="15">
        <f t="shared" ca="1" si="37"/>
        <v>0</v>
      </c>
      <c r="AN67" s="15">
        <f t="shared" ca="1" si="38"/>
        <v>0</v>
      </c>
      <c r="AO67" s="15">
        <f t="shared" ca="1" si="39"/>
        <v>0</v>
      </c>
      <c r="AP67" s="15"/>
      <c r="AQ67" s="15">
        <f t="shared" ca="1" si="40"/>
        <v>0</v>
      </c>
      <c r="AR67" s="20">
        <f t="shared" ca="1" si="26"/>
        <v>0</v>
      </c>
      <c r="AS67" s="20"/>
      <c r="AT67" s="20">
        <f t="shared" ca="1" si="27"/>
        <v>0</v>
      </c>
      <c r="AU67" s="20">
        <f t="shared" ca="1" si="28"/>
        <v>0</v>
      </c>
      <c r="AV67" s="20">
        <f t="shared" ca="1" si="29"/>
        <v>0</v>
      </c>
      <c r="AW67" s="20">
        <f t="shared" si="30"/>
        <v>0</v>
      </c>
      <c r="AX67" s="20">
        <f t="shared" si="31"/>
        <v>0</v>
      </c>
      <c r="BA67" s="20"/>
      <c r="BD67" s="94" t="str">
        <f t="shared" si="34"/>
        <v>CUL0661Mainpower</v>
      </c>
      <c r="BF67" s="15" t="s">
        <v>12</v>
      </c>
      <c r="BG67" t="s">
        <v>176</v>
      </c>
      <c r="BH67" s="190">
        <v>10.357200000000001</v>
      </c>
      <c r="BI67" s="190">
        <v>10.3579998016357</v>
      </c>
      <c r="BJ67" s="257">
        <f t="shared" si="35"/>
        <v>0.36786948754233545</v>
      </c>
      <c r="BK67" s="257">
        <f t="shared" si="32"/>
        <v>0.40327596487460832</v>
      </c>
      <c r="BL67" s="257">
        <f t="shared" si="33"/>
        <v>0.42688028309612358</v>
      </c>
      <c r="BM67" s="342" t="str">
        <f>VLOOKUP(LEFT(BG67,3),'Mapping B'!$D$2:$E$310,2,0)</f>
        <v>S</v>
      </c>
      <c r="BO67" s="20"/>
      <c r="BP67" s="190"/>
      <c r="BQ67" s="20"/>
      <c r="BR67" s="20"/>
    </row>
    <row r="68" spans="2:70" x14ac:dyDescent="0.25">
      <c r="B68" s="98" t="s">
        <v>554</v>
      </c>
      <c r="C68" s="98">
        <v>2014</v>
      </c>
      <c r="D68" s="98" t="s">
        <v>177</v>
      </c>
      <c r="E68" s="98" t="s">
        <v>1</v>
      </c>
      <c r="F68" s="98" t="s">
        <v>131</v>
      </c>
      <c r="G68" s="98">
        <v>2591.1669005722401</v>
      </c>
      <c r="H68" s="299" t="str">
        <f>VLOOKUP(LEFT('Rev Adequacy'!D68,3),'Mapping B'!$D$2:$E$400,2,0)</f>
        <v>S</v>
      </c>
      <c r="I68" s="190"/>
      <c r="J68" s="15" t="s">
        <v>182</v>
      </c>
      <c r="K68" s="190" t="s">
        <v>11</v>
      </c>
      <c r="L68" s="190">
        <f t="shared" si="18"/>
        <v>64.562399999999997</v>
      </c>
      <c r="O68" s="15">
        <f>_xlfn.IFNA(IF(VLOOKUP($J68&amp;O$12,'Mapping A'!$A$6:$G$1011,7,0)=1,$L68,""),0)</f>
        <v>0</v>
      </c>
      <c r="P68" s="15">
        <f>_xlfn.IFNA(IF(VLOOKUP($J68&amp;P$12,'Mapping A'!$A$6:$G$1011,7,0)=1,$L68,""),0)</f>
        <v>64.562399999999997</v>
      </c>
      <c r="Q68" s="15">
        <f>_xlfn.IFNA(IF(VLOOKUP($J68&amp;Q$12,'Mapping A'!$A$6:$G$1011,7,0)=1,$L68,""),0)</f>
        <v>64.562399999999997</v>
      </c>
      <c r="R68" s="15">
        <f>_xlfn.IFNA(IF(VLOOKUP($J68&amp;R$12,'Mapping A'!$A$6:$G$1011,7,0)=1,$L68,""),0)</f>
        <v>0</v>
      </c>
      <c r="S68" s="15">
        <f>_xlfn.IFNA(IF(VLOOKUP($J68&amp;S$12,'Mapping A'!$A$6:$G$1011,7,0)=1,$L68,""),0)</f>
        <v>0</v>
      </c>
      <c r="T68" s="15">
        <f>_xlfn.IFNA(IF(VLOOKUP($J68&amp;T$14,'Mapping A'!$A$6:$G$1011,7,0)=1,$L68,""),0)</f>
        <v>64.562399999999997</v>
      </c>
      <c r="U68" s="15">
        <f>_xlfn.IFNA(IF(VLOOKUP($J68&amp;U$12,'Mapping A'!$A$6:$G$1011,7,0)=1,$L68,""),0)</f>
        <v>0</v>
      </c>
      <c r="V68" s="15">
        <f>_xlfn.IFNA(IF(VLOOKUP($J68&amp;V$12,'Mapping A'!$A$6:$G$1011,7,0)=1,$L68,""),0)</f>
        <v>0</v>
      </c>
      <c r="W68" s="15">
        <f>_xlfn.IFNA(IF(VLOOKUP($J68&amp;W$12,'Mapping A'!$A$6:$G$1011,7,0)=1,$L68,""),0)</f>
        <v>0</v>
      </c>
      <c r="X68" s="15">
        <f>_xlfn.IFNA(IF(VLOOKUP($J68&amp;X$12,'Mapping A'!$A$6:$G$1011,7,0)=1,$L68,""),0)</f>
        <v>0</v>
      </c>
      <c r="Y68" s="15">
        <f>_xlfn.IFNA(IF(VLOOKUP($J68&amp;Y$12,'Mapping A'!$A$6:$G$1011,7,0)=1,$L68,""),0)</f>
        <v>0</v>
      </c>
      <c r="Z68" s="15">
        <f>_xlfn.IFNA(IF(VLOOKUP($J68&amp;Z$12,'Mapping A'!$A$6:$G$1011,7,0)=1,$L68,""),0)</f>
        <v>0</v>
      </c>
      <c r="AA68" s="15">
        <f>_xlfn.IFNA(IF(VLOOKUP($J68&amp;AA$12,'Mapping A'!$A$6:$G$1011,7,0)=1,$L68,""),0)</f>
        <v>0</v>
      </c>
      <c r="AF68" s="155" t="str">
        <f t="shared" si="19"/>
        <v>EDG0331Horizon</v>
      </c>
      <c r="AG68" s="15" t="s">
        <v>182</v>
      </c>
      <c r="AH68" s="190" t="s">
        <v>11</v>
      </c>
      <c r="AI68" s="190">
        <f t="shared" si="20"/>
        <v>64.562399999999997</v>
      </c>
      <c r="AJ68" s="292" t="s">
        <v>95</v>
      </c>
      <c r="AK68" s="15"/>
      <c r="AL68" s="15">
        <f t="shared" ca="1" si="36"/>
        <v>0</v>
      </c>
      <c r="AM68" s="15">
        <f t="shared" ca="1" si="37"/>
        <v>0</v>
      </c>
      <c r="AN68" s="15">
        <f t="shared" ca="1" si="38"/>
        <v>0</v>
      </c>
      <c r="AO68" s="15">
        <f t="shared" ca="1" si="39"/>
        <v>0</v>
      </c>
      <c r="AP68" s="15"/>
      <c r="AQ68" s="15">
        <f t="shared" ca="1" si="40"/>
        <v>0</v>
      </c>
      <c r="AR68" s="20">
        <f t="shared" ca="1" si="26"/>
        <v>0</v>
      </c>
      <c r="AS68" s="20"/>
      <c r="AT68" s="20">
        <f t="shared" ca="1" si="27"/>
        <v>0</v>
      </c>
      <c r="AU68" s="20">
        <f t="shared" ca="1" si="28"/>
        <v>0</v>
      </c>
      <c r="AV68" s="20">
        <f t="shared" ca="1" si="29"/>
        <v>0</v>
      </c>
      <c r="AW68" s="20">
        <f t="shared" si="30"/>
        <v>0</v>
      </c>
      <c r="AX68" s="20">
        <f t="shared" si="31"/>
        <v>0</v>
      </c>
      <c r="BA68" s="20"/>
      <c r="BD68" s="94" t="str">
        <f t="shared" si="34"/>
        <v>CYD0331Aurora Energy</v>
      </c>
      <c r="BF68" s="15" t="s">
        <v>1</v>
      </c>
      <c r="BG68" t="s">
        <v>177</v>
      </c>
      <c r="BH68" s="190">
        <v>18.156599999999997</v>
      </c>
      <c r="BI68" s="190">
        <v>6.82655144521173</v>
      </c>
      <c r="BJ68" s="257">
        <f t="shared" si="35"/>
        <v>0.6448904276745806</v>
      </c>
      <c r="BK68" s="257">
        <f t="shared" si="32"/>
        <v>0.70695944693955037</v>
      </c>
      <c r="BL68" s="257">
        <f t="shared" si="33"/>
        <v>0.74833879311619711</v>
      </c>
      <c r="BM68" s="342" t="str">
        <f>VLOOKUP(LEFT(BG68,3),'Mapping B'!$D$2:$E$310,2,0)</f>
        <v>S</v>
      </c>
      <c r="BO68" s="20"/>
      <c r="BP68" s="190"/>
      <c r="BQ68" s="20"/>
      <c r="BR68" s="20"/>
    </row>
    <row r="69" spans="2:70" x14ac:dyDescent="0.25">
      <c r="B69" s="98" t="s">
        <v>554</v>
      </c>
      <c r="C69" s="98">
        <v>2014</v>
      </c>
      <c r="D69" s="98" t="s">
        <v>185</v>
      </c>
      <c r="E69" s="98" t="s">
        <v>1</v>
      </c>
      <c r="F69" s="98" t="s">
        <v>131</v>
      </c>
      <c r="G69" s="98">
        <v>0</v>
      </c>
      <c r="H69" s="299" t="str">
        <f>VLOOKUP(LEFT('Rev Adequacy'!D69,3),'Mapping B'!$D$2:$E$400,2,0)</f>
        <v>S</v>
      </c>
      <c r="I69" s="190"/>
      <c r="J69" s="15" t="s">
        <v>183</v>
      </c>
      <c r="K69" s="190" t="s">
        <v>105</v>
      </c>
      <c r="L69" s="190">
        <f t="shared" si="18"/>
        <v>28.740599999999997</v>
      </c>
      <c r="O69" s="15">
        <f>_xlfn.IFNA(IF(VLOOKUP($J69&amp;O$12,'Mapping A'!$A$6:$G$1011,7,0)=1,$L69,""),0)</f>
        <v>0</v>
      </c>
      <c r="P69" s="15">
        <f>_xlfn.IFNA(IF(VLOOKUP($J69&amp;P$12,'Mapping A'!$A$6:$G$1011,7,0)=1,$L69,""),0)</f>
        <v>28.740599999999997</v>
      </c>
      <c r="Q69" s="15">
        <f>_xlfn.IFNA(IF(VLOOKUP($J69&amp;Q$12,'Mapping A'!$A$6:$G$1011,7,0)=1,$L69,""),0)</f>
        <v>0</v>
      </c>
      <c r="R69" s="15">
        <f>_xlfn.IFNA(IF(VLOOKUP($J69&amp;R$12,'Mapping A'!$A$6:$G$1011,7,0)=1,$L69,""),0)</f>
        <v>0</v>
      </c>
      <c r="S69" s="15">
        <f>_xlfn.IFNA(IF(VLOOKUP($J69&amp;S$12,'Mapping A'!$A$6:$G$1011,7,0)=1,$L69,""),0)</f>
        <v>0</v>
      </c>
      <c r="T69" s="15">
        <f>_xlfn.IFNA(IF(VLOOKUP($J69&amp;T$14,'Mapping A'!$A$6:$G$1011,7,0)=1,$L69,""),0)</f>
        <v>0</v>
      </c>
      <c r="U69" s="15">
        <f>_xlfn.IFNA(IF(VLOOKUP($J69&amp;U$12,'Mapping A'!$A$6:$G$1011,7,0)=1,$L69,""),0)</f>
        <v>0</v>
      </c>
      <c r="V69" s="15">
        <f>_xlfn.IFNA(IF(VLOOKUP($J69&amp;V$12,'Mapping A'!$A$6:$G$1011,7,0)=1,$L69,""),0)</f>
        <v>0</v>
      </c>
      <c r="W69" s="15">
        <f>_xlfn.IFNA(IF(VLOOKUP($J69&amp;W$12,'Mapping A'!$A$6:$G$1011,7,0)=1,$L69,""),0)</f>
        <v>0</v>
      </c>
      <c r="X69" s="15">
        <f>_xlfn.IFNA(IF(VLOOKUP($J69&amp;X$12,'Mapping A'!$A$6:$G$1011,7,0)=1,$L69,""),0)</f>
        <v>0</v>
      </c>
      <c r="Y69" s="15">
        <f>_xlfn.IFNA(IF(VLOOKUP($J69&amp;Y$12,'Mapping A'!$A$6:$G$1011,7,0)=1,$L69,""),0)</f>
        <v>28.740599999999997</v>
      </c>
      <c r="Z69" s="15">
        <f>_xlfn.IFNA(IF(VLOOKUP($J69&amp;Z$12,'Mapping A'!$A$6:$G$1011,7,0)=1,$L69,""),0)</f>
        <v>0</v>
      </c>
      <c r="AA69" s="15">
        <f>_xlfn.IFNA(IF(VLOOKUP($J69&amp;AA$12,'Mapping A'!$A$6:$G$1011,7,0)=1,$L69,""),0)</f>
        <v>0</v>
      </c>
      <c r="AF69" s="155" t="str">
        <f t="shared" si="19"/>
        <v>EDN0331The Power Company</v>
      </c>
      <c r="AG69" s="15" t="s">
        <v>183</v>
      </c>
      <c r="AH69" s="190" t="s">
        <v>105</v>
      </c>
      <c r="AI69" s="190">
        <f t="shared" si="20"/>
        <v>28.740599999999997</v>
      </c>
      <c r="AJ69" s="292" t="s">
        <v>96</v>
      </c>
      <c r="AK69" s="15"/>
      <c r="AL69" s="15">
        <f t="shared" ca="1" si="36"/>
        <v>0</v>
      </c>
      <c r="AM69" s="15">
        <f t="shared" ca="1" si="37"/>
        <v>0</v>
      </c>
      <c r="AN69" s="15">
        <f t="shared" ca="1" si="38"/>
        <v>0</v>
      </c>
      <c r="AO69" s="15">
        <f t="shared" ca="1" si="39"/>
        <v>0</v>
      </c>
      <c r="AP69" s="15"/>
      <c r="AQ69" s="15">
        <f t="shared" ca="1" si="40"/>
        <v>0</v>
      </c>
      <c r="AR69" s="20">
        <f t="shared" ca="1" si="26"/>
        <v>0</v>
      </c>
      <c r="AS69" s="20"/>
      <c r="AT69" s="20">
        <f t="shared" ca="1" si="27"/>
        <v>0</v>
      </c>
      <c r="AU69" s="20">
        <f t="shared" ca="1" si="28"/>
        <v>0</v>
      </c>
      <c r="AV69" s="20">
        <f t="shared" ca="1" si="29"/>
        <v>7.738537525398409E-2</v>
      </c>
      <c r="AW69" s="20">
        <f t="shared" si="30"/>
        <v>0</v>
      </c>
      <c r="AX69" s="20">
        <f t="shared" si="31"/>
        <v>0</v>
      </c>
      <c r="BA69" s="20"/>
      <c r="BD69" s="94" t="str">
        <f t="shared" si="34"/>
        <v>CYD0331Contact</v>
      </c>
      <c r="BF69" s="15" t="s">
        <v>4</v>
      </c>
      <c r="BG69" t="s">
        <v>177</v>
      </c>
      <c r="BH69" s="190">
        <v>0.47460000000000002</v>
      </c>
      <c r="BI69" s="190">
        <v>0.15524137431177501</v>
      </c>
      <c r="BJ69" s="257">
        <f t="shared" si="35"/>
        <v>1.685695543077206E-2</v>
      </c>
      <c r="BK69" s="257">
        <f t="shared" si="32"/>
        <v>1.847939336205626E-2</v>
      </c>
      <c r="BL69" s="257">
        <f t="shared" si="33"/>
        <v>1.956101864957906E-2</v>
      </c>
      <c r="BM69" s="342" t="str">
        <f>VLOOKUP(LEFT(BG69,3),'Mapping B'!$D$2:$E$310,2,0)</f>
        <v>S</v>
      </c>
      <c r="BO69" s="20"/>
      <c r="BP69" s="190"/>
      <c r="BQ69" s="20"/>
      <c r="BR69" s="20"/>
    </row>
    <row r="70" spans="2:70" x14ac:dyDescent="0.25">
      <c r="B70" s="98" t="s">
        <v>554</v>
      </c>
      <c r="C70" s="98">
        <v>2014</v>
      </c>
      <c r="D70" s="98" t="s">
        <v>220</v>
      </c>
      <c r="E70" s="98" t="s">
        <v>1</v>
      </c>
      <c r="F70" s="98" t="s">
        <v>131</v>
      </c>
      <c r="G70" s="98">
        <v>0</v>
      </c>
      <c r="H70" s="299" t="str">
        <f>VLOOKUP(LEFT('Rev Adequacy'!D70,3),'Mapping B'!$D$2:$E$400,2,0)</f>
        <v>S</v>
      </c>
      <c r="I70" s="190"/>
      <c r="J70" s="15" t="s">
        <v>184</v>
      </c>
      <c r="K70" s="190" t="s">
        <v>36</v>
      </c>
      <c r="L70" s="190">
        <f t="shared" si="18"/>
        <v>52.592400000000005</v>
      </c>
      <c r="O70" s="15">
        <f>_xlfn.IFNA(IF(VLOOKUP($J70&amp;O$12,'Mapping A'!$A$6:$G$1011,7,0)=1,$L70,""),0)</f>
        <v>0</v>
      </c>
      <c r="P70" s="15">
        <f>_xlfn.IFNA(IF(VLOOKUP($J70&amp;P$12,'Mapping A'!$A$6:$G$1011,7,0)=1,$L70,""),0)</f>
        <v>52.592400000000005</v>
      </c>
      <c r="Q70" s="15">
        <f>_xlfn.IFNA(IF(VLOOKUP($J70&amp;Q$12,'Mapping A'!$A$6:$G$1011,7,0)=1,$L70,""),0)</f>
        <v>52.592400000000005</v>
      </c>
      <c r="R70" s="15">
        <f>_xlfn.IFNA(IF(VLOOKUP($J70&amp;R$12,'Mapping A'!$A$6:$G$1011,7,0)=1,$L70,""),0)</f>
        <v>0</v>
      </c>
      <c r="S70" s="15">
        <f>_xlfn.IFNA(IF(VLOOKUP($J70&amp;S$12,'Mapping A'!$A$6:$G$1011,7,0)=1,$L70,""),0)</f>
        <v>0</v>
      </c>
      <c r="T70" s="15">
        <f>_xlfn.IFNA(IF(VLOOKUP($J70&amp;T$14,'Mapping A'!$A$6:$G$1011,7,0)=1,$L70,""),0)</f>
        <v>52.592400000000005</v>
      </c>
      <c r="U70" s="15">
        <f>_xlfn.IFNA(IF(VLOOKUP($J70&amp;U$12,'Mapping A'!$A$6:$G$1011,7,0)=1,$L70,""),0)</f>
        <v>0</v>
      </c>
      <c r="V70" s="15">
        <f>_xlfn.IFNA(IF(VLOOKUP($J70&amp;V$12,'Mapping A'!$A$6:$G$1011,7,0)=1,$L70,""),0)</f>
        <v>0</v>
      </c>
      <c r="W70" s="15">
        <f>_xlfn.IFNA(IF(VLOOKUP($J70&amp;W$12,'Mapping A'!$A$6:$G$1011,7,0)=1,$L70,""),0)</f>
        <v>0</v>
      </c>
      <c r="X70" s="15">
        <f>_xlfn.IFNA(IF(VLOOKUP($J70&amp;X$12,'Mapping A'!$A$6:$G$1011,7,0)=1,$L70,""),0)</f>
        <v>0</v>
      </c>
      <c r="Y70" s="15">
        <f>_xlfn.IFNA(IF(VLOOKUP($J70&amp;Y$12,'Mapping A'!$A$6:$G$1011,7,0)=1,$L70,""),0)</f>
        <v>0</v>
      </c>
      <c r="Z70" s="15">
        <f>_xlfn.IFNA(IF(VLOOKUP($J70&amp;Z$12,'Mapping A'!$A$6:$G$1011,7,0)=1,$L70,""),0)</f>
        <v>0</v>
      </c>
      <c r="AA70" s="15">
        <f>_xlfn.IFNA(IF(VLOOKUP($J70&amp;AA$12,'Mapping A'!$A$6:$G$1011,7,0)=1,$L70,""),0)</f>
        <v>0</v>
      </c>
      <c r="AF70" s="155" t="str">
        <f t="shared" si="19"/>
        <v>FHL0331Unison</v>
      </c>
      <c r="AG70" s="15" t="s">
        <v>184</v>
      </c>
      <c r="AH70" s="190" t="s">
        <v>36</v>
      </c>
      <c r="AI70" s="190">
        <f t="shared" si="20"/>
        <v>52.592400000000005</v>
      </c>
      <c r="AJ70" s="292" t="s">
        <v>95</v>
      </c>
      <c r="AK70" s="15"/>
      <c r="AL70" s="15">
        <f t="shared" ca="1" si="36"/>
        <v>0</v>
      </c>
      <c r="AM70" s="15">
        <f t="shared" ca="1" si="37"/>
        <v>0</v>
      </c>
      <c r="AN70" s="15">
        <f t="shared" ca="1" si="38"/>
        <v>0</v>
      </c>
      <c r="AO70" s="15">
        <f t="shared" ca="1" si="39"/>
        <v>0</v>
      </c>
      <c r="AP70" s="15"/>
      <c r="AQ70" s="15">
        <f t="shared" ca="1" si="40"/>
        <v>0</v>
      </c>
      <c r="AR70" s="20">
        <f t="shared" ca="1" si="26"/>
        <v>0</v>
      </c>
      <c r="AS70" s="20"/>
      <c r="AT70" s="20">
        <f t="shared" ca="1" si="27"/>
        <v>0</v>
      </c>
      <c r="AU70" s="20">
        <f t="shared" ca="1" si="28"/>
        <v>0</v>
      </c>
      <c r="AV70" s="20">
        <f t="shared" ca="1" si="29"/>
        <v>0</v>
      </c>
      <c r="AW70" s="20">
        <f t="shared" si="30"/>
        <v>0</v>
      </c>
      <c r="AX70" s="20">
        <f t="shared" si="31"/>
        <v>0</v>
      </c>
      <c r="BA70" s="20"/>
      <c r="BD70" s="94" t="str">
        <f t="shared" si="34"/>
        <v>CYD2201Contact</v>
      </c>
      <c r="BF70" s="15" t="s">
        <v>4</v>
      </c>
      <c r="BG70" t="s">
        <v>178</v>
      </c>
      <c r="BH70" s="190">
        <v>6.51</v>
      </c>
      <c r="BI70" s="190">
        <v>6.5100002288818297</v>
      </c>
      <c r="BJ70" s="257">
        <f t="shared" si="35"/>
        <v>0.23122372493536897</v>
      </c>
      <c r="BK70" s="257">
        <f t="shared" si="32"/>
        <v>0.25347840452378056</v>
      </c>
      <c r="BL70" s="257">
        <f t="shared" si="33"/>
        <v>0.26831485758272161</v>
      </c>
      <c r="BM70" s="342" t="str">
        <f>VLOOKUP(LEFT(BG70,3),'Mapping B'!$D$2:$E$310,2,0)</f>
        <v>S</v>
      </c>
      <c r="BO70" s="20"/>
      <c r="BP70" s="190"/>
      <c r="BQ70" s="20"/>
      <c r="BR70" s="20"/>
    </row>
    <row r="71" spans="2:70" x14ac:dyDescent="0.25">
      <c r="B71" s="98" t="s">
        <v>554</v>
      </c>
      <c r="C71" s="98">
        <v>2014</v>
      </c>
      <c r="D71" s="98" t="s">
        <v>222</v>
      </c>
      <c r="E71" s="98" t="s">
        <v>1</v>
      </c>
      <c r="F71" s="98" t="s">
        <v>131</v>
      </c>
      <c r="G71" s="98">
        <v>2692.4129999998099</v>
      </c>
      <c r="H71" s="299" t="str">
        <f>VLOOKUP(LEFT('Rev Adequacy'!D71,3),'Mapping B'!$D$2:$E$400,2,0)</f>
        <v>S</v>
      </c>
      <c r="I71" s="190"/>
      <c r="J71" s="15" t="s">
        <v>185</v>
      </c>
      <c r="K71" s="190" t="s">
        <v>1</v>
      </c>
      <c r="L71" s="190">
        <f t="shared" si="18"/>
        <v>56.477400000000003</v>
      </c>
      <c r="O71" s="15">
        <f>_xlfn.IFNA(IF(VLOOKUP($J71&amp;O$12,'Mapping A'!$A$6:$G$1011,7,0)=1,$L71,""),0)</f>
        <v>0</v>
      </c>
      <c r="P71" s="15">
        <f>_xlfn.IFNA(IF(VLOOKUP($J71&amp;P$12,'Mapping A'!$A$6:$G$1011,7,0)=1,$L71,""),0)</f>
        <v>56.477400000000003</v>
      </c>
      <c r="Q71" s="15">
        <f>_xlfn.IFNA(IF(VLOOKUP($J71&amp;Q$12,'Mapping A'!$A$6:$G$1011,7,0)=1,$L71,""),0)</f>
        <v>0</v>
      </c>
      <c r="R71" s="15">
        <f>_xlfn.IFNA(IF(VLOOKUP($J71&amp;R$12,'Mapping A'!$A$6:$G$1011,7,0)=1,$L71,""),0)</f>
        <v>0</v>
      </c>
      <c r="S71" s="15">
        <f>_xlfn.IFNA(IF(VLOOKUP($J71&amp;S$12,'Mapping A'!$A$6:$G$1011,7,0)=1,$L71,""),0)</f>
        <v>0</v>
      </c>
      <c r="T71" s="15">
        <f>_xlfn.IFNA(IF(VLOOKUP($J71&amp;T$14,'Mapping A'!$A$6:$G$1011,7,0)=1,$L71,""),0)</f>
        <v>0</v>
      </c>
      <c r="U71" s="15">
        <f>_xlfn.IFNA(IF(VLOOKUP($J71&amp;U$12,'Mapping A'!$A$6:$G$1011,7,0)=1,$L71,""),0)</f>
        <v>0</v>
      </c>
      <c r="V71" s="15">
        <f>_xlfn.IFNA(IF(VLOOKUP($J71&amp;V$12,'Mapping A'!$A$6:$G$1011,7,0)=1,$L71,""),0)</f>
        <v>0</v>
      </c>
      <c r="W71" s="15">
        <f>_xlfn.IFNA(IF(VLOOKUP($J71&amp;W$12,'Mapping A'!$A$6:$G$1011,7,0)=1,$L71,""),0)</f>
        <v>0</v>
      </c>
      <c r="X71" s="15">
        <f>_xlfn.IFNA(IF(VLOOKUP($J71&amp;X$12,'Mapping A'!$A$6:$G$1011,7,0)=1,$L71,""),0)</f>
        <v>0</v>
      </c>
      <c r="Y71" s="15">
        <f>_xlfn.IFNA(IF(VLOOKUP($J71&amp;Y$12,'Mapping A'!$A$6:$G$1011,7,0)=1,$L71,""),0)</f>
        <v>0</v>
      </c>
      <c r="Z71" s="15">
        <f>_xlfn.IFNA(IF(VLOOKUP($J71&amp;Z$12,'Mapping A'!$A$6:$G$1011,7,0)=1,$L71,""),0)</f>
        <v>0</v>
      </c>
      <c r="AA71" s="15">
        <f>_xlfn.IFNA(IF(VLOOKUP($J71&amp;AA$12,'Mapping A'!$A$6:$G$1011,7,0)=1,$L71,""),0)</f>
        <v>0</v>
      </c>
      <c r="AF71" s="155" t="str">
        <f t="shared" si="19"/>
        <v>FKN0331Aurora Energy</v>
      </c>
      <c r="AG71" s="15" t="s">
        <v>185</v>
      </c>
      <c r="AH71" s="190" t="s">
        <v>1</v>
      </c>
      <c r="AI71" s="190">
        <f t="shared" si="20"/>
        <v>56.477400000000003</v>
      </c>
      <c r="AJ71" s="292" t="s">
        <v>96</v>
      </c>
      <c r="AK71" s="15"/>
      <c r="AL71" s="15">
        <f t="shared" ca="1" si="36"/>
        <v>0</v>
      </c>
      <c r="AM71" s="15">
        <f t="shared" ca="1" si="37"/>
        <v>0</v>
      </c>
      <c r="AN71" s="15">
        <f t="shared" ca="1" si="38"/>
        <v>0</v>
      </c>
      <c r="AO71" s="15">
        <f t="shared" ca="1" si="39"/>
        <v>0</v>
      </c>
      <c r="AP71" s="15"/>
      <c r="AQ71" s="15">
        <f t="shared" ca="1" si="40"/>
        <v>0</v>
      </c>
      <c r="AR71" s="20">
        <f t="shared" ca="1" si="26"/>
        <v>0</v>
      </c>
      <c r="AS71" s="20"/>
      <c r="AT71" s="20">
        <f t="shared" ca="1" si="27"/>
        <v>0</v>
      </c>
      <c r="AU71" s="20">
        <f t="shared" ca="1" si="28"/>
        <v>0</v>
      </c>
      <c r="AV71" s="20">
        <f t="shared" ca="1" si="29"/>
        <v>0</v>
      </c>
      <c r="AW71" s="20">
        <f t="shared" si="30"/>
        <v>0</v>
      </c>
      <c r="AX71" s="20">
        <f t="shared" si="31"/>
        <v>0</v>
      </c>
      <c r="BA71" s="20"/>
      <c r="BD71" s="94" t="str">
        <f t="shared" si="34"/>
        <v>DOB0331Westpower</v>
      </c>
      <c r="BF71" s="15" t="s">
        <v>41</v>
      </c>
      <c r="BG71" t="s">
        <v>180</v>
      </c>
      <c r="BH71" s="190">
        <v>9.767100000000001</v>
      </c>
      <c r="BI71" s="190">
        <v>8.2989997863769496</v>
      </c>
      <c r="BJ71" s="257">
        <f t="shared" si="35"/>
        <v>0.34691017570141974</v>
      </c>
      <c r="BK71" s="257">
        <f t="shared" si="32"/>
        <v>0.38029937401293662</v>
      </c>
      <c r="BL71" s="257">
        <f t="shared" si="33"/>
        <v>0.40255883955394783</v>
      </c>
      <c r="BM71" s="342" t="str">
        <f>VLOOKUP(LEFT(BG71,3),'Mapping B'!$D$2:$E$310,2,0)</f>
        <v>S</v>
      </c>
      <c r="BO71" s="20"/>
      <c r="BP71" s="190"/>
      <c r="BQ71" s="20"/>
      <c r="BR71" s="20"/>
    </row>
    <row r="72" spans="2:70" x14ac:dyDescent="0.25">
      <c r="B72" s="98" t="s">
        <v>554</v>
      </c>
      <c r="C72" s="98">
        <v>2014</v>
      </c>
      <c r="D72" s="98" t="s">
        <v>319</v>
      </c>
      <c r="E72" s="98" t="s">
        <v>1</v>
      </c>
      <c r="F72" s="98" t="s">
        <v>131</v>
      </c>
      <c r="G72" s="98">
        <v>16641.186000000002</v>
      </c>
      <c r="H72" s="299" t="str">
        <f>VLOOKUP(LEFT('Rev Adequacy'!D72,3),'Mapping B'!$D$2:$E$400,2,0)</f>
        <v>S</v>
      </c>
      <c r="I72" s="190"/>
      <c r="J72" s="15" t="s">
        <v>185</v>
      </c>
      <c r="K72" s="190" t="s">
        <v>102</v>
      </c>
      <c r="L72" s="190">
        <f t="shared" si="18"/>
        <v>2.7845999999999997</v>
      </c>
      <c r="O72" s="15">
        <f>_xlfn.IFNA(IF(VLOOKUP($J72&amp;O$12,'Mapping A'!$A$6:$G$1011,7,0)=1,$L72,""),0)</f>
        <v>0</v>
      </c>
      <c r="P72" s="15">
        <f>_xlfn.IFNA(IF(VLOOKUP($J72&amp;P$12,'Mapping A'!$A$6:$G$1011,7,0)=1,$L72,""),0)</f>
        <v>2.7845999999999997</v>
      </c>
      <c r="Q72" s="15">
        <f>_xlfn.IFNA(IF(VLOOKUP($J72&amp;Q$12,'Mapping A'!$A$6:$G$1011,7,0)=1,$L72,""),0)</f>
        <v>0</v>
      </c>
      <c r="R72" s="15">
        <f>_xlfn.IFNA(IF(VLOOKUP($J72&amp;R$12,'Mapping A'!$A$6:$G$1011,7,0)=1,$L72,""),0)</f>
        <v>0</v>
      </c>
      <c r="S72" s="15">
        <f>_xlfn.IFNA(IF(VLOOKUP($J72&amp;S$12,'Mapping A'!$A$6:$G$1011,7,0)=1,$L72,""),0)</f>
        <v>0</v>
      </c>
      <c r="T72" s="15">
        <f>_xlfn.IFNA(IF(VLOOKUP($J72&amp;T$14,'Mapping A'!$A$6:$G$1011,7,0)=1,$L72,""),0)</f>
        <v>0</v>
      </c>
      <c r="U72" s="15">
        <f>_xlfn.IFNA(IF(VLOOKUP($J72&amp;U$12,'Mapping A'!$A$6:$G$1011,7,0)=1,$L72,""),0)</f>
        <v>0</v>
      </c>
      <c r="V72" s="15">
        <f>_xlfn.IFNA(IF(VLOOKUP($J72&amp;V$12,'Mapping A'!$A$6:$G$1011,7,0)=1,$L72,""),0)</f>
        <v>0</v>
      </c>
      <c r="W72" s="15">
        <f>_xlfn.IFNA(IF(VLOOKUP($J72&amp;W$12,'Mapping A'!$A$6:$G$1011,7,0)=1,$L72,""),0)</f>
        <v>0</v>
      </c>
      <c r="X72" s="15">
        <f>_xlfn.IFNA(IF(VLOOKUP($J72&amp;X$12,'Mapping A'!$A$6:$G$1011,7,0)=1,$L72,""),0)</f>
        <v>0</v>
      </c>
      <c r="Y72" s="15">
        <f>_xlfn.IFNA(IF(VLOOKUP($J72&amp;Y$12,'Mapping A'!$A$6:$G$1011,7,0)=1,$L72,""),0)</f>
        <v>0</v>
      </c>
      <c r="Z72" s="15">
        <f>_xlfn.IFNA(IF(VLOOKUP($J72&amp;Z$12,'Mapping A'!$A$6:$G$1011,7,0)=1,$L72,""),0)</f>
        <v>0</v>
      </c>
      <c r="AA72" s="15">
        <f>_xlfn.IFNA(IF(VLOOKUP($J72&amp;AA$12,'Mapping A'!$A$6:$G$1011,7,0)=1,$L72,""),0)</f>
        <v>0</v>
      </c>
      <c r="AF72" s="155" t="str">
        <f t="shared" si="19"/>
        <v>FKN0331Lakeland Network</v>
      </c>
      <c r="AG72" s="15" t="s">
        <v>185</v>
      </c>
      <c r="AH72" s="190" t="s">
        <v>102</v>
      </c>
      <c r="AI72" s="190">
        <f t="shared" si="20"/>
        <v>2.7845999999999997</v>
      </c>
      <c r="AJ72" s="292" t="s">
        <v>96</v>
      </c>
      <c r="AK72" s="15"/>
      <c r="AL72" s="15">
        <f t="shared" ca="1" si="36"/>
        <v>0</v>
      </c>
      <c r="AM72" s="15">
        <f t="shared" ca="1" si="37"/>
        <v>0</v>
      </c>
      <c r="AN72" s="15">
        <f t="shared" ca="1" si="38"/>
        <v>0</v>
      </c>
      <c r="AO72" s="15">
        <f t="shared" ca="1" si="39"/>
        <v>0</v>
      </c>
      <c r="AP72" s="15"/>
      <c r="AQ72" s="15">
        <f t="shared" ca="1" si="40"/>
        <v>0</v>
      </c>
      <c r="AR72" s="20">
        <f t="shared" ca="1" si="26"/>
        <v>0</v>
      </c>
      <c r="AS72" s="20"/>
      <c r="AT72" s="20">
        <f t="shared" ca="1" si="27"/>
        <v>0</v>
      </c>
      <c r="AU72" s="20">
        <f t="shared" ca="1" si="28"/>
        <v>0</v>
      </c>
      <c r="AV72" s="20">
        <f t="shared" ca="1" si="29"/>
        <v>0</v>
      </c>
      <c r="AW72" s="20">
        <f t="shared" si="30"/>
        <v>0</v>
      </c>
      <c r="AX72" s="20">
        <f t="shared" si="31"/>
        <v>0</v>
      </c>
      <c r="BA72" s="20"/>
      <c r="BD72" s="94" t="str">
        <f t="shared" si="34"/>
        <v>DVK0111Scanpower</v>
      </c>
      <c r="BF72" s="15" t="s">
        <v>31</v>
      </c>
      <c r="BG72" t="s">
        <v>181</v>
      </c>
      <c r="BH72" s="190">
        <v>12.673500000000001</v>
      </c>
      <c r="BI72" s="190">
        <v>12.6709995269775</v>
      </c>
      <c r="BJ72" s="257">
        <f t="shared" si="35"/>
        <v>0.45014038064030704</v>
      </c>
      <c r="BK72" s="257">
        <f t="shared" si="32"/>
        <v>0.49346521654871484</v>
      </c>
      <c r="BL72" s="257">
        <f t="shared" si="33"/>
        <v>0.52234844048765317</v>
      </c>
      <c r="BM72" s="342" t="str">
        <f>VLOOKUP(LEFT(BG72,3),'Mapping B'!$D$2:$E$310,2,0)</f>
        <v>N</v>
      </c>
      <c r="BO72" s="20"/>
      <c r="BP72" s="190"/>
      <c r="BQ72" s="20"/>
      <c r="BR72" s="20"/>
    </row>
    <row r="73" spans="2:70" x14ac:dyDescent="0.25">
      <c r="B73" s="98" t="s">
        <v>563</v>
      </c>
      <c r="C73" s="98">
        <v>2014</v>
      </c>
      <c r="D73" s="98" t="s">
        <v>168</v>
      </c>
      <c r="E73" s="98" t="s">
        <v>1</v>
      </c>
      <c r="F73" s="98" t="s">
        <v>131</v>
      </c>
      <c r="G73" s="98">
        <v>234285.44599999901</v>
      </c>
      <c r="H73" s="299" t="str">
        <f>VLOOKUP(LEFT('Rev Adequacy'!D73,3),'Mapping B'!$D$2:$E$400,2,0)</f>
        <v>S</v>
      </c>
      <c r="I73" s="190"/>
      <c r="J73" s="15" t="s">
        <v>186</v>
      </c>
      <c r="K73" s="190" t="s">
        <v>40</v>
      </c>
      <c r="L73" s="190">
        <f t="shared" si="18"/>
        <v>62.397300000000001</v>
      </c>
      <c r="O73" s="15">
        <f>_xlfn.IFNA(IF(VLOOKUP($J73&amp;O$12,'Mapping A'!$A$6:$G$1011,7,0)=1,$L73,""),0)</f>
        <v>0</v>
      </c>
      <c r="P73" s="15">
        <f>_xlfn.IFNA(IF(VLOOKUP($J73&amp;P$12,'Mapping A'!$A$6:$G$1011,7,0)=1,$L73,""),0)</f>
        <v>62.397300000000001</v>
      </c>
      <c r="Q73" s="15">
        <f>_xlfn.IFNA(IF(VLOOKUP($J73&amp;Q$12,'Mapping A'!$A$6:$G$1011,7,0)=1,$L73,""),0)</f>
        <v>62.397300000000001</v>
      </c>
      <c r="R73" s="15">
        <f>_xlfn.IFNA(IF(VLOOKUP($J73&amp;R$12,'Mapping A'!$A$6:$G$1011,7,0)=1,$L73,""),0)</f>
        <v>0</v>
      </c>
      <c r="S73" s="15">
        <f>_xlfn.IFNA(IF(VLOOKUP($J73&amp;S$12,'Mapping A'!$A$6:$G$1011,7,0)=1,$L73,""),0)</f>
        <v>0</v>
      </c>
      <c r="T73" s="15">
        <f>_xlfn.IFNA(IF(VLOOKUP($J73&amp;T$14,'Mapping A'!$A$6:$G$1011,7,0)=1,$L73,""),0)</f>
        <v>0</v>
      </c>
      <c r="U73" s="15">
        <f>_xlfn.IFNA(IF(VLOOKUP($J73&amp;U$12,'Mapping A'!$A$6:$G$1011,7,0)=1,$L73,""),0)</f>
        <v>0</v>
      </c>
      <c r="V73" s="15">
        <f>_xlfn.IFNA(IF(VLOOKUP($J73&amp;V$12,'Mapping A'!$A$6:$G$1011,7,0)=1,$L73,""),0)</f>
        <v>0</v>
      </c>
      <c r="W73" s="15">
        <f>_xlfn.IFNA(IF(VLOOKUP($J73&amp;W$12,'Mapping A'!$A$6:$G$1011,7,0)=1,$L73,""),0)</f>
        <v>0</v>
      </c>
      <c r="X73" s="15">
        <f>_xlfn.IFNA(IF(VLOOKUP($J73&amp;X$12,'Mapping A'!$A$6:$G$1011,7,0)=1,$L73,""),0)</f>
        <v>0</v>
      </c>
      <c r="Y73" s="15">
        <f>_xlfn.IFNA(IF(VLOOKUP($J73&amp;Y$12,'Mapping A'!$A$6:$G$1011,7,0)=1,$L73,""),0)</f>
        <v>0</v>
      </c>
      <c r="Z73" s="15">
        <f>_xlfn.IFNA(IF(VLOOKUP($J73&amp;Z$12,'Mapping A'!$A$6:$G$1011,7,0)=1,$L73,""),0)</f>
        <v>0</v>
      </c>
      <c r="AA73" s="15">
        <f>_xlfn.IFNA(IF(VLOOKUP($J73&amp;AA$12,'Mapping A'!$A$6:$G$1011,7,0)=1,$L73,""),0)</f>
        <v>0</v>
      </c>
      <c r="AF73" s="155" t="str">
        <f t="shared" si="19"/>
        <v>GFD0331Wellington Electricity</v>
      </c>
      <c r="AG73" s="15" t="s">
        <v>186</v>
      </c>
      <c r="AH73" s="190" t="s">
        <v>40</v>
      </c>
      <c r="AI73" s="190">
        <f t="shared" si="20"/>
        <v>62.397300000000001</v>
      </c>
      <c r="AJ73" s="292" t="s">
        <v>95</v>
      </c>
      <c r="AK73" s="15"/>
      <c r="AL73" s="15">
        <f t="shared" ca="1" si="36"/>
        <v>0</v>
      </c>
      <c r="AM73" s="15">
        <f t="shared" ca="1" si="37"/>
        <v>0</v>
      </c>
      <c r="AN73" s="15">
        <f t="shared" ca="1" si="38"/>
        <v>0</v>
      </c>
      <c r="AO73" s="15">
        <f t="shared" ca="1" si="39"/>
        <v>0</v>
      </c>
      <c r="AP73" s="15"/>
      <c r="AQ73" s="15">
        <f t="shared" ca="1" si="40"/>
        <v>0</v>
      </c>
      <c r="AR73" s="20">
        <f t="shared" ca="1" si="26"/>
        <v>0</v>
      </c>
      <c r="AS73" s="20"/>
      <c r="AT73" s="20">
        <f t="shared" ca="1" si="27"/>
        <v>0</v>
      </c>
      <c r="AU73" s="20">
        <f t="shared" ca="1" si="28"/>
        <v>0</v>
      </c>
      <c r="AV73" s="20">
        <f t="shared" ca="1" si="29"/>
        <v>0</v>
      </c>
      <c r="AW73" s="20">
        <f t="shared" si="30"/>
        <v>0</v>
      </c>
      <c r="AX73" s="20">
        <f t="shared" si="31"/>
        <v>0</v>
      </c>
      <c r="BA73" s="20"/>
      <c r="BD73" s="94" t="str">
        <f t="shared" si="34"/>
        <v>EDG0331Horizon</v>
      </c>
      <c r="BF73" s="15" t="s">
        <v>11</v>
      </c>
      <c r="BG73" t="s">
        <v>182</v>
      </c>
      <c r="BH73" s="190">
        <v>64.562399999999997</v>
      </c>
      <c r="BI73" s="190">
        <v>62.523998260497997</v>
      </c>
      <c r="BJ73" s="257">
        <f t="shared" si="35"/>
        <v>2.2931426449719301</v>
      </c>
      <c r="BK73" s="257">
        <f t="shared" si="32"/>
        <v>2.5138516350577773</v>
      </c>
      <c r="BL73" s="257">
        <f t="shared" si="33"/>
        <v>2.6609909617816752</v>
      </c>
      <c r="BM73" s="342" t="str">
        <f>VLOOKUP(LEFT(BG73,3),'Mapping B'!$D$2:$E$310,2,0)</f>
        <v>N</v>
      </c>
      <c r="BO73" s="20"/>
      <c r="BP73" s="190"/>
      <c r="BQ73" s="20"/>
      <c r="BR73" s="20"/>
    </row>
    <row r="74" spans="2:70" x14ac:dyDescent="0.25">
      <c r="B74" s="98" t="s">
        <v>563</v>
      </c>
      <c r="C74" s="98">
        <v>2014</v>
      </c>
      <c r="D74" s="98" t="s">
        <v>177</v>
      </c>
      <c r="E74" s="98" t="s">
        <v>1</v>
      </c>
      <c r="F74" s="98" t="s">
        <v>131</v>
      </c>
      <c r="G74" s="98">
        <v>2773.3237768240301</v>
      </c>
      <c r="H74" s="299" t="str">
        <f>VLOOKUP(LEFT('Rev Adequacy'!D74,3),'Mapping B'!$D$2:$E$400,2,0)</f>
        <v>S</v>
      </c>
      <c r="I74" s="190"/>
      <c r="J74" s="15" t="s">
        <v>402</v>
      </c>
      <c r="K74" s="190" t="s">
        <v>24</v>
      </c>
      <c r="L74" s="190">
        <f t="shared" si="18"/>
        <v>112.31219999999999</v>
      </c>
      <c r="O74" s="15">
        <f>_xlfn.IFNA(IF(VLOOKUP($J74&amp;O$12,'Mapping A'!$A$6:$G$1011,7,0)=1,$L74,""),0)</f>
        <v>112.31219999999999</v>
      </c>
      <c r="P74" s="15">
        <f>_xlfn.IFNA(IF(VLOOKUP($J74&amp;P$12,'Mapping A'!$A$6:$G$1011,7,0)=1,$L74,""),0)</f>
        <v>112.31219999999999</v>
      </c>
      <c r="Q74" s="15">
        <f>_xlfn.IFNA(IF(VLOOKUP($J74&amp;Q$12,'Mapping A'!$A$6:$G$1011,7,0)=1,$L74,""),0)</f>
        <v>112.31219999999999</v>
      </c>
      <c r="R74" s="15">
        <f>_xlfn.IFNA(IF(VLOOKUP($J74&amp;R$12,'Mapping A'!$A$6:$G$1011,7,0)=1,$L74,""),0)</f>
        <v>0</v>
      </c>
      <c r="S74" s="15">
        <f>_xlfn.IFNA(IF(VLOOKUP($J74&amp;S$12,'Mapping A'!$A$6:$G$1011,7,0)=1,$L74,""),0)</f>
        <v>0</v>
      </c>
      <c r="T74" s="15">
        <f>_xlfn.IFNA(IF(VLOOKUP($J74&amp;T$14,'Mapping A'!$A$6:$G$1011,7,0)=1,$L74,""),0)</f>
        <v>112.31219999999999</v>
      </c>
      <c r="U74" s="15">
        <f>_xlfn.IFNA(IF(VLOOKUP($J74&amp;U$12,'Mapping A'!$A$6:$G$1011,7,0)=1,$L74,""),0)</f>
        <v>112.31219999999999</v>
      </c>
      <c r="V74" s="15">
        <f>_xlfn.IFNA(IF(VLOOKUP($J74&amp;V$12,'Mapping A'!$A$6:$G$1011,7,0)=1,$L74,""),0)</f>
        <v>0</v>
      </c>
      <c r="W74" s="15">
        <f>_xlfn.IFNA(IF(VLOOKUP($J74&amp;W$12,'Mapping A'!$A$6:$G$1011,7,0)=1,$L74,""),0)</f>
        <v>0</v>
      </c>
      <c r="X74" s="15">
        <f>_xlfn.IFNA(IF(VLOOKUP($J74&amp;X$12,'Mapping A'!$A$6:$G$1011,7,0)=1,$L74,""),0)</f>
        <v>112.31219999999999</v>
      </c>
      <c r="Y74" s="15">
        <f>_xlfn.IFNA(IF(VLOOKUP($J74&amp;Y$12,'Mapping A'!$A$6:$G$1011,7,0)=1,$L74,""),0)</f>
        <v>0</v>
      </c>
      <c r="Z74" s="15">
        <f>_xlfn.IFNA(IF(VLOOKUP($J74&amp;Z$12,'Mapping A'!$A$6:$G$1011,7,0)=1,$L74,""),0)</f>
        <v>0</v>
      </c>
      <c r="AA74" s="15">
        <f>_xlfn.IFNA(IF(VLOOKUP($J74&amp;AA$12,'Mapping A'!$A$6:$G$1011,7,0)=1,$L74,""),0)</f>
        <v>0</v>
      </c>
      <c r="AF74" s="155" t="str">
        <f t="shared" si="19"/>
        <v>GLN0331NZ Steel</v>
      </c>
      <c r="AG74" s="15" t="s">
        <v>402</v>
      </c>
      <c r="AH74" s="190" t="s">
        <v>24</v>
      </c>
      <c r="AI74" s="190">
        <f t="shared" si="20"/>
        <v>112.31219999999999</v>
      </c>
      <c r="AJ74" s="292" t="s">
        <v>95</v>
      </c>
      <c r="AK74" s="15"/>
      <c r="AL74" s="15">
        <f t="shared" ca="1" si="36"/>
        <v>0</v>
      </c>
      <c r="AM74" s="15">
        <f t="shared" ca="1" si="37"/>
        <v>0</v>
      </c>
      <c r="AN74" s="15">
        <f t="shared" ca="1" si="38"/>
        <v>0</v>
      </c>
      <c r="AO74" s="15">
        <f t="shared" ca="1" si="39"/>
        <v>0</v>
      </c>
      <c r="AP74" s="15"/>
      <c r="AQ74" s="15">
        <f t="shared" ca="1" si="40"/>
        <v>0</v>
      </c>
      <c r="AR74" s="20">
        <f t="shared" ca="1" si="26"/>
        <v>0.49143274882883597</v>
      </c>
      <c r="AS74" s="20"/>
      <c r="AT74" s="20">
        <f t="shared" ca="1" si="27"/>
        <v>0</v>
      </c>
      <c r="AU74" s="20">
        <f t="shared" ca="1" si="28"/>
        <v>0.2266498466083299</v>
      </c>
      <c r="AV74" s="20">
        <f t="shared" ca="1" si="29"/>
        <v>0</v>
      </c>
      <c r="AW74" s="20">
        <f t="shared" si="30"/>
        <v>0</v>
      </c>
      <c r="AX74" s="20">
        <f t="shared" si="31"/>
        <v>0</v>
      </c>
      <c r="BA74" s="20"/>
      <c r="BC74" s="190" t="s">
        <v>48</v>
      </c>
      <c r="BD74" s="94" t="str">
        <f t="shared" si="34"/>
        <v>EDN0331The Power Company</v>
      </c>
      <c r="BF74" s="198" t="s">
        <v>105</v>
      </c>
      <c r="BG74" t="s">
        <v>183</v>
      </c>
      <c r="BH74" s="190">
        <v>28.740599999999997</v>
      </c>
      <c r="BI74" s="190" t="e">
        <v>#N/A</v>
      </c>
      <c r="BJ74" s="257">
        <f t="shared" si="35"/>
        <v>1.0208154514404708</v>
      </c>
      <c r="BK74" s="257">
        <f t="shared" si="32"/>
        <v>1.1190662723588582</v>
      </c>
      <c r="BL74" s="257">
        <f t="shared" si="33"/>
        <v>1.1845668196377832</v>
      </c>
      <c r="BM74" s="342" t="str">
        <f>VLOOKUP(LEFT(BG74,3),'Mapping B'!$D$2:$E$310,2,0)</f>
        <v>S</v>
      </c>
      <c r="BO74" s="20"/>
      <c r="BP74" s="190"/>
      <c r="BQ74" s="20"/>
      <c r="BR74" s="20"/>
    </row>
    <row r="75" spans="2:70" x14ac:dyDescent="0.25">
      <c r="B75" s="98" t="s">
        <v>563</v>
      </c>
      <c r="C75" s="98">
        <v>2014</v>
      </c>
      <c r="D75" s="98" t="s">
        <v>185</v>
      </c>
      <c r="E75" s="98" t="s">
        <v>1</v>
      </c>
      <c r="F75" s="98" t="s">
        <v>131</v>
      </c>
      <c r="G75" s="98">
        <v>378646.942847603</v>
      </c>
      <c r="H75" s="299" t="str">
        <f>VLOOKUP(LEFT('Rev Adequacy'!D75,3),'Mapping B'!$D$2:$E$400,2,0)</f>
        <v>S</v>
      </c>
      <c r="I75" s="190"/>
      <c r="J75" s="15" t="s">
        <v>403</v>
      </c>
      <c r="K75" s="190" t="s">
        <v>5</v>
      </c>
      <c r="L75" s="190">
        <f t="shared" si="18"/>
        <v>38.625300000000003</v>
      </c>
      <c r="O75" s="15">
        <f>_xlfn.IFNA(IF(VLOOKUP($J75&amp;O$12,'Mapping A'!$A$6:$G$1011,7,0)=1,$L75,""),0)</f>
        <v>38.625300000000003</v>
      </c>
      <c r="P75" s="15">
        <f>_xlfn.IFNA(IF(VLOOKUP($J75&amp;P$12,'Mapping A'!$A$6:$G$1011,7,0)=1,$L75,""),0)</f>
        <v>38.625300000000003</v>
      </c>
      <c r="Q75" s="15">
        <f>_xlfn.IFNA(IF(VLOOKUP($J75&amp;Q$12,'Mapping A'!$A$6:$G$1011,7,0)=1,$L75,""),0)</f>
        <v>38.625300000000003</v>
      </c>
      <c r="R75" s="15">
        <f>_xlfn.IFNA(IF(VLOOKUP($J75&amp;R$12,'Mapping A'!$A$6:$G$1011,7,0)=1,$L75,""),0)</f>
        <v>0</v>
      </c>
      <c r="S75" s="15">
        <f>_xlfn.IFNA(IF(VLOOKUP($J75&amp;S$12,'Mapping A'!$A$6:$G$1011,7,0)=1,$L75,""),0)</f>
        <v>0</v>
      </c>
      <c r="T75" s="15">
        <f>_xlfn.IFNA(IF(VLOOKUP($J75&amp;T$14,'Mapping A'!$A$6:$G$1011,7,0)=1,$L75,""),0)</f>
        <v>38.625300000000003</v>
      </c>
      <c r="U75" s="15">
        <f>_xlfn.IFNA(IF(VLOOKUP($J75&amp;U$12,'Mapping A'!$A$6:$G$1011,7,0)=1,$L75,""),0)</f>
        <v>38.625300000000003</v>
      </c>
      <c r="V75" s="15">
        <f>_xlfn.IFNA(IF(VLOOKUP($J75&amp;V$12,'Mapping A'!$A$6:$G$1011,7,0)=1,$L75,""),0)</f>
        <v>0</v>
      </c>
      <c r="W75" s="15">
        <f>_xlfn.IFNA(IF(VLOOKUP($J75&amp;W$12,'Mapping A'!$A$6:$G$1011,7,0)=1,$L75,""),0)</f>
        <v>0</v>
      </c>
      <c r="X75" s="15">
        <f>_xlfn.IFNA(IF(VLOOKUP($J75&amp;X$12,'Mapping A'!$A$6:$G$1011,7,0)=1,$L75,""),0)</f>
        <v>38.625300000000003</v>
      </c>
      <c r="Y75" s="15">
        <f>_xlfn.IFNA(IF(VLOOKUP($J75&amp;Y$12,'Mapping A'!$A$6:$G$1011,7,0)=1,$L75,""),0)</f>
        <v>0</v>
      </c>
      <c r="Z75" s="15">
        <f>_xlfn.IFNA(IF(VLOOKUP($J75&amp;Z$12,'Mapping A'!$A$6:$G$1011,7,0)=1,$L75,""),0)</f>
        <v>0</v>
      </c>
      <c r="AA75" s="15">
        <f>_xlfn.IFNA(IF(VLOOKUP($J75&amp;AA$12,'Mapping A'!$A$6:$G$1011,7,0)=1,$L75,""),0)</f>
        <v>0</v>
      </c>
      <c r="AF75" s="155" t="str">
        <f t="shared" si="19"/>
        <v>GLN0332Counties Power</v>
      </c>
      <c r="AG75" s="15" t="s">
        <v>403</v>
      </c>
      <c r="AH75" s="190" t="s">
        <v>5</v>
      </c>
      <c r="AI75" s="190">
        <f t="shared" si="20"/>
        <v>38.625300000000003</v>
      </c>
      <c r="AJ75" s="292" t="s">
        <v>95</v>
      </c>
      <c r="AK75" s="15"/>
      <c r="AL75" s="15">
        <f t="shared" ca="1" si="36"/>
        <v>0</v>
      </c>
      <c r="AM75" s="15">
        <f t="shared" ca="1" si="37"/>
        <v>0</v>
      </c>
      <c r="AN75" s="15">
        <f t="shared" ca="1" si="38"/>
        <v>0</v>
      </c>
      <c r="AO75" s="15">
        <f t="shared" ca="1" si="39"/>
        <v>0</v>
      </c>
      <c r="AP75" s="15"/>
      <c r="AQ75" s="15">
        <f t="shared" ca="1" si="40"/>
        <v>0</v>
      </c>
      <c r="AR75" s="20">
        <f t="shared" ca="1" si="26"/>
        <v>0.16900868608520214</v>
      </c>
      <c r="AS75" s="20"/>
      <c r="AT75" s="20">
        <f t="shared" ca="1" si="27"/>
        <v>0</v>
      </c>
      <c r="AU75" s="20">
        <f t="shared" ca="1" si="28"/>
        <v>7.7947171546819724E-2</v>
      </c>
      <c r="AV75" s="20">
        <f t="shared" ca="1" si="29"/>
        <v>0</v>
      </c>
      <c r="AW75" s="20">
        <f t="shared" si="30"/>
        <v>0</v>
      </c>
      <c r="AX75" s="20">
        <f t="shared" si="31"/>
        <v>0</v>
      </c>
      <c r="BA75" s="20"/>
      <c r="BD75" s="94" t="str">
        <f t="shared" si="34"/>
        <v>FHL0331Unison</v>
      </c>
      <c r="BF75" s="15" t="s">
        <v>36</v>
      </c>
      <c r="BG75" t="s">
        <v>184</v>
      </c>
      <c r="BH75" s="190">
        <v>52.592400000000005</v>
      </c>
      <c r="BI75" s="190">
        <v>52.596000671386697</v>
      </c>
      <c r="BJ75" s="257">
        <f t="shared" si="35"/>
        <v>1.8679893442843163</v>
      </c>
      <c r="BK75" s="257">
        <f t="shared" si="32"/>
        <v>2.0477784396430843</v>
      </c>
      <c r="BL75" s="257">
        <f t="shared" si="33"/>
        <v>2.1676378365489293</v>
      </c>
      <c r="BM75" s="342" t="str">
        <f>VLOOKUP(LEFT(BG75,3),'Mapping B'!$D$2:$E$310,2,0)</f>
        <v>N</v>
      </c>
      <c r="BO75" s="20"/>
      <c r="BP75" s="190"/>
      <c r="BQ75" s="20"/>
      <c r="BR75" s="20"/>
    </row>
    <row r="76" spans="2:70" x14ac:dyDescent="0.25">
      <c r="B76" s="98" t="s">
        <v>563</v>
      </c>
      <c r="C76" s="98">
        <v>2014</v>
      </c>
      <c r="D76" s="98" t="s">
        <v>220</v>
      </c>
      <c r="E76" s="98" t="s">
        <v>1</v>
      </c>
      <c r="F76" s="98" t="s">
        <v>131</v>
      </c>
      <c r="G76" s="98">
        <v>525140.48238310404</v>
      </c>
      <c r="H76" s="299" t="str">
        <f>VLOOKUP(LEFT('Rev Adequacy'!D76,3),'Mapping B'!$D$2:$E$400,2,0)</f>
        <v>S</v>
      </c>
      <c r="I76" s="190"/>
      <c r="J76" s="15" t="s">
        <v>403</v>
      </c>
      <c r="K76" s="190" t="s">
        <v>24</v>
      </c>
      <c r="L76" s="190">
        <f t="shared" si="18"/>
        <v>58.123800000000003</v>
      </c>
      <c r="O76" s="15">
        <f>_xlfn.IFNA(IF(VLOOKUP($J76&amp;O$12,'Mapping A'!$A$6:$G$1011,7,0)=1,$L76,""),0)</f>
        <v>58.123800000000003</v>
      </c>
      <c r="P76" s="15">
        <f>_xlfn.IFNA(IF(VLOOKUP($J76&amp;P$12,'Mapping A'!$A$6:$G$1011,7,0)=1,$L76,""),0)</f>
        <v>58.123800000000003</v>
      </c>
      <c r="Q76" s="15">
        <f>_xlfn.IFNA(IF(VLOOKUP($J76&amp;Q$12,'Mapping A'!$A$6:$G$1011,7,0)=1,$L76,""),0)</f>
        <v>58.123800000000003</v>
      </c>
      <c r="R76" s="15">
        <f>_xlfn.IFNA(IF(VLOOKUP($J76&amp;R$12,'Mapping A'!$A$6:$G$1011,7,0)=1,$L76,""),0)</f>
        <v>0</v>
      </c>
      <c r="S76" s="15">
        <f>_xlfn.IFNA(IF(VLOOKUP($J76&amp;S$12,'Mapping A'!$A$6:$G$1011,7,0)=1,$L76,""),0)</f>
        <v>0</v>
      </c>
      <c r="T76" s="15">
        <f>_xlfn.IFNA(IF(VLOOKUP($J76&amp;T$14,'Mapping A'!$A$6:$G$1011,7,0)=1,$L76,""),0)</f>
        <v>58.123800000000003</v>
      </c>
      <c r="U76" s="15">
        <f>_xlfn.IFNA(IF(VLOOKUP($J76&amp;U$12,'Mapping A'!$A$6:$G$1011,7,0)=1,$L76,""),0)</f>
        <v>58.123800000000003</v>
      </c>
      <c r="V76" s="15">
        <f>_xlfn.IFNA(IF(VLOOKUP($J76&amp;V$12,'Mapping A'!$A$6:$G$1011,7,0)=1,$L76,""),0)</f>
        <v>0</v>
      </c>
      <c r="W76" s="15">
        <f>_xlfn.IFNA(IF(VLOOKUP($J76&amp;W$12,'Mapping A'!$A$6:$G$1011,7,0)=1,$L76,""),0)</f>
        <v>0</v>
      </c>
      <c r="X76" s="15">
        <f>_xlfn.IFNA(IF(VLOOKUP($J76&amp;X$12,'Mapping A'!$A$6:$G$1011,7,0)=1,$L76,""),0)</f>
        <v>58.123800000000003</v>
      </c>
      <c r="Y76" s="15">
        <f>_xlfn.IFNA(IF(VLOOKUP($J76&amp;Y$12,'Mapping A'!$A$6:$G$1011,7,0)=1,$L76,""),0)</f>
        <v>0</v>
      </c>
      <c r="Z76" s="15">
        <f>_xlfn.IFNA(IF(VLOOKUP($J76&amp;Z$12,'Mapping A'!$A$6:$G$1011,7,0)=1,$L76,""),0)</f>
        <v>0</v>
      </c>
      <c r="AA76" s="15">
        <f>_xlfn.IFNA(IF(VLOOKUP($J76&amp;AA$12,'Mapping A'!$A$6:$G$1011,7,0)=1,$L76,""),0)</f>
        <v>0</v>
      </c>
      <c r="AF76" s="155" t="str">
        <f t="shared" si="19"/>
        <v>GLN0332NZ Steel</v>
      </c>
      <c r="AG76" s="15" t="s">
        <v>403</v>
      </c>
      <c r="AH76" s="190" t="s">
        <v>24</v>
      </c>
      <c r="AI76" s="190">
        <f t="shared" si="20"/>
        <v>58.123800000000003</v>
      </c>
      <c r="AJ76" s="292" t="s">
        <v>95</v>
      </c>
      <c r="AK76" s="15"/>
      <c r="AL76" s="15">
        <f t="shared" ca="1" si="36"/>
        <v>0</v>
      </c>
      <c r="AM76" s="15">
        <f t="shared" ca="1" si="37"/>
        <v>0</v>
      </c>
      <c r="AN76" s="15">
        <f t="shared" ca="1" si="38"/>
        <v>0</v>
      </c>
      <c r="AO76" s="15">
        <f t="shared" ca="1" si="39"/>
        <v>0</v>
      </c>
      <c r="AP76" s="15"/>
      <c r="AQ76" s="15">
        <f t="shared" ca="1" si="40"/>
        <v>0</v>
      </c>
      <c r="AR76" s="20">
        <f t="shared" ca="1" si="26"/>
        <v>0.25432623353809741</v>
      </c>
      <c r="AS76" s="20"/>
      <c r="AT76" s="20">
        <f t="shared" ca="1" si="27"/>
        <v>0</v>
      </c>
      <c r="AU76" s="20">
        <f t="shared" ca="1" si="28"/>
        <v>0.11729580895301887</v>
      </c>
      <c r="AV76" s="20">
        <f t="shared" ca="1" si="29"/>
        <v>0</v>
      </c>
      <c r="AW76" s="20">
        <f t="shared" si="30"/>
        <v>0</v>
      </c>
      <c r="AX76" s="20">
        <f t="shared" si="31"/>
        <v>0</v>
      </c>
      <c r="BA76" s="20"/>
      <c r="BD76" s="94" t="str">
        <f t="shared" si="34"/>
        <v>FKN0331Aurora Energy</v>
      </c>
      <c r="BF76" s="15" t="s">
        <v>1</v>
      </c>
      <c r="BG76" t="s">
        <v>185</v>
      </c>
      <c r="BH76" s="190">
        <v>56.477400000000003</v>
      </c>
      <c r="BI76" s="190">
        <v>54.648558639212098</v>
      </c>
      <c r="BJ76" s="257">
        <f t="shared" si="35"/>
        <v>2.0059776962618754</v>
      </c>
      <c r="BK76" s="257">
        <f t="shared" si="32"/>
        <v>2.1990478100846951</v>
      </c>
      <c r="BL76" s="257">
        <f t="shared" si="33"/>
        <v>2.3277612192999082</v>
      </c>
      <c r="BM76" s="342" t="str">
        <f>VLOOKUP(LEFT(BG76,3),'Mapping B'!$D$2:$E$310,2,0)</f>
        <v>S</v>
      </c>
      <c r="BO76" s="20"/>
      <c r="BP76" s="190"/>
      <c r="BQ76" s="20"/>
      <c r="BR76" s="20"/>
    </row>
    <row r="77" spans="2:70" x14ac:dyDescent="0.25">
      <c r="B77" s="98" t="s">
        <v>563</v>
      </c>
      <c r="C77" s="98">
        <v>2014</v>
      </c>
      <c r="D77" s="98" t="s">
        <v>222</v>
      </c>
      <c r="E77" s="98" t="s">
        <v>1</v>
      </c>
      <c r="F77" s="98" t="s">
        <v>131</v>
      </c>
      <c r="G77" s="98">
        <v>391155.65299999999</v>
      </c>
      <c r="H77" s="299" t="str">
        <f>VLOOKUP(LEFT('Rev Adequacy'!D77,3),'Mapping B'!$D$2:$E$400,2,0)</f>
        <v>S</v>
      </c>
      <c r="I77" s="190"/>
      <c r="J77" s="15" t="s">
        <v>189</v>
      </c>
      <c r="K77" s="190" t="s">
        <v>105</v>
      </c>
      <c r="L77" s="190">
        <f t="shared" si="18"/>
        <v>29.563800000000001</v>
      </c>
      <c r="O77" s="15">
        <f>_xlfn.IFNA(IF(VLOOKUP($J77&amp;O$12,'Mapping A'!$A$6:$G$1011,7,0)=1,$L77,""),0)</f>
        <v>0</v>
      </c>
      <c r="P77" s="15">
        <f>_xlfn.IFNA(IF(VLOOKUP($J77&amp;P$12,'Mapping A'!$A$6:$G$1011,7,0)=1,$L77,""),0)</f>
        <v>29.563800000000001</v>
      </c>
      <c r="Q77" s="15">
        <f>_xlfn.IFNA(IF(VLOOKUP($J77&amp;Q$12,'Mapping A'!$A$6:$G$1011,7,0)=1,$L77,""),0)</f>
        <v>0</v>
      </c>
      <c r="R77" s="15">
        <f>_xlfn.IFNA(IF(VLOOKUP($J77&amp;R$12,'Mapping A'!$A$6:$G$1011,7,0)=1,$L77,""),0)</f>
        <v>0</v>
      </c>
      <c r="S77" s="15">
        <f>_xlfn.IFNA(IF(VLOOKUP($J77&amp;S$12,'Mapping A'!$A$6:$G$1011,7,0)=1,$L77,""),0)</f>
        <v>0</v>
      </c>
      <c r="T77" s="15">
        <f>_xlfn.IFNA(IF(VLOOKUP($J77&amp;T$14,'Mapping A'!$A$6:$G$1011,7,0)=1,$L77,""),0)</f>
        <v>0</v>
      </c>
      <c r="U77" s="15">
        <f>_xlfn.IFNA(IF(VLOOKUP($J77&amp;U$12,'Mapping A'!$A$6:$G$1011,7,0)=1,$L77,""),0)</f>
        <v>0</v>
      </c>
      <c r="V77" s="15">
        <f>_xlfn.IFNA(IF(VLOOKUP($J77&amp;V$12,'Mapping A'!$A$6:$G$1011,7,0)=1,$L77,""),0)</f>
        <v>0</v>
      </c>
      <c r="W77" s="15">
        <f>_xlfn.IFNA(IF(VLOOKUP($J77&amp;W$12,'Mapping A'!$A$6:$G$1011,7,0)=1,$L77,""),0)</f>
        <v>0</v>
      </c>
      <c r="X77" s="15">
        <f>_xlfn.IFNA(IF(VLOOKUP($J77&amp;X$12,'Mapping A'!$A$6:$G$1011,7,0)=1,$L77,""),0)</f>
        <v>0</v>
      </c>
      <c r="Y77" s="15">
        <f>_xlfn.IFNA(IF(VLOOKUP($J77&amp;Y$12,'Mapping A'!$A$6:$G$1011,7,0)=1,$L77,""),0)</f>
        <v>29.563800000000001</v>
      </c>
      <c r="Z77" s="15">
        <f>_xlfn.IFNA(IF(VLOOKUP($J77&amp;Z$12,'Mapping A'!$A$6:$G$1011,7,0)=1,$L77,""),0)</f>
        <v>0</v>
      </c>
      <c r="AA77" s="15">
        <f>_xlfn.IFNA(IF(VLOOKUP($J77&amp;AA$12,'Mapping A'!$A$6:$G$1011,7,0)=1,$L77,""),0)</f>
        <v>0</v>
      </c>
      <c r="AF77" s="155" t="str">
        <f t="shared" si="19"/>
        <v>GOR0331The Power Company</v>
      </c>
      <c r="AG77" s="15" t="s">
        <v>189</v>
      </c>
      <c r="AH77" s="190" t="s">
        <v>105</v>
      </c>
      <c r="AI77" s="190">
        <f t="shared" si="20"/>
        <v>29.563800000000001</v>
      </c>
      <c r="AJ77" s="292" t="s">
        <v>96</v>
      </c>
      <c r="AK77" s="15"/>
      <c r="AL77" s="15">
        <f t="shared" ca="1" si="36"/>
        <v>0</v>
      </c>
      <c r="AM77" s="15">
        <f t="shared" ca="1" si="37"/>
        <v>0</v>
      </c>
      <c r="AN77" s="15">
        <f t="shared" ca="1" si="38"/>
        <v>0</v>
      </c>
      <c r="AO77" s="15">
        <f t="shared" ca="1" si="39"/>
        <v>0</v>
      </c>
      <c r="AP77" s="15"/>
      <c r="AQ77" s="15">
        <f t="shared" ca="1" si="40"/>
        <v>0</v>
      </c>
      <c r="AR77" s="20">
        <f t="shared" ca="1" si="26"/>
        <v>0</v>
      </c>
      <c r="AS77" s="20"/>
      <c r="AT77" s="20">
        <f t="shared" ca="1" si="27"/>
        <v>0</v>
      </c>
      <c r="AU77" s="20">
        <f t="shared" ca="1" si="28"/>
        <v>0</v>
      </c>
      <c r="AV77" s="20">
        <f t="shared" ca="1" si="29"/>
        <v>7.9601878768492493E-2</v>
      </c>
      <c r="AW77" s="20">
        <f t="shared" si="30"/>
        <v>0</v>
      </c>
      <c r="AX77" s="20">
        <f t="shared" si="31"/>
        <v>0</v>
      </c>
      <c r="BA77" s="20"/>
      <c r="BC77" s="190" t="s">
        <v>48</v>
      </c>
      <c r="BD77" s="94" t="str">
        <f t="shared" si="34"/>
        <v>FKN0331Lakeland Network</v>
      </c>
      <c r="BF77" s="198" t="s">
        <v>102</v>
      </c>
      <c r="BG77" t="s">
        <v>185</v>
      </c>
      <c r="BH77" s="190">
        <v>2.7845999999999997</v>
      </c>
      <c r="BI77" s="190" t="e">
        <v>#N/A</v>
      </c>
      <c r="BJ77" s="257">
        <f t="shared" si="35"/>
        <v>9.8904083633644904E-2</v>
      </c>
      <c r="BK77" s="257">
        <f t="shared" si="32"/>
        <v>0.10842334335436549</v>
      </c>
      <c r="BL77" s="257">
        <f t="shared" si="33"/>
        <v>0.11476951650151253</v>
      </c>
      <c r="BM77" s="342" t="str">
        <f>VLOOKUP(LEFT(BG77,3),'Mapping B'!$D$2:$E$310,2,0)</f>
        <v>S</v>
      </c>
      <c r="BO77" s="20"/>
      <c r="BP77" s="190"/>
      <c r="BQ77" s="20"/>
      <c r="BR77" s="20"/>
    </row>
    <row r="78" spans="2:70" x14ac:dyDescent="0.25">
      <c r="B78" s="98" t="s">
        <v>563</v>
      </c>
      <c r="C78" s="98">
        <v>2014</v>
      </c>
      <c r="D78" s="98" t="s">
        <v>319</v>
      </c>
      <c r="E78" s="98" t="s">
        <v>1</v>
      </c>
      <c r="F78" s="98" t="s">
        <v>131</v>
      </c>
      <c r="G78" s="98">
        <v>568162.53900000302</v>
      </c>
      <c r="H78" s="299" t="str">
        <f>VLOOKUP(LEFT('Rev Adequacy'!D78,3),'Mapping B'!$D$2:$E$400,2,0)</f>
        <v>S</v>
      </c>
      <c r="I78" s="190"/>
      <c r="J78" s="15" t="s">
        <v>190</v>
      </c>
      <c r="K78" s="190" t="s">
        <v>41</v>
      </c>
      <c r="L78" s="190">
        <f t="shared" si="18"/>
        <v>13.6395</v>
      </c>
      <c r="O78" s="15">
        <f>_xlfn.IFNA(IF(VLOOKUP($J78&amp;O$12,'Mapping A'!$A$6:$G$1011,7,0)=1,$L78,""),0)</f>
        <v>0</v>
      </c>
      <c r="P78" s="15">
        <f>_xlfn.IFNA(IF(VLOOKUP($J78&amp;P$12,'Mapping A'!$A$6:$G$1011,7,0)=1,$L78,""),0)</f>
        <v>13.6395</v>
      </c>
      <c r="Q78" s="15">
        <f>_xlfn.IFNA(IF(VLOOKUP($J78&amp;Q$12,'Mapping A'!$A$6:$G$1011,7,0)=1,$L78,""),0)</f>
        <v>0</v>
      </c>
      <c r="R78" s="15">
        <f>_xlfn.IFNA(IF(VLOOKUP($J78&amp;R$12,'Mapping A'!$A$6:$G$1011,7,0)=1,$L78,""),0)</f>
        <v>0</v>
      </c>
      <c r="S78" s="15">
        <f>_xlfn.IFNA(IF(VLOOKUP($J78&amp;S$12,'Mapping A'!$A$6:$G$1011,7,0)=1,$L78,""),0)</f>
        <v>0</v>
      </c>
      <c r="T78" s="15">
        <f>_xlfn.IFNA(IF(VLOOKUP($J78&amp;T$14,'Mapping A'!$A$6:$G$1011,7,0)=1,$L78,""),0)</f>
        <v>0</v>
      </c>
      <c r="U78" s="15">
        <f>_xlfn.IFNA(IF(VLOOKUP($J78&amp;U$12,'Mapping A'!$A$6:$G$1011,7,0)=1,$L78,""),0)</f>
        <v>0</v>
      </c>
      <c r="V78" s="15">
        <f>_xlfn.IFNA(IF(VLOOKUP($J78&amp;V$12,'Mapping A'!$A$6:$G$1011,7,0)=1,$L78,""),0)</f>
        <v>0</v>
      </c>
      <c r="W78" s="15">
        <f>_xlfn.IFNA(IF(VLOOKUP($J78&amp;W$12,'Mapping A'!$A$6:$G$1011,7,0)=1,$L78,""),0)</f>
        <v>13.6395</v>
      </c>
      <c r="X78" s="15">
        <f>_xlfn.IFNA(IF(VLOOKUP($J78&amp;X$12,'Mapping A'!$A$6:$G$1011,7,0)=1,$L78,""),0)</f>
        <v>0</v>
      </c>
      <c r="Y78" s="15">
        <f>_xlfn.IFNA(IF(VLOOKUP($J78&amp;Y$12,'Mapping A'!$A$6:$G$1011,7,0)=1,$L78,""),0)</f>
        <v>0</v>
      </c>
      <c r="Z78" s="15">
        <f>_xlfn.IFNA(IF(VLOOKUP($J78&amp;Z$12,'Mapping A'!$A$6:$G$1011,7,0)=1,$L78,""),0)</f>
        <v>0</v>
      </c>
      <c r="AA78" s="15">
        <f>_xlfn.IFNA(IF(VLOOKUP($J78&amp;AA$12,'Mapping A'!$A$6:$G$1011,7,0)=1,$L78,""),0)</f>
        <v>13.6395</v>
      </c>
      <c r="AF78" s="155" t="str">
        <f t="shared" si="19"/>
        <v>GYM0661Westpower</v>
      </c>
      <c r="AG78" s="15" t="s">
        <v>190</v>
      </c>
      <c r="AH78" s="190" t="s">
        <v>41</v>
      </c>
      <c r="AI78" s="190">
        <f t="shared" si="20"/>
        <v>13.6395</v>
      </c>
      <c r="AJ78" s="292" t="s">
        <v>96</v>
      </c>
      <c r="AK78" s="15"/>
      <c r="AL78" s="15">
        <f t="shared" ca="1" si="36"/>
        <v>0</v>
      </c>
      <c r="AM78" s="15">
        <f t="shared" ca="1" si="37"/>
        <v>0</v>
      </c>
      <c r="AN78" s="15">
        <f t="shared" ca="1" si="38"/>
        <v>0</v>
      </c>
      <c r="AO78" s="15">
        <f t="shared" ca="1" si="39"/>
        <v>0</v>
      </c>
      <c r="AP78" s="15"/>
      <c r="AQ78" s="15">
        <f t="shared" ca="1" si="40"/>
        <v>0</v>
      </c>
      <c r="AR78" s="20">
        <f t="shared" ca="1" si="26"/>
        <v>0</v>
      </c>
      <c r="AS78" s="20"/>
      <c r="AT78" s="20">
        <f t="shared" ca="1" si="27"/>
        <v>3.8921708845750129E-2</v>
      </c>
      <c r="AU78" s="20">
        <f t="shared" ca="1" si="28"/>
        <v>0</v>
      </c>
      <c r="AV78" s="20">
        <f t="shared" ca="1" si="29"/>
        <v>0</v>
      </c>
      <c r="AW78" s="20">
        <f t="shared" si="30"/>
        <v>0</v>
      </c>
      <c r="AX78" s="20">
        <f t="shared" si="31"/>
        <v>0</v>
      </c>
      <c r="BA78" s="20"/>
      <c r="BD78" s="94" t="str">
        <f t="shared" si="34"/>
        <v>GFD0331Wellington Electricity</v>
      </c>
      <c r="BF78" s="15" t="s">
        <v>40</v>
      </c>
      <c r="BG78" t="s">
        <v>186</v>
      </c>
      <c r="BH78" s="190">
        <v>62.397300000000001</v>
      </c>
      <c r="BI78" s="190">
        <v>62.398998260497997</v>
      </c>
      <c r="BJ78" s="257">
        <f t="shared" si="35"/>
        <v>2.2162421093563283</v>
      </c>
      <c r="BK78" s="257">
        <f t="shared" si="32"/>
        <v>2.4295496237468042</v>
      </c>
      <c r="BL78" s="257">
        <f t="shared" si="33"/>
        <v>2.5717546333404542</v>
      </c>
      <c r="BM78" s="342" t="str">
        <f>VLOOKUP(LEFT(BG78,3),'Mapping B'!$D$2:$E$310,2,0)</f>
        <v>N</v>
      </c>
      <c r="BO78" s="20"/>
      <c r="BP78" s="190"/>
      <c r="BQ78" s="20"/>
      <c r="BR78" s="20"/>
    </row>
    <row r="79" spans="2:70" x14ac:dyDescent="0.25">
      <c r="B79" s="98" t="s">
        <v>555</v>
      </c>
      <c r="C79" s="98">
        <v>2014</v>
      </c>
      <c r="D79" s="98" t="s">
        <v>168</v>
      </c>
      <c r="E79" s="98" t="s">
        <v>1</v>
      </c>
      <c r="F79" s="98" t="s">
        <v>131</v>
      </c>
      <c r="G79" s="98">
        <v>110161.848</v>
      </c>
      <c r="H79" s="299" t="str">
        <f>VLOOKUP(LEFT('Rev Adequacy'!D79,3),'Mapping B'!$D$2:$E$400,2,0)</f>
        <v>S</v>
      </c>
      <c r="I79" s="190"/>
      <c r="J79" s="15" t="s">
        <v>191</v>
      </c>
      <c r="K79" s="190" t="s">
        <v>28</v>
      </c>
      <c r="L79" s="190">
        <f t="shared" si="18"/>
        <v>13.2447</v>
      </c>
      <c r="O79" s="15">
        <f>_xlfn.IFNA(IF(VLOOKUP($J79&amp;O$12,'Mapping A'!$A$6:$G$1011,7,0)=1,$L79,""),0)</f>
        <v>0</v>
      </c>
      <c r="P79" s="15">
        <f>_xlfn.IFNA(IF(VLOOKUP($J79&amp;P$12,'Mapping A'!$A$6:$G$1011,7,0)=1,$L79,""),0)</f>
        <v>13.2447</v>
      </c>
      <c r="Q79" s="15">
        <f>_xlfn.IFNA(IF(VLOOKUP($J79&amp;Q$12,'Mapping A'!$A$6:$G$1011,7,0)=1,$L79,""),0)</f>
        <v>13.2447</v>
      </c>
      <c r="R79" s="15">
        <f>_xlfn.IFNA(IF(VLOOKUP($J79&amp;R$12,'Mapping A'!$A$6:$G$1011,7,0)=1,$L79,""),0)</f>
        <v>0</v>
      </c>
      <c r="S79" s="15">
        <f>_xlfn.IFNA(IF(VLOOKUP($J79&amp;S$12,'Mapping A'!$A$6:$G$1011,7,0)=1,$L79,""),0)</f>
        <v>0</v>
      </c>
      <c r="T79" s="15">
        <f>_xlfn.IFNA(IF(VLOOKUP($J79&amp;T$14,'Mapping A'!$A$6:$G$1011,7,0)=1,$L79,""),0)</f>
        <v>0</v>
      </c>
      <c r="U79" s="15">
        <f>_xlfn.IFNA(IF(VLOOKUP($J79&amp;U$12,'Mapping A'!$A$6:$G$1011,7,0)=1,$L79,""),0)</f>
        <v>0</v>
      </c>
      <c r="V79" s="15">
        <f>_xlfn.IFNA(IF(VLOOKUP($J79&amp;V$12,'Mapping A'!$A$6:$G$1011,7,0)=1,$L79,""),0)</f>
        <v>0</v>
      </c>
      <c r="W79" s="15">
        <f>_xlfn.IFNA(IF(VLOOKUP($J79&amp;W$12,'Mapping A'!$A$6:$G$1011,7,0)=1,$L79,""),0)</f>
        <v>0</v>
      </c>
      <c r="X79" s="15">
        <f>_xlfn.IFNA(IF(VLOOKUP($J79&amp;X$12,'Mapping A'!$A$6:$G$1011,7,0)=1,$L79,""),0)</f>
        <v>0</v>
      </c>
      <c r="Y79" s="15">
        <f>_xlfn.IFNA(IF(VLOOKUP($J79&amp;Y$12,'Mapping A'!$A$6:$G$1011,7,0)=1,$L79,""),0)</f>
        <v>0</v>
      </c>
      <c r="Z79" s="15">
        <f>_xlfn.IFNA(IF(VLOOKUP($J79&amp;Z$12,'Mapping A'!$A$6:$G$1011,7,0)=1,$L79,""),0)</f>
        <v>0</v>
      </c>
      <c r="AA79" s="15">
        <f>_xlfn.IFNA(IF(VLOOKUP($J79&amp;AA$12,'Mapping A'!$A$6:$G$1011,7,0)=1,$L79,""),0)</f>
        <v>0</v>
      </c>
      <c r="AF79" s="155" t="str">
        <f t="shared" si="19"/>
        <v>GYT0331Powerco</v>
      </c>
      <c r="AG79" s="15" t="s">
        <v>191</v>
      </c>
      <c r="AH79" s="190" t="s">
        <v>28</v>
      </c>
      <c r="AI79" s="190">
        <f t="shared" si="20"/>
        <v>13.2447</v>
      </c>
      <c r="AJ79" s="292" t="s">
        <v>95</v>
      </c>
      <c r="AK79" s="15"/>
      <c r="AL79" s="15">
        <f t="shared" ca="1" si="36"/>
        <v>0</v>
      </c>
      <c r="AM79" s="15">
        <f t="shared" ca="1" si="37"/>
        <v>0</v>
      </c>
      <c r="AN79" s="15">
        <f t="shared" ca="1" si="38"/>
        <v>0</v>
      </c>
      <c r="AO79" s="15">
        <f t="shared" ca="1" si="39"/>
        <v>0</v>
      </c>
      <c r="AP79" s="15"/>
      <c r="AQ79" s="15">
        <f t="shared" ca="1" si="40"/>
        <v>0</v>
      </c>
      <c r="AR79" s="20">
        <f t="shared" ca="1" si="26"/>
        <v>0</v>
      </c>
      <c r="AS79" s="20"/>
      <c r="AT79" s="20">
        <f t="shared" ca="1" si="27"/>
        <v>0</v>
      </c>
      <c r="AU79" s="20">
        <f t="shared" ca="1" si="28"/>
        <v>0</v>
      </c>
      <c r="AV79" s="20">
        <f t="shared" ca="1" si="29"/>
        <v>0</v>
      </c>
      <c r="AW79" s="20">
        <f t="shared" si="30"/>
        <v>0</v>
      </c>
      <c r="AX79" s="20">
        <f t="shared" si="31"/>
        <v>0</v>
      </c>
      <c r="BA79" s="20"/>
      <c r="BD79" s="94" t="str">
        <f t="shared" si="34"/>
        <v>GLN0331NZ Steel</v>
      </c>
      <c r="BF79" s="15" t="s">
        <v>24</v>
      </c>
      <c r="BG79" t="s">
        <v>402</v>
      </c>
      <c r="BH79" s="190">
        <v>112.31219999999999</v>
      </c>
      <c r="BI79" s="190">
        <v>112.310997009277</v>
      </c>
      <c r="BJ79" s="257">
        <f t="shared" si="35"/>
        <v>3.9891313732236782</v>
      </c>
      <c r="BK79" s="257">
        <f t="shared" si="32"/>
        <v>4.3730748486260742</v>
      </c>
      <c r="BL79" s="257">
        <f t="shared" si="33"/>
        <v>4.6290371655610052</v>
      </c>
      <c r="BM79" s="342" t="str">
        <f>VLOOKUP(LEFT(BG79,3),'Mapping B'!$D$2:$E$310,2,0)</f>
        <v>N</v>
      </c>
      <c r="BO79" s="20"/>
      <c r="BP79" s="190"/>
      <c r="BQ79" s="20"/>
      <c r="BR79" s="20"/>
    </row>
    <row r="80" spans="2:70" x14ac:dyDescent="0.25">
      <c r="B80" s="98" t="s">
        <v>555</v>
      </c>
      <c r="C80" s="98">
        <v>2014</v>
      </c>
      <c r="D80" s="98" t="s">
        <v>177</v>
      </c>
      <c r="E80" s="98" t="s">
        <v>1</v>
      </c>
      <c r="F80" s="98" t="s">
        <v>131</v>
      </c>
      <c r="G80" s="98">
        <v>478.731330472102</v>
      </c>
      <c r="H80" s="299" t="str">
        <f>VLOOKUP(LEFT('Rev Adequacy'!D80,3),'Mapping B'!$D$2:$E$400,2,0)</f>
        <v>S</v>
      </c>
      <c r="I80" s="190"/>
      <c r="J80" s="15" t="s">
        <v>192</v>
      </c>
      <c r="K80" s="190" t="s">
        <v>39</v>
      </c>
      <c r="L80" s="190">
        <f t="shared" si="18"/>
        <v>37.663499999999999</v>
      </c>
      <c r="O80" s="15">
        <f>_xlfn.IFNA(IF(VLOOKUP($J80&amp;O$12,'Mapping A'!$A$6:$G$1011,7,0)=1,$L80,""),0)</f>
        <v>0</v>
      </c>
      <c r="P80" s="15">
        <f>_xlfn.IFNA(IF(VLOOKUP($J80&amp;P$12,'Mapping A'!$A$6:$G$1011,7,0)=1,$L80,""),0)</f>
        <v>37.663499999999999</v>
      </c>
      <c r="Q80" s="15">
        <f>_xlfn.IFNA(IF(VLOOKUP($J80&amp;Q$12,'Mapping A'!$A$6:$G$1011,7,0)=1,$L80,""),0)</f>
        <v>37.663499999999999</v>
      </c>
      <c r="R80" s="15">
        <f>_xlfn.IFNA(IF(VLOOKUP($J80&amp;R$12,'Mapping A'!$A$6:$G$1011,7,0)=1,$L80,""),0)</f>
        <v>0</v>
      </c>
      <c r="S80" s="15">
        <f>_xlfn.IFNA(IF(VLOOKUP($J80&amp;S$12,'Mapping A'!$A$6:$G$1011,7,0)=1,$L80,""),0)</f>
        <v>0</v>
      </c>
      <c r="T80" s="15">
        <f>_xlfn.IFNA(IF(VLOOKUP($J80&amp;T$14,'Mapping A'!$A$6:$G$1011,7,0)=1,$L80,""),0)</f>
        <v>37.663499999999999</v>
      </c>
      <c r="U80" s="15">
        <f>_xlfn.IFNA(IF(VLOOKUP($J80&amp;U$12,'Mapping A'!$A$6:$G$1011,7,0)=1,$L80,""),0)</f>
        <v>0</v>
      </c>
      <c r="V80" s="15">
        <f>_xlfn.IFNA(IF(VLOOKUP($J80&amp;V$12,'Mapping A'!$A$6:$G$1011,7,0)=1,$L80,""),0)</f>
        <v>0</v>
      </c>
      <c r="W80" s="15">
        <f>_xlfn.IFNA(IF(VLOOKUP($J80&amp;W$12,'Mapping A'!$A$6:$G$1011,7,0)=1,$L80,""),0)</f>
        <v>0</v>
      </c>
      <c r="X80" s="15">
        <f>_xlfn.IFNA(IF(VLOOKUP($J80&amp;X$12,'Mapping A'!$A$6:$G$1011,7,0)=1,$L80,""),0)</f>
        <v>0</v>
      </c>
      <c r="Y80" s="15">
        <f>_xlfn.IFNA(IF(VLOOKUP($J80&amp;Y$12,'Mapping A'!$A$6:$G$1011,7,0)=1,$L80,""),0)</f>
        <v>0</v>
      </c>
      <c r="Z80" s="15">
        <f>_xlfn.IFNA(IF(VLOOKUP($J80&amp;Z$12,'Mapping A'!$A$6:$G$1011,7,0)=1,$L80,""),0)</f>
        <v>0</v>
      </c>
      <c r="AA80" s="15">
        <f>_xlfn.IFNA(IF(VLOOKUP($J80&amp;AA$12,'Mapping A'!$A$6:$G$1011,7,0)=1,$L80,""),0)</f>
        <v>0</v>
      </c>
      <c r="AF80" s="155" t="str">
        <f t="shared" si="19"/>
        <v>HAM0111WEL</v>
      </c>
      <c r="AG80" s="15" t="s">
        <v>192</v>
      </c>
      <c r="AH80" s="190" t="s">
        <v>39</v>
      </c>
      <c r="AI80" s="190">
        <f t="shared" si="20"/>
        <v>37.663499999999999</v>
      </c>
      <c r="AJ80" s="292" t="s">
        <v>95</v>
      </c>
      <c r="AK80" s="15"/>
      <c r="AL80" s="15">
        <f t="shared" ca="1" si="36"/>
        <v>0</v>
      </c>
      <c r="AM80" s="15">
        <f t="shared" ca="1" si="37"/>
        <v>0</v>
      </c>
      <c r="AN80" s="15">
        <f t="shared" ca="1" si="38"/>
        <v>0</v>
      </c>
      <c r="AO80" s="15">
        <f t="shared" ca="1" si="39"/>
        <v>0</v>
      </c>
      <c r="AP80" s="15"/>
      <c r="AQ80" s="15">
        <f t="shared" ca="1" si="40"/>
        <v>0</v>
      </c>
      <c r="AR80" s="20">
        <f t="shared" ca="1" si="26"/>
        <v>0</v>
      </c>
      <c r="AS80" s="20"/>
      <c r="AT80" s="20">
        <f t="shared" ca="1" si="27"/>
        <v>0</v>
      </c>
      <c r="AU80" s="20">
        <f t="shared" ca="1" si="28"/>
        <v>0</v>
      </c>
      <c r="AV80" s="20">
        <f t="shared" ca="1" si="29"/>
        <v>0</v>
      </c>
      <c r="AW80" s="20">
        <f t="shared" si="30"/>
        <v>0</v>
      </c>
      <c r="AX80" s="20">
        <f t="shared" si="31"/>
        <v>0</v>
      </c>
      <c r="BA80" s="20"/>
      <c r="BD80" s="94" t="str">
        <f t="shared" si="34"/>
        <v>GLN0332Counties Power</v>
      </c>
      <c r="BF80" s="15" t="s">
        <v>5</v>
      </c>
      <c r="BG80" t="s">
        <v>403</v>
      </c>
      <c r="BH80" s="190">
        <v>38.625300000000003</v>
      </c>
      <c r="BI80" s="190">
        <v>32.5268599773947</v>
      </c>
      <c r="BJ80" s="257">
        <f t="shared" si="35"/>
        <v>1.3719025718504005</v>
      </c>
      <c r="BK80" s="257">
        <f t="shared" si="32"/>
        <v>1.5039446110986761</v>
      </c>
      <c r="BL80" s="257">
        <f t="shared" si="33"/>
        <v>1.5919726372641934</v>
      </c>
      <c r="BM80" s="342" t="str">
        <f>VLOOKUP(LEFT(BG80,3),'Mapping B'!$D$2:$E$310,2,0)</f>
        <v>N</v>
      </c>
      <c r="BO80" s="20"/>
      <c r="BP80" s="190"/>
      <c r="BQ80" s="20"/>
      <c r="BR80" s="20"/>
    </row>
    <row r="81" spans="2:70" x14ac:dyDescent="0.25">
      <c r="B81" s="98" t="s">
        <v>555</v>
      </c>
      <c r="C81" s="98">
        <v>2014</v>
      </c>
      <c r="D81" s="98" t="s">
        <v>185</v>
      </c>
      <c r="E81" s="98" t="s">
        <v>1</v>
      </c>
      <c r="F81" s="98" t="s">
        <v>131</v>
      </c>
      <c r="G81" s="98">
        <v>167073.21626548201</v>
      </c>
      <c r="H81" s="299" t="str">
        <f>VLOOKUP(LEFT('Rev Adequacy'!D81,3),'Mapping B'!$D$2:$E$400,2,0)</f>
        <v>S</v>
      </c>
      <c r="I81" s="190"/>
      <c r="J81" s="15" t="s">
        <v>193</v>
      </c>
      <c r="K81" s="190" t="s">
        <v>39</v>
      </c>
      <c r="L81" s="190">
        <f t="shared" si="18"/>
        <v>137.0103</v>
      </c>
      <c r="O81" s="15">
        <f>_xlfn.IFNA(IF(VLOOKUP($J81&amp;O$12,'Mapping A'!$A$6:$G$1011,7,0)=1,$L81,""),0)</f>
        <v>0</v>
      </c>
      <c r="P81" s="15">
        <f>_xlfn.IFNA(IF(VLOOKUP($J81&amp;P$12,'Mapping A'!$A$6:$G$1011,7,0)=1,$L81,""),0)</f>
        <v>137.0103</v>
      </c>
      <c r="Q81" s="15">
        <f>_xlfn.IFNA(IF(VLOOKUP($J81&amp;Q$12,'Mapping A'!$A$6:$G$1011,7,0)=1,$L81,""),0)</f>
        <v>137.0103</v>
      </c>
      <c r="R81" s="15">
        <f>_xlfn.IFNA(IF(VLOOKUP($J81&amp;R$12,'Mapping A'!$A$6:$G$1011,7,0)=1,$L81,""),0)</f>
        <v>0</v>
      </c>
      <c r="S81" s="15">
        <f>_xlfn.IFNA(IF(VLOOKUP($J81&amp;S$12,'Mapping A'!$A$6:$G$1011,7,0)=1,$L81,""),0)</f>
        <v>0</v>
      </c>
      <c r="T81" s="15">
        <f>_xlfn.IFNA(IF(VLOOKUP($J81&amp;T$14,'Mapping A'!$A$6:$G$1011,7,0)=1,$L81,""),0)</f>
        <v>137.0103</v>
      </c>
      <c r="U81" s="15">
        <f>_xlfn.IFNA(IF(VLOOKUP($J81&amp;U$12,'Mapping A'!$A$6:$G$1011,7,0)=1,$L81,""),0)</f>
        <v>0</v>
      </c>
      <c r="V81" s="15">
        <f>_xlfn.IFNA(IF(VLOOKUP($J81&amp;V$12,'Mapping A'!$A$6:$G$1011,7,0)=1,$L81,""),0)</f>
        <v>0</v>
      </c>
      <c r="W81" s="15">
        <f>_xlfn.IFNA(IF(VLOOKUP($J81&amp;W$12,'Mapping A'!$A$6:$G$1011,7,0)=1,$L81,""),0)</f>
        <v>0</v>
      </c>
      <c r="X81" s="15">
        <f>_xlfn.IFNA(IF(VLOOKUP($J81&amp;X$12,'Mapping A'!$A$6:$G$1011,7,0)=1,$L81,""),0)</f>
        <v>0</v>
      </c>
      <c r="Y81" s="15">
        <f>_xlfn.IFNA(IF(VLOOKUP($J81&amp;Y$12,'Mapping A'!$A$6:$G$1011,7,0)=1,$L81,""),0)</f>
        <v>0</v>
      </c>
      <c r="Z81" s="15">
        <f>_xlfn.IFNA(IF(VLOOKUP($J81&amp;Z$12,'Mapping A'!$A$6:$G$1011,7,0)=1,$L81,""),0)</f>
        <v>0</v>
      </c>
      <c r="AA81" s="15">
        <f>_xlfn.IFNA(IF(VLOOKUP($J81&amp;AA$12,'Mapping A'!$A$6:$G$1011,7,0)=1,$L81,""),0)</f>
        <v>0</v>
      </c>
      <c r="AF81" s="155" t="str">
        <f t="shared" si="19"/>
        <v>HAM0331WEL</v>
      </c>
      <c r="AG81" s="15" t="s">
        <v>193</v>
      </c>
      <c r="AH81" s="190" t="s">
        <v>39</v>
      </c>
      <c r="AI81" s="190">
        <f t="shared" si="20"/>
        <v>137.0103</v>
      </c>
      <c r="AJ81" s="292" t="s">
        <v>95</v>
      </c>
      <c r="AK81" s="15"/>
      <c r="AL81" s="15">
        <f t="shared" ca="1" si="36"/>
        <v>0</v>
      </c>
      <c r="AM81" s="15">
        <f t="shared" ca="1" si="37"/>
        <v>0</v>
      </c>
      <c r="AN81" s="15">
        <f t="shared" ca="1" si="38"/>
        <v>0</v>
      </c>
      <c r="AO81" s="15">
        <f t="shared" ca="1" si="39"/>
        <v>0</v>
      </c>
      <c r="AP81" s="15"/>
      <c r="AQ81" s="15">
        <f t="shared" ca="1" si="40"/>
        <v>0</v>
      </c>
      <c r="AR81" s="20">
        <f t="shared" ca="1" si="26"/>
        <v>0</v>
      </c>
      <c r="AS81" s="20"/>
      <c r="AT81" s="20">
        <f t="shared" ca="1" si="27"/>
        <v>0</v>
      </c>
      <c r="AU81" s="20">
        <f t="shared" ca="1" si="28"/>
        <v>0</v>
      </c>
      <c r="AV81" s="20">
        <f t="shared" ca="1" si="29"/>
        <v>0</v>
      </c>
      <c r="AW81" s="20">
        <f t="shared" si="30"/>
        <v>0</v>
      </c>
      <c r="AX81" s="20">
        <f t="shared" si="31"/>
        <v>0</v>
      </c>
      <c r="BA81" s="20"/>
      <c r="BD81" s="94" t="str">
        <f t="shared" si="34"/>
        <v>GLN0332NZ Steel</v>
      </c>
      <c r="BF81" s="15" t="s">
        <v>24</v>
      </c>
      <c r="BG81" t="s">
        <v>403</v>
      </c>
      <c r="BH81" s="190">
        <v>58.123800000000003</v>
      </c>
      <c r="BI81" s="190">
        <v>48.354130913310001</v>
      </c>
      <c r="BJ81" s="257">
        <f t="shared" si="35"/>
        <v>2.0644549221810138</v>
      </c>
      <c r="BK81" s="257">
        <f t="shared" si="32"/>
        <v>2.263153316261032</v>
      </c>
      <c r="BL81" s="257">
        <f t="shared" si="33"/>
        <v>2.3956189123143772</v>
      </c>
      <c r="BM81" s="342" t="str">
        <f>VLOOKUP(LEFT(BG81,3),'Mapping B'!$D$2:$E$310,2,0)</f>
        <v>N</v>
      </c>
      <c r="BO81" s="20"/>
      <c r="BP81" s="190"/>
      <c r="BQ81" s="20"/>
      <c r="BR81" s="20"/>
    </row>
    <row r="82" spans="2:70" x14ac:dyDescent="0.25">
      <c r="B82" s="98" t="s">
        <v>555</v>
      </c>
      <c r="C82" s="98">
        <v>2014</v>
      </c>
      <c r="D82" s="98" t="s">
        <v>220</v>
      </c>
      <c r="E82" s="98" t="s">
        <v>1</v>
      </c>
      <c r="F82" s="98" t="s">
        <v>131</v>
      </c>
      <c r="G82" s="98">
        <v>226704.553582155</v>
      </c>
      <c r="H82" s="299" t="str">
        <f>VLOOKUP(LEFT('Rev Adequacy'!D82,3),'Mapping B'!$D$2:$E$400,2,0)</f>
        <v>S</v>
      </c>
      <c r="I82" s="190"/>
      <c r="J82" s="15" t="s">
        <v>194</v>
      </c>
      <c r="K82" s="190" t="s">
        <v>51</v>
      </c>
      <c r="L82" s="190">
        <f t="shared" si="18"/>
        <v>6.6464999999999996</v>
      </c>
      <c r="O82" s="15">
        <f>_xlfn.IFNA(IF(VLOOKUP($J82&amp;O$12,'Mapping A'!$A$6:$G$1011,7,0)=1,$L82,""),0)</f>
        <v>0</v>
      </c>
      <c r="P82" s="15">
        <f>_xlfn.IFNA(IF(VLOOKUP($J82&amp;P$12,'Mapping A'!$A$6:$G$1011,7,0)=1,$L82,""),0)</f>
        <v>6.6464999999999996</v>
      </c>
      <c r="Q82" s="15">
        <f>_xlfn.IFNA(IF(VLOOKUP($J82&amp;Q$12,'Mapping A'!$A$6:$G$1011,7,0)=1,$L82,""),0)</f>
        <v>6.6464999999999996</v>
      </c>
      <c r="R82" s="15">
        <f>_xlfn.IFNA(IF(VLOOKUP($J82&amp;R$12,'Mapping A'!$A$6:$G$1011,7,0)=1,$L82,""),0)</f>
        <v>0</v>
      </c>
      <c r="S82" s="15">
        <f>_xlfn.IFNA(IF(VLOOKUP($J82&amp;S$12,'Mapping A'!$A$6:$G$1011,7,0)=1,$L82,""),0)</f>
        <v>0</v>
      </c>
      <c r="T82" s="15">
        <f>_xlfn.IFNA(IF(VLOOKUP($J82&amp;T$14,'Mapping A'!$A$6:$G$1011,7,0)=1,$L82,""),0)</f>
        <v>6.6464999999999996</v>
      </c>
      <c r="U82" s="15">
        <f>_xlfn.IFNA(IF(VLOOKUP($J82&amp;U$12,'Mapping A'!$A$6:$G$1011,7,0)=1,$L82,""),0)</f>
        <v>0</v>
      </c>
      <c r="V82" s="15">
        <f>_xlfn.IFNA(IF(VLOOKUP($J82&amp;V$12,'Mapping A'!$A$6:$G$1011,7,0)=1,$L82,""),0)</f>
        <v>0</v>
      </c>
      <c r="W82" s="15">
        <f>_xlfn.IFNA(IF(VLOOKUP($J82&amp;W$12,'Mapping A'!$A$6:$G$1011,7,0)=1,$L82,""),0)</f>
        <v>0</v>
      </c>
      <c r="X82" s="15">
        <f>_xlfn.IFNA(IF(VLOOKUP($J82&amp;X$12,'Mapping A'!$A$6:$G$1011,7,0)=1,$L82,""),0)</f>
        <v>0</v>
      </c>
      <c r="Y82" s="15">
        <f>_xlfn.IFNA(IF(VLOOKUP($J82&amp;Y$12,'Mapping A'!$A$6:$G$1011,7,0)=1,$L82,""),0)</f>
        <v>0</v>
      </c>
      <c r="Z82" s="15">
        <f>_xlfn.IFNA(IF(VLOOKUP($J82&amp;Z$12,'Mapping A'!$A$6:$G$1011,7,0)=1,$L82,""),0)</f>
        <v>0</v>
      </c>
      <c r="AA82" s="15">
        <f>_xlfn.IFNA(IF(VLOOKUP($J82&amp;AA$12,'Mapping A'!$A$6:$G$1011,7,0)=1,$L82,""),0)</f>
        <v>0</v>
      </c>
      <c r="AF82" s="155" t="str">
        <f t="shared" si="19"/>
        <v>HAM0551Kiwirail</v>
      </c>
      <c r="AG82" s="15" t="s">
        <v>194</v>
      </c>
      <c r="AH82" s="190" t="s">
        <v>51</v>
      </c>
      <c r="AI82" s="190">
        <f t="shared" si="20"/>
        <v>6.6464999999999996</v>
      </c>
      <c r="AJ82" s="292" t="s">
        <v>95</v>
      </c>
      <c r="AK82" s="15"/>
      <c r="AL82" s="15">
        <f t="shared" ca="1" si="36"/>
        <v>0</v>
      </c>
      <c r="AM82" s="15">
        <f t="shared" ca="1" si="37"/>
        <v>0</v>
      </c>
      <c r="AN82" s="15">
        <f t="shared" ca="1" si="38"/>
        <v>0</v>
      </c>
      <c r="AO82" s="15">
        <f t="shared" ca="1" si="39"/>
        <v>0</v>
      </c>
      <c r="AP82" s="15"/>
      <c r="AQ82" s="15">
        <f t="shared" ca="1" si="40"/>
        <v>0</v>
      </c>
      <c r="AR82" s="20">
        <f t="shared" ca="1" si="26"/>
        <v>0</v>
      </c>
      <c r="AS82" s="20"/>
      <c r="AT82" s="20">
        <f t="shared" ca="1" si="27"/>
        <v>0</v>
      </c>
      <c r="AU82" s="20">
        <f t="shared" ca="1" si="28"/>
        <v>0</v>
      </c>
      <c r="AV82" s="20">
        <f t="shared" ca="1" si="29"/>
        <v>0</v>
      </c>
      <c r="AW82" s="20">
        <f t="shared" si="30"/>
        <v>0</v>
      </c>
      <c r="AX82" s="20">
        <f t="shared" si="31"/>
        <v>0</v>
      </c>
      <c r="BA82" s="20"/>
      <c r="BC82" s="190" t="s">
        <v>48</v>
      </c>
      <c r="BD82" s="94" t="str">
        <f t="shared" si="34"/>
        <v>GOR0331The Power Company</v>
      </c>
      <c r="BF82" s="15" t="s">
        <v>105</v>
      </c>
      <c r="BG82" t="s">
        <v>189</v>
      </c>
      <c r="BH82" s="190">
        <v>29.563800000000001</v>
      </c>
      <c r="BI82" s="190" t="e">
        <v>#N/A</v>
      </c>
      <c r="BJ82" s="257">
        <f t="shared" si="35"/>
        <v>1.0500540644000402</v>
      </c>
      <c r="BK82" s="257">
        <f t="shared" si="32"/>
        <v>1.1511190254470267</v>
      </c>
      <c r="BL82" s="257">
        <f t="shared" si="33"/>
        <v>1.2184956661450179</v>
      </c>
      <c r="BM82" s="342" t="str">
        <f>VLOOKUP(LEFT(BG82,3),'Mapping B'!$D$2:$E$310,2,0)</f>
        <v>S</v>
      </c>
      <c r="BO82" s="20"/>
      <c r="BP82" s="190"/>
      <c r="BQ82" s="20"/>
      <c r="BR82" s="20"/>
    </row>
    <row r="83" spans="2:70" x14ac:dyDescent="0.25">
      <c r="B83" s="98" t="s">
        <v>555</v>
      </c>
      <c r="C83" s="98">
        <v>2014</v>
      </c>
      <c r="D83" s="98" t="s">
        <v>222</v>
      </c>
      <c r="E83" s="98" t="s">
        <v>1</v>
      </c>
      <c r="F83" s="98" t="s">
        <v>131</v>
      </c>
      <c r="G83" s="98">
        <v>177096.19</v>
      </c>
      <c r="H83" s="299" t="str">
        <f>VLOOKUP(LEFT('Rev Adequacy'!D83,3),'Mapping B'!$D$2:$E$400,2,0)</f>
        <v>S</v>
      </c>
      <c r="I83" s="190"/>
      <c r="J83" s="15" t="s">
        <v>195</v>
      </c>
      <c r="K83" s="190" t="s">
        <v>40</v>
      </c>
      <c r="L83" s="190">
        <f t="shared" si="18"/>
        <v>17.940300000000001</v>
      </c>
      <c r="O83" s="15">
        <f>_xlfn.IFNA(IF(VLOOKUP($J83&amp;O$12,'Mapping A'!$A$6:$G$1011,7,0)=1,$L83,""),0)</f>
        <v>0</v>
      </c>
      <c r="P83" s="15">
        <f>_xlfn.IFNA(IF(VLOOKUP($J83&amp;P$12,'Mapping A'!$A$6:$G$1011,7,0)=1,$L83,""),0)</f>
        <v>17.940300000000001</v>
      </c>
      <c r="Q83" s="15">
        <f>_xlfn.IFNA(IF(VLOOKUP($J83&amp;Q$12,'Mapping A'!$A$6:$G$1011,7,0)=1,$L83,""),0)</f>
        <v>17.940300000000001</v>
      </c>
      <c r="R83" s="15">
        <f>_xlfn.IFNA(IF(VLOOKUP($J83&amp;R$12,'Mapping A'!$A$6:$G$1011,7,0)=1,$L83,""),0)</f>
        <v>0</v>
      </c>
      <c r="S83" s="15">
        <f>_xlfn.IFNA(IF(VLOOKUP($J83&amp;S$12,'Mapping A'!$A$6:$G$1011,7,0)=1,$L83,""),0)</f>
        <v>0</v>
      </c>
      <c r="T83" s="15">
        <f>_xlfn.IFNA(IF(VLOOKUP($J83&amp;T$14,'Mapping A'!$A$6:$G$1011,7,0)=1,$L83,""),0)</f>
        <v>0</v>
      </c>
      <c r="U83" s="15">
        <f>_xlfn.IFNA(IF(VLOOKUP($J83&amp;U$12,'Mapping A'!$A$6:$G$1011,7,0)=1,$L83,""),0)</f>
        <v>0</v>
      </c>
      <c r="V83" s="15">
        <f>_xlfn.IFNA(IF(VLOOKUP($J83&amp;V$12,'Mapping A'!$A$6:$G$1011,7,0)=1,$L83,""),0)</f>
        <v>0</v>
      </c>
      <c r="W83" s="15">
        <f>_xlfn.IFNA(IF(VLOOKUP($J83&amp;W$12,'Mapping A'!$A$6:$G$1011,7,0)=1,$L83,""),0)</f>
        <v>0</v>
      </c>
      <c r="X83" s="15">
        <f>_xlfn.IFNA(IF(VLOOKUP($J83&amp;X$12,'Mapping A'!$A$6:$G$1011,7,0)=1,$L83,""),0)</f>
        <v>0</v>
      </c>
      <c r="Y83" s="15">
        <f>_xlfn.IFNA(IF(VLOOKUP($J83&amp;Y$12,'Mapping A'!$A$6:$G$1011,7,0)=1,$L83,""),0)</f>
        <v>0</v>
      </c>
      <c r="Z83" s="15">
        <f>_xlfn.IFNA(IF(VLOOKUP($J83&amp;Z$12,'Mapping A'!$A$6:$G$1011,7,0)=1,$L83,""),0)</f>
        <v>0</v>
      </c>
      <c r="AA83" s="15">
        <f>_xlfn.IFNA(IF(VLOOKUP($J83&amp;AA$12,'Mapping A'!$A$6:$G$1011,7,0)=1,$L83,""),0)</f>
        <v>0</v>
      </c>
      <c r="AF83" s="155" t="str">
        <f t="shared" si="19"/>
        <v>HAY0111Wellington Electricity</v>
      </c>
      <c r="AG83" s="15" t="s">
        <v>195</v>
      </c>
      <c r="AH83" s="190" t="s">
        <v>40</v>
      </c>
      <c r="AI83" s="190">
        <f t="shared" si="20"/>
        <v>17.940300000000001</v>
      </c>
      <c r="AJ83" s="292" t="s">
        <v>95</v>
      </c>
      <c r="AK83" s="15"/>
      <c r="AL83" s="15">
        <f t="shared" ca="1" si="36"/>
        <v>0</v>
      </c>
      <c r="AM83" s="15">
        <f t="shared" ca="1" si="37"/>
        <v>0</v>
      </c>
      <c r="AN83" s="15">
        <f t="shared" ca="1" si="38"/>
        <v>0</v>
      </c>
      <c r="AO83" s="15">
        <f t="shared" ca="1" si="39"/>
        <v>0</v>
      </c>
      <c r="AP83" s="15"/>
      <c r="AQ83" s="15">
        <f t="shared" ca="1" si="40"/>
        <v>0</v>
      </c>
      <c r="AR83" s="20">
        <f t="shared" ca="1" si="26"/>
        <v>0</v>
      </c>
      <c r="AS83" s="20"/>
      <c r="AT83" s="20">
        <f t="shared" ca="1" si="27"/>
        <v>0</v>
      </c>
      <c r="AU83" s="20">
        <f t="shared" ca="1" si="28"/>
        <v>0</v>
      </c>
      <c r="AV83" s="20">
        <f t="shared" ca="1" si="29"/>
        <v>0</v>
      </c>
      <c r="AW83" s="20">
        <f t="shared" si="30"/>
        <v>0</v>
      </c>
      <c r="AX83" s="20">
        <f t="shared" si="31"/>
        <v>0</v>
      </c>
      <c r="BA83" s="20"/>
      <c r="BD83" s="94" t="str">
        <f t="shared" si="34"/>
        <v>GYM0661Westpower</v>
      </c>
      <c r="BF83" s="15" t="s">
        <v>41</v>
      </c>
      <c r="BG83" t="s">
        <v>190</v>
      </c>
      <c r="BH83" s="190">
        <v>13.6395</v>
      </c>
      <c r="BI83" s="190">
        <v>13.6379995346069</v>
      </c>
      <c r="BJ83" s="257">
        <f t="shared" si="35"/>
        <v>0.48445099788878115</v>
      </c>
      <c r="BK83" s="257">
        <f t="shared" si="32"/>
        <v>0.53107814109095319</v>
      </c>
      <c r="BL83" s="257">
        <f t="shared" si="33"/>
        <v>0.56216290322573448</v>
      </c>
      <c r="BM83" s="342" t="str">
        <f>VLOOKUP(LEFT(BG83,3),'Mapping B'!$D$2:$E$310,2,0)</f>
        <v>S</v>
      </c>
      <c r="BO83" s="20"/>
      <c r="BP83" s="190"/>
      <c r="BQ83" s="20"/>
      <c r="BR83" s="20"/>
    </row>
    <row r="84" spans="2:70" x14ac:dyDescent="0.25">
      <c r="B84" s="98" t="s">
        <v>555</v>
      </c>
      <c r="C84" s="98">
        <v>2014</v>
      </c>
      <c r="D84" s="98" t="s">
        <v>319</v>
      </c>
      <c r="E84" s="98" t="s">
        <v>1</v>
      </c>
      <c r="F84" s="98" t="s">
        <v>131</v>
      </c>
      <c r="G84" s="98">
        <v>233852.07800000001</v>
      </c>
      <c r="H84" s="299" t="str">
        <f>VLOOKUP(LEFT('Rev Adequacy'!D84,3),'Mapping B'!$D$2:$E$400,2,0)</f>
        <v>S</v>
      </c>
      <c r="I84" s="190"/>
      <c r="J84" s="15" t="s">
        <v>196</v>
      </c>
      <c r="K84" s="190" t="s">
        <v>40</v>
      </c>
      <c r="L84" s="190">
        <f t="shared" si="18"/>
        <v>19.611900000000002</v>
      </c>
      <c r="O84" s="15">
        <f>_xlfn.IFNA(IF(VLOOKUP($J84&amp;O$12,'Mapping A'!$A$6:$G$1011,7,0)=1,$L84,""),0)</f>
        <v>0</v>
      </c>
      <c r="P84" s="15">
        <f>_xlfn.IFNA(IF(VLOOKUP($J84&amp;P$12,'Mapping A'!$A$6:$G$1011,7,0)=1,$L84,""),0)</f>
        <v>19.611900000000002</v>
      </c>
      <c r="Q84" s="15">
        <f>_xlfn.IFNA(IF(VLOOKUP($J84&amp;Q$12,'Mapping A'!$A$6:$G$1011,7,0)=1,$L84,""),0)</f>
        <v>19.611900000000002</v>
      </c>
      <c r="R84" s="15">
        <f>_xlfn.IFNA(IF(VLOOKUP($J84&amp;R$12,'Mapping A'!$A$6:$G$1011,7,0)=1,$L84,""),0)</f>
        <v>0</v>
      </c>
      <c r="S84" s="15">
        <f>_xlfn.IFNA(IF(VLOOKUP($J84&amp;S$12,'Mapping A'!$A$6:$G$1011,7,0)=1,$L84,""),0)</f>
        <v>0</v>
      </c>
      <c r="T84" s="15">
        <f>_xlfn.IFNA(IF(VLOOKUP($J84&amp;T$14,'Mapping A'!$A$6:$G$1011,7,0)=1,$L84,""),0)</f>
        <v>0</v>
      </c>
      <c r="U84" s="15">
        <f>_xlfn.IFNA(IF(VLOOKUP($J84&amp;U$12,'Mapping A'!$A$6:$G$1011,7,0)=1,$L84,""),0)</f>
        <v>0</v>
      </c>
      <c r="V84" s="15">
        <f>_xlfn.IFNA(IF(VLOOKUP($J84&amp;V$12,'Mapping A'!$A$6:$G$1011,7,0)=1,$L84,""),0)</f>
        <v>0</v>
      </c>
      <c r="W84" s="15">
        <f>_xlfn.IFNA(IF(VLOOKUP($J84&amp;W$12,'Mapping A'!$A$6:$G$1011,7,0)=1,$L84,""),0)</f>
        <v>0</v>
      </c>
      <c r="X84" s="15">
        <f>_xlfn.IFNA(IF(VLOOKUP($J84&amp;X$12,'Mapping A'!$A$6:$G$1011,7,0)=1,$L84,""),0)</f>
        <v>0</v>
      </c>
      <c r="Y84" s="15">
        <f>_xlfn.IFNA(IF(VLOOKUP($J84&amp;Y$12,'Mapping A'!$A$6:$G$1011,7,0)=1,$L84,""),0)</f>
        <v>0</v>
      </c>
      <c r="Z84" s="15">
        <f>_xlfn.IFNA(IF(VLOOKUP($J84&amp;Z$12,'Mapping A'!$A$6:$G$1011,7,0)=1,$L84,""),0)</f>
        <v>0</v>
      </c>
      <c r="AA84" s="15">
        <f>_xlfn.IFNA(IF(VLOOKUP($J84&amp;AA$12,'Mapping A'!$A$6:$G$1011,7,0)=1,$L84,""),0)</f>
        <v>0</v>
      </c>
      <c r="AF84" s="155" t="str">
        <f t="shared" si="19"/>
        <v>HAY0331Wellington Electricity</v>
      </c>
      <c r="AG84" s="15" t="s">
        <v>196</v>
      </c>
      <c r="AH84" s="190" t="s">
        <v>40</v>
      </c>
      <c r="AI84" s="190">
        <f t="shared" si="20"/>
        <v>19.611900000000002</v>
      </c>
      <c r="AJ84" s="292" t="s">
        <v>95</v>
      </c>
      <c r="AK84" s="15"/>
      <c r="AL84" s="15">
        <f t="shared" ca="1" si="36"/>
        <v>0</v>
      </c>
      <c r="AM84" s="15">
        <f t="shared" ca="1" si="37"/>
        <v>0</v>
      </c>
      <c r="AN84" s="15">
        <f t="shared" ca="1" si="38"/>
        <v>0</v>
      </c>
      <c r="AO84" s="15">
        <f t="shared" ca="1" si="39"/>
        <v>0</v>
      </c>
      <c r="AP84" s="15"/>
      <c r="AQ84" s="15">
        <f t="shared" ca="1" si="40"/>
        <v>0</v>
      </c>
      <c r="AR84" s="20">
        <f t="shared" ca="1" si="26"/>
        <v>0</v>
      </c>
      <c r="AS84" s="20"/>
      <c r="AT84" s="20">
        <f t="shared" ca="1" si="27"/>
        <v>0</v>
      </c>
      <c r="AU84" s="20">
        <f t="shared" ca="1" si="28"/>
        <v>0</v>
      </c>
      <c r="AV84" s="20">
        <f t="shared" ca="1" si="29"/>
        <v>0</v>
      </c>
      <c r="AW84" s="20">
        <f t="shared" si="30"/>
        <v>0</v>
      </c>
      <c r="AX84" s="20">
        <f t="shared" si="31"/>
        <v>0</v>
      </c>
      <c r="BA84" s="20"/>
      <c r="BD84" s="94" t="str">
        <f t="shared" si="34"/>
        <v>GYT0331Powerco</v>
      </c>
      <c r="BF84" s="15" t="s">
        <v>28</v>
      </c>
      <c r="BG84" t="s">
        <v>191</v>
      </c>
      <c r="BH84" s="190">
        <v>13.2447</v>
      </c>
      <c r="BI84" s="190">
        <v>12.730999946594199</v>
      </c>
      <c r="BJ84" s="257">
        <f t="shared" si="35"/>
        <v>0.47042839779592655</v>
      </c>
      <c r="BK84" s="257">
        <f t="shared" si="32"/>
        <v>0.51570590236499481</v>
      </c>
      <c r="BL84" s="257">
        <f t="shared" si="33"/>
        <v>0.54589090541104046</v>
      </c>
      <c r="BM84" s="342" t="str">
        <f>VLOOKUP(LEFT(BG84,3),'Mapping B'!$D$2:$E$310,2,0)</f>
        <v>N</v>
      </c>
      <c r="BO84" s="20"/>
      <c r="BP84" s="190"/>
      <c r="BQ84" s="20"/>
      <c r="BR84" s="20"/>
    </row>
    <row r="85" spans="2:70" x14ac:dyDescent="0.25">
      <c r="B85" s="98" t="s">
        <v>112</v>
      </c>
      <c r="C85" s="98">
        <v>2014</v>
      </c>
      <c r="D85" s="98" t="s">
        <v>168</v>
      </c>
      <c r="E85" s="98" t="s">
        <v>1</v>
      </c>
      <c r="F85" s="98" t="s">
        <v>131</v>
      </c>
      <c r="G85" s="98">
        <v>0</v>
      </c>
      <c r="H85" s="299" t="str">
        <f>VLOOKUP(LEFT('Rev Adequacy'!D85,3),'Mapping B'!$D$2:$E$400,2,0)</f>
        <v>S</v>
      </c>
      <c r="I85" s="190"/>
      <c r="J85" s="15" t="s">
        <v>197</v>
      </c>
      <c r="K85" s="190" t="s">
        <v>37</v>
      </c>
      <c r="L85" s="190">
        <f t="shared" si="18"/>
        <v>122.8206</v>
      </c>
      <c r="O85" s="15">
        <f>_xlfn.IFNA(IF(VLOOKUP($J85&amp;O$12,'Mapping A'!$A$6:$G$1011,7,0)=1,$L85,""),0)</f>
        <v>122.8206</v>
      </c>
      <c r="P85" s="15">
        <f>_xlfn.IFNA(IF(VLOOKUP($J85&amp;P$12,'Mapping A'!$A$6:$G$1011,7,0)=1,$L85,""),0)</f>
        <v>122.8206</v>
      </c>
      <c r="Q85" s="15">
        <f>_xlfn.IFNA(IF(VLOOKUP($J85&amp;Q$12,'Mapping A'!$A$6:$G$1011,7,0)=1,$L85,""),0)</f>
        <v>122.8206</v>
      </c>
      <c r="R85" s="15">
        <f>_xlfn.IFNA(IF(VLOOKUP($J85&amp;R$12,'Mapping A'!$A$6:$G$1011,7,0)=1,$L85,""),0)</f>
        <v>122.8206</v>
      </c>
      <c r="S85" s="15">
        <f>_xlfn.IFNA(IF(VLOOKUP($J85&amp;S$12,'Mapping A'!$A$6:$G$1011,7,0)=1,$L85,""),0)</f>
        <v>0</v>
      </c>
      <c r="T85" s="15">
        <f>_xlfn.IFNA(IF(VLOOKUP($J85&amp;T$14,'Mapping A'!$A$6:$G$1011,7,0)=1,$L85,""),0)</f>
        <v>122.8206</v>
      </c>
      <c r="U85" s="15">
        <f>_xlfn.IFNA(IF(VLOOKUP($J85&amp;U$12,'Mapping A'!$A$6:$G$1011,7,0)=1,$L85,""),0)</f>
        <v>122.8206</v>
      </c>
      <c r="V85" s="15">
        <f>_xlfn.IFNA(IF(VLOOKUP($J85&amp;V$12,'Mapping A'!$A$6:$G$1011,7,0)=1,$L85,""),0)</f>
        <v>0</v>
      </c>
      <c r="W85" s="15">
        <f>_xlfn.IFNA(IF(VLOOKUP($J85&amp;W$12,'Mapping A'!$A$6:$G$1011,7,0)=1,$L85,""),0)</f>
        <v>0</v>
      </c>
      <c r="X85" s="15">
        <f>_xlfn.IFNA(IF(VLOOKUP($J85&amp;X$12,'Mapping A'!$A$6:$G$1011,7,0)=1,$L85,""),0)</f>
        <v>122.8206</v>
      </c>
      <c r="Y85" s="15">
        <f>_xlfn.IFNA(IF(VLOOKUP($J85&amp;Y$12,'Mapping A'!$A$6:$G$1011,7,0)=1,$L85,""),0)</f>
        <v>0</v>
      </c>
      <c r="Z85" s="15">
        <f>_xlfn.IFNA(IF(VLOOKUP($J85&amp;Z$12,'Mapping A'!$A$6:$G$1011,7,0)=1,$L85,""),0)</f>
        <v>0</v>
      </c>
      <c r="AA85" s="15">
        <f>_xlfn.IFNA(IF(VLOOKUP($J85&amp;AA$12,'Mapping A'!$A$6:$G$1011,7,0)=1,$L85,""),0)</f>
        <v>0</v>
      </c>
      <c r="AF85" s="155" t="str">
        <f t="shared" si="19"/>
        <v>HEN0331Vector</v>
      </c>
      <c r="AG85" s="15" t="s">
        <v>197</v>
      </c>
      <c r="AH85" s="190" t="s">
        <v>37</v>
      </c>
      <c r="AI85" s="190">
        <f t="shared" si="20"/>
        <v>122.8206</v>
      </c>
      <c r="AJ85" s="292" t="s">
        <v>95</v>
      </c>
      <c r="AK85" s="15"/>
      <c r="AL85" s="15">
        <f t="shared" ca="1" si="36"/>
        <v>0</v>
      </c>
      <c r="AM85" s="15">
        <f t="shared" ca="1" si="37"/>
        <v>0</v>
      </c>
      <c r="AN85" s="15">
        <f t="shared" ca="1" si="38"/>
        <v>0</v>
      </c>
      <c r="AO85" s="15">
        <f t="shared" ca="1" si="39"/>
        <v>2.6566619312945643</v>
      </c>
      <c r="AP85" s="15"/>
      <c r="AQ85" s="15">
        <f t="shared" ca="1" si="40"/>
        <v>0</v>
      </c>
      <c r="AR85" s="20">
        <f t="shared" ca="1" si="26"/>
        <v>0.53741325582445121</v>
      </c>
      <c r="AS85" s="20"/>
      <c r="AT85" s="20">
        <f t="shared" ca="1" si="27"/>
        <v>0</v>
      </c>
      <c r="AU85" s="20">
        <f t="shared" ca="1" si="28"/>
        <v>0.24785615587926371</v>
      </c>
      <c r="AV85" s="20">
        <f t="shared" ca="1" si="29"/>
        <v>0</v>
      </c>
      <c r="AW85" s="20">
        <f t="shared" si="30"/>
        <v>0</v>
      </c>
      <c r="AX85" s="20">
        <f t="shared" si="31"/>
        <v>0</v>
      </c>
      <c r="BA85" s="20"/>
      <c r="BD85" s="94" t="str">
        <f t="shared" si="34"/>
        <v>HAM0111WEL</v>
      </c>
      <c r="BF85" s="15" t="s">
        <v>39</v>
      </c>
      <c r="BG85" t="s">
        <v>192</v>
      </c>
      <c r="BH85" s="190">
        <v>37.663499999999999</v>
      </c>
      <c r="BI85" s="190">
        <v>37.666999816894503</v>
      </c>
      <c r="BJ85" s="257">
        <f t="shared" si="35"/>
        <v>1.3377411311986589</v>
      </c>
      <c r="BK85" s="257">
        <f t="shared" si="32"/>
        <v>1.4664952210109692</v>
      </c>
      <c r="BL85" s="257">
        <f t="shared" si="33"/>
        <v>1.5523312808858427</v>
      </c>
      <c r="BM85" s="342" t="str">
        <f>VLOOKUP(LEFT(BG85,3),'Mapping B'!$D$2:$E$310,2,0)</f>
        <v>N</v>
      </c>
      <c r="BO85" s="20"/>
      <c r="BP85" s="190"/>
      <c r="BQ85" s="20"/>
      <c r="BR85" s="20"/>
    </row>
    <row r="86" spans="2:70" x14ac:dyDescent="0.25">
      <c r="B86" s="98" t="s">
        <v>112</v>
      </c>
      <c r="C86" s="98">
        <v>2014</v>
      </c>
      <c r="D86" s="98" t="s">
        <v>177</v>
      </c>
      <c r="E86" s="98" t="s">
        <v>1</v>
      </c>
      <c r="F86" s="98" t="s">
        <v>131</v>
      </c>
      <c r="G86" s="98">
        <v>0</v>
      </c>
      <c r="H86" s="299" t="str">
        <f>VLOOKUP(LEFT('Rev Adequacy'!D86,3),'Mapping B'!$D$2:$E$400,2,0)</f>
        <v>S</v>
      </c>
      <c r="I86" s="190"/>
      <c r="J86" s="15" t="s">
        <v>198</v>
      </c>
      <c r="K86" s="190" t="s">
        <v>37</v>
      </c>
      <c r="L86" s="190">
        <f t="shared" si="18"/>
        <v>149.04329999999999</v>
      </c>
      <c r="O86" s="15">
        <f>_xlfn.IFNA(IF(VLOOKUP($J86&amp;O$12,'Mapping A'!$A$6:$G$1011,7,0)=1,$L86,""),0)</f>
        <v>149.04329999999999</v>
      </c>
      <c r="P86" s="15">
        <f>_xlfn.IFNA(IF(VLOOKUP($J86&amp;P$12,'Mapping A'!$A$6:$G$1011,7,0)=1,$L86,""),0)</f>
        <v>149.04329999999999</v>
      </c>
      <c r="Q86" s="15">
        <f>_xlfn.IFNA(IF(VLOOKUP($J86&amp;Q$12,'Mapping A'!$A$6:$G$1011,7,0)=1,$L86,""),0)</f>
        <v>149.04329999999999</v>
      </c>
      <c r="R86" s="15">
        <f>_xlfn.IFNA(IF(VLOOKUP($J86&amp;R$12,'Mapping A'!$A$6:$G$1011,7,0)=1,$L86,""),0)</f>
        <v>0</v>
      </c>
      <c r="S86" s="15">
        <f>_xlfn.IFNA(IF(VLOOKUP($J86&amp;S$12,'Mapping A'!$A$6:$G$1011,7,0)=1,$L86,""),0)</f>
        <v>0</v>
      </c>
      <c r="T86" s="15">
        <f>_xlfn.IFNA(IF(VLOOKUP($J86&amp;T$14,'Mapping A'!$A$6:$G$1011,7,0)=1,$L86,""),0)</f>
        <v>149.04329999999999</v>
      </c>
      <c r="U86" s="15">
        <f>_xlfn.IFNA(IF(VLOOKUP($J86&amp;U$12,'Mapping A'!$A$6:$G$1011,7,0)=1,$L86,""),0)</f>
        <v>149.04329999999999</v>
      </c>
      <c r="V86" s="15">
        <f>_xlfn.IFNA(IF(VLOOKUP($J86&amp;V$12,'Mapping A'!$A$6:$G$1011,7,0)=1,$L86,""),0)</f>
        <v>0</v>
      </c>
      <c r="W86" s="15">
        <f>_xlfn.IFNA(IF(VLOOKUP($J86&amp;W$12,'Mapping A'!$A$6:$G$1011,7,0)=1,$L86,""),0)</f>
        <v>0</v>
      </c>
      <c r="X86" s="15">
        <f>_xlfn.IFNA(IF(VLOOKUP($J86&amp;X$12,'Mapping A'!$A$6:$G$1011,7,0)=1,$L86,""),0)</f>
        <v>149.04329999999999</v>
      </c>
      <c r="Y86" s="15">
        <f>_xlfn.IFNA(IF(VLOOKUP($J86&amp;Y$12,'Mapping A'!$A$6:$G$1011,7,0)=1,$L86,""),0)</f>
        <v>0</v>
      </c>
      <c r="Z86" s="15">
        <f>_xlfn.IFNA(IF(VLOOKUP($J86&amp;Z$12,'Mapping A'!$A$6:$G$1011,7,0)=1,$L86,""),0)</f>
        <v>0</v>
      </c>
      <c r="AA86" s="15">
        <f>_xlfn.IFNA(IF(VLOOKUP($J86&amp;AA$12,'Mapping A'!$A$6:$G$1011,7,0)=1,$L86,""),0)</f>
        <v>0</v>
      </c>
      <c r="AF86" s="155" t="str">
        <f t="shared" si="19"/>
        <v>HEP0331Vector</v>
      </c>
      <c r="AG86" s="15" t="s">
        <v>198</v>
      </c>
      <c r="AH86" s="190" t="s">
        <v>37</v>
      </c>
      <c r="AI86" s="190">
        <f t="shared" si="20"/>
        <v>149.04329999999999</v>
      </c>
      <c r="AJ86" s="292" t="s">
        <v>95</v>
      </c>
      <c r="AK86" s="15"/>
      <c r="AL86" s="15">
        <f t="shared" ca="1" si="36"/>
        <v>0</v>
      </c>
      <c r="AM86" s="15">
        <f t="shared" ca="1" si="37"/>
        <v>0</v>
      </c>
      <c r="AN86" s="15">
        <f t="shared" ca="1" si="38"/>
        <v>0</v>
      </c>
      <c r="AO86" s="15">
        <f t="shared" ca="1" si="39"/>
        <v>0</v>
      </c>
      <c r="AP86" s="15"/>
      <c r="AQ86" s="15">
        <f t="shared" ca="1" si="40"/>
        <v>0</v>
      </c>
      <c r="AR86" s="20">
        <f t="shared" ca="1" si="26"/>
        <v>0.65215318205431683</v>
      </c>
      <c r="AS86" s="20"/>
      <c r="AT86" s="20">
        <f t="shared" ca="1" si="27"/>
        <v>0</v>
      </c>
      <c r="AU86" s="20">
        <f t="shared" ca="1" si="28"/>
        <v>0.30077445801078861</v>
      </c>
      <c r="AV86" s="20">
        <f t="shared" ca="1" si="29"/>
        <v>0</v>
      </c>
      <c r="AW86" s="20">
        <f t="shared" si="30"/>
        <v>0</v>
      </c>
      <c r="AX86" s="20">
        <f t="shared" si="31"/>
        <v>0</v>
      </c>
      <c r="BA86" s="20"/>
      <c r="BD86" s="94" t="str">
        <f t="shared" si="34"/>
        <v>HAM0331WEL</v>
      </c>
      <c r="BF86" s="15" t="s">
        <v>39</v>
      </c>
      <c r="BG86" t="s">
        <v>193</v>
      </c>
      <c r="BH86" s="190">
        <v>137.0103</v>
      </c>
      <c r="BI86" s="190">
        <v>136.98100280761699</v>
      </c>
      <c r="BJ86" s="257">
        <f t="shared" si="35"/>
        <v>4.8663643503091221</v>
      </c>
      <c r="BK86" s="257">
        <f t="shared" si="32"/>
        <v>5.3347392084983927</v>
      </c>
      <c r="BL86" s="257">
        <f t="shared" si="33"/>
        <v>5.6469891139579058</v>
      </c>
      <c r="BM86" s="342" t="str">
        <f>VLOOKUP(LEFT(BG86,3),'Mapping B'!$D$2:$E$310,2,0)</f>
        <v>N</v>
      </c>
      <c r="BO86" s="20"/>
      <c r="BP86" s="190"/>
      <c r="BQ86" s="20"/>
      <c r="BR86" s="20"/>
    </row>
    <row r="87" spans="2:70" x14ac:dyDescent="0.25">
      <c r="B87" s="98" t="s">
        <v>112</v>
      </c>
      <c r="C87" s="98">
        <v>2014</v>
      </c>
      <c r="D87" s="98" t="s">
        <v>185</v>
      </c>
      <c r="E87" s="98" t="s">
        <v>1</v>
      </c>
      <c r="F87" s="98" t="s">
        <v>131</v>
      </c>
      <c r="G87" s="98">
        <v>0</v>
      </c>
      <c r="H87" s="299" t="str">
        <f>VLOOKUP(LEFT('Rev Adequacy'!D87,3),'Mapping B'!$D$2:$E$400,2,0)</f>
        <v>S</v>
      </c>
      <c r="I87" s="190"/>
      <c r="J87" s="15" t="s">
        <v>199</v>
      </c>
      <c r="K87" s="190" t="s">
        <v>28</v>
      </c>
      <c r="L87" s="190">
        <f t="shared" ref="L87:L150" si="41">BH92</f>
        <v>45.4923</v>
      </c>
      <c r="O87" s="15">
        <f>_xlfn.IFNA(IF(VLOOKUP($J87&amp;O$12,'Mapping A'!$A$6:$G$1011,7,0)=1,$L87,""),0)</f>
        <v>0</v>
      </c>
      <c r="P87" s="15">
        <f>_xlfn.IFNA(IF(VLOOKUP($J87&amp;P$12,'Mapping A'!$A$6:$G$1011,7,0)=1,$L87,""),0)</f>
        <v>45.4923</v>
      </c>
      <c r="Q87" s="15">
        <f>_xlfn.IFNA(IF(VLOOKUP($J87&amp;Q$12,'Mapping A'!$A$6:$G$1011,7,0)=1,$L87,""),0)</f>
        <v>45.4923</v>
      </c>
      <c r="R87" s="15">
        <f>_xlfn.IFNA(IF(VLOOKUP($J87&amp;R$12,'Mapping A'!$A$6:$G$1011,7,0)=1,$L87,""),0)</f>
        <v>0</v>
      </c>
      <c r="S87" s="15">
        <f>_xlfn.IFNA(IF(VLOOKUP($J87&amp;S$12,'Mapping A'!$A$6:$G$1011,7,0)=1,$L87,""),0)</f>
        <v>0</v>
      </c>
      <c r="T87" s="15">
        <f>_xlfn.IFNA(IF(VLOOKUP($J87&amp;T$14,'Mapping A'!$A$6:$G$1011,7,0)=1,$L87,""),0)</f>
        <v>45.4923</v>
      </c>
      <c r="U87" s="15">
        <f>_xlfn.IFNA(IF(VLOOKUP($J87&amp;U$12,'Mapping A'!$A$6:$G$1011,7,0)=1,$L87,""),0)</f>
        <v>0</v>
      </c>
      <c r="V87" s="15">
        <f>_xlfn.IFNA(IF(VLOOKUP($J87&amp;V$12,'Mapping A'!$A$6:$G$1011,7,0)=1,$L87,""),0)</f>
        <v>0</v>
      </c>
      <c r="W87" s="15">
        <f>_xlfn.IFNA(IF(VLOOKUP($J87&amp;W$12,'Mapping A'!$A$6:$G$1011,7,0)=1,$L87,""),0)</f>
        <v>0</v>
      </c>
      <c r="X87" s="15">
        <f>_xlfn.IFNA(IF(VLOOKUP($J87&amp;X$12,'Mapping A'!$A$6:$G$1011,7,0)=1,$L87,""),0)</f>
        <v>0</v>
      </c>
      <c r="Y87" s="15">
        <f>_xlfn.IFNA(IF(VLOOKUP($J87&amp;Y$12,'Mapping A'!$A$6:$G$1011,7,0)=1,$L87,""),0)</f>
        <v>0</v>
      </c>
      <c r="Z87" s="15">
        <f>_xlfn.IFNA(IF(VLOOKUP($J87&amp;Z$12,'Mapping A'!$A$6:$G$1011,7,0)=1,$L87,""),0)</f>
        <v>0</v>
      </c>
      <c r="AA87" s="15">
        <f>_xlfn.IFNA(IF(VLOOKUP($J87&amp;AA$12,'Mapping A'!$A$6:$G$1011,7,0)=1,$L87,""),0)</f>
        <v>0</v>
      </c>
      <c r="AF87" s="155" t="str">
        <f t="shared" si="19"/>
        <v>HIN0331Powerco</v>
      </c>
      <c r="AG87" s="15" t="s">
        <v>199</v>
      </c>
      <c r="AH87" s="190" t="s">
        <v>28</v>
      </c>
      <c r="AI87" s="190">
        <f t="shared" ref="AI87:AI150" si="42">BH92</f>
        <v>45.4923</v>
      </c>
      <c r="AJ87" s="292" t="s">
        <v>95</v>
      </c>
      <c r="AK87" s="15"/>
      <c r="AL87" s="15">
        <f t="shared" ca="1" si="36"/>
        <v>0</v>
      </c>
      <c r="AM87" s="15">
        <f t="shared" ca="1" si="37"/>
        <v>0</v>
      </c>
      <c r="AN87" s="15">
        <f t="shared" ca="1" si="38"/>
        <v>0</v>
      </c>
      <c r="AO87" s="15">
        <f t="shared" ca="1" si="39"/>
        <v>0</v>
      </c>
      <c r="AP87" s="15"/>
      <c r="AQ87" s="15">
        <f t="shared" ca="1" si="40"/>
        <v>0</v>
      </c>
      <c r="AR87" s="20">
        <f t="shared" ref="AR87:AR150" ca="1" si="43">U$13*U$7*U87/U$21</f>
        <v>0</v>
      </c>
      <c r="AS87" s="20"/>
      <c r="AT87" s="20">
        <f t="shared" ref="AT87:AT150" ca="1" si="44">W$13*W$7*W87/W$21</f>
        <v>0</v>
      </c>
      <c r="AU87" s="20">
        <f t="shared" ref="AU87:AU150" ca="1" si="45">X$13*X$7*X87/X$21</f>
        <v>0</v>
      </c>
      <c r="AV87" s="20">
        <f t="shared" ref="AV87:AV150" ca="1" si="46">Y$13*Y$7*Y87/Y$21</f>
        <v>0</v>
      </c>
      <c r="AW87" s="20">
        <f t="shared" ref="AW87:AW150" si="47">Z$13*Z$7*Z87/Z$21</f>
        <v>0</v>
      </c>
      <c r="AX87" s="20">
        <f t="shared" ref="AX87:AX150" si="48">AA$13*AA$7*AA87/AA$21</f>
        <v>0</v>
      </c>
      <c r="BA87" s="20"/>
      <c r="BD87" s="94" t="str">
        <f t="shared" si="34"/>
        <v>HAM0551Kiwirail</v>
      </c>
      <c r="BF87" s="15" t="s">
        <v>51</v>
      </c>
      <c r="BG87" t="s">
        <v>194</v>
      </c>
      <c r="BH87" s="190">
        <v>6.6464999999999996</v>
      </c>
      <c r="BI87" s="190">
        <v>6.6449999809265101</v>
      </c>
      <c r="BJ87" s="257">
        <f t="shared" si="35"/>
        <v>0.2360719643291751</v>
      </c>
      <c r="BK87" s="257">
        <f t="shared" si="32"/>
        <v>0.25879327429605337</v>
      </c>
      <c r="BL87" s="257">
        <f t="shared" si="33"/>
        <v>0.27394081427397221</v>
      </c>
      <c r="BM87" s="342" t="str">
        <f>VLOOKUP(LEFT(BG87,3),'Mapping B'!$D$2:$E$310,2,0)</f>
        <v>N</v>
      </c>
      <c r="BO87" s="20"/>
      <c r="BP87" s="190"/>
      <c r="BQ87" s="20"/>
      <c r="BR87" s="20"/>
    </row>
    <row r="88" spans="2:70" x14ac:dyDescent="0.25">
      <c r="B88" s="98" t="s">
        <v>112</v>
      </c>
      <c r="C88" s="98">
        <v>2014</v>
      </c>
      <c r="D88" s="98" t="s">
        <v>220</v>
      </c>
      <c r="E88" s="98" t="s">
        <v>1</v>
      </c>
      <c r="F88" s="98" t="s">
        <v>131</v>
      </c>
      <c r="G88" s="98">
        <v>0</v>
      </c>
      <c r="H88" s="299" t="str">
        <f>VLOOKUP(LEFT('Rev Adequacy'!D88,3),'Mapping B'!$D$2:$E$400,2,0)</f>
        <v>S</v>
      </c>
      <c r="I88" s="190"/>
      <c r="J88" s="15" t="s">
        <v>200</v>
      </c>
      <c r="K88" s="190" t="s">
        <v>41</v>
      </c>
      <c r="L88" s="190">
        <f t="shared" si="41"/>
        <v>20.2272</v>
      </c>
      <c r="O88" s="15">
        <f>_xlfn.IFNA(IF(VLOOKUP($J88&amp;O$12,'Mapping A'!$A$6:$G$1011,7,0)=1,$L88,""),0)</f>
        <v>0</v>
      </c>
      <c r="P88" s="15">
        <f>_xlfn.IFNA(IF(VLOOKUP($J88&amp;P$12,'Mapping A'!$A$6:$G$1011,7,0)=1,$L88,""),0)</f>
        <v>20.2272</v>
      </c>
      <c r="Q88" s="15">
        <f>_xlfn.IFNA(IF(VLOOKUP($J88&amp;Q$12,'Mapping A'!$A$6:$G$1011,7,0)=1,$L88,""),0)</f>
        <v>0</v>
      </c>
      <c r="R88" s="15">
        <f>_xlfn.IFNA(IF(VLOOKUP($J88&amp;R$12,'Mapping A'!$A$6:$G$1011,7,0)=1,$L88,""),0)</f>
        <v>0</v>
      </c>
      <c r="S88" s="15">
        <f>_xlfn.IFNA(IF(VLOOKUP($J88&amp;S$12,'Mapping A'!$A$6:$G$1011,7,0)=1,$L88,""),0)</f>
        <v>0</v>
      </c>
      <c r="T88" s="15">
        <f>_xlfn.IFNA(IF(VLOOKUP($J88&amp;T$14,'Mapping A'!$A$6:$G$1011,7,0)=1,$L88,""),0)</f>
        <v>0</v>
      </c>
      <c r="U88" s="15">
        <f>_xlfn.IFNA(IF(VLOOKUP($J88&amp;U$12,'Mapping A'!$A$6:$G$1011,7,0)=1,$L88,""),0)</f>
        <v>0</v>
      </c>
      <c r="V88" s="15">
        <f>_xlfn.IFNA(IF(VLOOKUP($J88&amp;V$12,'Mapping A'!$A$6:$G$1011,7,0)=1,$L88,""),0)</f>
        <v>0</v>
      </c>
      <c r="W88" s="15">
        <f>_xlfn.IFNA(IF(VLOOKUP($J88&amp;W$12,'Mapping A'!$A$6:$G$1011,7,0)=1,$L88,""),0)</f>
        <v>20.2272</v>
      </c>
      <c r="X88" s="15">
        <f>_xlfn.IFNA(IF(VLOOKUP($J88&amp;X$12,'Mapping A'!$A$6:$G$1011,7,0)=1,$L88,""),0)</f>
        <v>0</v>
      </c>
      <c r="Y88" s="15">
        <f>_xlfn.IFNA(IF(VLOOKUP($J88&amp;Y$12,'Mapping A'!$A$6:$G$1011,7,0)=1,$L88,""),0)</f>
        <v>0</v>
      </c>
      <c r="Z88" s="15">
        <f>_xlfn.IFNA(IF(VLOOKUP($J88&amp;Z$12,'Mapping A'!$A$6:$G$1011,7,0)=1,$L88,""),0)</f>
        <v>0</v>
      </c>
      <c r="AA88" s="15">
        <f>_xlfn.IFNA(IF(VLOOKUP($J88&amp;AA$12,'Mapping A'!$A$6:$G$1011,7,0)=1,$L88,""),0)</f>
        <v>20.2272</v>
      </c>
      <c r="AF88" s="155" t="str">
        <f t="shared" ref="AF88:AF151" si="49">AG88&amp;AH88</f>
        <v>HKK0661Westpower</v>
      </c>
      <c r="AG88" s="15" t="s">
        <v>200</v>
      </c>
      <c r="AH88" s="190" t="s">
        <v>41</v>
      </c>
      <c r="AI88" s="190">
        <f t="shared" si="42"/>
        <v>20.2272</v>
      </c>
      <c r="AJ88" s="292" t="s">
        <v>96</v>
      </c>
      <c r="AK88" s="15"/>
      <c r="AL88" s="15">
        <f t="shared" ca="1" si="36"/>
        <v>0</v>
      </c>
      <c r="AM88" s="15">
        <f t="shared" ca="1" si="37"/>
        <v>0</v>
      </c>
      <c r="AN88" s="15">
        <f t="shared" ca="1" si="38"/>
        <v>0</v>
      </c>
      <c r="AO88" s="15">
        <f t="shared" ca="1" si="39"/>
        <v>0</v>
      </c>
      <c r="AP88" s="15"/>
      <c r="AQ88" s="15">
        <f t="shared" ca="1" si="40"/>
        <v>0</v>
      </c>
      <c r="AR88" s="20">
        <f t="shared" ca="1" si="43"/>
        <v>0</v>
      </c>
      <c r="AS88" s="20"/>
      <c r="AT88" s="20">
        <f t="shared" ca="1" si="44"/>
        <v>5.7720384850233293E-2</v>
      </c>
      <c r="AU88" s="20">
        <f t="shared" ca="1" si="45"/>
        <v>0</v>
      </c>
      <c r="AV88" s="20">
        <f t="shared" ca="1" si="46"/>
        <v>0</v>
      </c>
      <c r="AW88" s="20">
        <f t="shared" si="47"/>
        <v>0</v>
      </c>
      <c r="AX88" s="20">
        <f t="shared" si="48"/>
        <v>0</v>
      </c>
      <c r="BA88" s="20"/>
      <c r="BD88" s="94" t="str">
        <f t="shared" si="34"/>
        <v>HAY0111Wellington Electricity</v>
      </c>
      <c r="BF88" s="15" t="s">
        <v>40</v>
      </c>
      <c r="BG88" t="s">
        <v>195</v>
      </c>
      <c r="BH88" s="190">
        <v>17.940300000000001</v>
      </c>
      <c r="BI88" s="190">
        <v>17.944999694824201</v>
      </c>
      <c r="BJ88" s="257">
        <f t="shared" si="35"/>
        <v>0.6372078329428571</v>
      </c>
      <c r="BK88" s="257">
        <f t="shared" si="32"/>
        <v>0.69853742253117979</v>
      </c>
      <c r="BL88" s="257">
        <f t="shared" si="33"/>
        <v>0.73942381559006154</v>
      </c>
      <c r="BM88" s="342" t="str">
        <f>VLOOKUP(LEFT(BG88,3),'Mapping B'!$D$2:$E$310,2,0)</f>
        <v>N</v>
      </c>
      <c r="BO88" s="20"/>
      <c r="BP88" s="190"/>
      <c r="BQ88" s="20"/>
      <c r="BR88" s="20"/>
    </row>
    <row r="89" spans="2:70" x14ac:dyDescent="0.25">
      <c r="B89" s="98" t="s">
        <v>112</v>
      </c>
      <c r="C89" s="98">
        <v>2014</v>
      </c>
      <c r="D89" s="98" t="s">
        <v>222</v>
      </c>
      <c r="E89" s="98" t="s">
        <v>1</v>
      </c>
      <c r="F89" s="98" t="s">
        <v>131</v>
      </c>
      <c r="G89" s="98">
        <v>0</v>
      </c>
      <c r="H89" s="299" t="str">
        <f>VLOOKUP(LEFT('Rev Adequacy'!D89,3),'Mapping B'!$D$2:$E$400,2,0)</f>
        <v>S</v>
      </c>
      <c r="I89" s="190"/>
      <c r="J89" s="15" t="s">
        <v>201</v>
      </c>
      <c r="K89" s="190" t="s">
        <v>39</v>
      </c>
      <c r="L89" s="190">
        <f t="shared" si="41"/>
        <v>26.646900000000002</v>
      </c>
      <c r="O89" s="15">
        <f>_xlfn.IFNA(IF(VLOOKUP($J89&amp;O$12,'Mapping A'!$A$6:$G$1011,7,0)=1,$L89,""),0)</f>
        <v>0</v>
      </c>
      <c r="P89" s="15">
        <f>_xlfn.IFNA(IF(VLOOKUP($J89&amp;P$12,'Mapping A'!$A$6:$G$1011,7,0)=1,$L89,""),0)</f>
        <v>26.646900000000002</v>
      </c>
      <c r="Q89" s="15">
        <f>_xlfn.IFNA(IF(VLOOKUP($J89&amp;Q$12,'Mapping A'!$A$6:$G$1011,7,0)=1,$L89,""),0)</f>
        <v>26.646900000000002</v>
      </c>
      <c r="R89" s="15">
        <f>_xlfn.IFNA(IF(VLOOKUP($J89&amp;R$12,'Mapping A'!$A$6:$G$1011,7,0)=1,$L89,""),0)</f>
        <v>0</v>
      </c>
      <c r="S89" s="15">
        <f>_xlfn.IFNA(IF(VLOOKUP($J89&amp;S$12,'Mapping A'!$A$6:$G$1011,7,0)=1,$L89,""),0)</f>
        <v>0</v>
      </c>
      <c r="T89" s="15">
        <f>_xlfn.IFNA(IF(VLOOKUP($J89&amp;T$14,'Mapping A'!$A$6:$G$1011,7,0)=1,$L89,""),0)</f>
        <v>26.646900000000002</v>
      </c>
      <c r="U89" s="15">
        <f>_xlfn.IFNA(IF(VLOOKUP($J89&amp;U$12,'Mapping A'!$A$6:$G$1011,7,0)=1,$L89,""),0)</f>
        <v>0</v>
      </c>
      <c r="V89" s="15">
        <f>_xlfn.IFNA(IF(VLOOKUP($J89&amp;V$12,'Mapping A'!$A$6:$G$1011,7,0)=1,$L89,""),0)</f>
        <v>0</v>
      </c>
      <c r="W89" s="15">
        <f>_xlfn.IFNA(IF(VLOOKUP($J89&amp;W$12,'Mapping A'!$A$6:$G$1011,7,0)=1,$L89,""),0)</f>
        <v>0</v>
      </c>
      <c r="X89" s="15">
        <f>_xlfn.IFNA(IF(VLOOKUP($J89&amp;X$12,'Mapping A'!$A$6:$G$1011,7,0)=1,$L89,""),0)</f>
        <v>0</v>
      </c>
      <c r="Y89" s="15">
        <f>_xlfn.IFNA(IF(VLOOKUP($J89&amp;Y$12,'Mapping A'!$A$6:$G$1011,7,0)=1,$L89,""),0)</f>
        <v>0</v>
      </c>
      <c r="Z89" s="15">
        <f>_xlfn.IFNA(IF(VLOOKUP($J89&amp;Z$12,'Mapping A'!$A$6:$G$1011,7,0)=1,$L89,""),0)</f>
        <v>0</v>
      </c>
      <c r="AA89" s="15">
        <f>_xlfn.IFNA(IF(VLOOKUP($J89&amp;AA$12,'Mapping A'!$A$6:$G$1011,7,0)=1,$L89,""),0)</f>
        <v>0</v>
      </c>
      <c r="AF89" s="155" t="str">
        <f t="shared" si="49"/>
        <v>HLY0331WEL</v>
      </c>
      <c r="AG89" s="15" t="s">
        <v>201</v>
      </c>
      <c r="AH89" s="190" t="s">
        <v>39</v>
      </c>
      <c r="AI89" s="190">
        <f t="shared" si="42"/>
        <v>26.646900000000002</v>
      </c>
      <c r="AJ89" s="292" t="s">
        <v>95</v>
      </c>
      <c r="AK89" s="15"/>
      <c r="AL89" s="15">
        <f t="shared" ca="1" si="36"/>
        <v>0</v>
      </c>
      <c r="AM89" s="15">
        <f t="shared" ca="1" si="37"/>
        <v>0</v>
      </c>
      <c r="AN89" s="15">
        <f t="shared" ca="1" si="38"/>
        <v>0</v>
      </c>
      <c r="AO89" s="15">
        <f t="shared" ca="1" si="39"/>
        <v>0</v>
      </c>
      <c r="AP89" s="15"/>
      <c r="AQ89" s="15">
        <f t="shared" ca="1" si="40"/>
        <v>0</v>
      </c>
      <c r="AR89" s="20">
        <f t="shared" ca="1" si="43"/>
        <v>0</v>
      </c>
      <c r="AS89" s="20"/>
      <c r="AT89" s="20">
        <f t="shared" ca="1" si="44"/>
        <v>0</v>
      </c>
      <c r="AU89" s="20">
        <f t="shared" ca="1" si="45"/>
        <v>0</v>
      </c>
      <c r="AV89" s="20">
        <f t="shared" ca="1" si="46"/>
        <v>0</v>
      </c>
      <c r="AW89" s="20">
        <f t="shared" si="47"/>
        <v>0</v>
      </c>
      <c r="AX89" s="20">
        <f t="shared" si="48"/>
        <v>0</v>
      </c>
      <c r="BA89" s="20"/>
      <c r="BD89" s="94" t="str">
        <f t="shared" si="34"/>
        <v>HAY0331Wellington Electricity</v>
      </c>
      <c r="BF89" s="15" t="s">
        <v>40</v>
      </c>
      <c r="BG89" t="s">
        <v>196</v>
      </c>
      <c r="BH89" s="190">
        <v>19.611900000000002</v>
      </c>
      <c r="BI89" s="190">
        <v>17.829000473022401</v>
      </c>
      <c r="BJ89" s="257">
        <f t="shared" si="35"/>
        <v>0.69658011844239065</v>
      </c>
      <c r="BK89" s="257">
        <f t="shared" si="32"/>
        <v>0.76362413543470542</v>
      </c>
      <c r="BL89" s="257">
        <f t="shared" si="33"/>
        <v>0.8083201467629153</v>
      </c>
      <c r="BM89" s="342" t="str">
        <f>VLOOKUP(LEFT(BG89,3),'Mapping B'!$D$2:$E$310,2,0)</f>
        <v>N</v>
      </c>
      <c r="BO89" s="20"/>
      <c r="BP89" s="190"/>
      <c r="BQ89" s="20"/>
      <c r="BR89" s="20"/>
    </row>
    <row r="90" spans="2:70" x14ac:dyDescent="0.25">
      <c r="B90" s="98" t="s">
        <v>112</v>
      </c>
      <c r="C90" s="98">
        <v>2014</v>
      </c>
      <c r="D90" s="98" t="s">
        <v>319</v>
      </c>
      <c r="E90" s="98" t="s">
        <v>1</v>
      </c>
      <c r="F90" s="98" t="s">
        <v>131</v>
      </c>
      <c r="G90" s="98">
        <v>0</v>
      </c>
      <c r="H90" s="299" t="str">
        <f>VLOOKUP(LEFT('Rev Adequacy'!D90,3),'Mapping B'!$D$2:$E$400,2,0)</f>
        <v>S</v>
      </c>
      <c r="I90" s="190"/>
      <c r="J90" s="15" t="s">
        <v>918</v>
      </c>
      <c r="K90" s="190" t="s">
        <v>10</v>
      </c>
      <c r="L90" s="190">
        <f t="shared" si="41"/>
        <v>17.944500000000001</v>
      </c>
      <c r="O90" s="15">
        <f>_xlfn.IFNA(IF(VLOOKUP($J90&amp;O$12,'Mapping A'!$A$6:$G$1011,7,0)=1,$L90,""),0)</f>
        <v>0</v>
      </c>
      <c r="P90" s="15">
        <f>_xlfn.IFNA(IF(VLOOKUP($J90&amp;P$12,'Mapping A'!$A$6:$G$1011,7,0)=1,$L90,""),0)</f>
        <v>0</v>
      </c>
      <c r="Q90" s="15">
        <f>_xlfn.IFNA(IF(VLOOKUP($J90&amp;Q$12,'Mapping A'!$A$6:$G$1011,7,0)=1,$L90,""),0)</f>
        <v>0</v>
      </c>
      <c r="R90" s="15">
        <f>_xlfn.IFNA(IF(VLOOKUP($J90&amp;R$12,'Mapping A'!$A$6:$G$1011,7,0)=1,$L90,""),0)</f>
        <v>0</v>
      </c>
      <c r="S90" s="15">
        <f>_xlfn.IFNA(IF(VLOOKUP($J90&amp;S$12,'Mapping A'!$A$6:$G$1011,7,0)=1,$L90,""),0)</f>
        <v>0</v>
      </c>
      <c r="T90" s="15">
        <f>_xlfn.IFNA(IF(VLOOKUP($J90&amp;T$14,'Mapping A'!$A$6:$G$1011,7,0)=1,$L90,""),0)</f>
        <v>0</v>
      </c>
      <c r="U90" s="15">
        <f>_xlfn.IFNA(IF(VLOOKUP($J90&amp;U$12,'Mapping A'!$A$6:$G$1011,7,0)=1,$L90,""),0)</f>
        <v>0</v>
      </c>
      <c r="V90" s="15">
        <f>_xlfn.IFNA(IF(VLOOKUP($J90&amp;V$12,'Mapping A'!$A$6:$G$1011,7,0)=1,$L90,""),0)</f>
        <v>0</v>
      </c>
      <c r="W90" s="15">
        <f>_xlfn.IFNA(IF(VLOOKUP($J90&amp;W$12,'Mapping A'!$A$6:$G$1011,7,0)=1,$L90,""),0)</f>
        <v>0</v>
      </c>
      <c r="X90" s="15">
        <f>_xlfn.IFNA(IF(VLOOKUP($J90&amp;X$12,'Mapping A'!$A$6:$G$1011,7,0)=1,$L90,""),0)</f>
        <v>0</v>
      </c>
      <c r="Y90" s="15">
        <f>_xlfn.IFNA(IF(VLOOKUP($J90&amp;Y$12,'Mapping A'!$A$6:$G$1011,7,0)=1,$L90,""),0)</f>
        <v>0</v>
      </c>
      <c r="Z90" s="15">
        <f>_xlfn.IFNA(IF(VLOOKUP($J90&amp;Z$12,'Mapping A'!$A$6:$G$1011,7,0)=1,$L90,""),0)</f>
        <v>0</v>
      </c>
      <c r="AA90" s="15">
        <f>_xlfn.IFNA(IF(VLOOKUP($J90&amp;AA$12,'Mapping A'!$A$6:$G$1011,7,0)=1,$L90,""),0)</f>
        <v>0</v>
      </c>
      <c r="AF90" s="155" t="str">
        <f t="shared" si="49"/>
        <v>HLY2201Genesis</v>
      </c>
      <c r="AG90" s="15" t="s">
        <v>918</v>
      </c>
      <c r="AH90" s="190" t="s">
        <v>10</v>
      </c>
      <c r="AI90" s="190">
        <f t="shared" si="42"/>
        <v>17.944500000000001</v>
      </c>
      <c r="AJ90" s="292" t="s">
        <v>95</v>
      </c>
      <c r="AK90" s="15"/>
      <c r="AL90" s="15">
        <f t="shared" ca="1" si="36"/>
        <v>0</v>
      </c>
      <c r="AM90" s="15">
        <f t="shared" ca="1" si="37"/>
        <v>0</v>
      </c>
      <c r="AN90" s="15">
        <f t="shared" ca="1" si="38"/>
        <v>0</v>
      </c>
      <c r="AO90" s="15">
        <f t="shared" ca="1" si="39"/>
        <v>0</v>
      </c>
      <c r="AP90" s="15"/>
      <c r="AQ90" s="15">
        <f t="shared" ca="1" si="40"/>
        <v>0</v>
      </c>
      <c r="AR90" s="20">
        <f t="shared" ca="1" si="43"/>
        <v>0</v>
      </c>
      <c r="AS90" s="20"/>
      <c r="AT90" s="20">
        <f t="shared" ca="1" si="44"/>
        <v>0</v>
      </c>
      <c r="AU90" s="20">
        <f t="shared" ca="1" si="45"/>
        <v>0</v>
      </c>
      <c r="AV90" s="20">
        <f t="shared" ca="1" si="46"/>
        <v>0</v>
      </c>
      <c r="AW90" s="20">
        <f t="shared" si="47"/>
        <v>0</v>
      </c>
      <c r="AX90" s="20">
        <f t="shared" si="48"/>
        <v>0</v>
      </c>
      <c r="BA90" s="20"/>
      <c r="BD90" s="94" t="str">
        <f t="shared" si="34"/>
        <v>HEN0331Vector</v>
      </c>
      <c r="BF90" s="15" t="s">
        <v>37</v>
      </c>
      <c r="BG90" t="s">
        <v>197</v>
      </c>
      <c r="BH90" s="190">
        <v>122.8206</v>
      </c>
      <c r="BI90" s="190">
        <v>122.824996948242</v>
      </c>
      <c r="BJ90" s="257">
        <f t="shared" si="35"/>
        <v>4.3623712182483843</v>
      </c>
      <c r="BK90" s="257">
        <f t="shared" si="32"/>
        <v>4.7822380538638161</v>
      </c>
      <c r="BL90" s="257">
        <f t="shared" si="33"/>
        <v>5.0621492776074382</v>
      </c>
      <c r="BM90" s="342" t="str">
        <f>VLOOKUP(LEFT(BG90,3),'Mapping B'!$D$2:$E$310,2,0)</f>
        <v>N</v>
      </c>
      <c r="BO90" s="20"/>
      <c r="BP90" s="190"/>
      <c r="BQ90" s="20"/>
      <c r="BR90" s="20"/>
    </row>
    <row r="91" spans="2:70" x14ac:dyDescent="0.25">
      <c r="B91" s="98" t="s">
        <v>111</v>
      </c>
      <c r="C91" s="98">
        <v>2014</v>
      </c>
      <c r="D91" s="98" t="s">
        <v>168</v>
      </c>
      <c r="E91" s="98" t="s">
        <v>1</v>
      </c>
      <c r="F91" s="98" t="s">
        <v>131</v>
      </c>
      <c r="G91" s="98">
        <v>0</v>
      </c>
      <c r="H91" s="299" t="str">
        <f>VLOOKUP(LEFT('Rev Adequacy'!D91,3),'Mapping B'!$D$2:$E$400,2,0)</f>
        <v>S</v>
      </c>
      <c r="I91" s="190"/>
      <c r="J91" s="15" t="s">
        <v>206</v>
      </c>
      <c r="K91" s="190" t="s">
        <v>37</v>
      </c>
      <c r="L91" s="190">
        <f t="shared" si="41"/>
        <v>111.1572</v>
      </c>
      <c r="O91" s="15">
        <f>_xlfn.IFNA(IF(VLOOKUP($J91&amp;O$12,'Mapping A'!$A$6:$G$1011,7,0)=1,$L91,""),0)</f>
        <v>111.1572</v>
      </c>
      <c r="P91" s="15">
        <f>_xlfn.IFNA(IF(VLOOKUP($J91&amp;P$12,'Mapping A'!$A$6:$G$1011,7,0)=1,$L91,""),0)</f>
        <v>111.1572</v>
      </c>
      <c r="Q91" s="15">
        <f>_xlfn.IFNA(IF(VLOOKUP($J91&amp;Q$12,'Mapping A'!$A$6:$G$1011,7,0)=1,$L91,""),0)</f>
        <v>111.1572</v>
      </c>
      <c r="R91" s="15">
        <f>_xlfn.IFNA(IF(VLOOKUP($J91&amp;R$12,'Mapping A'!$A$6:$G$1011,7,0)=1,$L91,""),0)</f>
        <v>0</v>
      </c>
      <c r="S91" s="15">
        <f>_xlfn.IFNA(IF(VLOOKUP($J91&amp;S$12,'Mapping A'!$A$6:$G$1011,7,0)=1,$L91,""),0)</f>
        <v>0</v>
      </c>
      <c r="T91" s="15">
        <f>_xlfn.IFNA(IF(VLOOKUP($J91&amp;T$14,'Mapping A'!$A$6:$G$1011,7,0)=1,$L91,""),0)</f>
        <v>111.1572</v>
      </c>
      <c r="U91" s="15">
        <f>_xlfn.IFNA(IF(VLOOKUP($J91&amp;U$12,'Mapping A'!$A$6:$G$1011,7,0)=1,$L91,""),0)</f>
        <v>111.1572</v>
      </c>
      <c r="V91" s="15">
        <f>_xlfn.IFNA(IF(VLOOKUP($J91&amp;V$12,'Mapping A'!$A$6:$G$1011,7,0)=1,$L91,""),0)</f>
        <v>0</v>
      </c>
      <c r="W91" s="15">
        <f>_xlfn.IFNA(IF(VLOOKUP($J91&amp;W$12,'Mapping A'!$A$6:$G$1011,7,0)=1,$L91,""),0)</f>
        <v>0</v>
      </c>
      <c r="X91" s="15">
        <f>_xlfn.IFNA(IF(VLOOKUP($J91&amp;X$12,'Mapping A'!$A$6:$G$1011,7,0)=1,$L91,""),0)</f>
        <v>111.1572</v>
      </c>
      <c r="Y91" s="15">
        <f>_xlfn.IFNA(IF(VLOOKUP($J91&amp;Y$12,'Mapping A'!$A$6:$G$1011,7,0)=1,$L91,""),0)</f>
        <v>0</v>
      </c>
      <c r="Z91" s="15">
        <f>_xlfn.IFNA(IF(VLOOKUP($J91&amp;Z$12,'Mapping A'!$A$6:$G$1011,7,0)=1,$L91,""),0)</f>
        <v>0</v>
      </c>
      <c r="AA91" s="15">
        <f>_xlfn.IFNA(IF(VLOOKUP($J91&amp;AA$12,'Mapping A'!$A$6:$G$1011,7,0)=1,$L91,""),0)</f>
        <v>0</v>
      </c>
      <c r="AF91" s="155" t="str">
        <f t="shared" si="49"/>
        <v>HOB1101Vector</v>
      </c>
      <c r="AG91" s="15" t="s">
        <v>206</v>
      </c>
      <c r="AH91" s="190" t="s">
        <v>37</v>
      </c>
      <c r="AI91" s="190">
        <f t="shared" si="42"/>
        <v>111.1572</v>
      </c>
      <c r="AJ91" s="292" t="s">
        <v>95</v>
      </c>
      <c r="AK91" s="15"/>
      <c r="AL91" s="15">
        <f t="shared" ca="1" si="36"/>
        <v>0</v>
      </c>
      <c r="AM91" s="15">
        <f t="shared" ca="1" si="37"/>
        <v>0</v>
      </c>
      <c r="AN91" s="15">
        <f t="shared" ca="1" si="38"/>
        <v>0</v>
      </c>
      <c r="AO91" s="15">
        <f t="shared" ca="1" si="39"/>
        <v>0</v>
      </c>
      <c r="AP91" s="15"/>
      <c r="AQ91" s="15">
        <f t="shared" ca="1" si="40"/>
        <v>0</v>
      </c>
      <c r="AR91" s="20">
        <f t="shared" ca="1" si="43"/>
        <v>0.48637893610949384</v>
      </c>
      <c r="AS91" s="20"/>
      <c r="AT91" s="20">
        <f t="shared" ca="1" si="44"/>
        <v>0</v>
      </c>
      <c r="AU91" s="20">
        <f t="shared" ca="1" si="45"/>
        <v>0.22431901725201225</v>
      </c>
      <c r="AV91" s="20">
        <f t="shared" ca="1" si="46"/>
        <v>0</v>
      </c>
      <c r="AW91" s="20">
        <f t="shared" si="47"/>
        <v>0</v>
      </c>
      <c r="AX91" s="20">
        <f t="shared" si="48"/>
        <v>0</v>
      </c>
      <c r="BA91" s="20"/>
      <c r="BD91" s="94" t="str">
        <f t="shared" si="34"/>
        <v>HEP0331Vector</v>
      </c>
      <c r="BF91" s="15" t="s">
        <v>37</v>
      </c>
      <c r="BG91" t="s">
        <v>198</v>
      </c>
      <c r="BH91" s="190">
        <v>149.04329999999999</v>
      </c>
      <c r="BI91" s="190">
        <v>149.04400634765599</v>
      </c>
      <c r="BJ91" s="257">
        <f t="shared" si="35"/>
        <v>5.2937552999477226</v>
      </c>
      <c r="BK91" s="257">
        <f t="shared" ref="BK91:BK154" si="50">($BH$17-$BH$19+$BK$25)*BH91/$BH$18</f>
        <v>5.8032654207310568</v>
      </c>
      <c r="BL91" s="257">
        <f t="shared" ref="BL91:BL154" si="51">($BH$17-$BH$19+$BL$25)*BH91/$BH$18</f>
        <v>6.1429388345866132</v>
      </c>
      <c r="BM91" s="342" t="str">
        <f>VLOOKUP(LEFT(BG91,3),'Mapping B'!$D$2:$E$310,2,0)</f>
        <v>N</v>
      </c>
      <c r="BO91" s="20"/>
      <c r="BP91" s="190"/>
      <c r="BQ91" s="20"/>
      <c r="BR91" s="20"/>
    </row>
    <row r="92" spans="2:70" x14ac:dyDescent="0.25">
      <c r="B92" s="98" t="s">
        <v>111</v>
      </c>
      <c r="C92" s="98">
        <v>2014</v>
      </c>
      <c r="D92" s="98" t="s">
        <v>177</v>
      </c>
      <c r="E92" s="98" t="s">
        <v>1</v>
      </c>
      <c r="F92" s="98" t="s">
        <v>131</v>
      </c>
      <c r="G92" s="98">
        <v>0</v>
      </c>
      <c r="H92" s="299" t="str">
        <f>VLOOKUP(LEFT('Rev Adequacy'!D92,3),'Mapping B'!$D$2:$E$400,2,0)</f>
        <v>S</v>
      </c>
      <c r="I92" s="190"/>
      <c r="J92" s="15" t="s">
        <v>207</v>
      </c>
      <c r="K92" s="190" t="s">
        <v>25</v>
      </c>
      <c r="L92" s="190">
        <f t="shared" si="41"/>
        <v>23.776199999999999</v>
      </c>
      <c r="O92" s="15">
        <f>_xlfn.IFNA(IF(VLOOKUP($J92&amp;O$12,'Mapping A'!$A$6:$G$1011,7,0)=1,$L92,""),0)</f>
        <v>0</v>
      </c>
      <c r="P92" s="15">
        <f>_xlfn.IFNA(IF(VLOOKUP($J92&amp;P$12,'Mapping A'!$A$6:$G$1011,7,0)=1,$L92,""),0)</f>
        <v>23.776199999999999</v>
      </c>
      <c r="Q92" s="15">
        <f>_xlfn.IFNA(IF(VLOOKUP($J92&amp;Q$12,'Mapping A'!$A$6:$G$1011,7,0)=1,$L92,""),0)</f>
        <v>0</v>
      </c>
      <c r="R92" s="15">
        <f>_xlfn.IFNA(IF(VLOOKUP($J92&amp;R$12,'Mapping A'!$A$6:$G$1011,7,0)=1,$L92,""),0)</f>
        <v>0</v>
      </c>
      <c r="S92" s="15">
        <f>_xlfn.IFNA(IF(VLOOKUP($J92&amp;S$12,'Mapping A'!$A$6:$G$1011,7,0)=1,$L92,""),0)</f>
        <v>0</v>
      </c>
      <c r="T92" s="15">
        <f>_xlfn.IFNA(IF(VLOOKUP($J92&amp;T$14,'Mapping A'!$A$6:$G$1011,7,0)=1,$L92,""),0)</f>
        <v>0</v>
      </c>
      <c r="U92" s="15">
        <f>_xlfn.IFNA(IF(VLOOKUP($J92&amp;U$12,'Mapping A'!$A$6:$G$1011,7,0)=1,$L92,""),0)</f>
        <v>0</v>
      </c>
      <c r="V92" s="15">
        <f>_xlfn.IFNA(IF(VLOOKUP($J92&amp;V$12,'Mapping A'!$A$6:$G$1011,7,0)=1,$L92,""),0)</f>
        <v>0</v>
      </c>
      <c r="W92" s="15">
        <f>_xlfn.IFNA(IF(VLOOKUP($J92&amp;W$12,'Mapping A'!$A$6:$G$1011,7,0)=1,$L92,""),0)</f>
        <v>23.776199999999999</v>
      </c>
      <c r="X92" s="15">
        <f>_xlfn.IFNA(IF(VLOOKUP($J92&amp;X$12,'Mapping A'!$A$6:$G$1011,7,0)=1,$L92,""),0)</f>
        <v>0</v>
      </c>
      <c r="Y92" s="15">
        <f>_xlfn.IFNA(IF(VLOOKUP($J92&amp;Y$12,'Mapping A'!$A$6:$G$1011,7,0)=1,$L92,""),0)</f>
        <v>0</v>
      </c>
      <c r="Z92" s="15">
        <f>_xlfn.IFNA(IF(VLOOKUP($J92&amp;Z$12,'Mapping A'!$A$6:$G$1011,7,0)=1,$L92,""),0)</f>
        <v>0</v>
      </c>
      <c r="AA92" s="15">
        <f>_xlfn.IFNA(IF(VLOOKUP($J92&amp;AA$12,'Mapping A'!$A$6:$G$1011,7,0)=1,$L92,""),0)</f>
        <v>0</v>
      </c>
      <c r="AF92" s="155" t="str">
        <f t="shared" si="49"/>
        <v>HOR0331Orion</v>
      </c>
      <c r="AG92" s="15" t="s">
        <v>207</v>
      </c>
      <c r="AH92" s="190" t="s">
        <v>25</v>
      </c>
      <c r="AI92" s="190">
        <f t="shared" si="42"/>
        <v>23.776199999999999</v>
      </c>
      <c r="AJ92" s="292" t="s">
        <v>96</v>
      </c>
      <c r="AK92" s="15"/>
      <c r="AL92" s="15">
        <f t="shared" ca="1" si="36"/>
        <v>0</v>
      </c>
      <c r="AM92" s="15">
        <f t="shared" ca="1" si="37"/>
        <v>0</v>
      </c>
      <c r="AN92" s="15">
        <f t="shared" ca="1" si="38"/>
        <v>0</v>
      </c>
      <c r="AO92" s="15">
        <f t="shared" ca="1" si="39"/>
        <v>0</v>
      </c>
      <c r="AP92" s="15"/>
      <c r="AQ92" s="15">
        <f t="shared" ca="1" si="40"/>
        <v>0</v>
      </c>
      <c r="AR92" s="20">
        <f t="shared" ca="1" si="43"/>
        <v>0</v>
      </c>
      <c r="AS92" s="20"/>
      <c r="AT92" s="20">
        <f t="shared" ca="1" si="44"/>
        <v>6.7847819484462349E-2</v>
      </c>
      <c r="AU92" s="20">
        <f t="shared" ca="1" si="45"/>
        <v>0</v>
      </c>
      <c r="AV92" s="20">
        <f t="shared" ca="1" si="46"/>
        <v>0</v>
      </c>
      <c r="AW92" s="20">
        <f t="shared" si="47"/>
        <v>0</v>
      </c>
      <c r="AX92" s="20">
        <f t="shared" si="48"/>
        <v>0</v>
      </c>
      <c r="BA92" s="20"/>
      <c r="BD92" s="94" t="str">
        <f t="shared" ref="BD92:BD156" si="52">BG92&amp;BF92</f>
        <v>HIN0331Powerco</v>
      </c>
      <c r="BF92" s="15" t="s">
        <v>28</v>
      </c>
      <c r="BG92" t="s">
        <v>199</v>
      </c>
      <c r="BH92" s="190">
        <v>45.4923</v>
      </c>
      <c r="BI92" s="190">
        <v>45.490001678466797</v>
      </c>
      <c r="BJ92" s="257">
        <f t="shared" ref="BJ92:BJ155" si="53">($BH$17-$BH$19)*BH92/$BH$18</f>
        <v>1.6158063075080318</v>
      </c>
      <c r="BK92" s="257">
        <f t="shared" si="50"/>
        <v>1.7713234442576318</v>
      </c>
      <c r="BL92" s="257">
        <f t="shared" si="51"/>
        <v>1.8750015354240317</v>
      </c>
      <c r="BM92" s="342" t="str">
        <f>VLOOKUP(LEFT(BG92,3),'Mapping B'!$D$2:$E$310,2,0)</f>
        <v>N</v>
      </c>
      <c r="BO92" s="20"/>
      <c r="BP92" s="190"/>
      <c r="BQ92" s="20"/>
      <c r="BR92" s="20"/>
    </row>
    <row r="93" spans="2:70" x14ac:dyDescent="0.25">
      <c r="B93" s="98" t="s">
        <v>111</v>
      </c>
      <c r="C93" s="98">
        <v>2014</v>
      </c>
      <c r="D93" s="98" t="s">
        <v>185</v>
      </c>
      <c r="E93" s="98" t="s">
        <v>1</v>
      </c>
      <c r="F93" s="98" t="s">
        <v>131</v>
      </c>
      <c r="G93" s="98">
        <v>0</v>
      </c>
      <c r="H93" s="299" t="str">
        <f>VLOOKUP(LEFT('Rev Adequacy'!D93,3),'Mapping B'!$D$2:$E$400,2,0)</f>
        <v>S</v>
      </c>
      <c r="I93" s="190"/>
      <c r="J93" s="15" t="s">
        <v>208</v>
      </c>
      <c r="K93" s="190" t="s">
        <v>25</v>
      </c>
      <c r="L93" s="190">
        <f t="shared" si="41"/>
        <v>30.5928</v>
      </c>
      <c r="O93" s="15">
        <f>_xlfn.IFNA(IF(VLOOKUP($J93&amp;O$12,'Mapping A'!$A$6:$G$1011,7,0)=1,$L93,""),0)</f>
        <v>0</v>
      </c>
      <c r="P93" s="15">
        <f>_xlfn.IFNA(IF(VLOOKUP($J93&amp;P$12,'Mapping A'!$A$6:$G$1011,7,0)=1,$L93,""),0)</f>
        <v>30.5928</v>
      </c>
      <c r="Q93" s="15">
        <f>_xlfn.IFNA(IF(VLOOKUP($J93&amp;Q$12,'Mapping A'!$A$6:$G$1011,7,0)=1,$L93,""),0)</f>
        <v>0</v>
      </c>
      <c r="R93" s="15">
        <f>_xlfn.IFNA(IF(VLOOKUP($J93&amp;R$12,'Mapping A'!$A$6:$G$1011,7,0)=1,$L93,""),0)</f>
        <v>0</v>
      </c>
      <c r="S93" s="15">
        <f>_xlfn.IFNA(IF(VLOOKUP($J93&amp;S$12,'Mapping A'!$A$6:$G$1011,7,0)=1,$L93,""),0)</f>
        <v>0</v>
      </c>
      <c r="T93" s="15">
        <f>_xlfn.IFNA(IF(VLOOKUP($J93&amp;T$14,'Mapping A'!$A$6:$G$1011,7,0)=1,$L93,""),0)</f>
        <v>0</v>
      </c>
      <c r="U93" s="15">
        <f>_xlfn.IFNA(IF(VLOOKUP($J93&amp;U$12,'Mapping A'!$A$6:$G$1011,7,0)=1,$L93,""),0)</f>
        <v>0</v>
      </c>
      <c r="V93" s="15">
        <f>_xlfn.IFNA(IF(VLOOKUP($J93&amp;V$12,'Mapping A'!$A$6:$G$1011,7,0)=1,$L93,""),0)</f>
        <v>0</v>
      </c>
      <c r="W93" s="15">
        <f>_xlfn.IFNA(IF(VLOOKUP($J93&amp;W$12,'Mapping A'!$A$6:$G$1011,7,0)=1,$L93,""),0)</f>
        <v>30.5928</v>
      </c>
      <c r="X93" s="15">
        <f>_xlfn.IFNA(IF(VLOOKUP($J93&amp;X$12,'Mapping A'!$A$6:$G$1011,7,0)=1,$L93,""),0)</f>
        <v>0</v>
      </c>
      <c r="Y93" s="15">
        <f>_xlfn.IFNA(IF(VLOOKUP($J93&amp;Y$12,'Mapping A'!$A$6:$G$1011,7,0)=1,$L93,""),0)</f>
        <v>0</v>
      </c>
      <c r="Z93" s="15">
        <f>_xlfn.IFNA(IF(VLOOKUP($J93&amp;Z$12,'Mapping A'!$A$6:$G$1011,7,0)=1,$L93,""),0)</f>
        <v>0</v>
      </c>
      <c r="AA93" s="15">
        <f>_xlfn.IFNA(IF(VLOOKUP($J93&amp;AA$12,'Mapping A'!$A$6:$G$1011,7,0)=1,$L93,""),0)</f>
        <v>0</v>
      </c>
      <c r="AF93" s="155" t="str">
        <f t="shared" si="49"/>
        <v>HOR0661Orion</v>
      </c>
      <c r="AG93" s="15" t="s">
        <v>208</v>
      </c>
      <c r="AH93" s="190" t="s">
        <v>25</v>
      </c>
      <c r="AI93" s="190">
        <f t="shared" si="42"/>
        <v>30.5928</v>
      </c>
      <c r="AJ93" s="292" t="s">
        <v>96</v>
      </c>
      <c r="AK93" s="15"/>
      <c r="AL93" s="15">
        <f t="shared" ca="1" si="36"/>
        <v>0</v>
      </c>
      <c r="AM93" s="15">
        <f t="shared" ca="1" si="37"/>
        <v>0</v>
      </c>
      <c r="AN93" s="15">
        <f t="shared" ca="1" si="38"/>
        <v>0</v>
      </c>
      <c r="AO93" s="15">
        <f t="shared" ca="1" si="39"/>
        <v>0</v>
      </c>
      <c r="AP93" s="15"/>
      <c r="AQ93" s="15">
        <f t="shared" ca="1" si="40"/>
        <v>0</v>
      </c>
      <c r="AR93" s="20">
        <f t="shared" ca="1" si="43"/>
        <v>0</v>
      </c>
      <c r="AS93" s="20"/>
      <c r="AT93" s="20">
        <f t="shared" ca="1" si="44"/>
        <v>8.7299685060028928E-2</v>
      </c>
      <c r="AU93" s="20">
        <f t="shared" ca="1" si="45"/>
        <v>0</v>
      </c>
      <c r="AV93" s="20">
        <f t="shared" ca="1" si="46"/>
        <v>0</v>
      </c>
      <c r="AW93" s="20">
        <f t="shared" si="47"/>
        <v>0</v>
      </c>
      <c r="AX93" s="20">
        <f t="shared" si="48"/>
        <v>0</v>
      </c>
      <c r="BA93" s="20"/>
      <c r="BD93" s="94" t="str">
        <f t="shared" si="52"/>
        <v>HKK0661Westpower</v>
      </c>
      <c r="BF93" s="15" t="s">
        <v>41</v>
      </c>
      <c r="BG93" t="s">
        <v>200</v>
      </c>
      <c r="BH93" s="190">
        <v>20.2272</v>
      </c>
      <c r="BI93" s="190">
        <v>16.614000320434499</v>
      </c>
      <c r="BJ93" s="257">
        <f t="shared" si="53"/>
        <v>0.71843448986370129</v>
      </c>
      <c r="BK93" s="257">
        <f t="shared" si="50"/>
        <v>0.78758193302356594</v>
      </c>
      <c r="BL93" s="257">
        <f t="shared" si="51"/>
        <v>0.83368022846347567</v>
      </c>
      <c r="BM93" s="342" t="str">
        <f>VLOOKUP(LEFT(BG93,3),'Mapping B'!$D$2:$E$310,2,0)</f>
        <v>S</v>
      </c>
      <c r="BO93" s="20"/>
      <c r="BP93" s="190"/>
      <c r="BQ93" s="20"/>
      <c r="BR93" s="20"/>
    </row>
    <row r="94" spans="2:70" x14ac:dyDescent="0.25">
      <c r="B94" s="98" t="s">
        <v>111</v>
      </c>
      <c r="C94" s="98">
        <v>2014</v>
      </c>
      <c r="D94" s="98" t="s">
        <v>220</v>
      </c>
      <c r="E94" s="98" t="s">
        <v>1</v>
      </c>
      <c r="F94" s="98" t="s">
        <v>131</v>
      </c>
      <c r="G94" s="98">
        <v>0</v>
      </c>
      <c r="H94" s="299" t="str">
        <f>VLOOKUP(LEFT('Rev Adequacy'!D94,3),'Mapping B'!$D$2:$E$400,2,0)</f>
        <v>S</v>
      </c>
      <c r="I94" s="190"/>
      <c r="J94" s="15" t="s">
        <v>209</v>
      </c>
      <c r="K94" s="190" t="s">
        <v>32</v>
      </c>
      <c r="L94" s="190">
        <f t="shared" si="41"/>
        <v>35.250599999999999</v>
      </c>
      <c r="O94" s="15">
        <f>_xlfn.IFNA(IF(VLOOKUP($J94&amp;O$12,'Mapping A'!$A$6:$G$1011,7,0)=1,$L94,""),0)</f>
        <v>0</v>
      </c>
      <c r="P94" s="15">
        <f>_xlfn.IFNA(IF(VLOOKUP($J94&amp;P$12,'Mapping A'!$A$6:$G$1011,7,0)=1,$L94,""),0)</f>
        <v>35.250599999999999</v>
      </c>
      <c r="Q94" s="15">
        <f>_xlfn.IFNA(IF(VLOOKUP($J94&amp;Q$12,'Mapping A'!$A$6:$G$1011,7,0)=1,$L94,""),0)</f>
        <v>35.250599999999999</v>
      </c>
      <c r="R94" s="15">
        <f>_xlfn.IFNA(IF(VLOOKUP($J94&amp;R$12,'Mapping A'!$A$6:$G$1011,7,0)=1,$L94,""),0)</f>
        <v>0</v>
      </c>
      <c r="S94" s="15">
        <f>_xlfn.IFNA(IF(VLOOKUP($J94&amp;S$12,'Mapping A'!$A$6:$G$1011,7,0)=1,$L94,""),0)</f>
        <v>0</v>
      </c>
      <c r="T94" s="15">
        <f>_xlfn.IFNA(IF(VLOOKUP($J94&amp;T$14,'Mapping A'!$A$6:$G$1011,7,0)=1,$L94,""),0)</f>
        <v>35.250599999999999</v>
      </c>
      <c r="U94" s="15">
        <f>_xlfn.IFNA(IF(VLOOKUP($J94&amp;U$12,'Mapping A'!$A$6:$G$1011,7,0)=1,$L94,""),0)</f>
        <v>0</v>
      </c>
      <c r="V94" s="15">
        <f>_xlfn.IFNA(IF(VLOOKUP($J94&amp;V$12,'Mapping A'!$A$6:$G$1011,7,0)=1,$L94,""),0)</f>
        <v>0</v>
      </c>
      <c r="W94" s="15">
        <f>_xlfn.IFNA(IF(VLOOKUP($J94&amp;W$12,'Mapping A'!$A$6:$G$1011,7,0)=1,$L94,""),0)</f>
        <v>0</v>
      </c>
      <c r="X94" s="15">
        <f>_xlfn.IFNA(IF(VLOOKUP($J94&amp;X$12,'Mapping A'!$A$6:$G$1011,7,0)=1,$L94,""),0)</f>
        <v>0</v>
      </c>
      <c r="Y94" s="15">
        <f>_xlfn.IFNA(IF(VLOOKUP($J94&amp;Y$12,'Mapping A'!$A$6:$G$1011,7,0)=1,$L94,""),0)</f>
        <v>0</v>
      </c>
      <c r="Z94" s="15">
        <f>_xlfn.IFNA(IF(VLOOKUP($J94&amp;Z$12,'Mapping A'!$A$6:$G$1011,7,0)=1,$L94,""),0)</f>
        <v>0</v>
      </c>
      <c r="AA94" s="15">
        <f>_xlfn.IFNA(IF(VLOOKUP($J94&amp;AA$12,'Mapping A'!$A$6:$G$1011,7,0)=1,$L94,""),0)</f>
        <v>0</v>
      </c>
      <c r="AF94" s="155" t="str">
        <f t="shared" si="49"/>
        <v>HTI0331The Lines Company</v>
      </c>
      <c r="AG94" s="15" t="s">
        <v>209</v>
      </c>
      <c r="AH94" s="190" t="s">
        <v>32</v>
      </c>
      <c r="AI94" s="190">
        <f t="shared" si="42"/>
        <v>35.250599999999999</v>
      </c>
      <c r="AJ94" s="292" t="s">
        <v>95</v>
      </c>
      <c r="AK94" s="15"/>
      <c r="AL94" s="15">
        <f t="shared" ca="1" si="36"/>
        <v>0</v>
      </c>
      <c r="AM94" s="15">
        <f t="shared" ca="1" si="37"/>
        <v>0</v>
      </c>
      <c r="AN94" s="15">
        <f t="shared" ca="1" si="38"/>
        <v>0</v>
      </c>
      <c r="AO94" s="15">
        <f t="shared" ca="1" si="39"/>
        <v>0</v>
      </c>
      <c r="AP94" s="15"/>
      <c r="AQ94" s="15">
        <f t="shared" ca="1" si="40"/>
        <v>0</v>
      </c>
      <c r="AR94" s="20">
        <f t="shared" ca="1" si="43"/>
        <v>0</v>
      </c>
      <c r="AS94" s="20"/>
      <c r="AT94" s="20">
        <f t="shared" ca="1" si="44"/>
        <v>0</v>
      </c>
      <c r="AU94" s="20">
        <f t="shared" ca="1" si="45"/>
        <v>0</v>
      </c>
      <c r="AV94" s="20">
        <f t="shared" ca="1" si="46"/>
        <v>0</v>
      </c>
      <c r="AW94" s="20">
        <f t="shared" si="47"/>
        <v>0</v>
      </c>
      <c r="AX94" s="20">
        <f t="shared" si="48"/>
        <v>0</v>
      </c>
      <c r="BA94" s="20"/>
      <c r="BD94" s="94" t="str">
        <f t="shared" si="52"/>
        <v>HLY0331WEL</v>
      </c>
      <c r="BF94" s="15" t="s">
        <v>39</v>
      </c>
      <c r="BG94" t="s">
        <v>201</v>
      </c>
      <c r="BH94" s="190">
        <v>26.646900000000002</v>
      </c>
      <c r="BI94" s="190">
        <v>26.6509990692138</v>
      </c>
      <c r="BJ94" s="257">
        <f t="shared" si="53"/>
        <v>0.94645091796932157</v>
      </c>
      <c r="BK94" s="257">
        <f t="shared" si="50"/>
        <v>1.0375443467749199</v>
      </c>
      <c r="BL94" s="257">
        <f t="shared" si="51"/>
        <v>1.0982732993119855</v>
      </c>
      <c r="BM94" s="342" t="str">
        <f>VLOOKUP(LEFT(BG94,3),'Mapping B'!$D$2:$E$310,2,0)</f>
        <v>N</v>
      </c>
      <c r="BO94" s="20"/>
      <c r="BP94" s="190"/>
      <c r="BQ94" s="20"/>
      <c r="BR94" s="20"/>
    </row>
    <row r="95" spans="2:70" x14ac:dyDescent="0.25">
      <c r="B95" s="98" t="s">
        <v>111</v>
      </c>
      <c r="C95" s="98">
        <v>2014</v>
      </c>
      <c r="D95" s="98" t="s">
        <v>222</v>
      </c>
      <c r="E95" s="98" t="s">
        <v>1</v>
      </c>
      <c r="F95" s="98" t="s">
        <v>131</v>
      </c>
      <c r="G95" s="98">
        <v>0</v>
      </c>
      <c r="H95" s="299" t="str">
        <f>VLOOKUP(LEFT('Rev Adequacy'!D95,3),'Mapping B'!$D$2:$E$400,2,0)</f>
        <v>S</v>
      </c>
      <c r="I95" s="190"/>
      <c r="J95" s="15" t="s">
        <v>210</v>
      </c>
      <c r="K95" s="190" t="s">
        <v>28</v>
      </c>
      <c r="L95" s="190">
        <f t="shared" si="41"/>
        <v>36.758400000000002</v>
      </c>
      <c r="O95" s="15">
        <f>_xlfn.IFNA(IF(VLOOKUP($J95&amp;O$12,'Mapping A'!$A$6:$G$1011,7,0)=1,$L95,""),0)</f>
        <v>0</v>
      </c>
      <c r="P95" s="15">
        <f>_xlfn.IFNA(IF(VLOOKUP($J95&amp;P$12,'Mapping A'!$A$6:$G$1011,7,0)=1,$L95,""),0)</f>
        <v>36.758400000000002</v>
      </c>
      <c r="Q95" s="15">
        <f>_xlfn.IFNA(IF(VLOOKUP($J95&amp;Q$12,'Mapping A'!$A$6:$G$1011,7,0)=1,$L95,""),0)</f>
        <v>36.758400000000002</v>
      </c>
      <c r="R95" s="15">
        <f>_xlfn.IFNA(IF(VLOOKUP($J95&amp;R$12,'Mapping A'!$A$6:$G$1011,7,0)=1,$L95,""),0)</f>
        <v>0</v>
      </c>
      <c r="S95" s="15">
        <f>_xlfn.IFNA(IF(VLOOKUP($J95&amp;S$12,'Mapping A'!$A$6:$G$1011,7,0)=1,$L95,""),0)</f>
        <v>0</v>
      </c>
      <c r="T95" s="15">
        <f>_xlfn.IFNA(IF(VLOOKUP($J95&amp;T$14,'Mapping A'!$A$6:$G$1011,7,0)=1,$L95,""),0)</f>
        <v>0</v>
      </c>
      <c r="U95" s="15">
        <f>_xlfn.IFNA(IF(VLOOKUP($J95&amp;U$12,'Mapping A'!$A$6:$G$1011,7,0)=1,$L95,""),0)</f>
        <v>0</v>
      </c>
      <c r="V95" s="15">
        <f>_xlfn.IFNA(IF(VLOOKUP($J95&amp;V$12,'Mapping A'!$A$6:$G$1011,7,0)=1,$L95,""),0)</f>
        <v>0</v>
      </c>
      <c r="W95" s="15">
        <f>_xlfn.IFNA(IF(VLOOKUP($J95&amp;W$12,'Mapping A'!$A$6:$G$1011,7,0)=1,$L95,""),0)</f>
        <v>0</v>
      </c>
      <c r="X95" s="15">
        <f>_xlfn.IFNA(IF(VLOOKUP($J95&amp;X$12,'Mapping A'!$A$6:$G$1011,7,0)=1,$L95,""),0)</f>
        <v>0</v>
      </c>
      <c r="Y95" s="15">
        <f>_xlfn.IFNA(IF(VLOOKUP($J95&amp;Y$12,'Mapping A'!$A$6:$G$1011,7,0)=1,$L95,""),0)</f>
        <v>0</v>
      </c>
      <c r="Z95" s="15">
        <f>_xlfn.IFNA(IF(VLOOKUP($J95&amp;Z$12,'Mapping A'!$A$6:$G$1011,7,0)=1,$L95,""),0)</f>
        <v>0</v>
      </c>
      <c r="AA95" s="15">
        <f>_xlfn.IFNA(IF(VLOOKUP($J95&amp;AA$12,'Mapping A'!$A$6:$G$1011,7,0)=1,$L95,""),0)</f>
        <v>0</v>
      </c>
      <c r="AF95" s="155" t="str">
        <f t="shared" si="49"/>
        <v>HUI0331Powerco</v>
      </c>
      <c r="AG95" s="15" t="s">
        <v>210</v>
      </c>
      <c r="AH95" s="190" t="s">
        <v>28</v>
      </c>
      <c r="AI95" s="190">
        <f t="shared" si="42"/>
        <v>36.758400000000002</v>
      </c>
      <c r="AJ95" s="292" t="s">
        <v>95</v>
      </c>
      <c r="AK95" s="15"/>
      <c r="AL95" s="15">
        <f t="shared" ca="1" si="36"/>
        <v>0</v>
      </c>
      <c r="AM95" s="15">
        <f t="shared" ca="1" si="37"/>
        <v>0</v>
      </c>
      <c r="AN95" s="15">
        <f t="shared" ca="1" si="38"/>
        <v>0</v>
      </c>
      <c r="AO95" s="15">
        <f t="shared" ca="1" si="39"/>
        <v>0</v>
      </c>
      <c r="AP95" s="15"/>
      <c r="AQ95" s="15">
        <f t="shared" ca="1" si="40"/>
        <v>0</v>
      </c>
      <c r="AR95" s="20">
        <f t="shared" ca="1" si="43"/>
        <v>0</v>
      </c>
      <c r="AS95" s="20"/>
      <c r="AT95" s="20">
        <f t="shared" ca="1" si="44"/>
        <v>0</v>
      </c>
      <c r="AU95" s="20">
        <f t="shared" ca="1" si="45"/>
        <v>0</v>
      </c>
      <c r="AV95" s="20">
        <f t="shared" ca="1" si="46"/>
        <v>0</v>
      </c>
      <c r="AW95" s="20">
        <f t="shared" si="47"/>
        <v>0</v>
      </c>
      <c r="AX95" s="20">
        <f t="shared" si="48"/>
        <v>0</v>
      </c>
      <c r="BA95" s="20"/>
      <c r="BD95" s="94" t="str">
        <f t="shared" si="52"/>
        <v>HLY2201Genesis</v>
      </c>
      <c r="BF95" s="15" t="s">
        <v>10</v>
      </c>
      <c r="BG95" t="s">
        <v>918</v>
      </c>
      <c r="BH95" s="190">
        <v>17.944500000000001</v>
      </c>
      <c r="BI95" s="190">
        <v>0</v>
      </c>
      <c r="BJ95" s="257">
        <f t="shared" si="53"/>
        <v>0.63735700953958963</v>
      </c>
      <c r="BK95" s="257">
        <f t="shared" si="50"/>
        <v>0.69870095698571122</v>
      </c>
      <c r="BL95" s="257">
        <f t="shared" si="51"/>
        <v>0.73959692194979243</v>
      </c>
      <c r="BM95" s="342" t="str">
        <f>VLOOKUP(LEFT(BG95,3),'Mapping B'!$D$2:$E$310,2,0)</f>
        <v>N</v>
      </c>
      <c r="BO95" s="20"/>
      <c r="BP95" s="190"/>
      <c r="BQ95" s="20"/>
      <c r="BR95" s="20"/>
    </row>
    <row r="96" spans="2:70" x14ac:dyDescent="0.25">
      <c r="B96" s="98" t="s">
        <v>111</v>
      </c>
      <c r="C96" s="98">
        <v>2014</v>
      </c>
      <c r="D96" s="98" t="s">
        <v>319</v>
      </c>
      <c r="E96" s="98" t="s">
        <v>1</v>
      </c>
      <c r="F96" s="98" t="s">
        <v>131</v>
      </c>
      <c r="G96" s="98">
        <v>0</v>
      </c>
      <c r="H96" s="299" t="str">
        <f>VLOOKUP(LEFT('Rev Adequacy'!D96,3),'Mapping B'!$D$2:$E$400,2,0)</f>
        <v>S</v>
      </c>
      <c r="I96" s="190"/>
      <c r="J96" s="15" t="s">
        <v>211</v>
      </c>
      <c r="K96" s="190" t="s">
        <v>28</v>
      </c>
      <c r="L96" s="190">
        <f t="shared" si="41"/>
        <v>29.015700000000002</v>
      </c>
      <c r="O96" s="15">
        <f>_xlfn.IFNA(IF(VLOOKUP($J96&amp;O$12,'Mapping A'!$A$6:$G$1011,7,0)=1,$L96,""),0)</f>
        <v>0</v>
      </c>
      <c r="P96" s="15">
        <f>_xlfn.IFNA(IF(VLOOKUP($J96&amp;P$12,'Mapping A'!$A$6:$G$1011,7,0)=1,$L96,""),0)</f>
        <v>29.015700000000002</v>
      </c>
      <c r="Q96" s="15">
        <f>_xlfn.IFNA(IF(VLOOKUP($J96&amp;Q$12,'Mapping A'!$A$6:$G$1011,7,0)=1,$L96,""),0)</f>
        <v>29.015700000000002</v>
      </c>
      <c r="R96" s="15">
        <f>_xlfn.IFNA(IF(VLOOKUP($J96&amp;R$12,'Mapping A'!$A$6:$G$1011,7,0)=1,$L96,""),0)</f>
        <v>0</v>
      </c>
      <c r="S96" s="15">
        <f>_xlfn.IFNA(IF(VLOOKUP($J96&amp;S$12,'Mapping A'!$A$6:$G$1011,7,0)=1,$L96,""),0)</f>
        <v>0</v>
      </c>
      <c r="T96" s="15">
        <f>_xlfn.IFNA(IF(VLOOKUP($J96&amp;T$14,'Mapping A'!$A$6:$G$1011,7,0)=1,$L96,""),0)</f>
        <v>0</v>
      </c>
      <c r="U96" s="15">
        <f>_xlfn.IFNA(IF(VLOOKUP($J96&amp;U$12,'Mapping A'!$A$6:$G$1011,7,0)=1,$L96,""),0)</f>
        <v>0</v>
      </c>
      <c r="V96" s="15">
        <f>_xlfn.IFNA(IF(VLOOKUP($J96&amp;V$12,'Mapping A'!$A$6:$G$1011,7,0)=1,$L96,""),0)</f>
        <v>0</v>
      </c>
      <c r="W96" s="15">
        <f>_xlfn.IFNA(IF(VLOOKUP($J96&amp;W$12,'Mapping A'!$A$6:$G$1011,7,0)=1,$L96,""),0)</f>
        <v>0</v>
      </c>
      <c r="X96" s="15">
        <f>_xlfn.IFNA(IF(VLOOKUP($J96&amp;X$12,'Mapping A'!$A$6:$G$1011,7,0)=1,$L96,""),0)</f>
        <v>0</v>
      </c>
      <c r="Y96" s="15">
        <f>_xlfn.IFNA(IF(VLOOKUP($J96&amp;Y$12,'Mapping A'!$A$6:$G$1011,7,0)=1,$L96,""),0)</f>
        <v>0</v>
      </c>
      <c r="Z96" s="15">
        <f>_xlfn.IFNA(IF(VLOOKUP($J96&amp;Z$12,'Mapping A'!$A$6:$G$1011,7,0)=1,$L96,""),0)</f>
        <v>29.015700000000002</v>
      </c>
      <c r="AA96" s="15">
        <f>_xlfn.IFNA(IF(VLOOKUP($J96&amp;AA$12,'Mapping A'!$A$6:$G$1011,7,0)=1,$L96,""),0)</f>
        <v>0</v>
      </c>
      <c r="AF96" s="155" t="str">
        <f t="shared" si="49"/>
        <v>HWA0331Powerco</v>
      </c>
      <c r="AG96" s="15" t="s">
        <v>211</v>
      </c>
      <c r="AH96" s="190" t="s">
        <v>28</v>
      </c>
      <c r="AI96" s="190">
        <f t="shared" si="42"/>
        <v>29.015700000000002</v>
      </c>
      <c r="AJ96" s="292" t="s">
        <v>95</v>
      </c>
      <c r="AK96" s="15"/>
      <c r="AL96" s="15">
        <f t="shared" ca="1" si="36"/>
        <v>0</v>
      </c>
      <c r="AM96" s="15">
        <f t="shared" ca="1" si="37"/>
        <v>0</v>
      </c>
      <c r="AN96" s="15">
        <f t="shared" ca="1" si="38"/>
        <v>0</v>
      </c>
      <c r="AO96" s="15">
        <f t="shared" ca="1" si="39"/>
        <v>0</v>
      </c>
      <c r="AP96" s="15"/>
      <c r="AQ96" s="15">
        <f t="shared" ca="1" si="40"/>
        <v>0</v>
      </c>
      <c r="AR96" s="20">
        <f t="shared" ca="1" si="43"/>
        <v>0</v>
      </c>
      <c r="AS96" s="20"/>
      <c r="AT96" s="20">
        <f t="shared" ca="1" si="44"/>
        <v>0</v>
      </c>
      <c r="AU96" s="20">
        <f t="shared" ca="1" si="45"/>
        <v>0</v>
      </c>
      <c r="AV96" s="20">
        <f t="shared" ca="1" si="46"/>
        <v>0</v>
      </c>
      <c r="AW96" s="20">
        <f t="shared" si="47"/>
        <v>0</v>
      </c>
      <c r="AX96" s="20">
        <f t="shared" si="48"/>
        <v>0</v>
      </c>
      <c r="BA96" s="95"/>
      <c r="BD96" s="94" t="str">
        <f t="shared" si="52"/>
        <v>HOB1101Vector</v>
      </c>
      <c r="BF96" s="15" t="s">
        <v>37</v>
      </c>
      <c r="BG96" t="s">
        <v>206</v>
      </c>
      <c r="BH96" s="190">
        <v>111.1572</v>
      </c>
      <c r="BI96" s="190">
        <v>111.15499877929599</v>
      </c>
      <c r="BJ96" s="257">
        <f t="shared" si="53"/>
        <v>3.9481078091222419</v>
      </c>
      <c r="BK96" s="257">
        <f t="shared" si="50"/>
        <v>4.3281028736299199</v>
      </c>
      <c r="BL96" s="257">
        <f t="shared" si="51"/>
        <v>4.5814329166350385</v>
      </c>
      <c r="BM96" s="342" t="str">
        <f>VLOOKUP(LEFT(BG96,3),'Mapping B'!$D$2:$E$310,2,0)</f>
        <v>N</v>
      </c>
      <c r="BO96" s="20"/>
      <c r="BP96" s="190"/>
      <c r="BQ96" s="20"/>
      <c r="BR96" s="20"/>
    </row>
    <row r="97" spans="2:70" x14ac:dyDescent="0.25">
      <c r="B97" s="98" t="s">
        <v>552</v>
      </c>
      <c r="C97" s="98">
        <v>2014</v>
      </c>
      <c r="D97" s="98" t="s">
        <v>291</v>
      </c>
      <c r="E97" s="98" t="s">
        <v>2</v>
      </c>
      <c r="F97" s="98" t="s">
        <v>131</v>
      </c>
      <c r="G97" s="248">
        <v>3153.1570000000702</v>
      </c>
      <c r="H97" s="299" t="str">
        <f>VLOOKUP(LEFT('Rev Adequacy'!D97,3),'Mapping B'!$D$2:$E$400,2,0)</f>
        <v>S</v>
      </c>
      <c r="I97" s="190"/>
      <c r="J97" s="15" t="s">
        <v>212</v>
      </c>
      <c r="K97" s="190" t="s">
        <v>53</v>
      </c>
      <c r="L97" s="190">
        <f t="shared" si="41"/>
        <v>0</v>
      </c>
      <c r="O97" s="15">
        <f>_xlfn.IFNA(IF(VLOOKUP($J97&amp;O$12,'Mapping A'!$A$6:$G$1011,7,0)=1,$L97,""),0)</f>
        <v>0</v>
      </c>
      <c r="P97" s="15">
        <f>_xlfn.IFNA(IF(VLOOKUP($J97&amp;P$12,'Mapping A'!$A$6:$G$1011,7,0)=1,$L97,""),0)</f>
        <v>0</v>
      </c>
      <c r="Q97" s="15">
        <f>_xlfn.IFNA(IF(VLOOKUP($J97&amp;Q$12,'Mapping A'!$A$6:$G$1011,7,0)=1,$L97,""),0)</f>
        <v>0</v>
      </c>
      <c r="R97" s="15">
        <f>_xlfn.IFNA(IF(VLOOKUP($J97&amp;R$12,'Mapping A'!$A$6:$G$1011,7,0)=1,$L97,""),0)</f>
        <v>0</v>
      </c>
      <c r="S97" s="15">
        <f>_xlfn.IFNA(IF(VLOOKUP($J97&amp;S$12,'Mapping A'!$A$6:$G$1011,7,0)=1,$L97,""),0)</f>
        <v>0</v>
      </c>
      <c r="T97" s="15">
        <f>_xlfn.IFNA(IF(VLOOKUP($J97&amp;T$14,'Mapping A'!$A$6:$G$1011,7,0)=1,$L97,""),0)</f>
        <v>0</v>
      </c>
      <c r="U97" s="15">
        <f>_xlfn.IFNA(IF(VLOOKUP($J97&amp;U$12,'Mapping A'!$A$6:$G$1011,7,0)=1,$L97,""),0)</f>
        <v>0</v>
      </c>
      <c r="V97" s="15">
        <f>_xlfn.IFNA(IF(VLOOKUP($J97&amp;V$12,'Mapping A'!$A$6:$G$1011,7,0)=1,$L97,""),0)</f>
        <v>0</v>
      </c>
      <c r="W97" s="15">
        <f>_xlfn.IFNA(IF(VLOOKUP($J97&amp;W$12,'Mapping A'!$A$6:$G$1011,7,0)=1,$L97,""),0)</f>
        <v>0</v>
      </c>
      <c r="X97" s="15">
        <f>_xlfn.IFNA(IF(VLOOKUP($J97&amp;X$12,'Mapping A'!$A$6:$G$1011,7,0)=1,$L97,""),0)</f>
        <v>0</v>
      </c>
      <c r="Y97" s="15">
        <f>_xlfn.IFNA(IF(VLOOKUP($J97&amp;Y$12,'Mapping A'!$A$6:$G$1011,7,0)=1,$L97,""),0)</f>
        <v>0</v>
      </c>
      <c r="Z97" s="15">
        <f>_xlfn.IFNA(IF(VLOOKUP($J97&amp;Z$12,'Mapping A'!$A$6:$G$1011,7,0)=1,$L97,""),0)</f>
        <v>0</v>
      </c>
      <c r="AA97" s="15">
        <f>_xlfn.IFNA(IF(VLOOKUP($J97&amp;AA$12,'Mapping A'!$A$6:$G$1011,7,0)=1,$L97,""),0)</f>
        <v>0</v>
      </c>
      <c r="AF97" s="155" t="str">
        <f t="shared" si="49"/>
        <v>HWA0332Other</v>
      </c>
      <c r="AG97" s="15" t="s">
        <v>212</v>
      </c>
      <c r="AH97" s="190" t="s">
        <v>53</v>
      </c>
      <c r="AI97" s="190">
        <f t="shared" si="42"/>
        <v>0</v>
      </c>
      <c r="AJ97" s="292" t="s">
        <v>95</v>
      </c>
      <c r="AK97" s="15"/>
      <c r="AL97" s="15">
        <f t="shared" ca="1" si="36"/>
        <v>0</v>
      </c>
      <c r="AM97" s="15">
        <f t="shared" ca="1" si="37"/>
        <v>0</v>
      </c>
      <c r="AN97" s="15">
        <f t="shared" ca="1" si="38"/>
        <v>0</v>
      </c>
      <c r="AO97" s="15">
        <f t="shared" ca="1" si="39"/>
        <v>0</v>
      </c>
      <c r="AP97" s="15"/>
      <c r="AQ97" s="15">
        <f t="shared" ca="1" si="40"/>
        <v>0</v>
      </c>
      <c r="AR97" s="20">
        <f t="shared" ca="1" si="43"/>
        <v>0</v>
      </c>
      <c r="AS97" s="20"/>
      <c r="AT97" s="20">
        <f t="shared" ca="1" si="44"/>
        <v>0</v>
      </c>
      <c r="AU97" s="20">
        <f t="shared" ca="1" si="45"/>
        <v>0</v>
      </c>
      <c r="AV97" s="20">
        <f t="shared" ca="1" si="46"/>
        <v>0</v>
      </c>
      <c r="AW97" s="20">
        <f t="shared" si="47"/>
        <v>0</v>
      </c>
      <c r="AX97" s="20">
        <f t="shared" si="48"/>
        <v>0</v>
      </c>
      <c r="BA97" s="20"/>
      <c r="BD97" s="94" t="str">
        <f t="shared" si="52"/>
        <v>HOR0331Orion</v>
      </c>
      <c r="BF97" s="15" t="s">
        <v>25</v>
      </c>
      <c r="BG97" t="s">
        <v>207</v>
      </c>
      <c r="BH97" s="190">
        <v>23.776199999999999</v>
      </c>
      <c r="BI97" s="190">
        <v>23.7759990692138</v>
      </c>
      <c r="BJ97" s="257">
        <f t="shared" si="53"/>
        <v>0.84448871410266046</v>
      </c>
      <c r="BK97" s="257">
        <f t="shared" si="50"/>
        <v>0.92576854710265921</v>
      </c>
      <c r="BL97" s="257">
        <f t="shared" si="51"/>
        <v>0.9799551024359916</v>
      </c>
      <c r="BM97" s="342" t="str">
        <f>VLOOKUP(LEFT(BG97,3),'Mapping B'!$D$2:$E$310,2,0)</f>
        <v>S</v>
      </c>
      <c r="BO97" s="20"/>
      <c r="BP97" s="190"/>
      <c r="BQ97" s="20"/>
      <c r="BR97" s="20"/>
    </row>
    <row r="98" spans="2:70" x14ac:dyDescent="0.25">
      <c r="B98" s="98" t="s">
        <v>552</v>
      </c>
      <c r="C98" s="98">
        <v>2014</v>
      </c>
      <c r="D98" s="98" t="s">
        <v>292</v>
      </c>
      <c r="E98" s="98" t="s">
        <v>2</v>
      </c>
      <c r="F98" s="98" t="s">
        <v>131</v>
      </c>
      <c r="G98" s="248">
        <v>2798.66500000007</v>
      </c>
      <c r="H98" s="299" t="str">
        <f>VLOOKUP(LEFT('Rev Adequacy'!D98,3),'Mapping B'!$D$2:$E$400,2,0)</f>
        <v>S</v>
      </c>
      <c r="I98" s="190"/>
      <c r="J98" s="15" t="s">
        <v>213</v>
      </c>
      <c r="K98" s="190" t="s">
        <v>138</v>
      </c>
      <c r="L98" s="190">
        <f t="shared" si="41"/>
        <v>2.4780000000000002</v>
      </c>
      <c r="O98" s="15">
        <f>_xlfn.IFNA(IF(VLOOKUP($J98&amp;O$12,'Mapping A'!$A$6:$G$1011,7,0)=1,$L98,""),0)</f>
        <v>0</v>
      </c>
      <c r="P98" s="15">
        <f>_xlfn.IFNA(IF(VLOOKUP($J98&amp;P$12,'Mapping A'!$A$6:$G$1011,7,0)=1,$L98,""),0)</f>
        <v>2.4780000000000002</v>
      </c>
      <c r="Q98" s="15">
        <f>_xlfn.IFNA(IF(VLOOKUP($J98&amp;Q$12,'Mapping A'!$A$6:$G$1011,7,0)=1,$L98,""),0)</f>
        <v>2.4780000000000002</v>
      </c>
      <c r="R98" s="15">
        <f>_xlfn.IFNA(IF(VLOOKUP($J98&amp;R$12,'Mapping A'!$A$6:$G$1011,7,0)=1,$L98,""),0)</f>
        <v>0</v>
      </c>
      <c r="S98" s="15">
        <f>_xlfn.IFNA(IF(VLOOKUP($J98&amp;S$12,'Mapping A'!$A$6:$G$1011,7,0)=1,$L98,""),0)</f>
        <v>0</v>
      </c>
      <c r="T98" s="15">
        <f>_xlfn.IFNA(IF(VLOOKUP($J98&amp;T$14,'Mapping A'!$A$6:$G$1011,7,0)=1,$L98,""),0)</f>
        <v>0</v>
      </c>
      <c r="U98" s="15">
        <f>_xlfn.IFNA(IF(VLOOKUP($J98&amp;U$12,'Mapping A'!$A$6:$G$1011,7,0)=1,$L98,""),0)</f>
        <v>0</v>
      </c>
      <c r="V98" s="15">
        <f>_xlfn.IFNA(IF(VLOOKUP($J98&amp;V$12,'Mapping A'!$A$6:$G$1011,7,0)=1,$L98,""),0)</f>
        <v>0</v>
      </c>
      <c r="W98" s="15">
        <f>_xlfn.IFNA(IF(VLOOKUP($J98&amp;W$12,'Mapping A'!$A$6:$G$1011,7,0)=1,$L98,""),0)</f>
        <v>0</v>
      </c>
      <c r="X98" s="15">
        <f>_xlfn.IFNA(IF(VLOOKUP($J98&amp;X$12,'Mapping A'!$A$6:$G$1011,7,0)=1,$L98,""),0)</f>
        <v>0</v>
      </c>
      <c r="Y98" s="15">
        <f>_xlfn.IFNA(IF(VLOOKUP($J98&amp;Y$12,'Mapping A'!$A$6:$G$1011,7,0)=1,$L98,""),0)</f>
        <v>0</v>
      </c>
      <c r="Z98" s="15">
        <f>_xlfn.IFNA(IF(VLOOKUP($J98&amp;Z$12,'Mapping A'!$A$6:$G$1011,7,0)=1,$L98,""),0)</f>
        <v>2.4780000000000002</v>
      </c>
      <c r="AA98" s="15">
        <f>_xlfn.IFNA(IF(VLOOKUP($J98&amp;AA$12,'Mapping A'!$A$6:$G$1011,7,0)=1,$L98,""),0)</f>
        <v>0</v>
      </c>
      <c r="AF98" s="155" t="str">
        <f t="shared" si="49"/>
        <v>HWA1101TrustPower</v>
      </c>
      <c r="AG98" s="15" t="s">
        <v>213</v>
      </c>
      <c r="AH98" s="190" t="s">
        <v>138</v>
      </c>
      <c r="AI98" s="190">
        <f t="shared" si="42"/>
        <v>2.4780000000000002</v>
      </c>
      <c r="AJ98" s="292" t="s">
        <v>95</v>
      </c>
      <c r="AK98" s="15"/>
      <c r="AL98" s="15">
        <f t="shared" ca="1" si="36"/>
        <v>0</v>
      </c>
      <c r="AM98" s="15">
        <f t="shared" ca="1" si="37"/>
        <v>0</v>
      </c>
      <c r="AN98" s="15">
        <f t="shared" ca="1" si="38"/>
        <v>0</v>
      </c>
      <c r="AO98" s="15">
        <f t="shared" ca="1" si="39"/>
        <v>0</v>
      </c>
      <c r="AP98" s="15"/>
      <c r="AQ98" s="15">
        <f t="shared" ca="1" si="40"/>
        <v>0</v>
      </c>
      <c r="AR98" s="20">
        <f t="shared" ca="1" si="43"/>
        <v>0</v>
      </c>
      <c r="AS98" s="20"/>
      <c r="AT98" s="20">
        <f t="shared" ca="1" si="44"/>
        <v>0</v>
      </c>
      <c r="AU98" s="20">
        <f t="shared" ca="1" si="45"/>
        <v>0</v>
      </c>
      <c r="AV98" s="20">
        <f t="shared" ca="1" si="46"/>
        <v>0</v>
      </c>
      <c r="AW98" s="20">
        <f t="shared" si="47"/>
        <v>0</v>
      </c>
      <c r="AX98" s="20">
        <f t="shared" si="48"/>
        <v>0</v>
      </c>
      <c r="BA98" s="20"/>
      <c r="BD98" s="94" t="str">
        <f t="shared" si="52"/>
        <v>HOR0661Orion</v>
      </c>
      <c r="BF98" s="15" t="s">
        <v>25</v>
      </c>
      <c r="BG98" t="s">
        <v>208</v>
      </c>
      <c r="BH98" s="190">
        <v>30.5928</v>
      </c>
      <c r="BI98" s="190">
        <v>30.433000564575099</v>
      </c>
      <c r="BJ98" s="257">
        <f t="shared" si="53"/>
        <v>1.0866023305995016</v>
      </c>
      <c r="BK98" s="257">
        <f t="shared" si="50"/>
        <v>1.1911849668072372</v>
      </c>
      <c r="BL98" s="257">
        <f t="shared" si="51"/>
        <v>1.2609067242790608</v>
      </c>
      <c r="BM98" s="342" t="str">
        <f>VLOOKUP(LEFT(BG98,3),'Mapping B'!$D$2:$E$310,2,0)</f>
        <v>S</v>
      </c>
      <c r="BO98" s="20"/>
      <c r="BP98" s="190"/>
      <c r="BQ98" s="20"/>
      <c r="BR98" s="20"/>
    </row>
    <row r="99" spans="2:70" x14ac:dyDescent="0.25">
      <c r="B99" s="98" t="s">
        <v>552</v>
      </c>
      <c r="C99" s="98">
        <v>2014</v>
      </c>
      <c r="D99" s="98" t="s">
        <v>382</v>
      </c>
      <c r="E99" s="98" t="s">
        <v>2</v>
      </c>
      <c r="F99" s="98" t="s">
        <v>131</v>
      </c>
      <c r="G99" s="248">
        <v>4649.4620000000004</v>
      </c>
      <c r="H99" s="299" t="str">
        <f>VLOOKUP(LEFT('Rev Adequacy'!D99,3),'Mapping B'!$D$2:$E$400,2,0)</f>
        <v>S</v>
      </c>
      <c r="I99" s="190"/>
      <c r="J99" s="15" t="s">
        <v>217</v>
      </c>
      <c r="K99" s="190" t="s">
        <v>14</v>
      </c>
      <c r="L99" s="190">
        <f t="shared" si="41"/>
        <v>8.6226000000000003</v>
      </c>
      <c r="O99" s="15">
        <f>_xlfn.IFNA(IF(VLOOKUP($J99&amp;O$12,'Mapping A'!$A$6:$G$1011,7,0)=1,$L99,""),0)</f>
        <v>0</v>
      </c>
      <c r="P99" s="15">
        <f>_xlfn.IFNA(IF(VLOOKUP($J99&amp;P$12,'Mapping A'!$A$6:$G$1011,7,0)=1,$L99,""),0)</f>
        <v>8.6226000000000003</v>
      </c>
      <c r="Q99" s="15">
        <f>_xlfn.IFNA(IF(VLOOKUP($J99&amp;Q$12,'Mapping A'!$A$6:$G$1011,7,0)=1,$L99,""),0)</f>
        <v>8.6226000000000003</v>
      </c>
      <c r="R99" s="15">
        <f>_xlfn.IFNA(IF(VLOOKUP($J99&amp;R$12,'Mapping A'!$A$6:$G$1011,7,0)=1,$L99,""),0)</f>
        <v>0</v>
      </c>
      <c r="S99" s="15">
        <f>_xlfn.IFNA(IF(VLOOKUP($J99&amp;S$12,'Mapping A'!$A$6:$G$1011,7,0)=1,$L99,""),0)</f>
        <v>0</v>
      </c>
      <c r="T99" s="15">
        <f>_xlfn.IFNA(IF(VLOOKUP($J99&amp;T$14,'Mapping A'!$A$6:$G$1011,7,0)=1,$L99,""),0)</f>
        <v>0</v>
      </c>
      <c r="U99" s="15">
        <f>_xlfn.IFNA(IF(VLOOKUP($J99&amp;U$12,'Mapping A'!$A$6:$G$1011,7,0)=1,$L99,""),0)</f>
        <v>0</v>
      </c>
      <c r="V99" s="15">
        <f>_xlfn.IFNA(IF(VLOOKUP($J99&amp;V$12,'Mapping A'!$A$6:$G$1011,7,0)=1,$L99,""),0)</f>
        <v>0</v>
      </c>
      <c r="W99" s="15">
        <f>_xlfn.IFNA(IF(VLOOKUP($J99&amp;W$12,'Mapping A'!$A$6:$G$1011,7,0)=1,$L99,""),0)</f>
        <v>0</v>
      </c>
      <c r="X99" s="15">
        <f>_xlfn.IFNA(IF(VLOOKUP($J99&amp;X$12,'Mapping A'!$A$6:$G$1011,7,0)=1,$L99,""),0)</f>
        <v>0</v>
      </c>
      <c r="Y99" s="15">
        <f>_xlfn.IFNA(IF(VLOOKUP($J99&amp;Y$12,'Mapping A'!$A$6:$G$1011,7,0)=1,$L99,""),0)</f>
        <v>0</v>
      </c>
      <c r="Z99" s="15">
        <f>_xlfn.IFNA(IF(VLOOKUP($J99&amp;Z$12,'Mapping A'!$A$6:$G$1011,7,0)=1,$L99,""),0)</f>
        <v>8.6226000000000003</v>
      </c>
      <c r="AA99" s="15">
        <f>_xlfn.IFNA(IF(VLOOKUP($J99&amp;AA$12,'Mapping A'!$A$6:$G$1011,7,0)=1,$L99,""),0)</f>
        <v>0</v>
      </c>
      <c r="AF99" s="155" t="str">
        <f t="shared" si="49"/>
        <v>HWA1102Meridian</v>
      </c>
      <c r="AG99" s="15" t="s">
        <v>217</v>
      </c>
      <c r="AH99" s="190" t="s">
        <v>14</v>
      </c>
      <c r="AI99" s="190">
        <f t="shared" si="42"/>
        <v>8.6226000000000003</v>
      </c>
      <c r="AJ99" s="292" t="s">
        <v>95</v>
      </c>
      <c r="AK99" s="15"/>
      <c r="AL99" s="15">
        <f t="shared" ca="1" si="36"/>
        <v>0</v>
      </c>
      <c r="AM99" s="15">
        <f t="shared" ca="1" si="37"/>
        <v>0</v>
      </c>
      <c r="AN99" s="15">
        <f t="shared" ca="1" si="38"/>
        <v>0</v>
      </c>
      <c r="AO99" s="15">
        <f t="shared" ca="1" si="39"/>
        <v>0</v>
      </c>
      <c r="AP99" s="15"/>
      <c r="AQ99" s="15">
        <f t="shared" ca="1" si="40"/>
        <v>0</v>
      </c>
      <c r="AR99" s="20">
        <f t="shared" ca="1" si="43"/>
        <v>0</v>
      </c>
      <c r="AS99" s="20"/>
      <c r="AT99" s="20">
        <f t="shared" ca="1" si="44"/>
        <v>0</v>
      </c>
      <c r="AU99" s="20">
        <f t="shared" ca="1" si="45"/>
        <v>0</v>
      </c>
      <c r="AV99" s="20">
        <f t="shared" ca="1" si="46"/>
        <v>0</v>
      </c>
      <c r="AW99" s="20">
        <f t="shared" si="47"/>
        <v>0</v>
      </c>
      <c r="AX99" s="20">
        <f t="shared" si="48"/>
        <v>0</v>
      </c>
      <c r="BA99" s="20"/>
      <c r="BD99" s="94" t="str">
        <f t="shared" si="52"/>
        <v>HTI0331The Lines Company</v>
      </c>
      <c r="BF99" s="15" t="s">
        <v>32</v>
      </c>
      <c r="BG99" t="s">
        <v>209</v>
      </c>
      <c r="BH99" s="190">
        <v>35.250599999999999</v>
      </c>
      <c r="BI99" s="190">
        <v>34.370998382568303</v>
      </c>
      <c r="BJ99" s="257">
        <f t="shared" si="53"/>
        <v>1.2520391763758398</v>
      </c>
      <c r="BK99" s="257">
        <f t="shared" si="50"/>
        <v>1.3725446768826388</v>
      </c>
      <c r="BL99" s="257">
        <f t="shared" si="51"/>
        <v>1.4528816772205047</v>
      </c>
      <c r="BM99" s="342" t="str">
        <f>VLOOKUP(LEFT(BG99,3),'Mapping B'!$D$2:$E$310,2,0)</f>
        <v>N</v>
      </c>
      <c r="BO99" s="20"/>
      <c r="BP99" s="190"/>
      <c r="BQ99" s="20"/>
      <c r="BR99" s="20"/>
    </row>
    <row r="100" spans="2:70" x14ac:dyDescent="0.25">
      <c r="B100" s="98" t="s">
        <v>553</v>
      </c>
      <c r="C100" s="98">
        <v>2014</v>
      </c>
      <c r="D100" s="98" t="s">
        <v>291</v>
      </c>
      <c r="E100" s="98" t="s">
        <v>2</v>
      </c>
      <c r="F100" s="98" t="s">
        <v>131</v>
      </c>
      <c r="G100" s="248">
        <v>8155.52699999985</v>
      </c>
      <c r="H100" s="299" t="str">
        <f>VLOOKUP(LEFT('Rev Adequacy'!D100,3),'Mapping B'!$D$2:$E$400,2,0)</f>
        <v>S</v>
      </c>
      <c r="I100" s="190"/>
      <c r="J100" s="15" t="s">
        <v>220</v>
      </c>
      <c r="K100" s="190" t="s">
        <v>1</v>
      </c>
      <c r="L100" s="190">
        <f t="shared" si="41"/>
        <v>87.240300000000005</v>
      </c>
      <c r="O100" s="15">
        <f>_xlfn.IFNA(IF(VLOOKUP($J100&amp;O$12,'Mapping A'!$A$6:$G$1011,7,0)=1,$L100,""),0)</f>
        <v>0</v>
      </c>
      <c r="P100" s="15">
        <f>_xlfn.IFNA(IF(VLOOKUP($J100&amp;P$12,'Mapping A'!$A$6:$G$1011,7,0)=1,$L100,""),0)</f>
        <v>87.240300000000005</v>
      </c>
      <c r="Q100" s="15">
        <f>_xlfn.IFNA(IF(VLOOKUP($J100&amp;Q$12,'Mapping A'!$A$6:$G$1011,7,0)=1,$L100,""),0)</f>
        <v>0</v>
      </c>
      <c r="R100" s="15">
        <f>_xlfn.IFNA(IF(VLOOKUP($J100&amp;R$12,'Mapping A'!$A$6:$G$1011,7,0)=1,$L100,""),0)</f>
        <v>0</v>
      </c>
      <c r="S100" s="15">
        <f>_xlfn.IFNA(IF(VLOOKUP($J100&amp;S$12,'Mapping A'!$A$6:$G$1011,7,0)=1,$L100,""),0)</f>
        <v>0</v>
      </c>
      <c r="T100" s="15">
        <f>_xlfn.IFNA(IF(VLOOKUP($J100&amp;T$14,'Mapping A'!$A$6:$G$1011,7,0)=1,$L100,""),0)</f>
        <v>0</v>
      </c>
      <c r="U100" s="15">
        <f>_xlfn.IFNA(IF(VLOOKUP($J100&amp;U$12,'Mapping A'!$A$6:$G$1011,7,0)=1,$L100,""),0)</f>
        <v>0</v>
      </c>
      <c r="V100" s="15">
        <f>_xlfn.IFNA(IF(VLOOKUP($J100&amp;V$12,'Mapping A'!$A$6:$G$1011,7,0)=1,$L100,""),0)</f>
        <v>0</v>
      </c>
      <c r="W100" s="15">
        <f>_xlfn.IFNA(IF(VLOOKUP($J100&amp;W$12,'Mapping A'!$A$6:$G$1011,7,0)=1,$L100,""),0)</f>
        <v>0</v>
      </c>
      <c r="X100" s="15">
        <f>_xlfn.IFNA(IF(VLOOKUP($J100&amp;X$12,'Mapping A'!$A$6:$G$1011,7,0)=1,$L100,""),0)</f>
        <v>0</v>
      </c>
      <c r="Y100" s="15">
        <f>_xlfn.IFNA(IF(VLOOKUP($J100&amp;Y$12,'Mapping A'!$A$6:$G$1011,7,0)=1,$L100,""),0)</f>
        <v>0</v>
      </c>
      <c r="Z100" s="15">
        <f>_xlfn.IFNA(IF(VLOOKUP($J100&amp;Z$12,'Mapping A'!$A$6:$G$1011,7,0)=1,$L100,""),0)</f>
        <v>0</v>
      </c>
      <c r="AA100" s="15">
        <f>_xlfn.IFNA(IF(VLOOKUP($J100&amp;AA$12,'Mapping A'!$A$6:$G$1011,7,0)=1,$L100,""),0)</f>
        <v>0</v>
      </c>
      <c r="AF100" s="155" t="str">
        <f t="shared" si="49"/>
        <v>HWB0331Aurora Energy</v>
      </c>
      <c r="AG100" s="15" t="s">
        <v>220</v>
      </c>
      <c r="AH100" s="190" t="s">
        <v>1</v>
      </c>
      <c r="AI100" s="190">
        <f t="shared" si="42"/>
        <v>87.240300000000005</v>
      </c>
      <c r="AJ100" s="292" t="s">
        <v>96</v>
      </c>
      <c r="AK100" s="15"/>
      <c r="AL100" s="15">
        <f t="shared" ca="1" si="36"/>
        <v>0</v>
      </c>
      <c r="AM100" s="15">
        <f t="shared" ca="1" si="37"/>
        <v>0</v>
      </c>
      <c r="AN100" s="15">
        <f t="shared" ca="1" si="38"/>
        <v>0</v>
      </c>
      <c r="AO100" s="15">
        <f t="shared" ca="1" si="39"/>
        <v>0</v>
      </c>
      <c r="AP100" s="15"/>
      <c r="AQ100" s="15">
        <f t="shared" ca="1" si="40"/>
        <v>0</v>
      </c>
      <c r="AR100" s="20">
        <f t="shared" ca="1" si="43"/>
        <v>0</v>
      </c>
      <c r="AS100" s="20"/>
      <c r="AT100" s="20">
        <f t="shared" ca="1" si="44"/>
        <v>0</v>
      </c>
      <c r="AU100" s="20">
        <f t="shared" ca="1" si="45"/>
        <v>0</v>
      </c>
      <c r="AV100" s="20">
        <f t="shared" ca="1" si="46"/>
        <v>0</v>
      </c>
      <c r="AW100" s="20">
        <f t="shared" si="47"/>
        <v>0</v>
      </c>
      <c r="AX100" s="20">
        <f t="shared" si="48"/>
        <v>0</v>
      </c>
      <c r="BA100" s="20"/>
      <c r="BD100" s="94" t="str">
        <f t="shared" si="52"/>
        <v>HUI0331Powerco</v>
      </c>
      <c r="BF100" s="15" t="s">
        <v>28</v>
      </c>
      <c r="BG100" t="s">
        <v>210</v>
      </c>
      <c r="BH100" s="190">
        <v>36.758400000000002</v>
      </c>
      <c r="BI100" s="190">
        <v>34.534999847412102</v>
      </c>
      <c r="BJ100" s="257">
        <f t="shared" si="53"/>
        <v>1.305593574602806</v>
      </c>
      <c r="BK100" s="257">
        <f t="shared" si="50"/>
        <v>1.4312535460594371</v>
      </c>
      <c r="BL100" s="257">
        <f t="shared" si="51"/>
        <v>1.5150268603638579</v>
      </c>
      <c r="BM100" s="342" t="str">
        <f>VLOOKUP(LEFT(BG100,3),'Mapping B'!$D$2:$E$310,2,0)</f>
        <v>N</v>
      </c>
      <c r="BO100" s="20"/>
      <c r="BP100" s="190"/>
      <c r="BQ100" s="20"/>
      <c r="BR100" s="20"/>
    </row>
    <row r="101" spans="2:70" x14ac:dyDescent="0.25">
      <c r="B101" s="98" t="s">
        <v>553</v>
      </c>
      <c r="C101" s="98">
        <v>2014</v>
      </c>
      <c r="D101" s="98" t="s">
        <v>292</v>
      </c>
      <c r="E101" s="98" t="s">
        <v>2</v>
      </c>
      <c r="F101" s="98" t="s">
        <v>131</v>
      </c>
      <c r="G101" s="248">
        <v>7736.0009999998802</v>
      </c>
      <c r="H101" s="299" t="str">
        <f>VLOOKUP(LEFT('Rev Adequacy'!D101,3),'Mapping B'!$D$2:$E$400,2,0)</f>
        <v>S</v>
      </c>
      <c r="I101" s="190"/>
      <c r="J101" s="15" t="s">
        <v>220</v>
      </c>
      <c r="K101" s="190" t="s">
        <v>103</v>
      </c>
      <c r="L101" s="190">
        <f t="shared" si="41"/>
        <v>4.8048000000000002</v>
      </c>
      <c r="O101" s="15">
        <f>_xlfn.IFNA(IF(VLOOKUP($J101&amp;O$12,'Mapping A'!$A$6:$G$1011,7,0)=1,$L101,""),0)</f>
        <v>0</v>
      </c>
      <c r="P101" s="15">
        <f>_xlfn.IFNA(IF(VLOOKUP($J101&amp;P$12,'Mapping A'!$A$6:$G$1011,7,0)=1,$L101,""),0)</f>
        <v>4.8048000000000002</v>
      </c>
      <c r="Q101" s="15">
        <f>_xlfn.IFNA(IF(VLOOKUP($J101&amp;Q$12,'Mapping A'!$A$6:$G$1011,7,0)=1,$L101,""),0)</f>
        <v>0</v>
      </c>
      <c r="R101" s="15">
        <f>_xlfn.IFNA(IF(VLOOKUP($J101&amp;R$12,'Mapping A'!$A$6:$G$1011,7,0)=1,$L101,""),0)</f>
        <v>0</v>
      </c>
      <c r="S101" s="15">
        <f>_xlfn.IFNA(IF(VLOOKUP($J101&amp;S$12,'Mapping A'!$A$6:$G$1011,7,0)=1,$L101,""),0)</f>
        <v>0</v>
      </c>
      <c r="T101" s="15">
        <f>_xlfn.IFNA(IF(VLOOKUP($J101&amp;T$14,'Mapping A'!$A$6:$G$1011,7,0)=1,$L101,""),0)</f>
        <v>0</v>
      </c>
      <c r="U101" s="15">
        <f>_xlfn.IFNA(IF(VLOOKUP($J101&amp;U$12,'Mapping A'!$A$6:$G$1011,7,0)=1,$L101,""),0)</f>
        <v>0</v>
      </c>
      <c r="V101" s="15">
        <f>_xlfn.IFNA(IF(VLOOKUP($J101&amp;V$12,'Mapping A'!$A$6:$G$1011,7,0)=1,$L101,""),0)</f>
        <v>0</v>
      </c>
      <c r="W101" s="15">
        <f>_xlfn.IFNA(IF(VLOOKUP($J101&amp;W$12,'Mapping A'!$A$6:$G$1011,7,0)=1,$L101,""),0)</f>
        <v>0</v>
      </c>
      <c r="X101" s="15">
        <f>_xlfn.IFNA(IF(VLOOKUP($J101&amp;X$12,'Mapping A'!$A$6:$G$1011,7,0)=1,$L101,""),0)</f>
        <v>0</v>
      </c>
      <c r="Y101" s="15">
        <f>_xlfn.IFNA(IF(VLOOKUP($J101&amp;Y$12,'Mapping A'!$A$6:$G$1011,7,0)=1,$L101,""),0)</f>
        <v>0</v>
      </c>
      <c r="Z101" s="15">
        <f>_xlfn.IFNA(IF(VLOOKUP($J101&amp;Z$12,'Mapping A'!$A$6:$G$1011,7,0)=1,$L101,""),0)</f>
        <v>0</v>
      </c>
      <c r="AA101" s="15">
        <f>_xlfn.IFNA(IF(VLOOKUP($J101&amp;AA$12,'Mapping A'!$A$6:$G$1011,7,0)=1,$L101,""),0)</f>
        <v>0</v>
      </c>
      <c r="AF101" s="155" t="str">
        <f t="shared" si="49"/>
        <v>HWB0331OtagoNet JV</v>
      </c>
      <c r="AG101" s="15" t="s">
        <v>220</v>
      </c>
      <c r="AH101" s="190" t="s">
        <v>103</v>
      </c>
      <c r="AI101" s="190">
        <f t="shared" si="42"/>
        <v>4.8048000000000002</v>
      </c>
      <c r="AJ101" s="292" t="s">
        <v>96</v>
      </c>
      <c r="AK101" s="15"/>
      <c r="AL101" s="15">
        <f t="shared" ca="1" si="36"/>
        <v>0</v>
      </c>
      <c r="AM101" s="15">
        <f t="shared" ca="1" si="37"/>
        <v>0</v>
      </c>
      <c r="AN101" s="15">
        <f t="shared" ca="1" si="38"/>
        <v>0</v>
      </c>
      <c r="AO101" s="15">
        <f t="shared" ca="1" si="39"/>
        <v>0</v>
      </c>
      <c r="AP101" s="15"/>
      <c r="AQ101" s="15">
        <f t="shared" ca="1" si="40"/>
        <v>0</v>
      </c>
      <c r="AR101" s="20">
        <f t="shared" ca="1" si="43"/>
        <v>0</v>
      </c>
      <c r="AS101" s="20"/>
      <c r="AT101" s="20">
        <f t="shared" ca="1" si="44"/>
        <v>0</v>
      </c>
      <c r="AU101" s="20">
        <f t="shared" ca="1" si="45"/>
        <v>0</v>
      </c>
      <c r="AV101" s="20">
        <f t="shared" ca="1" si="46"/>
        <v>0</v>
      </c>
      <c r="AW101" s="20">
        <f t="shared" si="47"/>
        <v>0</v>
      </c>
      <c r="AX101" s="20">
        <f t="shared" si="48"/>
        <v>0</v>
      </c>
      <c r="BA101" s="20"/>
      <c r="BD101" s="94" t="str">
        <f t="shared" si="52"/>
        <v>HWA0331Powerco</v>
      </c>
      <c r="BF101" s="15" t="s">
        <v>28</v>
      </c>
      <c r="BG101" t="s">
        <v>211</v>
      </c>
      <c r="BH101" s="190">
        <v>29.015700000000002</v>
      </c>
      <c r="BI101" s="190">
        <v>28.923000335693299</v>
      </c>
      <c r="BJ101" s="257">
        <f t="shared" si="53"/>
        <v>1.0305865185264496</v>
      </c>
      <c r="BK101" s="257">
        <f t="shared" si="50"/>
        <v>1.1297777791306698</v>
      </c>
      <c r="BL101" s="257">
        <f t="shared" si="51"/>
        <v>1.19590528620015</v>
      </c>
      <c r="BM101" s="342" t="str">
        <f>VLOOKUP(LEFT(BG101,3),'Mapping B'!$D$2:$E$310,2,0)</f>
        <v>N</v>
      </c>
      <c r="BO101" s="20"/>
      <c r="BP101" s="190"/>
      <c r="BQ101" s="20"/>
      <c r="BR101" s="20"/>
    </row>
    <row r="102" spans="2:70" x14ac:dyDescent="0.25">
      <c r="B102" s="98" t="s">
        <v>553</v>
      </c>
      <c r="C102" s="98">
        <v>2014</v>
      </c>
      <c r="D102" s="98" t="s">
        <v>382</v>
      </c>
      <c r="E102" s="98" t="s">
        <v>2</v>
      </c>
      <c r="F102" s="98" t="s">
        <v>131</v>
      </c>
      <c r="G102" s="248">
        <v>16820.0709999996</v>
      </c>
      <c r="H102" s="299" t="str">
        <f>VLOOKUP(LEFT('Rev Adequacy'!D102,3),'Mapping B'!$D$2:$E$400,2,0)</f>
        <v>S</v>
      </c>
      <c r="I102" s="190"/>
      <c r="J102" s="15" t="s">
        <v>222</v>
      </c>
      <c r="K102" s="190" t="s">
        <v>1</v>
      </c>
      <c r="L102" s="190">
        <f t="shared" si="41"/>
        <v>49.578900000000004</v>
      </c>
      <c r="O102" s="15">
        <f>_xlfn.IFNA(IF(VLOOKUP($J102&amp;O$12,'Mapping A'!$A$6:$G$1011,7,0)=1,$L102,""),0)</f>
        <v>0</v>
      </c>
      <c r="P102" s="15">
        <f>_xlfn.IFNA(IF(VLOOKUP($J102&amp;P$12,'Mapping A'!$A$6:$G$1011,7,0)=1,$L102,""),0)</f>
        <v>49.578900000000004</v>
      </c>
      <c r="Q102" s="15">
        <f>_xlfn.IFNA(IF(VLOOKUP($J102&amp;Q$12,'Mapping A'!$A$6:$G$1011,7,0)=1,$L102,""),0)</f>
        <v>0</v>
      </c>
      <c r="R102" s="15">
        <f>_xlfn.IFNA(IF(VLOOKUP($J102&amp;R$12,'Mapping A'!$A$6:$G$1011,7,0)=1,$L102,""),0)</f>
        <v>0</v>
      </c>
      <c r="S102" s="15">
        <f>_xlfn.IFNA(IF(VLOOKUP($J102&amp;S$12,'Mapping A'!$A$6:$G$1011,7,0)=1,$L102,""),0)</f>
        <v>0</v>
      </c>
      <c r="T102" s="15">
        <f>_xlfn.IFNA(IF(VLOOKUP($J102&amp;T$14,'Mapping A'!$A$6:$G$1011,7,0)=1,$L102,""),0)</f>
        <v>0</v>
      </c>
      <c r="U102" s="15">
        <f>_xlfn.IFNA(IF(VLOOKUP($J102&amp;U$12,'Mapping A'!$A$6:$G$1011,7,0)=1,$L102,""),0)</f>
        <v>0</v>
      </c>
      <c r="V102" s="15">
        <f>_xlfn.IFNA(IF(VLOOKUP($J102&amp;V$12,'Mapping A'!$A$6:$G$1011,7,0)=1,$L102,""),0)</f>
        <v>0</v>
      </c>
      <c r="W102" s="15">
        <f>_xlfn.IFNA(IF(VLOOKUP($J102&amp;W$12,'Mapping A'!$A$6:$G$1011,7,0)=1,$L102,""),0)</f>
        <v>0</v>
      </c>
      <c r="X102" s="15">
        <f>_xlfn.IFNA(IF(VLOOKUP($J102&amp;X$12,'Mapping A'!$A$6:$G$1011,7,0)=1,$L102,""),0)</f>
        <v>0</v>
      </c>
      <c r="Y102" s="15">
        <f>_xlfn.IFNA(IF(VLOOKUP($J102&amp;Y$12,'Mapping A'!$A$6:$G$1011,7,0)=1,$L102,""),0)</f>
        <v>0</v>
      </c>
      <c r="Z102" s="15">
        <f>_xlfn.IFNA(IF(VLOOKUP($J102&amp;Z$12,'Mapping A'!$A$6:$G$1011,7,0)=1,$L102,""),0)</f>
        <v>0</v>
      </c>
      <c r="AA102" s="15">
        <f>_xlfn.IFNA(IF(VLOOKUP($J102&amp;AA$12,'Mapping A'!$A$6:$G$1011,7,0)=1,$L102,""),0)</f>
        <v>0</v>
      </c>
      <c r="AF102" s="155" t="str">
        <f t="shared" si="49"/>
        <v>HWB0332Aurora Energy</v>
      </c>
      <c r="AG102" s="15" t="s">
        <v>222</v>
      </c>
      <c r="AH102" s="190" t="s">
        <v>1</v>
      </c>
      <c r="AI102" s="190">
        <f t="shared" si="42"/>
        <v>49.578900000000004</v>
      </c>
      <c r="AJ102" s="292" t="s">
        <v>96</v>
      </c>
      <c r="AK102" s="15"/>
      <c r="AL102" s="15">
        <f t="shared" ca="1" si="36"/>
        <v>0</v>
      </c>
      <c r="AM102" s="15">
        <f t="shared" ca="1" si="37"/>
        <v>0</v>
      </c>
      <c r="AN102" s="15">
        <f t="shared" ca="1" si="38"/>
        <v>0</v>
      </c>
      <c r="AO102" s="15">
        <f t="shared" ca="1" si="39"/>
        <v>0</v>
      </c>
      <c r="AP102" s="15"/>
      <c r="AQ102" s="15">
        <f t="shared" ca="1" si="40"/>
        <v>0</v>
      </c>
      <c r="AR102" s="20">
        <f t="shared" ca="1" si="43"/>
        <v>0</v>
      </c>
      <c r="AS102" s="20"/>
      <c r="AT102" s="20">
        <f t="shared" ca="1" si="44"/>
        <v>0</v>
      </c>
      <c r="AU102" s="20">
        <f t="shared" ca="1" si="45"/>
        <v>0</v>
      </c>
      <c r="AV102" s="20">
        <f t="shared" ca="1" si="46"/>
        <v>0</v>
      </c>
      <c r="AW102" s="20">
        <f t="shared" si="47"/>
        <v>0</v>
      </c>
      <c r="AX102" s="20">
        <f t="shared" si="48"/>
        <v>0</v>
      </c>
      <c r="BA102" s="20"/>
      <c r="BD102" s="94" t="str">
        <f t="shared" si="52"/>
        <v>HWA0332Other</v>
      </c>
      <c r="BF102" s="15" t="s">
        <v>53</v>
      </c>
      <c r="BG102" t="s">
        <v>212</v>
      </c>
      <c r="BH102" s="190"/>
      <c r="BI102" s="190">
        <v>9.6750001907348597</v>
      </c>
      <c r="BJ102" s="257">
        <f t="shared" si="53"/>
        <v>0</v>
      </c>
      <c r="BK102" s="257">
        <f t="shared" si="50"/>
        <v>0</v>
      </c>
      <c r="BL102" s="257">
        <f t="shared" si="51"/>
        <v>0</v>
      </c>
      <c r="BM102" s="342" t="str">
        <f>VLOOKUP(LEFT(BG102,3),'Mapping B'!$D$2:$E$310,2,0)</f>
        <v>N</v>
      </c>
      <c r="BO102" s="20"/>
      <c r="BP102" s="190"/>
      <c r="BQ102" s="20"/>
      <c r="BR102" s="20"/>
    </row>
    <row r="103" spans="2:70" x14ac:dyDescent="0.25">
      <c r="B103" s="98" t="s">
        <v>554</v>
      </c>
      <c r="C103" s="98">
        <v>2014</v>
      </c>
      <c r="D103" s="98" t="s">
        <v>291</v>
      </c>
      <c r="E103" s="98" t="s">
        <v>2</v>
      </c>
      <c r="F103" s="98" t="s">
        <v>131</v>
      </c>
      <c r="G103" s="98">
        <v>13782.778</v>
      </c>
      <c r="H103" s="299" t="str">
        <f>VLOOKUP(LEFT('Rev Adequacy'!D103,3),'Mapping B'!$D$2:$E$400,2,0)</f>
        <v>S</v>
      </c>
      <c r="I103" s="190"/>
      <c r="J103" s="15" t="s">
        <v>223</v>
      </c>
      <c r="K103" s="190" t="s">
        <v>103</v>
      </c>
      <c r="L103" s="190">
        <f t="shared" si="41"/>
        <v>5.9619</v>
      </c>
      <c r="O103" s="15">
        <f>_xlfn.IFNA(IF(VLOOKUP($J103&amp;O$12,'Mapping A'!$A$6:$G$1011,7,0)=1,$L103,""),0)</f>
        <v>0</v>
      </c>
      <c r="P103" s="15">
        <f>_xlfn.IFNA(IF(VLOOKUP($J103&amp;P$12,'Mapping A'!$A$6:$G$1011,7,0)=1,$L103,""),0)</f>
        <v>5.9619</v>
      </c>
      <c r="Q103" s="15">
        <f>_xlfn.IFNA(IF(VLOOKUP($J103&amp;Q$12,'Mapping A'!$A$6:$G$1011,7,0)=1,$L103,""),0)</f>
        <v>0</v>
      </c>
      <c r="R103" s="15">
        <f>_xlfn.IFNA(IF(VLOOKUP($J103&amp;R$12,'Mapping A'!$A$6:$G$1011,7,0)=1,$L103,""),0)</f>
        <v>0</v>
      </c>
      <c r="S103" s="15">
        <f>_xlfn.IFNA(IF(VLOOKUP($J103&amp;S$12,'Mapping A'!$A$6:$G$1011,7,0)=1,$L103,""),0)</f>
        <v>0</v>
      </c>
      <c r="T103" s="15">
        <f>_xlfn.IFNA(IF(VLOOKUP($J103&amp;T$14,'Mapping A'!$A$6:$G$1011,7,0)=1,$L103,""),0)</f>
        <v>0</v>
      </c>
      <c r="U103" s="15">
        <f>_xlfn.IFNA(IF(VLOOKUP($J103&amp;U$12,'Mapping A'!$A$6:$G$1011,7,0)=1,$L103,""),0)</f>
        <v>0</v>
      </c>
      <c r="V103" s="15">
        <f>_xlfn.IFNA(IF(VLOOKUP($J103&amp;V$12,'Mapping A'!$A$6:$G$1011,7,0)=1,$L103,""),0)</f>
        <v>0</v>
      </c>
      <c r="W103" s="15">
        <f>_xlfn.IFNA(IF(VLOOKUP($J103&amp;W$12,'Mapping A'!$A$6:$G$1011,7,0)=1,$L103,""),0)</f>
        <v>0</v>
      </c>
      <c r="X103" s="15">
        <f>_xlfn.IFNA(IF(VLOOKUP($J103&amp;X$12,'Mapping A'!$A$6:$G$1011,7,0)=1,$L103,""),0)</f>
        <v>0</v>
      </c>
      <c r="Y103" s="15">
        <f>_xlfn.IFNA(IF(VLOOKUP($J103&amp;Y$12,'Mapping A'!$A$6:$G$1011,7,0)=1,$L103,""),0)</f>
        <v>0</v>
      </c>
      <c r="Z103" s="15">
        <f>_xlfn.IFNA(IF(VLOOKUP($J103&amp;Z$12,'Mapping A'!$A$6:$G$1011,7,0)=1,$L103,""),0)</f>
        <v>0</v>
      </c>
      <c r="AA103" s="15">
        <f>_xlfn.IFNA(IF(VLOOKUP($J103&amp;AA$12,'Mapping A'!$A$6:$G$1011,7,0)=1,$L103,""),0)</f>
        <v>0</v>
      </c>
      <c r="AF103" s="155" t="str">
        <f t="shared" si="49"/>
        <v>HWB1101OtagoNet JV</v>
      </c>
      <c r="AG103" s="15" t="s">
        <v>223</v>
      </c>
      <c r="AH103" s="190" t="s">
        <v>103</v>
      </c>
      <c r="AI103" s="190">
        <f t="shared" si="42"/>
        <v>5.9619</v>
      </c>
      <c r="AJ103" s="292" t="s">
        <v>96</v>
      </c>
      <c r="AK103" s="15"/>
      <c r="AL103" s="15">
        <f t="shared" ca="1" si="36"/>
        <v>0</v>
      </c>
      <c r="AM103" s="15">
        <f t="shared" ca="1" si="37"/>
        <v>0</v>
      </c>
      <c r="AN103" s="15">
        <f t="shared" ca="1" si="38"/>
        <v>0</v>
      </c>
      <c r="AO103" s="15">
        <f t="shared" ca="1" si="39"/>
        <v>0</v>
      </c>
      <c r="AP103" s="15"/>
      <c r="AQ103" s="15">
        <f t="shared" ca="1" si="40"/>
        <v>0</v>
      </c>
      <c r="AR103" s="20">
        <f t="shared" ca="1" si="43"/>
        <v>0</v>
      </c>
      <c r="AS103" s="20"/>
      <c r="AT103" s="20">
        <f t="shared" ca="1" si="44"/>
        <v>0</v>
      </c>
      <c r="AU103" s="20">
        <f t="shared" ca="1" si="45"/>
        <v>0</v>
      </c>
      <c r="AV103" s="20">
        <f t="shared" ca="1" si="46"/>
        <v>0</v>
      </c>
      <c r="AW103" s="20">
        <f t="shared" si="47"/>
        <v>0</v>
      </c>
      <c r="AX103" s="20">
        <f t="shared" si="48"/>
        <v>0</v>
      </c>
      <c r="BA103" s="20"/>
      <c r="BD103" s="94" t="str">
        <f t="shared" si="52"/>
        <v>HWA1101TrustPower</v>
      </c>
      <c r="BF103" s="15" t="s">
        <v>138</v>
      </c>
      <c r="BG103" t="s">
        <v>213</v>
      </c>
      <c r="BH103" s="190">
        <v>2.4780000000000002</v>
      </c>
      <c r="BI103" s="190">
        <v>2.4779999256134002</v>
      </c>
      <c r="BJ103" s="257">
        <f t="shared" si="53"/>
        <v>8.8014192072172717E-2</v>
      </c>
      <c r="BK103" s="257">
        <f t="shared" si="50"/>
        <v>9.64853281735681E-2</v>
      </c>
      <c r="BL103" s="257">
        <f t="shared" si="51"/>
        <v>0.10213275224116501</v>
      </c>
      <c r="BM103" s="342" t="str">
        <f>VLOOKUP(LEFT(BG103,3),'Mapping B'!$D$2:$E$310,2,0)</f>
        <v>N</v>
      </c>
      <c r="BO103" s="20"/>
      <c r="BP103" s="190"/>
      <c r="BQ103" s="20"/>
      <c r="BR103" s="20"/>
    </row>
    <row r="104" spans="2:70" x14ac:dyDescent="0.25">
      <c r="B104" s="98" t="s">
        <v>554</v>
      </c>
      <c r="C104" s="98">
        <v>2014</v>
      </c>
      <c r="D104" s="98" t="s">
        <v>292</v>
      </c>
      <c r="E104" s="98" t="s">
        <v>2</v>
      </c>
      <c r="F104" s="98" t="s">
        <v>131</v>
      </c>
      <c r="G104" s="98">
        <v>12160.904999999901</v>
      </c>
      <c r="H104" s="299" t="str">
        <f>VLOOKUP(LEFT('Rev Adequacy'!D104,3),'Mapping B'!$D$2:$E$400,2,0)</f>
        <v>S</v>
      </c>
      <c r="I104" s="190"/>
      <c r="J104" s="15" t="s">
        <v>224</v>
      </c>
      <c r="K104" s="190" t="s">
        <v>101</v>
      </c>
      <c r="L104" s="190">
        <f t="shared" si="41"/>
        <v>55.567199999999993</v>
      </c>
      <c r="O104" s="15">
        <f>_xlfn.IFNA(IF(VLOOKUP($J104&amp;O$12,'Mapping A'!$A$6:$G$1011,7,0)=1,$L104,""),0)</f>
        <v>0</v>
      </c>
      <c r="P104" s="15">
        <f>_xlfn.IFNA(IF(VLOOKUP($J104&amp;P$12,'Mapping A'!$A$6:$G$1011,7,0)=1,$L104,""),0)</f>
        <v>55.567199999999993</v>
      </c>
      <c r="Q104" s="15">
        <f>_xlfn.IFNA(IF(VLOOKUP($J104&amp;Q$12,'Mapping A'!$A$6:$G$1011,7,0)=1,$L104,""),0)</f>
        <v>0</v>
      </c>
      <c r="R104" s="15">
        <f>_xlfn.IFNA(IF(VLOOKUP($J104&amp;R$12,'Mapping A'!$A$6:$G$1011,7,0)=1,$L104,""),0)</f>
        <v>0</v>
      </c>
      <c r="S104" s="15">
        <f>_xlfn.IFNA(IF(VLOOKUP($J104&amp;S$12,'Mapping A'!$A$6:$G$1011,7,0)=1,$L104,""),0)</f>
        <v>0</v>
      </c>
      <c r="T104" s="15">
        <f>_xlfn.IFNA(IF(VLOOKUP($J104&amp;T$14,'Mapping A'!$A$6:$G$1011,7,0)=1,$L104,""),0)</f>
        <v>0</v>
      </c>
      <c r="U104" s="15">
        <f>_xlfn.IFNA(IF(VLOOKUP($J104&amp;U$12,'Mapping A'!$A$6:$G$1011,7,0)=1,$L104,""),0)</f>
        <v>0</v>
      </c>
      <c r="V104" s="15">
        <f>_xlfn.IFNA(IF(VLOOKUP($J104&amp;V$12,'Mapping A'!$A$6:$G$1011,7,0)=1,$L104,""),0)</f>
        <v>0</v>
      </c>
      <c r="W104" s="15">
        <f>_xlfn.IFNA(IF(VLOOKUP($J104&amp;W$12,'Mapping A'!$A$6:$G$1011,7,0)=1,$L104,""),0)</f>
        <v>0</v>
      </c>
      <c r="X104" s="15">
        <f>_xlfn.IFNA(IF(VLOOKUP($J104&amp;X$12,'Mapping A'!$A$6:$G$1011,7,0)=1,$L104,""),0)</f>
        <v>0</v>
      </c>
      <c r="Y104" s="15">
        <f>_xlfn.IFNA(IF(VLOOKUP($J104&amp;Y$12,'Mapping A'!$A$6:$G$1011,7,0)=1,$L104,""),0)</f>
        <v>55.567199999999993</v>
      </c>
      <c r="Z104" s="15">
        <f>_xlfn.IFNA(IF(VLOOKUP($J104&amp;Z$12,'Mapping A'!$A$6:$G$1011,7,0)=1,$L104,""),0)</f>
        <v>0</v>
      </c>
      <c r="AA104" s="15">
        <f>_xlfn.IFNA(IF(VLOOKUP($J104&amp;AA$12,'Mapping A'!$A$6:$G$1011,7,0)=1,$L104,""),0)</f>
        <v>0</v>
      </c>
      <c r="AF104" s="155" t="str">
        <f t="shared" si="49"/>
        <v>INV0331Electricity Invercargill</v>
      </c>
      <c r="AG104" s="15" t="s">
        <v>224</v>
      </c>
      <c r="AH104" s="190" t="s">
        <v>101</v>
      </c>
      <c r="AI104" s="190">
        <f t="shared" si="42"/>
        <v>55.567199999999993</v>
      </c>
      <c r="AJ104" s="292" t="s">
        <v>96</v>
      </c>
      <c r="AK104" s="15"/>
      <c r="AL104" s="15">
        <f t="shared" ca="1" si="36"/>
        <v>0</v>
      </c>
      <c r="AM104" s="15">
        <f t="shared" ca="1" si="37"/>
        <v>0</v>
      </c>
      <c r="AN104" s="15">
        <f t="shared" ca="1" si="38"/>
        <v>0</v>
      </c>
      <c r="AO104" s="15">
        <f t="shared" ca="1" si="39"/>
        <v>0</v>
      </c>
      <c r="AP104" s="15"/>
      <c r="AQ104" s="15">
        <f t="shared" ca="1" si="40"/>
        <v>0</v>
      </c>
      <c r="AR104" s="20">
        <f t="shared" ca="1" si="43"/>
        <v>0</v>
      </c>
      <c r="AS104" s="20"/>
      <c r="AT104" s="20">
        <f t="shared" ca="1" si="44"/>
        <v>0</v>
      </c>
      <c r="AU104" s="20">
        <f t="shared" ca="1" si="45"/>
        <v>0</v>
      </c>
      <c r="AV104" s="20">
        <f t="shared" ca="1" si="46"/>
        <v>0.1496172182840019</v>
      </c>
      <c r="AW104" s="20">
        <f t="shared" si="47"/>
        <v>0</v>
      </c>
      <c r="AX104" s="20">
        <f t="shared" si="48"/>
        <v>0</v>
      </c>
      <c r="BA104" s="20"/>
      <c r="BD104" s="94" t="str">
        <f t="shared" si="52"/>
        <v>HWA1102Meridian</v>
      </c>
      <c r="BF104" s="15" t="s">
        <v>14</v>
      </c>
      <c r="BG104" t="s">
        <v>217</v>
      </c>
      <c r="BH104" s="190">
        <v>8.6226000000000003</v>
      </c>
      <c r="BI104" s="190">
        <v>8.6230001449584908</v>
      </c>
      <c r="BJ104" s="257">
        <f t="shared" si="53"/>
        <v>0.30625955309181452</v>
      </c>
      <c r="BK104" s="257">
        <f t="shared" si="50"/>
        <v>0.33573623515311063</v>
      </c>
      <c r="BL104" s="257">
        <f t="shared" si="51"/>
        <v>0.35538735652730807</v>
      </c>
      <c r="BM104" s="342" t="str">
        <f>VLOOKUP(LEFT(BG104,3),'Mapping B'!$D$2:$E$310,2,0)</f>
        <v>N</v>
      </c>
      <c r="BO104" s="20"/>
      <c r="BP104" s="190"/>
      <c r="BQ104" s="20"/>
      <c r="BR104" s="20"/>
    </row>
    <row r="105" spans="2:70" x14ac:dyDescent="0.25">
      <c r="B105" s="98" t="s">
        <v>554</v>
      </c>
      <c r="C105" s="98">
        <v>2014</v>
      </c>
      <c r="D105" s="98" t="s">
        <v>382</v>
      </c>
      <c r="E105" s="98" t="s">
        <v>2</v>
      </c>
      <c r="F105" s="98" t="s">
        <v>131</v>
      </c>
      <c r="G105" s="98">
        <v>21036.211999999701</v>
      </c>
      <c r="H105" s="299" t="str">
        <f>VLOOKUP(LEFT('Rev Adequacy'!D105,3),'Mapping B'!$D$2:$E$400,2,0)</f>
        <v>S</v>
      </c>
      <c r="I105" s="190"/>
      <c r="J105" s="15" t="s">
        <v>224</v>
      </c>
      <c r="K105" s="190" t="s">
        <v>105</v>
      </c>
      <c r="L105" s="190">
        <f t="shared" si="41"/>
        <v>37.044800000000002</v>
      </c>
      <c r="O105" s="15">
        <f>_xlfn.IFNA(IF(VLOOKUP($J105&amp;O$12,'Mapping A'!$A$6:$G$1011,7,0)=1,$L105,""),0)</f>
        <v>0</v>
      </c>
      <c r="P105" s="15">
        <f>_xlfn.IFNA(IF(VLOOKUP($J105&amp;P$12,'Mapping A'!$A$6:$G$1011,7,0)=1,$L105,""),0)</f>
        <v>37.044800000000002</v>
      </c>
      <c r="Q105" s="15">
        <f>_xlfn.IFNA(IF(VLOOKUP($J105&amp;Q$12,'Mapping A'!$A$6:$G$1011,7,0)=1,$L105,""),0)</f>
        <v>0</v>
      </c>
      <c r="R105" s="15">
        <f>_xlfn.IFNA(IF(VLOOKUP($J105&amp;R$12,'Mapping A'!$A$6:$G$1011,7,0)=1,$L105,""),0)</f>
        <v>0</v>
      </c>
      <c r="S105" s="15">
        <f>_xlfn.IFNA(IF(VLOOKUP($J105&amp;S$12,'Mapping A'!$A$6:$G$1011,7,0)=1,$L105,""),0)</f>
        <v>0</v>
      </c>
      <c r="T105" s="15">
        <f>_xlfn.IFNA(IF(VLOOKUP($J105&amp;T$14,'Mapping A'!$A$6:$G$1011,7,0)=1,$L105,""),0)</f>
        <v>0</v>
      </c>
      <c r="U105" s="15">
        <f>_xlfn.IFNA(IF(VLOOKUP($J105&amp;U$12,'Mapping A'!$A$6:$G$1011,7,0)=1,$L105,""),0)</f>
        <v>0</v>
      </c>
      <c r="V105" s="15">
        <f>_xlfn.IFNA(IF(VLOOKUP($J105&amp;V$12,'Mapping A'!$A$6:$G$1011,7,0)=1,$L105,""),0)</f>
        <v>0</v>
      </c>
      <c r="W105" s="15">
        <f>_xlfn.IFNA(IF(VLOOKUP($J105&amp;W$12,'Mapping A'!$A$6:$G$1011,7,0)=1,$L105,""),0)</f>
        <v>0</v>
      </c>
      <c r="X105" s="15">
        <f>_xlfn.IFNA(IF(VLOOKUP($J105&amp;X$12,'Mapping A'!$A$6:$G$1011,7,0)=1,$L105,""),0)</f>
        <v>0</v>
      </c>
      <c r="Y105" s="15">
        <f>_xlfn.IFNA(IF(VLOOKUP($J105&amp;Y$12,'Mapping A'!$A$6:$G$1011,7,0)=1,$L105,""),0)</f>
        <v>37.044800000000002</v>
      </c>
      <c r="Z105" s="15">
        <f>_xlfn.IFNA(IF(VLOOKUP($J105&amp;Z$12,'Mapping A'!$A$6:$G$1011,7,0)=1,$L105,""),0)</f>
        <v>0</v>
      </c>
      <c r="AA105" s="15">
        <f>_xlfn.IFNA(IF(VLOOKUP($J105&amp;AA$12,'Mapping A'!$A$6:$G$1011,7,0)=1,$L105,""),0)</f>
        <v>0</v>
      </c>
      <c r="AF105" s="155" t="str">
        <f t="shared" si="49"/>
        <v>INV0331The Power Company</v>
      </c>
      <c r="AG105" s="15" t="s">
        <v>224</v>
      </c>
      <c r="AH105" s="190" t="s">
        <v>105</v>
      </c>
      <c r="AI105" s="190">
        <f t="shared" si="42"/>
        <v>37.044800000000002</v>
      </c>
      <c r="AJ105" s="292" t="s">
        <v>96</v>
      </c>
      <c r="AK105" s="15"/>
      <c r="AL105" s="15">
        <f t="shared" ca="1" si="36"/>
        <v>0</v>
      </c>
      <c r="AM105" s="15">
        <f t="shared" ca="1" si="37"/>
        <v>0</v>
      </c>
      <c r="AN105" s="15">
        <f t="shared" ca="1" si="38"/>
        <v>0</v>
      </c>
      <c r="AO105" s="15">
        <f t="shared" ca="1" si="39"/>
        <v>0</v>
      </c>
      <c r="AP105" s="15"/>
      <c r="AQ105" s="15">
        <f t="shared" ca="1" si="40"/>
        <v>0</v>
      </c>
      <c r="AR105" s="20">
        <f t="shared" ca="1" si="43"/>
        <v>0</v>
      </c>
      <c r="AS105" s="20"/>
      <c r="AT105" s="20">
        <f t="shared" ca="1" si="44"/>
        <v>0</v>
      </c>
      <c r="AU105" s="20">
        <f t="shared" ca="1" si="45"/>
        <v>0</v>
      </c>
      <c r="AV105" s="20">
        <f t="shared" ca="1" si="46"/>
        <v>9.974481218933462E-2</v>
      </c>
      <c r="AW105" s="20">
        <f t="shared" si="47"/>
        <v>0</v>
      </c>
      <c r="AX105" s="20">
        <f t="shared" si="48"/>
        <v>0</v>
      </c>
      <c r="BA105" s="20"/>
      <c r="BD105" s="94" t="str">
        <f t="shared" si="52"/>
        <v>HWB0331Aurora Energy</v>
      </c>
      <c r="BF105" s="15" t="s">
        <v>1</v>
      </c>
      <c r="BG105" t="s">
        <v>220</v>
      </c>
      <c r="BH105" s="190">
        <v>87.240300000000005</v>
      </c>
      <c r="BI105" s="190">
        <v>86.291000366210895</v>
      </c>
      <c r="BJ105" s="257">
        <f t="shared" si="53"/>
        <v>3.0986216790290433</v>
      </c>
      <c r="BK105" s="257">
        <f t="shared" si="50"/>
        <v>3.3968559223004569</v>
      </c>
      <c r="BL105" s="257">
        <f t="shared" si="51"/>
        <v>3.5956787511480659</v>
      </c>
      <c r="BM105" s="342" t="str">
        <f>VLOOKUP(LEFT(BG105,3),'Mapping B'!$D$2:$E$310,2,0)</f>
        <v>S</v>
      </c>
      <c r="BO105" s="20"/>
      <c r="BP105" s="190"/>
      <c r="BQ105" s="20"/>
      <c r="BR105" s="20"/>
    </row>
    <row r="106" spans="2:70" x14ac:dyDescent="0.25">
      <c r="B106" s="98" t="s">
        <v>563</v>
      </c>
      <c r="C106" s="98">
        <v>2014</v>
      </c>
      <c r="D106" s="98" t="s">
        <v>291</v>
      </c>
      <c r="E106" s="98" t="s">
        <v>2</v>
      </c>
      <c r="F106" s="98" t="s">
        <v>131</v>
      </c>
      <c r="G106" s="98">
        <v>47901.851999999999</v>
      </c>
      <c r="H106" s="299" t="str">
        <f>VLOOKUP(LEFT('Rev Adequacy'!D106,3),'Mapping B'!$D$2:$E$400,2,0)</f>
        <v>S</v>
      </c>
      <c r="I106" s="190"/>
      <c r="J106" s="15" t="s">
        <v>225</v>
      </c>
      <c r="K106" s="190" t="s">
        <v>25</v>
      </c>
      <c r="L106" s="190">
        <f t="shared" si="41"/>
        <v>76.406399999999991</v>
      </c>
      <c r="O106" s="15">
        <f>_xlfn.IFNA(IF(VLOOKUP($J106&amp;O$12,'Mapping A'!$A$6:$G$1011,7,0)=1,$L106,""),0)</f>
        <v>0</v>
      </c>
      <c r="P106" s="15">
        <f>_xlfn.IFNA(IF(VLOOKUP($J106&amp;P$12,'Mapping A'!$A$6:$G$1011,7,0)=1,$L106,""),0)</f>
        <v>76.406399999999991</v>
      </c>
      <c r="Q106" s="15">
        <f>_xlfn.IFNA(IF(VLOOKUP($J106&amp;Q$12,'Mapping A'!$A$6:$G$1011,7,0)=1,$L106,""),0)</f>
        <v>0</v>
      </c>
      <c r="R106" s="15">
        <f>_xlfn.IFNA(IF(VLOOKUP($J106&amp;R$12,'Mapping A'!$A$6:$G$1011,7,0)=1,$L106,""),0)</f>
        <v>0</v>
      </c>
      <c r="S106" s="15">
        <f>_xlfn.IFNA(IF(VLOOKUP($J106&amp;S$12,'Mapping A'!$A$6:$G$1011,7,0)=1,$L106,""),0)</f>
        <v>0</v>
      </c>
      <c r="T106" s="15">
        <f>_xlfn.IFNA(IF(VLOOKUP($J106&amp;T$14,'Mapping A'!$A$6:$G$1011,7,0)=1,$L106,""),0)</f>
        <v>0</v>
      </c>
      <c r="U106" s="15">
        <f>_xlfn.IFNA(IF(VLOOKUP($J106&amp;U$12,'Mapping A'!$A$6:$G$1011,7,0)=1,$L106,""),0)</f>
        <v>0</v>
      </c>
      <c r="V106" s="15">
        <f>_xlfn.IFNA(IF(VLOOKUP($J106&amp;V$12,'Mapping A'!$A$6:$G$1011,7,0)=1,$L106,""),0)</f>
        <v>0</v>
      </c>
      <c r="W106" s="15">
        <f>_xlfn.IFNA(IF(VLOOKUP($J106&amp;W$12,'Mapping A'!$A$6:$G$1011,7,0)=1,$L106,""),0)</f>
        <v>76.406399999999991</v>
      </c>
      <c r="X106" s="15">
        <f>_xlfn.IFNA(IF(VLOOKUP($J106&amp;X$12,'Mapping A'!$A$6:$G$1011,7,0)=1,$L106,""),0)</f>
        <v>0</v>
      </c>
      <c r="Y106" s="15">
        <f>_xlfn.IFNA(IF(VLOOKUP($J106&amp;Y$12,'Mapping A'!$A$6:$G$1011,7,0)=1,$L106,""),0)</f>
        <v>0</v>
      </c>
      <c r="Z106" s="15">
        <f>_xlfn.IFNA(IF(VLOOKUP($J106&amp;Z$12,'Mapping A'!$A$6:$G$1011,7,0)=1,$L106,""),0)</f>
        <v>0</v>
      </c>
      <c r="AA106" s="15">
        <f>_xlfn.IFNA(IF(VLOOKUP($J106&amp;AA$12,'Mapping A'!$A$6:$G$1011,7,0)=1,$L106,""),0)</f>
        <v>0</v>
      </c>
      <c r="AF106" s="155" t="str">
        <f t="shared" si="49"/>
        <v>ISL0331Orion</v>
      </c>
      <c r="AG106" s="15" t="s">
        <v>225</v>
      </c>
      <c r="AH106" s="190" t="s">
        <v>25</v>
      </c>
      <c r="AI106" s="190">
        <f t="shared" si="42"/>
        <v>76.406399999999991</v>
      </c>
      <c r="AJ106" s="292" t="s">
        <v>96</v>
      </c>
      <c r="AK106" s="15"/>
      <c r="AL106" s="15">
        <f t="shared" ca="1" si="36"/>
        <v>0</v>
      </c>
      <c r="AM106" s="15">
        <f t="shared" ca="1" si="37"/>
        <v>0</v>
      </c>
      <c r="AN106" s="15">
        <f t="shared" ca="1" si="38"/>
        <v>0</v>
      </c>
      <c r="AO106" s="15">
        <f t="shared" ca="1" si="39"/>
        <v>0</v>
      </c>
      <c r="AP106" s="15"/>
      <c r="AQ106" s="15">
        <f t="shared" ca="1" si="40"/>
        <v>0</v>
      </c>
      <c r="AR106" s="20">
        <f t="shared" ca="1" si="43"/>
        <v>0</v>
      </c>
      <c r="AS106" s="20"/>
      <c r="AT106" s="20">
        <f t="shared" ca="1" si="44"/>
        <v>0.2180334803146686</v>
      </c>
      <c r="AU106" s="20">
        <f t="shared" ca="1" si="45"/>
        <v>0</v>
      </c>
      <c r="AV106" s="20">
        <f t="shared" ca="1" si="46"/>
        <v>0</v>
      </c>
      <c r="AW106" s="20">
        <f t="shared" si="47"/>
        <v>0</v>
      </c>
      <c r="AX106" s="20">
        <f t="shared" si="48"/>
        <v>0</v>
      </c>
      <c r="BA106" s="20"/>
      <c r="BC106" s="190" t="s">
        <v>48</v>
      </c>
      <c r="BD106" s="94" t="str">
        <f t="shared" si="52"/>
        <v>HWB0331OtagoNet JV</v>
      </c>
      <c r="BF106" s="198" t="s">
        <v>103</v>
      </c>
      <c r="BG106" t="s">
        <v>220</v>
      </c>
      <c r="BH106" s="190">
        <v>4.8048000000000002</v>
      </c>
      <c r="BI106" s="190" t="e">
        <v>#N/A</v>
      </c>
      <c r="BJ106" s="257">
        <f t="shared" si="53"/>
        <v>0.17065802666197555</v>
      </c>
      <c r="BK106" s="257">
        <f t="shared" si="50"/>
        <v>0.18708341598400319</v>
      </c>
      <c r="BL106" s="257">
        <f t="shared" si="51"/>
        <v>0.19803367553202164</v>
      </c>
      <c r="BM106" s="342" t="str">
        <f>VLOOKUP(LEFT(BG106,3),'Mapping B'!$D$2:$E$310,2,0)</f>
        <v>S</v>
      </c>
      <c r="BO106" s="20"/>
      <c r="BP106" s="190"/>
      <c r="BQ106" s="20"/>
      <c r="BR106" s="20"/>
    </row>
    <row r="107" spans="2:70" x14ac:dyDescent="0.25">
      <c r="B107" s="98" t="s">
        <v>563</v>
      </c>
      <c r="C107" s="98">
        <v>2014</v>
      </c>
      <c r="D107" s="98" t="s">
        <v>292</v>
      </c>
      <c r="E107" s="98" t="s">
        <v>2</v>
      </c>
      <c r="F107" s="98" t="s">
        <v>131</v>
      </c>
      <c r="G107" s="98">
        <v>45888.286000000197</v>
      </c>
      <c r="H107" s="299" t="str">
        <f>VLOOKUP(LEFT('Rev Adequacy'!D107,3),'Mapping B'!$D$2:$E$400,2,0)</f>
        <v>S</v>
      </c>
      <c r="I107" s="190"/>
      <c r="J107" s="15" t="s">
        <v>226</v>
      </c>
      <c r="K107" s="190" t="s">
        <v>25</v>
      </c>
      <c r="L107" s="190">
        <f t="shared" si="41"/>
        <v>401.96520000000004</v>
      </c>
      <c r="O107" s="15">
        <f>_xlfn.IFNA(IF(VLOOKUP($J107&amp;O$12,'Mapping A'!$A$6:$G$1011,7,0)=1,$L107,""),0)</f>
        <v>0</v>
      </c>
      <c r="P107" s="15">
        <f>_xlfn.IFNA(IF(VLOOKUP($J107&amp;P$12,'Mapping A'!$A$6:$G$1011,7,0)=1,$L107,""),0)</f>
        <v>401.96520000000004</v>
      </c>
      <c r="Q107" s="15">
        <f>_xlfn.IFNA(IF(VLOOKUP($J107&amp;Q$12,'Mapping A'!$A$6:$G$1011,7,0)=1,$L107,""),0)</f>
        <v>0</v>
      </c>
      <c r="R107" s="15">
        <f>_xlfn.IFNA(IF(VLOOKUP($J107&amp;R$12,'Mapping A'!$A$6:$G$1011,7,0)=1,$L107,""),0)</f>
        <v>0</v>
      </c>
      <c r="S107" s="15">
        <f>_xlfn.IFNA(IF(VLOOKUP($J107&amp;S$12,'Mapping A'!$A$6:$G$1011,7,0)=1,$L107,""),0)</f>
        <v>0</v>
      </c>
      <c r="T107" s="15">
        <f>_xlfn.IFNA(IF(VLOOKUP($J107&amp;T$14,'Mapping A'!$A$6:$G$1011,7,0)=1,$L107,""),0)</f>
        <v>0</v>
      </c>
      <c r="U107" s="15">
        <f>_xlfn.IFNA(IF(VLOOKUP($J107&amp;U$12,'Mapping A'!$A$6:$G$1011,7,0)=1,$L107,""),0)</f>
        <v>0</v>
      </c>
      <c r="V107" s="15">
        <f>_xlfn.IFNA(IF(VLOOKUP($J107&amp;V$12,'Mapping A'!$A$6:$G$1011,7,0)=1,$L107,""),0)</f>
        <v>0</v>
      </c>
      <c r="W107" s="15">
        <f>_xlfn.IFNA(IF(VLOOKUP($J107&amp;W$12,'Mapping A'!$A$6:$G$1011,7,0)=1,$L107,""),0)</f>
        <v>401.96520000000004</v>
      </c>
      <c r="X107" s="15">
        <f>_xlfn.IFNA(IF(VLOOKUP($J107&amp;X$12,'Mapping A'!$A$6:$G$1011,7,0)=1,$L107,""),0)</f>
        <v>0</v>
      </c>
      <c r="Y107" s="15">
        <f>_xlfn.IFNA(IF(VLOOKUP($J107&amp;Y$12,'Mapping A'!$A$6:$G$1011,7,0)=1,$L107,""),0)</f>
        <v>0</v>
      </c>
      <c r="Z107" s="15">
        <f>_xlfn.IFNA(IF(VLOOKUP($J107&amp;Z$12,'Mapping A'!$A$6:$G$1011,7,0)=1,$L107,""),0)</f>
        <v>0</v>
      </c>
      <c r="AA107" s="15">
        <f>_xlfn.IFNA(IF(VLOOKUP($J107&amp;AA$12,'Mapping A'!$A$6:$G$1011,7,0)=1,$L107,""),0)</f>
        <v>0</v>
      </c>
      <c r="AF107" s="155" t="str">
        <f t="shared" si="49"/>
        <v>ISL0661Orion</v>
      </c>
      <c r="AG107" s="15" t="s">
        <v>226</v>
      </c>
      <c r="AH107" s="190" t="s">
        <v>25</v>
      </c>
      <c r="AI107" s="190">
        <f t="shared" si="42"/>
        <v>401.96520000000004</v>
      </c>
      <c r="AJ107" s="292" t="s">
        <v>96</v>
      </c>
      <c r="AK107" s="15"/>
      <c r="AL107" s="15">
        <f t="shared" ca="1" si="36"/>
        <v>0</v>
      </c>
      <c r="AM107" s="15">
        <f t="shared" ca="1" si="37"/>
        <v>0</v>
      </c>
      <c r="AN107" s="15">
        <f t="shared" ca="1" si="38"/>
        <v>0</v>
      </c>
      <c r="AO107" s="15">
        <f t="shared" ca="1" si="39"/>
        <v>0</v>
      </c>
      <c r="AP107" s="15"/>
      <c r="AQ107" s="15">
        <f t="shared" ca="1" si="40"/>
        <v>0</v>
      </c>
      <c r="AR107" s="20">
        <f t="shared" ca="1" si="43"/>
        <v>0</v>
      </c>
      <c r="AS107" s="20"/>
      <c r="AT107" s="20">
        <f t="shared" ca="1" si="44"/>
        <v>1.147048827341451</v>
      </c>
      <c r="AU107" s="20">
        <f t="shared" ca="1" si="45"/>
        <v>0</v>
      </c>
      <c r="AV107" s="20">
        <f t="shared" ca="1" si="46"/>
        <v>0</v>
      </c>
      <c r="AW107" s="20">
        <f t="shared" si="47"/>
        <v>0</v>
      </c>
      <c r="AX107" s="20">
        <f t="shared" si="48"/>
        <v>0</v>
      </c>
      <c r="BA107" s="20"/>
      <c r="BD107" s="94" t="str">
        <f t="shared" si="52"/>
        <v>HWB0332Aurora Energy</v>
      </c>
      <c r="BF107" s="15" t="s">
        <v>1</v>
      </c>
      <c r="BG107" t="s">
        <v>222</v>
      </c>
      <c r="BH107" s="190">
        <v>49.578900000000004</v>
      </c>
      <c r="BI107" s="190">
        <v>49.5789985656738</v>
      </c>
      <c r="BJ107" s="257">
        <f t="shared" si="53"/>
        <v>1.7609551361287505</v>
      </c>
      <c r="BK107" s="257">
        <f t="shared" si="50"/>
        <v>1.9304424685167534</v>
      </c>
      <c r="BL107" s="257">
        <f t="shared" si="51"/>
        <v>2.0434340234420887</v>
      </c>
      <c r="BM107" s="342" t="str">
        <f>VLOOKUP(LEFT(BG107,3),'Mapping B'!$D$2:$E$310,2,0)</f>
        <v>S</v>
      </c>
      <c r="BO107" s="20"/>
      <c r="BP107" s="190"/>
      <c r="BQ107" s="20"/>
      <c r="BR107" s="20"/>
    </row>
    <row r="108" spans="2:70" x14ac:dyDescent="0.25">
      <c r="B108" s="98" t="s">
        <v>563</v>
      </c>
      <c r="C108" s="98">
        <v>2014</v>
      </c>
      <c r="D108" s="98" t="s">
        <v>382</v>
      </c>
      <c r="E108" s="98" t="s">
        <v>2</v>
      </c>
      <c r="F108" s="98" t="s">
        <v>131</v>
      </c>
      <c r="G108" s="98">
        <v>96606.491000000198</v>
      </c>
      <c r="H108" s="299" t="str">
        <f>VLOOKUP(LEFT('Rev Adequacy'!D108,3),'Mapping B'!$D$2:$E$400,2,0)</f>
        <v>S</v>
      </c>
      <c r="I108" s="190"/>
      <c r="J108" s="15" t="s">
        <v>227</v>
      </c>
      <c r="K108" s="190" t="s">
        <v>12</v>
      </c>
      <c r="L108" s="190">
        <f t="shared" si="41"/>
        <v>28.961099999999998</v>
      </c>
      <c r="O108" s="15">
        <f>_xlfn.IFNA(IF(VLOOKUP($J108&amp;O$12,'Mapping A'!$A$6:$G$1011,7,0)=1,$L108,""),0)</f>
        <v>0</v>
      </c>
      <c r="P108" s="15">
        <f>_xlfn.IFNA(IF(VLOOKUP($J108&amp;P$12,'Mapping A'!$A$6:$G$1011,7,0)=1,$L108,""),0)</f>
        <v>28.961099999999998</v>
      </c>
      <c r="Q108" s="15">
        <f>_xlfn.IFNA(IF(VLOOKUP($J108&amp;Q$12,'Mapping A'!$A$6:$G$1011,7,0)=1,$L108,""),0)</f>
        <v>0</v>
      </c>
      <c r="R108" s="15">
        <f>_xlfn.IFNA(IF(VLOOKUP($J108&amp;R$12,'Mapping A'!$A$6:$G$1011,7,0)=1,$L108,""),0)</f>
        <v>0</v>
      </c>
      <c r="S108" s="15">
        <f>_xlfn.IFNA(IF(VLOOKUP($J108&amp;S$12,'Mapping A'!$A$6:$G$1011,7,0)=1,$L108,""),0)</f>
        <v>0</v>
      </c>
      <c r="T108" s="15">
        <f>_xlfn.IFNA(IF(VLOOKUP($J108&amp;T$14,'Mapping A'!$A$6:$G$1011,7,0)=1,$L108,""),0)</f>
        <v>0</v>
      </c>
      <c r="U108" s="15">
        <f>_xlfn.IFNA(IF(VLOOKUP($J108&amp;U$12,'Mapping A'!$A$6:$G$1011,7,0)=1,$L108,""),0)</f>
        <v>0</v>
      </c>
      <c r="V108" s="15">
        <f>_xlfn.IFNA(IF(VLOOKUP($J108&amp;V$12,'Mapping A'!$A$6:$G$1011,7,0)=1,$L108,""),0)</f>
        <v>0</v>
      </c>
      <c r="W108" s="15">
        <f>_xlfn.IFNA(IF(VLOOKUP($J108&amp;W$12,'Mapping A'!$A$6:$G$1011,7,0)=1,$L108,""),0)</f>
        <v>28.961099999999998</v>
      </c>
      <c r="X108" s="15">
        <f>_xlfn.IFNA(IF(VLOOKUP($J108&amp;X$12,'Mapping A'!$A$6:$G$1011,7,0)=1,$L108,""),0)</f>
        <v>0</v>
      </c>
      <c r="Y108" s="15">
        <f>_xlfn.IFNA(IF(VLOOKUP($J108&amp;Y$12,'Mapping A'!$A$6:$G$1011,7,0)=1,$L108,""),0)</f>
        <v>0</v>
      </c>
      <c r="Z108" s="15">
        <f>_xlfn.IFNA(IF(VLOOKUP($J108&amp;Z$12,'Mapping A'!$A$6:$G$1011,7,0)=1,$L108,""),0)</f>
        <v>0</v>
      </c>
      <c r="AA108" s="15">
        <f>_xlfn.IFNA(IF(VLOOKUP($J108&amp;AA$12,'Mapping A'!$A$6:$G$1011,7,0)=1,$L108,""),0)</f>
        <v>0</v>
      </c>
      <c r="AF108" s="155" t="str">
        <f t="shared" si="49"/>
        <v>KAI0111Mainpower</v>
      </c>
      <c r="AG108" s="15" t="s">
        <v>227</v>
      </c>
      <c r="AH108" s="190" t="s">
        <v>12</v>
      </c>
      <c r="AI108" s="190">
        <f t="shared" si="42"/>
        <v>28.961099999999998</v>
      </c>
      <c r="AJ108" s="292" t="s">
        <v>96</v>
      </c>
      <c r="AK108" s="15"/>
      <c r="AL108" s="15">
        <f t="shared" ref="AL108:AL171" ca="1" si="54">O$13*O$7*O108/O$21</f>
        <v>0</v>
      </c>
      <c r="AM108" s="15">
        <f t="shared" ref="AM108:AM171" ca="1" si="55">P$13*P$7*P108/P$21</f>
        <v>0</v>
      </c>
      <c r="AN108" s="15">
        <f t="shared" ref="AN108:AN171" ca="1" si="56">Q$13*Q$7*Q108/Q$21</f>
        <v>0</v>
      </c>
      <c r="AO108" s="15">
        <f t="shared" ref="AO108:AO171" ca="1" si="57">R$13*R$7*R108/R$21</f>
        <v>0</v>
      </c>
      <c r="AP108" s="15"/>
      <c r="AQ108" s="15">
        <f t="shared" ref="AQ108:AQ171" ca="1" si="58">T$15*T$7*T108/T$21</f>
        <v>0</v>
      </c>
      <c r="AR108" s="20">
        <f t="shared" ca="1" si="43"/>
        <v>0</v>
      </c>
      <c r="AS108" s="20"/>
      <c r="AT108" s="20">
        <f t="shared" ca="1" si="44"/>
        <v>8.2643462154232489E-2</v>
      </c>
      <c r="AU108" s="20">
        <f t="shared" ca="1" si="45"/>
        <v>0</v>
      </c>
      <c r="AV108" s="20">
        <f t="shared" ca="1" si="46"/>
        <v>0</v>
      </c>
      <c r="AW108" s="20">
        <f t="shared" si="47"/>
        <v>0</v>
      </c>
      <c r="AX108" s="20">
        <f t="shared" si="48"/>
        <v>0</v>
      </c>
      <c r="BA108" s="20"/>
      <c r="BC108" s="190" t="s">
        <v>48</v>
      </c>
      <c r="BD108" s="94" t="str">
        <f t="shared" si="52"/>
        <v>HWB1101OtagoNet JV</v>
      </c>
      <c r="BF108" s="198" t="s">
        <v>103</v>
      </c>
      <c r="BG108" t="s">
        <v>223</v>
      </c>
      <c r="BH108" s="190">
        <v>5.9619</v>
      </c>
      <c r="BI108" s="190" t="e">
        <v>#N/A</v>
      </c>
      <c r="BJ108" s="257">
        <f t="shared" si="53"/>
        <v>0.21175617906177824</v>
      </c>
      <c r="BK108" s="257">
        <f t="shared" si="50"/>
        <v>0.23213715820742356</v>
      </c>
      <c r="BL108" s="257">
        <f t="shared" si="51"/>
        <v>0.24572447763785374</v>
      </c>
      <c r="BM108" s="342" t="str">
        <f>VLOOKUP(LEFT(BG108,3),'Mapping B'!$D$2:$E$310,2,0)</f>
        <v>S</v>
      </c>
      <c r="BO108" s="20"/>
      <c r="BP108" s="190"/>
      <c r="BQ108" s="20"/>
      <c r="BR108" s="20"/>
    </row>
    <row r="109" spans="2:70" x14ac:dyDescent="0.25">
      <c r="B109" s="98" t="s">
        <v>555</v>
      </c>
      <c r="C109" s="98">
        <v>2014</v>
      </c>
      <c r="D109" s="98" t="s">
        <v>291</v>
      </c>
      <c r="E109" s="98" t="s">
        <v>2</v>
      </c>
      <c r="F109" s="98" t="s">
        <v>131</v>
      </c>
      <c r="G109" s="98">
        <v>17764.0249999999</v>
      </c>
      <c r="H109" s="299" t="str">
        <f>VLOOKUP(LEFT('Rev Adequacy'!D109,3),'Mapping B'!$D$2:$E$400,2,0)</f>
        <v>S</v>
      </c>
      <c r="I109" s="190"/>
      <c r="J109" s="15" t="s">
        <v>229</v>
      </c>
      <c r="K109" s="190" t="s">
        <v>11</v>
      </c>
      <c r="L109" s="190">
        <f t="shared" si="41"/>
        <v>18.704699999999999</v>
      </c>
      <c r="O109" s="15">
        <f>_xlfn.IFNA(IF(VLOOKUP($J109&amp;O$12,'Mapping A'!$A$6:$G$1011,7,0)=1,$L109,""),0)</f>
        <v>0</v>
      </c>
      <c r="P109" s="15">
        <f>_xlfn.IFNA(IF(VLOOKUP($J109&amp;P$12,'Mapping A'!$A$6:$G$1011,7,0)=1,$L109,""),0)</f>
        <v>18.704699999999999</v>
      </c>
      <c r="Q109" s="15">
        <f>_xlfn.IFNA(IF(VLOOKUP($J109&amp;Q$12,'Mapping A'!$A$6:$G$1011,7,0)=1,$L109,""),0)</f>
        <v>18.704699999999999</v>
      </c>
      <c r="R109" s="15">
        <f>_xlfn.IFNA(IF(VLOOKUP($J109&amp;R$12,'Mapping A'!$A$6:$G$1011,7,0)=1,$L109,""),0)</f>
        <v>0</v>
      </c>
      <c r="S109" s="15">
        <f>_xlfn.IFNA(IF(VLOOKUP($J109&amp;S$12,'Mapping A'!$A$6:$G$1011,7,0)=1,$L109,""),0)</f>
        <v>0</v>
      </c>
      <c r="T109" s="15">
        <f>_xlfn.IFNA(IF(VLOOKUP($J109&amp;T$14,'Mapping A'!$A$6:$G$1011,7,0)=1,$L109,""),0)</f>
        <v>18.704699999999999</v>
      </c>
      <c r="U109" s="15">
        <f>_xlfn.IFNA(IF(VLOOKUP($J109&amp;U$12,'Mapping A'!$A$6:$G$1011,7,0)=1,$L109,""),0)</f>
        <v>0</v>
      </c>
      <c r="V109" s="15">
        <f>_xlfn.IFNA(IF(VLOOKUP($J109&amp;V$12,'Mapping A'!$A$6:$G$1011,7,0)=1,$L109,""),0)</f>
        <v>0</v>
      </c>
      <c r="W109" s="15">
        <f>_xlfn.IFNA(IF(VLOOKUP($J109&amp;W$12,'Mapping A'!$A$6:$G$1011,7,0)=1,$L109,""),0)</f>
        <v>0</v>
      </c>
      <c r="X109" s="15">
        <f>_xlfn.IFNA(IF(VLOOKUP($J109&amp;X$12,'Mapping A'!$A$6:$G$1011,7,0)=1,$L109,""),0)</f>
        <v>0</v>
      </c>
      <c r="Y109" s="15">
        <f>_xlfn.IFNA(IF(VLOOKUP($J109&amp;Y$12,'Mapping A'!$A$6:$G$1011,7,0)=1,$L109,""),0)</f>
        <v>0</v>
      </c>
      <c r="Z109" s="15">
        <f>_xlfn.IFNA(IF(VLOOKUP($J109&amp;Z$12,'Mapping A'!$A$6:$G$1011,7,0)=1,$L109,""),0)</f>
        <v>0</v>
      </c>
      <c r="AA109" s="15">
        <f>_xlfn.IFNA(IF(VLOOKUP($J109&amp;AA$12,'Mapping A'!$A$6:$G$1011,7,0)=1,$L109,""),0)</f>
        <v>0</v>
      </c>
      <c r="AF109" s="155" t="str">
        <f t="shared" si="49"/>
        <v>KAW0111Horizon</v>
      </c>
      <c r="AG109" s="15" t="s">
        <v>229</v>
      </c>
      <c r="AH109" s="190" t="s">
        <v>11</v>
      </c>
      <c r="AI109" s="190">
        <f t="shared" si="42"/>
        <v>18.704699999999999</v>
      </c>
      <c r="AJ109" s="292" t="s">
        <v>95</v>
      </c>
      <c r="AK109" s="15"/>
      <c r="AL109" s="15">
        <f t="shared" ca="1" si="54"/>
        <v>0</v>
      </c>
      <c r="AM109" s="15">
        <f t="shared" ca="1" si="55"/>
        <v>0</v>
      </c>
      <c r="AN109" s="15">
        <f t="shared" ca="1" si="56"/>
        <v>0</v>
      </c>
      <c r="AO109" s="15">
        <f t="shared" ca="1" si="57"/>
        <v>0</v>
      </c>
      <c r="AP109" s="15"/>
      <c r="AQ109" s="15">
        <f t="shared" ca="1" si="58"/>
        <v>0</v>
      </c>
      <c r="AR109" s="20">
        <f t="shared" ca="1" si="43"/>
        <v>0</v>
      </c>
      <c r="AS109" s="20"/>
      <c r="AT109" s="20">
        <f t="shared" ca="1" si="44"/>
        <v>0</v>
      </c>
      <c r="AU109" s="20">
        <f t="shared" ca="1" si="45"/>
        <v>0</v>
      </c>
      <c r="AV109" s="20">
        <f t="shared" ca="1" si="46"/>
        <v>0</v>
      </c>
      <c r="AW109" s="20">
        <f t="shared" si="47"/>
        <v>0</v>
      </c>
      <c r="AX109" s="20">
        <f t="shared" si="48"/>
        <v>0</v>
      </c>
      <c r="BA109" s="20"/>
      <c r="BB109" s="190"/>
      <c r="BC109" s="190" t="s">
        <v>48</v>
      </c>
      <c r="BD109" s="94" t="str">
        <f t="shared" si="52"/>
        <v>INV0331Electricity Invercargill</v>
      </c>
      <c r="BF109" s="198" t="s">
        <v>101</v>
      </c>
      <c r="BG109" s="198" t="s">
        <v>224</v>
      </c>
      <c r="BH109" s="198">
        <v>55.567199999999993</v>
      </c>
      <c r="BI109" s="190" t="e">
        <v>#N/A</v>
      </c>
      <c r="BJ109" s="257">
        <f t="shared" si="53"/>
        <v>1.973648996655704</v>
      </c>
      <c r="BK109" s="257">
        <f t="shared" si="50"/>
        <v>2.1636075575812312</v>
      </c>
      <c r="BL109" s="257">
        <f t="shared" si="51"/>
        <v>2.2902465981982498</v>
      </c>
      <c r="BM109" s="342" t="str">
        <f>VLOOKUP(LEFT(BG109,3),'Mapping B'!$D$2:$E$310,2,0)</f>
        <v>S</v>
      </c>
      <c r="BO109" s="20"/>
      <c r="BP109" s="190"/>
      <c r="BQ109" s="20"/>
      <c r="BR109" s="20"/>
    </row>
    <row r="110" spans="2:70" x14ac:dyDescent="0.25">
      <c r="B110" s="98" t="s">
        <v>555</v>
      </c>
      <c r="C110" s="98">
        <v>2014</v>
      </c>
      <c r="D110" s="98" t="s">
        <v>292</v>
      </c>
      <c r="E110" s="98" t="s">
        <v>2</v>
      </c>
      <c r="F110" s="98" t="s">
        <v>131</v>
      </c>
      <c r="G110" s="98">
        <v>16903.370999999999</v>
      </c>
      <c r="H110" s="299" t="str">
        <f>VLOOKUP(LEFT('Rev Adequacy'!D110,3),'Mapping B'!$D$2:$E$400,2,0)</f>
        <v>S</v>
      </c>
      <c r="I110" s="190"/>
      <c r="J110" s="15" t="s">
        <v>404</v>
      </c>
      <c r="K110" s="190" t="s">
        <v>22</v>
      </c>
      <c r="L110" s="190">
        <f t="shared" si="41"/>
        <v>36.357999999999997</v>
      </c>
      <c r="O110" s="15">
        <f>_xlfn.IFNA(IF(VLOOKUP($J110&amp;O$12,'Mapping A'!$A$6:$G$1011,7,0)=1,$L110,""),0)</f>
        <v>0</v>
      </c>
      <c r="P110" s="15">
        <f>_xlfn.IFNA(IF(VLOOKUP($J110&amp;P$12,'Mapping A'!$A$6:$G$1011,7,0)=1,$L110,""),0)</f>
        <v>36.357999999999997</v>
      </c>
      <c r="Q110" s="15">
        <f>_xlfn.IFNA(IF(VLOOKUP($J110&amp;Q$12,'Mapping A'!$A$6:$G$1011,7,0)=1,$L110,""),0)</f>
        <v>36.357999999999997</v>
      </c>
      <c r="R110" s="15">
        <f>_xlfn.IFNA(IF(VLOOKUP($J110&amp;R$12,'Mapping A'!$A$6:$G$1011,7,0)=1,$L110,""),0)</f>
        <v>0</v>
      </c>
      <c r="S110" s="15">
        <f>_xlfn.IFNA(IF(VLOOKUP($J110&amp;S$12,'Mapping A'!$A$6:$G$1011,7,0)=1,$L110,""),0)</f>
        <v>0</v>
      </c>
      <c r="T110" s="15">
        <f>_xlfn.IFNA(IF(VLOOKUP($J110&amp;T$14,'Mapping A'!$A$6:$G$1011,7,0)=1,$L110,""),0)</f>
        <v>36.357999999999997</v>
      </c>
      <c r="U110" s="15">
        <f>_xlfn.IFNA(IF(VLOOKUP($J110&amp;U$12,'Mapping A'!$A$6:$G$1011,7,0)=1,$L110,""),0)</f>
        <v>0</v>
      </c>
      <c r="V110" s="15">
        <f>_xlfn.IFNA(IF(VLOOKUP($J110&amp;V$12,'Mapping A'!$A$6:$G$1011,7,0)=1,$L110,""),0)</f>
        <v>0</v>
      </c>
      <c r="W110" s="15">
        <f>_xlfn.IFNA(IF(VLOOKUP($J110&amp;W$12,'Mapping A'!$A$6:$G$1011,7,0)=1,$L110,""),0)</f>
        <v>0</v>
      </c>
      <c r="X110" s="15">
        <f>_xlfn.IFNA(IF(VLOOKUP($J110&amp;X$12,'Mapping A'!$A$6:$G$1011,7,0)=1,$L110,""),0)</f>
        <v>0</v>
      </c>
      <c r="Y110" s="15">
        <f>_xlfn.IFNA(IF(VLOOKUP($J110&amp;Y$12,'Mapping A'!$A$6:$G$1011,7,0)=1,$L110,""),0)</f>
        <v>0</v>
      </c>
      <c r="Z110" s="15">
        <f>_xlfn.IFNA(IF(VLOOKUP($J110&amp;Z$12,'Mapping A'!$A$6:$G$1011,7,0)=1,$L110,""),0)</f>
        <v>0</v>
      </c>
      <c r="AA110" s="15">
        <f>_xlfn.IFNA(IF(VLOOKUP($J110&amp;AA$12,'Mapping A'!$A$6:$G$1011,7,0)=1,$L110,""),0)</f>
        <v>0</v>
      </c>
      <c r="AF110" s="155" t="str">
        <f t="shared" si="49"/>
        <v>KAW0112Norske Skog</v>
      </c>
      <c r="AG110" s="15" t="s">
        <v>404</v>
      </c>
      <c r="AH110" s="190" t="s">
        <v>22</v>
      </c>
      <c r="AI110" s="190">
        <f t="shared" si="42"/>
        <v>36.357999999999997</v>
      </c>
      <c r="AJ110" s="292" t="s">
        <v>95</v>
      </c>
      <c r="AK110" s="15"/>
      <c r="AL110" s="15">
        <f t="shared" ca="1" si="54"/>
        <v>0</v>
      </c>
      <c r="AM110" s="15">
        <f t="shared" ca="1" si="55"/>
        <v>0</v>
      </c>
      <c r="AN110" s="15">
        <f t="shared" ca="1" si="56"/>
        <v>0</v>
      </c>
      <c r="AO110" s="15">
        <f t="shared" ca="1" si="57"/>
        <v>0</v>
      </c>
      <c r="AP110" s="15"/>
      <c r="AQ110" s="15">
        <f t="shared" ca="1" si="58"/>
        <v>0</v>
      </c>
      <c r="AR110" s="20">
        <f t="shared" ca="1" si="43"/>
        <v>0</v>
      </c>
      <c r="AS110" s="20"/>
      <c r="AT110" s="20">
        <f t="shared" ca="1" si="44"/>
        <v>0</v>
      </c>
      <c r="AU110" s="20">
        <f t="shared" ca="1" si="45"/>
        <v>0</v>
      </c>
      <c r="AV110" s="20">
        <f t="shared" ca="1" si="46"/>
        <v>0</v>
      </c>
      <c r="AW110" s="20">
        <f t="shared" si="47"/>
        <v>0</v>
      </c>
      <c r="AX110" s="20">
        <f t="shared" si="48"/>
        <v>0</v>
      </c>
      <c r="BA110" s="95"/>
      <c r="BD110" s="94" t="str">
        <f>BG110&amp;BF110</f>
        <v>INV0331The Power Company</v>
      </c>
      <c r="BE110" s="190"/>
      <c r="BF110" s="198" t="s">
        <v>105</v>
      </c>
      <c r="BG110" s="198" t="s">
        <v>224</v>
      </c>
      <c r="BH110" s="198">
        <v>37.044800000000002</v>
      </c>
      <c r="BI110" s="190" t="e">
        <v>#N/A</v>
      </c>
      <c r="BJ110" s="257">
        <f t="shared" si="53"/>
        <v>1.3157659977704697</v>
      </c>
      <c r="BK110" s="257">
        <f t="shared" si="50"/>
        <v>1.442405038387488</v>
      </c>
      <c r="BL110" s="257">
        <f t="shared" si="51"/>
        <v>1.5268310654655002</v>
      </c>
      <c r="BM110" s="342" t="str">
        <f>VLOOKUP(LEFT(BG110,3),'Mapping B'!$D$2:$E$310,2,0)</f>
        <v>S</v>
      </c>
      <c r="BO110" s="20"/>
      <c r="BP110" s="190"/>
      <c r="BQ110" s="20"/>
      <c r="BR110" s="20"/>
    </row>
    <row r="111" spans="2:70" x14ac:dyDescent="0.25">
      <c r="B111" s="98" t="s">
        <v>555</v>
      </c>
      <c r="C111" s="98">
        <v>2014</v>
      </c>
      <c r="D111" s="98" t="s">
        <v>382</v>
      </c>
      <c r="E111" s="98" t="s">
        <v>2</v>
      </c>
      <c r="F111" s="98" t="s">
        <v>131</v>
      </c>
      <c r="G111" s="98">
        <v>46159.788</v>
      </c>
      <c r="H111" s="299" t="str">
        <f>VLOOKUP(LEFT('Rev Adequacy'!D111,3),'Mapping B'!$D$2:$E$400,2,0)</f>
        <v>S</v>
      </c>
      <c r="I111" s="190"/>
      <c r="J111" s="15" t="s">
        <v>405</v>
      </c>
      <c r="K111" s="190" t="s">
        <v>22</v>
      </c>
      <c r="L111" s="190">
        <f t="shared" si="41"/>
        <v>77.611999999999995</v>
      </c>
      <c r="O111" s="15">
        <f>_xlfn.IFNA(IF(VLOOKUP($J111&amp;O$12,'Mapping A'!$A$6:$G$1011,7,0)=1,$L111,""),0)</f>
        <v>0</v>
      </c>
      <c r="P111" s="15">
        <f>_xlfn.IFNA(IF(VLOOKUP($J111&amp;P$12,'Mapping A'!$A$6:$G$1011,7,0)=1,$L111,""),0)</f>
        <v>77.611999999999995</v>
      </c>
      <c r="Q111" s="15">
        <f>_xlfn.IFNA(IF(VLOOKUP($J111&amp;Q$12,'Mapping A'!$A$6:$G$1011,7,0)=1,$L111,""),0)</f>
        <v>77.611999999999995</v>
      </c>
      <c r="R111" s="15">
        <f>_xlfn.IFNA(IF(VLOOKUP($J111&amp;R$12,'Mapping A'!$A$6:$G$1011,7,0)=1,$L111,""),0)</f>
        <v>0</v>
      </c>
      <c r="S111" s="15">
        <f>_xlfn.IFNA(IF(VLOOKUP($J111&amp;S$12,'Mapping A'!$A$6:$G$1011,7,0)=1,$L111,""),0)</f>
        <v>0</v>
      </c>
      <c r="T111" s="15">
        <f>_xlfn.IFNA(IF(VLOOKUP($J111&amp;T$14,'Mapping A'!$A$6:$G$1011,7,0)=1,$L111,""),0)</f>
        <v>77.611999999999995</v>
      </c>
      <c r="U111" s="15">
        <f>_xlfn.IFNA(IF(VLOOKUP($J111&amp;U$12,'Mapping A'!$A$6:$G$1011,7,0)=1,$L111,""),0)</f>
        <v>0</v>
      </c>
      <c r="V111" s="15">
        <f>_xlfn.IFNA(IF(VLOOKUP($J111&amp;V$12,'Mapping A'!$A$6:$G$1011,7,0)=1,$L111,""),0)</f>
        <v>0</v>
      </c>
      <c r="W111" s="15">
        <f>_xlfn.IFNA(IF(VLOOKUP($J111&amp;W$12,'Mapping A'!$A$6:$G$1011,7,0)=1,$L111,""),0)</f>
        <v>0</v>
      </c>
      <c r="X111" s="15">
        <f>_xlfn.IFNA(IF(VLOOKUP($J111&amp;X$12,'Mapping A'!$A$6:$G$1011,7,0)=1,$L111,""),0)</f>
        <v>0</v>
      </c>
      <c r="Y111" s="15">
        <f>_xlfn.IFNA(IF(VLOOKUP($J111&amp;Y$12,'Mapping A'!$A$6:$G$1011,7,0)=1,$L111,""),0)</f>
        <v>0</v>
      </c>
      <c r="Z111" s="15">
        <f>_xlfn.IFNA(IF(VLOOKUP($J111&amp;Z$12,'Mapping A'!$A$6:$G$1011,7,0)=1,$L111,""),0)</f>
        <v>0</v>
      </c>
      <c r="AA111" s="15">
        <f>_xlfn.IFNA(IF(VLOOKUP($J111&amp;AA$12,'Mapping A'!$A$6:$G$1011,7,0)=1,$L111,""),0)</f>
        <v>0</v>
      </c>
      <c r="AF111" s="155" t="str">
        <f t="shared" si="49"/>
        <v>KAW0113Norske Skog</v>
      </c>
      <c r="AG111" s="15" t="s">
        <v>405</v>
      </c>
      <c r="AH111" s="190" t="s">
        <v>22</v>
      </c>
      <c r="AI111" s="190">
        <f t="shared" si="42"/>
        <v>77.611999999999995</v>
      </c>
      <c r="AJ111" s="292" t="s">
        <v>95</v>
      </c>
      <c r="AK111" s="15"/>
      <c r="AL111" s="15">
        <f t="shared" ca="1" si="54"/>
        <v>0</v>
      </c>
      <c r="AM111" s="15">
        <f t="shared" ca="1" si="55"/>
        <v>0</v>
      </c>
      <c r="AN111" s="15">
        <f t="shared" ca="1" si="56"/>
        <v>0</v>
      </c>
      <c r="AO111" s="15">
        <f t="shared" ca="1" si="57"/>
        <v>0</v>
      </c>
      <c r="AP111" s="15"/>
      <c r="AQ111" s="15">
        <f t="shared" ca="1" si="58"/>
        <v>0</v>
      </c>
      <c r="AR111" s="20">
        <f t="shared" ca="1" si="43"/>
        <v>0</v>
      </c>
      <c r="AS111" s="20"/>
      <c r="AT111" s="20">
        <f t="shared" ca="1" si="44"/>
        <v>0</v>
      </c>
      <c r="AU111" s="20">
        <f t="shared" ca="1" si="45"/>
        <v>0</v>
      </c>
      <c r="AV111" s="20">
        <f t="shared" ca="1" si="46"/>
        <v>0</v>
      </c>
      <c r="AW111" s="20">
        <f t="shared" si="47"/>
        <v>0</v>
      </c>
      <c r="AX111" s="20">
        <f t="shared" si="48"/>
        <v>0</v>
      </c>
      <c r="BA111" s="20"/>
      <c r="BD111" s="94" t="str">
        <f t="shared" si="52"/>
        <v>ISL0331Orion</v>
      </c>
      <c r="BF111" s="15" t="s">
        <v>25</v>
      </c>
      <c r="BG111" t="s">
        <v>225</v>
      </c>
      <c r="BH111" s="190">
        <v>76.406399999999991</v>
      </c>
      <c r="BI111" s="190">
        <v>76.396003723144503</v>
      </c>
      <c r="BJ111" s="257">
        <f t="shared" si="53"/>
        <v>2.713820647757569</v>
      </c>
      <c r="BK111" s="257">
        <f t="shared" si="50"/>
        <v>2.9750187968365265</v>
      </c>
      <c r="BL111" s="257">
        <f t="shared" si="51"/>
        <v>3.1491508962224972</v>
      </c>
      <c r="BM111" s="342" t="str">
        <f>VLOOKUP(LEFT(BG111,3),'Mapping B'!$D$2:$E$310,2,0)</f>
        <v>S</v>
      </c>
      <c r="BO111" s="20"/>
      <c r="BP111" s="190"/>
      <c r="BQ111" s="20"/>
      <c r="BR111" s="20"/>
    </row>
    <row r="112" spans="2:70" x14ac:dyDescent="0.25">
      <c r="B112" s="98" t="s">
        <v>112</v>
      </c>
      <c r="C112" s="98">
        <v>2014</v>
      </c>
      <c r="D112" s="98" t="s">
        <v>291</v>
      </c>
      <c r="E112" s="98" t="s">
        <v>2</v>
      </c>
      <c r="F112" s="98" t="s">
        <v>131</v>
      </c>
      <c r="G112" s="98">
        <v>0</v>
      </c>
      <c r="H112" s="299" t="str">
        <f>VLOOKUP(LEFT('Rev Adequacy'!D112,3),'Mapping B'!$D$2:$E$400,2,0)</f>
        <v>S</v>
      </c>
      <c r="I112" s="190"/>
      <c r="J112" s="15" t="s">
        <v>406</v>
      </c>
      <c r="K112" s="190" t="s">
        <v>53</v>
      </c>
      <c r="L112" s="190">
        <f t="shared" si="41"/>
        <v>0</v>
      </c>
      <c r="O112" s="15">
        <f>_xlfn.IFNA(IF(VLOOKUP($J112&amp;O$12,'Mapping A'!$A$6:$G$1011,7,0)=1,$L112,""),0)</f>
        <v>0</v>
      </c>
      <c r="P112" s="15">
        <f>_xlfn.IFNA(IF(VLOOKUP($J112&amp;P$12,'Mapping A'!$A$6:$G$1011,7,0)=1,$L112,""),0)</f>
        <v>0</v>
      </c>
      <c r="Q112" s="15">
        <f>_xlfn.IFNA(IF(VLOOKUP($J112&amp;Q$12,'Mapping A'!$A$6:$G$1011,7,0)=1,$L112,""),0)</f>
        <v>0</v>
      </c>
      <c r="R112" s="15">
        <f>_xlfn.IFNA(IF(VLOOKUP($J112&amp;R$12,'Mapping A'!$A$6:$G$1011,7,0)=1,$L112,""),0)</f>
        <v>0</v>
      </c>
      <c r="S112" s="15">
        <f>_xlfn.IFNA(IF(VLOOKUP($J112&amp;S$12,'Mapping A'!$A$6:$G$1011,7,0)=1,$L112,""),0)</f>
        <v>0</v>
      </c>
      <c r="T112" s="15">
        <f>_xlfn.IFNA(IF(VLOOKUP($J112&amp;T$14,'Mapping A'!$A$6:$G$1011,7,0)=1,$L112,""),0)</f>
        <v>0</v>
      </c>
      <c r="U112" s="15">
        <f>_xlfn.IFNA(IF(VLOOKUP($J112&amp;U$12,'Mapping A'!$A$6:$G$1011,7,0)=1,$L112,""),0)</f>
        <v>0</v>
      </c>
      <c r="V112" s="15">
        <f>_xlfn.IFNA(IF(VLOOKUP($J112&amp;V$12,'Mapping A'!$A$6:$G$1011,7,0)=1,$L112,""),0)</f>
        <v>0</v>
      </c>
      <c r="W112" s="15">
        <f>_xlfn.IFNA(IF(VLOOKUP($J112&amp;W$12,'Mapping A'!$A$6:$G$1011,7,0)=1,$L112,""),0)</f>
        <v>0</v>
      </c>
      <c r="X112" s="15">
        <f>_xlfn.IFNA(IF(VLOOKUP($J112&amp;X$12,'Mapping A'!$A$6:$G$1011,7,0)=1,$L112,""),0)</f>
        <v>0</v>
      </c>
      <c r="Y112" s="15">
        <f>_xlfn.IFNA(IF(VLOOKUP($J112&amp;Y$12,'Mapping A'!$A$6:$G$1011,7,0)=1,$L112,""),0)</f>
        <v>0</v>
      </c>
      <c r="Z112" s="15">
        <f>_xlfn.IFNA(IF(VLOOKUP($J112&amp;Z$12,'Mapping A'!$A$6:$G$1011,7,0)=1,$L112,""),0)</f>
        <v>0</v>
      </c>
      <c r="AA112" s="15">
        <f>_xlfn.IFNA(IF(VLOOKUP($J112&amp;AA$12,'Mapping A'!$A$6:$G$1011,7,0)=1,$L112,""),0)</f>
        <v>0</v>
      </c>
      <c r="AF112" s="155" t="str">
        <f t="shared" si="49"/>
        <v>KAW1101Other</v>
      </c>
      <c r="AG112" s="15" t="s">
        <v>406</v>
      </c>
      <c r="AH112" s="190" t="s">
        <v>53</v>
      </c>
      <c r="AI112" s="190">
        <f t="shared" si="42"/>
        <v>0</v>
      </c>
      <c r="AJ112" s="292" t="s">
        <v>95</v>
      </c>
      <c r="AK112" s="15"/>
      <c r="AL112" s="15">
        <f t="shared" ca="1" si="54"/>
        <v>0</v>
      </c>
      <c r="AM112" s="15">
        <f t="shared" ca="1" si="55"/>
        <v>0</v>
      </c>
      <c r="AN112" s="15">
        <f t="shared" ca="1" si="56"/>
        <v>0</v>
      </c>
      <c r="AO112" s="15">
        <f t="shared" ca="1" si="57"/>
        <v>0</v>
      </c>
      <c r="AP112" s="15"/>
      <c r="AQ112" s="15">
        <f t="shared" ca="1" si="58"/>
        <v>0</v>
      </c>
      <c r="AR112" s="20">
        <f t="shared" ca="1" si="43"/>
        <v>0</v>
      </c>
      <c r="AS112" s="20"/>
      <c r="AT112" s="20">
        <f t="shared" ca="1" si="44"/>
        <v>0</v>
      </c>
      <c r="AU112" s="20">
        <f t="shared" ca="1" si="45"/>
        <v>0</v>
      </c>
      <c r="AV112" s="20">
        <f t="shared" ca="1" si="46"/>
        <v>0</v>
      </c>
      <c r="AW112" s="20">
        <f t="shared" si="47"/>
        <v>0</v>
      </c>
      <c r="AX112" s="20">
        <f t="shared" si="48"/>
        <v>0</v>
      </c>
      <c r="BA112" s="20"/>
      <c r="BD112" s="94" t="str">
        <f t="shared" si="52"/>
        <v>ISL0661Orion</v>
      </c>
      <c r="BF112" s="15" t="s">
        <v>25</v>
      </c>
      <c r="BG112" t="s">
        <v>226</v>
      </c>
      <c r="BH112" s="190">
        <v>401.96520000000004</v>
      </c>
      <c r="BI112" s="190">
        <v>401.079010009765</v>
      </c>
      <c r="BJ112" s="257">
        <f t="shared" si="53"/>
        <v>14.277095366880273</v>
      </c>
      <c r="BK112" s="257">
        <f t="shared" si="50"/>
        <v>15.651228505388998</v>
      </c>
      <c r="BL112" s="257">
        <f t="shared" si="51"/>
        <v>16.567317264394809</v>
      </c>
      <c r="BM112" s="342" t="str">
        <f>VLOOKUP(LEFT(BG112,3),'Mapping B'!$D$2:$E$310,2,0)</f>
        <v>S</v>
      </c>
      <c r="BO112" s="20"/>
      <c r="BP112" s="190"/>
      <c r="BQ112" s="20"/>
      <c r="BR112" s="20"/>
    </row>
    <row r="113" spans="2:70" x14ac:dyDescent="0.25">
      <c r="B113" s="98" t="s">
        <v>112</v>
      </c>
      <c r="C113" s="98">
        <v>2014</v>
      </c>
      <c r="D113" s="98" t="s">
        <v>292</v>
      </c>
      <c r="E113" s="98" t="s">
        <v>2</v>
      </c>
      <c r="F113" s="98" t="s">
        <v>131</v>
      </c>
      <c r="G113" s="98">
        <v>0</v>
      </c>
      <c r="H113" s="299" t="str">
        <f>VLOOKUP(LEFT('Rev Adequacy'!D113,3),'Mapping B'!$D$2:$E$400,2,0)</f>
        <v>S</v>
      </c>
      <c r="I113" s="190"/>
      <c r="J113" s="15" t="s">
        <v>230</v>
      </c>
      <c r="K113" s="190" t="s">
        <v>25</v>
      </c>
      <c r="L113" s="190">
        <f t="shared" si="41"/>
        <v>12.940200000000001</v>
      </c>
      <c r="O113" s="15">
        <f>_xlfn.IFNA(IF(VLOOKUP($J113&amp;O$12,'Mapping A'!$A$6:$G$1011,7,0)=1,$L113,""),0)</f>
        <v>0</v>
      </c>
      <c r="P113" s="15">
        <f>_xlfn.IFNA(IF(VLOOKUP($J113&amp;P$12,'Mapping A'!$A$6:$G$1011,7,0)=1,$L113,""),0)</f>
        <v>12.940200000000001</v>
      </c>
      <c r="Q113" s="15">
        <f>_xlfn.IFNA(IF(VLOOKUP($J113&amp;Q$12,'Mapping A'!$A$6:$G$1011,7,0)=1,$L113,""),0)</f>
        <v>0</v>
      </c>
      <c r="R113" s="15">
        <f>_xlfn.IFNA(IF(VLOOKUP($J113&amp;R$12,'Mapping A'!$A$6:$G$1011,7,0)=1,$L113,""),0)</f>
        <v>0</v>
      </c>
      <c r="S113" s="15">
        <f>_xlfn.IFNA(IF(VLOOKUP($J113&amp;S$12,'Mapping A'!$A$6:$G$1011,7,0)=1,$L113,""),0)</f>
        <v>0</v>
      </c>
      <c r="T113" s="15">
        <f>_xlfn.IFNA(IF(VLOOKUP($J113&amp;T$14,'Mapping A'!$A$6:$G$1011,7,0)=1,$L113,""),0)</f>
        <v>0</v>
      </c>
      <c r="U113" s="15">
        <f>_xlfn.IFNA(IF(VLOOKUP($J113&amp;U$12,'Mapping A'!$A$6:$G$1011,7,0)=1,$L113,""),0)</f>
        <v>0</v>
      </c>
      <c r="V113" s="15">
        <f>_xlfn.IFNA(IF(VLOOKUP($J113&amp;V$12,'Mapping A'!$A$6:$G$1011,7,0)=1,$L113,""),0)</f>
        <v>0</v>
      </c>
      <c r="W113" s="15">
        <f>_xlfn.IFNA(IF(VLOOKUP($J113&amp;W$12,'Mapping A'!$A$6:$G$1011,7,0)=1,$L113,""),0)</f>
        <v>12.940200000000001</v>
      </c>
      <c r="X113" s="15">
        <f>_xlfn.IFNA(IF(VLOOKUP($J113&amp;X$12,'Mapping A'!$A$6:$G$1011,7,0)=1,$L113,""),0)</f>
        <v>0</v>
      </c>
      <c r="Y113" s="15">
        <f>_xlfn.IFNA(IF(VLOOKUP($J113&amp;Y$12,'Mapping A'!$A$6:$G$1011,7,0)=1,$L113,""),0)</f>
        <v>0</v>
      </c>
      <c r="Z113" s="15">
        <f>_xlfn.IFNA(IF(VLOOKUP($J113&amp;Z$12,'Mapping A'!$A$6:$G$1011,7,0)=1,$L113,""),0)</f>
        <v>0</v>
      </c>
      <c r="AA113" s="15">
        <f>_xlfn.IFNA(IF(VLOOKUP($J113&amp;AA$12,'Mapping A'!$A$6:$G$1011,7,0)=1,$L113,""),0)</f>
        <v>0</v>
      </c>
      <c r="AF113" s="155" t="str">
        <f t="shared" si="49"/>
        <v>KBY0661Orion</v>
      </c>
      <c r="AG113" s="15" t="s">
        <v>230</v>
      </c>
      <c r="AH113" s="190" t="s">
        <v>25</v>
      </c>
      <c r="AI113" s="190">
        <f t="shared" si="42"/>
        <v>12.940200000000001</v>
      </c>
      <c r="AJ113" s="292" t="s">
        <v>96</v>
      </c>
      <c r="AK113" s="15"/>
      <c r="AL113" s="15">
        <f t="shared" ca="1" si="54"/>
        <v>0</v>
      </c>
      <c r="AM113" s="15">
        <f t="shared" ca="1" si="55"/>
        <v>0</v>
      </c>
      <c r="AN113" s="15">
        <f t="shared" ca="1" si="56"/>
        <v>0</v>
      </c>
      <c r="AO113" s="15">
        <f t="shared" ca="1" si="57"/>
        <v>0</v>
      </c>
      <c r="AP113" s="15"/>
      <c r="AQ113" s="15">
        <f t="shared" ca="1" si="58"/>
        <v>0</v>
      </c>
      <c r="AR113" s="20">
        <f t="shared" ca="1" si="43"/>
        <v>0</v>
      </c>
      <c r="AS113" s="20"/>
      <c r="AT113" s="20">
        <f t="shared" ca="1" si="44"/>
        <v>3.6926184743265943E-2</v>
      </c>
      <c r="AU113" s="20">
        <f t="shared" ca="1" si="45"/>
        <v>0</v>
      </c>
      <c r="AV113" s="20">
        <f t="shared" ca="1" si="46"/>
        <v>0</v>
      </c>
      <c r="AW113" s="20">
        <f t="shared" si="47"/>
        <v>0</v>
      </c>
      <c r="AX113" s="20">
        <f t="shared" si="48"/>
        <v>0</v>
      </c>
      <c r="BA113" s="20"/>
      <c r="BD113" s="94" t="str">
        <f t="shared" si="52"/>
        <v>KAI0111Mainpower</v>
      </c>
      <c r="BF113" s="15" t="s">
        <v>12</v>
      </c>
      <c r="BG113" t="s">
        <v>227</v>
      </c>
      <c r="BH113" s="190">
        <v>28.961099999999998</v>
      </c>
      <c r="BI113" s="190">
        <v>28.961000442504801</v>
      </c>
      <c r="BJ113" s="257">
        <f t="shared" si="53"/>
        <v>1.0286472227689269</v>
      </c>
      <c r="BK113" s="257">
        <f t="shared" si="50"/>
        <v>1.1276518312217605</v>
      </c>
      <c r="BL113" s="257">
        <f t="shared" si="51"/>
        <v>1.1936549035236497</v>
      </c>
      <c r="BM113" s="342" t="str">
        <f>VLOOKUP(LEFT(BG113,3),'Mapping B'!$D$2:$E$310,2,0)</f>
        <v>S</v>
      </c>
      <c r="BO113" s="20"/>
      <c r="BP113" s="190"/>
      <c r="BQ113" s="20"/>
      <c r="BR113" s="20"/>
    </row>
    <row r="114" spans="2:70" x14ac:dyDescent="0.25">
      <c r="B114" s="98" t="s">
        <v>112</v>
      </c>
      <c r="C114" s="98">
        <v>2014</v>
      </c>
      <c r="D114" s="98" t="s">
        <v>382</v>
      </c>
      <c r="E114" s="98" t="s">
        <v>2</v>
      </c>
      <c r="F114" s="98" t="s">
        <v>131</v>
      </c>
      <c r="G114" s="98">
        <v>0</v>
      </c>
      <c r="H114" s="299" t="str">
        <f>VLOOKUP(LEFT('Rev Adequacy'!D114,3),'Mapping B'!$D$2:$E$400,2,0)</f>
        <v>S</v>
      </c>
      <c r="I114" s="190"/>
      <c r="J114" s="15" t="s">
        <v>231</v>
      </c>
      <c r="K114" s="190" t="s">
        <v>25</v>
      </c>
      <c r="L114" s="190">
        <f t="shared" si="41"/>
        <v>7.4823000000000004</v>
      </c>
      <c r="O114" s="15">
        <f>_xlfn.IFNA(IF(VLOOKUP($J114&amp;O$12,'Mapping A'!$A$6:$G$1011,7,0)=1,$L114,""),0)</f>
        <v>0</v>
      </c>
      <c r="P114" s="15">
        <f>_xlfn.IFNA(IF(VLOOKUP($J114&amp;P$12,'Mapping A'!$A$6:$G$1011,7,0)=1,$L114,""),0)</f>
        <v>7.4823000000000004</v>
      </c>
      <c r="Q114" s="15">
        <f>_xlfn.IFNA(IF(VLOOKUP($J114&amp;Q$12,'Mapping A'!$A$6:$G$1011,7,0)=1,$L114,""),0)</f>
        <v>0</v>
      </c>
      <c r="R114" s="15">
        <f>_xlfn.IFNA(IF(VLOOKUP($J114&amp;R$12,'Mapping A'!$A$6:$G$1011,7,0)=1,$L114,""),0)</f>
        <v>0</v>
      </c>
      <c r="S114" s="15">
        <f>_xlfn.IFNA(IF(VLOOKUP($J114&amp;S$12,'Mapping A'!$A$6:$G$1011,7,0)=1,$L114,""),0)</f>
        <v>0</v>
      </c>
      <c r="T114" s="15">
        <f>_xlfn.IFNA(IF(VLOOKUP($J114&amp;T$14,'Mapping A'!$A$6:$G$1011,7,0)=1,$L114,""),0)</f>
        <v>0</v>
      </c>
      <c r="U114" s="15">
        <f>_xlfn.IFNA(IF(VLOOKUP($J114&amp;U$12,'Mapping A'!$A$6:$G$1011,7,0)=1,$L114,""),0)</f>
        <v>0</v>
      </c>
      <c r="V114" s="15">
        <f>_xlfn.IFNA(IF(VLOOKUP($J114&amp;V$12,'Mapping A'!$A$6:$G$1011,7,0)=1,$L114,""),0)</f>
        <v>0</v>
      </c>
      <c r="W114" s="15">
        <f>_xlfn.IFNA(IF(VLOOKUP($J114&amp;W$12,'Mapping A'!$A$6:$G$1011,7,0)=1,$L114,""),0)</f>
        <v>7.4823000000000004</v>
      </c>
      <c r="X114" s="15">
        <f>_xlfn.IFNA(IF(VLOOKUP($J114&amp;X$12,'Mapping A'!$A$6:$G$1011,7,0)=1,$L114,""),0)</f>
        <v>0</v>
      </c>
      <c r="Y114" s="15">
        <f>_xlfn.IFNA(IF(VLOOKUP($J114&amp;Y$12,'Mapping A'!$A$6:$G$1011,7,0)=1,$L114,""),0)</f>
        <v>0</v>
      </c>
      <c r="Z114" s="15">
        <f>_xlfn.IFNA(IF(VLOOKUP($J114&amp;Z$12,'Mapping A'!$A$6:$G$1011,7,0)=1,$L114,""),0)</f>
        <v>0</v>
      </c>
      <c r="AA114" s="15">
        <f>_xlfn.IFNA(IF(VLOOKUP($J114&amp;AA$12,'Mapping A'!$A$6:$G$1011,7,0)=1,$L114,""),0)</f>
        <v>0</v>
      </c>
      <c r="AF114" s="155" t="str">
        <f t="shared" si="49"/>
        <v>KBY0662Orion</v>
      </c>
      <c r="AG114" s="15" t="s">
        <v>231</v>
      </c>
      <c r="AH114" s="190" t="s">
        <v>25</v>
      </c>
      <c r="AI114" s="190">
        <f t="shared" si="42"/>
        <v>7.4823000000000004</v>
      </c>
      <c r="AJ114" s="292" t="s">
        <v>96</v>
      </c>
      <c r="AK114" s="15"/>
      <c r="AL114" s="15">
        <f t="shared" ca="1" si="54"/>
        <v>0</v>
      </c>
      <c r="AM114" s="15">
        <f t="shared" ca="1" si="55"/>
        <v>0</v>
      </c>
      <c r="AN114" s="15">
        <f t="shared" ca="1" si="56"/>
        <v>0</v>
      </c>
      <c r="AO114" s="15">
        <f t="shared" ca="1" si="57"/>
        <v>0</v>
      </c>
      <c r="AP114" s="15"/>
      <c r="AQ114" s="15">
        <f t="shared" ca="1" si="58"/>
        <v>0</v>
      </c>
      <c r="AR114" s="20">
        <f t="shared" ca="1" si="43"/>
        <v>0</v>
      </c>
      <c r="AS114" s="20"/>
      <c r="AT114" s="20">
        <f t="shared" ca="1" si="44"/>
        <v>2.1351508640093567E-2</v>
      </c>
      <c r="AU114" s="20">
        <f t="shared" ca="1" si="45"/>
        <v>0</v>
      </c>
      <c r="AV114" s="20">
        <f t="shared" ca="1" si="46"/>
        <v>0</v>
      </c>
      <c r="AW114" s="20">
        <f t="shared" si="47"/>
        <v>0</v>
      </c>
      <c r="AX114" s="20">
        <f t="shared" si="48"/>
        <v>0</v>
      </c>
      <c r="BA114" s="20"/>
      <c r="BD114" s="94" t="str">
        <f t="shared" si="52"/>
        <v>KAW0111Horizon</v>
      </c>
      <c r="BF114" s="15" t="s">
        <v>11</v>
      </c>
      <c r="BG114" t="s">
        <v>229</v>
      </c>
      <c r="BH114" s="190">
        <v>18.704699999999999</v>
      </c>
      <c r="BI114" s="190">
        <v>18.701999664306602</v>
      </c>
      <c r="BJ114" s="257">
        <f t="shared" si="53"/>
        <v>0.66435797354817139</v>
      </c>
      <c r="BK114" s="257">
        <f t="shared" si="50"/>
        <v>0.72830069325590752</v>
      </c>
      <c r="BL114" s="257">
        <f t="shared" si="51"/>
        <v>0.77092917306106501</v>
      </c>
      <c r="BM114" s="342" t="str">
        <f>VLOOKUP(LEFT(BG114,3),'Mapping B'!$D$2:$E$310,2,0)</f>
        <v>N</v>
      </c>
      <c r="BO114" s="20"/>
      <c r="BP114" s="190"/>
      <c r="BQ114" s="20"/>
      <c r="BR114" s="20"/>
    </row>
    <row r="115" spans="2:70" x14ac:dyDescent="0.25">
      <c r="B115" s="98" t="s">
        <v>111</v>
      </c>
      <c r="C115" s="98">
        <v>2014</v>
      </c>
      <c r="D115" s="98" t="s">
        <v>291</v>
      </c>
      <c r="E115" s="98" t="s">
        <v>2</v>
      </c>
      <c r="F115" s="98" t="s">
        <v>131</v>
      </c>
      <c r="G115" s="98">
        <v>0</v>
      </c>
      <c r="H115" s="299" t="str">
        <f>VLOOKUP(LEFT('Rev Adequacy'!D115,3),'Mapping B'!$D$2:$E$400,2,0)</f>
        <v>S</v>
      </c>
      <c r="I115" s="190"/>
      <c r="J115" s="15" t="s">
        <v>232</v>
      </c>
      <c r="K115" s="190" t="s">
        <v>19</v>
      </c>
      <c r="L115" s="190">
        <f t="shared" si="41"/>
        <v>3.2885999999999997</v>
      </c>
      <c r="O115" s="15">
        <f>_xlfn.IFNA(IF(VLOOKUP($J115&amp;O$12,'Mapping A'!$A$6:$G$1011,7,0)=1,$L115,""),0)</f>
        <v>0</v>
      </c>
      <c r="P115" s="15">
        <f>_xlfn.IFNA(IF(VLOOKUP($J115&amp;P$12,'Mapping A'!$A$6:$G$1011,7,0)=1,$L115,""),0)</f>
        <v>3.2885999999999997</v>
      </c>
      <c r="Q115" s="15">
        <f>_xlfn.IFNA(IF(VLOOKUP($J115&amp;Q$12,'Mapping A'!$A$6:$G$1011,7,0)=1,$L115,""),0)</f>
        <v>0</v>
      </c>
      <c r="R115" s="15">
        <f>_xlfn.IFNA(IF(VLOOKUP($J115&amp;R$12,'Mapping A'!$A$6:$G$1011,7,0)=1,$L115,""),0)</f>
        <v>0</v>
      </c>
      <c r="S115" s="15">
        <f>_xlfn.IFNA(IF(VLOOKUP($J115&amp;S$12,'Mapping A'!$A$6:$G$1011,7,0)=1,$L115,""),0)</f>
        <v>0</v>
      </c>
      <c r="T115" s="15">
        <f>_xlfn.IFNA(IF(VLOOKUP($J115&amp;T$14,'Mapping A'!$A$6:$G$1011,7,0)=1,$L115,""),0)</f>
        <v>0</v>
      </c>
      <c r="U115" s="15">
        <f>_xlfn.IFNA(IF(VLOOKUP($J115&amp;U$12,'Mapping A'!$A$6:$G$1011,7,0)=1,$L115,""),0)</f>
        <v>0</v>
      </c>
      <c r="V115" s="15">
        <f>_xlfn.IFNA(IF(VLOOKUP($J115&amp;V$12,'Mapping A'!$A$6:$G$1011,7,0)=1,$L115,""),0)</f>
        <v>0</v>
      </c>
      <c r="W115" s="15">
        <f>_xlfn.IFNA(IF(VLOOKUP($J115&amp;W$12,'Mapping A'!$A$6:$G$1011,7,0)=1,$L115,""),0)</f>
        <v>3.2885999999999997</v>
      </c>
      <c r="X115" s="15">
        <f>_xlfn.IFNA(IF(VLOOKUP($J115&amp;X$12,'Mapping A'!$A$6:$G$1011,7,0)=1,$L115,""),0)</f>
        <v>0</v>
      </c>
      <c r="Y115" s="15">
        <f>_xlfn.IFNA(IF(VLOOKUP($J115&amp;Y$12,'Mapping A'!$A$6:$G$1011,7,0)=1,$L115,""),0)</f>
        <v>0</v>
      </c>
      <c r="Z115" s="15">
        <f>_xlfn.IFNA(IF(VLOOKUP($J115&amp;Z$12,'Mapping A'!$A$6:$G$1011,7,0)=1,$L115,""),0)</f>
        <v>0</v>
      </c>
      <c r="AA115" s="15">
        <f>_xlfn.IFNA(IF(VLOOKUP($J115&amp;AA$12,'Mapping A'!$A$6:$G$1011,7,0)=1,$L115,""),0)</f>
        <v>3.2885999999999997</v>
      </c>
      <c r="AF115" s="155" t="str">
        <f t="shared" si="49"/>
        <v>KIK0111Network Tasman</v>
      </c>
      <c r="AG115" s="15" t="s">
        <v>232</v>
      </c>
      <c r="AH115" s="190" t="s">
        <v>19</v>
      </c>
      <c r="AI115" s="190">
        <f t="shared" si="42"/>
        <v>3.2885999999999997</v>
      </c>
      <c r="AJ115" s="292" t="s">
        <v>96</v>
      </c>
      <c r="AK115" s="15"/>
      <c r="AL115" s="15">
        <f t="shared" ca="1" si="54"/>
        <v>0</v>
      </c>
      <c r="AM115" s="15">
        <f t="shared" ca="1" si="55"/>
        <v>0</v>
      </c>
      <c r="AN115" s="15">
        <f t="shared" ca="1" si="56"/>
        <v>0</v>
      </c>
      <c r="AO115" s="15">
        <f t="shared" ca="1" si="57"/>
        <v>0</v>
      </c>
      <c r="AP115" s="15"/>
      <c r="AQ115" s="15">
        <f t="shared" ca="1" si="58"/>
        <v>0</v>
      </c>
      <c r="AR115" s="20">
        <f t="shared" ca="1" si="43"/>
        <v>0</v>
      </c>
      <c r="AS115" s="20"/>
      <c r="AT115" s="20">
        <f t="shared" ca="1" si="44"/>
        <v>9.3843565900607676E-3</v>
      </c>
      <c r="AU115" s="20">
        <f t="shared" ca="1" si="45"/>
        <v>0</v>
      </c>
      <c r="AV115" s="20">
        <f t="shared" ca="1" si="46"/>
        <v>0</v>
      </c>
      <c r="AW115" s="20">
        <f t="shared" si="47"/>
        <v>0</v>
      </c>
      <c r="AX115" s="20">
        <f t="shared" si="48"/>
        <v>0</v>
      </c>
      <c r="BA115" s="20"/>
      <c r="BD115" s="94" t="str">
        <f t="shared" si="52"/>
        <v>KAW0112Norske Skog</v>
      </c>
      <c r="BF115" s="15" t="s">
        <v>22</v>
      </c>
      <c r="BG115" t="s">
        <v>404</v>
      </c>
      <c r="BH115" s="190">
        <v>36.357999999999997</v>
      </c>
      <c r="BI115" s="190">
        <v>43.495998382568303</v>
      </c>
      <c r="BJ115" s="257">
        <f t="shared" si="53"/>
        <v>1.2913720723809745</v>
      </c>
      <c r="BK115" s="257">
        <f t="shared" si="50"/>
        <v>1.4156632613941034</v>
      </c>
      <c r="BL115" s="257">
        <f t="shared" si="51"/>
        <v>1.4985240540695226</v>
      </c>
      <c r="BM115" s="342" t="str">
        <f>VLOOKUP(LEFT(BG115,3),'Mapping B'!$D$2:$E$310,2,0)</f>
        <v>N</v>
      </c>
      <c r="BO115" s="20"/>
      <c r="BP115" s="190"/>
      <c r="BQ115" s="20"/>
      <c r="BR115" s="20"/>
    </row>
    <row r="116" spans="2:70" x14ac:dyDescent="0.25">
      <c r="B116" s="98" t="s">
        <v>111</v>
      </c>
      <c r="C116" s="98">
        <v>2014</v>
      </c>
      <c r="D116" s="98" t="s">
        <v>292</v>
      </c>
      <c r="E116" s="98" t="s">
        <v>2</v>
      </c>
      <c r="F116" s="98" t="s">
        <v>131</v>
      </c>
      <c r="G116" s="98">
        <v>0</v>
      </c>
      <c r="H116" s="299" t="str">
        <f>VLOOKUP(LEFT('Rev Adequacy'!D116,3),'Mapping B'!$D$2:$E$400,2,0)</f>
        <v>S</v>
      </c>
      <c r="I116" s="190"/>
      <c r="J116" s="15" t="s">
        <v>408</v>
      </c>
      <c r="K116" s="190" t="s">
        <v>3</v>
      </c>
      <c r="L116" s="190">
        <f t="shared" si="41"/>
        <v>49.295400000000001</v>
      </c>
      <c r="O116" s="15">
        <f>_xlfn.IFNA(IF(VLOOKUP($J116&amp;O$12,'Mapping A'!$A$6:$G$1011,7,0)=1,$L116,""),0)</f>
        <v>0</v>
      </c>
      <c r="P116" s="15">
        <f>_xlfn.IFNA(IF(VLOOKUP($J116&amp;P$12,'Mapping A'!$A$6:$G$1011,7,0)=1,$L116,""),0)</f>
        <v>49.295400000000001</v>
      </c>
      <c r="Q116" s="15">
        <f>_xlfn.IFNA(IF(VLOOKUP($J116&amp;Q$12,'Mapping A'!$A$6:$G$1011,7,0)=1,$L116,""),0)</f>
        <v>49.295400000000001</v>
      </c>
      <c r="R116" s="15">
        <f>_xlfn.IFNA(IF(VLOOKUP($J116&amp;R$12,'Mapping A'!$A$6:$G$1011,7,0)=1,$L116,""),0)</f>
        <v>0</v>
      </c>
      <c r="S116" s="15">
        <f>_xlfn.IFNA(IF(VLOOKUP($J116&amp;S$12,'Mapping A'!$A$6:$G$1011,7,0)=1,$L116,""),0)</f>
        <v>0</v>
      </c>
      <c r="T116" s="15">
        <f>_xlfn.IFNA(IF(VLOOKUP($J116&amp;T$14,'Mapping A'!$A$6:$G$1011,7,0)=1,$L116,""),0)</f>
        <v>49.295400000000001</v>
      </c>
      <c r="U116" s="15">
        <f>_xlfn.IFNA(IF(VLOOKUP($J116&amp;U$12,'Mapping A'!$A$6:$G$1011,7,0)=1,$L116,""),0)</f>
        <v>0</v>
      </c>
      <c r="V116" s="15">
        <f>_xlfn.IFNA(IF(VLOOKUP($J116&amp;V$12,'Mapping A'!$A$6:$G$1011,7,0)=1,$L116,""),0)</f>
        <v>0</v>
      </c>
      <c r="W116" s="15">
        <f>_xlfn.IFNA(IF(VLOOKUP($J116&amp;W$12,'Mapping A'!$A$6:$G$1011,7,0)=1,$L116,""),0)</f>
        <v>0</v>
      </c>
      <c r="X116" s="15">
        <f>_xlfn.IFNA(IF(VLOOKUP($J116&amp;X$12,'Mapping A'!$A$6:$G$1011,7,0)=1,$L116,""),0)</f>
        <v>0</v>
      </c>
      <c r="Y116" s="15">
        <f>_xlfn.IFNA(IF(VLOOKUP($J116&amp;Y$12,'Mapping A'!$A$6:$G$1011,7,0)=1,$L116,""),0)</f>
        <v>0</v>
      </c>
      <c r="Z116" s="15">
        <f>_xlfn.IFNA(IF(VLOOKUP($J116&amp;Z$12,'Mapping A'!$A$6:$G$1011,7,0)=1,$L116,""),0)</f>
        <v>0</v>
      </c>
      <c r="AA116" s="15">
        <f>_xlfn.IFNA(IF(VLOOKUP($J116&amp;AA$12,'Mapping A'!$A$6:$G$1011,7,0)=1,$L116,""),0)</f>
        <v>0</v>
      </c>
      <c r="AF116" s="155" t="str">
        <f t="shared" si="49"/>
        <v>KIN0111CHH</v>
      </c>
      <c r="AG116" s="15" t="s">
        <v>408</v>
      </c>
      <c r="AH116" s="190" t="s">
        <v>3</v>
      </c>
      <c r="AI116" s="190">
        <f t="shared" si="42"/>
        <v>49.295400000000001</v>
      </c>
      <c r="AJ116" s="292" t="s">
        <v>95</v>
      </c>
      <c r="AK116" s="15"/>
      <c r="AL116" s="15">
        <f t="shared" ca="1" si="54"/>
        <v>0</v>
      </c>
      <c r="AM116" s="15">
        <f t="shared" ca="1" si="55"/>
        <v>0</v>
      </c>
      <c r="AN116" s="15">
        <f t="shared" ca="1" si="56"/>
        <v>0</v>
      </c>
      <c r="AO116" s="15">
        <f t="shared" ca="1" si="57"/>
        <v>0</v>
      </c>
      <c r="AP116" s="15"/>
      <c r="AQ116" s="15">
        <f t="shared" ca="1" si="58"/>
        <v>0</v>
      </c>
      <c r="AR116" s="20">
        <f t="shared" ca="1" si="43"/>
        <v>0</v>
      </c>
      <c r="AS116" s="20"/>
      <c r="AT116" s="20">
        <f t="shared" ca="1" si="44"/>
        <v>0</v>
      </c>
      <c r="AU116" s="20">
        <f t="shared" ca="1" si="45"/>
        <v>0</v>
      </c>
      <c r="AV116" s="20">
        <f t="shared" ca="1" si="46"/>
        <v>0</v>
      </c>
      <c r="AW116" s="20">
        <f t="shared" si="47"/>
        <v>0</v>
      </c>
      <c r="AX116" s="20">
        <f t="shared" si="48"/>
        <v>0</v>
      </c>
      <c r="BA116" s="20"/>
      <c r="BD116" s="94" t="str">
        <f t="shared" si="52"/>
        <v>KAW0113Norske Skog</v>
      </c>
      <c r="BF116" s="15" t="s">
        <v>22</v>
      </c>
      <c r="BG116" t="s">
        <v>405</v>
      </c>
      <c r="BH116" s="190">
        <v>77.611999999999995</v>
      </c>
      <c r="BI116" s="190">
        <v>77.611000061035099</v>
      </c>
      <c r="BJ116" s="257">
        <f t="shared" si="53"/>
        <v>2.7566414346672587</v>
      </c>
      <c r="BK116" s="257">
        <f t="shared" si="50"/>
        <v>3.0219609726420362</v>
      </c>
      <c r="BL116" s="257">
        <f t="shared" si="51"/>
        <v>3.1988406646252212</v>
      </c>
      <c r="BM116" s="342" t="str">
        <f>VLOOKUP(LEFT(BG116,3),'Mapping B'!$D$2:$E$310,2,0)</f>
        <v>N</v>
      </c>
      <c r="BO116" s="20"/>
      <c r="BP116" s="190"/>
      <c r="BQ116" s="20"/>
      <c r="BR116" s="20"/>
    </row>
    <row r="117" spans="2:70" x14ac:dyDescent="0.25">
      <c r="B117" s="98" t="s">
        <v>111</v>
      </c>
      <c r="C117" s="98">
        <v>2014</v>
      </c>
      <c r="D117" s="98" t="s">
        <v>382</v>
      </c>
      <c r="E117" s="98" t="s">
        <v>2</v>
      </c>
      <c r="F117" s="98" t="s">
        <v>131</v>
      </c>
      <c r="G117" s="98">
        <v>0</v>
      </c>
      <c r="H117" s="299" t="str">
        <f>VLOOKUP(LEFT('Rev Adequacy'!D117,3),'Mapping B'!$D$2:$E$400,2,0)</f>
        <v>S</v>
      </c>
      <c r="I117" s="190"/>
      <c r="J117" s="15" t="s">
        <v>409</v>
      </c>
      <c r="K117" s="190" t="s">
        <v>3</v>
      </c>
      <c r="L117" s="190">
        <f t="shared" si="41"/>
        <v>19.436000823974599</v>
      </c>
      <c r="O117" s="15">
        <f>_xlfn.IFNA(IF(VLOOKUP($J117&amp;O$12,'Mapping A'!$A$6:$G$1011,7,0)=1,$L117,""),0)</f>
        <v>0</v>
      </c>
      <c r="P117" s="15">
        <f>_xlfn.IFNA(IF(VLOOKUP($J117&amp;P$12,'Mapping A'!$A$6:$G$1011,7,0)=1,$L117,""),0)</f>
        <v>19.436000823974599</v>
      </c>
      <c r="Q117" s="15">
        <f>_xlfn.IFNA(IF(VLOOKUP($J117&amp;Q$12,'Mapping A'!$A$6:$G$1011,7,0)=1,$L117,""),0)</f>
        <v>19.436000823974599</v>
      </c>
      <c r="R117" s="15">
        <f>_xlfn.IFNA(IF(VLOOKUP($J117&amp;R$12,'Mapping A'!$A$6:$G$1011,7,0)=1,$L117,""),0)</f>
        <v>0</v>
      </c>
      <c r="S117" s="15">
        <f>_xlfn.IFNA(IF(VLOOKUP($J117&amp;S$12,'Mapping A'!$A$6:$G$1011,7,0)=1,$L117,""),0)</f>
        <v>0</v>
      </c>
      <c r="T117" s="15">
        <f>_xlfn.IFNA(IF(VLOOKUP($J117&amp;T$14,'Mapping A'!$A$6:$G$1011,7,0)=1,$L117,""),0)</f>
        <v>19.436000823974599</v>
      </c>
      <c r="U117" s="15">
        <f>_xlfn.IFNA(IF(VLOOKUP($J117&amp;U$12,'Mapping A'!$A$6:$G$1011,7,0)=1,$L117,""),0)</f>
        <v>0</v>
      </c>
      <c r="V117" s="15">
        <f>_xlfn.IFNA(IF(VLOOKUP($J117&amp;V$12,'Mapping A'!$A$6:$G$1011,7,0)=1,$L117,""),0)</f>
        <v>0</v>
      </c>
      <c r="W117" s="15">
        <f>_xlfn.IFNA(IF(VLOOKUP($J117&amp;W$12,'Mapping A'!$A$6:$G$1011,7,0)=1,$L117,""),0)</f>
        <v>0</v>
      </c>
      <c r="X117" s="15">
        <f>_xlfn.IFNA(IF(VLOOKUP($J117&amp;X$12,'Mapping A'!$A$6:$G$1011,7,0)=1,$L117,""),0)</f>
        <v>0</v>
      </c>
      <c r="Y117" s="15">
        <f>_xlfn.IFNA(IF(VLOOKUP($J117&amp;Y$12,'Mapping A'!$A$6:$G$1011,7,0)=1,$L117,""),0)</f>
        <v>0</v>
      </c>
      <c r="Z117" s="15">
        <f>_xlfn.IFNA(IF(VLOOKUP($J117&amp;Z$12,'Mapping A'!$A$6:$G$1011,7,0)=1,$L117,""),0)</f>
        <v>0</v>
      </c>
      <c r="AA117" s="15">
        <f>_xlfn.IFNA(IF(VLOOKUP($J117&amp;AA$12,'Mapping A'!$A$6:$G$1011,7,0)=1,$L117,""),0)</f>
        <v>0</v>
      </c>
      <c r="AF117" s="155" t="str">
        <f t="shared" si="49"/>
        <v>KIN0112CHH</v>
      </c>
      <c r="AG117" s="15" t="s">
        <v>409</v>
      </c>
      <c r="AH117" s="190" t="s">
        <v>3</v>
      </c>
      <c r="AI117" s="190">
        <f t="shared" si="42"/>
        <v>19.436000823974599</v>
      </c>
      <c r="AJ117" s="292" t="s">
        <v>95</v>
      </c>
      <c r="AK117" s="15"/>
      <c r="AL117" s="15">
        <f t="shared" ca="1" si="54"/>
        <v>0</v>
      </c>
      <c r="AM117" s="15">
        <f t="shared" ca="1" si="55"/>
        <v>0</v>
      </c>
      <c r="AN117" s="15">
        <f t="shared" ca="1" si="56"/>
        <v>0</v>
      </c>
      <c r="AO117" s="15">
        <f t="shared" ca="1" si="57"/>
        <v>0</v>
      </c>
      <c r="AP117" s="15"/>
      <c r="AQ117" s="15">
        <f t="shared" ca="1" si="58"/>
        <v>0</v>
      </c>
      <c r="AR117" s="20">
        <f t="shared" ca="1" si="43"/>
        <v>0</v>
      </c>
      <c r="AS117" s="20"/>
      <c r="AT117" s="20">
        <f t="shared" ca="1" si="44"/>
        <v>0</v>
      </c>
      <c r="AU117" s="20">
        <f t="shared" ca="1" si="45"/>
        <v>0</v>
      </c>
      <c r="AV117" s="20">
        <f t="shared" ca="1" si="46"/>
        <v>0</v>
      </c>
      <c r="AW117" s="20">
        <f t="shared" si="47"/>
        <v>0</v>
      </c>
      <c r="AX117" s="20">
        <f t="shared" si="48"/>
        <v>0</v>
      </c>
      <c r="BA117" s="95"/>
      <c r="BD117" s="94" t="str">
        <f t="shared" si="52"/>
        <v>KAW1101Other</v>
      </c>
      <c r="BF117" s="15" t="s">
        <v>53</v>
      </c>
      <c r="BG117" t="s">
        <v>406</v>
      </c>
      <c r="BH117" s="190"/>
      <c r="BI117" s="190">
        <v>4.8179998397827104</v>
      </c>
      <c r="BJ117" s="257">
        <f t="shared" si="53"/>
        <v>0</v>
      </c>
      <c r="BK117" s="257">
        <f t="shared" si="50"/>
        <v>0</v>
      </c>
      <c r="BL117" s="257">
        <f t="shared" si="51"/>
        <v>0</v>
      </c>
      <c r="BM117" s="342" t="str">
        <f>VLOOKUP(LEFT(BG117,3),'Mapping B'!$D$2:$E$310,2,0)</f>
        <v>N</v>
      </c>
      <c r="BO117" s="20"/>
      <c r="BP117" s="190"/>
      <c r="BQ117" s="20"/>
      <c r="BR117" s="20"/>
    </row>
    <row r="118" spans="2:70" x14ac:dyDescent="0.25">
      <c r="B118" s="98" t="s">
        <v>552</v>
      </c>
      <c r="C118" s="98">
        <v>2014</v>
      </c>
      <c r="D118" s="98" t="s">
        <v>383</v>
      </c>
      <c r="E118" s="98" t="s">
        <v>100</v>
      </c>
      <c r="F118" s="98" t="s">
        <v>131</v>
      </c>
      <c r="G118" s="248">
        <v>535.08800000000804</v>
      </c>
      <c r="H118" s="299" t="str">
        <f>VLOOKUP(LEFT('Rev Adequacy'!D118,3),'Mapping B'!$D$2:$E$400,2,0)</f>
        <v>N</v>
      </c>
      <c r="I118" s="190"/>
      <c r="J118" s="15" t="s">
        <v>410</v>
      </c>
      <c r="K118" s="190" t="s">
        <v>3</v>
      </c>
      <c r="L118" s="190">
        <f t="shared" si="41"/>
        <v>20.233499999999999</v>
      </c>
      <c r="O118" s="15">
        <f>_xlfn.IFNA(IF(VLOOKUP($J118&amp;O$12,'Mapping A'!$A$6:$G$1011,7,0)=1,$L118,""),0)</f>
        <v>0</v>
      </c>
      <c r="P118" s="15">
        <f>_xlfn.IFNA(IF(VLOOKUP($J118&amp;P$12,'Mapping A'!$A$6:$G$1011,7,0)=1,$L118,""),0)</f>
        <v>20.233499999999999</v>
      </c>
      <c r="Q118" s="15">
        <f>_xlfn.IFNA(IF(VLOOKUP($J118&amp;Q$12,'Mapping A'!$A$6:$G$1011,7,0)=1,$L118,""),0)</f>
        <v>20.233499999999999</v>
      </c>
      <c r="R118" s="15">
        <f>_xlfn.IFNA(IF(VLOOKUP($J118&amp;R$12,'Mapping A'!$A$6:$G$1011,7,0)=1,$L118,""),0)</f>
        <v>0</v>
      </c>
      <c r="S118" s="15">
        <f>_xlfn.IFNA(IF(VLOOKUP($J118&amp;S$12,'Mapping A'!$A$6:$G$1011,7,0)=1,$L118,""),0)</f>
        <v>0</v>
      </c>
      <c r="T118" s="15">
        <f>_xlfn.IFNA(IF(VLOOKUP($J118&amp;T$14,'Mapping A'!$A$6:$G$1011,7,0)=1,$L118,""),0)</f>
        <v>20.233499999999999</v>
      </c>
      <c r="U118" s="15">
        <f>_xlfn.IFNA(IF(VLOOKUP($J118&amp;U$12,'Mapping A'!$A$6:$G$1011,7,0)=1,$L118,""),0)</f>
        <v>0</v>
      </c>
      <c r="V118" s="15">
        <f>_xlfn.IFNA(IF(VLOOKUP($J118&amp;V$12,'Mapping A'!$A$6:$G$1011,7,0)=1,$L118,""),0)</f>
        <v>0</v>
      </c>
      <c r="W118" s="15">
        <f>_xlfn.IFNA(IF(VLOOKUP($J118&amp;W$12,'Mapping A'!$A$6:$G$1011,7,0)=1,$L118,""),0)</f>
        <v>0</v>
      </c>
      <c r="X118" s="15">
        <f>_xlfn.IFNA(IF(VLOOKUP($J118&amp;X$12,'Mapping A'!$A$6:$G$1011,7,0)=1,$L118,""),0)</f>
        <v>0</v>
      </c>
      <c r="Y118" s="15">
        <f>_xlfn.IFNA(IF(VLOOKUP($J118&amp;Y$12,'Mapping A'!$A$6:$G$1011,7,0)=1,$L118,""),0)</f>
        <v>0</v>
      </c>
      <c r="Z118" s="15">
        <f>_xlfn.IFNA(IF(VLOOKUP($J118&amp;Z$12,'Mapping A'!$A$6:$G$1011,7,0)=1,$L118,""),0)</f>
        <v>0</v>
      </c>
      <c r="AA118" s="15">
        <f>_xlfn.IFNA(IF(VLOOKUP($J118&amp;AA$12,'Mapping A'!$A$6:$G$1011,7,0)=1,$L118,""),0)</f>
        <v>0</v>
      </c>
      <c r="AF118" s="155" t="str">
        <f t="shared" si="49"/>
        <v>KIN0113CHH</v>
      </c>
      <c r="AG118" s="15" t="s">
        <v>410</v>
      </c>
      <c r="AH118" s="190" t="s">
        <v>3</v>
      </c>
      <c r="AI118" s="190">
        <f t="shared" si="42"/>
        <v>20.233499999999999</v>
      </c>
      <c r="AJ118" s="292" t="s">
        <v>95</v>
      </c>
      <c r="AK118" s="15"/>
      <c r="AL118" s="15">
        <f t="shared" ca="1" si="54"/>
        <v>0</v>
      </c>
      <c r="AM118" s="15">
        <f t="shared" ca="1" si="55"/>
        <v>0</v>
      </c>
      <c r="AN118" s="15">
        <f t="shared" ca="1" si="56"/>
        <v>0</v>
      </c>
      <c r="AO118" s="15">
        <f t="shared" ca="1" si="57"/>
        <v>0</v>
      </c>
      <c r="AP118" s="15"/>
      <c r="AQ118" s="15">
        <f t="shared" ca="1" si="58"/>
        <v>0</v>
      </c>
      <c r="AR118" s="20">
        <f t="shared" ca="1" si="43"/>
        <v>0</v>
      </c>
      <c r="AS118" s="20"/>
      <c r="AT118" s="20">
        <f t="shared" ca="1" si="44"/>
        <v>0</v>
      </c>
      <c r="AU118" s="20">
        <f t="shared" ca="1" si="45"/>
        <v>0</v>
      </c>
      <c r="AV118" s="20">
        <f t="shared" ca="1" si="46"/>
        <v>0</v>
      </c>
      <c r="AW118" s="20">
        <f t="shared" si="47"/>
        <v>0</v>
      </c>
      <c r="AX118" s="20">
        <f t="shared" si="48"/>
        <v>0</v>
      </c>
      <c r="BA118" s="20"/>
      <c r="BD118" s="94" t="str">
        <f t="shared" si="52"/>
        <v>KBY0661Orion</v>
      </c>
      <c r="BF118" s="15" t="s">
        <v>25</v>
      </c>
      <c r="BG118" t="s">
        <v>230</v>
      </c>
      <c r="BH118" s="190">
        <v>12.940200000000001</v>
      </c>
      <c r="BI118" s="190">
        <v>12.939999580383301</v>
      </c>
      <c r="BJ118" s="257">
        <f t="shared" si="53"/>
        <v>0.45961309453282057</v>
      </c>
      <c r="BK118" s="257">
        <f t="shared" si="50"/>
        <v>0.50384965441146323</v>
      </c>
      <c r="BL118" s="257">
        <f t="shared" si="51"/>
        <v>0.53334069433055831</v>
      </c>
      <c r="BM118" s="342" t="str">
        <f>VLOOKUP(LEFT(BG118,3),'Mapping B'!$D$2:$E$310,2,0)</f>
        <v>S</v>
      </c>
      <c r="BO118" s="20"/>
      <c r="BP118" s="190"/>
      <c r="BQ118" s="20"/>
      <c r="BR118" s="20"/>
    </row>
    <row r="119" spans="2:70" x14ac:dyDescent="0.25">
      <c r="B119" s="98" t="s">
        <v>553</v>
      </c>
      <c r="C119" s="98">
        <v>2014</v>
      </c>
      <c r="D119" s="98" t="s">
        <v>383</v>
      </c>
      <c r="E119" s="98" t="s">
        <v>100</v>
      </c>
      <c r="F119" s="98" t="s">
        <v>131</v>
      </c>
      <c r="G119" s="248">
        <v>40635.350999999901</v>
      </c>
      <c r="H119" s="299" t="str">
        <f>VLOOKUP(LEFT('Rev Adequacy'!D119,3),'Mapping B'!$D$2:$E$400,2,0)</f>
        <v>N</v>
      </c>
      <c r="I119" s="190"/>
      <c r="J119" s="15" t="s">
        <v>234</v>
      </c>
      <c r="K119" s="190" t="s">
        <v>28</v>
      </c>
      <c r="L119" s="190">
        <f t="shared" si="41"/>
        <v>18.417000000000002</v>
      </c>
      <c r="O119" s="15">
        <f>_xlfn.IFNA(IF(VLOOKUP($J119&amp;O$12,'Mapping A'!$A$6:$G$1011,7,0)=1,$L119,""),0)</f>
        <v>0</v>
      </c>
      <c r="P119" s="15">
        <f>_xlfn.IFNA(IF(VLOOKUP($J119&amp;P$12,'Mapping A'!$A$6:$G$1011,7,0)=1,$L119,""),0)</f>
        <v>18.417000000000002</v>
      </c>
      <c r="Q119" s="15">
        <f>_xlfn.IFNA(IF(VLOOKUP($J119&amp;Q$12,'Mapping A'!$A$6:$G$1011,7,0)=1,$L119,""),0)</f>
        <v>18.417000000000002</v>
      </c>
      <c r="R119" s="15">
        <f>_xlfn.IFNA(IF(VLOOKUP($J119&amp;R$12,'Mapping A'!$A$6:$G$1011,7,0)=1,$L119,""),0)</f>
        <v>0</v>
      </c>
      <c r="S119" s="15">
        <f>_xlfn.IFNA(IF(VLOOKUP($J119&amp;S$12,'Mapping A'!$A$6:$G$1011,7,0)=1,$L119,""),0)</f>
        <v>0</v>
      </c>
      <c r="T119" s="15">
        <f>_xlfn.IFNA(IF(VLOOKUP($J119&amp;T$14,'Mapping A'!$A$6:$G$1011,7,0)=1,$L119,""),0)</f>
        <v>18.417000000000002</v>
      </c>
      <c r="U119" s="15">
        <f>_xlfn.IFNA(IF(VLOOKUP($J119&amp;U$12,'Mapping A'!$A$6:$G$1011,7,0)=1,$L119,""),0)</f>
        <v>0</v>
      </c>
      <c r="V119" s="15">
        <f>_xlfn.IFNA(IF(VLOOKUP($J119&amp;V$12,'Mapping A'!$A$6:$G$1011,7,0)=1,$L119,""),0)</f>
        <v>0</v>
      </c>
      <c r="W119" s="15">
        <f>_xlfn.IFNA(IF(VLOOKUP($J119&amp;W$12,'Mapping A'!$A$6:$G$1011,7,0)=1,$L119,""),0)</f>
        <v>0</v>
      </c>
      <c r="X119" s="15">
        <f>_xlfn.IFNA(IF(VLOOKUP($J119&amp;X$12,'Mapping A'!$A$6:$G$1011,7,0)=1,$L119,""),0)</f>
        <v>0</v>
      </c>
      <c r="Y119" s="15">
        <f>_xlfn.IFNA(IF(VLOOKUP($J119&amp;Y$12,'Mapping A'!$A$6:$G$1011,7,0)=1,$L119,""),0)</f>
        <v>0</v>
      </c>
      <c r="Z119" s="15">
        <f>_xlfn.IFNA(IF(VLOOKUP($J119&amp;Z$12,'Mapping A'!$A$6:$G$1011,7,0)=1,$L119,""),0)</f>
        <v>0</v>
      </c>
      <c r="AA119" s="15">
        <f>_xlfn.IFNA(IF(VLOOKUP($J119&amp;AA$12,'Mapping A'!$A$6:$G$1011,7,0)=1,$L119,""),0)</f>
        <v>0</v>
      </c>
      <c r="AF119" s="155" t="str">
        <f t="shared" si="49"/>
        <v>KIN0331Powerco</v>
      </c>
      <c r="AG119" s="15" t="s">
        <v>234</v>
      </c>
      <c r="AH119" s="190" t="s">
        <v>28</v>
      </c>
      <c r="AI119" s="190">
        <f t="shared" si="42"/>
        <v>18.417000000000002</v>
      </c>
      <c r="AJ119" s="292" t="s">
        <v>95</v>
      </c>
      <c r="AK119" s="15"/>
      <c r="AL119" s="15">
        <f t="shared" ca="1" si="54"/>
        <v>0</v>
      </c>
      <c r="AM119" s="15">
        <f t="shared" ca="1" si="55"/>
        <v>0</v>
      </c>
      <c r="AN119" s="15">
        <f t="shared" ca="1" si="56"/>
        <v>0</v>
      </c>
      <c r="AO119" s="15">
        <f t="shared" ca="1" si="57"/>
        <v>0</v>
      </c>
      <c r="AP119" s="15"/>
      <c r="AQ119" s="15">
        <f t="shared" ca="1" si="58"/>
        <v>0</v>
      </c>
      <c r="AR119" s="20">
        <f t="shared" ca="1" si="43"/>
        <v>0</v>
      </c>
      <c r="AS119" s="20"/>
      <c r="AT119" s="20">
        <f t="shared" ca="1" si="44"/>
        <v>0</v>
      </c>
      <c r="AU119" s="20">
        <f t="shared" ca="1" si="45"/>
        <v>0</v>
      </c>
      <c r="AV119" s="20">
        <f t="shared" ca="1" si="46"/>
        <v>0</v>
      </c>
      <c r="AW119" s="20">
        <f t="shared" si="47"/>
        <v>0</v>
      </c>
      <c r="AX119" s="20">
        <f t="shared" si="48"/>
        <v>0</v>
      </c>
      <c r="BA119" s="20"/>
      <c r="BD119" s="94" t="str">
        <f t="shared" si="52"/>
        <v>KBY0662Orion</v>
      </c>
      <c r="BF119" s="15" t="s">
        <v>25</v>
      </c>
      <c r="BG119" t="s">
        <v>231</v>
      </c>
      <c r="BH119" s="190">
        <v>7.4823000000000004</v>
      </c>
      <c r="BI119" s="190">
        <v>7.4819998741149902</v>
      </c>
      <c r="BJ119" s="257">
        <f t="shared" si="53"/>
        <v>0.26575810707894187</v>
      </c>
      <c r="BK119" s="257">
        <f t="shared" si="50"/>
        <v>0.29133663074781618</v>
      </c>
      <c r="BL119" s="257">
        <f t="shared" si="51"/>
        <v>0.30838897986039909</v>
      </c>
      <c r="BM119" s="342" t="str">
        <f>VLOOKUP(LEFT(BG119,3),'Mapping B'!$D$2:$E$310,2,0)</f>
        <v>S</v>
      </c>
      <c r="BO119" s="20"/>
      <c r="BP119" s="190"/>
      <c r="BQ119" s="20"/>
      <c r="BR119" s="20"/>
    </row>
    <row r="120" spans="2:70" x14ac:dyDescent="0.25">
      <c r="B120" s="98" t="s">
        <v>554</v>
      </c>
      <c r="C120" s="98">
        <v>2014</v>
      </c>
      <c r="D120" s="98" t="s">
        <v>383</v>
      </c>
      <c r="E120" s="98" t="s">
        <v>100</v>
      </c>
      <c r="F120" s="98" t="s">
        <v>131</v>
      </c>
      <c r="G120" s="98">
        <v>34026.575000000099</v>
      </c>
      <c r="H120" s="299" t="str">
        <f>VLOOKUP(LEFT('Rev Adequacy'!D120,3),'Mapping B'!$D$2:$E$400,2,0)</f>
        <v>N</v>
      </c>
      <c r="I120" s="190"/>
      <c r="J120" s="15" t="s">
        <v>235</v>
      </c>
      <c r="K120" s="190" t="s">
        <v>28</v>
      </c>
      <c r="L120" s="190">
        <f t="shared" si="41"/>
        <v>21.186900000000001</v>
      </c>
      <c r="O120" s="15">
        <f>_xlfn.IFNA(IF(VLOOKUP($J120&amp;O$12,'Mapping A'!$A$6:$G$1011,7,0)=1,$L120,""),0)</f>
        <v>0</v>
      </c>
      <c r="P120" s="15">
        <f>_xlfn.IFNA(IF(VLOOKUP($J120&amp;P$12,'Mapping A'!$A$6:$G$1011,7,0)=1,$L120,""),0)</f>
        <v>21.186900000000001</v>
      </c>
      <c r="Q120" s="15">
        <f>_xlfn.IFNA(IF(VLOOKUP($J120&amp;Q$12,'Mapping A'!$A$6:$G$1011,7,0)=1,$L120,""),0)</f>
        <v>21.186900000000001</v>
      </c>
      <c r="R120" s="15">
        <f>_xlfn.IFNA(IF(VLOOKUP($J120&amp;R$12,'Mapping A'!$A$6:$G$1011,7,0)=1,$L120,""),0)</f>
        <v>0</v>
      </c>
      <c r="S120" s="15">
        <f>_xlfn.IFNA(IF(VLOOKUP($J120&amp;S$12,'Mapping A'!$A$6:$G$1011,7,0)=1,$L120,""),0)</f>
        <v>0</v>
      </c>
      <c r="T120" s="15">
        <f>_xlfn.IFNA(IF(VLOOKUP($J120&amp;T$14,'Mapping A'!$A$6:$G$1011,7,0)=1,$L120,""),0)</f>
        <v>21.186900000000001</v>
      </c>
      <c r="U120" s="15">
        <f>_xlfn.IFNA(IF(VLOOKUP($J120&amp;U$12,'Mapping A'!$A$6:$G$1011,7,0)=1,$L120,""),0)</f>
        <v>0</v>
      </c>
      <c r="V120" s="15">
        <f>_xlfn.IFNA(IF(VLOOKUP($J120&amp;V$12,'Mapping A'!$A$6:$G$1011,7,0)=1,$L120,""),0)</f>
        <v>0</v>
      </c>
      <c r="W120" s="15">
        <f>_xlfn.IFNA(IF(VLOOKUP($J120&amp;W$12,'Mapping A'!$A$6:$G$1011,7,0)=1,$L120,""),0)</f>
        <v>0</v>
      </c>
      <c r="X120" s="15">
        <f>_xlfn.IFNA(IF(VLOOKUP($J120&amp;X$12,'Mapping A'!$A$6:$G$1011,7,0)=1,$L120,""),0)</f>
        <v>0</v>
      </c>
      <c r="Y120" s="15">
        <f>_xlfn.IFNA(IF(VLOOKUP($J120&amp;Y$12,'Mapping A'!$A$6:$G$1011,7,0)=1,$L120,""),0)</f>
        <v>0</v>
      </c>
      <c r="Z120" s="15">
        <f>_xlfn.IFNA(IF(VLOOKUP($J120&amp;Z$12,'Mapping A'!$A$6:$G$1011,7,0)=1,$L120,""),0)</f>
        <v>0</v>
      </c>
      <c r="AA120" s="15">
        <f>_xlfn.IFNA(IF(VLOOKUP($J120&amp;AA$12,'Mapping A'!$A$6:$G$1011,7,0)=1,$L120,""),0)</f>
        <v>0</v>
      </c>
      <c r="AF120" s="155" t="str">
        <f t="shared" si="49"/>
        <v>KMO0331Powerco</v>
      </c>
      <c r="AG120" s="15" t="s">
        <v>235</v>
      </c>
      <c r="AH120" s="190" t="s">
        <v>28</v>
      </c>
      <c r="AI120" s="190">
        <f t="shared" si="42"/>
        <v>21.186900000000001</v>
      </c>
      <c r="AJ120" s="292" t="s">
        <v>95</v>
      </c>
      <c r="AK120" s="15"/>
      <c r="AL120" s="15">
        <f t="shared" ca="1" si="54"/>
        <v>0</v>
      </c>
      <c r="AM120" s="15">
        <f t="shared" ca="1" si="55"/>
        <v>0</v>
      </c>
      <c r="AN120" s="15">
        <f t="shared" ca="1" si="56"/>
        <v>0</v>
      </c>
      <c r="AO120" s="15">
        <f t="shared" ca="1" si="57"/>
        <v>0</v>
      </c>
      <c r="AP120" s="15"/>
      <c r="AQ120" s="15">
        <f t="shared" ca="1" si="58"/>
        <v>0</v>
      </c>
      <c r="AR120" s="20">
        <f t="shared" ca="1" si="43"/>
        <v>0</v>
      </c>
      <c r="AS120" s="20"/>
      <c r="AT120" s="20">
        <f t="shared" ca="1" si="44"/>
        <v>0</v>
      </c>
      <c r="AU120" s="20">
        <f t="shared" ca="1" si="45"/>
        <v>0</v>
      </c>
      <c r="AV120" s="20">
        <f t="shared" ca="1" si="46"/>
        <v>0</v>
      </c>
      <c r="AW120" s="20">
        <f t="shared" si="47"/>
        <v>0</v>
      </c>
      <c r="AX120" s="20">
        <f t="shared" si="48"/>
        <v>0</v>
      </c>
      <c r="BA120" s="20"/>
      <c r="BD120" s="94" t="str">
        <f t="shared" si="52"/>
        <v>KIK0111Network Tasman</v>
      </c>
      <c r="BF120" s="15" t="s">
        <v>19</v>
      </c>
      <c r="BG120" t="s">
        <v>232</v>
      </c>
      <c r="BH120" s="190">
        <v>3.2885999999999997</v>
      </c>
      <c r="BI120" s="190">
        <v>3.2939999103546098</v>
      </c>
      <c r="BJ120" s="257">
        <f t="shared" si="53"/>
        <v>0.11680527524154444</v>
      </c>
      <c r="BK120" s="257">
        <f t="shared" si="50"/>
        <v>0.12804747789814205</v>
      </c>
      <c r="BL120" s="257">
        <f t="shared" si="51"/>
        <v>0.13554227966920709</v>
      </c>
      <c r="BM120" s="342" t="str">
        <f>VLOOKUP(LEFT(BG120,3),'Mapping B'!$D$2:$E$310,2,0)</f>
        <v>S</v>
      </c>
      <c r="BO120" s="20"/>
      <c r="BP120" s="190"/>
      <c r="BQ120" s="20"/>
      <c r="BR120" s="20"/>
    </row>
    <row r="121" spans="2:70" x14ac:dyDescent="0.25">
      <c r="B121" s="98" t="s">
        <v>563</v>
      </c>
      <c r="C121" s="98">
        <v>2014</v>
      </c>
      <c r="D121" s="98" t="s">
        <v>383</v>
      </c>
      <c r="E121" s="98" t="s">
        <v>100</v>
      </c>
      <c r="F121" s="98" t="s">
        <v>131</v>
      </c>
      <c r="G121" s="98">
        <v>230495.402</v>
      </c>
      <c r="H121" s="299" t="str">
        <f>VLOOKUP(LEFT('Rev Adequacy'!D121,3),'Mapping B'!$D$2:$E$400,2,0)</f>
        <v>N</v>
      </c>
      <c r="I121" s="190"/>
      <c r="J121" s="15" t="s">
        <v>236</v>
      </c>
      <c r="K121" s="190" t="s">
        <v>34</v>
      </c>
      <c r="L121" s="190">
        <f t="shared" si="41"/>
        <v>72.2988</v>
      </c>
      <c r="O121" s="15">
        <f>_xlfn.IFNA(IF(VLOOKUP($J121&amp;O$12,'Mapping A'!$A$6:$G$1011,7,0)=1,$L121,""),0)</f>
        <v>72.2988</v>
      </c>
      <c r="P121" s="15">
        <f>_xlfn.IFNA(IF(VLOOKUP($J121&amp;P$12,'Mapping A'!$A$6:$G$1011,7,0)=1,$L121,""),0)</f>
        <v>72.2988</v>
      </c>
      <c r="Q121" s="15">
        <f>_xlfn.IFNA(IF(VLOOKUP($J121&amp;Q$12,'Mapping A'!$A$6:$G$1011,7,0)=1,$L121,""),0)</f>
        <v>72.2988</v>
      </c>
      <c r="R121" s="15">
        <f>_xlfn.IFNA(IF(VLOOKUP($J121&amp;R$12,'Mapping A'!$A$6:$G$1011,7,0)=1,$L121,""),0)</f>
        <v>72.2988</v>
      </c>
      <c r="S121" s="15">
        <f>_xlfn.IFNA(IF(VLOOKUP($J121&amp;S$12,'Mapping A'!$A$6:$G$1011,7,0)=1,$L121,""),0)</f>
        <v>0</v>
      </c>
      <c r="T121" s="15">
        <f>_xlfn.IFNA(IF(VLOOKUP($J121&amp;T$14,'Mapping A'!$A$6:$G$1011,7,0)=1,$L121,""),0)</f>
        <v>72.2988</v>
      </c>
      <c r="U121" s="15">
        <f>_xlfn.IFNA(IF(VLOOKUP($J121&amp;U$12,'Mapping A'!$A$6:$G$1011,7,0)=1,$L121,""),0)</f>
        <v>72.2988</v>
      </c>
      <c r="V121" s="15">
        <f>_xlfn.IFNA(IF(VLOOKUP($J121&amp;V$12,'Mapping A'!$A$6:$G$1011,7,0)=1,$L121,""),0)</f>
        <v>72.2988</v>
      </c>
      <c r="W121" s="15">
        <f>_xlfn.IFNA(IF(VLOOKUP($J121&amp;W$12,'Mapping A'!$A$6:$G$1011,7,0)=1,$L121,""),0)</f>
        <v>0</v>
      </c>
      <c r="X121" s="15">
        <f>_xlfn.IFNA(IF(VLOOKUP($J121&amp;X$12,'Mapping A'!$A$6:$G$1011,7,0)=1,$L121,""),0)</f>
        <v>72.2988</v>
      </c>
      <c r="Y121" s="15">
        <f>_xlfn.IFNA(IF(VLOOKUP($J121&amp;Y$12,'Mapping A'!$A$6:$G$1011,7,0)=1,$L121,""),0)</f>
        <v>0</v>
      </c>
      <c r="Z121" s="15">
        <f>_xlfn.IFNA(IF(VLOOKUP($J121&amp;Z$12,'Mapping A'!$A$6:$G$1011,7,0)=1,$L121,""),0)</f>
        <v>0</v>
      </c>
      <c r="AA121" s="15">
        <f>_xlfn.IFNA(IF(VLOOKUP($J121&amp;AA$12,'Mapping A'!$A$6:$G$1011,7,0)=1,$L121,""),0)</f>
        <v>0</v>
      </c>
      <c r="AF121" s="155" t="str">
        <f t="shared" si="49"/>
        <v>KOE1101Top Energy</v>
      </c>
      <c r="AG121" s="15" t="s">
        <v>236</v>
      </c>
      <c r="AH121" s="190" t="s">
        <v>34</v>
      </c>
      <c r="AI121" s="190">
        <f t="shared" si="42"/>
        <v>72.2988</v>
      </c>
      <c r="AJ121" s="292" t="s">
        <v>95</v>
      </c>
      <c r="AK121" s="15"/>
      <c r="AL121" s="15">
        <f t="shared" ca="1" si="54"/>
        <v>0</v>
      </c>
      <c r="AM121" s="15">
        <f t="shared" ca="1" si="55"/>
        <v>0</v>
      </c>
      <c r="AN121" s="15">
        <f t="shared" ca="1" si="56"/>
        <v>0</v>
      </c>
      <c r="AO121" s="15">
        <f t="shared" ca="1" si="57"/>
        <v>1.5638538619602858</v>
      </c>
      <c r="AP121" s="15"/>
      <c r="AQ121" s="15">
        <f t="shared" ca="1" si="58"/>
        <v>0</v>
      </c>
      <c r="AR121" s="20">
        <f t="shared" ca="1" si="43"/>
        <v>0.3163502987300244</v>
      </c>
      <c r="AS121" s="20"/>
      <c r="AT121" s="20">
        <f t="shared" ca="1" si="44"/>
        <v>0</v>
      </c>
      <c r="AU121" s="20">
        <f t="shared" ca="1" si="45"/>
        <v>0.14590144196237206</v>
      </c>
      <c r="AV121" s="20">
        <f t="shared" ca="1" si="46"/>
        <v>0</v>
      </c>
      <c r="AW121" s="20">
        <f t="shared" si="47"/>
        <v>0</v>
      </c>
      <c r="AX121" s="20">
        <f t="shared" si="48"/>
        <v>0</v>
      </c>
      <c r="BA121" s="95"/>
      <c r="BD121" s="94" t="str">
        <f t="shared" si="52"/>
        <v>KIN0111CHH</v>
      </c>
      <c r="BF121" s="15" t="s">
        <v>3</v>
      </c>
      <c r="BG121" t="s">
        <v>408</v>
      </c>
      <c r="BH121" s="190">
        <v>49.295400000000001</v>
      </c>
      <c r="BI121" s="190">
        <v>49.293998718261697</v>
      </c>
      <c r="BJ121" s="257">
        <f t="shared" si="53"/>
        <v>1.750885715849307</v>
      </c>
      <c r="BK121" s="257">
        <f t="shared" si="50"/>
        <v>1.919403892835879</v>
      </c>
      <c r="BL121" s="257">
        <f t="shared" si="51"/>
        <v>2.0317493441602603</v>
      </c>
      <c r="BM121" s="342" t="str">
        <f>VLOOKUP(LEFT(BG121,3),'Mapping B'!$D$2:$E$310,2,0)</f>
        <v>N</v>
      </c>
      <c r="BO121" s="20"/>
      <c r="BP121" s="190"/>
      <c r="BQ121" s="20"/>
      <c r="BR121" s="20"/>
    </row>
    <row r="122" spans="2:70" x14ac:dyDescent="0.25">
      <c r="B122" s="98" t="s">
        <v>555</v>
      </c>
      <c r="C122" s="98">
        <v>2014</v>
      </c>
      <c r="D122" s="98" t="s">
        <v>383</v>
      </c>
      <c r="E122" s="98" t="s">
        <v>100</v>
      </c>
      <c r="F122" s="98" t="s">
        <v>131</v>
      </c>
      <c r="G122" s="98">
        <v>107910.125999999</v>
      </c>
      <c r="H122" s="299" t="str">
        <f>VLOOKUP(LEFT('Rev Adequacy'!D122,3),'Mapping B'!$D$2:$E$400,2,0)</f>
        <v>N</v>
      </c>
      <c r="I122" s="190"/>
      <c r="J122" s="15" t="s">
        <v>240</v>
      </c>
      <c r="K122" s="190" t="s">
        <v>28</v>
      </c>
      <c r="L122" s="190">
        <f t="shared" si="41"/>
        <v>51.069900000000004</v>
      </c>
      <c r="O122" s="15">
        <f>_xlfn.IFNA(IF(VLOOKUP($J122&amp;O$12,'Mapping A'!$A$6:$G$1011,7,0)=1,$L122,""),0)</f>
        <v>0</v>
      </c>
      <c r="P122" s="15">
        <f>_xlfn.IFNA(IF(VLOOKUP($J122&amp;P$12,'Mapping A'!$A$6:$G$1011,7,0)=1,$L122,""),0)</f>
        <v>51.069900000000004</v>
      </c>
      <c r="Q122" s="15">
        <f>_xlfn.IFNA(IF(VLOOKUP($J122&amp;Q$12,'Mapping A'!$A$6:$G$1011,7,0)=1,$L122,""),0)</f>
        <v>51.069900000000004</v>
      </c>
      <c r="R122" s="15">
        <f>_xlfn.IFNA(IF(VLOOKUP($J122&amp;R$12,'Mapping A'!$A$6:$G$1011,7,0)=1,$L122,""),0)</f>
        <v>0</v>
      </c>
      <c r="S122" s="15">
        <f>_xlfn.IFNA(IF(VLOOKUP($J122&amp;S$12,'Mapping A'!$A$6:$G$1011,7,0)=1,$L122,""),0)</f>
        <v>0</v>
      </c>
      <c r="T122" s="15">
        <f>_xlfn.IFNA(IF(VLOOKUP($J122&amp;T$14,'Mapping A'!$A$6:$G$1011,7,0)=1,$L122,""),0)</f>
        <v>51.069900000000004</v>
      </c>
      <c r="U122" s="15">
        <f>_xlfn.IFNA(IF(VLOOKUP($J122&amp;U$12,'Mapping A'!$A$6:$G$1011,7,0)=1,$L122,""),0)</f>
        <v>0</v>
      </c>
      <c r="V122" s="15">
        <f>_xlfn.IFNA(IF(VLOOKUP($J122&amp;V$12,'Mapping A'!$A$6:$G$1011,7,0)=1,$L122,""),0)</f>
        <v>0</v>
      </c>
      <c r="W122" s="15">
        <f>_xlfn.IFNA(IF(VLOOKUP($J122&amp;W$12,'Mapping A'!$A$6:$G$1011,7,0)=1,$L122,""),0)</f>
        <v>0</v>
      </c>
      <c r="X122" s="15">
        <f>_xlfn.IFNA(IF(VLOOKUP($J122&amp;X$12,'Mapping A'!$A$6:$G$1011,7,0)=1,$L122,""),0)</f>
        <v>0</v>
      </c>
      <c r="Y122" s="15">
        <f>_xlfn.IFNA(IF(VLOOKUP($J122&amp;Y$12,'Mapping A'!$A$6:$G$1011,7,0)=1,$L122,""),0)</f>
        <v>0</v>
      </c>
      <c r="Z122" s="15">
        <f>_xlfn.IFNA(IF(VLOOKUP($J122&amp;Z$12,'Mapping A'!$A$6:$G$1011,7,0)=1,$L122,""),0)</f>
        <v>0</v>
      </c>
      <c r="AA122" s="15">
        <f>_xlfn.IFNA(IF(VLOOKUP($J122&amp;AA$12,'Mapping A'!$A$6:$G$1011,7,0)=1,$L122,""),0)</f>
        <v>0</v>
      </c>
      <c r="AF122" s="155" t="str">
        <f t="shared" si="49"/>
        <v>KPU0661Powerco</v>
      </c>
      <c r="AG122" s="15" t="s">
        <v>240</v>
      </c>
      <c r="AH122" s="190" t="s">
        <v>28</v>
      </c>
      <c r="AI122" s="190">
        <f t="shared" si="42"/>
        <v>51.069900000000004</v>
      </c>
      <c r="AJ122" s="292" t="s">
        <v>95</v>
      </c>
      <c r="AK122" s="15"/>
      <c r="AL122" s="15">
        <f t="shared" ca="1" si="54"/>
        <v>0</v>
      </c>
      <c r="AM122" s="15">
        <f t="shared" ca="1" si="55"/>
        <v>0</v>
      </c>
      <c r="AN122" s="15">
        <f t="shared" ca="1" si="56"/>
        <v>0</v>
      </c>
      <c r="AO122" s="15">
        <f t="shared" ca="1" si="57"/>
        <v>0</v>
      </c>
      <c r="AP122" s="15"/>
      <c r="AQ122" s="15">
        <f t="shared" ca="1" si="58"/>
        <v>0</v>
      </c>
      <c r="AR122" s="20">
        <f t="shared" ca="1" si="43"/>
        <v>0</v>
      </c>
      <c r="AS122" s="20"/>
      <c r="AT122" s="20">
        <f t="shared" ca="1" si="44"/>
        <v>0</v>
      </c>
      <c r="AU122" s="20">
        <f t="shared" ca="1" si="45"/>
        <v>0</v>
      </c>
      <c r="AV122" s="20">
        <f t="shared" ca="1" si="46"/>
        <v>0</v>
      </c>
      <c r="AW122" s="20">
        <f t="shared" si="47"/>
        <v>0</v>
      </c>
      <c r="AX122" s="20">
        <f t="shared" si="48"/>
        <v>0</v>
      </c>
      <c r="BA122" s="20"/>
      <c r="BD122" s="94" t="str">
        <f t="shared" si="52"/>
        <v>KIN0112CHH</v>
      </c>
      <c r="BF122" s="15" t="s">
        <v>3</v>
      </c>
      <c r="BG122" t="s">
        <v>409</v>
      </c>
      <c r="BH122" s="190">
        <v>19.436000823974599</v>
      </c>
      <c r="BI122" s="190">
        <v>19.436000823974599</v>
      </c>
      <c r="BJ122" s="257">
        <f t="shared" si="53"/>
        <v>0.69033248976440975</v>
      </c>
      <c r="BK122" s="257">
        <f t="shared" si="50"/>
        <v>0.75677518881474126</v>
      </c>
      <c r="BL122" s="257">
        <f t="shared" si="51"/>
        <v>0.80107032151496227</v>
      </c>
      <c r="BM122" s="342" t="str">
        <f>VLOOKUP(LEFT(BG122,3),'Mapping B'!$D$2:$E$310,2,0)</f>
        <v>N</v>
      </c>
      <c r="BO122" s="20"/>
      <c r="BP122" s="190"/>
      <c r="BQ122" s="20"/>
      <c r="BR122" s="20"/>
    </row>
    <row r="123" spans="2:70" x14ac:dyDescent="0.25">
      <c r="B123" s="98" t="s">
        <v>112</v>
      </c>
      <c r="C123" s="98">
        <v>2014</v>
      </c>
      <c r="D123" s="98" t="s">
        <v>383</v>
      </c>
      <c r="E123" s="98" t="s">
        <v>100</v>
      </c>
      <c r="F123" s="98" t="s">
        <v>131</v>
      </c>
      <c r="G123" s="98">
        <v>4972921.7650000099</v>
      </c>
      <c r="H123" s="299" t="str">
        <f>VLOOKUP(LEFT('Rev Adequacy'!D123,3),'Mapping B'!$D$2:$E$400,2,0)</f>
        <v>N</v>
      </c>
      <c r="I123" s="190"/>
      <c r="J123" s="15" t="s">
        <v>241</v>
      </c>
      <c r="K123" s="190" t="s">
        <v>41</v>
      </c>
      <c r="L123" s="190">
        <f t="shared" si="41"/>
        <v>9.66</v>
      </c>
      <c r="O123" s="15">
        <f>_xlfn.IFNA(IF(VLOOKUP($J123&amp;O$12,'Mapping A'!$A$6:$G$1011,7,0)=1,$L123,""),0)</f>
        <v>0</v>
      </c>
      <c r="P123" s="15">
        <f>_xlfn.IFNA(IF(VLOOKUP($J123&amp;P$12,'Mapping A'!$A$6:$G$1011,7,0)=1,$L123,""),0)</f>
        <v>9.66</v>
      </c>
      <c r="Q123" s="15">
        <f>_xlfn.IFNA(IF(VLOOKUP($J123&amp;Q$12,'Mapping A'!$A$6:$G$1011,7,0)=1,$L123,""),0)</f>
        <v>0</v>
      </c>
      <c r="R123" s="15">
        <f>_xlfn.IFNA(IF(VLOOKUP($J123&amp;R$12,'Mapping A'!$A$6:$G$1011,7,0)=1,$L123,""),0)</f>
        <v>0</v>
      </c>
      <c r="S123" s="15">
        <f>_xlfn.IFNA(IF(VLOOKUP($J123&amp;S$12,'Mapping A'!$A$6:$G$1011,7,0)=1,$L123,""),0)</f>
        <v>0</v>
      </c>
      <c r="T123" s="15">
        <f>_xlfn.IFNA(IF(VLOOKUP($J123&amp;T$14,'Mapping A'!$A$6:$G$1011,7,0)=1,$L123,""),0)</f>
        <v>0</v>
      </c>
      <c r="U123" s="15">
        <f>_xlfn.IFNA(IF(VLOOKUP($J123&amp;U$12,'Mapping A'!$A$6:$G$1011,7,0)=1,$L123,""),0)</f>
        <v>0</v>
      </c>
      <c r="V123" s="15">
        <f>_xlfn.IFNA(IF(VLOOKUP($J123&amp;V$12,'Mapping A'!$A$6:$G$1011,7,0)=1,$L123,""),0)</f>
        <v>0</v>
      </c>
      <c r="W123" s="15">
        <f>_xlfn.IFNA(IF(VLOOKUP($J123&amp;W$12,'Mapping A'!$A$6:$G$1011,7,0)=1,$L123,""),0)</f>
        <v>9.66</v>
      </c>
      <c r="X123" s="15">
        <f>_xlfn.IFNA(IF(VLOOKUP($J123&amp;X$12,'Mapping A'!$A$6:$G$1011,7,0)=1,$L123,""),0)</f>
        <v>0</v>
      </c>
      <c r="Y123" s="15">
        <f>_xlfn.IFNA(IF(VLOOKUP($J123&amp;Y$12,'Mapping A'!$A$6:$G$1011,7,0)=1,$L123,""),0)</f>
        <v>0</v>
      </c>
      <c r="Z123" s="15">
        <f>_xlfn.IFNA(IF(VLOOKUP($J123&amp;Z$12,'Mapping A'!$A$6:$G$1011,7,0)=1,$L123,""),0)</f>
        <v>0</v>
      </c>
      <c r="AA123" s="15">
        <f>_xlfn.IFNA(IF(VLOOKUP($J123&amp;AA$12,'Mapping A'!$A$6:$G$1011,7,0)=1,$L123,""),0)</f>
        <v>9.66</v>
      </c>
      <c r="AF123" s="155" t="str">
        <f t="shared" si="49"/>
        <v>KUM0661Westpower</v>
      </c>
      <c r="AG123" s="15" t="s">
        <v>241</v>
      </c>
      <c r="AH123" s="190" t="s">
        <v>41</v>
      </c>
      <c r="AI123" s="190">
        <f t="shared" si="42"/>
        <v>9.66</v>
      </c>
      <c r="AJ123" s="292" t="s">
        <v>96</v>
      </c>
      <c r="AK123" s="15"/>
      <c r="AL123" s="15">
        <f t="shared" ca="1" si="54"/>
        <v>0</v>
      </c>
      <c r="AM123" s="15">
        <f t="shared" ca="1" si="55"/>
        <v>0</v>
      </c>
      <c r="AN123" s="15">
        <f t="shared" ca="1" si="56"/>
        <v>0</v>
      </c>
      <c r="AO123" s="15">
        <f t="shared" ca="1" si="57"/>
        <v>0</v>
      </c>
      <c r="AP123" s="15"/>
      <c r="AQ123" s="15">
        <f t="shared" ca="1" si="58"/>
        <v>0</v>
      </c>
      <c r="AR123" s="20">
        <f t="shared" ca="1" si="43"/>
        <v>0</v>
      </c>
      <c r="AS123" s="20"/>
      <c r="AT123" s="20">
        <f t="shared" ca="1" si="44"/>
        <v>2.7565798412694468E-2</v>
      </c>
      <c r="AU123" s="20">
        <f t="shared" ca="1" si="45"/>
        <v>0</v>
      </c>
      <c r="AV123" s="20">
        <f t="shared" ca="1" si="46"/>
        <v>0</v>
      </c>
      <c r="AW123" s="20">
        <f t="shared" si="47"/>
        <v>0</v>
      </c>
      <c r="AX123" s="20">
        <f t="shared" si="48"/>
        <v>0</v>
      </c>
      <c r="BA123" s="20"/>
      <c r="BD123" s="94" t="str">
        <f t="shared" si="52"/>
        <v>KIN0113CHH</v>
      </c>
      <c r="BF123" s="15" t="s">
        <v>3</v>
      </c>
      <c r="BG123" t="s">
        <v>410</v>
      </c>
      <c r="BH123" s="190">
        <v>20.233499999999999</v>
      </c>
      <c r="BI123" s="190">
        <v>20.235000610351499</v>
      </c>
      <c r="BJ123" s="257">
        <f t="shared" si="53"/>
        <v>0.71865825475879996</v>
      </c>
      <c r="BK123" s="257">
        <f t="shared" si="50"/>
        <v>0.78782723470536309</v>
      </c>
      <c r="BL123" s="257">
        <f t="shared" si="51"/>
        <v>0.83393988800307184</v>
      </c>
      <c r="BM123" s="342" t="str">
        <f>VLOOKUP(LEFT(BG123,3),'Mapping B'!$D$2:$E$310,2,0)</f>
        <v>N</v>
      </c>
      <c r="BO123" s="20"/>
      <c r="BP123" s="190"/>
      <c r="BQ123" s="20"/>
      <c r="BR123" s="20"/>
    </row>
    <row r="124" spans="2:70" x14ac:dyDescent="0.25">
      <c r="B124" s="98" t="s">
        <v>111</v>
      </c>
      <c r="C124" s="98">
        <v>2014</v>
      </c>
      <c r="D124" s="98" t="s">
        <v>383</v>
      </c>
      <c r="E124" s="98" t="s">
        <v>100</v>
      </c>
      <c r="F124" s="98" t="s">
        <v>131</v>
      </c>
      <c r="G124" s="98">
        <v>1184166.6299999901</v>
      </c>
      <c r="H124" s="299" t="str">
        <f>VLOOKUP(LEFT('Rev Adequacy'!D124,3),'Mapping B'!$D$2:$E$400,2,0)</f>
        <v>N</v>
      </c>
      <c r="I124" s="190"/>
      <c r="J124" s="15" t="s">
        <v>243</v>
      </c>
      <c r="K124" s="190" t="s">
        <v>40</v>
      </c>
      <c r="L124" s="190">
        <f t="shared" si="41"/>
        <v>34.360199999999999</v>
      </c>
      <c r="O124" s="15">
        <f>_xlfn.IFNA(IF(VLOOKUP($J124&amp;O$12,'Mapping A'!$A$6:$G$1011,7,0)=1,$L124,""),0)</f>
        <v>0</v>
      </c>
      <c r="P124" s="15">
        <f>_xlfn.IFNA(IF(VLOOKUP($J124&amp;P$12,'Mapping A'!$A$6:$G$1011,7,0)=1,$L124,""),0)</f>
        <v>34.360199999999999</v>
      </c>
      <c r="Q124" s="15">
        <f>_xlfn.IFNA(IF(VLOOKUP($J124&amp;Q$12,'Mapping A'!$A$6:$G$1011,7,0)=1,$L124,""),0)</f>
        <v>34.360199999999999</v>
      </c>
      <c r="R124" s="15">
        <f>_xlfn.IFNA(IF(VLOOKUP($J124&amp;R$12,'Mapping A'!$A$6:$G$1011,7,0)=1,$L124,""),0)</f>
        <v>0</v>
      </c>
      <c r="S124" s="15">
        <f>_xlfn.IFNA(IF(VLOOKUP($J124&amp;S$12,'Mapping A'!$A$6:$G$1011,7,0)=1,$L124,""),0)</f>
        <v>0</v>
      </c>
      <c r="T124" s="15">
        <f>_xlfn.IFNA(IF(VLOOKUP($J124&amp;T$14,'Mapping A'!$A$6:$G$1011,7,0)=1,$L124,""),0)</f>
        <v>0</v>
      </c>
      <c r="U124" s="15">
        <f>_xlfn.IFNA(IF(VLOOKUP($J124&amp;U$12,'Mapping A'!$A$6:$G$1011,7,0)=1,$L124,""),0)</f>
        <v>0</v>
      </c>
      <c r="V124" s="15">
        <f>_xlfn.IFNA(IF(VLOOKUP($J124&amp;V$12,'Mapping A'!$A$6:$G$1011,7,0)=1,$L124,""),0)</f>
        <v>0</v>
      </c>
      <c r="W124" s="15">
        <f>_xlfn.IFNA(IF(VLOOKUP($J124&amp;W$12,'Mapping A'!$A$6:$G$1011,7,0)=1,$L124,""),0)</f>
        <v>0</v>
      </c>
      <c r="X124" s="15">
        <f>_xlfn.IFNA(IF(VLOOKUP($J124&amp;X$12,'Mapping A'!$A$6:$G$1011,7,0)=1,$L124,""),0)</f>
        <v>0</v>
      </c>
      <c r="Y124" s="15">
        <f>_xlfn.IFNA(IF(VLOOKUP($J124&amp;Y$12,'Mapping A'!$A$6:$G$1011,7,0)=1,$L124,""),0)</f>
        <v>0</v>
      </c>
      <c r="Z124" s="15">
        <f>_xlfn.IFNA(IF(VLOOKUP($J124&amp;Z$12,'Mapping A'!$A$6:$G$1011,7,0)=1,$L124,""),0)</f>
        <v>0</v>
      </c>
      <c r="AA124" s="15">
        <f>_xlfn.IFNA(IF(VLOOKUP($J124&amp;AA$12,'Mapping A'!$A$6:$G$1011,7,0)=1,$L124,""),0)</f>
        <v>0</v>
      </c>
      <c r="AF124" s="155" t="str">
        <f t="shared" si="49"/>
        <v>KWA0111Wellington Electricity</v>
      </c>
      <c r="AG124" s="15" t="s">
        <v>243</v>
      </c>
      <c r="AH124" s="190" t="s">
        <v>40</v>
      </c>
      <c r="AI124" s="190">
        <f t="shared" si="42"/>
        <v>34.360199999999999</v>
      </c>
      <c r="AJ124" s="292" t="s">
        <v>95</v>
      </c>
      <c r="AK124" s="15"/>
      <c r="AL124" s="15">
        <f t="shared" ca="1" si="54"/>
        <v>0</v>
      </c>
      <c r="AM124" s="15">
        <f t="shared" ca="1" si="55"/>
        <v>0</v>
      </c>
      <c r="AN124" s="15">
        <f t="shared" ca="1" si="56"/>
        <v>0</v>
      </c>
      <c r="AO124" s="15">
        <f t="shared" ca="1" si="57"/>
        <v>0</v>
      </c>
      <c r="AP124" s="15"/>
      <c r="AQ124" s="15">
        <f t="shared" ca="1" si="58"/>
        <v>0</v>
      </c>
      <c r="AR124" s="20">
        <f t="shared" ca="1" si="43"/>
        <v>0</v>
      </c>
      <c r="AS124" s="20"/>
      <c r="AT124" s="20">
        <f t="shared" ca="1" si="44"/>
        <v>0</v>
      </c>
      <c r="AU124" s="20">
        <f t="shared" ca="1" si="45"/>
        <v>0</v>
      </c>
      <c r="AV124" s="20">
        <f t="shared" ca="1" si="46"/>
        <v>0</v>
      </c>
      <c r="AW124" s="20">
        <f t="shared" si="47"/>
        <v>0</v>
      </c>
      <c r="AX124" s="20">
        <f t="shared" si="48"/>
        <v>0</v>
      </c>
      <c r="BA124" s="20"/>
      <c r="BD124" s="94" t="str">
        <f t="shared" si="52"/>
        <v>KIN0331Powerco</v>
      </c>
      <c r="BF124" s="15" t="s">
        <v>28</v>
      </c>
      <c r="BG124" t="s">
        <v>234</v>
      </c>
      <c r="BH124" s="190">
        <v>18.417000000000002</v>
      </c>
      <c r="BI124" s="190">
        <v>18.413999557495099</v>
      </c>
      <c r="BJ124" s="257">
        <f t="shared" si="53"/>
        <v>0.65413937667199551</v>
      </c>
      <c r="BK124" s="257">
        <f t="shared" si="50"/>
        <v>0.71709858312050179</v>
      </c>
      <c r="BL124" s="257">
        <f t="shared" si="51"/>
        <v>0.75907138741950608</v>
      </c>
      <c r="BM124" s="342" t="str">
        <f>VLOOKUP(LEFT(BG124,3),'Mapping B'!$D$2:$E$310,2,0)</f>
        <v>N</v>
      </c>
      <c r="BO124" s="20"/>
      <c r="BP124" s="190"/>
      <c r="BQ124" s="20"/>
      <c r="BR124" s="20"/>
    </row>
    <row r="125" spans="2:70" x14ac:dyDescent="0.25">
      <c r="B125" s="98" t="s">
        <v>552</v>
      </c>
      <c r="C125" s="98">
        <v>2014</v>
      </c>
      <c r="D125" s="98" t="s">
        <v>233</v>
      </c>
      <c r="E125" s="98" t="s">
        <v>3</v>
      </c>
      <c r="F125" s="98" t="s">
        <v>188</v>
      </c>
      <c r="G125" s="248">
        <v>3314.5120000000302</v>
      </c>
      <c r="H125" s="299" t="str">
        <f>VLOOKUP(LEFT('Rev Adequacy'!D125,3),'Mapping B'!$D$2:$E$400,2,0)</f>
        <v>N</v>
      </c>
      <c r="I125" s="190"/>
      <c r="J125" s="15" t="s">
        <v>244</v>
      </c>
      <c r="K125" s="190" t="s">
        <v>49</v>
      </c>
      <c r="L125" s="190">
        <f t="shared" si="41"/>
        <v>7.8855000000000004</v>
      </c>
      <c r="O125" s="15">
        <f>_xlfn.IFNA(IF(VLOOKUP($J125&amp;O$12,'Mapping A'!$A$6:$G$1011,7,0)=1,$L125,""),0)</f>
        <v>0</v>
      </c>
      <c r="P125" s="15">
        <f>_xlfn.IFNA(IF(VLOOKUP($J125&amp;P$12,'Mapping A'!$A$6:$G$1011,7,0)=1,$L125,""),0)</f>
        <v>7.8855000000000004</v>
      </c>
      <c r="Q125" s="15">
        <f>_xlfn.IFNA(IF(VLOOKUP($J125&amp;Q$12,'Mapping A'!$A$6:$G$1011,7,0)=1,$L125,""),0)</f>
        <v>7.8855000000000004</v>
      </c>
      <c r="R125" s="15">
        <f>_xlfn.IFNA(IF(VLOOKUP($J125&amp;R$12,'Mapping A'!$A$6:$G$1011,7,0)=1,$L125,""),0)</f>
        <v>0</v>
      </c>
      <c r="S125" s="15">
        <f>_xlfn.IFNA(IF(VLOOKUP($J125&amp;S$12,'Mapping A'!$A$6:$G$1011,7,0)=1,$L125,""),0)</f>
        <v>0</v>
      </c>
      <c r="T125" s="15">
        <f>_xlfn.IFNA(IF(VLOOKUP($J125&amp;T$14,'Mapping A'!$A$6:$G$1011,7,0)=1,$L125,""),0)</f>
        <v>7.8855000000000004</v>
      </c>
      <c r="U125" s="15">
        <f>_xlfn.IFNA(IF(VLOOKUP($J125&amp;U$12,'Mapping A'!$A$6:$G$1011,7,0)=1,$L125,""),0)</f>
        <v>0</v>
      </c>
      <c r="V125" s="15">
        <f>_xlfn.IFNA(IF(VLOOKUP($J125&amp;V$12,'Mapping A'!$A$6:$G$1011,7,0)=1,$L125,""),0)</f>
        <v>0</v>
      </c>
      <c r="W125" s="15">
        <f>_xlfn.IFNA(IF(VLOOKUP($J125&amp;W$12,'Mapping A'!$A$6:$G$1011,7,0)=1,$L125,""),0)</f>
        <v>0</v>
      </c>
      <c r="X125" s="15">
        <f>_xlfn.IFNA(IF(VLOOKUP($J125&amp;X$12,'Mapping A'!$A$6:$G$1011,7,0)=1,$L125,""),0)</f>
        <v>0</v>
      </c>
      <c r="Y125" s="15">
        <f>_xlfn.IFNA(IF(VLOOKUP($J125&amp;Y$12,'Mapping A'!$A$6:$G$1011,7,0)=1,$L125,""),0)</f>
        <v>0</v>
      </c>
      <c r="Z125" s="15">
        <f>_xlfn.IFNA(IF(VLOOKUP($J125&amp;Z$12,'Mapping A'!$A$6:$G$1011,7,0)=1,$L125,""),0)</f>
        <v>0</v>
      </c>
      <c r="AA125" s="15">
        <f>_xlfn.IFNA(IF(VLOOKUP($J125&amp;AA$12,'Mapping A'!$A$6:$G$1011,7,0)=1,$L125,""),0)</f>
        <v>0</v>
      </c>
      <c r="AF125" s="155" t="str">
        <f t="shared" si="49"/>
        <v>LFD1101Fonterra</v>
      </c>
      <c r="AG125" s="15" t="s">
        <v>244</v>
      </c>
      <c r="AH125" s="190" t="s">
        <v>49</v>
      </c>
      <c r="AI125" s="190">
        <f t="shared" si="42"/>
        <v>7.8855000000000004</v>
      </c>
      <c r="AJ125" s="292" t="s">
        <v>95</v>
      </c>
      <c r="AK125" s="15"/>
      <c r="AL125" s="15">
        <f t="shared" ca="1" si="54"/>
        <v>0</v>
      </c>
      <c r="AM125" s="15">
        <f t="shared" ca="1" si="55"/>
        <v>0</v>
      </c>
      <c r="AN125" s="15">
        <f t="shared" ca="1" si="56"/>
        <v>0</v>
      </c>
      <c r="AO125" s="15">
        <f t="shared" ca="1" si="57"/>
        <v>0</v>
      </c>
      <c r="AP125" s="15"/>
      <c r="AQ125" s="15">
        <f t="shared" ca="1" si="58"/>
        <v>0</v>
      </c>
      <c r="AR125" s="20">
        <f t="shared" ca="1" si="43"/>
        <v>0</v>
      </c>
      <c r="AS125" s="20"/>
      <c r="AT125" s="20">
        <f t="shared" ca="1" si="44"/>
        <v>0</v>
      </c>
      <c r="AU125" s="20">
        <f t="shared" ca="1" si="45"/>
        <v>0</v>
      </c>
      <c r="AV125" s="20">
        <f t="shared" ca="1" si="46"/>
        <v>0</v>
      </c>
      <c r="AW125" s="20">
        <f t="shared" si="47"/>
        <v>0</v>
      </c>
      <c r="AX125" s="20">
        <f t="shared" si="48"/>
        <v>0</v>
      </c>
      <c r="BA125" s="20"/>
      <c r="BD125" s="94" t="str">
        <f t="shared" si="52"/>
        <v>KMO0331Powerco</v>
      </c>
      <c r="BF125" s="15" t="s">
        <v>28</v>
      </c>
      <c r="BG125" t="s">
        <v>235</v>
      </c>
      <c r="BH125" s="190">
        <v>21.186900000000001</v>
      </c>
      <c r="BI125" s="190">
        <v>21.184999465942301</v>
      </c>
      <c r="BJ125" s="257">
        <f t="shared" si="53"/>
        <v>0.75252134221707667</v>
      </c>
      <c r="BK125" s="257">
        <f t="shared" si="50"/>
        <v>0.8249495558840072</v>
      </c>
      <c r="BL125" s="257">
        <f t="shared" si="51"/>
        <v>0.87323503166196081</v>
      </c>
      <c r="BM125" s="342" t="str">
        <f>VLOOKUP(LEFT(BG125,3),'Mapping B'!$D$2:$E$310,2,0)</f>
        <v>N</v>
      </c>
      <c r="BO125" s="20"/>
      <c r="BP125" s="190"/>
      <c r="BQ125" s="20"/>
      <c r="BR125" s="20"/>
    </row>
    <row r="126" spans="2:70" x14ac:dyDescent="0.25">
      <c r="B126" s="98" t="s">
        <v>553</v>
      </c>
      <c r="C126" s="98">
        <v>2014</v>
      </c>
      <c r="D126" s="98" t="s">
        <v>233</v>
      </c>
      <c r="E126" s="98" t="s">
        <v>3</v>
      </c>
      <c r="F126" s="98" t="s">
        <v>188</v>
      </c>
      <c r="G126" s="248">
        <v>104110.541</v>
      </c>
      <c r="H126" s="299" t="str">
        <f>VLOOKUP(LEFT('Rev Adequacy'!D126,3),'Mapping B'!$D$2:$E$400,2,0)</f>
        <v>N</v>
      </c>
      <c r="I126" s="190"/>
      <c r="J126" s="15" t="s">
        <v>245</v>
      </c>
      <c r="K126" s="190" t="s">
        <v>49</v>
      </c>
      <c r="L126" s="190">
        <f t="shared" si="41"/>
        <v>5.4032999999999998</v>
      </c>
      <c r="O126" s="15">
        <f>_xlfn.IFNA(IF(VLOOKUP($J126&amp;O$12,'Mapping A'!$A$6:$G$1011,7,0)=1,$L126,""),0)</f>
        <v>0</v>
      </c>
      <c r="P126" s="15">
        <f>_xlfn.IFNA(IF(VLOOKUP($J126&amp;P$12,'Mapping A'!$A$6:$G$1011,7,0)=1,$L126,""),0)</f>
        <v>5.4032999999999998</v>
      </c>
      <c r="Q126" s="15">
        <f>_xlfn.IFNA(IF(VLOOKUP($J126&amp;Q$12,'Mapping A'!$A$6:$G$1011,7,0)=1,$L126,""),0)</f>
        <v>5.4032999999999998</v>
      </c>
      <c r="R126" s="15">
        <f>_xlfn.IFNA(IF(VLOOKUP($J126&amp;R$12,'Mapping A'!$A$6:$G$1011,7,0)=1,$L126,""),0)</f>
        <v>0</v>
      </c>
      <c r="S126" s="15">
        <f>_xlfn.IFNA(IF(VLOOKUP($J126&amp;S$12,'Mapping A'!$A$6:$G$1011,7,0)=1,$L126,""),0)</f>
        <v>0</v>
      </c>
      <c r="T126" s="15">
        <f>_xlfn.IFNA(IF(VLOOKUP($J126&amp;T$14,'Mapping A'!$A$6:$G$1011,7,0)=1,$L126,""),0)</f>
        <v>5.4032999999999998</v>
      </c>
      <c r="U126" s="15">
        <f>_xlfn.IFNA(IF(VLOOKUP($J126&amp;U$12,'Mapping A'!$A$6:$G$1011,7,0)=1,$L126,""),0)</f>
        <v>0</v>
      </c>
      <c r="V126" s="15">
        <f>_xlfn.IFNA(IF(VLOOKUP($J126&amp;V$12,'Mapping A'!$A$6:$G$1011,7,0)=1,$L126,""),0)</f>
        <v>0</v>
      </c>
      <c r="W126" s="15">
        <f>_xlfn.IFNA(IF(VLOOKUP($J126&amp;W$12,'Mapping A'!$A$6:$G$1011,7,0)=1,$L126,""),0)</f>
        <v>0</v>
      </c>
      <c r="X126" s="15">
        <f>_xlfn.IFNA(IF(VLOOKUP($J126&amp;X$12,'Mapping A'!$A$6:$G$1011,7,0)=1,$L126,""),0)</f>
        <v>0</v>
      </c>
      <c r="Y126" s="15">
        <f>_xlfn.IFNA(IF(VLOOKUP($J126&amp;Y$12,'Mapping A'!$A$6:$G$1011,7,0)=1,$L126,""),0)</f>
        <v>0</v>
      </c>
      <c r="Z126" s="15">
        <f>_xlfn.IFNA(IF(VLOOKUP($J126&amp;Z$12,'Mapping A'!$A$6:$G$1011,7,0)=1,$L126,""),0)</f>
        <v>0</v>
      </c>
      <c r="AA126" s="15">
        <f>_xlfn.IFNA(IF(VLOOKUP($J126&amp;AA$12,'Mapping A'!$A$6:$G$1011,7,0)=1,$L126,""),0)</f>
        <v>0</v>
      </c>
      <c r="AF126" s="155" t="str">
        <f t="shared" si="49"/>
        <v>LFD1102Fonterra</v>
      </c>
      <c r="AG126" s="15" t="s">
        <v>245</v>
      </c>
      <c r="AH126" s="190" t="s">
        <v>49</v>
      </c>
      <c r="AI126" s="190">
        <f t="shared" si="42"/>
        <v>5.4032999999999998</v>
      </c>
      <c r="AJ126" s="292" t="s">
        <v>95</v>
      </c>
      <c r="AK126" s="15"/>
      <c r="AL126" s="15">
        <f t="shared" ca="1" si="54"/>
        <v>0</v>
      </c>
      <c r="AM126" s="15">
        <f t="shared" ca="1" si="55"/>
        <v>0</v>
      </c>
      <c r="AN126" s="15">
        <f t="shared" ca="1" si="56"/>
        <v>0</v>
      </c>
      <c r="AO126" s="15">
        <f t="shared" ca="1" si="57"/>
        <v>0</v>
      </c>
      <c r="AP126" s="15"/>
      <c r="AQ126" s="15">
        <f t="shared" ca="1" si="58"/>
        <v>0</v>
      </c>
      <c r="AR126" s="20">
        <f t="shared" ca="1" si="43"/>
        <v>0</v>
      </c>
      <c r="AS126" s="20"/>
      <c r="AT126" s="20">
        <f t="shared" ca="1" si="44"/>
        <v>0</v>
      </c>
      <c r="AU126" s="20">
        <f t="shared" ca="1" si="45"/>
        <v>0</v>
      </c>
      <c r="AV126" s="20">
        <f t="shared" ca="1" si="46"/>
        <v>0</v>
      </c>
      <c r="AW126" s="20">
        <f t="shared" si="47"/>
        <v>0</v>
      </c>
      <c r="AX126" s="20">
        <f t="shared" si="48"/>
        <v>0</v>
      </c>
      <c r="BA126" s="20"/>
      <c r="BD126" s="94" t="str">
        <f t="shared" si="52"/>
        <v>KOE1101Top Energy</v>
      </c>
      <c r="BF126" s="15" t="s">
        <v>34</v>
      </c>
      <c r="BG126" t="s">
        <v>236</v>
      </c>
      <c r="BH126" s="190">
        <v>72.2988</v>
      </c>
      <c r="BI126" s="190">
        <v>69.399002075195298</v>
      </c>
      <c r="BJ126" s="257">
        <f t="shared" si="53"/>
        <v>2.5679259361531881</v>
      </c>
      <c r="BK126" s="257">
        <f t="shared" si="50"/>
        <v>2.8150821003047475</v>
      </c>
      <c r="BL126" s="257">
        <f t="shared" si="51"/>
        <v>2.9798528764057872</v>
      </c>
      <c r="BM126" s="342" t="str">
        <f>VLOOKUP(LEFT(BG126,3),'Mapping B'!$D$2:$E$310,2,0)</f>
        <v>N</v>
      </c>
      <c r="BO126" s="20"/>
      <c r="BP126" s="190"/>
      <c r="BQ126" s="20"/>
      <c r="BR126" s="20"/>
    </row>
    <row r="127" spans="2:70" x14ac:dyDescent="0.25">
      <c r="B127" s="98" t="s">
        <v>554</v>
      </c>
      <c r="C127" s="98">
        <v>2014</v>
      </c>
      <c r="D127" s="98" t="s">
        <v>233</v>
      </c>
      <c r="E127" s="98" t="s">
        <v>3</v>
      </c>
      <c r="F127" s="98" t="s">
        <v>188</v>
      </c>
      <c r="G127" s="98">
        <v>175644.38500000001</v>
      </c>
      <c r="H127" s="299" t="str">
        <f>VLOOKUP(LEFT('Rev Adequacy'!D127,3),'Mapping B'!$D$2:$E$400,2,0)</f>
        <v>N</v>
      </c>
      <c r="I127" s="190"/>
      <c r="J127" s="15" t="s">
        <v>246</v>
      </c>
      <c r="K127" s="190" t="s">
        <v>28</v>
      </c>
      <c r="L127" s="190">
        <f t="shared" si="41"/>
        <v>60.731999999999999</v>
      </c>
      <c r="O127" s="15">
        <f>_xlfn.IFNA(IF(VLOOKUP($J127&amp;O$12,'Mapping A'!$A$6:$G$1011,7,0)=1,$L127,""),0)</f>
        <v>0</v>
      </c>
      <c r="P127" s="15">
        <f>_xlfn.IFNA(IF(VLOOKUP($J127&amp;P$12,'Mapping A'!$A$6:$G$1011,7,0)=1,$L127,""),0)</f>
        <v>60.731999999999999</v>
      </c>
      <c r="Q127" s="15">
        <f>_xlfn.IFNA(IF(VLOOKUP($J127&amp;Q$12,'Mapping A'!$A$6:$G$1011,7,0)=1,$L127,""),0)</f>
        <v>60.731999999999999</v>
      </c>
      <c r="R127" s="15">
        <f>_xlfn.IFNA(IF(VLOOKUP($J127&amp;R$12,'Mapping A'!$A$6:$G$1011,7,0)=1,$L127,""),0)</f>
        <v>0</v>
      </c>
      <c r="S127" s="15">
        <f>_xlfn.IFNA(IF(VLOOKUP($J127&amp;S$12,'Mapping A'!$A$6:$G$1011,7,0)=1,$L127,""),0)</f>
        <v>0</v>
      </c>
      <c r="T127" s="15">
        <f>_xlfn.IFNA(IF(VLOOKUP($J127&amp;T$14,'Mapping A'!$A$6:$G$1011,7,0)=1,$L127,""),0)</f>
        <v>0</v>
      </c>
      <c r="U127" s="15">
        <f>_xlfn.IFNA(IF(VLOOKUP($J127&amp;U$12,'Mapping A'!$A$6:$G$1011,7,0)=1,$L127,""),0)</f>
        <v>0</v>
      </c>
      <c r="V127" s="15">
        <f>_xlfn.IFNA(IF(VLOOKUP($J127&amp;V$12,'Mapping A'!$A$6:$G$1011,7,0)=1,$L127,""),0)</f>
        <v>60.731999999999999</v>
      </c>
      <c r="W127" s="15">
        <f>_xlfn.IFNA(IF(VLOOKUP($J127&amp;W$12,'Mapping A'!$A$6:$G$1011,7,0)=1,$L127,""),0)</f>
        <v>0</v>
      </c>
      <c r="X127" s="15">
        <f>_xlfn.IFNA(IF(VLOOKUP($J127&amp;X$12,'Mapping A'!$A$6:$G$1011,7,0)=1,$L127,""),0)</f>
        <v>0</v>
      </c>
      <c r="Y127" s="15">
        <f>_xlfn.IFNA(IF(VLOOKUP($J127&amp;Y$12,'Mapping A'!$A$6:$G$1011,7,0)=1,$L127,""),0)</f>
        <v>0</v>
      </c>
      <c r="Z127" s="15">
        <f>_xlfn.IFNA(IF(VLOOKUP($J127&amp;Z$12,'Mapping A'!$A$6:$G$1011,7,0)=1,$L127,""),0)</f>
        <v>0</v>
      </c>
      <c r="AA127" s="15">
        <f>_xlfn.IFNA(IF(VLOOKUP($J127&amp;AA$12,'Mapping A'!$A$6:$G$1011,7,0)=1,$L127,""),0)</f>
        <v>0</v>
      </c>
      <c r="AF127" s="155" t="str">
        <f t="shared" si="49"/>
        <v>LTN0331Powerco</v>
      </c>
      <c r="AG127" s="15" t="s">
        <v>246</v>
      </c>
      <c r="AH127" s="190" t="s">
        <v>28</v>
      </c>
      <c r="AI127" s="190">
        <f t="shared" si="42"/>
        <v>60.731999999999999</v>
      </c>
      <c r="AJ127" s="292" t="s">
        <v>95</v>
      </c>
      <c r="AK127" s="15"/>
      <c r="AL127" s="15">
        <f t="shared" ca="1" si="54"/>
        <v>0</v>
      </c>
      <c r="AM127" s="15">
        <f t="shared" ca="1" si="55"/>
        <v>0</v>
      </c>
      <c r="AN127" s="15">
        <f t="shared" ca="1" si="56"/>
        <v>0</v>
      </c>
      <c r="AO127" s="15">
        <f t="shared" ca="1" si="57"/>
        <v>0</v>
      </c>
      <c r="AP127" s="15"/>
      <c r="AQ127" s="15">
        <f t="shared" ca="1" si="58"/>
        <v>0</v>
      </c>
      <c r="AR127" s="20">
        <f t="shared" ca="1" si="43"/>
        <v>0</v>
      </c>
      <c r="AS127" s="20"/>
      <c r="AT127" s="20">
        <f t="shared" ca="1" si="44"/>
        <v>0</v>
      </c>
      <c r="AU127" s="20">
        <f t="shared" ca="1" si="45"/>
        <v>0</v>
      </c>
      <c r="AV127" s="20">
        <f t="shared" ca="1" si="46"/>
        <v>0</v>
      </c>
      <c r="AW127" s="20">
        <f t="shared" si="47"/>
        <v>0</v>
      </c>
      <c r="AX127" s="20">
        <f t="shared" si="48"/>
        <v>0</v>
      </c>
      <c r="BA127" s="20"/>
      <c r="BD127" s="94" t="str">
        <f t="shared" si="52"/>
        <v>KPU0661Powerco</v>
      </c>
      <c r="BF127" s="15" t="s">
        <v>28</v>
      </c>
      <c r="BG127" t="s">
        <v>240</v>
      </c>
      <c r="BH127" s="190">
        <v>51.069900000000004</v>
      </c>
      <c r="BI127" s="190">
        <v>51.064998626708899</v>
      </c>
      <c r="BJ127" s="257">
        <f t="shared" si="53"/>
        <v>1.8139128279687866</v>
      </c>
      <c r="BK127" s="257">
        <f t="shared" si="50"/>
        <v>1.9884971998754257</v>
      </c>
      <c r="BL127" s="257">
        <f t="shared" si="51"/>
        <v>2.1048867811465186</v>
      </c>
      <c r="BM127" s="342" t="str">
        <f>VLOOKUP(LEFT(BG127,3),'Mapping B'!$D$2:$E$310,2,0)</f>
        <v>N</v>
      </c>
      <c r="BO127" s="20"/>
      <c r="BP127" s="190"/>
      <c r="BQ127" s="20"/>
      <c r="BR127" s="20"/>
    </row>
    <row r="128" spans="2:70" x14ac:dyDescent="0.25">
      <c r="B128" s="98" t="s">
        <v>563</v>
      </c>
      <c r="C128" s="98">
        <v>2014</v>
      </c>
      <c r="D128" s="98" t="s">
        <v>233</v>
      </c>
      <c r="E128" s="98" t="s">
        <v>3</v>
      </c>
      <c r="F128" s="98" t="s">
        <v>188</v>
      </c>
      <c r="G128" s="98">
        <v>669417.40099999995</v>
      </c>
      <c r="H128" s="299" t="str">
        <f>VLOOKUP(LEFT('Rev Adequacy'!D128,3),'Mapping B'!$D$2:$E$400,2,0)</f>
        <v>N</v>
      </c>
      <c r="I128" s="190"/>
      <c r="J128" s="15" t="s">
        <v>249</v>
      </c>
      <c r="K128" s="190" t="s">
        <v>138</v>
      </c>
      <c r="L128" s="190">
        <f t="shared" si="41"/>
        <v>3.1415999999999999</v>
      </c>
      <c r="O128" s="15">
        <f>_xlfn.IFNA(IF(VLOOKUP($J128&amp;O$12,'Mapping A'!$A$6:$G$1011,7,0)=1,$L128,""),0)</f>
        <v>0</v>
      </c>
      <c r="P128" s="15">
        <f>_xlfn.IFNA(IF(VLOOKUP($J128&amp;P$12,'Mapping A'!$A$6:$G$1011,7,0)=1,$L128,""),0)</f>
        <v>3.1415999999999999</v>
      </c>
      <c r="Q128" s="15">
        <f>_xlfn.IFNA(IF(VLOOKUP($J128&amp;Q$12,'Mapping A'!$A$6:$G$1011,7,0)=1,$L128,""),0)</f>
        <v>3.1415999999999999</v>
      </c>
      <c r="R128" s="15">
        <f>_xlfn.IFNA(IF(VLOOKUP($J128&amp;R$12,'Mapping A'!$A$6:$G$1011,7,0)=1,$L128,""),0)</f>
        <v>0</v>
      </c>
      <c r="S128" s="15">
        <f>_xlfn.IFNA(IF(VLOOKUP($J128&amp;S$12,'Mapping A'!$A$6:$G$1011,7,0)=1,$L128,""),0)</f>
        <v>0</v>
      </c>
      <c r="T128" s="15">
        <f>_xlfn.IFNA(IF(VLOOKUP($J128&amp;T$14,'Mapping A'!$A$6:$G$1011,7,0)=1,$L128,""),0)</f>
        <v>3.1415999999999999</v>
      </c>
      <c r="U128" s="15">
        <f>_xlfn.IFNA(IF(VLOOKUP($J128&amp;U$12,'Mapping A'!$A$6:$G$1011,7,0)=1,$L128,""),0)</f>
        <v>0</v>
      </c>
      <c r="V128" s="15">
        <f>_xlfn.IFNA(IF(VLOOKUP($J128&amp;V$12,'Mapping A'!$A$6:$G$1011,7,0)=1,$L128,""),0)</f>
        <v>3.1415999999999999</v>
      </c>
      <c r="W128" s="15">
        <f>_xlfn.IFNA(IF(VLOOKUP($J128&amp;W$12,'Mapping A'!$A$6:$G$1011,7,0)=1,$L128,""),0)</f>
        <v>0</v>
      </c>
      <c r="X128" s="15">
        <f>_xlfn.IFNA(IF(VLOOKUP($J128&amp;X$12,'Mapping A'!$A$6:$G$1011,7,0)=1,$L128,""),0)</f>
        <v>0</v>
      </c>
      <c r="Y128" s="15">
        <f>_xlfn.IFNA(IF(VLOOKUP($J128&amp;Y$12,'Mapping A'!$A$6:$G$1011,7,0)=1,$L128,""),0)</f>
        <v>0</v>
      </c>
      <c r="Z128" s="15">
        <f>_xlfn.IFNA(IF(VLOOKUP($J128&amp;Z$12,'Mapping A'!$A$6:$G$1011,7,0)=1,$L128,""),0)</f>
        <v>0</v>
      </c>
      <c r="AA128" s="15">
        <f>_xlfn.IFNA(IF(VLOOKUP($J128&amp;AA$12,'Mapping A'!$A$6:$G$1011,7,0)=1,$L128,""),0)</f>
        <v>0</v>
      </c>
      <c r="AF128" s="155" t="str">
        <f t="shared" si="49"/>
        <v>MAT1101TrustPower</v>
      </c>
      <c r="AG128" s="15" t="s">
        <v>249</v>
      </c>
      <c r="AH128" s="190" t="s">
        <v>138</v>
      </c>
      <c r="AI128" s="190">
        <f t="shared" si="42"/>
        <v>3.1415999999999999</v>
      </c>
      <c r="AJ128" s="292" t="s">
        <v>95</v>
      </c>
      <c r="AK128" s="15"/>
      <c r="AL128" s="15">
        <f t="shared" ca="1" si="54"/>
        <v>0</v>
      </c>
      <c r="AM128" s="15">
        <f t="shared" ca="1" si="55"/>
        <v>0</v>
      </c>
      <c r="AN128" s="15">
        <f t="shared" ca="1" si="56"/>
        <v>0</v>
      </c>
      <c r="AO128" s="15">
        <f t="shared" ca="1" si="57"/>
        <v>0</v>
      </c>
      <c r="AP128" s="15"/>
      <c r="AQ128" s="15">
        <f t="shared" ca="1" si="58"/>
        <v>0</v>
      </c>
      <c r="AR128" s="20">
        <f t="shared" ca="1" si="43"/>
        <v>0</v>
      </c>
      <c r="AS128" s="20"/>
      <c r="AT128" s="20">
        <f t="shared" ca="1" si="44"/>
        <v>0</v>
      </c>
      <c r="AU128" s="20">
        <f t="shared" ca="1" si="45"/>
        <v>0</v>
      </c>
      <c r="AV128" s="20">
        <f t="shared" ca="1" si="46"/>
        <v>0</v>
      </c>
      <c r="AW128" s="20">
        <f t="shared" si="47"/>
        <v>0</v>
      </c>
      <c r="AX128" s="20">
        <f t="shared" si="48"/>
        <v>0</v>
      </c>
      <c r="BA128" s="20"/>
      <c r="BD128" s="94" t="str">
        <f t="shared" si="52"/>
        <v>KUM0661Westpower</v>
      </c>
      <c r="BF128" s="15" t="s">
        <v>41</v>
      </c>
      <c r="BG128" t="s">
        <v>241</v>
      </c>
      <c r="BH128" s="190">
        <v>9.66</v>
      </c>
      <c r="BI128" s="190">
        <v>6.1979999542236301</v>
      </c>
      <c r="BJ128" s="257">
        <f t="shared" si="53"/>
        <v>0.34310617248474107</v>
      </c>
      <c r="BK128" s="257">
        <f t="shared" si="50"/>
        <v>0.37612924542238407</v>
      </c>
      <c r="BL128" s="257">
        <f t="shared" si="51"/>
        <v>0.39814462738081274</v>
      </c>
      <c r="BM128" s="342" t="str">
        <f>VLOOKUP(LEFT(BG128,3),'Mapping B'!$D$2:$E$310,2,0)</f>
        <v>S</v>
      </c>
      <c r="BO128" s="20"/>
      <c r="BP128" s="190"/>
      <c r="BQ128" s="20"/>
      <c r="BR128" s="20"/>
    </row>
    <row r="129" spans="2:70" x14ac:dyDescent="0.25">
      <c r="B129" s="98" t="s">
        <v>555</v>
      </c>
      <c r="C129" s="98">
        <v>2014</v>
      </c>
      <c r="D129" s="98" t="s">
        <v>233</v>
      </c>
      <c r="E129" s="98" t="s">
        <v>3</v>
      </c>
      <c r="F129" s="98" t="s">
        <v>188</v>
      </c>
      <c r="G129" s="98">
        <v>216812.74200000099</v>
      </c>
      <c r="H129" s="299" t="str">
        <f>VLOOKUP(LEFT('Rev Adequacy'!D129,3),'Mapping B'!$D$2:$E$400,2,0)</f>
        <v>N</v>
      </c>
      <c r="I129" s="190"/>
      <c r="J129" s="15" t="s">
        <v>935</v>
      </c>
      <c r="K129" s="190" t="s">
        <v>138</v>
      </c>
      <c r="L129" s="190">
        <f t="shared" si="41"/>
        <v>0.99539999999999995</v>
      </c>
      <c r="O129" s="15">
        <f>_xlfn.IFNA(IF(VLOOKUP($J129&amp;O$12,'Mapping A'!$A$6:$G$1011,7,0)=1,$L129,""),0)</f>
        <v>0</v>
      </c>
      <c r="P129" s="15">
        <f>_xlfn.IFNA(IF(VLOOKUP($J129&amp;P$12,'Mapping A'!$A$6:$G$1011,7,0)=1,$L129,""),0)</f>
        <v>0</v>
      </c>
      <c r="Q129" s="15">
        <f>_xlfn.IFNA(IF(VLOOKUP($J129&amp;Q$12,'Mapping A'!$A$6:$G$1011,7,0)=1,$L129,""),0)</f>
        <v>0</v>
      </c>
      <c r="R129" s="15">
        <f>_xlfn.IFNA(IF(VLOOKUP($J129&amp;R$12,'Mapping A'!$A$6:$G$1011,7,0)=1,$L129,""),0)</f>
        <v>0</v>
      </c>
      <c r="S129" s="15">
        <f>_xlfn.IFNA(IF(VLOOKUP($J129&amp;S$12,'Mapping A'!$A$6:$G$1011,7,0)=1,$L129,""),0)</f>
        <v>0</v>
      </c>
      <c r="T129" s="15">
        <f>_xlfn.IFNA(IF(VLOOKUP($J129&amp;T$14,'Mapping A'!$A$6:$G$1011,7,0)=1,$L129,""),0)</f>
        <v>0</v>
      </c>
      <c r="U129" s="15">
        <f>_xlfn.IFNA(IF(VLOOKUP($J129&amp;U$12,'Mapping A'!$A$6:$G$1011,7,0)=1,$L129,""),0)</f>
        <v>0</v>
      </c>
      <c r="V129" s="15">
        <f>_xlfn.IFNA(IF(VLOOKUP($J129&amp;V$12,'Mapping A'!$A$6:$G$1011,7,0)=1,$L129,""),0)</f>
        <v>0</v>
      </c>
      <c r="W129" s="15">
        <f>_xlfn.IFNA(IF(VLOOKUP($J129&amp;W$12,'Mapping A'!$A$6:$G$1011,7,0)=1,$L129,""),0)</f>
        <v>0</v>
      </c>
      <c r="X129" s="15">
        <f>_xlfn.IFNA(IF(VLOOKUP($J129&amp;X$12,'Mapping A'!$A$6:$G$1011,7,0)=1,$L129,""),0)</f>
        <v>0</v>
      </c>
      <c r="Y129" s="15">
        <f>_xlfn.IFNA(IF(VLOOKUP($J129&amp;Y$12,'Mapping A'!$A$6:$G$1011,7,0)=1,$L129,""),0)</f>
        <v>0</v>
      </c>
      <c r="Z129" s="15">
        <f>_xlfn.IFNA(IF(VLOOKUP($J129&amp;Z$12,'Mapping A'!$A$6:$G$1011,7,0)=1,$L129,""),0)</f>
        <v>0</v>
      </c>
      <c r="AA129" s="15">
        <f>_xlfn.IFNA(IF(VLOOKUP($J129&amp;AA$12,'Mapping A'!$A$6:$G$1011,7,0)=1,$L129,""),0)</f>
        <v>0</v>
      </c>
      <c r="AF129" s="155" t="str">
        <f t="shared" si="49"/>
        <v>MAT1102TrustPower</v>
      </c>
      <c r="AG129" s="15" t="s">
        <v>935</v>
      </c>
      <c r="AH129" s="190" t="s">
        <v>138</v>
      </c>
      <c r="AI129" s="190">
        <f t="shared" si="42"/>
        <v>0.99539999999999995</v>
      </c>
      <c r="AJ129" s="292" t="s">
        <v>95</v>
      </c>
      <c r="AK129" s="15"/>
      <c r="AL129" s="15">
        <f t="shared" ca="1" si="54"/>
        <v>0</v>
      </c>
      <c r="AM129" s="15">
        <f t="shared" ca="1" si="55"/>
        <v>0</v>
      </c>
      <c r="AN129" s="15">
        <f t="shared" ca="1" si="56"/>
        <v>0</v>
      </c>
      <c r="AO129" s="15">
        <f t="shared" ca="1" si="57"/>
        <v>0</v>
      </c>
      <c r="AP129" s="15"/>
      <c r="AQ129" s="15">
        <f t="shared" ca="1" si="58"/>
        <v>0</v>
      </c>
      <c r="AR129" s="20">
        <f t="shared" ca="1" si="43"/>
        <v>0</v>
      </c>
      <c r="AS129" s="20"/>
      <c r="AT129" s="20">
        <f t="shared" ca="1" si="44"/>
        <v>0</v>
      </c>
      <c r="AU129" s="20">
        <f t="shared" ca="1" si="45"/>
        <v>0</v>
      </c>
      <c r="AV129" s="20">
        <f t="shared" ca="1" si="46"/>
        <v>0</v>
      </c>
      <c r="AW129" s="20">
        <f t="shared" si="47"/>
        <v>0</v>
      </c>
      <c r="AX129" s="20">
        <f t="shared" si="48"/>
        <v>0</v>
      </c>
      <c r="BA129" s="20"/>
      <c r="BD129" s="94" t="str">
        <f t="shared" si="52"/>
        <v>KWA0111Wellington Electricity</v>
      </c>
      <c r="BF129" s="15" t="s">
        <v>40</v>
      </c>
      <c r="BG129" t="s">
        <v>243</v>
      </c>
      <c r="BH129" s="190">
        <v>34.360199999999999</v>
      </c>
      <c r="BI129" s="190">
        <v>34.361000061035099</v>
      </c>
      <c r="BJ129" s="257">
        <f t="shared" si="53"/>
        <v>1.2204137378685507</v>
      </c>
      <c r="BK129" s="257">
        <f t="shared" si="50"/>
        <v>1.337875372521967</v>
      </c>
      <c r="BL129" s="257">
        <f t="shared" si="51"/>
        <v>1.4161831289575777</v>
      </c>
      <c r="BM129" s="342" t="str">
        <f>VLOOKUP(LEFT(BG129,3),'Mapping B'!$D$2:$E$310,2,0)</f>
        <v>N</v>
      </c>
      <c r="BO129" s="20"/>
      <c r="BP129" s="190"/>
      <c r="BQ129" s="20"/>
      <c r="BR129" s="20"/>
    </row>
    <row r="130" spans="2:70" x14ac:dyDescent="0.25">
      <c r="B130" s="98" t="s">
        <v>112</v>
      </c>
      <c r="C130" s="98">
        <v>2014</v>
      </c>
      <c r="D130" s="98" t="s">
        <v>233</v>
      </c>
      <c r="E130" s="98" t="s">
        <v>3</v>
      </c>
      <c r="F130" s="98" t="s">
        <v>188</v>
      </c>
      <c r="G130" s="98">
        <v>10940569.5969999</v>
      </c>
      <c r="H130" s="299" t="str">
        <f>VLOOKUP(LEFT('Rev Adequacy'!D130,3),'Mapping B'!$D$2:$E$400,2,0)</f>
        <v>N</v>
      </c>
      <c r="I130" s="190"/>
      <c r="J130" s="15" t="s">
        <v>253</v>
      </c>
      <c r="K130" s="190" t="s">
        <v>19</v>
      </c>
      <c r="L130" s="190">
        <f t="shared" si="41"/>
        <v>2.7699000000000003</v>
      </c>
      <c r="O130" s="15">
        <f>_xlfn.IFNA(IF(VLOOKUP($J130&amp;O$12,'Mapping A'!$A$6:$G$1011,7,0)=1,$L130,""),0)</f>
        <v>0</v>
      </c>
      <c r="P130" s="15">
        <f>_xlfn.IFNA(IF(VLOOKUP($J130&amp;P$12,'Mapping A'!$A$6:$G$1011,7,0)=1,$L130,""),0)</f>
        <v>2.7699000000000003</v>
      </c>
      <c r="Q130" s="15">
        <f>_xlfn.IFNA(IF(VLOOKUP($J130&amp;Q$12,'Mapping A'!$A$6:$G$1011,7,0)=1,$L130,""),0)</f>
        <v>0</v>
      </c>
      <c r="R130" s="15">
        <f>_xlfn.IFNA(IF(VLOOKUP($J130&amp;R$12,'Mapping A'!$A$6:$G$1011,7,0)=1,$L130,""),0)</f>
        <v>0</v>
      </c>
      <c r="S130" s="15">
        <f>_xlfn.IFNA(IF(VLOOKUP($J130&amp;S$12,'Mapping A'!$A$6:$G$1011,7,0)=1,$L130,""),0)</f>
        <v>0</v>
      </c>
      <c r="T130" s="15">
        <f>_xlfn.IFNA(IF(VLOOKUP($J130&amp;T$14,'Mapping A'!$A$6:$G$1011,7,0)=1,$L130,""),0)</f>
        <v>0</v>
      </c>
      <c r="U130" s="15">
        <f>_xlfn.IFNA(IF(VLOOKUP($J130&amp;U$12,'Mapping A'!$A$6:$G$1011,7,0)=1,$L130,""),0)</f>
        <v>0</v>
      </c>
      <c r="V130" s="15">
        <f>_xlfn.IFNA(IF(VLOOKUP($J130&amp;V$12,'Mapping A'!$A$6:$G$1011,7,0)=1,$L130,""),0)</f>
        <v>0</v>
      </c>
      <c r="W130" s="15">
        <f>_xlfn.IFNA(IF(VLOOKUP($J130&amp;W$12,'Mapping A'!$A$6:$G$1011,7,0)=1,$L130,""),0)</f>
        <v>2.7699000000000003</v>
      </c>
      <c r="X130" s="15">
        <f>_xlfn.IFNA(IF(VLOOKUP($J130&amp;X$12,'Mapping A'!$A$6:$G$1011,7,0)=1,$L130,""),0)</f>
        <v>0</v>
      </c>
      <c r="Y130" s="15">
        <f>_xlfn.IFNA(IF(VLOOKUP($J130&amp;Y$12,'Mapping A'!$A$6:$G$1011,7,0)=1,$L130,""),0)</f>
        <v>0</v>
      </c>
      <c r="Z130" s="15">
        <f>_xlfn.IFNA(IF(VLOOKUP($J130&amp;Z$12,'Mapping A'!$A$6:$G$1011,7,0)=1,$L130,""),0)</f>
        <v>0</v>
      </c>
      <c r="AA130" s="15">
        <f>_xlfn.IFNA(IF(VLOOKUP($J130&amp;AA$12,'Mapping A'!$A$6:$G$1011,7,0)=1,$L130,""),0)</f>
        <v>2.7699000000000003</v>
      </c>
      <c r="AF130" s="155" t="str">
        <f t="shared" si="49"/>
        <v>MCH0111Network Tasman</v>
      </c>
      <c r="AG130" s="15" t="s">
        <v>253</v>
      </c>
      <c r="AH130" s="190" t="s">
        <v>19</v>
      </c>
      <c r="AI130" s="190">
        <f t="shared" si="42"/>
        <v>2.7699000000000003</v>
      </c>
      <c r="AJ130" s="292" t="s">
        <v>96</v>
      </c>
      <c r="AK130" s="15"/>
      <c r="AL130" s="15">
        <f t="shared" ca="1" si="54"/>
        <v>0</v>
      </c>
      <c r="AM130" s="15">
        <f t="shared" ca="1" si="55"/>
        <v>0</v>
      </c>
      <c r="AN130" s="15">
        <f t="shared" ca="1" si="56"/>
        <v>0</v>
      </c>
      <c r="AO130" s="15">
        <f t="shared" ca="1" si="57"/>
        <v>0</v>
      </c>
      <c r="AP130" s="15"/>
      <c r="AQ130" s="15">
        <f t="shared" ca="1" si="58"/>
        <v>0</v>
      </c>
      <c r="AR130" s="20">
        <f t="shared" ca="1" si="43"/>
        <v>0</v>
      </c>
      <c r="AS130" s="20"/>
      <c r="AT130" s="20">
        <f t="shared" ca="1" si="44"/>
        <v>7.9041930665965238E-3</v>
      </c>
      <c r="AU130" s="20">
        <f t="shared" ca="1" si="45"/>
        <v>0</v>
      </c>
      <c r="AV130" s="20">
        <f t="shared" ca="1" si="46"/>
        <v>0</v>
      </c>
      <c r="AW130" s="20">
        <f t="shared" si="47"/>
        <v>0</v>
      </c>
      <c r="AX130" s="20">
        <f t="shared" si="48"/>
        <v>0</v>
      </c>
      <c r="BA130" s="20"/>
      <c r="BD130" s="94" t="str">
        <f t="shared" si="52"/>
        <v>LFD1101Fonterra</v>
      </c>
      <c r="BF130" s="15" t="s">
        <v>49</v>
      </c>
      <c r="BG130" t="s">
        <v>244</v>
      </c>
      <c r="BH130" s="190">
        <v>7.8855000000000004</v>
      </c>
      <c r="BI130" s="190">
        <v>7.8860001564025799</v>
      </c>
      <c r="BJ130" s="257">
        <f t="shared" si="53"/>
        <v>0.28007906036526148</v>
      </c>
      <c r="BK130" s="257">
        <f t="shared" si="50"/>
        <v>0.30703593838283744</v>
      </c>
      <c r="BL130" s="257">
        <f t="shared" si="51"/>
        <v>0.32500719039455478</v>
      </c>
      <c r="BM130" s="342" t="str">
        <f>VLOOKUP(LEFT(BG130,3),'Mapping B'!$D$2:$E$310,2,0)</f>
        <v>N</v>
      </c>
      <c r="BO130" s="20"/>
      <c r="BP130" s="190"/>
      <c r="BQ130" s="20"/>
      <c r="BR130" s="20"/>
    </row>
    <row r="131" spans="2:70" x14ac:dyDescent="0.25">
      <c r="B131" s="98" t="s">
        <v>111</v>
      </c>
      <c r="C131" s="98">
        <v>2014</v>
      </c>
      <c r="D131" s="98" t="s">
        <v>233</v>
      </c>
      <c r="E131" s="98" t="s">
        <v>3</v>
      </c>
      <c r="F131" s="98" t="s">
        <v>188</v>
      </c>
      <c r="G131" s="98">
        <v>2668103.665</v>
      </c>
      <c r="H131" s="299" t="str">
        <f>VLOOKUP(LEFT('Rev Adequacy'!D131,3),'Mapping B'!$D$2:$E$400,2,0)</f>
        <v>N</v>
      </c>
      <c r="I131" s="190"/>
      <c r="J131" s="15" t="s">
        <v>254</v>
      </c>
      <c r="K131" s="190" t="s">
        <v>39</v>
      </c>
      <c r="L131" s="190">
        <f t="shared" si="41"/>
        <v>8.4000000000000012E-3</v>
      </c>
      <c r="O131" s="15">
        <f>_xlfn.IFNA(IF(VLOOKUP($J131&amp;O$12,'Mapping A'!$A$6:$G$1011,7,0)=1,$L131,""),0)</f>
        <v>8.4000000000000012E-3</v>
      </c>
      <c r="P131" s="15">
        <f>_xlfn.IFNA(IF(VLOOKUP($J131&amp;P$12,'Mapping A'!$A$6:$G$1011,7,0)=1,$L131,""),0)</f>
        <v>8.4000000000000012E-3</v>
      </c>
      <c r="Q131" s="15">
        <f>_xlfn.IFNA(IF(VLOOKUP($J131&amp;Q$12,'Mapping A'!$A$6:$G$1011,7,0)=1,$L131,""),0)</f>
        <v>8.4000000000000012E-3</v>
      </c>
      <c r="R131" s="15">
        <f>_xlfn.IFNA(IF(VLOOKUP($J131&amp;R$12,'Mapping A'!$A$6:$G$1011,7,0)=1,$L131,""),0)</f>
        <v>0</v>
      </c>
      <c r="S131" s="15">
        <f>_xlfn.IFNA(IF(VLOOKUP($J131&amp;S$12,'Mapping A'!$A$6:$G$1011,7,0)=1,$L131,""),0)</f>
        <v>0</v>
      </c>
      <c r="T131" s="15">
        <f>_xlfn.IFNA(IF(VLOOKUP($J131&amp;T$14,'Mapping A'!$A$6:$G$1011,7,0)=1,$L131,""),0)</f>
        <v>8.4000000000000012E-3</v>
      </c>
      <c r="U131" s="15">
        <f>_xlfn.IFNA(IF(VLOOKUP($J131&amp;U$12,'Mapping A'!$A$6:$G$1011,7,0)=1,$L131,""),0)</f>
        <v>8.4000000000000012E-3</v>
      </c>
      <c r="V131" s="15">
        <f>_xlfn.IFNA(IF(VLOOKUP($J131&amp;V$12,'Mapping A'!$A$6:$G$1011,7,0)=1,$L131,""),0)</f>
        <v>0</v>
      </c>
      <c r="W131" s="15">
        <f>_xlfn.IFNA(IF(VLOOKUP($J131&amp;W$12,'Mapping A'!$A$6:$G$1011,7,0)=1,$L131,""),0)</f>
        <v>0</v>
      </c>
      <c r="X131" s="15">
        <f>_xlfn.IFNA(IF(VLOOKUP($J131&amp;X$12,'Mapping A'!$A$6:$G$1011,7,0)=1,$L131,""),0)</f>
        <v>8.4000000000000012E-3</v>
      </c>
      <c r="Y131" s="15">
        <f>_xlfn.IFNA(IF(VLOOKUP($J131&amp;Y$12,'Mapping A'!$A$6:$G$1011,7,0)=1,$L131,""),0)</f>
        <v>0</v>
      </c>
      <c r="Z131" s="15">
        <f>_xlfn.IFNA(IF(VLOOKUP($J131&amp;Z$12,'Mapping A'!$A$6:$G$1011,7,0)=1,$L131,""),0)</f>
        <v>0</v>
      </c>
      <c r="AA131" s="15">
        <f>_xlfn.IFNA(IF(VLOOKUP($J131&amp;AA$12,'Mapping A'!$A$6:$G$1011,7,0)=1,$L131,""),0)</f>
        <v>0</v>
      </c>
      <c r="AF131" s="155" t="str">
        <f t="shared" si="49"/>
        <v>MER0331WEL</v>
      </c>
      <c r="AG131" s="15" t="s">
        <v>254</v>
      </c>
      <c r="AH131" s="190" t="s">
        <v>39</v>
      </c>
      <c r="AI131" s="190">
        <f t="shared" si="42"/>
        <v>8.4000000000000012E-3</v>
      </c>
      <c r="AJ131" s="292" t="s">
        <v>95</v>
      </c>
      <c r="AK131" s="15"/>
      <c r="AL131" s="15">
        <f t="shared" ca="1" si="54"/>
        <v>0</v>
      </c>
      <c r="AM131" s="15">
        <f t="shared" ca="1" si="55"/>
        <v>0</v>
      </c>
      <c r="AN131" s="15">
        <f t="shared" ca="1" si="56"/>
        <v>0</v>
      </c>
      <c r="AO131" s="15">
        <f t="shared" ca="1" si="57"/>
        <v>0</v>
      </c>
      <c r="AP131" s="15"/>
      <c r="AQ131" s="15">
        <f t="shared" ca="1" si="58"/>
        <v>0</v>
      </c>
      <c r="AR131" s="20">
        <f t="shared" ca="1" si="43"/>
        <v>3.6755001595216041E-5</v>
      </c>
      <c r="AS131" s="20"/>
      <c r="AT131" s="20">
        <f t="shared" ca="1" si="44"/>
        <v>0</v>
      </c>
      <c r="AU131" s="20">
        <f t="shared" ca="1" si="45"/>
        <v>1.6951486227764852E-5</v>
      </c>
      <c r="AV131" s="20">
        <f t="shared" ca="1" si="46"/>
        <v>0</v>
      </c>
      <c r="AW131" s="20">
        <f t="shared" si="47"/>
        <v>0</v>
      </c>
      <c r="AX131" s="20">
        <f t="shared" si="48"/>
        <v>0</v>
      </c>
      <c r="BA131" s="20"/>
      <c r="BD131" s="94" t="str">
        <f t="shared" si="52"/>
        <v>LFD1102Fonterra</v>
      </c>
      <c r="BF131" s="15" t="s">
        <v>49</v>
      </c>
      <c r="BG131" t="s">
        <v>245</v>
      </c>
      <c r="BH131" s="190">
        <v>5.4032999999999998</v>
      </c>
      <c r="BI131" s="190">
        <v>5.4029998779296804</v>
      </c>
      <c r="BJ131" s="257">
        <f t="shared" si="53"/>
        <v>0.19191569169635622</v>
      </c>
      <c r="BK131" s="257">
        <f t="shared" si="50"/>
        <v>0.21038707575473786</v>
      </c>
      <c r="BL131" s="257">
        <f t="shared" si="51"/>
        <v>0.22270133179365895</v>
      </c>
      <c r="BM131" s="342" t="str">
        <f>VLOOKUP(LEFT(BG131,3),'Mapping B'!$D$2:$E$310,2,0)</f>
        <v>N</v>
      </c>
      <c r="BO131" s="20"/>
      <c r="BP131" s="190"/>
      <c r="BQ131" s="20"/>
      <c r="BR131" s="20"/>
    </row>
    <row r="132" spans="2:70" x14ac:dyDescent="0.25">
      <c r="B132" s="98" t="s">
        <v>552</v>
      </c>
      <c r="C132" s="98">
        <v>2014</v>
      </c>
      <c r="D132" s="98" t="s">
        <v>177</v>
      </c>
      <c r="E132" s="98" t="s">
        <v>4</v>
      </c>
      <c r="F132" s="98" t="s">
        <v>131</v>
      </c>
      <c r="G132" s="248">
        <v>0</v>
      </c>
      <c r="H132" s="299" t="str">
        <f>VLOOKUP(LEFT('Rev Adequacy'!D132,3),'Mapping B'!$D$2:$E$400,2,0)</f>
        <v>S</v>
      </c>
      <c r="I132" s="190"/>
      <c r="J132" s="15" t="s">
        <v>255</v>
      </c>
      <c r="K132" s="190" t="s">
        <v>28</v>
      </c>
      <c r="L132" s="190">
        <f t="shared" si="41"/>
        <v>11.894399999999999</v>
      </c>
      <c r="O132" s="15">
        <f>_xlfn.IFNA(IF(VLOOKUP($J132&amp;O$12,'Mapping A'!$A$6:$G$1011,7,0)=1,$L132,""),0)</f>
        <v>0</v>
      </c>
      <c r="P132" s="15">
        <f>_xlfn.IFNA(IF(VLOOKUP($J132&amp;P$12,'Mapping A'!$A$6:$G$1011,7,0)=1,$L132,""),0)</f>
        <v>11.894399999999999</v>
      </c>
      <c r="Q132" s="15">
        <f>_xlfn.IFNA(IF(VLOOKUP($J132&amp;Q$12,'Mapping A'!$A$6:$G$1011,7,0)=1,$L132,""),0)</f>
        <v>11.894399999999999</v>
      </c>
      <c r="R132" s="15">
        <f>_xlfn.IFNA(IF(VLOOKUP($J132&amp;R$12,'Mapping A'!$A$6:$G$1011,7,0)=1,$L132,""),0)</f>
        <v>0</v>
      </c>
      <c r="S132" s="15">
        <f>_xlfn.IFNA(IF(VLOOKUP($J132&amp;S$12,'Mapping A'!$A$6:$G$1011,7,0)=1,$L132,""),0)</f>
        <v>0</v>
      </c>
      <c r="T132" s="15">
        <f>_xlfn.IFNA(IF(VLOOKUP($J132&amp;T$14,'Mapping A'!$A$6:$G$1011,7,0)=1,$L132,""),0)</f>
        <v>0</v>
      </c>
      <c r="U132" s="15">
        <f>_xlfn.IFNA(IF(VLOOKUP($J132&amp;U$12,'Mapping A'!$A$6:$G$1011,7,0)=1,$L132,""),0)</f>
        <v>0</v>
      </c>
      <c r="V132" s="15">
        <f>_xlfn.IFNA(IF(VLOOKUP($J132&amp;V$12,'Mapping A'!$A$6:$G$1011,7,0)=1,$L132,""),0)</f>
        <v>0</v>
      </c>
      <c r="W132" s="15">
        <f>_xlfn.IFNA(IF(VLOOKUP($J132&amp;W$12,'Mapping A'!$A$6:$G$1011,7,0)=1,$L132,""),0)</f>
        <v>0</v>
      </c>
      <c r="X132" s="15">
        <f>_xlfn.IFNA(IF(VLOOKUP($J132&amp;X$12,'Mapping A'!$A$6:$G$1011,7,0)=1,$L132,""),0)</f>
        <v>0</v>
      </c>
      <c r="Y132" s="15">
        <f>_xlfn.IFNA(IF(VLOOKUP($J132&amp;Y$12,'Mapping A'!$A$6:$G$1011,7,0)=1,$L132,""),0)</f>
        <v>0</v>
      </c>
      <c r="Z132" s="15">
        <f>_xlfn.IFNA(IF(VLOOKUP($J132&amp;Z$12,'Mapping A'!$A$6:$G$1011,7,0)=1,$L132,""),0)</f>
        <v>0</v>
      </c>
      <c r="AA132" s="15">
        <f>_xlfn.IFNA(IF(VLOOKUP($J132&amp;AA$12,'Mapping A'!$A$6:$G$1011,7,0)=1,$L132,""),0)</f>
        <v>0</v>
      </c>
      <c r="AF132" s="155" t="str">
        <f t="shared" si="49"/>
        <v>MGM0331Powerco</v>
      </c>
      <c r="AG132" s="15" t="s">
        <v>255</v>
      </c>
      <c r="AH132" s="190" t="s">
        <v>28</v>
      </c>
      <c r="AI132" s="190">
        <f t="shared" si="42"/>
        <v>11.894399999999999</v>
      </c>
      <c r="AJ132" s="292" t="s">
        <v>95</v>
      </c>
      <c r="AK132" s="15"/>
      <c r="AL132" s="15">
        <f t="shared" ca="1" si="54"/>
        <v>0</v>
      </c>
      <c r="AM132" s="15">
        <f t="shared" ca="1" si="55"/>
        <v>0</v>
      </c>
      <c r="AN132" s="15">
        <f t="shared" ca="1" si="56"/>
        <v>0</v>
      </c>
      <c r="AO132" s="15">
        <f t="shared" ca="1" si="57"/>
        <v>0</v>
      </c>
      <c r="AP132" s="15"/>
      <c r="AQ132" s="15">
        <f t="shared" ca="1" si="58"/>
        <v>0</v>
      </c>
      <c r="AR132" s="20">
        <f t="shared" ca="1" si="43"/>
        <v>0</v>
      </c>
      <c r="AS132" s="20"/>
      <c r="AT132" s="20">
        <f t="shared" ca="1" si="44"/>
        <v>0</v>
      </c>
      <c r="AU132" s="20">
        <f t="shared" ca="1" si="45"/>
        <v>0</v>
      </c>
      <c r="AV132" s="20">
        <f t="shared" ca="1" si="46"/>
        <v>0</v>
      </c>
      <c r="AW132" s="20">
        <f t="shared" si="47"/>
        <v>0</v>
      </c>
      <c r="AX132" s="20">
        <f t="shared" si="48"/>
        <v>0</v>
      </c>
      <c r="BA132" s="20"/>
      <c r="BD132" s="94" t="str">
        <f t="shared" si="52"/>
        <v>LTN0331Powerco</v>
      </c>
      <c r="BF132" s="15" t="s">
        <v>28</v>
      </c>
      <c r="BG132" t="s">
        <v>246</v>
      </c>
      <c r="BH132" s="190">
        <v>60.731999999999999</v>
      </c>
      <c r="BI132" s="190">
        <v>60.2760009765625</v>
      </c>
      <c r="BJ132" s="257">
        <f t="shared" si="53"/>
        <v>2.1570935887518941</v>
      </c>
      <c r="BK132" s="257">
        <f t="shared" si="50"/>
        <v>2.3647082125250756</v>
      </c>
      <c r="BL132" s="257">
        <f t="shared" si="51"/>
        <v>2.5031179617071966</v>
      </c>
      <c r="BM132" s="342" t="str">
        <f>VLOOKUP(LEFT(BG132,3),'Mapping B'!$D$2:$E$310,2,0)</f>
        <v>N</v>
      </c>
      <c r="BO132" s="20"/>
      <c r="BP132" s="190"/>
      <c r="BQ132" s="20"/>
      <c r="BR132" s="20"/>
    </row>
    <row r="133" spans="2:70" x14ac:dyDescent="0.25">
      <c r="B133" s="98" t="s">
        <v>552</v>
      </c>
      <c r="C133" s="98">
        <v>2014</v>
      </c>
      <c r="D133" s="98" t="s">
        <v>178</v>
      </c>
      <c r="E133" s="98" t="s">
        <v>4</v>
      </c>
      <c r="F133" s="98" t="s">
        <v>131</v>
      </c>
      <c r="G133" s="248">
        <v>68.012</v>
      </c>
      <c r="H133" s="299" t="str">
        <f>VLOOKUP(LEFT('Rev Adequacy'!D133,3),'Mapping B'!$D$2:$E$400,2,0)</f>
        <v>S</v>
      </c>
      <c r="I133" s="190"/>
      <c r="J133" s="15" t="s">
        <v>256</v>
      </c>
      <c r="K133" s="190" t="s">
        <v>8</v>
      </c>
      <c r="L133" s="190">
        <f t="shared" si="41"/>
        <v>37.193100000000001</v>
      </c>
      <c r="O133" s="15">
        <f>_xlfn.IFNA(IF(VLOOKUP($J133&amp;O$12,'Mapping A'!$A$6:$G$1011,7,0)=1,$L133,""),0)</f>
        <v>0</v>
      </c>
      <c r="P133" s="15">
        <f>_xlfn.IFNA(IF(VLOOKUP($J133&amp;P$12,'Mapping A'!$A$6:$G$1011,7,0)=1,$L133,""),0)</f>
        <v>37.193100000000001</v>
      </c>
      <c r="Q133" s="15">
        <f>_xlfn.IFNA(IF(VLOOKUP($J133&amp;Q$12,'Mapping A'!$A$6:$G$1011,7,0)=1,$L133,""),0)</f>
        <v>37.193100000000001</v>
      </c>
      <c r="R133" s="15">
        <f>_xlfn.IFNA(IF(VLOOKUP($J133&amp;R$12,'Mapping A'!$A$6:$G$1011,7,0)=1,$L133,""),0)</f>
        <v>0</v>
      </c>
      <c r="S133" s="15">
        <f>_xlfn.IFNA(IF(VLOOKUP($J133&amp;S$12,'Mapping A'!$A$6:$G$1011,7,0)=1,$L133,""),0)</f>
        <v>0</v>
      </c>
      <c r="T133" s="15">
        <f>_xlfn.IFNA(IF(VLOOKUP($J133&amp;T$14,'Mapping A'!$A$6:$G$1011,7,0)=1,$L133,""),0)</f>
        <v>0</v>
      </c>
      <c r="U133" s="15">
        <f>_xlfn.IFNA(IF(VLOOKUP($J133&amp;U$12,'Mapping A'!$A$6:$G$1011,7,0)=1,$L133,""),0)</f>
        <v>0</v>
      </c>
      <c r="V133" s="15">
        <f>_xlfn.IFNA(IF(VLOOKUP($J133&amp;V$12,'Mapping A'!$A$6:$G$1011,7,0)=1,$L133,""),0)</f>
        <v>0</v>
      </c>
      <c r="W133" s="15">
        <f>_xlfn.IFNA(IF(VLOOKUP($J133&amp;W$12,'Mapping A'!$A$6:$G$1011,7,0)=1,$L133,""),0)</f>
        <v>0</v>
      </c>
      <c r="X133" s="15">
        <f>_xlfn.IFNA(IF(VLOOKUP($J133&amp;X$12,'Mapping A'!$A$6:$G$1011,7,0)=1,$L133,""),0)</f>
        <v>0</v>
      </c>
      <c r="Y133" s="15">
        <f>_xlfn.IFNA(IF(VLOOKUP($J133&amp;Y$12,'Mapping A'!$A$6:$G$1011,7,0)=1,$L133,""),0)</f>
        <v>0</v>
      </c>
      <c r="Z133" s="15">
        <f>_xlfn.IFNA(IF(VLOOKUP($J133&amp;Z$12,'Mapping A'!$A$6:$G$1011,7,0)=1,$L133,""),0)</f>
        <v>0</v>
      </c>
      <c r="AA133" s="15">
        <f>_xlfn.IFNA(IF(VLOOKUP($J133&amp;AA$12,'Mapping A'!$A$6:$G$1011,7,0)=1,$L133,""),0)</f>
        <v>0</v>
      </c>
      <c r="AF133" s="155" t="str">
        <f t="shared" si="49"/>
        <v>MHO0331Electra</v>
      </c>
      <c r="AG133" s="15" t="s">
        <v>256</v>
      </c>
      <c r="AH133" s="190" t="s">
        <v>8</v>
      </c>
      <c r="AI133" s="190">
        <f t="shared" si="42"/>
        <v>37.193100000000001</v>
      </c>
      <c r="AJ133" s="292" t="s">
        <v>95</v>
      </c>
      <c r="AK133" s="15"/>
      <c r="AL133" s="15">
        <f t="shared" ca="1" si="54"/>
        <v>0</v>
      </c>
      <c r="AM133" s="15">
        <f t="shared" ca="1" si="55"/>
        <v>0</v>
      </c>
      <c r="AN133" s="15">
        <f t="shared" ca="1" si="56"/>
        <v>0</v>
      </c>
      <c r="AO133" s="15">
        <f t="shared" ca="1" si="57"/>
        <v>0</v>
      </c>
      <c r="AP133" s="15"/>
      <c r="AQ133" s="15">
        <f t="shared" ca="1" si="58"/>
        <v>0</v>
      </c>
      <c r="AR133" s="20">
        <f t="shared" ca="1" si="43"/>
        <v>0</v>
      </c>
      <c r="AS133" s="20"/>
      <c r="AT133" s="20">
        <f t="shared" ca="1" si="44"/>
        <v>0</v>
      </c>
      <c r="AU133" s="20">
        <f t="shared" ca="1" si="45"/>
        <v>0</v>
      </c>
      <c r="AV133" s="20">
        <f t="shared" ca="1" si="46"/>
        <v>0</v>
      </c>
      <c r="AW133" s="20">
        <f t="shared" si="47"/>
        <v>0</v>
      </c>
      <c r="AX133" s="20">
        <f t="shared" si="48"/>
        <v>0</v>
      </c>
      <c r="BA133" s="20"/>
      <c r="BD133" s="94" t="str">
        <f t="shared" si="52"/>
        <v>MAT1101TrustPower</v>
      </c>
      <c r="BF133" s="15" t="s">
        <v>138</v>
      </c>
      <c r="BG133" t="s">
        <v>249</v>
      </c>
      <c r="BH133" s="190">
        <v>3.1415999999999999</v>
      </c>
      <c r="BI133" s="190">
        <v>3.3099999427795401</v>
      </c>
      <c r="BJ133" s="257">
        <f t="shared" si="53"/>
        <v>0.11158409435590709</v>
      </c>
      <c r="BK133" s="257">
        <f t="shared" si="50"/>
        <v>0.12232377198954056</v>
      </c>
      <c r="BL133" s="257">
        <f t="shared" si="51"/>
        <v>0.12948355707862952</v>
      </c>
      <c r="BM133" s="342" t="str">
        <f>VLOOKUP(LEFT(BG133,3),'Mapping B'!$D$2:$E$310,2,0)</f>
        <v>N</v>
      </c>
      <c r="BO133" s="20"/>
      <c r="BP133" s="190"/>
      <c r="BQ133" s="20"/>
      <c r="BR133" s="20"/>
    </row>
    <row r="134" spans="2:70" x14ac:dyDescent="0.25">
      <c r="B134" s="98" t="s">
        <v>552</v>
      </c>
      <c r="C134" s="98">
        <v>2014</v>
      </c>
      <c r="D134" s="98" t="s">
        <v>179</v>
      </c>
      <c r="E134" s="98" t="s">
        <v>4</v>
      </c>
      <c r="F134" s="98" t="s">
        <v>136</v>
      </c>
      <c r="G134" s="248">
        <v>92277.701000000394</v>
      </c>
      <c r="H134" s="299" t="str">
        <f>VLOOKUP(LEFT('Rev Adequacy'!D134,3),'Mapping B'!$D$2:$E$400,2,0)</f>
        <v>S</v>
      </c>
      <c r="I134" s="190"/>
      <c r="J134" s="15" t="s">
        <v>258</v>
      </c>
      <c r="K134" s="190" t="s">
        <v>33</v>
      </c>
      <c r="L134" s="190">
        <f t="shared" si="41"/>
        <v>0.86939999999999995</v>
      </c>
      <c r="O134" s="15">
        <f>_xlfn.IFNA(IF(VLOOKUP($J134&amp;O$12,'Mapping A'!$A$6:$G$1011,7,0)=1,$L134,""),0)</f>
        <v>0</v>
      </c>
      <c r="P134" s="15">
        <f>_xlfn.IFNA(IF(VLOOKUP($J134&amp;P$12,'Mapping A'!$A$6:$G$1011,7,0)=1,$L134,""),0)</f>
        <v>0.86939999999999995</v>
      </c>
      <c r="Q134" s="15">
        <f>_xlfn.IFNA(IF(VLOOKUP($J134&amp;Q$12,'Mapping A'!$A$6:$G$1011,7,0)=1,$L134,""),0)</f>
        <v>0.86939999999999995</v>
      </c>
      <c r="R134" s="15">
        <f>_xlfn.IFNA(IF(VLOOKUP($J134&amp;R$12,'Mapping A'!$A$6:$G$1011,7,0)=1,$L134,""),0)</f>
        <v>0</v>
      </c>
      <c r="S134" s="15">
        <f>_xlfn.IFNA(IF(VLOOKUP($J134&amp;S$12,'Mapping A'!$A$6:$G$1011,7,0)=1,$L134,""),0)</f>
        <v>0</v>
      </c>
      <c r="T134" s="15">
        <f>_xlfn.IFNA(IF(VLOOKUP($J134&amp;T$14,'Mapping A'!$A$6:$G$1011,7,0)=1,$L134,""),0)</f>
        <v>0</v>
      </c>
      <c r="U134" s="15">
        <f>_xlfn.IFNA(IF(VLOOKUP($J134&amp;U$12,'Mapping A'!$A$6:$G$1011,7,0)=1,$L134,""),0)</f>
        <v>0</v>
      </c>
      <c r="V134" s="15">
        <f>_xlfn.IFNA(IF(VLOOKUP($J134&amp;V$12,'Mapping A'!$A$6:$G$1011,7,0)=1,$L134,""),0)</f>
        <v>0</v>
      </c>
      <c r="W134" s="15">
        <f>_xlfn.IFNA(IF(VLOOKUP($J134&amp;W$12,'Mapping A'!$A$6:$G$1011,7,0)=1,$L134,""),0)</f>
        <v>0</v>
      </c>
      <c r="X134" s="15">
        <f>_xlfn.IFNA(IF(VLOOKUP($J134&amp;X$12,'Mapping A'!$A$6:$G$1011,7,0)=1,$L134,""),0)</f>
        <v>0</v>
      </c>
      <c r="Y134" s="15">
        <f>_xlfn.IFNA(IF(VLOOKUP($J134&amp;Y$12,'Mapping A'!$A$6:$G$1011,7,0)=1,$L134,""),0)</f>
        <v>0</v>
      </c>
      <c r="Z134" s="15">
        <f>_xlfn.IFNA(IF(VLOOKUP($J134&amp;Z$12,'Mapping A'!$A$6:$G$1011,7,0)=1,$L134,""),0)</f>
        <v>0</v>
      </c>
      <c r="AA134" s="15">
        <f>_xlfn.IFNA(IF(VLOOKUP($J134&amp;AA$12,'Mapping A'!$A$6:$G$1011,7,0)=1,$L134,""),0)</f>
        <v>0</v>
      </c>
      <c r="AF134" s="155" t="str">
        <f t="shared" si="49"/>
        <v>MKE1101Todd</v>
      </c>
      <c r="AG134" s="15" t="s">
        <v>258</v>
      </c>
      <c r="AH134" s="190" t="s">
        <v>33</v>
      </c>
      <c r="AI134" s="190">
        <f t="shared" si="42"/>
        <v>0.86939999999999995</v>
      </c>
      <c r="AJ134" s="292" t="s">
        <v>95</v>
      </c>
      <c r="AK134" s="15"/>
      <c r="AL134" s="15">
        <f t="shared" ca="1" si="54"/>
        <v>0</v>
      </c>
      <c r="AM134" s="15">
        <f t="shared" ca="1" si="55"/>
        <v>0</v>
      </c>
      <c r="AN134" s="15">
        <f t="shared" ca="1" si="56"/>
        <v>0</v>
      </c>
      <c r="AO134" s="15">
        <f t="shared" ca="1" si="57"/>
        <v>0</v>
      </c>
      <c r="AP134" s="15"/>
      <c r="AQ134" s="15">
        <f t="shared" ca="1" si="58"/>
        <v>0</v>
      </c>
      <c r="AR134" s="20">
        <f t="shared" ca="1" si="43"/>
        <v>0</v>
      </c>
      <c r="AS134" s="20"/>
      <c r="AT134" s="20">
        <f t="shared" ca="1" si="44"/>
        <v>0</v>
      </c>
      <c r="AU134" s="20">
        <f t="shared" ca="1" si="45"/>
        <v>0</v>
      </c>
      <c r="AV134" s="20">
        <f t="shared" ca="1" si="46"/>
        <v>0</v>
      </c>
      <c r="AW134" s="20">
        <f t="shared" si="47"/>
        <v>0</v>
      </c>
      <c r="AX134" s="20">
        <f t="shared" si="48"/>
        <v>0</v>
      </c>
      <c r="BA134" s="20"/>
      <c r="BD134" s="94" t="str">
        <f t="shared" si="52"/>
        <v>MAT1102TrustPower</v>
      </c>
      <c r="BF134" s="15" t="s">
        <v>138</v>
      </c>
      <c r="BG134" t="s">
        <v>935</v>
      </c>
      <c r="BH134" s="190">
        <v>0.99539999999999995</v>
      </c>
      <c r="BI134" s="190" t="e">
        <v>#N/A</v>
      </c>
      <c r="BJ134" s="257">
        <f t="shared" si="53"/>
        <v>3.5354853425601573E-2</v>
      </c>
      <c r="BK134" s="257">
        <f t="shared" si="50"/>
        <v>3.8757665723958702E-2</v>
      </c>
      <c r="BL134" s="257">
        <f t="shared" si="51"/>
        <v>4.1026207256196788E-2</v>
      </c>
      <c r="BM134" s="342" t="str">
        <f>VLOOKUP(LEFT(BG134,3),'Mapping B'!$D$2:$E$310,2,0)</f>
        <v>N</v>
      </c>
      <c r="BO134" s="20"/>
      <c r="BP134" s="190"/>
      <c r="BQ134" s="20"/>
      <c r="BR134" s="20"/>
    </row>
    <row r="135" spans="2:70" x14ac:dyDescent="0.25">
      <c r="B135" s="98" t="s">
        <v>552</v>
      </c>
      <c r="C135" s="98">
        <v>2014</v>
      </c>
      <c r="D135" s="98" t="s">
        <v>287</v>
      </c>
      <c r="E135" s="98" t="s">
        <v>4</v>
      </c>
      <c r="F135" s="98" t="s">
        <v>136</v>
      </c>
      <c r="G135" s="248">
        <v>0</v>
      </c>
      <c r="H135" s="299" t="str">
        <f>VLOOKUP(LEFT('Rev Adequacy'!D135,3),'Mapping B'!$D$2:$E$400,2,0)</f>
        <v>N</v>
      </c>
      <c r="I135" s="190"/>
      <c r="J135" s="15" t="s">
        <v>260</v>
      </c>
      <c r="K135" s="190" t="s">
        <v>40</v>
      </c>
      <c r="L135" s="190">
        <f t="shared" si="41"/>
        <v>27.388200000000001</v>
      </c>
      <c r="O135" s="15">
        <f>_xlfn.IFNA(IF(VLOOKUP($J135&amp;O$12,'Mapping A'!$A$6:$G$1011,7,0)=1,$L135,""),0)</f>
        <v>0</v>
      </c>
      <c r="P135" s="15">
        <f>_xlfn.IFNA(IF(VLOOKUP($J135&amp;P$12,'Mapping A'!$A$6:$G$1011,7,0)=1,$L135,""),0)</f>
        <v>27.388200000000001</v>
      </c>
      <c r="Q135" s="15">
        <f>_xlfn.IFNA(IF(VLOOKUP($J135&amp;Q$12,'Mapping A'!$A$6:$G$1011,7,0)=1,$L135,""),0)</f>
        <v>27.388200000000001</v>
      </c>
      <c r="R135" s="15">
        <f>_xlfn.IFNA(IF(VLOOKUP($J135&amp;R$12,'Mapping A'!$A$6:$G$1011,7,0)=1,$L135,""),0)</f>
        <v>0</v>
      </c>
      <c r="S135" s="15">
        <f>_xlfn.IFNA(IF(VLOOKUP($J135&amp;S$12,'Mapping A'!$A$6:$G$1011,7,0)=1,$L135,""),0)</f>
        <v>0</v>
      </c>
      <c r="T135" s="15">
        <f>_xlfn.IFNA(IF(VLOOKUP($J135&amp;T$14,'Mapping A'!$A$6:$G$1011,7,0)=1,$L135,""),0)</f>
        <v>0</v>
      </c>
      <c r="U135" s="15">
        <f>_xlfn.IFNA(IF(VLOOKUP($J135&amp;U$12,'Mapping A'!$A$6:$G$1011,7,0)=1,$L135,""),0)</f>
        <v>0</v>
      </c>
      <c r="V135" s="15">
        <f>_xlfn.IFNA(IF(VLOOKUP($J135&amp;V$12,'Mapping A'!$A$6:$G$1011,7,0)=1,$L135,""),0)</f>
        <v>0</v>
      </c>
      <c r="W135" s="15">
        <f>_xlfn.IFNA(IF(VLOOKUP($J135&amp;W$12,'Mapping A'!$A$6:$G$1011,7,0)=1,$L135,""),0)</f>
        <v>0</v>
      </c>
      <c r="X135" s="15">
        <f>_xlfn.IFNA(IF(VLOOKUP($J135&amp;X$12,'Mapping A'!$A$6:$G$1011,7,0)=1,$L135,""),0)</f>
        <v>0</v>
      </c>
      <c r="Y135" s="15">
        <f>_xlfn.IFNA(IF(VLOOKUP($J135&amp;Y$12,'Mapping A'!$A$6:$G$1011,7,0)=1,$L135,""),0)</f>
        <v>0</v>
      </c>
      <c r="Z135" s="15">
        <f>_xlfn.IFNA(IF(VLOOKUP($J135&amp;Z$12,'Mapping A'!$A$6:$G$1011,7,0)=1,$L135,""),0)</f>
        <v>0</v>
      </c>
      <c r="AA135" s="15">
        <f>_xlfn.IFNA(IF(VLOOKUP($J135&amp;AA$12,'Mapping A'!$A$6:$G$1011,7,0)=1,$L135,""),0)</f>
        <v>0</v>
      </c>
      <c r="AF135" s="155" t="str">
        <f t="shared" si="49"/>
        <v>MLG0111Wellington Electricity</v>
      </c>
      <c r="AG135" s="15" t="s">
        <v>260</v>
      </c>
      <c r="AH135" s="190" t="s">
        <v>40</v>
      </c>
      <c r="AI135" s="190">
        <f t="shared" si="42"/>
        <v>27.388200000000001</v>
      </c>
      <c r="AJ135" s="292" t="s">
        <v>95</v>
      </c>
      <c r="AK135" s="15"/>
      <c r="AL135" s="15">
        <f t="shared" ca="1" si="54"/>
        <v>0</v>
      </c>
      <c r="AM135" s="15">
        <f t="shared" ca="1" si="55"/>
        <v>0</v>
      </c>
      <c r="AN135" s="15">
        <f t="shared" ca="1" si="56"/>
        <v>0</v>
      </c>
      <c r="AO135" s="15">
        <f t="shared" ca="1" si="57"/>
        <v>0</v>
      </c>
      <c r="AP135" s="15"/>
      <c r="AQ135" s="15">
        <f t="shared" ca="1" si="58"/>
        <v>0</v>
      </c>
      <c r="AR135" s="20">
        <f t="shared" ca="1" si="43"/>
        <v>0</v>
      </c>
      <c r="AS135" s="20"/>
      <c r="AT135" s="20">
        <f t="shared" ca="1" si="44"/>
        <v>0</v>
      </c>
      <c r="AU135" s="20">
        <f t="shared" ca="1" si="45"/>
        <v>0</v>
      </c>
      <c r="AV135" s="20">
        <f t="shared" ca="1" si="46"/>
        <v>0</v>
      </c>
      <c r="AW135" s="20">
        <f t="shared" si="47"/>
        <v>0</v>
      </c>
      <c r="AX135" s="20">
        <f t="shared" si="48"/>
        <v>0</v>
      </c>
      <c r="BA135" s="20"/>
      <c r="BD135" s="94" t="str">
        <f t="shared" si="52"/>
        <v>MCH0111Network Tasman</v>
      </c>
      <c r="BF135" s="15" t="s">
        <v>19</v>
      </c>
      <c r="BG135" t="s">
        <v>253</v>
      </c>
      <c r="BH135" s="190">
        <v>2.7699000000000003</v>
      </c>
      <c r="BI135" s="190">
        <v>2.7730000019073402</v>
      </c>
      <c r="BJ135" s="257">
        <f t="shared" si="53"/>
        <v>9.8381965545081204E-2</v>
      </c>
      <c r="BK135" s="257">
        <f t="shared" si="50"/>
        <v>0.10785097276350535</v>
      </c>
      <c r="BL135" s="257">
        <f t="shared" si="51"/>
        <v>0.11416364424245479</v>
      </c>
      <c r="BM135" s="342" t="str">
        <f>VLOOKUP(LEFT(BG135,3),'Mapping B'!$D$2:$E$310,2,0)</f>
        <v>S</v>
      </c>
      <c r="BO135" s="20"/>
      <c r="BP135" s="190"/>
      <c r="BQ135" s="20"/>
      <c r="BR135" s="20"/>
    </row>
    <row r="136" spans="2:70" x14ac:dyDescent="0.25">
      <c r="B136" s="98" t="s">
        <v>552</v>
      </c>
      <c r="C136" s="98">
        <v>2014</v>
      </c>
      <c r="D136" s="98" t="s">
        <v>293</v>
      </c>
      <c r="E136" s="98" t="s">
        <v>4</v>
      </c>
      <c r="F136" s="98" t="s">
        <v>131</v>
      </c>
      <c r="G136" s="248">
        <v>11.603892709766299</v>
      </c>
      <c r="H136" s="299" t="str">
        <f>VLOOKUP(LEFT('Rev Adequacy'!D136,3),'Mapping B'!$D$2:$E$400,2,0)</f>
        <v>N</v>
      </c>
      <c r="I136" s="190"/>
      <c r="J136" s="15" t="s">
        <v>261</v>
      </c>
      <c r="K136" s="190" t="s">
        <v>40</v>
      </c>
      <c r="L136" s="190">
        <f t="shared" si="41"/>
        <v>37.232999999999997</v>
      </c>
      <c r="O136" s="15">
        <f>_xlfn.IFNA(IF(VLOOKUP($J136&amp;O$12,'Mapping A'!$A$6:$G$1011,7,0)=1,$L136,""),0)</f>
        <v>0</v>
      </c>
      <c r="P136" s="15">
        <f>_xlfn.IFNA(IF(VLOOKUP($J136&amp;P$12,'Mapping A'!$A$6:$G$1011,7,0)=1,$L136,""),0)</f>
        <v>37.232999999999997</v>
      </c>
      <c r="Q136" s="15">
        <f>_xlfn.IFNA(IF(VLOOKUP($J136&amp;Q$12,'Mapping A'!$A$6:$G$1011,7,0)=1,$L136,""),0)</f>
        <v>37.232999999999997</v>
      </c>
      <c r="R136" s="15">
        <f>_xlfn.IFNA(IF(VLOOKUP($J136&amp;R$12,'Mapping A'!$A$6:$G$1011,7,0)=1,$L136,""),0)</f>
        <v>0</v>
      </c>
      <c r="S136" s="15">
        <f>_xlfn.IFNA(IF(VLOOKUP($J136&amp;S$12,'Mapping A'!$A$6:$G$1011,7,0)=1,$L136,""),0)</f>
        <v>0</v>
      </c>
      <c r="T136" s="15">
        <f>_xlfn.IFNA(IF(VLOOKUP($J136&amp;T$14,'Mapping A'!$A$6:$G$1011,7,0)=1,$L136,""),0)</f>
        <v>0</v>
      </c>
      <c r="U136" s="15">
        <f>_xlfn.IFNA(IF(VLOOKUP($J136&amp;U$12,'Mapping A'!$A$6:$G$1011,7,0)=1,$L136,""),0)</f>
        <v>0</v>
      </c>
      <c r="V136" s="15">
        <f>_xlfn.IFNA(IF(VLOOKUP($J136&amp;V$12,'Mapping A'!$A$6:$G$1011,7,0)=1,$L136,""),0)</f>
        <v>0</v>
      </c>
      <c r="W136" s="15">
        <f>_xlfn.IFNA(IF(VLOOKUP($J136&amp;W$12,'Mapping A'!$A$6:$G$1011,7,0)=1,$L136,""),0)</f>
        <v>0</v>
      </c>
      <c r="X136" s="15">
        <f>_xlfn.IFNA(IF(VLOOKUP($J136&amp;X$12,'Mapping A'!$A$6:$G$1011,7,0)=1,$L136,""),0)</f>
        <v>0</v>
      </c>
      <c r="Y136" s="15">
        <f>_xlfn.IFNA(IF(VLOOKUP($J136&amp;Y$12,'Mapping A'!$A$6:$G$1011,7,0)=1,$L136,""),0)</f>
        <v>0</v>
      </c>
      <c r="Z136" s="15">
        <f>_xlfn.IFNA(IF(VLOOKUP($J136&amp;Z$12,'Mapping A'!$A$6:$G$1011,7,0)=1,$L136,""),0)</f>
        <v>0</v>
      </c>
      <c r="AA136" s="15">
        <f>_xlfn.IFNA(IF(VLOOKUP($J136&amp;AA$12,'Mapping A'!$A$6:$G$1011,7,0)=1,$L136,""),0)</f>
        <v>0</v>
      </c>
      <c r="AF136" s="155" t="str">
        <f t="shared" si="49"/>
        <v>MLG0331Wellington Electricity</v>
      </c>
      <c r="AG136" s="15" t="s">
        <v>261</v>
      </c>
      <c r="AH136" s="190" t="s">
        <v>40</v>
      </c>
      <c r="AI136" s="190">
        <f t="shared" si="42"/>
        <v>37.232999999999997</v>
      </c>
      <c r="AJ136" s="292" t="s">
        <v>95</v>
      </c>
      <c r="AK136" s="15"/>
      <c r="AL136" s="15">
        <f t="shared" ca="1" si="54"/>
        <v>0</v>
      </c>
      <c r="AM136" s="15">
        <f t="shared" ca="1" si="55"/>
        <v>0</v>
      </c>
      <c r="AN136" s="15">
        <f t="shared" ca="1" si="56"/>
        <v>0</v>
      </c>
      <c r="AO136" s="15">
        <f t="shared" ca="1" si="57"/>
        <v>0</v>
      </c>
      <c r="AP136" s="15"/>
      <c r="AQ136" s="15">
        <f t="shared" ca="1" si="58"/>
        <v>0</v>
      </c>
      <c r="AR136" s="20">
        <f t="shared" ca="1" si="43"/>
        <v>0</v>
      </c>
      <c r="AS136" s="20"/>
      <c r="AT136" s="20">
        <f t="shared" ca="1" si="44"/>
        <v>0</v>
      </c>
      <c r="AU136" s="20">
        <f t="shared" ca="1" si="45"/>
        <v>0</v>
      </c>
      <c r="AV136" s="20">
        <f t="shared" ca="1" si="46"/>
        <v>0</v>
      </c>
      <c r="AW136" s="20">
        <f t="shared" si="47"/>
        <v>0</v>
      </c>
      <c r="AX136" s="20">
        <f t="shared" si="48"/>
        <v>0</v>
      </c>
      <c r="BA136" s="20"/>
      <c r="BD136" s="94" t="str">
        <f t="shared" si="52"/>
        <v>MER0331WEL</v>
      </c>
      <c r="BF136" s="15" t="s">
        <v>39</v>
      </c>
      <c r="BG136" t="s">
        <v>254</v>
      </c>
      <c r="BH136" s="190">
        <v>8.4000000000000012E-3</v>
      </c>
      <c r="BI136" s="190">
        <v>3.0000000260770299E-3</v>
      </c>
      <c r="BJ136" s="257">
        <f t="shared" si="53"/>
        <v>2.9835319346499224E-4</v>
      </c>
      <c r="BK136" s="257">
        <f t="shared" si="50"/>
        <v>3.2706890906294273E-4</v>
      </c>
      <c r="BL136" s="257">
        <f t="shared" si="51"/>
        <v>3.4621271946157635E-4</v>
      </c>
      <c r="BM136" s="342" t="str">
        <f>VLOOKUP(LEFT(BG136,3),'Mapping B'!$D$2:$E$310,2,0)</f>
        <v>N</v>
      </c>
      <c r="BO136" s="20"/>
      <c r="BP136" s="190"/>
      <c r="BQ136" s="20"/>
      <c r="BR136" s="20"/>
    </row>
    <row r="137" spans="2:70" x14ac:dyDescent="0.25">
      <c r="B137" s="98" t="s">
        <v>552</v>
      </c>
      <c r="C137" s="98">
        <v>2014</v>
      </c>
      <c r="D137" s="98" t="s">
        <v>303</v>
      </c>
      <c r="E137" s="98" t="s">
        <v>4</v>
      </c>
      <c r="F137" s="98" t="s">
        <v>131</v>
      </c>
      <c r="G137" s="248">
        <v>0</v>
      </c>
      <c r="H137" s="299" t="str">
        <f>VLOOKUP(LEFT('Rev Adequacy'!D137,3),'Mapping B'!$D$2:$E$400,2,0)</f>
        <v>N</v>
      </c>
      <c r="I137" s="190"/>
      <c r="J137" s="15" t="s">
        <v>262</v>
      </c>
      <c r="K137" s="190" t="s">
        <v>37</v>
      </c>
      <c r="L137" s="190">
        <f t="shared" si="41"/>
        <v>100.89660000000001</v>
      </c>
      <c r="O137" s="15">
        <f>_xlfn.IFNA(IF(VLOOKUP($J137&amp;O$12,'Mapping A'!$A$6:$G$1011,7,0)=1,$L137,""),0)</f>
        <v>100.89660000000001</v>
      </c>
      <c r="P137" s="15">
        <f>_xlfn.IFNA(IF(VLOOKUP($J137&amp;P$12,'Mapping A'!$A$6:$G$1011,7,0)=1,$L137,""),0)</f>
        <v>100.89660000000001</v>
      </c>
      <c r="Q137" s="15">
        <f>_xlfn.IFNA(IF(VLOOKUP($J137&amp;Q$12,'Mapping A'!$A$6:$G$1011,7,0)=1,$L137,""),0)</f>
        <v>100.89660000000001</v>
      </c>
      <c r="R137" s="15">
        <f>_xlfn.IFNA(IF(VLOOKUP($J137&amp;R$12,'Mapping A'!$A$6:$G$1011,7,0)=1,$L137,""),0)</f>
        <v>0</v>
      </c>
      <c r="S137" s="15">
        <f>_xlfn.IFNA(IF(VLOOKUP($J137&amp;S$12,'Mapping A'!$A$6:$G$1011,7,0)=1,$L137,""),0)</f>
        <v>0</v>
      </c>
      <c r="T137" s="15">
        <f>_xlfn.IFNA(IF(VLOOKUP($J137&amp;T$14,'Mapping A'!$A$6:$G$1011,7,0)=1,$L137,""),0)</f>
        <v>100.89660000000001</v>
      </c>
      <c r="U137" s="15">
        <f>_xlfn.IFNA(IF(VLOOKUP($J137&amp;U$12,'Mapping A'!$A$6:$G$1011,7,0)=1,$L137,""),0)</f>
        <v>100.89660000000001</v>
      </c>
      <c r="V137" s="15">
        <f>_xlfn.IFNA(IF(VLOOKUP($J137&amp;V$12,'Mapping A'!$A$6:$G$1011,7,0)=1,$L137,""),0)</f>
        <v>0</v>
      </c>
      <c r="W137" s="15">
        <f>_xlfn.IFNA(IF(VLOOKUP($J137&amp;W$12,'Mapping A'!$A$6:$G$1011,7,0)=1,$L137,""),0)</f>
        <v>0</v>
      </c>
      <c r="X137" s="15">
        <f>_xlfn.IFNA(IF(VLOOKUP($J137&amp;X$12,'Mapping A'!$A$6:$G$1011,7,0)=1,$L137,""),0)</f>
        <v>100.89660000000001</v>
      </c>
      <c r="Y137" s="15">
        <f>_xlfn.IFNA(IF(VLOOKUP($J137&amp;Y$12,'Mapping A'!$A$6:$G$1011,7,0)=1,$L137,""),0)</f>
        <v>0</v>
      </c>
      <c r="Z137" s="15">
        <f>_xlfn.IFNA(IF(VLOOKUP($J137&amp;Z$12,'Mapping A'!$A$6:$G$1011,7,0)=1,$L137,""),0)</f>
        <v>0</v>
      </c>
      <c r="AA137" s="15">
        <f>_xlfn.IFNA(IF(VLOOKUP($J137&amp;AA$12,'Mapping A'!$A$6:$G$1011,7,0)=1,$L137,""),0)</f>
        <v>0</v>
      </c>
      <c r="AF137" s="155" t="str">
        <f t="shared" si="49"/>
        <v>MNG0331Vector</v>
      </c>
      <c r="AG137" s="15" t="s">
        <v>262</v>
      </c>
      <c r="AH137" s="190" t="s">
        <v>37</v>
      </c>
      <c r="AI137" s="190">
        <f t="shared" si="42"/>
        <v>100.89660000000001</v>
      </c>
      <c r="AJ137" s="292" t="s">
        <v>95</v>
      </c>
      <c r="AK137" s="15"/>
      <c r="AL137" s="15">
        <f t="shared" ca="1" si="54"/>
        <v>0</v>
      </c>
      <c r="AM137" s="15">
        <f t="shared" ca="1" si="55"/>
        <v>0</v>
      </c>
      <c r="AN137" s="15">
        <f t="shared" ca="1" si="56"/>
        <v>0</v>
      </c>
      <c r="AO137" s="15">
        <f t="shared" ca="1" si="57"/>
        <v>0</v>
      </c>
      <c r="AP137" s="15"/>
      <c r="AQ137" s="15">
        <f t="shared" ca="1" si="58"/>
        <v>0</v>
      </c>
      <c r="AR137" s="20">
        <f t="shared" ca="1" si="43"/>
        <v>0.44148270166093745</v>
      </c>
      <c r="AS137" s="20"/>
      <c r="AT137" s="20">
        <f t="shared" ca="1" si="44"/>
        <v>0</v>
      </c>
      <c r="AU137" s="20">
        <f t="shared" ca="1" si="45"/>
        <v>0.2036127768247975</v>
      </c>
      <c r="AV137" s="20">
        <f t="shared" ca="1" si="46"/>
        <v>0</v>
      </c>
      <c r="AW137" s="20">
        <f t="shared" si="47"/>
        <v>0</v>
      </c>
      <c r="AX137" s="20">
        <f t="shared" si="48"/>
        <v>0</v>
      </c>
      <c r="BA137" s="20"/>
      <c r="BD137" s="94" t="str">
        <f t="shared" si="52"/>
        <v>MGM0331Powerco</v>
      </c>
      <c r="BF137" s="15" t="s">
        <v>28</v>
      </c>
      <c r="BG137" t="s">
        <v>255</v>
      </c>
      <c r="BH137" s="190">
        <v>11.894399999999999</v>
      </c>
      <c r="BI137" s="190">
        <v>11.8909997940063</v>
      </c>
      <c r="BJ137" s="257">
        <f t="shared" si="53"/>
        <v>0.42246812194642896</v>
      </c>
      <c r="BK137" s="257">
        <f t="shared" si="50"/>
        <v>0.46312957523312681</v>
      </c>
      <c r="BL137" s="257">
        <f t="shared" si="51"/>
        <v>0.49023721075759197</v>
      </c>
      <c r="BM137" s="342" t="str">
        <f>VLOOKUP(LEFT(BG137,3),'Mapping B'!$D$2:$E$310,2,0)</f>
        <v>N</v>
      </c>
      <c r="BO137" s="20"/>
      <c r="BP137" s="190"/>
      <c r="BQ137" s="20"/>
      <c r="BR137" s="20"/>
    </row>
    <row r="138" spans="2:70" x14ac:dyDescent="0.25">
      <c r="B138" s="98" t="s">
        <v>552</v>
      </c>
      <c r="C138" s="98">
        <v>2014</v>
      </c>
      <c r="D138" s="98" t="s">
        <v>304</v>
      </c>
      <c r="E138" s="98" t="s">
        <v>4</v>
      </c>
      <c r="F138" s="98" t="s">
        <v>136</v>
      </c>
      <c r="G138" s="248">
        <v>0</v>
      </c>
      <c r="H138" s="299" t="str">
        <f>VLOOKUP(LEFT('Rev Adequacy'!D138,3),'Mapping B'!$D$2:$E$400,2,0)</f>
        <v>N</v>
      </c>
      <c r="I138" s="190"/>
      <c r="J138" s="15" t="s">
        <v>263</v>
      </c>
      <c r="K138" s="190" t="s">
        <v>50</v>
      </c>
      <c r="L138" s="190">
        <f t="shared" si="41"/>
        <v>0</v>
      </c>
      <c r="O138" s="15">
        <f>_xlfn.IFNA(IF(VLOOKUP($J138&amp;O$12,'Mapping A'!$A$6:$G$1011,7,0)=1,$L138,""),0)</f>
        <v>0</v>
      </c>
      <c r="P138" s="15">
        <f>_xlfn.IFNA(IF(VLOOKUP($J138&amp;P$12,'Mapping A'!$A$6:$G$1011,7,0)=1,$L138,""),0)</f>
        <v>0</v>
      </c>
      <c r="Q138" s="15">
        <f>_xlfn.IFNA(IF(VLOOKUP($J138&amp;Q$12,'Mapping A'!$A$6:$G$1011,7,0)=1,$L138,""),0)</f>
        <v>0</v>
      </c>
      <c r="R138" s="15">
        <f>_xlfn.IFNA(IF(VLOOKUP($J138&amp;R$12,'Mapping A'!$A$6:$G$1011,7,0)=1,$L138,""),0)</f>
        <v>0</v>
      </c>
      <c r="S138" s="15">
        <f>_xlfn.IFNA(IF(VLOOKUP($J138&amp;S$12,'Mapping A'!$A$6:$G$1011,7,0)=1,$L138,""),0)</f>
        <v>0</v>
      </c>
      <c r="T138" s="15">
        <f>_xlfn.IFNA(IF(VLOOKUP($J138&amp;T$14,'Mapping A'!$A$6:$G$1011,7,0)=1,$L138,""),0)</f>
        <v>0</v>
      </c>
      <c r="U138" s="15">
        <f>_xlfn.IFNA(IF(VLOOKUP($J138&amp;U$12,'Mapping A'!$A$6:$G$1011,7,0)=1,$L138,""),0)</f>
        <v>0</v>
      </c>
      <c r="V138" s="15">
        <f>_xlfn.IFNA(IF(VLOOKUP($J138&amp;V$12,'Mapping A'!$A$6:$G$1011,7,0)=1,$L138,""),0)</f>
        <v>0</v>
      </c>
      <c r="W138" s="15">
        <f>_xlfn.IFNA(IF(VLOOKUP($J138&amp;W$12,'Mapping A'!$A$6:$G$1011,7,0)=1,$L138,""),0)</f>
        <v>0</v>
      </c>
      <c r="X138" s="15">
        <f>_xlfn.IFNA(IF(VLOOKUP($J138&amp;X$12,'Mapping A'!$A$6:$G$1011,7,0)=1,$L138,""),0)</f>
        <v>0</v>
      </c>
      <c r="Y138" s="15">
        <f>_xlfn.IFNA(IF(VLOOKUP($J138&amp;Y$12,'Mapping A'!$A$6:$G$1011,7,0)=1,$L138,""),0)</f>
        <v>0</v>
      </c>
      <c r="Z138" s="15">
        <f>_xlfn.IFNA(IF(VLOOKUP($J138&amp;Z$12,'Mapping A'!$A$6:$G$1011,7,0)=1,$L138,""),0)</f>
        <v>0</v>
      </c>
      <c r="AA138" s="15">
        <f>_xlfn.IFNA(IF(VLOOKUP($J138&amp;AA$12,'Mapping A'!$A$6:$G$1011,7,0)=1,$L138,""),0)</f>
        <v>0</v>
      </c>
      <c r="AF138" s="155" t="str">
        <f t="shared" si="49"/>
        <v>MNG1101Pacific Steel</v>
      </c>
      <c r="AG138" s="15" t="s">
        <v>263</v>
      </c>
      <c r="AH138" s="190" t="s">
        <v>50</v>
      </c>
      <c r="AI138" s="190">
        <f t="shared" si="42"/>
        <v>0</v>
      </c>
      <c r="AJ138" s="292" t="s">
        <v>95</v>
      </c>
      <c r="AK138" s="15"/>
      <c r="AL138" s="15">
        <f t="shared" ca="1" si="54"/>
        <v>0</v>
      </c>
      <c r="AM138" s="15">
        <f t="shared" ca="1" si="55"/>
        <v>0</v>
      </c>
      <c r="AN138" s="15">
        <f t="shared" ca="1" si="56"/>
        <v>0</v>
      </c>
      <c r="AO138" s="15">
        <f t="shared" ca="1" si="57"/>
        <v>0</v>
      </c>
      <c r="AP138" s="15"/>
      <c r="AQ138" s="15">
        <f t="shared" ca="1" si="58"/>
        <v>0</v>
      </c>
      <c r="AR138" s="20">
        <f t="shared" ca="1" si="43"/>
        <v>0</v>
      </c>
      <c r="AS138" s="20"/>
      <c r="AT138" s="20">
        <f t="shared" ca="1" si="44"/>
        <v>0</v>
      </c>
      <c r="AU138" s="20">
        <f t="shared" ca="1" si="45"/>
        <v>0</v>
      </c>
      <c r="AV138" s="20">
        <f t="shared" ca="1" si="46"/>
        <v>0</v>
      </c>
      <c r="AW138" s="20">
        <f t="shared" si="47"/>
        <v>0</v>
      </c>
      <c r="AX138" s="20">
        <f t="shared" si="48"/>
        <v>0</v>
      </c>
      <c r="BA138" s="20"/>
      <c r="BD138" s="94" t="str">
        <f t="shared" si="52"/>
        <v>MHO0331Electra</v>
      </c>
      <c r="BF138" s="15" t="s">
        <v>8</v>
      </c>
      <c r="BG138" t="s">
        <v>256</v>
      </c>
      <c r="BH138" s="190">
        <v>37.193100000000001</v>
      </c>
      <c r="BI138" s="190">
        <v>37.194000244140597</v>
      </c>
      <c r="BJ138" s="257">
        <f t="shared" si="53"/>
        <v>1.3210333523646194</v>
      </c>
      <c r="BK138" s="257">
        <f t="shared" si="50"/>
        <v>1.4481793621034444</v>
      </c>
      <c r="BL138" s="257">
        <f t="shared" si="51"/>
        <v>1.5329433685959943</v>
      </c>
      <c r="BM138" s="342" t="str">
        <f>VLOOKUP(LEFT(BG138,3),'Mapping B'!$D$2:$E$310,2,0)</f>
        <v>N</v>
      </c>
      <c r="BO138" s="20"/>
      <c r="BP138" s="190"/>
      <c r="BQ138" s="20"/>
      <c r="BR138" s="20"/>
    </row>
    <row r="139" spans="2:70" x14ac:dyDescent="0.25">
      <c r="B139" s="98" t="s">
        <v>552</v>
      </c>
      <c r="C139" s="98">
        <v>2014</v>
      </c>
      <c r="D139" s="98" t="s">
        <v>315</v>
      </c>
      <c r="E139" s="98" t="s">
        <v>4</v>
      </c>
      <c r="F139" s="98" t="s">
        <v>136</v>
      </c>
      <c r="G139" s="248">
        <v>0</v>
      </c>
      <c r="H139" s="299" t="str">
        <f>VLOOKUP(LEFT('Rev Adequacy'!D139,3),'Mapping B'!$D$2:$E$400,2,0)</f>
        <v>S</v>
      </c>
      <c r="I139" s="190"/>
      <c r="J139" s="15" t="s">
        <v>264</v>
      </c>
      <c r="K139" s="190" t="s">
        <v>15</v>
      </c>
      <c r="L139" s="190">
        <f t="shared" si="41"/>
        <v>9.5024999999999995</v>
      </c>
      <c r="O139" s="15">
        <f>_xlfn.IFNA(IF(VLOOKUP($J139&amp;O$12,'Mapping A'!$A$6:$G$1011,7,0)=1,$L139,""),0)</f>
        <v>0</v>
      </c>
      <c r="P139" s="15">
        <f>_xlfn.IFNA(IF(VLOOKUP($J139&amp;P$12,'Mapping A'!$A$6:$G$1011,7,0)=1,$L139,""),0)</f>
        <v>9.5024999999999995</v>
      </c>
      <c r="Q139" s="15">
        <f>_xlfn.IFNA(IF(VLOOKUP($J139&amp;Q$12,'Mapping A'!$A$6:$G$1011,7,0)=1,$L139,""),0)</f>
        <v>9.5024999999999995</v>
      </c>
      <c r="R139" s="15">
        <f>_xlfn.IFNA(IF(VLOOKUP($J139&amp;R$12,'Mapping A'!$A$6:$G$1011,7,0)=1,$L139,""),0)</f>
        <v>0</v>
      </c>
      <c r="S139" s="15">
        <f>_xlfn.IFNA(IF(VLOOKUP($J139&amp;S$12,'Mapping A'!$A$6:$G$1011,7,0)=1,$L139,""),0)</f>
        <v>0</v>
      </c>
      <c r="T139" s="15">
        <f>_xlfn.IFNA(IF(VLOOKUP($J139&amp;T$14,'Mapping A'!$A$6:$G$1011,7,0)=1,$L139,""),0)</f>
        <v>0</v>
      </c>
      <c r="U139" s="15">
        <f>_xlfn.IFNA(IF(VLOOKUP($J139&amp;U$12,'Mapping A'!$A$6:$G$1011,7,0)=1,$L139,""),0)</f>
        <v>0</v>
      </c>
      <c r="V139" s="15">
        <f>_xlfn.IFNA(IF(VLOOKUP($J139&amp;V$12,'Mapping A'!$A$6:$G$1011,7,0)=1,$L139,""),0)</f>
        <v>0</v>
      </c>
      <c r="W139" s="15">
        <f>_xlfn.IFNA(IF(VLOOKUP($J139&amp;W$12,'Mapping A'!$A$6:$G$1011,7,0)=1,$L139,""),0)</f>
        <v>0</v>
      </c>
      <c r="X139" s="15">
        <f>_xlfn.IFNA(IF(VLOOKUP($J139&amp;X$12,'Mapping A'!$A$6:$G$1011,7,0)=1,$L139,""),0)</f>
        <v>0</v>
      </c>
      <c r="Y139" s="15">
        <f>_xlfn.IFNA(IF(VLOOKUP($J139&amp;Y$12,'Mapping A'!$A$6:$G$1011,7,0)=1,$L139,""),0)</f>
        <v>0</v>
      </c>
      <c r="Z139" s="15">
        <f>_xlfn.IFNA(IF(VLOOKUP($J139&amp;Z$12,'Mapping A'!$A$6:$G$1011,7,0)=1,$L139,""),0)</f>
        <v>0</v>
      </c>
      <c r="AA139" s="15">
        <f>_xlfn.IFNA(IF(VLOOKUP($J139&amp;AA$12,'Mapping A'!$A$6:$G$1011,7,0)=1,$L139,""),0)</f>
        <v>0</v>
      </c>
      <c r="AF139" s="155" t="str">
        <f t="shared" si="49"/>
        <v>MNI0111Methanex</v>
      </c>
      <c r="AG139" s="15" t="s">
        <v>264</v>
      </c>
      <c r="AH139" s="190" t="s">
        <v>15</v>
      </c>
      <c r="AI139" s="190">
        <f t="shared" si="42"/>
        <v>9.5024999999999995</v>
      </c>
      <c r="AJ139" s="292" t="s">
        <v>95</v>
      </c>
      <c r="AK139" s="15"/>
      <c r="AL139" s="15">
        <f t="shared" ca="1" si="54"/>
        <v>0</v>
      </c>
      <c r="AM139" s="15">
        <f t="shared" ca="1" si="55"/>
        <v>0</v>
      </c>
      <c r="AN139" s="15">
        <f t="shared" ca="1" si="56"/>
        <v>0</v>
      </c>
      <c r="AO139" s="15">
        <f t="shared" ca="1" si="57"/>
        <v>0</v>
      </c>
      <c r="AP139" s="15"/>
      <c r="AQ139" s="15">
        <f t="shared" ca="1" si="58"/>
        <v>0</v>
      </c>
      <c r="AR139" s="20">
        <f t="shared" ca="1" si="43"/>
        <v>0</v>
      </c>
      <c r="AS139" s="20"/>
      <c r="AT139" s="20">
        <f t="shared" ca="1" si="44"/>
        <v>0</v>
      </c>
      <c r="AU139" s="20">
        <f t="shared" ca="1" si="45"/>
        <v>0</v>
      </c>
      <c r="AV139" s="20">
        <f t="shared" ca="1" si="46"/>
        <v>0</v>
      </c>
      <c r="AW139" s="20">
        <f t="shared" si="47"/>
        <v>0</v>
      </c>
      <c r="AX139" s="20">
        <f t="shared" si="48"/>
        <v>0</v>
      </c>
      <c r="BA139" s="20"/>
      <c r="BD139" s="94" t="str">
        <f t="shared" si="52"/>
        <v>MKE1101Todd</v>
      </c>
      <c r="BF139" s="15" t="s">
        <v>33</v>
      </c>
      <c r="BG139" t="s">
        <v>258</v>
      </c>
      <c r="BH139" s="190">
        <v>0.86939999999999995</v>
      </c>
      <c r="BI139" s="190">
        <v>0.86900001764297397</v>
      </c>
      <c r="BJ139" s="257">
        <f t="shared" si="53"/>
        <v>3.087955552362669E-2</v>
      </c>
      <c r="BK139" s="257">
        <f t="shared" si="50"/>
        <v>3.385163208801456E-2</v>
      </c>
      <c r="BL139" s="257">
        <f t="shared" si="51"/>
        <v>3.5833016464273143E-2</v>
      </c>
      <c r="BM139" s="342" t="str">
        <f>VLOOKUP(LEFT(BG139,3),'Mapping B'!$D$2:$E$310,2,0)</f>
        <v>N</v>
      </c>
      <c r="BO139" s="20"/>
      <c r="BP139" s="190"/>
      <c r="BQ139" s="20"/>
      <c r="BR139" s="20"/>
    </row>
    <row r="140" spans="2:70" x14ac:dyDescent="0.25">
      <c r="B140" s="98" t="s">
        <v>552</v>
      </c>
      <c r="C140" s="98">
        <v>2014</v>
      </c>
      <c r="D140" s="98" t="s">
        <v>316</v>
      </c>
      <c r="E140" s="98" t="s">
        <v>4</v>
      </c>
      <c r="F140" s="98" t="s">
        <v>136</v>
      </c>
      <c r="G140" s="248">
        <v>0</v>
      </c>
      <c r="H140" s="299" t="str">
        <f>VLOOKUP(LEFT('Rev Adequacy'!D140,3),'Mapping B'!$D$2:$E$400,2,0)</f>
        <v>S</v>
      </c>
      <c r="I140" s="190"/>
      <c r="J140" s="15" t="s">
        <v>265</v>
      </c>
      <c r="K140" s="190" t="s">
        <v>23</v>
      </c>
      <c r="L140" s="190">
        <f t="shared" si="41"/>
        <v>106.74299999999999</v>
      </c>
      <c r="O140" s="15">
        <f>_xlfn.IFNA(IF(VLOOKUP($J140&amp;O$12,'Mapping A'!$A$6:$G$1011,7,0)=1,$L140,""),0)</f>
        <v>106.74299999999999</v>
      </c>
      <c r="P140" s="15">
        <f>_xlfn.IFNA(IF(VLOOKUP($J140&amp;P$12,'Mapping A'!$A$6:$G$1011,7,0)=1,$L140,""),0)</f>
        <v>106.74299999999999</v>
      </c>
      <c r="Q140" s="15">
        <f>_xlfn.IFNA(IF(VLOOKUP($J140&amp;Q$12,'Mapping A'!$A$6:$G$1011,7,0)=1,$L140,""),0)</f>
        <v>106.74299999999999</v>
      </c>
      <c r="R140" s="15">
        <f>_xlfn.IFNA(IF(VLOOKUP($J140&amp;R$12,'Mapping A'!$A$6:$G$1011,7,0)=1,$L140,""),0)</f>
        <v>106.74299999999999</v>
      </c>
      <c r="S140" s="15">
        <f>_xlfn.IFNA(IF(VLOOKUP($J140&amp;S$12,'Mapping A'!$A$6:$G$1011,7,0)=1,$L140,""),0)</f>
        <v>0</v>
      </c>
      <c r="T140" s="15">
        <f>_xlfn.IFNA(IF(VLOOKUP($J140&amp;T$14,'Mapping A'!$A$6:$G$1011,7,0)=1,$L140,""),0)</f>
        <v>106.74299999999999</v>
      </c>
      <c r="U140" s="15">
        <f>_xlfn.IFNA(IF(VLOOKUP($J140&amp;U$12,'Mapping A'!$A$6:$G$1011,7,0)=1,$L140,""),0)</f>
        <v>106.74299999999999</v>
      </c>
      <c r="V140" s="15">
        <f>_xlfn.IFNA(IF(VLOOKUP($J140&amp;V$12,'Mapping A'!$A$6:$G$1011,7,0)=1,$L140,""),0)</f>
        <v>0</v>
      </c>
      <c r="W140" s="15">
        <f>_xlfn.IFNA(IF(VLOOKUP($J140&amp;W$12,'Mapping A'!$A$6:$G$1011,7,0)=1,$L140,""),0)</f>
        <v>0</v>
      </c>
      <c r="X140" s="15">
        <f>_xlfn.IFNA(IF(VLOOKUP($J140&amp;X$12,'Mapping A'!$A$6:$G$1011,7,0)=1,$L140,""),0)</f>
        <v>106.74299999999999</v>
      </c>
      <c r="Y140" s="15">
        <f>_xlfn.IFNA(IF(VLOOKUP($J140&amp;Y$12,'Mapping A'!$A$6:$G$1011,7,0)=1,$L140,""),0)</f>
        <v>0</v>
      </c>
      <c r="Z140" s="15">
        <f>_xlfn.IFNA(IF(VLOOKUP($J140&amp;Z$12,'Mapping A'!$A$6:$G$1011,7,0)=1,$L140,""),0)</f>
        <v>0</v>
      </c>
      <c r="AA140" s="15">
        <f>_xlfn.IFNA(IF(VLOOKUP($J140&amp;AA$12,'Mapping A'!$A$6:$G$1011,7,0)=1,$L140,""),0)</f>
        <v>0</v>
      </c>
      <c r="AF140" s="155" t="str">
        <f t="shared" si="49"/>
        <v>MPE1101Northpower</v>
      </c>
      <c r="AG140" s="15" t="s">
        <v>265</v>
      </c>
      <c r="AH140" s="190" t="s">
        <v>23</v>
      </c>
      <c r="AI140" s="190">
        <f t="shared" si="42"/>
        <v>106.74299999999999</v>
      </c>
      <c r="AJ140" s="292" t="s">
        <v>95</v>
      </c>
      <c r="AK140" s="15"/>
      <c r="AL140" s="15">
        <f t="shared" ca="1" si="54"/>
        <v>0</v>
      </c>
      <c r="AM140" s="15">
        <f t="shared" ca="1" si="55"/>
        <v>0</v>
      </c>
      <c r="AN140" s="15">
        <f t="shared" ca="1" si="56"/>
        <v>0</v>
      </c>
      <c r="AO140" s="15">
        <f t="shared" ca="1" si="57"/>
        <v>2.3088965900848533</v>
      </c>
      <c r="AP140" s="15"/>
      <c r="AQ140" s="15">
        <f t="shared" ca="1" si="58"/>
        <v>0</v>
      </c>
      <c r="AR140" s="20">
        <f t="shared" ca="1" si="43"/>
        <v>0.46706418277120776</v>
      </c>
      <c r="AS140" s="20"/>
      <c r="AT140" s="20">
        <f t="shared" ca="1" si="44"/>
        <v>0</v>
      </c>
      <c r="AU140" s="20">
        <f t="shared" ca="1" si="45"/>
        <v>0.2154110112393218</v>
      </c>
      <c r="AV140" s="20">
        <f t="shared" ca="1" si="46"/>
        <v>0</v>
      </c>
      <c r="AW140" s="20">
        <f t="shared" si="47"/>
        <v>0</v>
      </c>
      <c r="AX140" s="20">
        <f t="shared" si="48"/>
        <v>0</v>
      </c>
      <c r="BA140" s="95"/>
      <c r="BD140" s="94" t="str">
        <f t="shared" si="52"/>
        <v>MLG0111Wellington Electricity</v>
      </c>
      <c r="BF140" s="15" t="s">
        <v>40</v>
      </c>
      <c r="BG140" t="s">
        <v>260</v>
      </c>
      <c r="BH140" s="190">
        <v>27.388200000000001</v>
      </c>
      <c r="BI140" s="190">
        <v>27.389999389648398</v>
      </c>
      <c r="BJ140" s="257">
        <f t="shared" si="53"/>
        <v>0.97278058729260719</v>
      </c>
      <c r="BK140" s="257">
        <f t="shared" si="50"/>
        <v>1.0664081779997245</v>
      </c>
      <c r="BL140" s="257">
        <f t="shared" si="51"/>
        <v>1.1288265718044694</v>
      </c>
      <c r="BM140" s="342" t="str">
        <f>VLOOKUP(LEFT(BG140,3),'Mapping B'!$D$2:$E$310,2,0)</f>
        <v>N</v>
      </c>
      <c r="BO140" s="20"/>
      <c r="BP140" s="190"/>
      <c r="BQ140" s="20"/>
      <c r="BR140" s="20"/>
    </row>
    <row r="141" spans="2:70" x14ac:dyDescent="0.25">
      <c r="B141" s="98" t="s">
        <v>552</v>
      </c>
      <c r="C141" s="98">
        <v>2014</v>
      </c>
      <c r="D141" s="98" t="s">
        <v>321</v>
      </c>
      <c r="E141" s="98" t="s">
        <v>4</v>
      </c>
      <c r="F141" s="98" t="s">
        <v>131</v>
      </c>
      <c r="G141" s="248">
        <v>0</v>
      </c>
      <c r="H141" s="299" t="str">
        <f>VLOOKUP(LEFT('Rev Adequacy'!D141,3),'Mapping B'!$D$2:$E$400,2,0)</f>
        <v>N</v>
      </c>
      <c r="I141" s="190"/>
      <c r="J141" s="15" t="s">
        <v>266</v>
      </c>
      <c r="K141" s="190" t="s">
        <v>28</v>
      </c>
      <c r="L141" s="190">
        <f t="shared" si="41"/>
        <v>45.011400000000002</v>
      </c>
      <c r="O141" s="15">
        <f>_xlfn.IFNA(IF(VLOOKUP($J141&amp;O$12,'Mapping A'!$A$6:$G$1011,7,0)=1,$L141,""),0)</f>
        <v>0</v>
      </c>
      <c r="P141" s="15">
        <f>_xlfn.IFNA(IF(VLOOKUP($J141&amp;P$12,'Mapping A'!$A$6:$G$1011,7,0)=1,$L141,""),0)</f>
        <v>45.011400000000002</v>
      </c>
      <c r="Q141" s="15">
        <f>_xlfn.IFNA(IF(VLOOKUP($J141&amp;Q$12,'Mapping A'!$A$6:$G$1011,7,0)=1,$L141,""),0)</f>
        <v>45.011400000000002</v>
      </c>
      <c r="R141" s="15">
        <f>_xlfn.IFNA(IF(VLOOKUP($J141&amp;R$12,'Mapping A'!$A$6:$G$1011,7,0)=1,$L141,""),0)</f>
        <v>0</v>
      </c>
      <c r="S141" s="15">
        <f>_xlfn.IFNA(IF(VLOOKUP($J141&amp;S$12,'Mapping A'!$A$6:$G$1011,7,0)=1,$L141,""),0)</f>
        <v>0</v>
      </c>
      <c r="T141" s="15">
        <f>_xlfn.IFNA(IF(VLOOKUP($J141&amp;T$14,'Mapping A'!$A$6:$G$1011,7,0)=1,$L141,""),0)</f>
        <v>0</v>
      </c>
      <c r="U141" s="15">
        <f>_xlfn.IFNA(IF(VLOOKUP($J141&amp;U$12,'Mapping A'!$A$6:$G$1011,7,0)=1,$L141,""),0)</f>
        <v>0</v>
      </c>
      <c r="V141" s="15">
        <f>_xlfn.IFNA(IF(VLOOKUP($J141&amp;V$12,'Mapping A'!$A$6:$G$1011,7,0)=1,$L141,""),0)</f>
        <v>0</v>
      </c>
      <c r="W141" s="15">
        <f>_xlfn.IFNA(IF(VLOOKUP($J141&amp;W$12,'Mapping A'!$A$6:$G$1011,7,0)=1,$L141,""),0)</f>
        <v>0</v>
      </c>
      <c r="X141" s="15">
        <f>_xlfn.IFNA(IF(VLOOKUP($J141&amp;X$12,'Mapping A'!$A$6:$G$1011,7,0)=1,$L141,""),0)</f>
        <v>0</v>
      </c>
      <c r="Y141" s="15">
        <f>_xlfn.IFNA(IF(VLOOKUP($J141&amp;Y$12,'Mapping A'!$A$6:$G$1011,7,0)=1,$L141,""),0)</f>
        <v>0</v>
      </c>
      <c r="Z141" s="15">
        <f>_xlfn.IFNA(IF(VLOOKUP($J141&amp;Z$12,'Mapping A'!$A$6:$G$1011,7,0)=1,$L141,""),0)</f>
        <v>0</v>
      </c>
      <c r="AA141" s="15">
        <f>_xlfn.IFNA(IF(VLOOKUP($J141&amp;AA$12,'Mapping A'!$A$6:$G$1011,7,0)=1,$L141,""),0)</f>
        <v>0</v>
      </c>
      <c r="AF141" s="155" t="str">
        <f t="shared" si="49"/>
        <v>MST0331Powerco</v>
      </c>
      <c r="AG141" s="15" t="s">
        <v>266</v>
      </c>
      <c r="AH141" s="190" t="s">
        <v>28</v>
      </c>
      <c r="AI141" s="190">
        <f t="shared" si="42"/>
        <v>45.011400000000002</v>
      </c>
      <c r="AJ141" s="292" t="s">
        <v>95</v>
      </c>
      <c r="AK141" s="15"/>
      <c r="AL141" s="15">
        <f t="shared" ca="1" si="54"/>
        <v>0</v>
      </c>
      <c r="AM141" s="15">
        <f t="shared" ca="1" si="55"/>
        <v>0</v>
      </c>
      <c r="AN141" s="15">
        <f t="shared" ca="1" si="56"/>
        <v>0</v>
      </c>
      <c r="AO141" s="15">
        <f t="shared" ca="1" si="57"/>
        <v>0</v>
      </c>
      <c r="AP141" s="15"/>
      <c r="AQ141" s="15">
        <f t="shared" ca="1" si="58"/>
        <v>0</v>
      </c>
      <c r="AR141" s="20">
        <f t="shared" ca="1" si="43"/>
        <v>0</v>
      </c>
      <c r="AS141" s="20"/>
      <c r="AT141" s="20">
        <f t="shared" ca="1" si="44"/>
        <v>0</v>
      </c>
      <c r="AU141" s="20">
        <f t="shared" ca="1" si="45"/>
        <v>0</v>
      </c>
      <c r="AV141" s="20">
        <f t="shared" ca="1" si="46"/>
        <v>0</v>
      </c>
      <c r="AW141" s="20">
        <f t="shared" si="47"/>
        <v>0</v>
      </c>
      <c r="AX141" s="20">
        <f t="shared" si="48"/>
        <v>0</v>
      </c>
      <c r="BA141" s="20"/>
      <c r="BD141" s="94" t="str">
        <f t="shared" si="52"/>
        <v>MLG0331Wellington Electricity</v>
      </c>
      <c r="BF141" s="15" t="s">
        <v>40</v>
      </c>
      <c r="BG141" t="s">
        <v>261</v>
      </c>
      <c r="BH141" s="190">
        <v>37.232999999999997</v>
      </c>
      <c r="BI141" s="190">
        <v>37.231998443603501</v>
      </c>
      <c r="BJ141" s="257">
        <f t="shared" si="53"/>
        <v>1.3224505300335778</v>
      </c>
      <c r="BK141" s="257">
        <f t="shared" si="50"/>
        <v>1.4497329394214931</v>
      </c>
      <c r="BL141" s="257">
        <f t="shared" si="51"/>
        <v>1.5345878790134366</v>
      </c>
      <c r="BM141" s="342" t="str">
        <f>VLOOKUP(LEFT(BG141,3),'Mapping B'!$D$2:$E$310,2,0)</f>
        <v>N</v>
      </c>
      <c r="BO141" s="20"/>
      <c r="BP141" s="190"/>
      <c r="BQ141" s="20"/>
      <c r="BR141" s="20"/>
    </row>
    <row r="142" spans="2:70" x14ac:dyDescent="0.25">
      <c r="B142" s="98" t="s">
        <v>552</v>
      </c>
      <c r="C142" s="98">
        <v>2014</v>
      </c>
      <c r="D142" s="98" t="s">
        <v>322</v>
      </c>
      <c r="E142" s="98" t="s">
        <v>4</v>
      </c>
      <c r="F142" s="98" t="s">
        <v>136</v>
      </c>
      <c r="G142" s="248">
        <v>5700.8389999999999</v>
      </c>
      <c r="H142" s="299" t="str">
        <f>VLOOKUP(LEFT('Rev Adequacy'!D142,3),'Mapping B'!$D$2:$E$400,2,0)</f>
        <v>N</v>
      </c>
      <c r="I142" s="190"/>
      <c r="J142" s="15" t="s">
        <v>931</v>
      </c>
      <c r="K142" s="190" t="s">
        <v>17</v>
      </c>
      <c r="L142" s="190">
        <f t="shared" si="41"/>
        <v>4.9139999999999997</v>
      </c>
      <c r="O142" s="15">
        <f>_xlfn.IFNA(IF(VLOOKUP($J142&amp;O$12,'Mapping A'!$A$6:$G$1011,7,0)=1,$L142,""),0)</f>
        <v>0</v>
      </c>
      <c r="P142" s="15">
        <f>_xlfn.IFNA(IF(VLOOKUP($J142&amp;P$12,'Mapping A'!$A$6:$G$1011,7,0)=1,$L142,""),0)</f>
        <v>0</v>
      </c>
      <c r="Q142" s="15">
        <f>_xlfn.IFNA(IF(VLOOKUP($J142&amp;Q$12,'Mapping A'!$A$6:$G$1011,7,0)=1,$L142,""),0)</f>
        <v>0</v>
      </c>
      <c r="R142" s="15">
        <f>_xlfn.IFNA(IF(VLOOKUP($J142&amp;R$12,'Mapping A'!$A$6:$G$1011,7,0)=1,$L142,""),0)</f>
        <v>0</v>
      </c>
      <c r="S142" s="15">
        <f>_xlfn.IFNA(IF(VLOOKUP($J142&amp;S$12,'Mapping A'!$A$6:$G$1011,7,0)=1,$L142,""),0)</f>
        <v>0</v>
      </c>
      <c r="T142" s="15">
        <f>_xlfn.IFNA(IF(VLOOKUP($J142&amp;T$14,'Mapping A'!$A$6:$G$1011,7,0)=1,$L142,""),0)</f>
        <v>0</v>
      </c>
      <c r="U142" s="15">
        <f>_xlfn.IFNA(IF(VLOOKUP($J142&amp;U$12,'Mapping A'!$A$6:$G$1011,7,0)=1,$L142,""),0)</f>
        <v>0</v>
      </c>
      <c r="V142" s="15">
        <f>_xlfn.IFNA(IF(VLOOKUP($J142&amp;V$12,'Mapping A'!$A$6:$G$1011,7,0)=1,$L142,""),0)</f>
        <v>0</v>
      </c>
      <c r="W142" s="15">
        <f>_xlfn.IFNA(IF(VLOOKUP($J142&amp;W$12,'Mapping A'!$A$6:$G$1011,7,0)=1,$L142,""),0)</f>
        <v>0</v>
      </c>
      <c r="X142" s="15">
        <f>_xlfn.IFNA(IF(VLOOKUP($J142&amp;X$12,'Mapping A'!$A$6:$G$1011,7,0)=1,$L142,""),0)</f>
        <v>0</v>
      </c>
      <c r="Y142" s="15">
        <f>_xlfn.IFNA(IF(VLOOKUP($J142&amp;Y$12,'Mapping A'!$A$6:$G$1011,7,0)=1,$L142,""),0)</f>
        <v>0</v>
      </c>
      <c r="Z142" s="15">
        <f>_xlfn.IFNA(IF(VLOOKUP($J142&amp;Z$12,'Mapping A'!$A$6:$G$1011,7,0)=1,$L142,""),0)</f>
        <v>0</v>
      </c>
      <c r="AA142" s="15">
        <f>_xlfn.IFNA(IF(VLOOKUP($J142&amp;AA$12,'Mapping A'!$A$6:$G$1011,7,0)=1,$L142,""),0)</f>
        <v>0</v>
      </c>
      <c r="AF142" s="155" t="str">
        <f t="shared" si="49"/>
        <v>MTI2201MRP</v>
      </c>
      <c r="AG142" s="15" t="s">
        <v>931</v>
      </c>
      <c r="AH142" s="190" t="s">
        <v>17</v>
      </c>
      <c r="AI142" s="190">
        <f t="shared" si="42"/>
        <v>4.9139999999999997</v>
      </c>
      <c r="AJ142" s="292" t="s">
        <v>95</v>
      </c>
      <c r="AK142" s="15"/>
      <c r="AL142" s="15">
        <f t="shared" ca="1" si="54"/>
        <v>0</v>
      </c>
      <c r="AM142" s="15">
        <f t="shared" ca="1" si="55"/>
        <v>0</v>
      </c>
      <c r="AN142" s="15">
        <f t="shared" ca="1" si="56"/>
        <v>0</v>
      </c>
      <c r="AO142" s="15">
        <f t="shared" ca="1" si="57"/>
        <v>0</v>
      </c>
      <c r="AP142" s="15"/>
      <c r="AQ142" s="15">
        <f t="shared" ca="1" si="58"/>
        <v>0</v>
      </c>
      <c r="AR142" s="20">
        <f t="shared" ca="1" si="43"/>
        <v>0</v>
      </c>
      <c r="AS142" s="20"/>
      <c r="AT142" s="20">
        <f t="shared" ca="1" si="44"/>
        <v>0</v>
      </c>
      <c r="AU142" s="20">
        <f t="shared" ca="1" si="45"/>
        <v>0</v>
      </c>
      <c r="AV142" s="20">
        <f t="shared" ca="1" si="46"/>
        <v>0</v>
      </c>
      <c r="AW142" s="20">
        <f t="shared" si="47"/>
        <v>0</v>
      </c>
      <c r="AX142" s="20">
        <f t="shared" si="48"/>
        <v>0</v>
      </c>
      <c r="BA142" s="20"/>
      <c r="BD142" s="94" t="str">
        <f t="shared" si="52"/>
        <v>MNG0331Vector</v>
      </c>
      <c r="BF142" s="15" t="s">
        <v>37</v>
      </c>
      <c r="BG142" t="s">
        <v>262</v>
      </c>
      <c r="BH142" s="190">
        <v>100.89660000000001</v>
      </c>
      <c r="BI142" s="190">
        <v>100.897003173828</v>
      </c>
      <c r="BJ142" s="257">
        <f t="shared" si="53"/>
        <v>3.5836693833047542</v>
      </c>
      <c r="BK142" s="257">
        <f t="shared" si="50"/>
        <v>3.9285882012095361</v>
      </c>
      <c r="BL142" s="257">
        <f t="shared" si="51"/>
        <v>4.1585340798127239</v>
      </c>
      <c r="BM142" s="342" t="str">
        <f>VLOOKUP(LEFT(BG142,3),'Mapping B'!$D$2:$E$310,2,0)</f>
        <v>N</v>
      </c>
      <c r="BO142" s="20"/>
      <c r="BP142" s="190"/>
      <c r="BQ142" s="20"/>
      <c r="BR142" s="20"/>
    </row>
    <row r="143" spans="2:70" x14ac:dyDescent="0.25">
      <c r="B143" s="98" t="s">
        <v>552</v>
      </c>
      <c r="C143" s="98">
        <v>2014</v>
      </c>
      <c r="D143" s="98" t="s">
        <v>323</v>
      </c>
      <c r="E143" s="98" t="s">
        <v>4</v>
      </c>
      <c r="F143" s="98" t="s">
        <v>136</v>
      </c>
      <c r="G143" s="248">
        <v>0</v>
      </c>
      <c r="H143" s="299" t="str">
        <f>VLOOKUP(LEFT('Rev Adequacy'!D143,3),'Mapping B'!$D$2:$E$400,2,0)</f>
        <v>N</v>
      </c>
      <c r="I143" s="190"/>
      <c r="J143" s="15" t="s">
        <v>268</v>
      </c>
      <c r="K143" s="190" t="s">
        <v>28</v>
      </c>
      <c r="L143" s="190">
        <f t="shared" si="41"/>
        <v>65.438099999999991</v>
      </c>
      <c r="O143" s="15">
        <f>_xlfn.IFNA(IF(VLOOKUP($J143&amp;O$12,'Mapping A'!$A$6:$G$1011,7,0)=1,$L143,""),0)</f>
        <v>0</v>
      </c>
      <c r="P143" s="15">
        <f>_xlfn.IFNA(IF(VLOOKUP($J143&amp;P$12,'Mapping A'!$A$6:$G$1011,7,0)=1,$L143,""),0)</f>
        <v>65.438099999999991</v>
      </c>
      <c r="Q143" s="15">
        <f>_xlfn.IFNA(IF(VLOOKUP($J143&amp;Q$12,'Mapping A'!$A$6:$G$1011,7,0)=1,$L143,""),0)</f>
        <v>65.438099999999991</v>
      </c>
      <c r="R143" s="15">
        <f>_xlfn.IFNA(IF(VLOOKUP($J143&amp;R$12,'Mapping A'!$A$6:$G$1011,7,0)=1,$L143,""),0)</f>
        <v>0</v>
      </c>
      <c r="S143" s="15">
        <f>_xlfn.IFNA(IF(VLOOKUP($J143&amp;S$12,'Mapping A'!$A$6:$G$1011,7,0)=1,$L143,""),0)</f>
        <v>0</v>
      </c>
      <c r="T143" s="15">
        <f>_xlfn.IFNA(IF(VLOOKUP($J143&amp;T$14,'Mapping A'!$A$6:$G$1011,7,0)=1,$L143,""),0)</f>
        <v>65.438099999999991</v>
      </c>
      <c r="U143" s="15">
        <f>_xlfn.IFNA(IF(VLOOKUP($J143&amp;U$12,'Mapping A'!$A$6:$G$1011,7,0)=1,$L143,""),0)</f>
        <v>0</v>
      </c>
      <c r="V143" s="15">
        <f>_xlfn.IFNA(IF(VLOOKUP($J143&amp;V$12,'Mapping A'!$A$6:$G$1011,7,0)=1,$L143,""),0)</f>
        <v>0</v>
      </c>
      <c r="W143" s="15">
        <f>_xlfn.IFNA(IF(VLOOKUP($J143&amp;W$12,'Mapping A'!$A$6:$G$1011,7,0)=1,$L143,""),0)</f>
        <v>0</v>
      </c>
      <c r="X143" s="15">
        <f>_xlfn.IFNA(IF(VLOOKUP($J143&amp;X$12,'Mapping A'!$A$6:$G$1011,7,0)=1,$L143,""),0)</f>
        <v>0</v>
      </c>
      <c r="Y143" s="15">
        <f>_xlfn.IFNA(IF(VLOOKUP($J143&amp;Y$12,'Mapping A'!$A$6:$G$1011,7,0)=1,$L143,""),0)</f>
        <v>0</v>
      </c>
      <c r="Z143" s="15">
        <f>_xlfn.IFNA(IF(VLOOKUP($J143&amp;Z$12,'Mapping A'!$A$6:$G$1011,7,0)=1,$L143,""),0)</f>
        <v>0</v>
      </c>
      <c r="AA143" s="15">
        <f>_xlfn.IFNA(IF(VLOOKUP($J143&amp;AA$12,'Mapping A'!$A$6:$G$1011,7,0)=1,$L143,""),0)</f>
        <v>0</v>
      </c>
      <c r="AF143" s="155" t="str">
        <f t="shared" si="49"/>
        <v>MTM0331Powerco</v>
      </c>
      <c r="AG143" s="15" t="s">
        <v>268</v>
      </c>
      <c r="AH143" s="190" t="s">
        <v>28</v>
      </c>
      <c r="AI143" s="190">
        <f t="shared" si="42"/>
        <v>65.438099999999991</v>
      </c>
      <c r="AJ143" s="292" t="s">
        <v>95</v>
      </c>
      <c r="AK143" s="15"/>
      <c r="AL143" s="15">
        <f t="shared" ca="1" si="54"/>
        <v>0</v>
      </c>
      <c r="AM143" s="15">
        <f t="shared" ca="1" si="55"/>
        <v>0</v>
      </c>
      <c r="AN143" s="15">
        <f t="shared" ca="1" si="56"/>
        <v>0</v>
      </c>
      <c r="AO143" s="15">
        <f t="shared" ca="1" si="57"/>
        <v>0</v>
      </c>
      <c r="AP143" s="15"/>
      <c r="AQ143" s="15">
        <f t="shared" ca="1" si="58"/>
        <v>0</v>
      </c>
      <c r="AR143" s="20">
        <f t="shared" ca="1" si="43"/>
        <v>0</v>
      </c>
      <c r="AS143" s="20"/>
      <c r="AT143" s="20">
        <f t="shared" ca="1" si="44"/>
        <v>0</v>
      </c>
      <c r="AU143" s="20">
        <f t="shared" ca="1" si="45"/>
        <v>0</v>
      </c>
      <c r="AV143" s="20">
        <f t="shared" ca="1" si="46"/>
        <v>0</v>
      </c>
      <c r="AW143" s="20">
        <f t="shared" si="47"/>
        <v>0</v>
      </c>
      <c r="AX143" s="20">
        <f t="shared" si="48"/>
        <v>0</v>
      </c>
      <c r="BA143" s="20"/>
      <c r="BD143" s="94" t="str">
        <f t="shared" si="52"/>
        <v>MNG1101Pacific Steel</v>
      </c>
      <c r="BF143" s="198" t="s">
        <v>50</v>
      </c>
      <c r="BG143" s="198" t="s">
        <v>263</v>
      </c>
      <c r="BH143" s="198">
        <v>0</v>
      </c>
      <c r="BI143" s="190">
        <v>50.337001800537102</v>
      </c>
      <c r="BJ143" s="257">
        <f t="shared" si="53"/>
        <v>0</v>
      </c>
      <c r="BK143" s="257">
        <f t="shared" si="50"/>
        <v>0</v>
      </c>
      <c r="BL143" s="257">
        <f t="shared" si="51"/>
        <v>0</v>
      </c>
      <c r="BM143" s="342" t="str">
        <f>VLOOKUP(LEFT(BG143,3),'Mapping B'!$D$2:$E$310,2,0)</f>
        <v>N</v>
      </c>
      <c r="BO143" s="20"/>
      <c r="BP143" s="190"/>
      <c r="BQ143" s="20"/>
      <c r="BR143" s="20"/>
    </row>
    <row r="144" spans="2:70" x14ac:dyDescent="0.25">
      <c r="B144" s="98" t="s">
        <v>552</v>
      </c>
      <c r="C144" s="98">
        <v>2014</v>
      </c>
      <c r="D144" s="98" t="s">
        <v>324</v>
      </c>
      <c r="E144" s="98" t="s">
        <v>4</v>
      </c>
      <c r="F144" s="98" t="s">
        <v>136</v>
      </c>
      <c r="G144" s="248">
        <v>0</v>
      </c>
      <c r="H144" s="299" t="str">
        <f>VLOOKUP(LEFT('Rev Adequacy'!D144,3),'Mapping B'!$D$2:$E$400,2,0)</f>
        <v>N</v>
      </c>
      <c r="I144" s="190"/>
      <c r="J144" s="15" t="s">
        <v>269</v>
      </c>
      <c r="K144" s="190" t="s">
        <v>28</v>
      </c>
      <c r="L144" s="190">
        <f t="shared" si="41"/>
        <v>16.697099999999999</v>
      </c>
      <c r="O144" s="15">
        <f>_xlfn.IFNA(IF(VLOOKUP($J144&amp;O$12,'Mapping A'!$A$6:$G$1011,7,0)=1,$L144,""),0)</f>
        <v>0</v>
      </c>
      <c r="P144" s="15">
        <f>_xlfn.IFNA(IF(VLOOKUP($J144&amp;P$12,'Mapping A'!$A$6:$G$1011,7,0)=1,$L144,""),0)</f>
        <v>16.697099999999999</v>
      </c>
      <c r="Q144" s="15">
        <f>_xlfn.IFNA(IF(VLOOKUP($J144&amp;Q$12,'Mapping A'!$A$6:$G$1011,7,0)=1,$L144,""),0)</f>
        <v>16.697099999999999</v>
      </c>
      <c r="R144" s="15">
        <f>_xlfn.IFNA(IF(VLOOKUP($J144&amp;R$12,'Mapping A'!$A$6:$G$1011,7,0)=1,$L144,""),0)</f>
        <v>0</v>
      </c>
      <c r="S144" s="15">
        <f>_xlfn.IFNA(IF(VLOOKUP($J144&amp;S$12,'Mapping A'!$A$6:$G$1011,7,0)=1,$L144,""),0)</f>
        <v>0</v>
      </c>
      <c r="T144" s="15">
        <f>_xlfn.IFNA(IF(VLOOKUP($J144&amp;T$14,'Mapping A'!$A$6:$G$1011,7,0)=1,$L144,""),0)</f>
        <v>0</v>
      </c>
      <c r="U144" s="15">
        <f>_xlfn.IFNA(IF(VLOOKUP($J144&amp;U$12,'Mapping A'!$A$6:$G$1011,7,0)=1,$L144,""),0)</f>
        <v>0</v>
      </c>
      <c r="V144" s="15">
        <f>_xlfn.IFNA(IF(VLOOKUP($J144&amp;V$12,'Mapping A'!$A$6:$G$1011,7,0)=1,$L144,""),0)</f>
        <v>0</v>
      </c>
      <c r="W144" s="15">
        <f>_xlfn.IFNA(IF(VLOOKUP($J144&amp;W$12,'Mapping A'!$A$6:$G$1011,7,0)=1,$L144,""),0)</f>
        <v>0</v>
      </c>
      <c r="X144" s="15">
        <f>_xlfn.IFNA(IF(VLOOKUP($J144&amp;X$12,'Mapping A'!$A$6:$G$1011,7,0)=1,$L144,""),0)</f>
        <v>0</v>
      </c>
      <c r="Y144" s="15">
        <f>_xlfn.IFNA(IF(VLOOKUP($J144&amp;Y$12,'Mapping A'!$A$6:$G$1011,7,0)=1,$L144,""),0)</f>
        <v>0</v>
      </c>
      <c r="Z144" s="15">
        <f>_xlfn.IFNA(IF(VLOOKUP($J144&amp;Z$12,'Mapping A'!$A$6:$G$1011,7,0)=1,$L144,""),0)</f>
        <v>0</v>
      </c>
      <c r="AA144" s="15">
        <f>_xlfn.IFNA(IF(VLOOKUP($J144&amp;AA$12,'Mapping A'!$A$6:$G$1011,7,0)=1,$L144,""),0)</f>
        <v>0</v>
      </c>
      <c r="AF144" s="155" t="str">
        <f t="shared" si="49"/>
        <v>MTN0331Powerco</v>
      </c>
      <c r="AG144" s="15" t="s">
        <v>269</v>
      </c>
      <c r="AH144" s="190" t="s">
        <v>28</v>
      </c>
      <c r="AI144" s="190">
        <f t="shared" si="42"/>
        <v>16.697099999999999</v>
      </c>
      <c r="AJ144" s="292" t="s">
        <v>95</v>
      </c>
      <c r="AK144" s="15"/>
      <c r="AL144" s="15">
        <f t="shared" ca="1" si="54"/>
        <v>0</v>
      </c>
      <c r="AM144" s="15">
        <f t="shared" ca="1" si="55"/>
        <v>0</v>
      </c>
      <c r="AN144" s="15">
        <f t="shared" ca="1" si="56"/>
        <v>0</v>
      </c>
      <c r="AO144" s="15">
        <f t="shared" ca="1" si="57"/>
        <v>0</v>
      </c>
      <c r="AP144" s="15"/>
      <c r="AQ144" s="15">
        <f t="shared" ca="1" si="58"/>
        <v>0</v>
      </c>
      <c r="AR144" s="20">
        <f t="shared" ca="1" si="43"/>
        <v>0</v>
      </c>
      <c r="AS144" s="20"/>
      <c r="AT144" s="20">
        <f t="shared" ca="1" si="44"/>
        <v>0</v>
      </c>
      <c r="AU144" s="20">
        <f t="shared" ca="1" si="45"/>
        <v>0</v>
      </c>
      <c r="AV144" s="20">
        <f t="shared" ca="1" si="46"/>
        <v>0</v>
      </c>
      <c r="AW144" s="20">
        <f t="shared" si="47"/>
        <v>0</v>
      </c>
      <c r="AX144" s="20">
        <f t="shared" si="48"/>
        <v>0</v>
      </c>
      <c r="BA144" s="20"/>
      <c r="BD144" s="94" t="str">
        <f t="shared" si="52"/>
        <v>MNI0111Methanex</v>
      </c>
      <c r="BF144" s="15" t="s">
        <v>15</v>
      </c>
      <c r="BG144" t="s">
        <v>264</v>
      </c>
      <c r="BH144" s="190">
        <v>9.5024999999999995</v>
      </c>
      <c r="BI144" s="190">
        <v>9.5010004043579102</v>
      </c>
      <c r="BJ144" s="257">
        <f t="shared" si="53"/>
        <v>0.33751205010727242</v>
      </c>
      <c r="BK144" s="257">
        <f t="shared" si="50"/>
        <v>0.36999670337745388</v>
      </c>
      <c r="BL144" s="257">
        <f t="shared" si="51"/>
        <v>0.39165313889090814</v>
      </c>
      <c r="BM144" s="342" t="str">
        <f>VLOOKUP(LEFT(BG144,3),'Mapping B'!$D$2:$E$310,2,0)</f>
        <v>N</v>
      </c>
      <c r="BO144" s="20"/>
      <c r="BP144" s="190"/>
      <c r="BQ144" s="20"/>
      <c r="BR144" s="20"/>
    </row>
    <row r="145" spans="2:70" x14ac:dyDescent="0.25">
      <c r="B145" s="98" t="s">
        <v>552</v>
      </c>
      <c r="C145" s="98">
        <v>2014</v>
      </c>
      <c r="D145" s="98" t="s">
        <v>336</v>
      </c>
      <c r="E145" s="98" t="s">
        <v>4</v>
      </c>
      <c r="F145" s="98" t="s">
        <v>131</v>
      </c>
      <c r="G145" s="248">
        <v>412.58499999999901</v>
      </c>
      <c r="H145" s="299" t="str">
        <f>VLOOKUP(LEFT('Rev Adequacy'!D145,3),'Mapping B'!$D$2:$E$400,2,0)</f>
        <v>N</v>
      </c>
      <c r="I145" s="190"/>
      <c r="J145" s="15" t="s">
        <v>270</v>
      </c>
      <c r="K145" s="190" t="s">
        <v>23</v>
      </c>
      <c r="L145" s="190">
        <f t="shared" si="41"/>
        <v>17.9298</v>
      </c>
      <c r="O145" s="15">
        <f>_xlfn.IFNA(IF(VLOOKUP($J145&amp;O$12,'Mapping A'!$A$6:$G$1011,7,0)=1,$L145,""),0)</f>
        <v>17.9298</v>
      </c>
      <c r="P145" s="15">
        <f>_xlfn.IFNA(IF(VLOOKUP($J145&amp;P$12,'Mapping A'!$A$6:$G$1011,7,0)=1,$L145,""),0)</f>
        <v>17.9298</v>
      </c>
      <c r="Q145" s="15">
        <f>_xlfn.IFNA(IF(VLOOKUP($J145&amp;Q$12,'Mapping A'!$A$6:$G$1011,7,0)=1,$L145,""),0)</f>
        <v>17.9298</v>
      </c>
      <c r="R145" s="15">
        <f>_xlfn.IFNA(IF(VLOOKUP($J145&amp;R$12,'Mapping A'!$A$6:$G$1011,7,0)=1,$L145,""),0)</f>
        <v>17.9298</v>
      </c>
      <c r="S145" s="15">
        <f>_xlfn.IFNA(IF(VLOOKUP($J145&amp;S$12,'Mapping A'!$A$6:$G$1011,7,0)=1,$L145,""),0)</f>
        <v>0</v>
      </c>
      <c r="T145" s="15">
        <f>_xlfn.IFNA(IF(VLOOKUP($J145&amp;T$14,'Mapping A'!$A$6:$G$1011,7,0)=1,$L145,""),0)</f>
        <v>17.9298</v>
      </c>
      <c r="U145" s="15">
        <f>_xlfn.IFNA(IF(VLOOKUP($J145&amp;U$12,'Mapping A'!$A$6:$G$1011,7,0)=1,$L145,""),0)</f>
        <v>17.9298</v>
      </c>
      <c r="V145" s="15">
        <f>_xlfn.IFNA(IF(VLOOKUP($J145&amp;V$12,'Mapping A'!$A$6:$G$1011,7,0)=1,$L145,""),0)</f>
        <v>0</v>
      </c>
      <c r="W145" s="15">
        <f>_xlfn.IFNA(IF(VLOOKUP($J145&amp;W$12,'Mapping A'!$A$6:$G$1011,7,0)=1,$L145,""),0)</f>
        <v>0</v>
      </c>
      <c r="X145" s="15">
        <f>_xlfn.IFNA(IF(VLOOKUP($J145&amp;X$12,'Mapping A'!$A$6:$G$1011,7,0)=1,$L145,""),0)</f>
        <v>17.9298</v>
      </c>
      <c r="Y145" s="15">
        <f>_xlfn.IFNA(IF(VLOOKUP($J145&amp;Y$12,'Mapping A'!$A$6:$G$1011,7,0)=1,$L145,""),0)</f>
        <v>0</v>
      </c>
      <c r="Z145" s="15">
        <f>_xlfn.IFNA(IF(VLOOKUP($J145&amp;Z$12,'Mapping A'!$A$6:$G$1011,7,0)=1,$L145,""),0)</f>
        <v>0</v>
      </c>
      <c r="AA145" s="15">
        <f>_xlfn.IFNA(IF(VLOOKUP($J145&amp;AA$12,'Mapping A'!$A$6:$G$1011,7,0)=1,$L145,""),0)</f>
        <v>0</v>
      </c>
      <c r="AF145" s="155" t="str">
        <f t="shared" si="49"/>
        <v>MTO0331Northpower</v>
      </c>
      <c r="AG145" s="15" t="s">
        <v>270</v>
      </c>
      <c r="AH145" s="190" t="s">
        <v>23</v>
      </c>
      <c r="AI145" s="190">
        <f t="shared" si="42"/>
        <v>17.9298</v>
      </c>
      <c r="AJ145" s="292" t="s">
        <v>95</v>
      </c>
      <c r="AK145" s="15"/>
      <c r="AL145" s="15">
        <f t="shared" ca="1" si="54"/>
        <v>0</v>
      </c>
      <c r="AM145" s="15">
        <f t="shared" ca="1" si="55"/>
        <v>0</v>
      </c>
      <c r="AN145" s="15">
        <f t="shared" ca="1" si="56"/>
        <v>0</v>
      </c>
      <c r="AO145" s="15">
        <f t="shared" ca="1" si="57"/>
        <v>0.38782921672525034</v>
      </c>
      <c r="AP145" s="15"/>
      <c r="AQ145" s="15">
        <f t="shared" ca="1" si="58"/>
        <v>0</v>
      </c>
      <c r="AR145" s="20">
        <f t="shared" ca="1" si="43"/>
        <v>7.8453550904988623E-2</v>
      </c>
      <c r="AS145" s="20"/>
      <c r="AT145" s="20">
        <f t="shared" ca="1" si="44"/>
        <v>0</v>
      </c>
      <c r="AU145" s="20">
        <f t="shared" ca="1" si="45"/>
        <v>3.6182947353164074E-2</v>
      </c>
      <c r="AV145" s="20">
        <f t="shared" ca="1" si="46"/>
        <v>0</v>
      </c>
      <c r="AW145" s="20">
        <f t="shared" si="47"/>
        <v>0</v>
      </c>
      <c r="AX145" s="20">
        <f t="shared" si="48"/>
        <v>0</v>
      </c>
      <c r="BA145" s="20"/>
      <c r="BD145" s="94" t="str">
        <f t="shared" si="52"/>
        <v>MPE1101Northpower</v>
      </c>
      <c r="BF145" s="15" t="s">
        <v>23</v>
      </c>
      <c r="BG145" t="s">
        <v>265</v>
      </c>
      <c r="BH145" s="190">
        <v>106.74299999999999</v>
      </c>
      <c r="BI145" s="190">
        <v>102.640998840332</v>
      </c>
      <c r="BJ145" s="257">
        <f t="shared" si="53"/>
        <v>3.7913232059563882</v>
      </c>
      <c r="BK145" s="257">
        <f t="shared" si="50"/>
        <v>4.1562281619173431</v>
      </c>
      <c r="BL145" s="257">
        <f t="shared" si="51"/>
        <v>4.3994981325579801</v>
      </c>
      <c r="BM145" s="342" t="str">
        <f>VLOOKUP(LEFT(BG145,3),'Mapping B'!$D$2:$E$310,2,0)</f>
        <v>N</v>
      </c>
      <c r="BO145" s="20"/>
      <c r="BP145" s="190"/>
      <c r="BQ145" s="20"/>
      <c r="BR145" s="20"/>
    </row>
    <row r="146" spans="2:70" x14ac:dyDescent="0.25">
      <c r="B146" s="98" t="s">
        <v>552</v>
      </c>
      <c r="C146" s="98">
        <v>2014</v>
      </c>
      <c r="D146" s="98" t="s">
        <v>337</v>
      </c>
      <c r="E146" s="98" t="s">
        <v>4</v>
      </c>
      <c r="F146" s="98" t="s">
        <v>136</v>
      </c>
      <c r="G146" s="248">
        <v>0</v>
      </c>
      <c r="H146" s="299" t="str">
        <f>VLOOKUP(LEFT('Rev Adequacy'!D146,3),'Mapping B'!$D$2:$E$400,2,0)</f>
        <v>N</v>
      </c>
      <c r="I146" s="190"/>
      <c r="J146" s="15" t="s">
        <v>271</v>
      </c>
      <c r="K146" s="190" t="s">
        <v>28</v>
      </c>
      <c r="L146" s="190">
        <f t="shared" si="41"/>
        <v>7.1168999999999993</v>
      </c>
      <c r="O146" s="15">
        <f>_xlfn.IFNA(IF(VLOOKUP($J146&amp;O$12,'Mapping A'!$A$6:$G$1011,7,0)=1,$L146,""),0)</f>
        <v>0</v>
      </c>
      <c r="P146" s="15">
        <f>_xlfn.IFNA(IF(VLOOKUP($J146&amp;P$12,'Mapping A'!$A$6:$G$1011,7,0)=1,$L146,""),0)</f>
        <v>7.1168999999999993</v>
      </c>
      <c r="Q146" s="15">
        <f>_xlfn.IFNA(IF(VLOOKUP($J146&amp;Q$12,'Mapping A'!$A$6:$G$1011,7,0)=1,$L146,""),0)</f>
        <v>7.1168999999999993</v>
      </c>
      <c r="R146" s="15">
        <f>_xlfn.IFNA(IF(VLOOKUP($J146&amp;R$12,'Mapping A'!$A$6:$G$1011,7,0)=1,$L146,""),0)</f>
        <v>0</v>
      </c>
      <c r="S146" s="15">
        <f>_xlfn.IFNA(IF(VLOOKUP($J146&amp;S$12,'Mapping A'!$A$6:$G$1011,7,0)=1,$L146,""),0)</f>
        <v>0</v>
      </c>
      <c r="T146" s="15">
        <f>_xlfn.IFNA(IF(VLOOKUP($J146&amp;T$14,'Mapping A'!$A$6:$G$1011,7,0)=1,$L146,""),0)</f>
        <v>0</v>
      </c>
      <c r="U146" s="15">
        <f>_xlfn.IFNA(IF(VLOOKUP($J146&amp;U$12,'Mapping A'!$A$6:$G$1011,7,0)=1,$L146,""),0)</f>
        <v>0</v>
      </c>
      <c r="V146" s="15">
        <f>_xlfn.IFNA(IF(VLOOKUP($J146&amp;V$12,'Mapping A'!$A$6:$G$1011,7,0)=1,$L146,""),0)</f>
        <v>0</v>
      </c>
      <c r="W146" s="15">
        <f>_xlfn.IFNA(IF(VLOOKUP($J146&amp;W$12,'Mapping A'!$A$6:$G$1011,7,0)=1,$L146,""),0)</f>
        <v>0</v>
      </c>
      <c r="X146" s="15">
        <f>_xlfn.IFNA(IF(VLOOKUP($J146&amp;X$12,'Mapping A'!$A$6:$G$1011,7,0)=1,$L146,""),0)</f>
        <v>0</v>
      </c>
      <c r="Y146" s="15">
        <f>_xlfn.IFNA(IF(VLOOKUP($J146&amp;Y$12,'Mapping A'!$A$6:$G$1011,7,0)=1,$L146,""),0)</f>
        <v>0</v>
      </c>
      <c r="Z146" s="15">
        <f>_xlfn.IFNA(IF(VLOOKUP($J146&amp;Z$12,'Mapping A'!$A$6:$G$1011,7,0)=1,$L146,""),0)</f>
        <v>0</v>
      </c>
      <c r="AA146" s="15">
        <f>_xlfn.IFNA(IF(VLOOKUP($J146&amp;AA$12,'Mapping A'!$A$6:$G$1011,7,0)=1,$L146,""),0)</f>
        <v>0</v>
      </c>
      <c r="AF146" s="155" t="str">
        <f t="shared" si="49"/>
        <v>MTR0331Powerco</v>
      </c>
      <c r="AG146" s="15" t="s">
        <v>271</v>
      </c>
      <c r="AH146" s="190" t="s">
        <v>28</v>
      </c>
      <c r="AI146" s="190">
        <f t="shared" si="42"/>
        <v>7.1168999999999993</v>
      </c>
      <c r="AJ146" s="292" t="s">
        <v>95</v>
      </c>
      <c r="AK146" s="15"/>
      <c r="AL146" s="15">
        <f t="shared" ca="1" si="54"/>
        <v>0</v>
      </c>
      <c r="AM146" s="15">
        <f t="shared" ca="1" si="55"/>
        <v>0</v>
      </c>
      <c r="AN146" s="15">
        <f t="shared" ca="1" si="56"/>
        <v>0</v>
      </c>
      <c r="AO146" s="15">
        <f t="shared" ca="1" si="57"/>
        <v>0</v>
      </c>
      <c r="AP146" s="15"/>
      <c r="AQ146" s="15">
        <f t="shared" ca="1" si="58"/>
        <v>0</v>
      </c>
      <c r="AR146" s="20">
        <f t="shared" ca="1" si="43"/>
        <v>0</v>
      </c>
      <c r="AS146" s="20"/>
      <c r="AT146" s="20">
        <f t="shared" ca="1" si="44"/>
        <v>0</v>
      </c>
      <c r="AU146" s="20">
        <f t="shared" ca="1" si="45"/>
        <v>0</v>
      </c>
      <c r="AV146" s="20">
        <f t="shared" ca="1" si="46"/>
        <v>0</v>
      </c>
      <c r="AW146" s="20">
        <f t="shared" si="47"/>
        <v>0</v>
      </c>
      <c r="AX146" s="20">
        <f t="shared" si="48"/>
        <v>0</v>
      </c>
      <c r="BA146" s="20"/>
      <c r="BD146" s="94" t="str">
        <f t="shared" si="52"/>
        <v>MST0331Powerco</v>
      </c>
      <c r="BF146" s="15" t="s">
        <v>28</v>
      </c>
      <c r="BG146" t="s">
        <v>266</v>
      </c>
      <c r="BH146" s="190">
        <v>45.011400000000002</v>
      </c>
      <c r="BI146" s="190">
        <v>44.432998657226499</v>
      </c>
      <c r="BJ146" s="257">
        <f t="shared" si="53"/>
        <v>1.5987255871821608</v>
      </c>
      <c r="BK146" s="257">
        <f t="shared" si="50"/>
        <v>1.7525987492137782</v>
      </c>
      <c r="BL146" s="257">
        <f t="shared" si="51"/>
        <v>1.8551808572348567</v>
      </c>
      <c r="BM146" s="342" t="str">
        <f>VLOOKUP(LEFT(BG146,3),'Mapping B'!$D$2:$E$310,2,0)</f>
        <v>N</v>
      </c>
      <c r="BO146" s="20"/>
      <c r="BP146" s="190"/>
      <c r="BQ146" s="20"/>
      <c r="BR146" s="20"/>
    </row>
    <row r="147" spans="2:70" x14ac:dyDescent="0.25">
      <c r="B147" s="98" t="s">
        <v>552</v>
      </c>
      <c r="C147" s="98">
        <v>2014</v>
      </c>
      <c r="D147" s="98" t="s">
        <v>338</v>
      </c>
      <c r="E147" s="98" t="s">
        <v>4</v>
      </c>
      <c r="F147" s="98" t="s">
        <v>136</v>
      </c>
      <c r="G147" s="248">
        <v>0</v>
      </c>
      <c r="H147" s="299" t="str">
        <f>VLOOKUP(LEFT('Rev Adequacy'!D147,3),'Mapping B'!$D$2:$E$400,2,0)</f>
        <v>N</v>
      </c>
      <c r="I147" s="190"/>
      <c r="J147" s="15" t="s">
        <v>272</v>
      </c>
      <c r="K147" s="190" t="s">
        <v>53</v>
      </c>
      <c r="L147" s="190">
        <f t="shared" si="41"/>
        <v>0</v>
      </c>
      <c r="O147" s="15">
        <f>_xlfn.IFNA(IF(VLOOKUP($J147&amp;O$12,'Mapping A'!$A$6:$G$1011,7,0)=1,$L147,""),0)</f>
        <v>0</v>
      </c>
      <c r="P147" s="15">
        <f>_xlfn.IFNA(IF(VLOOKUP($J147&amp;P$12,'Mapping A'!$A$6:$G$1011,7,0)=1,$L147,""),0)</f>
        <v>0</v>
      </c>
      <c r="Q147" s="15">
        <f>_xlfn.IFNA(IF(VLOOKUP($J147&amp;Q$12,'Mapping A'!$A$6:$G$1011,7,0)=1,$L147,""),0)</f>
        <v>0</v>
      </c>
      <c r="R147" s="15">
        <f>_xlfn.IFNA(IF(VLOOKUP($J147&amp;R$12,'Mapping A'!$A$6:$G$1011,7,0)=1,$L147,""),0)</f>
        <v>0</v>
      </c>
      <c r="S147" s="15">
        <f>_xlfn.IFNA(IF(VLOOKUP($J147&amp;S$12,'Mapping A'!$A$6:$G$1011,7,0)=1,$L147,""),0)</f>
        <v>0</v>
      </c>
      <c r="T147" s="15">
        <f>_xlfn.IFNA(IF(VLOOKUP($J147&amp;T$14,'Mapping A'!$A$6:$G$1011,7,0)=1,$L147,""),0)</f>
        <v>0</v>
      </c>
      <c r="U147" s="15">
        <f>_xlfn.IFNA(IF(VLOOKUP($J147&amp;U$12,'Mapping A'!$A$6:$G$1011,7,0)=1,$L147,""),0)</f>
        <v>0</v>
      </c>
      <c r="V147" s="15">
        <f>_xlfn.IFNA(IF(VLOOKUP($J147&amp;V$12,'Mapping A'!$A$6:$G$1011,7,0)=1,$L147,""),0)</f>
        <v>0</v>
      </c>
      <c r="W147" s="15">
        <f>_xlfn.IFNA(IF(VLOOKUP($J147&amp;W$12,'Mapping A'!$A$6:$G$1011,7,0)=1,$L147,""),0)</f>
        <v>0</v>
      </c>
      <c r="X147" s="15">
        <f>_xlfn.IFNA(IF(VLOOKUP($J147&amp;X$12,'Mapping A'!$A$6:$G$1011,7,0)=1,$L147,""),0)</f>
        <v>0</v>
      </c>
      <c r="Y147" s="15">
        <f>_xlfn.IFNA(IF(VLOOKUP($J147&amp;Y$12,'Mapping A'!$A$6:$G$1011,7,0)=1,$L147,""),0)</f>
        <v>0</v>
      </c>
      <c r="Z147" s="15">
        <f>_xlfn.IFNA(IF(VLOOKUP($J147&amp;Z$12,'Mapping A'!$A$6:$G$1011,7,0)=1,$L147,""),0)</f>
        <v>0</v>
      </c>
      <c r="AA147" s="15">
        <f>_xlfn.IFNA(IF(VLOOKUP($J147&amp;AA$12,'Mapping A'!$A$6:$G$1011,7,0)=1,$L147,""),0)</f>
        <v>0</v>
      </c>
      <c r="AF147" s="155" t="str">
        <f t="shared" si="49"/>
        <v>NAP2201Other</v>
      </c>
      <c r="AG147" s="15" t="s">
        <v>272</v>
      </c>
      <c r="AH147" s="190" t="s">
        <v>53</v>
      </c>
      <c r="AI147" s="190">
        <f t="shared" si="42"/>
        <v>0</v>
      </c>
      <c r="AJ147" s="292" t="s">
        <v>95</v>
      </c>
      <c r="AK147" s="15"/>
      <c r="AL147" s="15">
        <f t="shared" ca="1" si="54"/>
        <v>0</v>
      </c>
      <c r="AM147" s="15">
        <f t="shared" ca="1" si="55"/>
        <v>0</v>
      </c>
      <c r="AN147" s="15">
        <f t="shared" ca="1" si="56"/>
        <v>0</v>
      </c>
      <c r="AO147" s="15">
        <f t="shared" ca="1" si="57"/>
        <v>0</v>
      </c>
      <c r="AP147" s="15"/>
      <c r="AQ147" s="15">
        <f t="shared" ca="1" si="58"/>
        <v>0</v>
      </c>
      <c r="AR147" s="20">
        <f t="shared" ca="1" si="43"/>
        <v>0</v>
      </c>
      <c r="AS147" s="20"/>
      <c r="AT147" s="20">
        <f t="shared" ca="1" si="44"/>
        <v>0</v>
      </c>
      <c r="AU147" s="20">
        <f t="shared" ca="1" si="45"/>
        <v>0</v>
      </c>
      <c r="AV147" s="20">
        <f t="shared" ca="1" si="46"/>
        <v>0</v>
      </c>
      <c r="AW147" s="20">
        <f t="shared" si="47"/>
        <v>0</v>
      </c>
      <c r="AX147" s="20">
        <f t="shared" si="48"/>
        <v>0</v>
      </c>
      <c r="BA147" s="20"/>
      <c r="BD147" s="94" t="str">
        <f t="shared" si="52"/>
        <v>MTI2201MRP</v>
      </c>
      <c r="BF147" s="15" t="s">
        <v>17</v>
      </c>
      <c r="BG147" t="s">
        <v>931</v>
      </c>
      <c r="BH147" s="190">
        <v>4.9139999999999997</v>
      </c>
      <c r="BI147" s="190">
        <v>0</v>
      </c>
      <c r="BJ147" s="257">
        <f t="shared" si="53"/>
        <v>0.17453661817702046</v>
      </c>
      <c r="BK147" s="257">
        <f t="shared" si="50"/>
        <v>0.19133531180182142</v>
      </c>
      <c r="BL147" s="257">
        <f t="shared" si="51"/>
        <v>0.20253444088502209</v>
      </c>
      <c r="BM147" s="342" t="str">
        <f>VLOOKUP(LEFT(BG147,3),'Mapping B'!$D$2:$E$310,2,0)</f>
        <v>N</v>
      </c>
      <c r="BO147" s="20"/>
      <c r="BP147" s="190"/>
      <c r="BQ147" s="20"/>
      <c r="BR147" s="20"/>
    </row>
    <row r="148" spans="2:70" x14ac:dyDescent="0.25">
      <c r="B148" s="98" t="s">
        <v>552</v>
      </c>
      <c r="C148" s="98">
        <v>2014</v>
      </c>
      <c r="D148" s="98" t="s">
        <v>359</v>
      </c>
      <c r="E148" s="98" t="s">
        <v>4</v>
      </c>
      <c r="F148" s="98" t="s">
        <v>136</v>
      </c>
      <c r="G148" s="248">
        <v>0</v>
      </c>
      <c r="H148" s="299" t="str">
        <f>VLOOKUP(LEFT('Rev Adequacy'!D148,3),'Mapping B'!$D$2:$E$400,2,0)</f>
        <v>N</v>
      </c>
      <c r="I148" s="190"/>
      <c r="J148" s="15" t="s">
        <v>274</v>
      </c>
      <c r="K148" s="190" t="s">
        <v>17</v>
      </c>
      <c r="L148" s="190">
        <f t="shared" si="41"/>
        <v>14.464799999999999</v>
      </c>
      <c r="O148" s="15">
        <f>_xlfn.IFNA(IF(VLOOKUP($J148&amp;O$12,'Mapping A'!$A$6:$G$1011,7,0)=1,$L148,""),0)</f>
        <v>0</v>
      </c>
      <c r="P148" s="15">
        <f>_xlfn.IFNA(IF(VLOOKUP($J148&amp;P$12,'Mapping A'!$A$6:$G$1011,7,0)=1,$L148,""),0)</f>
        <v>0</v>
      </c>
      <c r="Q148" s="15">
        <f>_xlfn.IFNA(IF(VLOOKUP($J148&amp;Q$12,'Mapping A'!$A$6:$G$1011,7,0)=1,$L148,""),0)</f>
        <v>0</v>
      </c>
      <c r="R148" s="15">
        <f>_xlfn.IFNA(IF(VLOOKUP($J148&amp;R$12,'Mapping A'!$A$6:$G$1011,7,0)=1,$L148,""),0)</f>
        <v>0</v>
      </c>
      <c r="S148" s="15">
        <f>_xlfn.IFNA(IF(VLOOKUP($J148&amp;S$12,'Mapping A'!$A$6:$G$1011,7,0)=1,$L148,""),0)</f>
        <v>0</v>
      </c>
      <c r="T148" s="15">
        <f>_xlfn.IFNA(IF(VLOOKUP($J148&amp;T$14,'Mapping A'!$A$6:$G$1011,7,0)=1,$L148,""),0)</f>
        <v>0</v>
      </c>
      <c r="U148" s="15">
        <f>_xlfn.IFNA(IF(VLOOKUP($J148&amp;U$12,'Mapping A'!$A$6:$G$1011,7,0)=1,$L148,""),0)</f>
        <v>0</v>
      </c>
      <c r="V148" s="15">
        <f>_xlfn.IFNA(IF(VLOOKUP($J148&amp;V$12,'Mapping A'!$A$6:$G$1011,7,0)=1,$L148,""),0)</f>
        <v>0</v>
      </c>
      <c r="W148" s="15">
        <f>_xlfn.IFNA(IF(VLOOKUP($J148&amp;W$12,'Mapping A'!$A$6:$G$1011,7,0)=1,$L148,""),0)</f>
        <v>0</v>
      </c>
      <c r="X148" s="15">
        <f>_xlfn.IFNA(IF(VLOOKUP($J148&amp;X$12,'Mapping A'!$A$6:$G$1011,7,0)=1,$L148,""),0)</f>
        <v>0</v>
      </c>
      <c r="Y148" s="15">
        <f>_xlfn.IFNA(IF(VLOOKUP($J148&amp;Y$12,'Mapping A'!$A$6:$G$1011,7,0)=1,$L148,""),0)</f>
        <v>0</v>
      </c>
      <c r="Z148" s="15">
        <f>_xlfn.IFNA(IF(VLOOKUP($J148&amp;Z$12,'Mapping A'!$A$6:$G$1011,7,0)=1,$L148,""),0)</f>
        <v>0</v>
      </c>
      <c r="AA148" s="15">
        <f>_xlfn.IFNA(IF(VLOOKUP($J148&amp;AA$12,'Mapping A'!$A$6:$G$1011,7,0)=1,$L148,""),0)</f>
        <v>0</v>
      </c>
      <c r="AF148" s="155" t="str">
        <f t="shared" si="49"/>
        <v>NAP2202MRP</v>
      </c>
      <c r="AG148" s="15" t="s">
        <v>274</v>
      </c>
      <c r="AH148" s="190" t="s">
        <v>17</v>
      </c>
      <c r="AI148" s="190">
        <f t="shared" si="42"/>
        <v>14.464799999999999</v>
      </c>
      <c r="AJ148" s="292" t="s">
        <v>95</v>
      </c>
      <c r="AK148" s="15"/>
      <c r="AL148" s="15">
        <f t="shared" ca="1" si="54"/>
        <v>0</v>
      </c>
      <c r="AM148" s="15">
        <f t="shared" ca="1" si="55"/>
        <v>0</v>
      </c>
      <c r="AN148" s="15">
        <f t="shared" ca="1" si="56"/>
        <v>0</v>
      </c>
      <c r="AO148" s="15">
        <f t="shared" ca="1" si="57"/>
        <v>0</v>
      </c>
      <c r="AP148" s="15"/>
      <c r="AQ148" s="15">
        <f t="shared" ca="1" si="58"/>
        <v>0</v>
      </c>
      <c r="AR148" s="20">
        <f t="shared" ca="1" si="43"/>
        <v>0</v>
      </c>
      <c r="AS148" s="20"/>
      <c r="AT148" s="20">
        <f t="shared" ca="1" si="44"/>
        <v>0</v>
      </c>
      <c r="AU148" s="20">
        <f t="shared" ca="1" si="45"/>
        <v>0</v>
      </c>
      <c r="AV148" s="20">
        <f t="shared" ca="1" si="46"/>
        <v>0</v>
      </c>
      <c r="AW148" s="20">
        <f t="shared" si="47"/>
        <v>0</v>
      </c>
      <c r="AX148" s="20">
        <f t="shared" si="48"/>
        <v>0</v>
      </c>
      <c r="BA148" s="20"/>
      <c r="BD148" s="94" t="str">
        <f t="shared" si="52"/>
        <v>MTM0331Powerco</v>
      </c>
      <c r="BF148" s="15" t="s">
        <v>28</v>
      </c>
      <c r="BG148" t="s">
        <v>268</v>
      </c>
      <c r="BH148" s="190">
        <v>65.438099999999991</v>
      </c>
      <c r="BI148" s="190">
        <v>65.444000244140597</v>
      </c>
      <c r="BJ148" s="257">
        <f t="shared" si="53"/>
        <v>2.3242459653906553</v>
      </c>
      <c r="BK148" s="257">
        <f t="shared" si="50"/>
        <v>2.5479485688275885</v>
      </c>
      <c r="BL148" s="257">
        <f t="shared" si="51"/>
        <v>2.6970836377855441</v>
      </c>
      <c r="BM148" s="342" t="str">
        <f>VLOOKUP(LEFT(BG148,3),'Mapping B'!$D$2:$E$310,2,0)</f>
        <v>N</v>
      </c>
      <c r="BO148" s="20"/>
      <c r="BP148" s="190"/>
      <c r="BQ148" s="20"/>
      <c r="BR148" s="20"/>
    </row>
    <row r="149" spans="2:70" x14ac:dyDescent="0.25">
      <c r="B149" s="98" t="s">
        <v>552</v>
      </c>
      <c r="C149" s="98">
        <v>2014</v>
      </c>
      <c r="D149" s="98" t="s">
        <v>369</v>
      </c>
      <c r="E149" s="98" t="s">
        <v>4</v>
      </c>
      <c r="F149" s="98" t="s">
        <v>131</v>
      </c>
      <c r="G149" s="248">
        <v>0.955874857895046</v>
      </c>
      <c r="H149" s="299" t="str">
        <f>VLOOKUP(LEFT('Rev Adequacy'!D149,3),'Mapping B'!$D$2:$E$400,2,0)</f>
        <v>N</v>
      </c>
      <c r="I149" s="190"/>
      <c r="J149" s="15" t="s">
        <v>276</v>
      </c>
      <c r="K149" s="190" t="s">
        <v>105</v>
      </c>
      <c r="L149" s="190">
        <f t="shared" si="41"/>
        <v>60.620699999999999</v>
      </c>
      <c r="O149" s="15">
        <f>_xlfn.IFNA(IF(VLOOKUP($J149&amp;O$12,'Mapping A'!$A$6:$G$1011,7,0)=1,$L149,""),0)</f>
        <v>0</v>
      </c>
      <c r="P149" s="15">
        <f>_xlfn.IFNA(IF(VLOOKUP($J149&amp;P$12,'Mapping A'!$A$6:$G$1011,7,0)=1,$L149,""),0)</f>
        <v>60.620699999999999</v>
      </c>
      <c r="Q149" s="15">
        <f>_xlfn.IFNA(IF(VLOOKUP($J149&amp;Q$12,'Mapping A'!$A$6:$G$1011,7,0)=1,$L149,""),0)</f>
        <v>0</v>
      </c>
      <c r="R149" s="15">
        <f>_xlfn.IFNA(IF(VLOOKUP($J149&amp;R$12,'Mapping A'!$A$6:$G$1011,7,0)=1,$L149,""),0)</f>
        <v>0</v>
      </c>
      <c r="S149" s="15">
        <f>_xlfn.IFNA(IF(VLOOKUP($J149&amp;S$12,'Mapping A'!$A$6:$G$1011,7,0)=1,$L149,""),0)</f>
        <v>60.620699999999999</v>
      </c>
      <c r="T149" s="15">
        <f>_xlfn.IFNA(IF(VLOOKUP($J149&amp;T$14,'Mapping A'!$A$6:$G$1011,7,0)=1,$L149,""),0)</f>
        <v>0</v>
      </c>
      <c r="U149" s="15">
        <f>_xlfn.IFNA(IF(VLOOKUP($J149&amp;U$12,'Mapping A'!$A$6:$G$1011,7,0)=1,$L149,""),0)</f>
        <v>0</v>
      </c>
      <c r="V149" s="15">
        <f>_xlfn.IFNA(IF(VLOOKUP($J149&amp;V$12,'Mapping A'!$A$6:$G$1011,7,0)=1,$L149,""),0)</f>
        <v>0</v>
      </c>
      <c r="W149" s="15">
        <f>_xlfn.IFNA(IF(VLOOKUP($J149&amp;W$12,'Mapping A'!$A$6:$G$1011,7,0)=1,$L149,""),0)</f>
        <v>0</v>
      </c>
      <c r="X149" s="15">
        <f>_xlfn.IFNA(IF(VLOOKUP($J149&amp;X$12,'Mapping A'!$A$6:$G$1011,7,0)=1,$L149,""),0)</f>
        <v>0</v>
      </c>
      <c r="Y149" s="15">
        <f>_xlfn.IFNA(IF(VLOOKUP($J149&amp;Y$12,'Mapping A'!$A$6:$G$1011,7,0)=1,$L149,""),0)</f>
        <v>0</v>
      </c>
      <c r="Z149" s="15">
        <f>_xlfn.IFNA(IF(VLOOKUP($J149&amp;Z$12,'Mapping A'!$A$6:$G$1011,7,0)=1,$L149,""),0)</f>
        <v>0</v>
      </c>
      <c r="AA149" s="15">
        <f>_xlfn.IFNA(IF(VLOOKUP($J149&amp;AA$12,'Mapping A'!$A$6:$G$1011,7,0)=1,$L149,""),0)</f>
        <v>0</v>
      </c>
      <c r="AF149" s="155" t="str">
        <f t="shared" si="49"/>
        <v>NMA0331The Power Company</v>
      </c>
      <c r="AG149" s="15" t="s">
        <v>276</v>
      </c>
      <c r="AH149" s="190" t="s">
        <v>105</v>
      </c>
      <c r="AI149" s="190">
        <f t="shared" si="42"/>
        <v>60.620699999999999</v>
      </c>
      <c r="AJ149" s="292" t="s">
        <v>96</v>
      </c>
      <c r="AK149" s="15"/>
      <c r="AL149" s="15">
        <f t="shared" ca="1" si="54"/>
        <v>0</v>
      </c>
      <c r="AM149" s="15">
        <f t="shared" ca="1" si="55"/>
        <v>0</v>
      </c>
      <c r="AN149" s="15">
        <f t="shared" ca="1" si="56"/>
        <v>0</v>
      </c>
      <c r="AO149" s="15">
        <f t="shared" ca="1" si="57"/>
        <v>0</v>
      </c>
      <c r="AP149" s="15"/>
      <c r="AQ149" s="15">
        <f t="shared" ca="1" si="58"/>
        <v>0</v>
      </c>
      <c r="AR149" s="20">
        <f t="shared" ca="1" si="43"/>
        <v>0</v>
      </c>
      <c r="AS149" s="20"/>
      <c r="AT149" s="20">
        <f t="shared" ca="1" si="44"/>
        <v>0</v>
      </c>
      <c r="AU149" s="20">
        <f t="shared" ca="1" si="45"/>
        <v>0</v>
      </c>
      <c r="AV149" s="20">
        <f t="shared" ca="1" si="46"/>
        <v>0</v>
      </c>
      <c r="AW149" s="20">
        <f t="shared" si="47"/>
        <v>0</v>
      </c>
      <c r="AX149" s="20">
        <f t="shared" si="48"/>
        <v>0</v>
      </c>
      <c r="BA149" s="20"/>
      <c r="BD149" s="94" t="str">
        <f t="shared" si="52"/>
        <v>MTN0331Powerco</v>
      </c>
      <c r="BF149" s="15" t="s">
        <v>28</v>
      </c>
      <c r="BG149" t="s">
        <v>269</v>
      </c>
      <c r="BH149" s="190">
        <v>16.697099999999999</v>
      </c>
      <c r="BI149" s="190">
        <v>16.697999954223601</v>
      </c>
      <c r="BJ149" s="257">
        <f t="shared" si="53"/>
        <v>0.59305156031003825</v>
      </c>
      <c r="BK149" s="257">
        <f t="shared" si="50"/>
        <v>0.65013122398986423</v>
      </c>
      <c r="BL149" s="257">
        <f t="shared" si="51"/>
        <v>0.68818433310974825</v>
      </c>
      <c r="BM149" s="342" t="str">
        <f>VLOOKUP(LEFT(BG149,3),'Mapping B'!$D$2:$E$310,2,0)</f>
        <v>N</v>
      </c>
      <c r="BO149" s="20"/>
      <c r="BP149" s="190"/>
      <c r="BQ149" s="20"/>
      <c r="BR149" s="20"/>
    </row>
    <row r="150" spans="2:70" x14ac:dyDescent="0.25">
      <c r="B150" s="98" t="s">
        <v>552</v>
      </c>
      <c r="C150" s="98">
        <v>2014</v>
      </c>
      <c r="D150" s="98" t="s">
        <v>370</v>
      </c>
      <c r="E150" s="98" t="s">
        <v>4</v>
      </c>
      <c r="F150" s="98" t="s">
        <v>131</v>
      </c>
      <c r="G150" s="248">
        <v>8.5109999999997399</v>
      </c>
      <c r="H150" s="299" t="str">
        <f>VLOOKUP(LEFT('Rev Adequacy'!D150,3),'Mapping B'!$D$2:$E$400,2,0)</f>
        <v>N</v>
      </c>
      <c r="I150" s="190"/>
      <c r="J150" s="15" t="s">
        <v>278</v>
      </c>
      <c r="K150" s="190" t="s">
        <v>32</v>
      </c>
      <c r="L150" s="190">
        <f t="shared" si="41"/>
        <v>6.7116000000000007</v>
      </c>
      <c r="O150" s="15">
        <f>_xlfn.IFNA(IF(VLOOKUP($J150&amp;O$12,'Mapping A'!$A$6:$G$1011,7,0)=1,$L150,""),0)</f>
        <v>0</v>
      </c>
      <c r="P150" s="15">
        <f>_xlfn.IFNA(IF(VLOOKUP($J150&amp;P$12,'Mapping A'!$A$6:$G$1011,7,0)=1,$L150,""),0)</f>
        <v>6.7116000000000007</v>
      </c>
      <c r="Q150" s="15">
        <f>_xlfn.IFNA(IF(VLOOKUP($J150&amp;Q$12,'Mapping A'!$A$6:$G$1011,7,0)=1,$L150,""),0)</f>
        <v>6.7116000000000007</v>
      </c>
      <c r="R150" s="15">
        <f>_xlfn.IFNA(IF(VLOOKUP($J150&amp;R$12,'Mapping A'!$A$6:$G$1011,7,0)=1,$L150,""),0)</f>
        <v>0</v>
      </c>
      <c r="S150" s="15">
        <f>_xlfn.IFNA(IF(VLOOKUP($J150&amp;S$12,'Mapping A'!$A$6:$G$1011,7,0)=1,$L150,""),0)</f>
        <v>0</v>
      </c>
      <c r="T150" s="15">
        <f>_xlfn.IFNA(IF(VLOOKUP($J150&amp;T$14,'Mapping A'!$A$6:$G$1011,7,0)=1,$L150,""),0)</f>
        <v>0</v>
      </c>
      <c r="U150" s="15">
        <f>_xlfn.IFNA(IF(VLOOKUP($J150&amp;U$12,'Mapping A'!$A$6:$G$1011,7,0)=1,$L150,""),0)</f>
        <v>0</v>
      </c>
      <c r="V150" s="15">
        <f>_xlfn.IFNA(IF(VLOOKUP($J150&amp;V$12,'Mapping A'!$A$6:$G$1011,7,0)=1,$L150,""),0)</f>
        <v>0</v>
      </c>
      <c r="W150" s="15">
        <f>_xlfn.IFNA(IF(VLOOKUP($J150&amp;W$12,'Mapping A'!$A$6:$G$1011,7,0)=1,$L150,""),0)</f>
        <v>0</v>
      </c>
      <c r="X150" s="15">
        <f>_xlfn.IFNA(IF(VLOOKUP($J150&amp;X$12,'Mapping A'!$A$6:$G$1011,7,0)=1,$L150,""),0)</f>
        <v>0</v>
      </c>
      <c r="Y150" s="15">
        <f>_xlfn.IFNA(IF(VLOOKUP($J150&amp;Y$12,'Mapping A'!$A$6:$G$1011,7,0)=1,$L150,""),0)</f>
        <v>0</v>
      </c>
      <c r="Z150" s="15">
        <f>_xlfn.IFNA(IF(VLOOKUP($J150&amp;Z$12,'Mapping A'!$A$6:$G$1011,7,0)=1,$L150,""),0)</f>
        <v>0</v>
      </c>
      <c r="AA150" s="15">
        <f>_xlfn.IFNA(IF(VLOOKUP($J150&amp;AA$12,'Mapping A'!$A$6:$G$1011,7,0)=1,$L150,""),0)</f>
        <v>0</v>
      </c>
      <c r="AF150" s="155" t="str">
        <f t="shared" si="49"/>
        <v>NPK0331The Lines Company</v>
      </c>
      <c r="AG150" s="15" t="s">
        <v>278</v>
      </c>
      <c r="AH150" s="190" t="s">
        <v>32</v>
      </c>
      <c r="AI150" s="190">
        <f t="shared" si="42"/>
        <v>6.7116000000000007</v>
      </c>
      <c r="AJ150" s="292" t="s">
        <v>95</v>
      </c>
      <c r="AK150" s="15"/>
      <c r="AL150" s="15">
        <f t="shared" ca="1" si="54"/>
        <v>0</v>
      </c>
      <c r="AM150" s="15">
        <f t="shared" ca="1" si="55"/>
        <v>0</v>
      </c>
      <c r="AN150" s="15">
        <f t="shared" ca="1" si="56"/>
        <v>0</v>
      </c>
      <c r="AO150" s="15">
        <f t="shared" ca="1" si="57"/>
        <v>0</v>
      </c>
      <c r="AP150" s="15"/>
      <c r="AQ150" s="15">
        <f t="shared" ca="1" si="58"/>
        <v>0</v>
      </c>
      <c r="AR150" s="20">
        <f t="shared" ca="1" si="43"/>
        <v>0</v>
      </c>
      <c r="AS150" s="20"/>
      <c r="AT150" s="20">
        <f t="shared" ca="1" si="44"/>
        <v>0</v>
      </c>
      <c r="AU150" s="20">
        <f t="shared" ca="1" si="45"/>
        <v>0</v>
      </c>
      <c r="AV150" s="20">
        <f t="shared" ca="1" si="46"/>
        <v>0</v>
      </c>
      <c r="AW150" s="20">
        <f t="shared" si="47"/>
        <v>0</v>
      </c>
      <c r="AX150" s="20">
        <f t="shared" si="48"/>
        <v>0</v>
      </c>
      <c r="BA150" s="95"/>
      <c r="BD150" s="94" t="str">
        <f t="shared" si="52"/>
        <v>MTO0331Northpower</v>
      </c>
      <c r="BF150" s="15" t="s">
        <v>23</v>
      </c>
      <c r="BG150" t="s">
        <v>270</v>
      </c>
      <c r="BH150" s="190">
        <v>17.9298</v>
      </c>
      <c r="BI150" s="190">
        <v>17.9300003051757</v>
      </c>
      <c r="BJ150" s="257">
        <f t="shared" si="53"/>
        <v>0.63683489145102601</v>
      </c>
      <c r="BK150" s="257">
        <f t="shared" si="50"/>
        <v>0.69812858639485109</v>
      </c>
      <c r="BL150" s="257">
        <f t="shared" si="51"/>
        <v>0.73899104969073459</v>
      </c>
      <c r="BM150" s="342" t="str">
        <f>VLOOKUP(LEFT(BG150,3),'Mapping B'!$D$2:$E$310,2,0)</f>
        <v>N</v>
      </c>
      <c r="BO150" s="20"/>
      <c r="BP150" s="190"/>
      <c r="BQ150" s="20"/>
      <c r="BR150" s="20"/>
    </row>
    <row r="151" spans="2:70" x14ac:dyDescent="0.25">
      <c r="B151" s="98" t="s">
        <v>552</v>
      </c>
      <c r="C151" s="98">
        <v>2014</v>
      </c>
      <c r="D151" s="98" t="s">
        <v>371</v>
      </c>
      <c r="E151" s="98" t="s">
        <v>4</v>
      </c>
      <c r="F151" s="98" t="s">
        <v>136</v>
      </c>
      <c r="G151" s="248">
        <v>174.71</v>
      </c>
      <c r="H151" s="299" t="str">
        <f>VLOOKUP(LEFT('Rev Adequacy'!D151,3),'Mapping B'!$D$2:$E$400,2,0)</f>
        <v>N</v>
      </c>
      <c r="I151" s="190"/>
      <c r="J151" s="15" t="s">
        <v>279</v>
      </c>
      <c r="K151" s="190" t="s">
        <v>53</v>
      </c>
      <c r="L151" s="190">
        <f t="shared" ref="L151:L214" si="59">BH156</f>
        <v>0</v>
      </c>
      <c r="O151" s="15">
        <f>_xlfn.IFNA(IF(VLOOKUP($J151&amp;O$12,'Mapping A'!$A$6:$G$1011,7,0)=1,$L151,""),0)</f>
        <v>0</v>
      </c>
      <c r="P151" s="15">
        <f>_xlfn.IFNA(IF(VLOOKUP($J151&amp;P$12,'Mapping A'!$A$6:$G$1011,7,0)=1,$L151,""),0)</f>
        <v>0</v>
      </c>
      <c r="Q151" s="15">
        <f>_xlfn.IFNA(IF(VLOOKUP($J151&amp;Q$12,'Mapping A'!$A$6:$G$1011,7,0)=1,$L151,""),0)</f>
        <v>0</v>
      </c>
      <c r="R151" s="15">
        <f>_xlfn.IFNA(IF(VLOOKUP($J151&amp;R$12,'Mapping A'!$A$6:$G$1011,7,0)=1,$L151,""),0)</f>
        <v>0</v>
      </c>
      <c r="S151" s="15">
        <f>_xlfn.IFNA(IF(VLOOKUP($J151&amp;S$12,'Mapping A'!$A$6:$G$1011,7,0)=1,$L151,""),0)</f>
        <v>0</v>
      </c>
      <c r="T151" s="15">
        <f>_xlfn.IFNA(IF(VLOOKUP($J151&amp;T$14,'Mapping A'!$A$6:$G$1011,7,0)=1,$L151,""),0)</f>
        <v>0</v>
      </c>
      <c r="U151" s="15">
        <f>_xlfn.IFNA(IF(VLOOKUP($J151&amp;U$12,'Mapping A'!$A$6:$G$1011,7,0)=1,$L151,""),0)</f>
        <v>0</v>
      </c>
      <c r="V151" s="15">
        <f>_xlfn.IFNA(IF(VLOOKUP($J151&amp;V$12,'Mapping A'!$A$6:$G$1011,7,0)=1,$L151,""),0)</f>
        <v>0</v>
      </c>
      <c r="W151" s="15">
        <f>_xlfn.IFNA(IF(VLOOKUP($J151&amp;W$12,'Mapping A'!$A$6:$G$1011,7,0)=1,$L151,""),0)</f>
        <v>0</v>
      </c>
      <c r="X151" s="15">
        <f>_xlfn.IFNA(IF(VLOOKUP($J151&amp;X$12,'Mapping A'!$A$6:$G$1011,7,0)=1,$L151,""),0)</f>
        <v>0</v>
      </c>
      <c r="Y151" s="15">
        <f>_xlfn.IFNA(IF(VLOOKUP($J151&amp;Y$12,'Mapping A'!$A$6:$G$1011,7,0)=1,$L151,""),0)</f>
        <v>0</v>
      </c>
      <c r="Z151" s="15">
        <f>_xlfn.IFNA(IF(VLOOKUP($J151&amp;Z$12,'Mapping A'!$A$6:$G$1011,7,0)=1,$L151,""),0)</f>
        <v>0</v>
      </c>
      <c r="AA151" s="15">
        <f>_xlfn.IFNA(IF(VLOOKUP($J151&amp;AA$12,'Mapping A'!$A$6:$G$1011,7,0)=1,$L151,""),0)</f>
        <v>0</v>
      </c>
      <c r="AF151" s="155" t="str">
        <f t="shared" si="49"/>
        <v>NPL0331Other</v>
      </c>
      <c r="AG151" s="15" t="s">
        <v>279</v>
      </c>
      <c r="AH151" s="190" t="s">
        <v>53</v>
      </c>
      <c r="AI151" s="190">
        <f t="shared" ref="AI151:AI214" si="60">BH156</f>
        <v>0</v>
      </c>
      <c r="AJ151" s="292" t="s">
        <v>95</v>
      </c>
      <c r="AK151" s="15"/>
      <c r="AL151" s="15">
        <f t="shared" ca="1" si="54"/>
        <v>0</v>
      </c>
      <c r="AM151" s="15">
        <f t="shared" ca="1" si="55"/>
        <v>0</v>
      </c>
      <c r="AN151" s="15">
        <f t="shared" ca="1" si="56"/>
        <v>0</v>
      </c>
      <c r="AO151" s="15">
        <f t="shared" ca="1" si="57"/>
        <v>0</v>
      </c>
      <c r="AP151" s="15"/>
      <c r="AQ151" s="15">
        <f t="shared" ca="1" si="58"/>
        <v>0</v>
      </c>
      <c r="AR151" s="20">
        <f t="shared" ref="AR151:AR214" ca="1" si="61">U$13*U$7*U151/U$21</f>
        <v>0</v>
      </c>
      <c r="AS151" s="20"/>
      <c r="AT151" s="20">
        <f t="shared" ref="AT151:AT214" ca="1" si="62">W$13*W$7*W151/W$21</f>
        <v>0</v>
      </c>
      <c r="AU151" s="20">
        <f t="shared" ref="AU151:AU214" ca="1" si="63">X$13*X$7*X151/X$21</f>
        <v>0</v>
      </c>
      <c r="AV151" s="20">
        <f t="shared" ref="AV151:AV214" ca="1" si="64">Y$13*Y$7*Y151/Y$21</f>
        <v>0</v>
      </c>
      <c r="AW151" s="20">
        <f t="shared" ref="AW151:AW214" si="65">Z$13*Z$7*Z151/Z$21</f>
        <v>0</v>
      </c>
      <c r="AX151" s="20">
        <f t="shared" ref="AX151:AX214" si="66">AA$13*AA$7*AA151/AA$21</f>
        <v>0</v>
      </c>
      <c r="BA151" s="20"/>
      <c r="BD151" s="94" t="str">
        <f t="shared" si="52"/>
        <v>MTR0331Powerco</v>
      </c>
      <c r="BF151" s="15" t="s">
        <v>28</v>
      </c>
      <c r="BG151" t="s">
        <v>271</v>
      </c>
      <c r="BH151" s="190">
        <v>7.1168999999999993</v>
      </c>
      <c r="BI151" s="190">
        <v>7.11100006103515</v>
      </c>
      <c r="BJ151" s="257">
        <f t="shared" si="53"/>
        <v>0.25277974316321461</v>
      </c>
      <c r="BK151" s="257">
        <f t="shared" si="50"/>
        <v>0.27710913320357816</v>
      </c>
      <c r="BL151" s="257">
        <f t="shared" si="51"/>
        <v>0.29332872656382047</v>
      </c>
      <c r="BM151" s="342" t="str">
        <f>VLOOKUP(LEFT(BG151,3),'Mapping B'!$D$2:$E$310,2,0)</f>
        <v>N</v>
      </c>
      <c r="BO151" s="20"/>
      <c r="BP151" s="190"/>
      <c r="BQ151" s="20"/>
      <c r="BR151" s="20"/>
    </row>
    <row r="152" spans="2:70" x14ac:dyDescent="0.25">
      <c r="B152" s="98" t="s">
        <v>552</v>
      </c>
      <c r="C152" s="98">
        <v>2014</v>
      </c>
      <c r="D152" s="98" t="s">
        <v>387</v>
      </c>
      <c r="E152" s="98" t="s">
        <v>4</v>
      </c>
      <c r="F152" s="98" t="s">
        <v>136</v>
      </c>
      <c r="G152" s="248">
        <v>0</v>
      </c>
      <c r="H152" s="299" t="str">
        <f>VLOOKUP(LEFT('Rev Adequacy'!D152,3),'Mapping B'!$D$2:$E$400,2,0)</f>
        <v>N</v>
      </c>
      <c r="I152" s="190"/>
      <c r="J152" s="15" t="s">
        <v>279</v>
      </c>
      <c r="K152" s="190" t="s">
        <v>28</v>
      </c>
      <c r="L152" s="190">
        <f t="shared" si="59"/>
        <v>20.411999999999999</v>
      </c>
      <c r="O152" s="15">
        <f>_xlfn.IFNA(IF(VLOOKUP($J152&amp;O$12,'Mapping A'!$A$6:$G$1011,7,0)=1,$L152,""),0)</f>
        <v>0</v>
      </c>
      <c r="P152" s="15">
        <f>_xlfn.IFNA(IF(VLOOKUP($J152&amp;P$12,'Mapping A'!$A$6:$G$1011,7,0)=1,$L152,""),0)</f>
        <v>20.411999999999999</v>
      </c>
      <c r="Q152" s="15">
        <f>_xlfn.IFNA(IF(VLOOKUP($J152&amp;Q$12,'Mapping A'!$A$6:$G$1011,7,0)=1,$L152,""),0)</f>
        <v>20.411999999999999</v>
      </c>
      <c r="R152" s="15">
        <f>_xlfn.IFNA(IF(VLOOKUP($J152&amp;R$12,'Mapping A'!$A$6:$G$1011,7,0)=1,$L152,""),0)</f>
        <v>0</v>
      </c>
      <c r="S152" s="15">
        <f>_xlfn.IFNA(IF(VLOOKUP($J152&amp;S$12,'Mapping A'!$A$6:$G$1011,7,0)=1,$L152,""),0)</f>
        <v>0</v>
      </c>
      <c r="T152" s="15">
        <f>_xlfn.IFNA(IF(VLOOKUP($J152&amp;T$14,'Mapping A'!$A$6:$G$1011,7,0)=1,$L152,""),0)</f>
        <v>0</v>
      </c>
      <c r="U152" s="15">
        <f>_xlfn.IFNA(IF(VLOOKUP($J152&amp;U$12,'Mapping A'!$A$6:$G$1011,7,0)=1,$L152,""),0)</f>
        <v>0</v>
      </c>
      <c r="V152" s="15">
        <f>_xlfn.IFNA(IF(VLOOKUP($J152&amp;V$12,'Mapping A'!$A$6:$G$1011,7,0)=1,$L152,""),0)</f>
        <v>0</v>
      </c>
      <c r="W152" s="15">
        <f>_xlfn.IFNA(IF(VLOOKUP($J152&amp;W$12,'Mapping A'!$A$6:$G$1011,7,0)=1,$L152,""),0)</f>
        <v>0</v>
      </c>
      <c r="X152" s="15">
        <f>_xlfn.IFNA(IF(VLOOKUP($J152&amp;X$12,'Mapping A'!$A$6:$G$1011,7,0)=1,$L152,""),0)</f>
        <v>0</v>
      </c>
      <c r="Y152" s="15">
        <f>_xlfn.IFNA(IF(VLOOKUP($J152&amp;Y$12,'Mapping A'!$A$6:$G$1011,7,0)=1,$L152,""),0)</f>
        <v>0</v>
      </c>
      <c r="Z152" s="15">
        <f>_xlfn.IFNA(IF(VLOOKUP($J152&amp;Z$12,'Mapping A'!$A$6:$G$1011,7,0)=1,$L152,""),0)</f>
        <v>0</v>
      </c>
      <c r="AA152" s="15">
        <f>_xlfn.IFNA(IF(VLOOKUP($J152&amp;AA$12,'Mapping A'!$A$6:$G$1011,7,0)=1,$L152,""),0)</f>
        <v>0</v>
      </c>
      <c r="AF152" s="155" t="str">
        <f t="shared" ref="AF152:AF215" si="67">AG152&amp;AH152</f>
        <v>NPL0331Powerco</v>
      </c>
      <c r="AG152" s="15" t="s">
        <v>279</v>
      </c>
      <c r="AH152" s="190" t="s">
        <v>28</v>
      </c>
      <c r="AI152" s="190">
        <f t="shared" si="60"/>
        <v>20.411999999999999</v>
      </c>
      <c r="AJ152" s="292" t="s">
        <v>95</v>
      </c>
      <c r="AK152" s="15"/>
      <c r="AL152" s="15">
        <f t="shared" ca="1" si="54"/>
        <v>0</v>
      </c>
      <c r="AM152" s="15">
        <f t="shared" ca="1" si="55"/>
        <v>0</v>
      </c>
      <c r="AN152" s="15">
        <f t="shared" ca="1" si="56"/>
        <v>0</v>
      </c>
      <c r="AO152" s="15">
        <f t="shared" ca="1" si="57"/>
        <v>0</v>
      </c>
      <c r="AP152" s="15"/>
      <c r="AQ152" s="15">
        <f t="shared" ca="1" si="58"/>
        <v>0</v>
      </c>
      <c r="AR152" s="20">
        <f t="shared" ca="1" si="61"/>
        <v>0</v>
      </c>
      <c r="AS152" s="20"/>
      <c r="AT152" s="20">
        <f t="shared" ca="1" si="62"/>
        <v>0</v>
      </c>
      <c r="AU152" s="20">
        <f t="shared" ca="1" si="63"/>
        <v>0</v>
      </c>
      <c r="AV152" s="20">
        <f t="shared" ca="1" si="64"/>
        <v>0</v>
      </c>
      <c r="AW152" s="20">
        <f t="shared" si="65"/>
        <v>0</v>
      </c>
      <c r="AX152" s="20">
        <f t="shared" si="66"/>
        <v>0</v>
      </c>
      <c r="BA152" s="95"/>
      <c r="BD152" s="94" t="str">
        <f t="shared" si="52"/>
        <v>NAP2201Other</v>
      </c>
      <c r="BF152" s="15" t="s">
        <v>53</v>
      </c>
      <c r="BG152" t="s">
        <v>272</v>
      </c>
      <c r="BH152" s="190"/>
      <c r="BI152" s="190">
        <v>5.1950001716613698</v>
      </c>
      <c r="BJ152" s="257">
        <f t="shared" si="53"/>
        <v>0</v>
      </c>
      <c r="BK152" s="257">
        <f t="shared" si="50"/>
        <v>0</v>
      </c>
      <c r="BL152" s="257">
        <f t="shared" si="51"/>
        <v>0</v>
      </c>
      <c r="BM152" s="342" t="str">
        <f>VLOOKUP(LEFT(BG152,3),'Mapping B'!$D$2:$E$310,2,0)</f>
        <v>N</v>
      </c>
      <c r="BO152" s="20"/>
      <c r="BP152" s="190"/>
      <c r="BQ152" s="20"/>
      <c r="BR152" s="20"/>
    </row>
    <row r="153" spans="2:70" x14ac:dyDescent="0.25">
      <c r="B153" s="98" t="s">
        <v>552</v>
      </c>
      <c r="C153" s="98">
        <v>2014</v>
      </c>
      <c r="D153" s="98" t="s">
        <v>388</v>
      </c>
      <c r="E153" s="98" t="s">
        <v>4</v>
      </c>
      <c r="F153" s="98" t="s">
        <v>136</v>
      </c>
      <c r="G153" s="248">
        <v>0</v>
      </c>
      <c r="H153" s="299" t="str">
        <f>VLOOKUP(LEFT('Rev Adequacy'!D153,3),'Mapping B'!$D$2:$E$400,2,0)</f>
        <v>N</v>
      </c>
      <c r="I153" s="190"/>
      <c r="J153" s="15" t="s">
        <v>280</v>
      </c>
      <c r="K153" s="190" t="s">
        <v>103</v>
      </c>
      <c r="L153" s="190">
        <f t="shared" si="59"/>
        <v>33.429900000000004</v>
      </c>
      <c r="O153" s="15">
        <f>_xlfn.IFNA(IF(VLOOKUP($J153&amp;O$12,'Mapping A'!$A$6:$G$1011,7,0)=1,$L153,""),0)</f>
        <v>0</v>
      </c>
      <c r="P153" s="15">
        <f>_xlfn.IFNA(IF(VLOOKUP($J153&amp;P$12,'Mapping A'!$A$6:$G$1011,7,0)=1,$L153,""),0)</f>
        <v>33.429900000000004</v>
      </c>
      <c r="Q153" s="15">
        <f>_xlfn.IFNA(IF(VLOOKUP($J153&amp;Q$12,'Mapping A'!$A$6:$G$1011,7,0)=1,$L153,""),0)</f>
        <v>0</v>
      </c>
      <c r="R153" s="15">
        <f>_xlfn.IFNA(IF(VLOOKUP($J153&amp;R$12,'Mapping A'!$A$6:$G$1011,7,0)=1,$L153,""),0)</f>
        <v>0</v>
      </c>
      <c r="S153" s="15">
        <f>_xlfn.IFNA(IF(VLOOKUP($J153&amp;S$12,'Mapping A'!$A$6:$G$1011,7,0)=1,$L153,""),0)</f>
        <v>0</v>
      </c>
      <c r="T153" s="15">
        <f>_xlfn.IFNA(IF(VLOOKUP($J153&amp;T$14,'Mapping A'!$A$6:$G$1011,7,0)=1,$L153,""),0)</f>
        <v>0</v>
      </c>
      <c r="U153" s="15">
        <f>_xlfn.IFNA(IF(VLOOKUP($J153&amp;U$12,'Mapping A'!$A$6:$G$1011,7,0)=1,$L153,""),0)</f>
        <v>0</v>
      </c>
      <c r="V153" s="15">
        <f>_xlfn.IFNA(IF(VLOOKUP($J153&amp;V$12,'Mapping A'!$A$6:$G$1011,7,0)=1,$L153,""),0)</f>
        <v>0</v>
      </c>
      <c r="W153" s="15">
        <f>_xlfn.IFNA(IF(VLOOKUP($J153&amp;W$12,'Mapping A'!$A$6:$G$1011,7,0)=1,$L153,""),0)</f>
        <v>0</v>
      </c>
      <c r="X153" s="15">
        <f>_xlfn.IFNA(IF(VLOOKUP($J153&amp;X$12,'Mapping A'!$A$6:$G$1011,7,0)=1,$L153,""),0)</f>
        <v>0</v>
      </c>
      <c r="Y153" s="15">
        <f>_xlfn.IFNA(IF(VLOOKUP($J153&amp;Y$12,'Mapping A'!$A$6:$G$1011,7,0)=1,$L153,""),0)</f>
        <v>0</v>
      </c>
      <c r="Z153" s="15">
        <f>_xlfn.IFNA(IF(VLOOKUP($J153&amp;Z$12,'Mapping A'!$A$6:$G$1011,7,0)=1,$L153,""),0)</f>
        <v>0</v>
      </c>
      <c r="AA153" s="15">
        <f>_xlfn.IFNA(IF(VLOOKUP($J153&amp;AA$12,'Mapping A'!$A$6:$G$1011,7,0)=1,$L153,""),0)</f>
        <v>0</v>
      </c>
      <c r="AF153" s="155" t="str">
        <f t="shared" si="67"/>
        <v>NSY0331OtagoNet JV</v>
      </c>
      <c r="AG153" s="15" t="s">
        <v>280</v>
      </c>
      <c r="AH153" s="190" t="s">
        <v>103</v>
      </c>
      <c r="AI153" s="190">
        <f t="shared" si="60"/>
        <v>33.429900000000004</v>
      </c>
      <c r="AJ153" s="292" t="s">
        <v>96</v>
      </c>
      <c r="AK153" s="15"/>
      <c r="AL153" s="15">
        <f t="shared" ca="1" si="54"/>
        <v>0</v>
      </c>
      <c r="AM153" s="15">
        <f t="shared" ca="1" si="55"/>
        <v>0</v>
      </c>
      <c r="AN153" s="15">
        <f t="shared" ca="1" si="56"/>
        <v>0</v>
      </c>
      <c r="AO153" s="15">
        <f t="shared" ca="1" si="57"/>
        <v>0</v>
      </c>
      <c r="AP153" s="15"/>
      <c r="AQ153" s="15">
        <f t="shared" ca="1" si="58"/>
        <v>0</v>
      </c>
      <c r="AR153" s="20">
        <f t="shared" ca="1" si="61"/>
        <v>0</v>
      </c>
      <c r="AS153" s="20"/>
      <c r="AT153" s="20">
        <f t="shared" ca="1" si="62"/>
        <v>0</v>
      </c>
      <c r="AU153" s="20">
        <f t="shared" ca="1" si="63"/>
        <v>0</v>
      </c>
      <c r="AV153" s="20">
        <f t="shared" ca="1" si="64"/>
        <v>0</v>
      </c>
      <c r="AW153" s="20">
        <f t="shared" si="65"/>
        <v>0</v>
      </c>
      <c r="AX153" s="20">
        <f t="shared" si="66"/>
        <v>0</v>
      </c>
      <c r="BA153" s="20"/>
      <c r="BD153" s="94" t="str">
        <f t="shared" si="52"/>
        <v>NAP2202MRP</v>
      </c>
      <c r="BF153" s="15" t="s">
        <v>17</v>
      </c>
      <c r="BG153" t="s">
        <v>274</v>
      </c>
      <c r="BH153" s="190">
        <v>14.464799999999999</v>
      </c>
      <c r="BI153" s="190">
        <v>0.75800001621246305</v>
      </c>
      <c r="BJ153" s="257">
        <f t="shared" si="53"/>
        <v>0.51376419914671656</v>
      </c>
      <c r="BK153" s="257">
        <f t="shared" si="50"/>
        <v>0.56321266140638726</v>
      </c>
      <c r="BL153" s="257">
        <f t="shared" si="51"/>
        <v>0.59617830291283425</v>
      </c>
      <c r="BM153" s="342" t="str">
        <f>VLOOKUP(LEFT(BG153,3),'Mapping B'!$D$2:$E$310,2,0)</f>
        <v>N</v>
      </c>
      <c r="BO153" s="20"/>
      <c r="BP153" s="190"/>
      <c r="BQ153" s="20"/>
      <c r="BR153" s="20"/>
    </row>
    <row r="154" spans="2:70" x14ac:dyDescent="0.25">
      <c r="B154" s="98" t="s">
        <v>553</v>
      </c>
      <c r="C154" s="98">
        <v>2014</v>
      </c>
      <c r="D154" s="98" t="s">
        <v>177</v>
      </c>
      <c r="E154" s="98" t="s">
        <v>4</v>
      </c>
      <c r="F154" s="98" t="s">
        <v>131</v>
      </c>
      <c r="G154" s="248">
        <v>3.4412510897994699</v>
      </c>
      <c r="H154" s="299" t="str">
        <f>VLOOKUP(LEFT('Rev Adequacy'!D154,3),'Mapping B'!$D$2:$E$400,2,0)</f>
        <v>S</v>
      </c>
      <c r="I154" s="190"/>
      <c r="J154" s="15" t="s">
        <v>282</v>
      </c>
      <c r="K154" s="190" t="s">
        <v>20</v>
      </c>
      <c r="L154" s="190">
        <f t="shared" si="59"/>
        <v>43.243199999999995</v>
      </c>
      <c r="O154" s="15">
        <f>_xlfn.IFNA(IF(VLOOKUP($J154&amp;O$12,'Mapping A'!$A$6:$G$1011,7,0)=1,$L154,""),0)</f>
        <v>0</v>
      </c>
      <c r="P154" s="15">
        <f>_xlfn.IFNA(IF(VLOOKUP($J154&amp;P$12,'Mapping A'!$A$6:$G$1011,7,0)=1,$L154,""),0)</f>
        <v>43.243199999999995</v>
      </c>
      <c r="Q154" s="15">
        <f>_xlfn.IFNA(IF(VLOOKUP($J154&amp;Q$12,'Mapping A'!$A$6:$G$1011,7,0)=1,$L154,""),0)</f>
        <v>0</v>
      </c>
      <c r="R154" s="15">
        <f>_xlfn.IFNA(IF(VLOOKUP($J154&amp;R$12,'Mapping A'!$A$6:$G$1011,7,0)=1,$L154,""),0)</f>
        <v>0</v>
      </c>
      <c r="S154" s="15">
        <f>_xlfn.IFNA(IF(VLOOKUP($J154&amp;S$12,'Mapping A'!$A$6:$G$1011,7,0)=1,$L154,""),0)</f>
        <v>0</v>
      </c>
      <c r="T154" s="15">
        <f>_xlfn.IFNA(IF(VLOOKUP($J154&amp;T$14,'Mapping A'!$A$6:$G$1011,7,0)=1,$L154,""),0)</f>
        <v>0</v>
      </c>
      <c r="U154" s="15">
        <f>_xlfn.IFNA(IF(VLOOKUP($J154&amp;U$12,'Mapping A'!$A$6:$G$1011,7,0)=1,$L154,""),0)</f>
        <v>0</v>
      </c>
      <c r="V154" s="15">
        <f>_xlfn.IFNA(IF(VLOOKUP($J154&amp;V$12,'Mapping A'!$A$6:$G$1011,7,0)=1,$L154,""),0)</f>
        <v>0</v>
      </c>
      <c r="W154" s="15">
        <f>_xlfn.IFNA(IF(VLOOKUP($J154&amp;W$12,'Mapping A'!$A$6:$G$1011,7,0)=1,$L154,""),0)</f>
        <v>0</v>
      </c>
      <c r="X154" s="15">
        <f>_xlfn.IFNA(IF(VLOOKUP($J154&amp;X$12,'Mapping A'!$A$6:$G$1011,7,0)=1,$L154,""),0)</f>
        <v>0</v>
      </c>
      <c r="Y154" s="15">
        <f>_xlfn.IFNA(IF(VLOOKUP($J154&amp;Y$12,'Mapping A'!$A$6:$G$1011,7,0)=1,$L154,""),0)</f>
        <v>0</v>
      </c>
      <c r="Z154" s="15">
        <f>_xlfn.IFNA(IF(VLOOKUP($J154&amp;Z$12,'Mapping A'!$A$6:$G$1011,7,0)=1,$L154,""),0)</f>
        <v>0</v>
      </c>
      <c r="AA154" s="15">
        <f>_xlfn.IFNA(IF(VLOOKUP($J154&amp;AA$12,'Mapping A'!$A$6:$G$1011,7,0)=1,$L154,""),0)</f>
        <v>0</v>
      </c>
      <c r="AF154" s="155" t="str">
        <f t="shared" si="67"/>
        <v>OAM0331Network Waitaki</v>
      </c>
      <c r="AG154" s="15" t="s">
        <v>282</v>
      </c>
      <c r="AH154" s="190" t="s">
        <v>20</v>
      </c>
      <c r="AI154" s="190">
        <f t="shared" si="60"/>
        <v>43.243199999999995</v>
      </c>
      <c r="AJ154" s="292" t="s">
        <v>96</v>
      </c>
      <c r="AK154" s="15"/>
      <c r="AL154" s="15">
        <f t="shared" ca="1" si="54"/>
        <v>0</v>
      </c>
      <c r="AM154" s="15">
        <f t="shared" ca="1" si="55"/>
        <v>0</v>
      </c>
      <c r="AN154" s="15">
        <f t="shared" ca="1" si="56"/>
        <v>0</v>
      </c>
      <c r="AO154" s="15">
        <f t="shared" ca="1" si="57"/>
        <v>0</v>
      </c>
      <c r="AP154" s="15"/>
      <c r="AQ154" s="15">
        <f t="shared" ca="1" si="58"/>
        <v>0</v>
      </c>
      <c r="AR154" s="20">
        <f t="shared" ca="1" si="61"/>
        <v>0</v>
      </c>
      <c r="AS154" s="20"/>
      <c r="AT154" s="20">
        <f t="shared" ca="1" si="62"/>
        <v>0</v>
      </c>
      <c r="AU154" s="20">
        <f t="shared" ca="1" si="63"/>
        <v>0</v>
      </c>
      <c r="AV154" s="20">
        <f t="shared" ca="1" si="64"/>
        <v>0</v>
      </c>
      <c r="AW154" s="20">
        <f t="shared" si="65"/>
        <v>0</v>
      </c>
      <c r="AX154" s="20">
        <f t="shared" si="66"/>
        <v>0</v>
      </c>
      <c r="BA154" s="20"/>
      <c r="BC154" s="190" t="s">
        <v>48</v>
      </c>
      <c r="BD154" s="94" t="str">
        <f t="shared" si="52"/>
        <v>NMA0331The Power Company</v>
      </c>
      <c r="BF154" s="15" t="s">
        <v>105</v>
      </c>
      <c r="BG154" t="s">
        <v>276</v>
      </c>
      <c r="BH154" s="190">
        <v>60.620699999999999</v>
      </c>
      <c r="BI154" s="190" t="e">
        <v>#N/A</v>
      </c>
      <c r="BJ154" s="257">
        <f t="shared" si="53"/>
        <v>2.1531404089384827</v>
      </c>
      <c r="BK154" s="257">
        <f t="shared" si="50"/>
        <v>2.3603745494799915</v>
      </c>
      <c r="BL154" s="257">
        <f t="shared" si="51"/>
        <v>2.4985306431743304</v>
      </c>
      <c r="BM154" s="342" t="str">
        <f>VLOOKUP(LEFT(BG154,3),'Mapping B'!$D$2:$E$310,2,0)</f>
        <v>S</v>
      </c>
      <c r="BO154" s="20"/>
      <c r="BP154" s="190"/>
      <c r="BQ154" s="20"/>
      <c r="BR154" s="20"/>
    </row>
    <row r="155" spans="2:70" x14ac:dyDescent="0.25">
      <c r="B155" s="98" t="s">
        <v>553</v>
      </c>
      <c r="C155" s="98">
        <v>2014</v>
      </c>
      <c r="D155" s="98" t="s">
        <v>178</v>
      </c>
      <c r="E155" s="98" t="s">
        <v>4</v>
      </c>
      <c r="F155" s="98" t="s">
        <v>131</v>
      </c>
      <c r="G155" s="248">
        <v>5.7499999999999902</v>
      </c>
      <c r="H155" s="299" t="str">
        <f>VLOOKUP(LEFT('Rev Adequacy'!D155,3),'Mapping B'!$D$2:$E$400,2,0)</f>
        <v>S</v>
      </c>
      <c r="I155" s="190"/>
      <c r="J155" s="15" t="s">
        <v>924</v>
      </c>
      <c r="K155" s="190" t="s">
        <v>14</v>
      </c>
      <c r="L155" s="190">
        <f t="shared" si="59"/>
        <v>4.7166000000000006</v>
      </c>
      <c r="O155" s="15">
        <f>_xlfn.IFNA(IF(VLOOKUP($J155&amp;O$12,'Mapping A'!$A$6:$G$1011,7,0)=1,$L155,""),0)</f>
        <v>0</v>
      </c>
      <c r="P155" s="15">
        <f>_xlfn.IFNA(IF(VLOOKUP($J155&amp;P$12,'Mapping A'!$A$6:$G$1011,7,0)=1,$L155,""),0)</f>
        <v>0</v>
      </c>
      <c r="Q155" s="15">
        <f>_xlfn.IFNA(IF(VLOOKUP($J155&amp;Q$12,'Mapping A'!$A$6:$G$1011,7,0)=1,$L155,""),0)</f>
        <v>0</v>
      </c>
      <c r="R155" s="15">
        <f>_xlfn.IFNA(IF(VLOOKUP($J155&amp;R$12,'Mapping A'!$A$6:$G$1011,7,0)=1,$L155,""),0)</f>
        <v>0</v>
      </c>
      <c r="S155" s="15">
        <f>_xlfn.IFNA(IF(VLOOKUP($J155&amp;S$12,'Mapping A'!$A$6:$G$1011,7,0)=1,$L155,""),0)</f>
        <v>0</v>
      </c>
      <c r="T155" s="15">
        <f>_xlfn.IFNA(IF(VLOOKUP($J155&amp;T$14,'Mapping A'!$A$6:$G$1011,7,0)=1,$L155,""),0)</f>
        <v>0</v>
      </c>
      <c r="U155" s="15">
        <f>_xlfn.IFNA(IF(VLOOKUP($J155&amp;U$12,'Mapping A'!$A$6:$G$1011,7,0)=1,$L155,""),0)</f>
        <v>0</v>
      </c>
      <c r="V155" s="15">
        <f>_xlfn.IFNA(IF(VLOOKUP($J155&amp;V$12,'Mapping A'!$A$6:$G$1011,7,0)=1,$L155,""),0)</f>
        <v>0</v>
      </c>
      <c r="W155" s="15">
        <f>_xlfn.IFNA(IF(VLOOKUP($J155&amp;W$12,'Mapping A'!$A$6:$G$1011,7,0)=1,$L155,""),0)</f>
        <v>0</v>
      </c>
      <c r="X155" s="15">
        <f>_xlfn.IFNA(IF(VLOOKUP($J155&amp;X$12,'Mapping A'!$A$6:$G$1011,7,0)=1,$L155,""),0)</f>
        <v>0</v>
      </c>
      <c r="Y155" s="15">
        <f>_xlfn.IFNA(IF(VLOOKUP($J155&amp;Y$12,'Mapping A'!$A$6:$G$1011,7,0)=1,$L155,""),0)</f>
        <v>0</v>
      </c>
      <c r="Z155" s="15">
        <f>_xlfn.IFNA(IF(VLOOKUP($J155&amp;Z$12,'Mapping A'!$A$6:$G$1011,7,0)=1,$L155,""),0)</f>
        <v>0</v>
      </c>
      <c r="AA155" s="15">
        <f>_xlfn.IFNA(IF(VLOOKUP($J155&amp;AA$12,'Mapping A'!$A$6:$G$1011,7,0)=1,$L155,""),0)</f>
        <v>0</v>
      </c>
      <c r="AF155" s="155" t="str">
        <f t="shared" si="67"/>
        <v>OHA2201Meridian</v>
      </c>
      <c r="AG155" s="15" t="s">
        <v>924</v>
      </c>
      <c r="AH155" s="190" t="s">
        <v>14</v>
      </c>
      <c r="AI155" s="190">
        <f t="shared" si="60"/>
        <v>4.7166000000000006</v>
      </c>
      <c r="AJ155" s="292" t="s">
        <v>96</v>
      </c>
      <c r="AK155" s="15"/>
      <c r="AL155" s="15">
        <f t="shared" ca="1" si="54"/>
        <v>0</v>
      </c>
      <c r="AM155" s="15">
        <f t="shared" ca="1" si="55"/>
        <v>0</v>
      </c>
      <c r="AN155" s="15">
        <f t="shared" ca="1" si="56"/>
        <v>0</v>
      </c>
      <c r="AO155" s="15">
        <f t="shared" ca="1" si="57"/>
        <v>0</v>
      </c>
      <c r="AP155" s="15"/>
      <c r="AQ155" s="15">
        <f t="shared" ca="1" si="58"/>
        <v>0</v>
      </c>
      <c r="AR155" s="20">
        <f t="shared" ca="1" si="61"/>
        <v>0</v>
      </c>
      <c r="AS155" s="20"/>
      <c r="AT155" s="20">
        <f t="shared" ca="1" si="62"/>
        <v>0</v>
      </c>
      <c r="AU155" s="20">
        <f t="shared" ca="1" si="63"/>
        <v>0</v>
      </c>
      <c r="AV155" s="20">
        <f t="shared" ca="1" si="64"/>
        <v>0</v>
      </c>
      <c r="AW155" s="20">
        <f t="shared" si="65"/>
        <v>0</v>
      </c>
      <c r="AX155" s="20">
        <f t="shared" si="66"/>
        <v>0</v>
      </c>
      <c r="BA155" s="95"/>
      <c r="BD155" s="94" t="str">
        <f t="shared" si="52"/>
        <v>NPK0331The Lines Company</v>
      </c>
      <c r="BF155" s="15" t="s">
        <v>32</v>
      </c>
      <c r="BG155" t="s">
        <v>278</v>
      </c>
      <c r="BH155" s="190">
        <v>6.7116000000000007</v>
      </c>
      <c r="BI155" s="190">
        <v>6.7119998931884703</v>
      </c>
      <c r="BJ155" s="257">
        <f t="shared" si="53"/>
        <v>0.23838420157852883</v>
      </c>
      <c r="BK155" s="257">
        <f t="shared" ref="BK155:BK218" si="68">($BH$17-$BH$19+$BK$25)*BH155/$BH$18</f>
        <v>0.26132805834129119</v>
      </c>
      <c r="BL155" s="257">
        <f t="shared" ref="BL155:BL218" si="69">($BH$17-$BH$19+$BL$25)*BH155/$BH$18</f>
        <v>0.27662396284979945</v>
      </c>
      <c r="BM155" s="342" t="str">
        <f>VLOOKUP(LEFT(BG155,3),'Mapping B'!$D$2:$E$310,2,0)</f>
        <v>N</v>
      </c>
      <c r="BO155" s="20"/>
      <c r="BP155" s="190"/>
      <c r="BQ155" s="20"/>
      <c r="BR155" s="20"/>
    </row>
    <row r="156" spans="2:70" x14ac:dyDescent="0.25">
      <c r="B156" s="98" t="s">
        <v>553</v>
      </c>
      <c r="C156" s="98">
        <v>2014</v>
      </c>
      <c r="D156" s="98" t="s">
        <v>179</v>
      </c>
      <c r="E156" s="98" t="s">
        <v>4</v>
      </c>
      <c r="F156" s="98" t="s">
        <v>136</v>
      </c>
      <c r="G156" s="248">
        <v>0</v>
      </c>
      <c r="H156" s="299" t="str">
        <f>VLOOKUP(LEFT('Rev Adequacy'!D156,3),'Mapping B'!$D$2:$E$400,2,0)</f>
        <v>S</v>
      </c>
      <c r="I156" s="190"/>
      <c r="J156" s="15" t="s">
        <v>925</v>
      </c>
      <c r="K156" s="190" t="s">
        <v>14</v>
      </c>
      <c r="L156" s="190">
        <f t="shared" si="59"/>
        <v>4.1601000000000008</v>
      </c>
      <c r="O156" s="15">
        <f>_xlfn.IFNA(IF(VLOOKUP($J156&amp;O$12,'Mapping A'!$A$6:$G$1011,7,0)=1,$L156,""),0)</f>
        <v>0</v>
      </c>
      <c r="P156" s="15">
        <f>_xlfn.IFNA(IF(VLOOKUP($J156&amp;P$12,'Mapping A'!$A$6:$G$1011,7,0)=1,$L156,""),0)</f>
        <v>0</v>
      </c>
      <c r="Q156" s="15">
        <f>_xlfn.IFNA(IF(VLOOKUP($J156&amp;Q$12,'Mapping A'!$A$6:$G$1011,7,0)=1,$L156,""),0)</f>
        <v>0</v>
      </c>
      <c r="R156" s="15">
        <f>_xlfn.IFNA(IF(VLOOKUP($J156&amp;R$12,'Mapping A'!$A$6:$G$1011,7,0)=1,$L156,""),0)</f>
        <v>0</v>
      </c>
      <c r="S156" s="15">
        <f>_xlfn.IFNA(IF(VLOOKUP($J156&amp;S$12,'Mapping A'!$A$6:$G$1011,7,0)=1,$L156,""),0)</f>
        <v>0</v>
      </c>
      <c r="T156" s="15">
        <f>_xlfn.IFNA(IF(VLOOKUP($J156&amp;T$14,'Mapping A'!$A$6:$G$1011,7,0)=1,$L156,""),0)</f>
        <v>0</v>
      </c>
      <c r="U156" s="15">
        <f>_xlfn.IFNA(IF(VLOOKUP($J156&amp;U$12,'Mapping A'!$A$6:$G$1011,7,0)=1,$L156,""),0)</f>
        <v>0</v>
      </c>
      <c r="V156" s="15">
        <f>_xlfn.IFNA(IF(VLOOKUP($J156&amp;V$12,'Mapping A'!$A$6:$G$1011,7,0)=1,$L156,""),0)</f>
        <v>0</v>
      </c>
      <c r="W156" s="15">
        <f>_xlfn.IFNA(IF(VLOOKUP($J156&amp;W$12,'Mapping A'!$A$6:$G$1011,7,0)=1,$L156,""),0)</f>
        <v>0</v>
      </c>
      <c r="X156" s="15">
        <f>_xlfn.IFNA(IF(VLOOKUP($J156&amp;X$12,'Mapping A'!$A$6:$G$1011,7,0)=1,$L156,""),0)</f>
        <v>0</v>
      </c>
      <c r="Y156" s="15">
        <f>_xlfn.IFNA(IF(VLOOKUP($J156&amp;Y$12,'Mapping A'!$A$6:$G$1011,7,0)=1,$L156,""),0)</f>
        <v>0</v>
      </c>
      <c r="Z156" s="15">
        <f>_xlfn.IFNA(IF(VLOOKUP($J156&amp;Z$12,'Mapping A'!$A$6:$G$1011,7,0)=1,$L156,""),0)</f>
        <v>0</v>
      </c>
      <c r="AA156" s="15">
        <f>_xlfn.IFNA(IF(VLOOKUP($J156&amp;AA$12,'Mapping A'!$A$6:$G$1011,7,0)=1,$L156,""),0)</f>
        <v>0</v>
      </c>
      <c r="AF156" s="155" t="str">
        <f t="shared" si="67"/>
        <v>OHB2201Meridian</v>
      </c>
      <c r="AG156" s="15" t="s">
        <v>925</v>
      </c>
      <c r="AH156" s="190" t="s">
        <v>14</v>
      </c>
      <c r="AI156" s="190">
        <f t="shared" si="60"/>
        <v>4.1601000000000008</v>
      </c>
      <c r="AJ156" s="292" t="s">
        <v>96</v>
      </c>
      <c r="AK156" s="15"/>
      <c r="AL156" s="15">
        <f t="shared" ca="1" si="54"/>
        <v>0</v>
      </c>
      <c r="AM156" s="15">
        <f t="shared" ca="1" si="55"/>
        <v>0</v>
      </c>
      <c r="AN156" s="15">
        <f t="shared" ca="1" si="56"/>
        <v>0</v>
      </c>
      <c r="AO156" s="15">
        <f t="shared" ca="1" si="57"/>
        <v>0</v>
      </c>
      <c r="AP156" s="15"/>
      <c r="AQ156" s="15">
        <f t="shared" ca="1" si="58"/>
        <v>0</v>
      </c>
      <c r="AR156" s="20">
        <f t="shared" ca="1" si="61"/>
        <v>0</v>
      </c>
      <c r="AS156" s="20"/>
      <c r="AT156" s="20">
        <f t="shared" ca="1" si="62"/>
        <v>0</v>
      </c>
      <c r="AU156" s="20">
        <f t="shared" ca="1" si="63"/>
        <v>0</v>
      </c>
      <c r="AV156" s="20">
        <f t="shared" ca="1" si="64"/>
        <v>0</v>
      </c>
      <c r="AW156" s="20">
        <f t="shared" si="65"/>
        <v>0</v>
      </c>
      <c r="AX156" s="20">
        <f t="shared" si="66"/>
        <v>0</v>
      </c>
      <c r="BA156" s="20"/>
      <c r="BD156" s="94" t="str">
        <f t="shared" si="52"/>
        <v>NPL0331Other</v>
      </c>
      <c r="BF156" s="15" t="s">
        <v>53</v>
      </c>
      <c r="BG156" t="s">
        <v>279</v>
      </c>
      <c r="BH156" s="190"/>
      <c r="BI156" s="190">
        <v>0.27716775592841197</v>
      </c>
      <c r="BJ156" s="257">
        <f t="shared" ref="BJ156:BJ219" si="70">($BH$17-$BH$19)*BH156/$BH$18</f>
        <v>0</v>
      </c>
      <c r="BK156" s="257">
        <f t="shared" si="68"/>
        <v>0</v>
      </c>
      <c r="BL156" s="257">
        <f t="shared" si="69"/>
        <v>0</v>
      </c>
      <c r="BM156" s="342" t="str">
        <f>VLOOKUP(LEFT(BG156,3),'Mapping B'!$D$2:$E$310,2,0)</f>
        <v>N</v>
      </c>
      <c r="BO156" s="20"/>
      <c r="BP156" s="190"/>
      <c r="BQ156" s="20"/>
      <c r="BR156" s="20"/>
    </row>
    <row r="157" spans="2:70" x14ac:dyDescent="0.25">
      <c r="B157" s="98" t="s">
        <v>553</v>
      </c>
      <c r="C157" s="98">
        <v>2014</v>
      </c>
      <c r="D157" s="98" t="s">
        <v>287</v>
      </c>
      <c r="E157" s="98" t="s">
        <v>4</v>
      </c>
      <c r="F157" s="98" t="s">
        <v>136</v>
      </c>
      <c r="G157" s="248">
        <v>0</v>
      </c>
      <c r="H157" s="299" t="str">
        <f>VLOOKUP(LEFT('Rev Adequacy'!D157,3),'Mapping B'!$D$2:$E$400,2,0)</f>
        <v>N</v>
      </c>
      <c r="I157" s="190"/>
      <c r="J157" s="15" t="s">
        <v>926</v>
      </c>
      <c r="K157" s="190" t="s">
        <v>14</v>
      </c>
      <c r="L157" s="190">
        <f t="shared" si="59"/>
        <v>3.9774000000000003</v>
      </c>
      <c r="O157" s="15">
        <f>_xlfn.IFNA(IF(VLOOKUP($J157&amp;O$12,'Mapping A'!$A$6:$G$1011,7,0)=1,$L157,""),0)</f>
        <v>0</v>
      </c>
      <c r="P157" s="15">
        <f>_xlfn.IFNA(IF(VLOOKUP($J157&amp;P$12,'Mapping A'!$A$6:$G$1011,7,0)=1,$L157,""),0)</f>
        <v>0</v>
      </c>
      <c r="Q157" s="15">
        <f>_xlfn.IFNA(IF(VLOOKUP($J157&amp;Q$12,'Mapping A'!$A$6:$G$1011,7,0)=1,$L157,""),0)</f>
        <v>0</v>
      </c>
      <c r="R157" s="15">
        <f>_xlfn.IFNA(IF(VLOOKUP($J157&amp;R$12,'Mapping A'!$A$6:$G$1011,7,0)=1,$L157,""),0)</f>
        <v>0</v>
      </c>
      <c r="S157" s="15">
        <f>_xlfn.IFNA(IF(VLOOKUP($J157&amp;S$12,'Mapping A'!$A$6:$G$1011,7,0)=1,$L157,""),0)</f>
        <v>0</v>
      </c>
      <c r="T157" s="15">
        <f>_xlfn.IFNA(IF(VLOOKUP($J157&amp;T$14,'Mapping A'!$A$6:$G$1011,7,0)=1,$L157,""),0)</f>
        <v>0</v>
      </c>
      <c r="U157" s="15">
        <f>_xlfn.IFNA(IF(VLOOKUP($J157&amp;U$12,'Mapping A'!$A$6:$G$1011,7,0)=1,$L157,""),0)</f>
        <v>0</v>
      </c>
      <c r="V157" s="15">
        <f>_xlfn.IFNA(IF(VLOOKUP($J157&amp;V$12,'Mapping A'!$A$6:$G$1011,7,0)=1,$L157,""),0)</f>
        <v>0</v>
      </c>
      <c r="W157" s="15">
        <f>_xlfn.IFNA(IF(VLOOKUP($J157&amp;W$12,'Mapping A'!$A$6:$G$1011,7,0)=1,$L157,""),0)</f>
        <v>0</v>
      </c>
      <c r="X157" s="15">
        <f>_xlfn.IFNA(IF(VLOOKUP($J157&amp;X$12,'Mapping A'!$A$6:$G$1011,7,0)=1,$L157,""),0)</f>
        <v>0</v>
      </c>
      <c r="Y157" s="15">
        <f>_xlfn.IFNA(IF(VLOOKUP($J157&amp;Y$12,'Mapping A'!$A$6:$G$1011,7,0)=1,$L157,""),0)</f>
        <v>0</v>
      </c>
      <c r="Z157" s="15">
        <f>_xlfn.IFNA(IF(VLOOKUP($J157&amp;Z$12,'Mapping A'!$A$6:$G$1011,7,0)=1,$L157,""),0)</f>
        <v>0</v>
      </c>
      <c r="AA157" s="15">
        <f>_xlfn.IFNA(IF(VLOOKUP($J157&amp;AA$12,'Mapping A'!$A$6:$G$1011,7,0)=1,$L157,""),0)</f>
        <v>0</v>
      </c>
      <c r="AF157" s="155" t="str">
        <f t="shared" si="67"/>
        <v>OHC2201Meridian</v>
      </c>
      <c r="AG157" s="15" t="s">
        <v>926</v>
      </c>
      <c r="AH157" s="190" t="s">
        <v>14</v>
      </c>
      <c r="AI157" s="190">
        <f t="shared" si="60"/>
        <v>3.9774000000000003</v>
      </c>
      <c r="AJ157" s="292" t="s">
        <v>96</v>
      </c>
      <c r="AK157" s="15"/>
      <c r="AL157" s="15">
        <f t="shared" ca="1" si="54"/>
        <v>0</v>
      </c>
      <c r="AM157" s="15">
        <f t="shared" ca="1" si="55"/>
        <v>0</v>
      </c>
      <c r="AN157" s="15">
        <f t="shared" ca="1" si="56"/>
        <v>0</v>
      </c>
      <c r="AO157" s="15">
        <f t="shared" ca="1" si="57"/>
        <v>0</v>
      </c>
      <c r="AP157" s="15"/>
      <c r="AQ157" s="15">
        <f t="shared" ca="1" si="58"/>
        <v>0</v>
      </c>
      <c r="AR157" s="20">
        <f t="shared" ca="1" si="61"/>
        <v>0</v>
      </c>
      <c r="AS157" s="20"/>
      <c r="AT157" s="20">
        <f t="shared" ca="1" si="62"/>
        <v>0</v>
      </c>
      <c r="AU157" s="20">
        <f t="shared" ca="1" si="63"/>
        <v>0</v>
      </c>
      <c r="AV157" s="20">
        <f t="shared" ca="1" si="64"/>
        <v>0</v>
      </c>
      <c r="AW157" s="20">
        <f t="shared" si="65"/>
        <v>0</v>
      </c>
      <c r="AX157" s="20">
        <f t="shared" si="66"/>
        <v>0</v>
      </c>
      <c r="BA157" s="20"/>
      <c r="BD157" s="94" t="str">
        <f t="shared" ref="BD157:BD220" si="71">BG157&amp;BF157</f>
        <v>NPL0331Powerco</v>
      </c>
      <c r="BF157" s="15" t="s">
        <v>28</v>
      </c>
      <c r="BG157" t="s">
        <v>279</v>
      </c>
      <c r="BH157" s="190">
        <v>20.411999999999999</v>
      </c>
      <c r="BI157" s="190">
        <v>20.353829019453801</v>
      </c>
      <c r="BJ157" s="257">
        <f t="shared" si="70"/>
        <v>0.72499826011993107</v>
      </c>
      <c r="BK157" s="257">
        <f t="shared" si="68"/>
        <v>0.79477744902295067</v>
      </c>
      <c r="BL157" s="257">
        <f t="shared" si="69"/>
        <v>0.84129690829163029</v>
      </c>
      <c r="BM157" s="342" t="str">
        <f>VLOOKUP(LEFT(BG157,3),'Mapping B'!$D$2:$E$310,2,0)</f>
        <v>N</v>
      </c>
      <c r="BO157" s="20"/>
      <c r="BP157" s="190"/>
      <c r="BQ157" s="20"/>
      <c r="BR157" s="20"/>
    </row>
    <row r="158" spans="2:70" x14ac:dyDescent="0.25">
      <c r="B158" s="98" t="s">
        <v>553</v>
      </c>
      <c r="C158" s="98">
        <v>2014</v>
      </c>
      <c r="D158" s="98" t="s">
        <v>293</v>
      </c>
      <c r="E158" s="98" t="s">
        <v>4</v>
      </c>
      <c r="F158" s="98" t="s">
        <v>131</v>
      </c>
      <c r="G158" s="248">
        <v>2904.22169977967</v>
      </c>
      <c r="H158" s="299" t="str">
        <f>VLOOKUP(LEFT('Rev Adequacy'!D158,3),'Mapping B'!$D$2:$E$400,2,0)</f>
        <v>N</v>
      </c>
      <c r="I158" s="190"/>
      <c r="J158" s="15" t="s">
        <v>932</v>
      </c>
      <c r="K158" s="190" t="s">
        <v>17</v>
      </c>
      <c r="L158" s="190">
        <f t="shared" si="59"/>
        <v>5.6909999999999998</v>
      </c>
      <c r="O158" s="15">
        <f>_xlfn.IFNA(IF(VLOOKUP($J158&amp;O$12,'Mapping A'!$A$6:$G$1011,7,0)=1,$L158,""),0)</f>
        <v>0</v>
      </c>
      <c r="P158" s="15">
        <f>_xlfn.IFNA(IF(VLOOKUP($J158&amp;P$12,'Mapping A'!$A$6:$G$1011,7,0)=1,$L158,""),0)</f>
        <v>0</v>
      </c>
      <c r="Q158" s="15">
        <f>_xlfn.IFNA(IF(VLOOKUP($J158&amp;Q$12,'Mapping A'!$A$6:$G$1011,7,0)=1,$L158,""),0)</f>
        <v>0</v>
      </c>
      <c r="R158" s="15">
        <f>_xlfn.IFNA(IF(VLOOKUP($J158&amp;R$12,'Mapping A'!$A$6:$G$1011,7,0)=1,$L158,""),0)</f>
        <v>0</v>
      </c>
      <c r="S158" s="15">
        <f>_xlfn.IFNA(IF(VLOOKUP($J158&amp;S$12,'Mapping A'!$A$6:$G$1011,7,0)=1,$L158,""),0)</f>
        <v>0</v>
      </c>
      <c r="T158" s="15">
        <f>_xlfn.IFNA(IF(VLOOKUP($J158&amp;T$14,'Mapping A'!$A$6:$G$1011,7,0)=1,$L158,""),0)</f>
        <v>0</v>
      </c>
      <c r="U158" s="15">
        <f>_xlfn.IFNA(IF(VLOOKUP($J158&amp;U$12,'Mapping A'!$A$6:$G$1011,7,0)=1,$L158,""),0)</f>
        <v>0</v>
      </c>
      <c r="V158" s="15">
        <f>_xlfn.IFNA(IF(VLOOKUP($J158&amp;V$12,'Mapping A'!$A$6:$G$1011,7,0)=1,$L158,""),0)</f>
        <v>0</v>
      </c>
      <c r="W158" s="15">
        <f>_xlfn.IFNA(IF(VLOOKUP($J158&amp;W$12,'Mapping A'!$A$6:$G$1011,7,0)=1,$L158,""),0)</f>
        <v>0</v>
      </c>
      <c r="X158" s="15">
        <f>_xlfn.IFNA(IF(VLOOKUP($J158&amp;X$12,'Mapping A'!$A$6:$G$1011,7,0)=1,$L158,""),0)</f>
        <v>0</v>
      </c>
      <c r="Y158" s="15">
        <f>_xlfn.IFNA(IF(VLOOKUP($J158&amp;Y$12,'Mapping A'!$A$6:$G$1011,7,0)=1,$L158,""),0)</f>
        <v>0</v>
      </c>
      <c r="Z158" s="15">
        <f>_xlfn.IFNA(IF(VLOOKUP($J158&amp;Z$12,'Mapping A'!$A$6:$G$1011,7,0)=1,$L158,""),0)</f>
        <v>0</v>
      </c>
      <c r="AA158" s="15">
        <f>_xlfn.IFNA(IF(VLOOKUP($J158&amp;AA$12,'Mapping A'!$A$6:$G$1011,7,0)=1,$L158,""),0)</f>
        <v>0</v>
      </c>
      <c r="AF158" s="155" t="str">
        <f t="shared" si="67"/>
        <v>OHK2201MRP</v>
      </c>
      <c r="AG158" s="15" t="s">
        <v>932</v>
      </c>
      <c r="AH158" s="190" t="s">
        <v>17</v>
      </c>
      <c r="AI158" s="190">
        <f t="shared" si="60"/>
        <v>5.6909999999999998</v>
      </c>
      <c r="AJ158" s="292" t="s">
        <v>95</v>
      </c>
      <c r="AK158" s="15"/>
      <c r="AL158" s="15">
        <f t="shared" ca="1" si="54"/>
        <v>0</v>
      </c>
      <c r="AM158" s="15">
        <f t="shared" ca="1" si="55"/>
        <v>0</v>
      </c>
      <c r="AN158" s="15">
        <f t="shared" ca="1" si="56"/>
        <v>0</v>
      </c>
      <c r="AO158" s="15">
        <f t="shared" ca="1" si="57"/>
        <v>0</v>
      </c>
      <c r="AP158" s="15"/>
      <c r="AQ158" s="15">
        <f t="shared" ca="1" si="58"/>
        <v>0</v>
      </c>
      <c r="AR158" s="20">
        <f t="shared" ca="1" si="61"/>
        <v>0</v>
      </c>
      <c r="AS158" s="20"/>
      <c r="AT158" s="20">
        <f t="shared" ca="1" si="62"/>
        <v>0</v>
      </c>
      <c r="AU158" s="20">
        <f t="shared" ca="1" si="63"/>
        <v>0</v>
      </c>
      <c r="AV158" s="20">
        <f t="shared" ca="1" si="64"/>
        <v>0</v>
      </c>
      <c r="AW158" s="20">
        <f t="shared" si="65"/>
        <v>0</v>
      </c>
      <c r="AX158" s="20">
        <f t="shared" si="66"/>
        <v>0</v>
      </c>
      <c r="BA158" s="20"/>
      <c r="BC158" s="190" t="s">
        <v>48</v>
      </c>
      <c r="BD158" s="94" t="str">
        <f t="shared" si="71"/>
        <v>NSY0331OtagoNet JV</v>
      </c>
      <c r="BF158" s="15" t="s">
        <v>103</v>
      </c>
      <c r="BG158" t="s">
        <v>280</v>
      </c>
      <c r="BH158" s="190">
        <v>33.429900000000004</v>
      </c>
      <c r="BI158" s="190" t="e">
        <v>#N/A</v>
      </c>
      <c r="BJ158" s="257">
        <f t="shared" si="70"/>
        <v>1.1873711216923031</v>
      </c>
      <c r="BK158" s="257">
        <f t="shared" si="68"/>
        <v>1.3016524908432461</v>
      </c>
      <c r="BL158" s="257">
        <f t="shared" si="69"/>
        <v>1.3778400702772082</v>
      </c>
      <c r="BM158" s="342" t="str">
        <f>VLOOKUP(LEFT(BG158,3),'Mapping B'!$D$2:$E$310,2,0)</f>
        <v>S</v>
      </c>
      <c r="BO158" s="20"/>
      <c r="BP158" s="190"/>
      <c r="BQ158" s="20"/>
      <c r="BR158" s="20"/>
    </row>
    <row r="159" spans="2:70" x14ac:dyDescent="0.25">
      <c r="B159" s="98" t="s">
        <v>553</v>
      </c>
      <c r="C159" s="98">
        <v>2014</v>
      </c>
      <c r="D159" s="98" t="s">
        <v>303</v>
      </c>
      <c r="E159" s="98" t="s">
        <v>4</v>
      </c>
      <c r="F159" s="98" t="s">
        <v>131</v>
      </c>
      <c r="G159" s="248">
        <v>34.107999999999898</v>
      </c>
      <c r="H159" s="299" t="str">
        <f>VLOOKUP(LEFT('Rev Adequacy'!D159,3),'Mapping B'!$D$2:$E$400,2,0)</f>
        <v>N</v>
      </c>
      <c r="I159" s="190"/>
      <c r="J159" s="15" t="s">
        <v>916</v>
      </c>
      <c r="K159" s="190" t="s">
        <v>4</v>
      </c>
      <c r="L159" s="190">
        <f t="shared" si="59"/>
        <v>3.9689999999999999</v>
      </c>
      <c r="O159" s="15">
        <f>_xlfn.IFNA(IF(VLOOKUP($J159&amp;O$12,'Mapping A'!$A$6:$G$1011,7,0)=1,$L159,""),0)</f>
        <v>0</v>
      </c>
      <c r="P159" s="15">
        <f>_xlfn.IFNA(IF(VLOOKUP($J159&amp;P$12,'Mapping A'!$A$6:$G$1011,7,0)=1,$L159,""),0)</f>
        <v>0</v>
      </c>
      <c r="Q159" s="15">
        <f>_xlfn.IFNA(IF(VLOOKUP($J159&amp;Q$12,'Mapping A'!$A$6:$G$1011,7,0)=1,$L159,""),0)</f>
        <v>0</v>
      </c>
      <c r="R159" s="15">
        <f>_xlfn.IFNA(IF(VLOOKUP($J159&amp;R$12,'Mapping A'!$A$6:$G$1011,7,0)=1,$L159,""),0)</f>
        <v>0</v>
      </c>
      <c r="S159" s="15">
        <f>_xlfn.IFNA(IF(VLOOKUP($J159&amp;S$12,'Mapping A'!$A$6:$G$1011,7,0)=1,$L159,""),0)</f>
        <v>0</v>
      </c>
      <c r="T159" s="15">
        <f>_xlfn.IFNA(IF(VLOOKUP($J159&amp;T$14,'Mapping A'!$A$6:$G$1011,7,0)=1,$L159,""),0)</f>
        <v>0</v>
      </c>
      <c r="U159" s="15">
        <f>_xlfn.IFNA(IF(VLOOKUP($J159&amp;U$12,'Mapping A'!$A$6:$G$1011,7,0)=1,$L159,""),0)</f>
        <v>0</v>
      </c>
      <c r="V159" s="15">
        <f>_xlfn.IFNA(IF(VLOOKUP($J159&amp;V$12,'Mapping A'!$A$6:$G$1011,7,0)=1,$L159,""),0)</f>
        <v>0</v>
      </c>
      <c r="W159" s="15">
        <f>_xlfn.IFNA(IF(VLOOKUP($J159&amp;W$12,'Mapping A'!$A$6:$G$1011,7,0)=1,$L159,""),0)</f>
        <v>0</v>
      </c>
      <c r="X159" s="15">
        <f>_xlfn.IFNA(IF(VLOOKUP($J159&amp;X$12,'Mapping A'!$A$6:$G$1011,7,0)=1,$L159,""),0)</f>
        <v>0</v>
      </c>
      <c r="Y159" s="15">
        <f>_xlfn.IFNA(IF(VLOOKUP($J159&amp;Y$12,'Mapping A'!$A$6:$G$1011,7,0)=1,$L159,""),0)</f>
        <v>0</v>
      </c>
      <c r="Z159" s="15">
        <f>_xlfn.IFNA(IF(VLOOKUP($J159&amp;Z$12,'Mapping A'!$A$6:$G$1011,7,0)=1,$L159,""),0)</f>
        <v>0</v>
      </c>
      <c r="AA159" s="15">
        <f>_xlfn.IFNA(IF(VLOOKUP($J159&amp;AA$12,'Mapping A'!$A$6:$G$1011,7,0)=1,$L159,""),0)</f>
        <v>0</v>
      </c>
      <c r="AF159" s="155" t="str">
        <f t="shared" si="67"/>
        <v>OKI2201Contact</v>
      </c>
      <c r="AG159" s="15" t="s">
        <v>916</v>
      </c>
      <c r="AH159" s="190" t="s">
        <v>4</v>
      </c>
      <c r="AI159" s="190">
        <f t="shared" si="60"/>
        <v>3.9689999999999999</v>
      </c>
      <c r="AJ159" s="292" t="s">
        <v>95</v>
      </c>
      <c r="AK159" s="15"/>
      <c r="AL159" s="15">
        <f t="shared" ca="1" si="54"/>
        <v>0</v>
      </c>
      <c r="AM159" s="15">
        <f t="shared" ca="1" si="55"/>
        <v>0</v>
      </c>
      <c r="AN159" s="15">
        <f t="shared" ca="1" si="56"/>
        <v>0</v>
      </c>
      <c r="AO159" s="15">
        <f t="shared" ca="1" si="57"/>
        <v>0</v>
      </c>
      <c r="AP159" s="15"/>
      <c r="AQ159" s="15">
        <f t="shared" ca="1" si="58"/>
        <v>0</v>
      </c>
      <c r="AR159" s="20">
        <f t="shared" ca="1" si="61"/>
        <v>0</v>
      </c>
      <c r="AS159" s="20"/>
      <c r="AT159" s="20">
        <f t="shared" ca="1" si="62"/>
        <v>0</v>
      </c>
      <c r="AU159" s="20">
        <f t="shared" ca="1" si="63"/>
        <v>0</v>
      </c>
      <c r="AV159" s="20">
        <f t="shared" ca="1" si="64"/>
        <v>0</v>
      </c>
      <c r="AW159" s="20">
        <f t="shared" si="65"/>
        <v>0</v>
      </c>
      <c r="AX159" s="20">
        <f t="shared" si="66"/>
        <v>0</v>
      </c>
      <c r="BA159" s="20"/>
      <c r="BD159" s="94" t="str">
        <f t="shared" si="71"/>
        <v>OAM0331Network Waitaki</v>
      </c>
      <c r="BF159" s="15" t="s">
        <v>20</v>
      </c>
      <c r="BG159" t="s">
        <v>282</v>
      </c>
      <c r="BH159" s="190">
        <v>43.243199999999995</v>
      </c>
      <c r="BI159" s="190">
        <v>42.964000701904297</v>
      </c>
      <c r="BJ159" s="257">
        <f t="shared" si="70"/>
        <v>1.5359222399577799</v>
      </c>
      <c r="BK159" s="257">
        <f t="shared" si="68"/>
        <v>1.6837507438560286</v>
      </c>
      <c r="BL159" s="257">
        <f t="shared" si="69"/>
        <v>1.7823030797881945</v>
      </c>
      <c r="BM159" s="342" t="str">
        <f>VLOOKUP(LEFT(BG159,3),'Mapping B'!$D$2:$E$310,2,0)</f>
        <v>S</v>
      </c>
      <c r="BO159" s="20"/>
      <c r="BP159" s="190"/>
      <c r="BQ159" s="20"/>
      <c r="BR159" s="20"/>
    </row>
    <row r="160" spans="2:70" x14ac:dyDescent="0.25">
      <c r="B160" s="98" t="s">
        <v>553</v>
      </c>
      <c r="C160" s="98">
        <v>2014</v>
      </c>
      <c r="D160" s="98" t="s">
        <v>304</v>
      </c>
      <c r="E160" s="98" t="s">
        <v>4</v>
      </c>
      <c r="F160" s="98" t="s">
        <v>136</v>
      </c>
      <c r="G160" s="248">
        <v>0</v>
      </c>
      <c r="H160" s="299" t="str">
        <f>VLOOKUP(LEFT('Rev Adequacy'!D160,3),'Mapping B'!$D$2:$E$400,2,0)</f>
        <v>N</v>
      </c>
      <c r="I160" s="190"/>
      <c r="J160" s="15" t="s">
        <v>288</v>
      </c>
      <c r="K160" s="190" t="s">
        <v>28</v>
      </c>
      <c r="L160" s="190">
        <f t="shared" si="59"/>
        <v>2.3456999999999999</v>
      </c>
      <c r="O160" s="15">
        <f>_xlfn.IFNA(IF(VLOOKUP($J160&amp;O$12,'Mapping A'!$A$6:$G$1011,7,0)=1,$L160,""),0)</f>
        <v>0</v>
      </c>
      <c r="P160" s="15">
        <f>_xlfn.IFNA(IF(VLOOKUP($J160&amp;P$12,'Mapping A'!$A$6:$G$1011,7,0)=1,$L160,""),0)</f>
        <v>2.3456999999999999</v>
      </c>
      <c r="Q160" s="15">
        <f>_xlfn.IFNA(IF(VLOOKUP($J160&amp;Q$12,'Mapping A'!$A$6:$G$1011,7,0)=1,$L160,""),0)</f>
        <v>2.3456999999999999</v>
      </c>
      <c r="R160" s="15">
        <f>_xlfn.IFNA(IF(VLOOKUP($J160&amp;R$12,'Mapping A'!$A$6:$G$1011,7,0)=1,$L160,""),0)</f>
        <v>0</v>
      </c>
      <c r="S160" s="15">
        <f>_xlfn.IFNA(IF(VLOOKUP($J160&amp;S$12,'Mapping A'!$A$6:$G$1011,7,0)=1,$L160,""),0)</f>
        <v>0</v>
      </c>
      <c r="T160" s="15">
        <f>_xlfn.IFNA(IF(VLOOKUP($J160&amp;T$14,'Mapping A'!$A$6:$G$1011,7,0)=1,$L160,""),0)</f>
        <v>0</v>
      </c>
      <c r="U160" s="15">
        <f>_xlfn.IFNA(IF(VLOOKUP($J160&amp;U$12,'Mapping A'!$A$6:$G$1011,7,0)=1,$L160,""),0)</f>
        <v>0</v>
      </c>
      <c r="V160" s="15">
        <f>_xlfn.IFNA(IF(VLOOKUP($J160&amp;V$12,'Mapping A'!$A$6:$G$1011,7,0)=1,$L160,""),0)</f>
        <v>0</v>
      </c>
      <c r="W160" s="15">
        <f>_xlfn.IFNA(IF(VLOOKUP($J160&amp;W$12,'Mapping A'!$A$6:$G$1011,7,0)=1,$L160,""),0)</f>
        <v>0</v>
      </c>
      <c r="X160" s="15">
        <f>_xlfn.IFNA(IF(VLOOKUP($J160&amp;X$12,'Mapping A'!$A$6:$G$1011,7,0)=1,$L160,""),0)</f>
        <v>0</v>
      </c>
      <c r="Y160" s="15">
        <f>_xlfn.IFNA(IF(VLOOKUP($J160&amp;Y$12,'Mapping A'!$A$6:$G$1011,7,0)=1,$L160,""),0)</f>
        <v>0</v>
      </c>
      <c r="Z160" s="15">
        <f>_xlfn.IFNA(IF(VLOOKUP($J160&amp;Z$12,'Mapping A'!$A$6:$G$1011,7,0)=1,$L160,""),0)</f>
        <v>0</v>
      </c>
      <c r="AA160" s="15">
        <f>_xlfn.IFNA(IF(VLOOKUP($J160&amp;AA$12,'Mapping A'!$A$6:$G$1011,7,0)=1,$L160,""),0)</f>
        <v>0</v>
      </c>
      <c r="AF160" s="155" t="str">
        <f t="shared" si="67"/>
        <v>OKN0111Powerco</v>
      </c>
      <c r="AG160" s="15" t="s">
        <v>288</v>
      </c>
      <c r="AH160" s="190" t="s">
        <v>28</v>
      </c>
      <c r="AI160" s="190">
        <f t="shared" si="60"/>
        <v>2.3456999999999999</v>
      </c>
      <c r="AJ160" s="292" t="s">
        <v>95</v>
      </c>
      <c r="AK160" s="15"/>
      <c r="AL160" s="15">
        <f t="shared" ca="1" si="54"/>
        <v>0</v>
      </c>
      <c r="AM160" s="15">
        <f t="shared" ca="1" si="55"/>
        <v>0</v>
      </c>
      <c r="AN160" s="15">
        <f t="shared" ca="1" si="56"/>
        <v>0</v>
      </c>
      <c r="AO160" s="15">
        <f t="shared" ca="1" si="57"/>
        <v>0</v>
      </c>
      <c r="AP160" s="15"/>
      <c r="AQ160" s="15">
        <f t="shared" ca="1" si="58"/>
        <v>0</v>
      </c>
      <c r="AR160" s="20">
        <f t="shared" ca="1" si="61"/>
        <v>0</v>
      </c>
      <c r="AS160" s="20"/>
      <c r="AT160" s="20">
        <f t="shared" ca="1" si="62"/>
        <v>0</v>
      </c>
      <c r="AU160" s="20">
        <f t="shared" ca="1" si="63"/>
        <v>0</v>
      </c>
      <c r="AV160" s="20">
        <f t="shared" ca="1" si="64"/>
        <v>0</v>
      </c>
      <c r="AW160" s="20">
        <f t="shared" si="65"/>
        <v>0</v>
      </c>
      <c r="AX160" s="20">
        <f t="shared" si="66"/>
        <v>0</v>
      </c>
      <c r="BA160" s="20"/>
      <c r="BD160" s="94" t="str">
        <f t="shared" si="71"/>
        <v>OHA2201Meridian</v>
      </c>
      <c r="BF160" s="15" t="s">
        <v>14</v>
      </c>
      <c r="BG160" t="s">
        <v>924</v>
      </c>
      <c r="BH160" s="190">
        <v>4.7166000000000006</v>
      </c>
      <c r="BI160" s="190">
        <v>0</v>
      </c>
      <c r="BJ160" s="257">
        <f t="shared" si="70"/>
        <v>0.16752531813059315</v>
      </c>
      <c r="BK160" s="257">
        <f t="shared" si="68"/>
        <v>0.18364919243884234</v>
      </c>
      <c r="BL160" s="257">
        <f t="shared" si="69"/>
        <v>0.19439844197767508</v>
      </c>
      <c r="BM160" s="342" t="str">
        <f>VLOOKUP(LEFT(BG160,3),'Mapping B'!$D$2:$E$310,2,0)</f>
        <v>S</v>
      </c>
      <c r="BO160" s="20"/>
      <c r="BP160" s="190"/>
      <c r="BQ160" s="20"/>
      <c r="BR160" s="20"/>
    </row>
    <row r="161" spans="2:70" x14ac:dyDescent="0.25">
      <c r="B161" s="98" t="s">
        <v>553</v>
      </c>
      <c r="C161" s="98">
        <v>2014</v>
      </c>
      <c r="D161" s="98" t="s">
        <v>315</v>
      </c>
      <c r="E161" s="98" t="s">
        <v>4</v>
      </c>
      <c r="F161" s="98" t="s">
        <v>136</v>
      </c>
      <c r="G161" s="248">
        <v>0</v>
      </c>
      <c r="H161" s="299" t="str">
        <f>VLOOKUP(LEFT('Rev Adequacy'!D161,3),'Mapping B'!$D$2:$E$400,2,0)</f>
        <v>S</v>
      </c>
      <c r="I161" s="190"/>
      <c r="J161" s="15" t="s">
        <v>288</v>
      </c>
      <c r="K161" s="190" t="s">
        <v>32</v>
      </c>
      <c r="L161" s="190">
        <f t="shared" si="59"/>
        <v>7.5348000000000006</v>
      </c>
      <c r="O161" s="15">
        <f>_xlfn.IFNA(IF(VLOOKUP($J161&amp;O$12,'Mapping A'!$A$6:$G$1011,7,0)=1,$L161,""),0)</f>
        <v>0</v>
      </c>
      <c r="P161" s="15">
        <f>_xlfn.IFNA(IF(VLOOKUP($J161&amp;P$12,'Mapping A'!$A$6:$G$1011,7,0)=1,$L161,""),0)</f>
        <v>7.5348000000000006</v>
      </c>
      <c r="Q161" s="15">
        <f>_xlfn.IFNA(IF(VLOOKUP($J161&amp;Q$12,'Mapping A'!$A$6:$G$1011,7,0)=1,$L161,""),0)</f>
        <v>7.5348000000000006</v>
      </c>
      <c r="R161" s="15">
        <f>_xlfn.IFNA(IF(VLOOKUP($J161&amp;R$12,'Mapping A'!$A$6:$G$1011,7,0)=1,$L161,""),0)</f>
        <v>0</v>
      </c>
      <c r="S161" s="15">
        <f>_xlfn.IFNA(IF(VLOOKUP($J161&amp;S$12,'Mapping A'!$A$6:$G$1011,7,0)=1,$L161,""),0)</f>
        <v>0</v>
      </c>
      <c r="T161" s="15">
        <f>_xlfn.IFNA(IF(VLOOKUP($J161&amp;T$14,'Mapping A'!$A$6:$G$1011,7,0)=1,$L161,""),0)</f>
        <v>0</v>
      </c>
      <c r="U161" s="15">
        <f>_xlfn.IFNA(IF(VLOOKUP($J161&amp;U$12,'Mapping A'!$A$6:$G$1011,7,0)=1,$L161,""),0)</f>
        <v>0</v>
      </c>
      <c r="V161" s="15">
        <f>_xlfn.IFNA(IF(VLOOKUP($J161&amp;V$12,'Mapping A'!$A$6:$G$1011,7,0)=1,$L161,""),0)</f>
        <v>0</v>
      </c>
      <c r="W161" s="15">
        <f>_xlfn.IFNA(IF(VLOOKUP($J161&amp;W$12,'Mapping A'!$A$6:$G$1011,7,0)=1,$L161,""),0)</f>
        <v>0</v>
      </c>
      <c r="X161" s="15">
        <f>_xlfn.IFNA(IF(VLOOKUP($J161&amp;X$12,'Mapping A'!$A$6:$G$1011,7,0)=1,$L161,""),0)</f>
        <v>0</v>
      </c>
      <c r="Y161" s="15">
        <f>_xlfn.IFNA(IF(VLOOKUP($J161&amp;Y$12,'Mapping A'!$A$6:$G$1011,7,0)=1,$L161,""),0)</f>
        <v>0</v>
      </c>
      <c r="Z161" s="15">
        <f>_xlfn.IFNA(IF(VLOOKUP($J161&amp;Z$12,'Mapping A'!$A$6:$G$1011,7,0)=1,$L161,""),0)</f>
        <v>0</v>
      </c>
      <c r="AA161" s="15">
        <f>_xlfn.IFNA(IF(VLOOKUP($J161&amp;AA$12,'Mapping A'!$A$6:$G$1011,7,0)=1,$L161,""),0)</f>
        <v>0</v>
      </c>
      <c r="AF161" s="155" t="str">
        <f t="shared" si="67"/>
        <v>OKN0111The Lines Company</v>
      </c>
      <c r="AG161" s="15" t="s">
        <v>288</v>
      </c>
      <c r="AH161" s="190" t="s">
        <v>32</v>
      </c>
      <c r="AI161" s="190">
        <f t="shared" si="60"/>
        <v>7.5348000000000006</v>
      </c>
      <c r="AJ161" s="292" t="s">
        <v>95</v>
      </c>
      <c r="AK161" s="15"/>
      <c r="AL161" s="15">
        <f t="shared" ca="1" si="54"/>
        <v>0</v>
      </c>
      <c r="AM161" s="15">
        <f t="shared" ca="1" si="55"/>
        <v>0</v>
      </c>
      <c r="AN161" s="15">
        <f t="shared" ca="1" si="56"/>
        <v>0</v>
      </c>
      <c r="AO161" s="15">
        <f t="shared" ca="1" si="57"/>
        <v>0</v>
      </c>
      <c r="AP161" s="15"/>
      <c r="AQ161" s="15">
        <f t="shared" ca="1" si="58"/>
        <v>0</v>
      </c>
      <c r="AR161" s="20">
        <f t="shared" ca="1" si="61"/>
        <v>0</v>
      </c>
      <c r="AS161" s="20"/>
      <c r="AT161" s="20">
        <f t="shared" ca="1" si="62"/>
        <v>0</v>
      </c>
      <c r="AU161" s="20">
        <f t="shared" ca="1" si="63"/>
        <v>0</v>
      </c>
      <c r="AV161" s="20">
        <f t="shared" ca="1" si="64"/>
        <v>0</v>
      </c>
      <c r="AW161" s="20">
        <f t="shared" si="65"/>
        <v>0</v>
      </c>
      <c r="AX161" s="20">
        <f t="shared" si="66"/>
        <v>0</v>
      </c>
      <c r="BA161" s="20"/>
      <c r="BD161" s="94" t="str">
        <f t="shared" si="71"/>
        <v>OHB2201Meridian</v>
      </c>
      <c r="BF161" s="15" t="s">
        <v>14</v>
      </c>
      <c r="BG161" t="s">
        <v>925</v>
      </c>
      <c r="BH161" s="190">
        <v>4.1601000000000008</v>
      </c>
      <c r="BI161" s="190">
        <v>0</v>
      </c>
      <c r="BJ161" s="257">
        <f t="shared" si="70"/>
        <v>0.14775941906353743</v>
      </c>
      <c r="BK161" s="257">
        <f t="shared" si="68"/>
        <v>0.16198087721342236</v>
      </c>
      <c r="BL161" s="257">
        <f t="shared" si="69"/>
        <v>0.17146184931334571</v>
      </c>
      <c r="BM161" s="342" t="str">
        <f>VLOOKUP(LEFT(BG161,3),'Mapping B'!$D$2:$E$310,2,0)</f>
        <v>S</v>
      </c>
      <c r="BO161" s="20"/>
      <c r="BP161" s="190"/>
      <c r="BQ161" s="20"/>
      <c r="BR161" s="20"/>
    </row>
    <row r="162" spans="2:70" x14ac:dyDescent="0.25">
      <c r="B162" s="98" t="s">
        <v>553</v>
      </c>
      <c r="C162" s="98">
        <v>2014</v>
      </c>
      <c r="D162" s="98" t="s">
        <v>316</v>
      </c>
      <c r="E162" s="98" t="s">
        <v>4</v>
      </c>
      <c r="F162" s="98" t="s">
        <v>136</v>
      </c>
      <c r="G162" s="248">
        <v>0</v>
      </c>
      <c r="H162" s="299" t="str">
        <f>VLOOKUP(LEFT('Rev Adequacy'!D162,3),'Mapping B'!$D$2:$E$400,2,0)</f>
        <v>S</v>
      </c>
      <c r="I162" s="190"/>
      <c r="J162" s="15" t="s">
        <v>289</v>
      </c>
      <c r="K162" s="190" t="s">
        <v>32</v>
      </c>
      <c r="L162" s="190">
        <f t="shared" si="59"/>
        <v>14.450100000000001</v>
      </c>
      <c r="O162" s="15">
        <f>_xlfn.IFNA(IF(VLOOKUP($J162&amp;O$12,'Mapping A'!$A$6:$G$1011,7,0)=1,$L162,""),0)</f>
        <v>0</v>
      </c>
      <c r="P162" s="15">
        <f>_xlfn.IFNA(IF(VLOOKUP($J162&amp;P$12,'Mapping A'!$A$6:$G$1011,7,0)=1,$L162,""),0)</f>
        <v>14.450100000000001</v>
      </c>
      <c r="Q162" s="15">
        <f>_xlfn.IFNA(IF(VLOOKUP($J162&amp;Q$12,'Mapping A'!$A$6:$G$1011,7,0)=1,$L162,""),0)</f>
        <v>14.450100000000001</v>
      </c>
      <c r="R162" s="15">
        <f>_xlfn.IFNA(IF(VLOOKUP($J162&amp;R$12,'Mapping A'!$A$6:$G$1011,7,0)=1,$L162,""),0)</f>
        <v>0</v>
      </c>
      <c r="S162" s="15">
        <f>_xlfn.IFNA(IF(VLOOKUP($J162&amp;S$12,'Mapping A'!$A$6:$G$1011,7,0)=1,$L162,""),0)</f>
        <v>0</v>
      </c>
      <c r="T162" s="15">
        <f>_xlfn.IFNA(IF(VLOOKUP($J162&amp;T$14,'Mapping A'!$A$6:$G$1011,7,0)=1,$L162,""),0)</f>
        <v>0</v>
      </c>
      <c r="U162" s="15">
        <f>_xlfn.IFNA(IF(VLOOKUP($J162&amp;U$12,'Mapping A'!$A$6:$G$1011,7,0)=1,$L162,""),0)</f>
        <v>0</v>
      </c>
      <c r="V162" s="15">
        <f>_xlfn.IFNA(IF(VLOOKUP($J162&amp;V$12,'Mapping A'!$A$6:$G$1011,7,0)=1,$L162,""),0)</f>
        <v>0</v>
      </c>
      <c r="W162" s="15">
        <f>_xlfn.IFNA(IF(VLOOKUP($J162&amp;W$12,'Mapping A'!$A$6:$G$1011,7,0)=1,$L162,""),0)</f>
        <v>0</v>
      </c>
      <c r="X162" s="15">
        <f>_xlfn.IFNA(IF(VLOOKUP($J162&amp;X$12,'Mapping A'!$A$6:$G$1011,7,0)=1,$L162,""),0)</f>
        <v>0</v>
      </c>
      <c r="Y162" s="15">
        <f>_xlfn.IFNA(IF(VLOOKUP($J162&amp;Y$12,'Mapping A'!$A$6:$G$1011,7,0)=1,$L162,""),0)</f>
        <v>0</v>
      </c>
      <c r="Z162" s="15">
        <f>_xlfn.IFNA(IF(VLOOKUP($J162&amp;Z$12,'Mapping A'!$A$6:$G$1011,7,0)=1,$L162,""),0)</f>
        <v>0</v>
      </c>
      <c r="AA162" s="15">
        <f>_xlfn.IFNA(IF(VLOOKUP($J162&amp;AA$12,'Mapping A'!$A$6:$G$1011,7,0)=1,$L162,""),0)</f>
        <v>0</v>
      </c>
      <c r="AF162" s="155" t="str">
        <f t="shared" si="67"/>
        <v>ONG0331The Lines Company</v>
      </c>
      <c r="AG162" s="15" t="s">
        <v>289</v>
      </c>
      <c r="AH162" s="190" t="s">
        <v>32</v>
      </c>
      <c r="AI162" s="190">
        <f t="shared" si="60"/>
        <v>14.450100000000001</v>
      </c>
      <c r="AJ162" s="292" t="s">
        <v>95</v>
      </c>
      <c r="AK162" s="15"/>
      <c r="AL162" s="15">
        <f t="shared" ca="1" si="54"/>
        <v>0</v>
      </c>
      <c r="AM162" s="15">
        <f t="shared" ca="1" si="55"/>
        <v>0</v>
      </c>
      <c r="AN162" s="15">
        <f t="shared" ca="1" si="56"/>
        <v>0</v>
      </c>
      <c r="AO162" s="15">
        <f t="shared" ca="1" si="57"/>
        <v>0</v>
      </c>
      <c r="AP162" s="15"/>
      <c r="AQ162" s="15">
        <f t="shared" ca="1" si="58"/>
        <v>0</v>
      </c>
      <c r="AR162" s="20">
        <f t="shared" ca="1" si="61"/>
        <v>0</v>
      </c>
      <c r="AS162" s="20"/>
      <c r="AT162" s="20">
        <f t="shared" ca="1" si="62"/>
        <v>0</v>
      </c>
      <c r="AU162" s="20">
        <f t="shared" ca="1" si="63"/>
        <v>0</v>
      </c>
      <c r="AV162" s="20">
        <f t="shared" ca="1" si="64"/>
        <v>0</v>
      </c>
      <c r="AW162" s="20">
        <f t="shared" si="65"/>
        <v>0</v>
      </c>
      <c r="AX162" s="20">
        <f t="shared" si="66"/>
        <v>0</v>
      </c>
      <c r="BA162" s="20"/>
      <c r="BD162" s="94" t="str">
        <f t="shared" si="71"/>
        <v>OHC2201Meridian</v>
      </c>
      <c r="BF162" s="15" t="s">
        <v>14</v>
      </c>
      <c r="BG162" t="s">
        <v>926</v>
      </c>
      <c r="BH162" s="190">
        <v>3.9774000000000003</v>
      </c>
      <c r="BI162" s="190">
        <v>0</v>
      </c>
      <c r="BJ162" s="257">
        <f t="shared" si="70"/>
        <v>0.14127023710567382</v>
      </c>
      <c r="BK162" s="257">
        <f t="shared" si="68"/>
        <v>0.15486712844130338</v>
      </c>
      <c r="BL162" s="257">
        <f t="shared" si="69"/>
        <v>0.16393172266505637</v>
      </c>
      <c r="BM162" s="342" t="str">
        <f>VLOOKUP(LEFT(BG162,3),'Mapping B'!$D$2:$E$310,2,0)</f>
        <v>S</v>
      </c>
      <c r="BO162" s="20"/>
      <c r="BP162" s="190"/>
      <c r="BQ162" s="20"/>
      <c r="BR162" s="20"/>
    </row>
    <row r="163" spans="2:70" x14ac:dyDescent="0.25">
      <c r="B163" s="98" t="s">
        <v>553</v>
      </c>
      <c r="C163" s="98">
        <v>2014</v>
      </c>
      <c r="D163" s="98" t="s">
        <v>321</v>
      </c>
      <c r="E163" s="98" t="s">
        <v>4</v>
      </c>
      <c r="F163" s="98" t="s">
        <v>131</v>
      </c>
      <c r="G163" s="248">
        <v>725.38799999999299</v>
      </c>
      <c r="H163" s="299" t="str">
        <f>VLOOKUP(LEFT('Rev Adequacy'!D163,3),'Mapping B'!$D$2:$E$400,2,0)</f>
        <v>N</v>
      </c>
      <c r="I163" s="190"/>
      <c r="J163" s="15" t="s">
        <v>290</v>
      </c>
      <c r="K163" s="190" t="s">
        <v>28</v>
      </c>
      <c r="L163" s="190">
        <f t="shared" si="59"/>
        <v>12.068700000000002</v>
      </c>
      <c r="O163" s="15">
        <f>_xlfn.IFNA(IF(VLOOKUP($J163&amp;O$12,'Mapping A'!$A$6:$G$1011,7,0)=1,$L163,""),0)</f>
        <v>0</v>
      </c>
      <c r="P163" s="15">
        <f>_xlfn.IFNA(IF(VLOOKUP($J163&amp;P$12,'Mapping A'!$A$6:$G$1011,7,0)=1,$L163,""),0)</f>
        <v>12.068700000000002</v>
      </c>
      <c r="Q163" s="15">
        <f>_xlfn.IFNA(IF(VLOOKUP($J163&amp;Q$12,'Mapping A'!$A$6:$G$1011,7,0)=1,$L163,""),0)</f>
        <v>12.068700000000002</v>
      </c>
      <c r="R163" s="15">
        <f>_xlfn.IFNA(IF(VLOOKUP($J163&amp;R$12,'Mapping A'!$A$6:$G$1011,7,0)=1,$L163,""),0)</f>
        <v>0</v>
      </c>
      <c r="S163" s="15">
        <f>_xlfn.IFNA(IF(VLOOKUP($J163&amp;S$12,'Mapping A'!$A$6:$G$1011,7,0)=1,$L163,""),0)</f>
        <v>0</v>
      </c>
      <c r="T163" s="15">
        <f>_xlfn.IFNA(IF(VLOOKUP($J163&amp;T$14,'Mapping A'!$A$6:$G$1011,7,0)=1,$L163,""),0)</f>
        <v>0</v>
      </c>
      <c r="U163" s="15">
        <f>_xlfn.IFNA(IF(VLOOKUP($J163&amp;U$12,'Mapping A'!$A$6:$G$1011,7,0)=1,$L163,""),0)</f>
        <v>0</v>
      </c>
      <c r="V163" s="15">
        <f>_xlfn.IFNA(IF(VLOOKUP($J163&amp;V$12,'Mapping A'!$A$6:$G$1011,7,0)=1,$L163,""),0)</f>
        <v>0</v>
      </c>
      <c r="W163" s="15">
        <f>_xlfn.IFNA(IF(VLOOKUP($J163&amp;W$12,'Mapping A'!$A$6:$G$1011,7,0)=1,$L163,""),0)</f>
        <v>0</v>
      </c>
      <c r="X163" s="15">
        <f>_xlfn.IFNA(IF(VLOOKUP($J163&amp;X$12,'Mapping A'!$A$6:$G$1011,7,0)=1,$L163,""),0)</f>
        <v>0</v>
      </c>
      <c r="Y163" s="15">
        <f>_xlfn.IFNA(IF(VLOOKUP($J163&amp;Y$12,'Mapping A'!$A$6:$G$1011,7,0)=1,$L163,""),0)</f>
        <v>0</v>
      </c>
      <c r="Z163" s="15">
        <f>_xlfn.IFNA(IF(VLOOKUP($J163&amp;Z$12,'Mapping A'!$A$6:$G$1011,7,0)=1,$L163,""),0)</f>
        <v>0</v>
      </c>
      <c r="AA163" s="15">
        <f>_xlfn.IFNA(IF(VLOOKUP($J163&amp;AA$12,'Mapping A'!$A$6:$G$1011,7,0)=1,$L163,""),0)</f>
        <v>0</v>
      </c>
      <c r="AF163" s="155" t="str">
        <f t="shared" si="67"/>
        <v>OPK0331Powerco</v>
      </c>
      <c r="AG163" s="15" t="s">
        <v>290</v>
      </c>
      <c r="AH163" s="190" t="s">
        <v>28</v>
      </c>
      <c r="AI163" s="190">
        <f t="shared" si="60"/>
        <v>12.068700000000002</v>
      </c>
      <c r="AJ163" s="292" t="s">
        <v>95</v>
      </c>
      <c r="AK163" s="15"/>
      <c r="AL163" s="15">
        <f t="shared" ca="1" si="54"/>
        <v>0</v>
      </c>
      <c r="AM163" s="15">
        <f t="shared" ca="1" si="55"/>
        <v>0</v>
      </c>
      <c r="AN163" s="15">
        <f t="shared" ca="1" si="56"/>
        <v>0</v>
      </c>
      <c r="AO163" s="15">
        <f t="shared" ca="1" si="57"/>
        <v>0</v>
      </c>
      <c r="AP163" s="15"/>
      <c r="AQ163" s="15">
        <f t="shared" ca="1" si="58"/>
        <v>0</v>
      </c>
      <c r="AR163" s="20">
        <f t="shared" ca="1" si="61"/>
        <v>0</v>
      </c>
      <c r="AS163" s="20"/>
      <c r="AT163" s="20">
        <f t="shared" ca="1" si="62"/>
        <v>0</v>
      </c>
      <c r="AU163" s="20">
        <f t="shared" ca="1" si="63"/>
        <v>0</v>
      </c>
      <c r="AV163" s="20">
        <f t="shared" ca="1" si="64"/>
        <v>0</v>
      </c>
      <c r="AW163" s="20">
        <f t="shared" si="65"/>
        <v>0</v>
      </c>
      <c r="AX163" s="20">
        <f t="shared" si="66"/>
        <v>0</v>
      </c>
      <c r="BA163" s="20"/>
      <c r="BD163" s="94" t="str">
        <f t="shared" si="71"/>
        <v>OHK2201MRP</v>
      </c>
      <c r="BF163" s="15" t="s">
        <v>17</v>
      </c>
      <c r="BG163" t="s">
        <v>932</v>
      </c>
      <c r="BH163" s="190">
        <v>5.6909999999999998</v>
      </c>
      <c r="BI163" s="190">
        <v>0</v>
      </c>
      <c r="BJ163" s="257">
        <f t="shared" si="70"/>
        <v>0.20213428857253224</v>
      </c>
      <c r="BK163" s="257">
        <f t="shared" si="68"/>
        <v>0.22158918589014365</v>
      </c>
      <c r="BL163" s="257">
        <f t="shared" si="69"/>
        <v>0.23455911743521793</v>
      </c>
      <c r="BM163" s="342" t="str">
        <f>VLOOKUP(LEFT(BG163,3),'Mapping B'!$D$2:$E$310,2,0)</f>
        <v>N</v>
      </c>
      <c r="BO163" s="20"/>
      <c r="BP163" s="190"/>
      <c r="BQ163" s="20"/>
      <c r="BR163" s="20"/>
    </row>
    <row r="164" spans="2:70" x14ac:dyDescent="0.25">
      <c r="B164" s="98" t="s">
        <v>553</v>
      </c>
      <c r="C164" s="98">
        <v>2014</v>
      </c>
      <c r="D164" s="98" t="s">
        <v>322</v>
      </c>
      <c r="E164" s="98" t="s">
        <v>4</v>
      </c>
      <c r="F164" s="98" t="s">
        <v>136</v>
      </c>
      <c r="G164" s="248">
        <v>0</v>
      </c>
      <c r="H164" s="299" t="str">
        <f>VLOOKUP(LEFT('Rev Adequacy'!D164,3),'Mapping B'!$D$2:$E$400,2,0)</f>
        <v>N</v>
      </c>
      <c r="I164" s="190"/>
      <c r="J164" s="15" t="s">
        <v>291</v>
      </c>
      <c r="K164" s="190" t="s">
        <v>2</v>
      </c>
      <c r="L164" s="190">
        <f t="shared" si="59"/>
        <v>9.3617999999999988</v>
      </c>
      <c r="O164" s="15">
        <f>_xlfn.IFNA(IF(VLOOKUP($J164&amp;O$12,'Mapping A'!$A$6:$G$1011,7,0)=1,$L164,""),0)</f>
        <v>0</v>
      </c>
      <c r="P164" s="15">
        <f>_xlfn.IFNA(IF(VLOOKUP($J164&amp;P$12,'Mapping A'!$A$6:$G$1011,7,0)=1,$L164,""),0)</f>
        <v>9.3617999999999988</v>
      </c>
      <c r="Q164" s="15">
        <f>_xlfn.IFNA(IF(VLOOKUP($J164&amp;Q$12,'Mapping A'!$A$6:$G$1011,7,0)=1,$L164,""),0)</f>
        <v>0</v>
      </c>
      <c r="R164" s="15">
        <f>_xlfn.IFNA(IF(VLOOKUP($J164&amp;R$12,'Mapping A'!$A$6:$G$1011,7,0)=1,$L164,""),0)</f>
        <v>0</v>
      </c>
      <c r="S164" s="15">
        <f>_xlfn.IFNA(IF(VLOOKUP($J164&amp;S$12,'Mapping A'!$A$6:$G$1011,7,0)=1,$L164,""),0)</f>
        <v>0</v>
      </c>
      <c r="T164" s="15">
        <f>_xlfn.IFNA(IF(VLOOKUP($J164&amp;T$14,'Mapping A'!$A$6:$G$1011,7,0)=1,$L164,""),0)</f>
        <v>0</v>
      </c>
      <c r="U164" s="15">
        <f>_xlfn.IFNA(IF(VLOOKUP($J164&amp;U$12,'Mapping A'!$A$6:$G$1011,7,0)=1,$L164,""),0)</f>
        <v>0</v>
      </c>
      <c r="V164" s="15">
        <f>_xlfn.IFNA(IF(VLOOKUP($J164&amp;V$12,'Mapping A'!$A$6:$G$1011,7,0)=1,$L164,""),0)</f>
        <v>0</v>
      </c>
      <c r="W164" s="15">
        <f>_xlfn.IFNA(IF(VLOOKUP($J164&amp;W$12,'Mapping A'!$A$6:$G$1011,7,0)=1,$L164,""),0)</f>
        <v>9.3617999999999988</v>
      </c>
      <c r="X164" s="15">
        <f>_xlfn.IFNA(IF(VLOOKUP($J164&amp;X$12,'Mapping A'!$A$6:$G$1011,7,0)=1,$L164,""),0)</f>
        <v>0</v>
      </c>
      <c r="Y164" s="15">
        <f>_xlfn.IFNA(IF(VLOOKUP($J164&amp;Y$12,'Mapping A'!$A$6:$G$1011,7,0)=1,$L164,""),0)</f>
        <v>0</v>
      </c>
      <c r="Z164" s="15">
        <f>_xlfn.IFNA(IF(VLOOKUP($J164&amp;Z$12,'Mapping A'!$A$6:$G$1011,7,0)=1,$L164,""),0)</f>
        <v>0</v>
      </c>
      <c r="AA164" s="15">
        <f>_xlfn.IFNA(IF(VLOOKUP($J164&amp;AA$12,'Mapping A'!$A$6:$G$1011,7,0)=1,$L164,""),0)</f>
        <v>9.3617999999999988</v>
      </c>
      <c r="AF164" s="155" t="str">
        <f t="shared" si="67"/>
        <v>ORO1101Buller Electricity</v>
      </c>
      <c r="AG164" s="15" t="s">
        <v>291</v>
      </c>
      <c r="AH164" s="190" t="s">
        <v>2</v>
      </c>
      <c r="AI164" s="190">
        <f t="shared" si="60"/>
        <v>9.3617999999999988</v>
      </c>
      <c r="AJ164" s="292" t="s">
        <v>96</v>
      </c>
      <c r="AK164" s="15"/>
      <c r="AL164" s="15">
        <f t="shared" ca="1" si="54"/>
        <v>0</v>
      </c>
      <c r="AM164" s="15">
        <f t="shared" ca="1" si="55"/>
        <v>0</v>
      </c>
      <c r="AN164" s="15">
        <f t="shared" ca="1" si="56"/>
        <v>0</v>
      </c>
      <c r="AO164" s="15">
        <f t="shared" ca="1" si="57"/>
        <v>0</v>
      </c>
      <c r="AP164" s="15"/>
      <c r="AQ164" s="15">
        <f t="shared" ca="1" si="58"/>
        <v>0</v>
      </c>
      <c r="AR164" s="20">
        <f t="shared" ca="1" si="61"/>
        <v>0</v>
      </c>
      <c r="AS164" s="20"/>
      <c r="AT164" s="20">
        <f t="shared" ca="1" si="62"/>
        <v>2.6714854200824333E-2</v>
      </c>
      <c r="AU164" s="20">
        <f t="shared" ca="1" si="63"/>
        <v>0</v>
      </c>
      <c r="AV164" s="20">
        <f t="shared" ca="1" si="64"/>
        <v>0</v>
      </c>
      <c r="AW164" s="20">
        <f t="shared" si="65"/>
        <v>0</v>
      </c>
      <c r="AX164" s="20">
        <f t="shared" si="66"/>
        <v>0</v>
      </c>
      <c r="BA164" s="20"/>
      <c r="BD164" s="94" t="str">
        <f t="shared" si="71"/>
        <v>OKI2201Contact</v>
      </c>
      <c r="BF164" s="15" t="s">
        <v>4</v>
      </c>
      <c r="BG164" t="s">
        <v>916</v>
      </c>
      <c r="BH164" s="190">
        <v>3.9689999999999999</v>
      </c>
      <c r="BI164" s="190">
        <v>0</v>
      </c>
      <c r="BJ164" s="257">
        <f t="shared" si="70"/>
        <v>0.14097188391220883</v>
      </c>
      <c r="BK164" s="257">
        <f t="shared" si="68"/>
        <v>0.1545400595322404</v>
      </c>
      <c r="BL164" s="257">
        <f t="shared" si="69"/>
        <v>0.16358550994559479</v>
      </c>
      <c r="BM164" s="342" t="str">
        <f>VLOOKUP(LEFT(BG164,3),'Mapping B'!$D$2:$E$310,2,0)</f>
        <v>N</v>
      </c>
      <c r="BO164" s="20"/>
      <c r="BP164" s="190"/>
      <c r="BQ164" s="20"/>
      <c r="BR164" s="20"/>
    </row>
    <row r="165" spans="2:70" x14ac:dyDescent="0.25">
      <c r="B165" s="98" t="s">
        <v>553</v>
      </c>
      <c r="C165" s="98">
        <v>2014</v>
      </c>
      <c r="D165" s="98" t="s">
        <v>323</v>
      </c>
      <c r="E165" s="98" t="s">
        <v>4</v>
      </c>
      <c r="F165" s="98" t="s">
        <v>136</v>
      </c>
      <c r="G165" s="248">
        <v>0</v>
      </c>
      <c r="H165" s="299" t="str">
        <f>VLOOKUP(LEFT('Rev Adequacy'!D165,3),'Mapping B'!$D$2:$E$400,2,0)</f>
        <v>N</v>
      </c>
      <c r="I165" s="190"/>
      <c r="J165" s="15" t="s">
        <v>292</v>
      </c>
      <c r="K165" s="190" t="s">
        <v>2</v>
      </c>
      <c r="L165" s="190">
        <f t="shared" si="59"/>
        <v>9.6452999999999989</v>
      </c>
      <c r="O165" s="15">
        <f>_xlfn.IFNA(IF(VLOOKUP($J165&amp;O$12,'Mapping A'!$A$6:$G$1011,7,0)=1,$L165,""),0)</f>
        <v>0</v>
      </c>
      <c r="P165" s="15">
        <f>_xlfn.IFNA(IF(VLOOKUP($J165&amp;P$12,'Mapping A'!$A$6:$G$1011,7,0)=1,$L165,""),0)</f>
        <v>9.6452999999999989</v>
      </c>
      <c r="Q165" s="15">
        <f>_xlfn.IFNA(IF(VLOOKUP($J165&amp;Q$12,'Mapping A'!$A$6:$G$1011,7,0)=1,$L165,""),0)</f>
        <v>0</v>
      </c>
      <c r="R165" s="15">
        <f>_xlfn.IFNA(IF(VLOOKUP($J165&amp;R$12,'Mapping A'!$A$6:$G$1011,7,0)=1,$L165,""),0)</f>
        <v>0</v>
      </c>
      <c r="S165" s="15">
        <f>_xlfn.IFNA(IF(VLOOKUP($J165&amp;S$12,'Mapping A'!$A$6:$G$1011,7,0)=1,$L165,""),0)</f>
        <v>0</v>
      </c>
      <c r="T165" s="15">
        <f>_xlfn.IFNA(IF(VLOOKUP($J165&amp;T$14,'Mapping A'!$A$6:$G$1011,7,0)=1,$L165,""),0)</f>
        <v>0</v>
      </c>
      <c r="U165" s="15">
        <f>_xlfn.IFNA(IF(VLOOKUP($J165&amp;U$12,'Mapping A'!$A$6:$G$1011,7,0)=1,$L165,""),0)</f>
        <v>0</v>
      </c>
      <c r="V165" s="15">
        <f>_xlfn.IFNA(IF(VLOOKUP($J165&amp;V$12,'Mapping A'!$A$6:$G$1011,7,0)=1,$L165,""),0)</f>
        <v>0</v>
      </c>
      <c r="W165" s="15">
        <f>_xlfn.IFNA(IF(VLOOKUP($J165&amp;W$12,'Mapping A'!$A$6:$G$1011,7,0)=1,$L165,""),0)</f>
        <v>9.6452999999999989</v>
      </c>
      <c r="X165" s="15">
        <f>_xlfn.IFNA(IF(VLOOKUP($J165&amp;X$12,'Mapping A'!$A$6:$G$1011,7,0)=1,$L165,""),0)</f>
        <v>0</v>
      </c>
      <c r="Y165" s="15">
        <f>_xlfn.IFNA(IF(VLOOKUP($J165&amp;Y$12,'Mapping A'!$A$6:$G$1011,7,0)=1,$L165,""),0)</f>
        <v>0</v>
      </c>
      <c r="Z165" s="15">
        <f>_xlfn.IFNA(IF(VLOOKUP($J165&amp;Z$12,'Mapping A'!$A$6:$G$1011,7,0)=1,$L165,""),0)</f>
        <v>0</v>
      </c>
      <c r="AA165" s="15">
        <f>_xlfn.IFNA(IF(VLOOKUP($J165&amp;AA$12,'Mapping A'!$A$6:$G$1011,7,0)=1,$L165,""),0)</f>
        <v>9.6452999999999989</v>
      </c>
      <c r="AF165" s="155" t="str">
        <f t="shared" si="67"/>
        <v>ORO1102Buller Electricity</v>
      </c>
      <c r="AG165" s="15" t="s">
        <v>292</v>
      </c>
      <c r="AH165" s="190" t="s">
        <v>2</v>
      </c>
      <c r="AI165" s="190">
        <f t="shared" si="60"/>
        <v>9.6452999999999989</v>
      </c>
      <c r="AJ165" s="292" t="s">
        <v>96</v>
      </c>
      <c r="AK165" s="15"/>
      <c r="AL165" s="15">
        <f t="shared" ca="1" si="54"/>
        <v>0</v>
      </c>
      <c r="AM165" s="15">
        <f t="shared" ca="1" si="55"/>
        <v>0</v>
      </c>
      <c r="AN165" s="15">
        <f t="shared" ca="1" si="56"/>
        <v>0</v>
      </c>
      <c r="AO165" s="15">
        <f t="shared" ca="1" si="57"/>
        <v>0</v>
      </c>
      <c r="AP165" s="15"/>
      <c r="AQ165" s="15">
        <f t="shared" ca="1" si="58"/>
        <v>0</v>
      </c>
      <c r="AR165" s="20">
        <f t="shared" ca="1" si="61"/>
        <v>0</v>
      </c>
      <c r="AS165" s="20"/>
      <c r="AT165" s="20">
        <f t="shared" ca="1" si="62"/>
        <v>2.7523850458588191E-2</v>
      </c>
      <c r="AU165" s="20">
        <f t="shared" ca="1" si="63"/>
        <v>0</v>
      </c>
      <c r="AV165" s="20">
        <f t="shared" ca="1" si="64"/>
        <v>0</v>
      </c>
      <c r="AW165" s="20">
        <f t="shared" si="65"/>
        <v>0</v>
      </c>
      <c r="AX165" s="20">
        <f t="shared" si="66"/>
        <v>0</v>
      </c>
      <c r="BA165" s="20"/>
      <c r="BD165" s="94" t="str">
        <f t="shared" si="71"/>
        <v>OKN0111Powerco</v>
      </c>
      <c r="BF165" s="15" t="s">
        <v>28</v>
      </c>
      <c r="BG165" t="s">
        <v>288</v>
      </c>
      <c r="BH165" s="190">
        <v>2.3456999999999999</v>
      </c>
      <c r="BI165" s="190">
        <v>2.2779764655589601</v>
      </c>
      <c r="BJ165" s="257">
        <f t="shared" si="70"/>
        <v>8.331512927509907E-2</v>
      </c>
      <c r="BK165" s="257">
        <f t="shared" si="68"/>
        <v>9.1333992855826746E-2</v>
      </c>
      <c r="BL165" s="257">
        <f t="shared" si="69"/>
        <v>9.6679901909645177E-2</v>
      </c>
      <c r="BM165" s="342" t="str">
        <f>VLOOKUP(LEFT(BG165,3),'Mapping B'!$D$2:$E$310,2,0)</f>
        <v>N</v>
      </c>
      <c r="BO165" s="20"/>
      <c r="BP165" s="190"/>
      <c r="BQ165" s="20"/>
      <c r="BR165" s="20"/>
    </row>
    <row r="166" spans="2:70" x14ac:dyDescent="0.25">
      <c r="B166" s="98" t="s">
        <v>553</v>
      </c>
      <c r="C166" s="98">
        <v>2014</v>
      </c>
      <c r="D166" s="98" t="s">
        <v>324</v>
      </c>
      <c r="E166" s="98" t="s">
        <v>4</v>
      </c>
      <c r="F166" s="98" t="s">
        <v>136</v>
      </c>
      <c r="G166" s="248">
        <v>0</v>
      </c>
      <c r="H166" s="299" t="str">
        <f>VLOOKUP(LEFT('Rev Adequacy'!D166,3),'Mapping B'!$D$2:$E$400,2,0)</f>
        <v>N</v>
      </c>
      <c r="I166" s="190"/>
      <c r="J166" s="15" t="s">
        <v>293</v>
      </c>
      <c r="K166" s="190" t="s">
        <v>4</v>
      </c>
      <c r="L166" s="190">
        <f t="shared" si="59"/>
        <v>6.0522</v>
      </c>
      <c r="O166" s="15">
        <f>_xlfn.IFNA(IF(VLOOKUP($J166&amp;O$12,'Mapping A'!$A$6:$G$1011,7,0)=1,$L166,""),0)</f>
        <v>6.0522</v>
      </c>
      <c r="P166" s="15">
        <f>_xlfn.IFNA(IF(VLOOKUP($J166&amp;P$12,'Mapping A'!$A$6:$G$1011,7,0)=1,$L166,""),0)</f>
        <v>6.0522</v>
      </c>
      <c r="Q166" s="15">
        <f>_xlfn.IFNA(IF(VLOOKUP($J166&amp;Q$12,'Mapping A'!$A$6:$G$1011,7,0)=1,$L166,""),0)</f>
        <v>6.0522</v>
      </c>
      <c r="R166" s="15">
        <f>_xlfn.IFNA(IF(VLOOKUP($J166&amp;R$12,'Mapping A'!$A$6:$G$1011,7,0)=1,$L166,""),0)</f>
        <v>0</v>
      </c>
      <c r="S166" s="15">
        <f>_xlfn.IFNA(IF(VLOOKUP($J166&amp;S$12,'Mapping A'!$A$6:$G$1011,7,0)=1,$L166,""),0)</f>
        <v>0</v>
      </c>
      <c r="T166" s="15">
        <f>_xlfn.IFNA(IF(VLOOKUP($J166&amp;T$14,'Mapping A'!$A$6:$G$1011,7,0)=1,$L166,""),0)</f>
        <v>6.0522</v>
      </c>
      <c r="U166" s="15">
        <f>_xlfn.IFNA(IF(VLOOKUP($J166&amp;U$12,'Mapping A'!$A$6:$G$1011,7,0)=1,$L166,""),0)</f>
        <v>6.0522</v>
      </c>
      <c r="V166" s="15">
        <f>_xlfn.IFNA(IF(VLOOKUP($J166&amp;V$12,'Mapping A'!$A$6:$G$1011,7,0)=1,$L166,""),0)</f>
        <v>0</v>
      </c>
      <c r="W166" s="15">
        <f>_xlfn.IFNA(IF(VLOOKUP($J166&amp;W$12,'Mapping A'!$A$6:$G$1011,7,0)=1,$L166,""),0)</f>
        <v>0</v>
      </c>
      <c r="X166" s="15">
        <f>_xlfn.IFNA(IF(VLOOKUP($J166&amp;X$12,'Mapping A'!$A$6:$G$1011,7,0)=1,$L166,""),0)</f>
        <v>6.0522</v>
      </c>
      <c r="Y166" s="15">
        <f>_xlfn.IFNA(IF(VLOOKUP($J166&amp;Y$12,'Mapping A'!$A$6:$G$1011,7,0)=1,$L166,""),0)</f>
        <v>0</v>
      </c>
      <c r="Z166" s="15">
        <f>_xlfn.IFNA(IF(VLOOKUP($J166&amp;Z$12,'Mapping A'!$A$6:$G$1011,7,0)=1,$L166,""),0)</f>
        <v>0</v>
      </c>
      <c r="AA166" s="15">
        <f>_xlfn.IFNA(IF(VLOOKUP($J166&amp;AA$12,'Mapping A'!$A$6:$G$1011,7,0)=1,$L166,""),0)</f>
        <v>0</v>
      </c>
      <c r="AF166" s="155" t="str">
        <f t="shared" si="67"/>
        <v>OTA0221Contact</v>
      </c>
      <c r="AG166" s="15" t="s">
        <v>293</v>
      </c>
      <c r="AH166" s="190" t="s">
        <v>4</v>
      </c>
      <c r="AI166" s="190">
        <f t="shared" si="60"/>
        <v>6.0522</v>
      </c>
      <c r="AJ166" s="292" t="s">
        <v>95</v>
      </c>
      <c r="AK166" s="15"/>
      <c r="AL166" s="15">
        <f t="shared" ca="1" si="54"/>
        <v>0</v>
      </c>
      <c r="AM166" s="15">
        <f t="shared" ca="1" si="55"/>
        <v>0</v>
      </c>
      <c r="AN166" s="15">
        <f t="shared" ca="1" si="56"/>
        <v>0</v>
      </c>
      <c r="AO166" s="15">
        <f t="shared" ca="1" si="57"/>
        <v>0</v>
      </c>
      <c r="AP166" s="15"/>
      <c r="AQ166" s="15">
        <f t="shared" ca="1" si="58"/>
        <v>0</v>
      </c>
      <c r="AR166" s="20">
        <f t="shared" ca="1" si="61"/>
        <v>2.6481978649353151E-2</v>
      </c>
      <c r="AS166" s="20"/>
      <c r="AT166" s="20">
        <f t="shared" ca="1" si="62"/>
        <v>0</v>
      </c>
      <c r="AU166" s="20">
        <f t="shared" ca="1" si="63"/>
        <v>1.2213545827104575E-2</v>
      </c>
      <c r="AV166" s="20">
        <f t="shared" ca="1" si="64"/>
        <v>0</v>
      </c>
      <c r="AW166" s="20">
        <f t="shared" si="65"/>
        <v>0</v>
      </c>
      <c r="AX166" s="20">
        <f t="shared" si="66"/>
        <v>0</v>
      </c>
      <c r="BA166" s="20"/>
      <c r="BD166" s="94" t="str">
        <f t="shared" si="71"/>
        <v>OKN0111The Lines Company</v>
      </c>
      <c r="BF166" s="15" t="s">
        <v>32</v>
      </c>
      <c r="BG166" t="s">
        <v>288</v>
      </c>
      <c r="BH166" s="190">
        <v>7.5348000000000006</v>
      </c>
      <c r="BI166" s="190">
        <v>7.3138746128888901</v>
      </c>
      <c r="BJ166" s="257">
        <f t="shared" si="70"/>
        <v>0.26762281453809805</v>
      </c>
      <c r="BK166" s="257">
        <f t="shared" si="68"/>
        <v>0.2933808114294596</v>
      </c>
      <c r="BL166" s="257">
        <f t="shared" si="69"/>
        <v>0.31055280935703394</v>
      </c>
      <c r="BM166" s="342" t="str">
        <f>VLOOKUP(LEFT(BG166,3),'Mapping B'!$D$2:$E$310,2,0)</f>
        <v>N</v>
      </c>
      <c r="BO166" s="20"/>
      <c r="BP166" s="190"/>
      <c r="BQ166" s="20"/>
      <c r="BR166" s="20"/>
    </row>
    <row r="167" spans="2:70" x14ac:dyDescent="0.25">
      <c r="B167" s="98" t="s">
        <v>553</v>
      </c>
      <c r="C167" s="98">
        <v>2014</v>
      </c>
      <c r="D167" s="98" t="s">
        <v>336</v>
      </c>
      <c r="E167" s="98" t="s">
        <v>4</v>
      </c>
      <c r="F167" s="98" t="s">
        <v>131</v>
      </c>
      <c r="G167" s="248">
        <v>1004.806</v>
      </c>
      <c r="H167" s="299" t="str">
        <f>VLOOKUP(LEFT('Rev Adequacy'!D167,3),'Mapping B'!$D$2:$E$400,2,0)</f>
        <v>N</v>
      </c>
      <c r="I167" s="190"/>
      <c r="J167" s="15" t="s">
        <v>293</v>
      </c>
      <c r="K167" s="190" t="s">
        <v>37</v>
      </c>
      <c r="L167" s="190">
        <f t="shared" si="59"/>
        <v>63.088200000000001</v>
      </c>
      <c r="O167" s="15">
        <f>_xlfn.IFNA(IF(VLOOKUP($J167&amp;O$12,'Mapping A'!$A$6:$G$1011,7,0)=1,$L167,""),0)</f>
        <v>63.088200000000001</v>
      </c>
      <c r="P167" s="15">
        <f>_xlfn.IFNA(IF(VLOOKUP($J167&amp;P$12,'Mapping A'!$A$6:$G$1011,7,0)=1,$L167,""),0)</f>
        <v>63.088200000000001</v>
      </c>
      <c r="Q167" s="15">
        <f>_xlfn.IFNA(IF(VLOOKUP($J167&amp;Q$12,'Mapping A'!$A$6:$G$1011,7,0)=1,$L167,""),0)</f>
        <v>63.088200000000001</v>
      </c>
      <c r="R167" s="15">
        <f>_xlfn.IFNA(IF(VLOOKUP($J167&amp;R$12,'Mapping A'!$A$6:$G$1011,7,0)=1,$L167,""),0)</f>
        <v>0</v>
      </c>
      <c r="S167" s="15">
        <f>_xlfn.IFNA(IF(VLOOKUP($J167&amp;S$12,'Mapping A'!$A$6:$G$1011,7,0)=1,$L167,""),0)</f>
        <v>0</v>
      </c>
      <c r="T167" s="15">
        <f>_xlfn.IFNA(IF(VLOOKUP($J167&amp;T$14,'Mapping A'!$A$6:$G$1011,7,0)=1,$L167,""),0)</f>
        <v>63.088200000000001</v>
      </c>
      <c r="U167" s="15">
        <f>_xlfn.IFNA(IF(VLOOKUP($J167&amp;U$12,'Mapping A'!$A$6:$G$1011,7,0)=1,$L167,""),0)</f>
        <v>63.088200000000001</v>
      </c>
      <c r="V167" s="15">
        <f>_xlfn.IFNA(IF(VLOOKUP($J167&amp;V$12,'Mapping A'!$A$6:$G$1011,7,0)=1,$L167,""),0)</f>
        <v>0</v>
      </c>
      <c r="W167" s="15">
        <f>_xlfn.IFNA(IF(VLOOKUP($J167&amp;W$12,'Mapping A'!$A$6:$G$1011,7,0)=1,$L167,""),0)</f>
        <v>0</v>
      </c>
      <c r="X167" s="15">
        <f>_xlfn.IFNA(IF(VLOOKUP($J167&amp;X$12,'Mapping A'!$A$6:$G$1011,7,0)=1,$L167,""),0)</f>
        <v>63.088200000000001</v>
      </c>
      <c r="Y167" s="15">
        <f>_xlfn.IFNA(IF(VLOOKUP($J167&amp;Y$12,'Mapping A'!$A$6:$G$1011,7,0)=1,$L167,""),0)</f>
        <v>0</v>
      </c>
      <c r="Z167" s="15">
        <f>_xlfn.IFNA(IF(VLOOKUP($J167&amp;Z$12,'Mapping A'!$A$6:$G$1011,7,0)=1,$L167,""),0)</f>
        <v>0</v>
      </c>
      <c r="AA167" s="15">
        <f>_xlfn.IFNA(IF(VLOOKUP($J167&amp;AA$12,'Mapping A'!$A$6:$G$1011,7,0)=1,$L167,""),0)</f>
        <v>0</v>
      </c>
      <c r="AF167" s="155" t="str">
        <f t="shared" si="67"/>
        <v>OTA0221Vector</v>
      </c>
      <c r="AG167" s="15" t="s">
        <v>293</v>
      </c>
      <c r="AH167" s="190" t="s">
        <v>37</v>
      </c>
      <c r="AI167" s="190">
        <f t="shared" si="60"/>
        <v>63.088200000000001</v>
      </c>
      <c r="AJ167" s="292" t="s">
        <v>95</v>
      </c>
      <c r="AK167" s="15"/>
      <c r="AL167" s="15">
        <f t="shared" ca="1" si="54"/>
        <v>0</v>
      </c>
      <c r="AM167" s="15">
        <f t="shared" ca="1" si="55"/>
        <v>0</v>
      </c>
      <c r="AN167" s="15">
        <f t="shared" ca="1" si="56"/>
        <v>0</v>
      </c>
      <c r="AO167" s="15">
        <f t="shared" ca="1" si="57"/>
        <v>0</v>
      </c>
      <c r="AP167" s="15"/>
      <c r="AQ167" s="15">
        <f t="shared" ca="1" si="58"/>
        <v>0</v>
      </c>
      <c r="AR167" s="20">
        <f t="shared" ca="1" si="61"/>
        <v>0.27604843948087004</v>
      </c>
      <c r="AS167" s="20"/>
      <c r="AT167" s="20">
        <f t="shared" ca="1" si="62"/>
        <v>0</v>
      </c>
      <c r="AU167" s="20">
        <f t="shared" ca="1" si="63"/>
        <v>0.1273141373136279</v>
      </c>
      <c r="AV167" s="20">
        <f t="shared" ca="1" si="64"/>
        <v>0</v>
      </c>
      <c r="AW167" s="20">
        <f t="shared" si="65"/>
        <v>0</v>
      </c>
      <c r="AX167" s="20">
        <f t="shared" si="66"/>
        <v>0</v>
      </c>
      <c r="BA167" s="20"/>
      <c r="BD167" s="94" t="str">
        <f t="shared" si="71"/>
        <v>ONG0331The Lines Company</v>
      </c>
      <c r="BF167" s="15" t="s">
        <v>32</v>
      </c>
      <c r="BG167" t="s">
        <v>289</v>
      </c>
      <c r="BH167" s="190">
        <v>14.450100000000001</v>
      </c>
      <c r="BI167" s="190">
        <v>9.6599998474121094</v>
      </c>
      <c r="BJ167" s="257">
        <f t="shared" si="70"/>
        <v>0.51324208105815283</v>
      </c>
      <c r="BK167" s="257">
        <f t="shared" si="68"/>
        <v>0.56264029081552713</v>
      </c>
      <c r="BL167" s="257">
        <f t="shared" si="69"/>
        <v>0.59557243065377663</v>
      </c>
      <c r="BM167" s="342" t="str">
        <f>VLOOKUP(LEFT(BG167,3),'Mapping B'!$D$2:$E$310,2,0)</f>
        <v>N</v>
      </c>
      <c r="BO167" s="20"/>
      <c r="BP167" s="190"/>
      <c r="BQ167" s="20"/>
      <c r="BR167" s="20"/>
    </row>
    <row r="168" spans="2:70" x14ac:dyDescent="0.25">
      <c r="B168" s="98" t="s">
        <v>553</v>
      </c>
      <c r="C168" s="98">
        <v>2014</v>
      </c>
      <c r="D168" s="98" t="s">
        <v>337</v>
      </c>
      <c r="E168" s="98" t="s">
        <v>4</v>
      </c>
      <c r="F168" s="98" t="s">
        <v>136</v>
      </c>
      <c r="G168" s="248">
        <v>0</v>
      </c>
      <c r="H168" s="299" t="str">
        <f>VLOOKUP(LEFT('Rev Adequacy'!D168,3),'Mapping B'!$D$2:$E$400,2,0)</f>
        <v>N</v>
      </c>
      <c r="I168" s="190"/>
      <c r="J168" s="15" t="s">
        <v>294</v>
      </c>
      <c r="K168" s="190" t="s">
        <v>41</v>
      </c>
      <c r="L168" s="190">
        <f t="shared" si="59"/>
        <v>0.61950000000000005</v>
      </c>
      <c r="O168" s="15">
        <f>_xlfn.IFNA(IF(VLOOKUP($J168&amp;O$12,'Mapping A'!$A$6:$G$1011,7,0)=1,$L168,""),0)</f>
        <v>0</v>
      </c>
      <c r="P168" s="15">
        <f>_xlfn.IFNA(IF(VLOOKUP($J168&amp;P$12,'Mapping A'!$A$6:$G$1011,7,0)=1,$L168,""),0)</f>
        <v>0.61950000000000005</v>
      </c>
      <c r="Q168" s="15">
        <f>_xlfn.IFNA(IF(VLOOKUP($J168&amp;Q$12,'Mapping A'!$A$6:$G$1011,7,0)=1,$L168,""),0)</f>
        <v>0</v>
      </c>
      <c r="R168" s="15">
        <f>_xlfn.IFNA(IF(VLOOKUP($J168&amp;R$12,'Mapping A'!$A$6:$G$1011,7,0)=1,$L168,""),0)</f>
        <v>0</v>
      </c>
      <c r="S168" s="15">
        <f>_xlfn.IFNA(IF(VLOOKUP($J168&amp;S$12,'Mapping A'!$A$6:$G$1011,7,0)=1,$L168,""),0)</f>
        <v>0</v>
      </c>
      <c r="T168" s="15">
        <f>_xlfn.IFNA(IF(VLOOKUP($J168&amp;T$14,'Mapping A'!$A$6:$G$1011,7,0)=1,$L168,""),0)</f>
        <v>0</v>
      </c>
      <c r="U168" s="15">
        <f>_xlfn.IFNA(IF(VLOOKUP($J168&amp;U$12,'Mapping A'!$A$6:$G$1011,7,0)=1,$L168,""),0)</f>
        <v>0</v>
      </c>
      <c r="V168" s="15">
        <f>_xlfn.IFNA(IF(VLOOKUP($J168&amp;V$12,'Mapping A'!$A$6:$G$1011,7,0)=1,$L168,""),0)</f>
        <v>0</v>
      </c>
      <c r="W168" s="15">
        <f>_xlfn.IFNA(IF(VLOOKUP($J168&amp;W$12,'Mapping A'!$A$6:$G$1011,7,0)=1,$L168,""),0)</f>
        <v>0.61950000000000005</v>
      </c>
      <c r="X168" s="15">
        <f>_xlfn.IFNA(IF(VLOOKUP($J168&amp;X$12,'Mapping A'!$A$6:$G$1011,7,0)=1,$L168,""),0)</f>
        <v>0</v>
      </c>
      <c r="Y168" s="15">
        <f>_xlfn.IFNA(IF(VLOOKUP($J168&amp;Y$12,'Mapping A'!$A$6:$G$1011,7,0)=1,$L168,""),0)</f>
        <v>0</v>
      </c>
      <c r="Z168" s="15">
        <f>_xlfn.IFNA(IF(VLOOKUP($J168&amp;Z$12,'Mapping A'!$A$6:$G$1011,7,0)=1,$L168,""),0)</f>
        <v>0</v>
      </c>
      <c r="AA168" s="15">
        <f>_xlfn.IFNA(IF(VLOOKUP($J168&amp;AA$12,'Mapping A'!$A$6:$G$1011,7,0)=1,$L168,""),0)</f>
        <v>0.61950000000000005</v>
      </c>
      <c r="AF168" s="155" t="str">
        <f t="shared" si="67"/>
        <v>OTI0111Westpower</v>
      </c>
      <c r="AG168" s="15" t="s">
        <v>294</v>
      </c>
      <c r="AH168" s="190" t="s">
        <v>41</v>
      </c>
      <c r="AI168" s="190">
        <f t="shared" si="60"/>
        <v>0.61950000000000005</v>
      </c>
      <c r="AJ168" s="292" t="s">
        <v>96</v>
      </c>
      <c r="AK168" s="15"/>
      <c r="AL168" s="15">
        <f t="shared" ca="1" si="54"/>
        <v>0</v>
      </c>
      <c r="AM168" s="15">
        <f t="shared" ca="1" si="55"/>
        <v>0</v>
      </c>
      <c r="AN168" s="15">
        <f t="shared" ca="1" si="56"/>
        <v>0</v>
      </c>
      <c r="AO168" s="15">
        <f t="shared" ca="1" si="57"/>
        <v>0</v>
      </c>
      <c r="AP168" s="15"/>
      <c r="AQ168" s="15">
        <f t="shared" ca="1" si="58"/>
        <v>0</v>
      </c>
      <c r="AR168" s="20">
        <f t="shared" ca="1" si="61"/>
        <v>0</v>
      </c>
      <c r="AS168" s="20"/>
      <c r="AT168" s="20">
        <f t="shared" ca="1" si="62"/>
        <v>1.767806637335841E-3</v>
      </c>
      <c r="AU168" s="20">
        <f t="shared" ca="1" si="63"/>
        <v>0</v>
      </c>
      <c r="AV168" s="20">
        <f t="shared" ca="1" si="64"/>
        <v>0</v>
      </c>
      <c r="AW168" s="20">
        <f t="shared" si="65"/>
        <v>0</v>
      </c>
      <c r="AX168" s="20">
        <f t="shared" si="66"/>
        <v>0</v>
      </c>
      <c r="BA168" s="20"/>
      <c r="BD168" s="94" t="str">
        <f t="shared" si="71"/>
        <v>OPK0331Powerco</v>
      </c>
      <c r="BF168" s="15" t="s">
        <v>28</v>
      </c>
      <c r="BG168" t="s">
        <v>290</v>
      </c>
      <c r="BH168" s="190">
        <v>12.068700000000002</v>
      </c>
      <c r="BI168" s="190">
        <v>12.0539999008178</v>
      </c>
      <c r="BJ168" s="257">
        <f t="shared" si="70"/>
        <v>0.42865895071082766</v>
      </c>
      <c r="BK168" s="257">
        <f t="shared" si="68"/>
        <v>0.46991625509618296</v>
      </c>
      <c r="BL168" s="257">
        <f t="shared" si="69"/>
        <v>0.49742112468641975</v>
      </c>
      <c r="BM168" s="342" t="str">
        <f>VLOOKUP(LEFT(BG168,3),'Mapping B'!$D$2:$E$310,2,0)</f>
        <v>N</v>
      </c>
      <c r="BO168" s="20"/>
      <c r="BP168" s="190"/>
      <c r="BQ168" s="20"/>
      <c r="BR168" s="20"/>
    </row>
    <row r="169" spans="2:70" x14ac:dyDescent="0.25">
      <c r="B169" s="98" t="s">
        <v>553</v>
      </c>
      <c r="C169" s="98">
        <v>2014</v>
      </c>
      <c r="D169" s="98" t="s">
        <v>338</v>
      </c>
      <c r="E169" s="98" t="s">
        <v>4</v>
      </c>
      <c r="F169" s="98" t="s">
        <v>136</v>
      </c>
      <c r="G169" s="248">
        <v>0</v>
      </c>
      <c r="H169" s="299" t="str">
        <f>VLOOKUP(LEFT('Rev Adequacy'!D169,3),'Mapping B'!$D$2:$E$400,2,0)</f>
        <v>N</v>
      </c>
      <c r="I169" s="190"/>
      <c r="J169" s="15" t="s">
        <v>295</v>
      </c>
      <c r="K169" s="190" t="s">
        <v>36</v>
      </c>
      <c r="L169" s="190">
        <f t="shared" si="59"/>
        <v>13.490399999999999</v>
      </c>
      <c r="O169" s="15">
        <f>_xlfn.IFNA(IF(VLOOKUP($J169&amp;O$12,'Mapping A'!$A$6:$G$1011,7,0)=1,$L169,""),0)</f>
        <v>0</v>
      </c>
      <c r="P169" s="15">
        <f>_xlfn.IFNA(IF(VLOOKUP($J169&amp;P$12,'Mapping A'!$A$6:$G$1011,7,0)=1,$L169,""),0)</f>
        <v>13.490399999999999</v>
      </c>
      <c r="Q169" s="15">
        <f>_xlfn.IFNA(IF(VLOOKUP($J169&amp;Q$12,'Mapping A'!$A$6:$G$1011,7,0)=1,$L169,""),0)</f>
        <v>13.490399999999999</v>
      </c>
      <c r="R169" s="15">
        <f>_xlfn.IFNA(IF(VLOOKUP($J169&amp;R$12,'Mapping A'!$A$6:$G$1011,7,0)=1,$L169,""),0)</f>
        <v>0</v>
      </c>
      <c r="S169" s="15">
        <f>_xlfn.IFNA(IF(VLOOKUP($J169&amp;S$12,'Mapping A'!$A$6:$G$1011,7,0)=1,$L169,""),0)</f>
        <v>0</v>
      </c>
      <c r="T169" s="15">
        <f>_xlfn.IFNA(IF(VLOOKUP($J169&amp;T$14,'Mapping A'!$A$6:$G$1011,7,0)=1,$L169,""),0)</f>
        <v>13.490399999999999</v>
      </c>
      <c r="U169" s="15">
        <f>_xlfn.IFNA(IF(VLOOKUP($J169&amp;U$12,'Mapping A'!$A$6:$G$1011,7,0)=1,$L169,""),0)</f>
        <v>0</v>
      </c>
      <c r="V169" s="15">
        <f>_xlfn.IFNA(IF(VLOOKUP($J169&amp;V$12,'Mapping A'!$A$6:$G$1011,7,0)=1,$L169,""),0)</f>
        <v>0</v>
      </c>
      <c r="W169" s="15">
        <f>_xlfn.IFNA(IF(VLOOKUP($J169&amp;W$12,'Mapping A'!$A$6:$G$1011,7,0)=1,$L169,""),0)</f>
        <v>0</v>
      </c>
      <c r="X169" s="15">
        <f>_xlfn.IFNA(IF(VLOOKUP($J169&amp;X$12,'Mapping A'!$A$6:$G$1011,7,0)=1,$L169,""),0)</f>
        <v>0</v>
      </c>
      <c r="Y169" s="15">
        <f>_xlfn.IFNA(IF(VLOOKUP($J169&amp;Y$12,'Mapping A'!$A$6:$G$1011,7,0)=1,$L169,""),0)</f>
        <v>0</v>
      </c>
      <c r="Z169" s="15">
        <f>_xlfn.IFNA(IF(VLOOKUP($J169&amp;Z$12,'Mapping A'!$A$6:$G$1011,7,0)=1,$L169,""),0)</f>
        <v>0</v>
      </c>
      <c r="AA169" s="15">
        <f>_xlfn.IFNA(IF(VLOOKUP($J169&amp;AA$12,'Mapping A'!$A$6:$G$1011,7,0)=1,$L169,""),0)</f>
        <v>0</v>
      </c>
      <c r="AF169" s="155" t="str">
        <f t="shared" si="67"/>
        <v>OWH0111Unison</v>
      </c>
      <c r="AG169" s="15" t="s">
        <v>295</v>
      </c>
      <c r="AH169" s="190" t="s">
        <v>36</v>
      </c>
      <c r="AI169" s="190">
        <f t="shared" si="60"/>
        <v>13.490399999999999</v>
      </c>
      <c r="AJ169" s="292" t="s">
        <v>95</v>
      </c>
      <c r="AK169" s="15"/>
      <c r="AL169" s="15">
        <f t="shared" ca="1" si="54"/>
        <v>0</v>
      </c>
      <c r="AM169" s="15">
        <f t="shared" ca="1" si="55"/>
        <v>0</v>
      </c>
      <c r="AN169" s="15">
        <f t="shared" ca="1" si="56"/>
        <v>0</v>
      </c>
      <c r="AO169" s="15">
        <f t="shared" ca="1" si="57"/>
        <v>0</v>
      </c>
      <c r="AP169" s="15"/>
      <c r="AQ169" s="15">
        <f t="shared" ca="1" si="58"/>
        <v>0</v>
      </c>
      <c r="AR169" s="20">
        <f t="shared" ca="1" si="61"/>
        <v>0</v>
      </c>
      <c r="AS169" s="20"/>
      <c r="AT169" s="20">
        <f t="shared" ca="1" si="62"/>
        <v>0</v>
      </c>
      <c r="AU169" s="20">
        <f t="shared" ca="1" si="63"/>
        <v>0</v>
      </c>
      <c r="AV169" s="20">
        <f t="shared" ca="1" si="64"/>
        <v>0</v>
      </c>
      <c r="AW169" s="20">
        <f t="shared" si="65"/>
        <v>0</v>
      </c>
      <c r="AX169" s="20">
        <f t="shared" si="66"/>
        <v>0</v>
      </c>
      <c r="BA169" s="20"/>
      <c r="BC169" s="190">
        <v>9.3617999999999988</v>
      </c>
      <c r="BD169" s="94" t="str">
        <f t="shared" si="71"/>
        <v>ORO1101Buller Electricity</v>
      </c>
      <c r="BF169" s="15" t="s">
        <v>2</v>
      </c>
      <c r="BG169" t="s">
        <v>291</v>
      </c>
      <c r="BH169" s="190">
        <v>9.3617999999999988</v>
      </c>
      <c r="BI169" s="190">
        <v>8.9239997863769496</v>
      </c>
      <c r="BJ169" s="257">
        <f t="shared" si="70"/>
        <v>0.33251463411673376</v>
      </c>
      <c r="BK169" s="257">
        <f t="shared" si="68"/>
        <v>0.36451829915064954</v>
      </c>
      <c r="BL169" s="257">
        <f t="shared" si="69"/>
        <v>0.3858540758399267</v>
      </c>
      <c r="BM169" s="342" t="str">
        <f>VLOOKUP(LEFT(BG169,3),'Mapping B'!$D$2:$E$310,2,0)</f>
        <v>S</v>
      </c>
      <c r="BO169" s="20"/>
      <c r="BP169" s="190"/>
      <c r="BQ169" s="20"/>
      <c r="BR169" s="20"/>
    </row>
    <row r="170" spans="2:70" x14ac:dyDescent="0.25">
      <c r="B170" s="98" t="s">
        <v>553</v>
      </c>
      <c r="C170" s="98">
        <v>2014</v>
      </c>
      <c r="D170" s="98" t="s">
        <v>359</v>
      </c>
      <c r="E170" s="98" t="s">
        <v>4</v>
      </c>
      <c r="F170" s="98" t="s">
        <v>136</v>
      </c>
      <c r="G170" s="248">
        <v>0</v>
      </c>
      <c r="H170" s="299" t="str">
        <f>VLOOKUP(LEFT('Rev Adequacy'!D170,3),'Mapping B'!$D$2:$E$400,2,0)</f>
        <v>N</v>
      </c>
      <c r="I170" s="190"/>
      <c r="J170" s="15" t="s">
        <v>296</v>
      </c>
      <c r="K170" s="190" t="s">
        <v>37</v>
      </c>
      <c r="L170" s="190">
        <f t="shared" si="59"/>
        <v>138.15479999999999</v>
      </c>
      <c r="O170" s="15">
        <f>_xlfn.IFNA(IF(VLOOKUP($J170&amp;O$12,'Mapping A'!$A$6:$G$1011,7,0)=1,$L170,""),0)</f>
        <v>138.15479999999999</v>
      </c>
      <c r="P170" s="15">
        <f>_xlfn.IFNA(IF(VLOOKUP($J170&amp;P$12,'Mapping A'!$A$6:$G$1011,7,0)=1,$L170,""),0)</f>
        <v>138.15479999999999</v>
      </c>
      <c r="Q170" s="15">
        <f>_xlfn.IFNA(IF(VLOOKUP($J170&amp;Q$12,'Mapping A'!$A$6:$G$1011,7,0)=1,$L170,""),0)</f>
        <v>138.15479999999999</v>
      </c>
      <c r="R170" s="15">
        <f>_xlfn.IFNA(IF(VLOOKUP($J170&amp;R$12,'Mapping A'!$A$6:$G$1011,7,0)=1,$L170,""),0)</f>
        <v>0</v>
      </c>
      <c r="S170" s="15">
        <f>_xlfn.IFNA(IF(VLOOKUP($J170&amp;S$12,'Mapping A'!$A$6:$G$1011,7,0)=1,$L170,""),0)</f>
        <v>0</v>
      </c>
      <c r="T170" s="15">
        <f>_xlfn.IFNA(IF(VLOOKUP($J170&amp;T$14,'Mapping A'!$A$6:$G$1011,7,0)=1,$L170,""),0)</f>
        <v>138.15479999999999</v>
      </c>
      <c r="U170" s="15">
        <f>_xlfn.IFNA(IF(VLOOKUP($J170&amp;U$12,'Mapping A'!$A$6:$G$1011,7,0)=1,$L170,""),0)</f>
        <v>138.15479999999999</v>
      </c>
      <c r="V170" s="15">
        <f>_xlfn.IFNA(IF(VLOOKUP($J170&amp;V$12,'Mapping A'!$A$6:$G$1011,7,0)=1,$L170,""),0)</f>
        <v>0</v>
      </c>
      <c r="W170" s="15">
        <f>_xlfn.IFNA(IF(VLOOKUP($J170&amp;W$12,'Mapping A'!$A$6:$G$1011,7,0)=1,$L170,""),0)</f>
        <v>0</v>
      </c>
      <c r="X170" s="15">
        <f>_xlfn.IFNA(IF(VLOOKUP($J170&amp;X$12,'Mapping A'!$A$6:$G$1011,7,0)=1,$L170,""),0)</f>
        <v>138.15479999999999</v>
      </c>
      <c r="Y170" s="15">
        <f>_xlfn.IFNA(IF(VLOOKUP($J170&amp;Y$12,'Mapping A'!$A$6:$G$1011,7,0)=1,$L170,""),0)</f>
        <v>0</v>
      </c>
      <c r="Z170" s="15">
        <f>_xlfn.IFNA(IF(VLOOKUP($J170&amp;Z$12,'Mapping A'!$A$6:$G$1011,7,0)=1,$L170,""),0)</f>
        <v>0</v>
      </c>
      <c r="AA170" s="15">
        <f>_xlfn.IFNA(IF(VLOOKUP($J170&amp;AA$12,'Mapping A'!$A$6:$G$1011,7,0)=1,$L170,""),0)</f>
        <v>0</v>
      </c>
      <c r="AF170" s="155" t="str">
        <f t="shared" si="67"/>
        <v>PAK0331Vector</v>
      </c>
      <c r="AG170" s="15" t="s">
        <v>296</v>
      </c>
      <c r="AH170" s="190" t="s">
        <v>37</v>
      </c>
      <c r="AI170" s="190">
        <f t="shared" si="60"/>
        <v>138.15479999999999</v>
      </c>
      <c r="AJ170" s="292" t="s">
        <v>95</v>
      </c>
      <c r="AK170" s="15"/>
      <c r="AL170" s="15">
        <f t="shared" ca="1" si="54"/>
        <v>0</v>
      </c>
      <c r="AM170" s="15">
        <f t="shared" ca="1" si="55"/>
        <v>0</v>
      </c>
      <c r="AN170" s="15">
        <f t="shared" ca="1" si="56"/>
        <v>0</v>
      </c>
      <c r="AO170" s="15">
        <f t="shared" ca="1" si="57"/>
        <v>0</v>
      </c>
      <c r="AP170" s="15"/>
      <c r="AQ170" s="15">
        <f t="shared" ca="1" si="58"/>
        <v>0</v>
      </c>
      <c r="AR170" s="20">
        <f t="shared" ca="1" si="61"/>
        <v>0.60450951123651808</v>
      </c>
      <c r="AS170" s="20"/>
      <c r="AT170" s="20">
        <f t="shared" ca="1" si="62"/>
        <v>0</v>
      </c>
      <c r="AU170" s="20">
        <f t="shared" ca="1" si="63"/>
        <v>0.27880109398804848</v>
      </c>
      <c r="AV170" s="20">
        <f t="shared" ca="1" si="64"/>
        <v>0</v>
      </c>
      <c r="AW170" s="20">
        <f t="shared" si="65"/>
        <v>0</v>
      </c>
      <c r="AX170" s="20">
        <f t="shared" si="66"/>
        <v>0</v>
      </c>
      <c r="BA170" s="20"/>
      <c r="BC170">
        <v>9.6452999999999989</v>
      </c>
      <c r="BD170" s="94" t="str">
        <f t="shared" si="71"/>
        <v>ORO1102Buller Electricity</v>
      </c>
      <c r="BF170" s="15" t="s">
        <v>2</v>
      </c>
      <c r="BG170" t="s">
        <v>292</v>
      </c>
      <c r="BH170" s="190">
        <v>9.6452999999999989</v>
      </c>
      <c r="BI170" s="190">
        <v>8.8140001296996999</v>
      </c>
      <c r="BJ170" s="257">
        <f t="shared" si="70"/>
        <v>0.34258405439617728</v>
      </c>
      <c r="BK170" s="257">
        <f t="shared" si="68"/>
        <v>0.37555687483152389</v>
      </c>
      <c r="BL170" s="257">
        <f t="shared" si="69"/>
        <v>0.39753875512175491</v>
      </c>
      <c r="BM170" s="342" t="str">
        <f>VLOOKUP(LEFT(BG170,3),'Mapping B'!$D$2:$E$310,2,0)</f>
        <v>S</v>
      </c>
      <c r="BO170" s="20"/>
      <c r="BP170" s="190"/>
      <c r="BQ170" s="20"/>
      <c r="BR170" s="20"/>
    </row>
    <row r="171" spans="2:70" x14ac:dyDescent="0.25">
      <c r="B171" s="98" t="s">
        <v>553</v>
      </c>
      <c r="C171" s="98">
        <v>2014</v>
      </c>
      <c r="D171" s="98" t="s">
        <v>369</v>
      </c>
      <c r="E171" s="98" t="s">
        <v>4</v>
      </c>
      <c r="F171" s="98" t="s">
        <v>131</v>
      </c>
      <c r="G171" s="248">
        <v>44.7920964219471</v>
      </c>
      <c r="H171" s="299" t="str">
        <f>VLOOKUP(LEFT('Rev Adequacy'!D171,3),'Mapping B'!$D$2:$E$400,2,0)</f>
        <v>N</v>
      </c>
      <c r="I171" s="190"/>
      <c r="J171" s="15" t="s">
        <v>297</v>
      </c>
      <c r="K171" s="190" t="s">
        <v>28</v>
      </c>
      <c r="L171" s="190">
        <f t="shared" si="59"/>
        <v>33.198900000000002</v>
      </c>
      <c r="O171" s="15">
        <f>_xlfn.IFNA(IF(VLOOKUP($J171&amp;O$12,'Mapping A'!$A$6:$G$1011,7,0)=1,$L171,""),0)</f>
        <v>0</v>
      </c>
      <c r="P171" s="15">
        <f>_xlfn.IFNA(IF(VLOOKUP($J171&amp;P$12,'Mapping A'!$A$6:$G$1011,7,0)=1,$L171,""),0)</f>
        <v>33.198900000000002</v>
      </c>
      <c r="Q171" s="15">
        <f>_xlfn.IFNA(IF(VLOOKUP($J171&amp;Q$12,'Mapping A'!$A$6:$G$1011,7,0)=1,$L171,""),0)</f>
        <v>33.198900000000002</v>
      </c>
      <c r="R171" s="15">
        <f>_xlfn.IFNA(IF(VLOOKUP($J171&amp;R$12,'Mapping A'!$A$6:$G$1011,7,0)=1,$L171,""),0)</f>
        <v>0</v>
      </c>
      <c r="S171" s="15">
        <f>_xlfn.IFNA(IF(VLOOKUP($J171&amp;S$12,'Mapping A'!$A$6:$G$1011,7,0)=1,$L171,""),0)</f>
        <v>0</v>
      </c>
      <c r="T171" s="15">
        <f>_xlfn.IFNA(IF(VLOOKUP($J171&amp;T$14,'Mapping A'!$A$6:$G$1011,7,0)=1,$L171,""),0)</f>
        <v>0</v>
      </c>
      <c r="U171" s="15">
        <f>_xlfn.IFNA(IF(VLOOKUP($J171&amp;U$12,'Mapping A'!$A$6:$G$1011,7,0)=1,$L171,""),0)</f>
        <v>0</v>
      </c>
      <c r="V171" s="15">
        <f>_xlfn.IFNA(IF(VLOOKUP($J171&amp;V$12,'Mapping A'!$A$6:$G$1011,7,0)=1,$L171,""),0)</f>
        <v>0</v>
      </c>
      <c r="W171" s="15">
        <f>_xlfn.IFNA(IF(VLOOKUP($J171&amp;W$12,'Mapping A'!$A$6:$G$1011,7,0)=1,$L171,""),0)</f>
        <v>0</v>
      </c>
      <c r="X171" s="15">
        <f>_xlfn.IFNA(IF(VLOOKUP($J171&amp;X$12,'Mapping A'!$A$6:$G$1011,7,0)=1,$L171,""),0)</f>
        <v>0</v>
      </c>
      <c r="Y171" s="15">
        <f>_xlfn.IFNA(IF(VLOOKUP($J171&amp;Y$12,'Mapping A'!$A$6:$G$1011,7,0)=1,$L171,""),0)</f>
        <v>0</v>
      </c>
      <c r="Z171" s="15">
        <f>_xlfn.IFNA(IF(VLOOKUP($J171&amp;Z$12,'Mapping A'!$A$6:$G$1011,7,0)=1,$L171,""),0)</f>
        <v>0</v>
      </c>
      <c r="AA171" s="15">
        <f>_xlfn.IFNA(IF(VLOOKUP($J171&amp;AA$12,'Mapping A'!$A$6:$G$1011,7,0)=1,$L171,""),0)</f>
        <v>0</v>
      </c>
      <c r="AF171" s="155" t="str">
        <f t="shared" si="67"/>
        <v>PAO1101Powerco</v>
      </c>
      <c r="AG171" s="15" t="s">
        <v>297</v>
      </c>
      <c r="AH171" s="190" t="s">
        <v>28</v>
      </c>
      <c r="AI171" s="190">
        <f t="shared" si="60"/>
        <v>33.198900000000002</v>
      </c>
      <c r="AJ171" s="292" t="s">
        <v>95</v>
      </c>
      <c r="AK171" s="15"/>
      <c r="AL171" s="15">
        <f t="shared" ca="1" si="54"/>
        <v>0</v>
      </c>
      <c r="AM171" s="15">
        <f t="shared" ca="1" si="55"/>
        <v>0</v>
      </c>
      <c r="AN171" s="15">
        <f t="shared" ca="1" si="56"/>
        <v>0</v>
      </c>
      <c r="AO171" s="15">
        <f t="shared" ca="1" si="57"/>
        <v>0</v>
      </c>
      <c r="AP171" s="15"/>
      <c r="AQ171" s="15">
        <f t="shared" ca="1" si="58"/>
        <v>0</v>
      </c>
      <c r="AR171" s="20">
        <f t="shared" ca="1" si="61"/>
        <v>0</v>
      </c>
      <c r="AS171" s="20"/>
      <c r="AT171" s="20">
        <f t="shared" ca="1" si="62"/>
        <v>0</v>
      </c>
      <c r="AU171" s="20">
        <f t="shared" ca="1" si="63"/>
        <v>0</v>
      </c>
      <c r="AV171" s="20">
        <f t="shared" ca="1" si="64"/>
        <v>0</v>
      </c>
      <c r="AW171" s="20">
        <f t="shared" si="65"/>
        <v>0</v>
      </c>
      <c r="AX171" s="20">
        <f t="shared" si="66"/>
        <v>0</v>
      </c>
      <c r="BA171" s="20"/>
      <c r="BD171" s="94" t="str">
        <f t="shared" si="71"/>
        <v>OTA0221Contact</v>
      </c>
      <c r="BF171" s="15" t="s">
        <v>4</v>
      </c>
      <c r="BG171" t="s">
        <v>293</v>
      </c>
      <c r="BH171" s="190">
        <v>6.0522</v>
      </c>
      <c r="BI171" s="190">
        <v>5.95406079426491</v>
      </c>
      <c r="BJ171" s="257">
        <f t="shared" si="70"/>
        <v>0.21496347589152692</v>
      </c>
      <c r="BK171" s="257">
        <f t="shared" si="68"/>
        <v>0.23565314897985018</v>
      </c>
      <c r="BL171" s="257">
        <f t="shared" si="69"/>
        <v>0.24944626437206574</v>
      </c>
      <c r="BM171" s="342" t="str">
        <f>VLOOKUP(LEFT(BG171,3),'Mapping B'!$D$2:$E$310,2,0)</f>
        <v>N</v>
      </c>
      <c r="BO171" s="20"/>
      <c r="BP171" s="190"/>
      <c r="BQ171" s="20"/>
      <c r="BR171" s="20"/>
    </row>
    <row r="172" spans="2:70" x14ac:dyDescent="0.25">
      <c r="B172" s="98" t="s">
        <v>553</v>
      </c>
      <c r="C172" s="98">
        <v>2014</v>
      </c>
      <c r="D172" s="98" t="s">
        <v>370</v>
      </c>
      <c r="E172" s="98" t="s">
        <v>4</v>
      </c>
      <c r="F172" s="98" t="s">
        <v>131</v>
      </c>
      <c r="G172" s="248">
        <v>420.04700000001202</v>
      </c>
      <c r="H172" s="299" t="str">
        <f>VLOOKUP(LEFT('Rev Adequacy'!D172,3),'Mapping B'!$D$2:$E$400,2,0)</f>
        <v>N</v>
      </c>
      <c r="I172" s="190"/>
      <c r="J172" s="15" t="s">
        <v>298</v>
      </c>
      <c r="K172" s="190" t="s">
        <v>37</v>
      </c>
      <c r="L172" s="190">
        <f t="shared" si="59"/>
        <v>55.412699999999994</v>
      </c>
      <c r="O172" s="15">
        <f>_xlfn.IFNA(IF(VLOOKUP($J172&amp;O$12,'Mapping A'!$A$6:$G$1011,7,0)=1,$L172,""),0)</f>
        <v>55.412699999999994</v>
      </c>
      <c r="P172" s="15">
        <f>_xlfn.IFNA(IF(VLOOKUP($J172&amp;P$12,'Mapping A'!$A$6:$G$1011,7,0)=1,$L172,""),0)</f>
        <v>55.412699999999994</v>
      </c>
      <c r="Q172" s="15">
        <f>_xlfn.IFNA(IF(VLOOKUP($J172&amp;Q$12,'Mapping A'!$A$6:$G$1011,7,0)=1,$L172,""),0)</f>
        <v>55.412699999999994</v>
      </c>
      <c r="R172" s="15">
        <f>_xlfn.IFNA(IF(VLOOKUP($J172&amp;R$12,'Mapping A'!$A$6:$G$1011,7,0)=1,$L172,""),0)</f>
        <v>0</v>
      </c>
      <c r="S172" s="15">
        <f>_xlfn.IFNA(IF(VLOOKUP($J172&amp;S$12,'Mapping A'!$A$6:$G$1011,7,0)=1,$L172,""),0)</f>
        <v>0</v>
      </c>
      <c r="T172" s="15">
        <f>_xlfn.IFNA(IF(VLOOKUP($J172&amp;T$14,'Mapping A'!$A$6:$G$1011,7,0)=1,$L172,""),0)</f>
        <v>55.412699999999994</v>
      </c>
      <c r="U172" s="15">
        <f>_xlfn.IFNA(IF(VLOOKUP($J172&amp;U$12,'Mapping A'!$A$6:$G$1011,7,0)=1,$L172,""),0)</f>
        <v>55.412699999999994</v>
      </c>
      <c r="V172" s="15">
        <f>_xlfn.IFNA(IF(VLOOKUP($J172&amp;V$12,'Mapping A'!$A$6:$G$1011,7,0)=1,$L172,""),0)</f>
        <v>0</v>
      </c>
      <c r="W172" s="15">
        <f>_xlfn.IFNA(IF(VLOOKUP($J172&amp;W$12,'Mapping A'!$A$6:$G$1011,7,0)=1,$L172,""),0)</f>
        <v>0</v>
      </c>
      <c r="X172" s="15">
        <f>_xlfn.IFNA(IF(VLOOKUP($J172&amp;X$12,'Mapping A'!$A$6:$G$1011,7,0)=1,$L172,""),0)</f>
        <v>55.412699999999994</v>
      </c>
      <c r="Y172" s="15">
        <f>_xlfn.IFNA(IF(VLOOKUP($J172&amp;Y$12,'Mapping A'!$A$6:$G$1011,7,0)=1,$L172,""),0)</f>
        <v>0</v>
      </c>
      <c r="Z172" s="15">
        <f>_xlfn.IFNA(IF(VLOOKUP($J172&amp;Z$12,'Mapping A'!$A$6:$G$1011,7,0)=1,$L172,""),0)</f>
        <v>0</v>
      </c>
      <c r="AA172" s="15">
        <f>_xlfn.IFNA(IF(VLOOKUP($J172&amp;AA$12,'Mapping A'!$A$6:$G$1011,7,0)=1,$L172,""),0)</f>
        <v>0</v>
      </c>
      <c r="AF172" s="155" t="str">
        <f t="shared" si="67"/>
        <v>PEN0221Vector</v>
      </c>
      <c r="AG172" s="15" t="s">
        <v>298</v>
      </c>
      <c r="AH172" s="190" t="s">
        <v>37</v>
      </c>
      <c r="AI172" s="190">
        <f t="shared" si="60"/>
        <v>55.412699999999994</v>
      </c>
      <c r="AJ172" s="292" t="s">
        <v>95</v>
      </c>
      <c r="AK172" s="15"/>
      <c r="AL172" s="15">
        <f t="shared" ref="AL172:AL235" ca="1" si="72">O$13*O$7*O172/O$21</f>
        <v>0</v>
      </c>
      <c r="AM172" s="15">
        <f t="shared" ref="AM172:AM235" ca="1" si="73">P$13*P$7*P172/P$21</f>
        <v>0</v>
      </c>
      <c r="AN172" s="15">
        <f t="shared" ref="AN172:AN235" ca="1" si="74">Q$13*Q$7*Q172/Q$21</f>
        <v>0</v>
      </c>
      <c r="AO172" s="15">
        <f t="shared" ref="AO172:AO235" ca="1" si="75">R$13*R$7*R172/R$21</f>
        <v>0</v>
      </c>
      <c r="AP172" s="15"/>
      <c r="AQ172" s="15">
        <f t="shared" ref="AQ172:AQ235" ca="1" si="76">T$15*T$7*T172/T$21</f>
        <v>0</v>
      </c>
      <c r="AR172" s="20">
        <f t="shared" ca="1" si="61"/>
        <v>0.24246355677324136</v>
      </c>
      <c r="AS172" s="20"/>
      <c r="AT172" s="20">
        <f t="shared" ca="1" si="62"/>
        <v>0</v>
      </c>
      <c r="AU172" s="20">
        <f t="shared" ca="1" si="63"/>
        <v>0.11182471677300776</v>
      </c>
      <c r="AV172" s="20">
        <f t="shared" ca="1" si="64"/>
        <v>0</v>
      </c>
      <c r="AW172" s="20">
        <f t="shared" si="65"/>
        <v>0</v>
      </c>
      <c r="AX172" s="20">
        <f t="shared" si="66"/>
        <v>0</v>
      </c>
      <c r="BA172" s="20"/>
      <c r="BD172" s="94" t="str">
        <f t="shared" si="71"/>
        <v>OTA0221Vector</v>
      </c>
      <c r="BF172" s="15" t="s">
        <v>37</v>
      </c>
      <c r="BG172" t="s">
        <v>293</v>
      </c>
      <c r="BH172" s="190">
        <v>63.088200000000001</v>
      </c>
      <c r="BI172" s="190">
        <v>62.350379625132099</v>
      </c>
      <c r="BJ172" s="257">
        <f t="shared" si="70"/>
        <v>2.2407816595188241</v>
      </c>
      <c r="BK172" s="257">
        <f t="shared" si="68"/>
        <v>2.4564510415172309</v>
      </c>
      <c r="BL172" s="257">
        <f t="shared" si="69"/>
        <v>2.6002306295161688</v>
      </c>
      <c r="BM172" s="342" t="str">
        <f>VLOOKUP(LEFT(BG172,3),'Mapping B'!$D$2:$E$310,2,0)</f>
        <v>N</v>
      </c>
      <c r="BO172" s="20"/>
      <c r="BP172" s="190"/>
      <c r="BQ172" s="20"/>
      <c r="BR172" s="20"/>
    </row>
    <row r="173" spans="2:70" x14ac:dyDescent="0.25">
      <c r="B173" s="98" t="s">
        <v>553</v>
      </c>
      <c r="C173" s="98">
        <v>2014</v>
      </c>
      <c r="D173" s="98" t="s">
        <v>371</v>
      </c>
      <c r="E173" s="98" t="s">
        <v>4</v>
      </c>
      <c r="F173" s="98" t="s">
        <v>136</v>
      </c>
      <c r="G173" s="248">
        <v>0</v>
      </c>
      <c r="H173" s="299" t="str">
        <f>VLOOKUP(LEFT('Rev Adequacy'!D173,3),'Mapping B'!$D$2:$E$400,2,0)</f>
        <v>N</v>
      </c>
      <c r="I173" s="190"/>
      <c r="J173" s="15" t="s">
        <v>299</v>
      </c>
      <c r="K173" s="190" t="s">
        <v>51</v>
      </c>
      <c r="L173" s="190">
        <f t="shared" si="59"/>
        <v>1.5266999999999999</v>
      </c>
      <c r="O173" s="15">
        <f>_xlfn.IFNA(IF(VLOOKUP($J173&amp;O$12,'Mapping A'!$A$6:$G$1011,7,0)=1,$L173,""),0)</f>
        <v>0</v>
      </c>
      <c r="P173" s="15">
        <f>_xlfn.IFNA(IF(VLOOKUP($J173&amp;P$12,'Mapping A'!$A$6:$G$1011,7,0)=1,$L173,""),0)</f>
        <v>0</v>
      </c>
      <c r="Q173" s="15">
        <f>_xlfn.IFNA(IF(VLOOKUP($J173&amp;Q$12,'Mapping A'!$A$6:$G$1011,7,0)=1,$L173,""),0)</f>
        <v>0</v>
      </c>
      <c r="R173" s="15">
        <f>_xlfn.IFNA(IF(VLOOKUP($J173&amp;R$12,'Mapping A'!$A$6:$G$1011,7,0)=1,$L173,""),0)</f>
        <v>0</v>
      </c>
      <c r="S173" s="15">
        <f>_xlfn.IFNA(IF(VLOOKUP($J173&amp;S$12,'Mapping A'!$A$6:$G$1011,7,0)=1,$L173,""),0)</f>
        <v>0</v>
      </c>
      <c r="T173" s="15">
        <f>_xlfn.IFNA(IF(VLOOKUP($J173&amp;T$14,'Mapping A'!$A$6:$G$1011,7,0)=1,$L173,""),0)</f>
        <v>0</v>
      </c>
      <c r="U173" s="15">
        <f>_xlfn.IFNA(IF(VLOOKUP($J173&amp;U$12,'Mapping A'!$A$6:$G$1011,7,0)=1,$L173,""),0)</f>
        <v>0</v>
      </c>
      <c r="V173" s="15">
        <f>_xlfn.IFNA(IF(VLOOKUP($J173&amp;V$12,'Mapping A'!$A$6:$G$1011,7,0)=1,$L173,""),0)</f>
        <v>0</v>
      </c>
      <c r="W173" s="15">
        <f>_xlfn.IFNA(IF(VLOOKUP($J173&amp;W$12,'Mapping A'!$A$6:$G$1011,7,0)=1,$L173,""),0)</f>
        <v>0</v>
      </c>
      <c r="X173" s="15">
        <f>_xlfn.IFNA(IF(VLOOKUP($J173&amp;X$12,'Mapping A'!$A$6:$G$1011,7,0)=1,$L173,""),0)</f>
        <v>0</v>
      </c>
      <c r="Y173" s="15">
        <f>_xlfn.IFNA(IF(VLOOKUP($J173&amp;Y$12,'Mapping A'!$A$6:$G$1011,7,0)=1,$L173,""),0)</f>
        <v>0</v>
      </c>
      <c r="Z173" s="15">
        <f>_xlfn.IFNA(IF(VLOOKUP($J173&amp;Z$12,'Mapping A'!$A$6:$G$1011,7,0)=1,$L173,""),0)</f>
        <v>0</v>
      </c>
      <c r="AA173" s="15">
        <f>_xlfn.IFNA(IF(VLOOKUP($J173&amp;AA$12,'Mapping A'!$A$6:$G$1011,7,0)=1,$L173,""),0)</f>
        <v>0</v>
      </c>
      <c r="AF173" s="155" t="str">
        <f t="shared" si="67"/>
        <v>PEN0251Kiwirail</v>
      </c>
      <c r="AG173" s="15" t="s">
        <v>299</v>
      </c>
      <c r="AH173" s="190" t="s">
        <v>51</v>
      </c>
      <c r="AI173" s="190">
        <f t="shared" si="60"/>
        <v>1.5266999999999999</v>
      </c>
      <c r="AJ173" s="292" t="s">
        <v>95</v>
      </c>
      <c r="AK173" s="15"/>
      <c r="AL173" s="15">
        <f t="shared" ca="1" si="72"/>
        <v>0</v>
      </c>
      <c r="AM173" s="15">
        <f t="shared" ca="1" si="73"/>
        <v>0</v>
      </c>
      <c r="AN173" s="15">
        <f t="shared" ca="1" si="74"/>
        <v>0</v>
      </c>
      <c r="AO173" s="15">
        <f t="shared" ca="1" si="75"/>
        <v>0</v>
      </c>
      <c r="AP173" s="15"/>
      <c r="AQ173" s="15">
        <f t="shared" ca="1" si="76"/>
        <v>0</v>
      </c>
      <c r="AR173" s="20">
        <f t="shared" ca="1" si="61"/>
        <v>0</v>
      </c>
      <c r="AS173" s="20"/>
      <c r="AT173" s="20">
        <f t="shared" ca="1" si="62"/>
        <v>0</v>
      </c>
      <c r="AU173" s="20">
        <f t="shared" ca="1" si="63"/>
        <v>0</v>
      </c>
      <c r="AV173" s="20">
        <f t="shared" ca="1" si="64"/>
        <v>0</v>
      </c>
      <c r="AW173" s="20">
        <f t="shared" si="65"/>
        <v>0</v>
      </c>
      <c r="AX173" s="20">
        <f t="shared" si="66"/>
        <v>0</v>
      </c>
      <c r="BA173" s="20"/>
      <c r="BD173" s="94" t="str">
        <f t="shared" si="71"/>
        <v>OTI0111Westpower</v>
      </c>
      <c r="BF173" s="15" t="s">
        <v>41</v>
      </c>
      <c r="BG173" t="s">
        <v>294</v>
      </c>
      <c r="BH173" s="190">
        <v>0.61950000000000005</v>
      </c>
      <c r="BI173" s="190">
        <v>0.62199997901916504</v>
      </c>
      <c r="BJ173" s="257">
        <f t="shared" si="70"/>
        <v>2.2003548018043179E-2</v>
      </c>
      <c r="BK173" s="257">
        <f t="shared" si="68"/>
        <v>2.4121332043392025E-2</v>
      </c>
      <c r="BL173" s="257">
        <f t="shared" si="69"/>
        <v>2.5533188060291253E-2</v>
      </c>
      <c r="BM173" s="342" t="str">
        <f>VLOOKUP(LEFT(BG173,3),'Mapping B'!$D$2:$E$310,2,0)</f>
        <v>S</v>
      </c>
      <c r="BO173" s="20"/>
      <c r="BP173" s="190"/>
      <c r="BQ173" s="20"/>
      <c r="BR173" s="20"/>
    </row>
    <row r="174" spans="2:70" x14ac:dyDescent="0.25">
      <c r="B174" s="98" t="s">
        <v>553</v>
      </c>
      <c r="C174" s="98">
        <v>2014</v>
      </c>
      <c r="D174" s="98" t="s">
        <v>387</v>
      </c>
      <c r="E174" s="98" t="s">
        <v>4</v>
      </c>
      <c r="F174" s="98" t="s">
        <v>136</v>
      </c>
      <c r="G174" s="248">
        <v>0</v>
      </c>
      <c r="H174" s="299" t="str">
        <f>VLOOKUP(LEFT('Rev Adequacy'!D174,3),'Mapping B'!$D$2:$E$400,2,0)</f>
        <v>N</v>
      </c>
      <c r="I174" s="190"/>
      <c r="J174" s="15" t="s">
        <v>300</v>
      </c>
      <c r="K174" s="190" t="s">
        <v>53</v>
      </c>
      <c r="L174" s="190">
        <f t="shared" si="59"/>
        <v>0</v>
      </c>
      <c r="O174" s="15">
        <f>_xlfn.IFNA(IF(VLOOKUP($J174&amp;O$12,'Mapping A'!$A$6:$G$1011,7,0)=1,$L174,""),0)</f>
        <v>0</v>
      </c>
      <c r="P174" s="15">
        <f>_xlfn.IFNA(IF(VLOOKUP($J174&amp;P$12,'Mapping A'!$A$6:$G$1011,7,0)=1,$L174,""),0)</f>
        <v>0</v>
      </c>
      <c r="Q174" s="15">
        <f>_xlfn.IFNA(IF(VLOOKUP($J174&amp;Q$12,'Mapping A'!$A$6:$G$1011,7,0)=1,$L174,""),0)</f>
        <v>0</v>
      </c>
      <c r="R174" s="15">
        <f>_xlfn.IFNA(IF(VLOOKUP($J174&amp;R$12,'Mapping A'!$A$6:$G$1011,7,0)=1,$L174,""),0)</f>
        <v>0</v>
      </c>
      <c r="S174" s="15">
        <f>_xlfn.IFNA(IF(VLOOKUP($J174&amp;S$12,'Mapping A'!$A$6:$G$1011,7,0)=1,$L174,""),0)</f>
        <v>0</v>
      </c>
      <c r="T174" s="15">
        <f>_xlfn.IFNA(IF(VLOOKUP($J174&amp;T$14,'Mapping A'!$A$6:$G$1011,7,0)=1,$L174,""),0)</f>
        <v>0</v>
      </c>
      <c r="U174" s="15">
        <f>_xlfn.IFNA(IF(VLOOKUP($J174&amp;U$12,'Mapping A'!$A$6:$G$1011,7,0)=1,$L174,""),0)</f>
        <v>0</v>
      </c>
      <c r="V174" s="15">
        <f>_xlfn.IFNA(IF(VLOOKUP($J174&amp;V$12,'Mapping A'!$A$6:$G$1011,7,0)=1,$L174,""),0)</f>
        <v>0</v>
      </c>
      <c r="W174" s="15">
        <f>_xlfn.IFNA(IF(VLOOKUP($J174&amp;W$12,'Mapping A'!$A$6:$G$1011,7,0)=1,$L174,""),0)</f>
        <v>0</v>
      </c>
      <c r="X174" s="15">
        <f>_xlfn.IFNA(IF(VLOOKUP($J174&amp;X$12,'Mapping A'!$A$6:$G$1011,7,0)=1,$L174,""),0)</f>
        <v>0</v>
      </c>
      <c r="Y174" s="15">
        <f>_xlfn.IFNA(IF(VLOOKUP($J174&amp;Y$12,'Mapping A'!$A$6:$G$1011,7,0)=1,$L174,""),0)</f>
        <v>0</v>
      </c>
      <c r="Z174" s="15">
        <f>_xlfn.IFNA(IF(VLOOKUP($J174&amp;Z$12,'Mapping A'!$A$6:$G$1011,7,0)=1,$L174,""),0)</f>
        <v>0</v>
      </c>
      <c r="AA174" s="15">
        <f>_xlfn.IFNA(IF(VLOOKUP($J174&amp;AA$12,'Mapping A'!$A$6:$G$1011,7,0)=1,$L174,""),0)</f>
        <v>0</v>
      </c>
      <c r="AF174" s="155" t="str">
        <f t="shared" si="67"/>
        <v>PEN0331Other</v>
      </c>
      <c r="AG174" s="15" t="s">
        <v>300</v>
      </c>
      <c r="AH174" s="190" t="s">
        <v>53</v>
      </c>
      <c r="AI174" s="190">
        <f t="shared" si="60"/>
        <v>0</v>
      </c>
      <c r="AJ174" s="292" t="s">
        <v>95</v>
      </c>
      <c r="AK174" s="15"/>
      <c r="AL174" s="15">
        <f t="shared" ca="1" si="72"/>
        <v>0</v>
      </c>
      <c r="AM174" s="15">
        <f t="shared" ca="1" si="73"/>
        <v>0</v>
      </c>
      <c r="AN174" s="15">
        <f t="shared" ca="1" si="74"/>
        <v>0</v>
      </c>
      <c r="AO174" s="15">
        <f t="shared" ca="1" si="75"/>
        <v>0</v>
      </c>
      <c r="AP174" s="15"/>
      <c r="AQ174" s="15">
        <f t="shared" ca="1" si="76"/>
        <v>0</v>
      </c>
      <c r="AR174" s="20">
        <f t="shared" ca="1" si="61"/>
        <v>0</v>
      </c>
      <c r="AS174" s="20"/>
      <c r="AT174" s="20">
        <f t="shared" ca="1" si="62"/>
        <v>0</v>
      </c>
      <c r="AU174" s="20">
        <f t="shared" ca="1" si="63"/>
        <v>0</v>
      </c>
      <c r="AV174" s="20">
        <f t="shared" ca="1" si="64"/>
        <v>0</v>
      </c>
      <c r="AW174" s="20">
        <f t="shared" si="65"/>
        <v>0</v>
      </c>
      <c r="AX174" s="20">
        <f t="shared" si="66"/>
        <v>0</v>
      </c>
      <c r="BA174" s="20"/>
      <c r="BD174" s="94" t="str">
        <f t="shared" si="71"/>
        <v>OWH0111Unison</v>
      </c>
      <c r="BF174" s="15" t="s">
        <v>36</v>
      </c>
      <c r="BG174" t="s">
        <v>295</v>
      </c>
      <c r="BH174" s="190">
        <v>13.490399999999999</v>
      </c>
      <c r="BI174" s="190">
        <v>13.489000320434499</v>
      </c>
      <c r="BJ174" s="257">
        <f t="shared" si="70"/>
        <v>0.4791552287047775</v>
      </c>
      <c r="BK174" s="257">
        <f t="shared" si="68"/>
        <v>0.52527266795508587</v>
      </c>
      <c r="BL174" s="257">
        <f t="shared" si="69"/>
        <v>0.55601762745529149</v>
      </c>
      <c r="BM174" s="342" t="str">
        <f>VLOOKUP(LEFT(BG174,3),'Mapping B'!$D$2:$E$310,2,0)</f>
        <v>N</v>
      </c>
      <c r="BO174" s="20"/>
      <c r="BP174" s="190"/>
      <c r="BQ174" s="20"/>
      <c r="BR174" s="20"/>
    </row>
    <row r="175" spans="2:70" x14ac:dyDescent="0.25">
      <c r="B175" s="98" t="s">
        <v>553</v>
      </c>
      <c r="C175" s="98">
        <v>2014</v>
      </c>
      <c r="D175" s="98" t="s">
        <v>388</v>
      </c>
      <c r="E175" s="98" t="s">
        <v>4</v>
      </c>
      <c r="F175" s="98" t="s">
        <v>136</v>
      </c>
      <c r="G175" s="248">
        <v>0</v>
      </c>
      <c r="H175" s="299" t="str">
        <f>VLOOKUP(LEFT('Rev Adequacy'!D175,3),'Mapping B'!$D$2:$E$400,2,0)</f>
        <v>N</v>
      </c>
      <c r="I175" s="190"/>
      <c r="J175" s="15" t="s">
        <v>300</v>
      </c>
      <c r="K175" s="190" t="s">
        <v>37</v>
      </c>
      <c r="L175" s="190">
        <f t="shared" si="59"/>
        <v>267.10740000000004</v>
      </c>
      <c r="O175" s="15">
        <f>_xlfn.IFNA(IF(VLOOKUP($J175&amp;O$12,'Mapping A'!$A$6:$G$1011,7,0)=1,$L175,""),0)</f>
        <v>267.10740000000004</v>
      </c>
      <c r="P175" s="15">
        <f>_xlfn.IFNA(IF(VLOOKUP($J175&amp;P$12,'Mapping A'!$A$6:$G$1011,7,0)=1,$L175,""),0)</f>
        <v>267.10740000000004</v>
      </c>
      <c r="Q175" s="15">
        <f>_xlfn.IFNA(IF(VLOOKUP($J175&amp;Q$12,'Mapping A'!$A$6:$G$1011,7,0)=1,$L175,""),0)</f>
        <v>267.10740000000004</v>
      </c>
      <c r="R175" s="15">
        <f>_xlfn.IFNA(IF(VLOOKUP($J175&amp;R$12,'Mapping A'!$A$6:$G$1011,7,0)=1,$L175,""),0)</f>
        <v>0</v>
      </c>
      <c r="S175" s="15">
        <f>_xlfn.IFNA(IF(VLOOKUP($J175&amp;S$12,'Mapping A'!$A$6:$G$1011,7,0)=1,$L175,""),0)</f>
        <v>0</v>
      </c>
      <c r="T175" s="15">
        <f>_xlfn.IFNA(IF(VLOOKUP($J175&amp;T$14,'Mapping A'!$A$6:$G$1011,7,0)=1,$L175,""),0)</f>
        <v>267.10740000000004</v>
      </c>
      <c r="U175" s="15">
        <f>_xlfn.IFNA(IF(VLOOKUP($J175&amp;U$12,'Mapping A'!$A$6:$G$1011,7,0)=1,$L175,""),0)</f>
        <v>267.10740000000004</v>
      </c>
      <c r="V175" s="15">
        <f>_xlfn.IFNA(IF(VLOOKUP($J175&amp;V$12,'Mapping A'!$A$6:$G$1011,7,0)=1,$L175,""),0)</f>
        <v>0</v>
      </c>
      <c r="W175" s="15">
        <f>_xlfn.IFNA(IF(VLOOKUP($J175&amp;W$12,'Mapping A'!$A$6:$G$1011,7,0)=1,$L175,""),0)</f>
        <v>0</v>
      </c>
      <c r="X175" s="15">
        <f>_xlfn.IFNA(IF(VLOOKUP($J175&amp;X$12,'Mapping A'!$A$6:$G$1011,7,0)=1,$L175,""),0)</f>
        <v>267.10740000000004</v>
      </c>
      <c r="Y175" s="15">
        <f>_xlfn.IFNA(IF(VLOOKUP($J175&amp;Y$12,'Mapping A'!$A$6:$G$1011,7,0)=1,$L175,""),0)</f>
        <v>0</v>
      </c>
      <c r="Z175" s="15">
        <f>_xlfn.IFNA(IF(VLOOKUP($J175&amp;Z$12,'Mapping A'!$A$6:$G$1011,7,0)=1,$L175,""),0)</f>
        <v>0</v>
      </c>
      <c r="AA175" s="15">
        <f>_xlfn.IFNA(IF(VLOOKUP($J175&amp;AA$12,'Mapping A'!$A$6:$G$1011,7,0)=1,$L175,""),0)</f>
        <v>0</v>
      </c>
      <c r="AF175" s="155" t="str">
        <f t="shared" si="67"/>
        <v>PEN0331Vector</v>
      </c>
      <c r="AG175" s="15" t="s">
        <v>300</v>
      </c>
      <c r="AH175" s="190" t="s">
        <v>37</v>
      </c>
      <c r="AI175" s="190">
        <f t="shared" si="60"/>
        <v>267.10740000000004</v>
      </c>
      <c r="AJ175" s="292" t="s">
        <v>95</v>
      </c>
      <c r="AK175" s="15"/>
      <c r="AL175" s="15">
        <f t="shared" ca="1" si="72"/>
        <v>0</v>
      </c>
      <c r="AM175" s="15">
        <f t="shared" ca="1" si="73"/>
        <v>0</v>
      </c>
      <c r="AN175" s="15">
        <f t="shared" ca="1" si="74"/>
        <v>0</v>
      </c>
      <c r="AO175" s="15">
        <f t="shared" ca="1" si="75"/>
        <v>0</v>
      </c>
      <c r="AP175" s="15"/>
      <c r="AQ175" s="15">
        <f t="shared" ca="1" si="76"/>
        <v>0</v>
      </c>
      <c r="AR175" s="20">
        <f t="shared" ca="1" si="61"/>
        <v>1.1687539182254774</v>
      </c>
      <c r="AS175" s="20"/>
      <c r="AT175" s="20">
        <f t="shared" ca="1" si="62"/>
        <v>0</v>
      </c>
      <c r="AU175" s="20">
        <f t="shared" ca="1" si="63"/>
        <v>0.53903183481358063</v>
      </c>
      <c r="AV175" s="20">
        <f t="shared" ca="1" si="64"/>
        <v>0</v>
      </c>
      <c r="AW175" s="20">
        <f t="shared" si="65"/>
        <v>0</v>
      </c>
      <c r="AX175" s="20">
        <f t="shared" si="66"/>
        <v>0</v>
      </c>
      <c r="BA175" s="20"/>
      <c r="BD175" s="94" t="str">
        <f t="shared" si="71"/>
        <v>PAK0331Vector</v>
      </c>
      <c r="BF175" s="15" t="s">
        <v>37</v>
      </c>
      <c r="BG175" t="s">
        <v>296</v>
      </c>
      <c r="BH175" s="190">
        <v>138.15479999999999</v>
      </c>
      <c r="BI175" s="190">
        <v>138.15400695800699</v>
      </c>
      <c r="BJ175" s="257">
        <f t="shared" si="70"/>
        <v>4.9070149729187271</v>
      </c>
      <c r="BK175" s="257">
        <f t="shared" si="68"/>
        <v>5.3793023473582178</v>
      </c>
      <c r="BL175" s="257">
        <f t="shared" si="69"/>
        <v>5.6941605969845446</v>
      </c>
      <c r="BM175" s="342" t="str">
        <f>VLOOKUP(LEFT(BG175,3),'Mapping B'!$D$2:$E$310,2,0)</f>
        <v>N</v>
      </c>
      <c r="BO175" s="20"/>
      <c r="BP175" s="190"/>
      <c r="BQ175" s="20"/>
      <c r="BR175" s="20"/>
    </row>
    <row r="176" spans="2:70" x14ac:dyDescent="0.25">
      <c r="B176" s="98" t="s">
        <v>554</v>
      </c>
      <c r="C176" s="98">
        <v>2014</v>
      </c>
      <c r="D176" s="98" t="s">
        <v>177</v>
      </c>
      <c r="E176" s="98" t="s">
        <v>4</v>
      </c>
      <c r="F176" s="98" t="s">
        <v>131</v>
      </c>
      <c r="G176" s="98">
        <v>32.847099427753903</v>
      </c>
      <c r="H176" s="299" t="str">
        <f>VLOOKUP(LEFT('Rev Adequacy'!D176,3),'Mapping B'!$D$2:$E$400,2,0)</f>
        <v>S</v>
      </c>
      <c r="I176" s="190"/>
      <c r="J176" s="15" t="s">
        <v>301</v>
      </c>
      <c r="K176" s="190" t="s">
        <v>37</v>
      </c>
      <c r="L176" s="190">
        <f t="shared" si="59"/>
        <v>200.09010000000001</v>
      </c>
      <c r="O176" s="15">
        <f>_xlfn.IFNA(IF(VLOOKUP($J176&amp;O$12,'Mapping A'!$A$6:$G$1011,7,0)=1,$L176,""),0)</f>
        <v>200.09010000000001</v>
      </c>
      <c r="P176" s="15">
        <f>_xlfn.IFNA(IF(VLOOKUP($J176&amp;P$12,'Mapping A'!$A$6:$G$1011,7,0)=1,$L176,""),0)</f>
        <v>200.09010000000001</v>
      </c>
      <c r="Q176" s="15">
        <f>_xlfn.IFNA(IF(VLOOKUP($J176&amp;Q$12,'Mapping A'!$A$6:$G$1011,7,0)=1,$L176,""),0)</f>
        <v>200.09010000000001</v>
      </c>
      <c r="R176" s="15">
        <f>_xlfn.IFNA(IF(VLOOKUP($J176&amp;R$12,'Mapping A'!$A$6:$G$1011,7,0)=1,$L176,""),0)</f>
        <v>0</v>
      </c>
      <c r="S176" s="15">
        <f>_xlfn.IFNA(IF(VLOOKUP($J176&amp;S$12,'Mapping A'!$A$6:$G$1011,7,0)=1,$L176,""),0)</f>
        <v>0</v>
      </c>
      <c r="T176" s="15">
        <f>_xlfn.IFNA(IF(VLOOKUP($J176&amp;T$14,'Mapping A'!$A$6:$G$1011,7,0)=1,$L176,""),0)</f>
        <v>200.09010000000001</v>
      </c>
      <c r="U176" s="15">
        <f>_xlfn.IFNA(IF(VLOOKUP($J176&amp;U$12,'Mapping A'!$A$6:$G$1011,7,0)=1,$L176,""),0)</f>
        <v>200.09010000000001</v>
      </c>
      <c r="V176" s="15">
        <f>_xlfn.IFNA(IF(VLOOKUP($J176&amp;V$12,'Mapping A'!$A$6:$G$1011,7,0)=1,$L176,""),0)</f>
        <v>0</v>
      </c>
      <c r="W176" s="15">
        <f>_xlfn.IFNA(IF(VLOOKUP($J176&amp;W$12,'Mapping A'!$A$6:$G$1011,7,0)=1,$L176,""),0)</f>
        <v>0</v>
      </c>
      <c r="X176" s="15">
        <f>_xlfn.IFNA(IF(VLOOKUP($J176&amp;X$12,'Mapping A'!$A$6:$G$1011,7,0)=1,$L176,""),0)</f>
        <v>200.09010000000001</v>
      </c>
      <c r="Y176" s="15">
        <f>_xlfn.IFNA(IF(VLOOKUP($J176&amp;Y$12,'Mapping A'!$A$6:$G$1011,7,0)=1,$L176,""),0)</f>
        <v>0</v>
      </c>
      <c r="Z176" s="15">
        <f>_xlfn.IFNA(IF(VLOOKUP($J176&amp;Z$12,'Mapping A'!$A$6:$G$1011,7,0)=1,$L176,""),0)</f>
        <v>0</v>
      </c>
      <c r="AA176" s="15">
        <f>_xlfn.IFNA(IF(VLOOKUP($J176&amp;AA$12,'Mapping A'!$A$6:$G$1011,7,0)=1,$L176,""),0)</f>
        <v>0</v>
      </c>
      <c r="AF176" s="155" t="str">
        <f t="shared" si="67"/>
        <v>PEN1101Vector</v>
      </c>
      <c r="AG176" s="15" t="s">
        <v>301</v>
      </c>
      <c r="AH176" s="190" t="s">
        <v>37</v>
      </c>
      <c r="AI176" s="190">
        <f t="shared" si="60"/>
        <v>200.09010000000001</v>
      </c>
      <c r="AJ176" s="292" t="s">
        <v>95</v>
      </c>
      <c r="AK176" s="15"/>
      <c r="AL176" s="15">
        <f t="shared" ca="1" si="72"/>
        <v>0</v>
      </c>
      <c r="AM176" s="15">
        <f t="shared" ca="1" si="73"/>
        <v>0</v>
      </c>
      <c r="AN176" s="15">
        <f t="shared" ca="1" si="74"/>
        <v>0</v>
      </c>
      <c r="AO176" s="15">
        <f t="shared" ca="1" si="75"/>
        <v>0</v>
      </c>
      <c r="AP176" s="15"/>
      <c r="AQ176" s="15">
        <f t="shared" ca="1" si="76"/>
        <v>0</v>
      </c>
      <c r="AR176" s="20">
        <f t="shared" ca="1" si="61"/>
        <v>0.87551332674844473</v>
      </c>
      <c r="AS176" s="20"/>
      <c r="AT176" s="20">
        <f t="shared" ca="1" si="62"/>
        <v>0</v>
      </c>
      <c r="AU176" s="20">
        <f t="shared" ca="1" si="63"/>
        <v>0.4037886398169156</v>
      </c>
      <c r="AV176" s="20">
        <f t="shared" ca="1" si="64"/>
        <v>0</v>
      </c>
      <c r="AW176" s="20">
        <f t="shared" si="65"/>
        <v>0</v>
      </c>
      <c r="AX176" s="20">
        <f t="shared" si="66"/>
        <v>0</v>
      </c>
      <c r="BA176" s="95"/>
      <c r="BD176" s="94" t="str">
        <f t="shared" si="71"/>
        <v>PAO1101Powerco</v>
      </c>
      <c r="BF176" s="15" t="s">
        <v>28</v>
      </c>
      <c r="BG176" t="s">
        <v>297</v>
      </c>
      <c r="BH176" s="190">
        <v>33.198900000000002</v>
      </c>
      <c r="BI176" s="190">
        <v>33.198001861572202</v>
      </c>
      <c r="BJ176" s="257">
        <f t="shared" si="70"/>
        <v>1.1791664088720157</v>
      </c>
      <c r="BK176" s="257">
        <f t="shared" si="68"/>
        <v>1.2926580958440153</v>
      </c>
      <c r="BL176" s="257">
        <f t="shared" si="69"/>
        <v>1.3683192204920149</v>
      </c>
      <c r="BM176" s="342" t="str">
        <f>VLOOKUP(LEFT(BG176,3),'Mapping B'!$D$2:$E$310,2,0)</f>
        <v>N</v>
      </c>
      <c r="BO176" s="20"/>
      <c r="BP176" s="190"/>
      <c r="BQ176" s="20"/>
      <c r="BR176" s="20"/>
    </row>
    <row r="177" spans="2:70" x14ac:dyDescent="0.25">
      <c r="B177" s="98" t="s">
        <v>554</v>
      </c>
      <c r="C177" s="98">
        <v>2014</v>
      </c>
      <c r="D177" s="98" t="s">
        <v>178</v>
      </c>
      <c r="E177" s="98" t="s">
        <v>4</v>
      </c>
      <c r="F177" s="98" t="s">
        <v>131</v>
      </c>
      <c r="G177" s="98">
        <v>166.49299999999999</v>
      </c>
      <c r="H177" s="299" t="str">
        <f>VLOOKUP(LEFT('Rev Adequacy'!D177,3),'Mapping B'!$D$2:$E$400,2,0)</f>
        <v>S</v>
      </c>
      <c r="I177" s="190"/>
      <c r="J177" s="15" t="s">
        <v>302</v>
      </c>
      <c r="K177" s="190" t="s">
        <v>40</v>
      </c>
      <c r="L177" s="190">
        <f t="shared" si="59"/>
        <v>20.357400000000002</v>
      </c>
      <c r="O177" s="15">
        <f>_xlfn.IFNA(IF(VLOOKUP($J177&amp;O$12,'Mapping A'!$A$6:$G$1011,7,0)=1,$L177,""),0)</f>
        <v>0</v>
      </c>
      <c r="P177" s="15">
        <f>_xlfn.IFNA(IF(VLOOKUP($J177&amp;P$12,'Mapping A'!$A$6:$G$1011,7,0)=1,$L177,""),0)</f>
        <v>20.357400000000002</v>
      </c>
      <c r="Q177" s="15">
        <f>_xlfn.IFNA(IF(VLOOKUP($J177&amp;Q$12,'Mapping A'!$A$6:$G$1011,7,0)=1,$L177,""),0)</f>
        <v>20.357400000000002</v>
      </c>
      <c r="R177" s="15">
        <f>_xlfn.IFNA(IF(VLOOKUP($J177&amp;R$12,'Mapping A'!$A$6:$G$1011,7,0)=1,$L177,""),0)</f>
        <v>0</v>
      </c>
      <c r="S177" s="15">
        <f>_xlfn.IFNA(IF(VLOOKUP($J177&amp;S$12,'Mapping A'!$A$6:$G$1011,7,0)=1,$L177,""),0)</f>
        <v>0</v>
      </c>
      <c r="T177" s="15">
        <f>_xlfn.IFNA(IF(VLOOKUP($J177&amp;T$14,'Mapping A'!$A$6:$G$1011,7,0)=1,$L177,""),0)</f>
        <v>0</v>
      </c>
      <c r="U177" s="15">
        <f>_xlfn.IFNA(IF(VLOOKUP($J177&amp;U$12,'Mapping A'!$A$6:$G$1011,7,0)=1,$L177,""),0)</f>
        <v>0</v>
      </c>
      <c r="V177" s="15">
        <f>_xlfn.IFNA(IF(VLOOKUP($J177&amp;V$12,'Mapping A'!$A$6:$G$1011,7,0)=1,$L177,""),0)</f>
        <v>0</v>
      </c>
      <c r="W177" s="15">
        <f>_xlfn.IFNA(IF(VLOOKUP($J177&amp;W$12,'Mapping A'!$A$6:$G$1011,7,0)=1,$L177,""),0)</f>
        <v>0</v>
      </c>
      <c r="X177" s="15">
        <f>_xlfn.IFNA(IF(VLOOKUP($J177&amp;X$12,'Mapping A'!$A$6:$G$1011,7,0)=1,$L177,""),0)</f>
        <v>0</v>
      </c>
      <c r="Y177" s="15">
        <f>_xlfn.IFNA(IF(VLOOKUP($J177&amp;Y$12,'Mapping A'!$A$6:$G$1011,7,0)=1,$L177,""),0)</f>
        <v>0</v>
      </c>
      <c r="Z177" s="15">
        <f>_xlfn.IFNA(IF(VLOOKUP($J177&amp;Z$12,'Mapping A'!$A$6:$G$1011,7,0)=1,$L177,""),0)</f>
        <v>0</v>
      </c>
      <c r="AA177" s="15">
        <f>_xlfn.IFNA(IF(VLOOKUP($J177&amp;AA$12,'Mapping A'!$A$6:$G$1011,7,0)=1,$L177,""),0)</f>
        <v>0</v>
      </c>
      <c r="AF177" s="155" t="str">
        <f t="shared" si="67"/>
        <v>PNI0331Wellington Electricity</v>
      </c>
      <c r="AG177" s="15" t="s">
        <v>302</v>
      </c>
      <c r="AH177" s="190" t="s">
        <v>40</v>
      </c>
      <c r="AI177" s="190">
        <f t="shared" si="60"/>
        <v>20.357400000000002</v>
      </c>
      <c r="AJ177" s="292" t="s">
        <v>95</v>
      </c>
      <c r="AK177" s="15"/>
      <c r="AL177" s="15">
        <f t="shared" ca="1" si="72"/>
        <v>0</v>
      </c>
      <c r="AM177" s="15">
        <f t="shared" ca="1" si="73"/>
        <v>0</v>
      </c>
      <c r="AN177" s="15">
        <f t="shared" ca="1" si="74"/>
        <v>0</v>
      </c>
      <c r="AO177" s="15">
        <f t="shared" ca="1" si="75"/>
        <v>0</v>
      </c>
      <c r="AP177" s="15"/>
      <c r="AQ177" s="15">
        <f t="shared" ca="1" si="76"/>
        <v>0</v>
      </c>
      <c r="AR177" s="20">
        <f t="shared" ca="1" si="61"/>
        <v>0</v>
      </c>
      <c r="AS177" s="20"/>
      <c r="AT177" s="20">
        <f t="shared" ca="1" si="62"/>
        <v>0</v>
      </c>
      <c r="AU177" s="20">
        <f t="shared" ca="1" si="63"/>
        <v>0</v>
      </c>
      <c r="AV177" s="20">
        <f t="shared" ca="1" si="64"/>
        <v>0</v>
      </c>
      <c r="AW177" s="20">
        <f t="shared" si="65"/>
        <v>0</v>
      </c>
      <c r="AX177" s="20">
        <f t="shared" si="66"/>
        <v>0</v>
      </c>
      <c r="BA177" s="20"/>
      <c r="BD177" s="94" t="str">
        <f t="shared" si="71"/>
        <v>PEN0221Vector</v>
      </c>
      <c r="BF177" s="15" t="s">
        <v>37</v>
      </c>
      <c r="BG177" t="s">
        <v>298</v>
      </c>
      <c r="BH177" s="190">
        <v>55.412699999999994</v>
      </c>
      <c r="BI177" s="190">
        <v>55.404998779296797</v>
      </c>
      <c r="BJ177" s="257">
        <f t="shared" si="70"/>
        <v>1.9681614289901874</v>
      </c>
      <c r="BK177" s="257">
        <f t="shared" si="68"/>
        <v>2.1575918258609668</v>
      </c>
      <c r="BL177" s="257">
        <f t="shared" si="69"/>
        <v>2.2838787571081531</v>
      </c>
      <c r="BM177" s="342" t="str">
        <f>VLOOKUP(LEFT(BG177,3),'Mapping B'!$D$2:$E$310,2,0)</f>
        <v>N</v>
      </c>
      <c r="BO177" s="20"/>
      <c r="BP177" s="190"/>
      <c r="BQ177" s="20"/>
      <c r="BR177" s="20"/>
    </row>
    <row r="178" spans="2:70" x14ac:dyDescent="0.25">
      <c r="B178" s="98" t="s">
        <v>554</v>
      </c>
      <c r="C178" s="98">
        <v>2014</v>
      </c>
      <c r="D178" s="98" t="s">
        <v>179</v>
      </c>
      <c r="E178" s="98" t="s">
        <v>4</v>
      </c>
      <c r="F178" s="98" t="s">
        <v>136</v>
      </c>
      <c r="G178" s="98">
        <v>0</v>
      </c>
      <c r="H178" s="299" t="str">
        <f>VLOOKUP(LEFT('Rev Adequacy'!D178,3),'Mapping B'!$D$2:$E$400,2,0)</f>
        <v>S</v>
      </c>
      <c r="I178" s="190"/>
      <c r="J178" s="15" t="s">
        <v>303</v>
      </c>
      <c r="K178" s="190" t="s">
        <v>4</v>
      </c>
      <c r="L178" s="190">
        <f t="shared" si="59"/>
        <v>2.8140000000000001</v>
      </c>
      <c r="O178" s="15">
        <f>_xlfn.IFNA(IF(VLOOKUP($J178&amp;O$12,'Mapping A'!$A$6:$G$1011,7,0)=1,$L178,""),0)</f>
        <v>0</v>
      </c>
      <c r="P178" s="15">
        <f>_xlfn.IFNA(IF(VLOOKUP($J178&amp;P$12,'Mapping A'!$A$6:$G$1011,7,0)=1,$L178,""),0)</f>
        <v>2.8140000000000001</v>
      </c>
      <c r="Q178" s="15">
        <f>_xlfn.IFNA(IF(VLOOKUP($J178&amp;Q$12,'Mapping A'!$A$6:$G$1011,7,0)=1,$L178,""),0)</f>
        <v>2.8140000000000001</v>
      </c>
      <c r="R178" s="15">
        <f>_xlfn.IFNA(IF(VLOOKUP($J178&amp;R$12,'Mapping A'!$A$6:$G$1011,7,0)=1,$L178,""),0)</f>
        <v>0</v>
      </c>
      <c r="S178" s="15">
        <f>_xlfn.IFNA(IF(VLOOKUP($J178&amp;S$12,'Mapping A'!$A$6:$G$1011,7,0)=1,$L178,""),0)</f>
        <v>0</v>
      </c>
      <c r="T178" s="15">
        <f>_xlfn.IFNA(IF(VLOOKUP($J178&amp;T$14,'Mapping A'!$A$6:$G$1011,7,0)=1,$L178,""),0)</f>
        <v>2.8140000000000001</v>
      </c>
      <c r="U178" s="15">
        <f>_xlfn.IFNA(IF(VLOOKUP($J178&amp;U$12,'Mapping A'!$A$6:$G$1011,7,0)=1,$L178,""),0)</f>
        <v>0</v>
      </c>
      <c r="V178" s="15">
        <f>_xlfn.IFNA(IF(VLOOKUP($J178&amp;V$12,'Mapping A'!$A$6:$G$1011,7,0)=1,$L178,""),0)</f>
        <v>0</v>
      </c>
      <c r="W178" s="15">
        <f>_xlfn.IFNA(IF(VLOOKUP($J178&amp;W$12,'Mapping A'!$A$6:$G$1011,7,0)=1,$L178,""),0)</f>
        <v>0</v>
      </c>
      <c r="X178" s="15">
        <f>_xlfn.IFNA(IF(VLOOKUP($J178&amp;X$12,'Mapping A'!$A$6:$G$1011,7,0)=1,$L178,""),0)</f>
        <v>0</v>
      </c>
      <c r="Y178" s="15">
        <f>_xlfn.IFNA(IF(VLOOKUP($J178&amp;Y$12,'Mapping A'!$A$6:$G$1011,7,0)=1,$L178,""),0)</f>
        <v>0</v>
      </c>
      <c r="Z178" s="15">
        <f>_xlfn.IFNA(IF(VLOOKUP($J178&amp;Z$12,'Mapping A'!$A$6:$G$1011,7,0)=1,$L178,""),0)</f>
        <v>0</v>
      </c>
      <c r="AA178" s="15">
        <f>_xlfn.IFNA(IF(VLOOKUP($J178&amp;AA$12,'Mapping A'!$A$6:$G$1011,7,0)=1,$L178,""),0)</f>
        <v>0</v>
      </c>
      <c r="AF178" s="155" t="str">
        <f t="shared" si="67"/>
        <v>PPI2201Contact</v>
      </c>
      <c r="AG178" s="15" t="s">
        <v>303</v>
      </c>
      <c r="AH178" s="190" t="s">
        <v>4</v>
      </c>
      <c r="AI178" s="190">
        <f t="shared" si="60"/>
        <v>2.8140000000000001</v>
      </c>
      <c r="AJ178" s="292" t="s">
        <v>95</v>
      </c>
      <c r="AK178" s="15"/>
      <c r="AL178" s="15">
        <f t="shared" ca="1" si="72"/>
        <v>0</v>
      </c>
      <c r="AM178" s="15">
        <f t="shared" ca="1" si="73"/>
        <v>0</v>
      </c>
      <c r="AN178" s="15">
        <f t="shared" ca="1" si="74"/>
        <v>0</v>
      </c>
      <c r="AO178" s="15">
        <f t="shared" ca="1" si="75"/>
        <v>0</v>
      </c>
      <c r="AP178" s="15"/>
      <c r="AQ178" s="15">
        <f t="shared" ca="1" si="76"/>
        <v>0</v>
      </c>
      <c r="AR178" s="20">
        <f t="shared" ca="1" si="61"/>
        <v>0</v>
      </c>
      <c r="AS178" s="20"/>
      <c r="AT178" s="20">
        <f t="shared" ca="1" si="62"/>
        <v>0</v>
      </c>
      <c r="AU178" s="20">
        <f t="shared" ca="1" si="63"/>
        <v>0</v>
      </c>
      <c r="AV178" s="20">
        <f t="shared" ca="1" si="64"/>
        <v>0</v>
      </c>
      <c r="AW178" s="20">
        <f t="shared" si="65"/>
        <v>0</v>
      </c>
      <c r="AX178" s="20">
        <f t="shared" si="66"/>
        <v>0</v>
      </c>
      <c r="BA178" s="20"/>
      <c r="BD178" s="94" t="str">
        <f t="shared" si="71"/>
        <v>PEN0251Kiwirail</v>
      </c>
      <c r="BF178" s="15" t="s">
        <v>51</v>
      </c>
      <c r="BG178" t="s">
        <v>299</v>
      </c>
      <c r="BH178" s="190">
        <v>1.5266999999999999</v>
      </c>
      <c r="BI178" s="190">
        <v>1.3020000457763601</v>
      </c>
      <c r="BJ178" s="257">
        <f t="shared" si="70"/>
        <v>5.4225692912262334E-2</v>
      </c>
      <c r="BK178" s="257">
        <f t="shared" si="68"/>
        <v>5.9444774222189821E-2</v>
      </c>
      <c r="BL178" s="257">
        <f t="shared" si="69"/>
        <v>6.2924161762141495E-2</v>
      </c>
      <c r="BM178" s="342" t="str">
        <f>VLOOKUP(LEFT(BG178,3),'Mapping B'!$D$2:$E$310,2,0)</f>
        <v>N</v>
      </c>
      <c r="BO178" s="20"/>
      <c r="BP178" s="190"/>
      <c r="BQ178" s="20"/>
      <c r="BR178" s="20"/>
    </row>
    <row r="179" spans="2:70" x14ac:dyDescent="0.25">
      <c r="B179" s="98" t="s">
        <v>554</v>
      </c>
      <c r="C179" s="98">
        <v>2014</v>
      </c>
      <c r="D179" s="98" t="s">
        <v>287</v>
      </c>
      <c r="E179" s="98" t="s">
        <v>4</v>
      </c>
      <c r="F179" s="98" t="s">
        <v>136</v>
      </c>
      <c r="G179" s="98">
        <v>110427.361999999</v>
      </c>
      <c r="H179" s="299" t="str">
        <f>VLOOKUP(LEFT('Rev Adequacy'!D179,3),'Mapping B'!$D$2:$E$400,2,0)</f>
        <v>N</v>
      </c>
      <c r="I179" s="190"/>
      <c r="J179" s="15" t="s">
        <v>305</v>
      </c>
      <c r="K179" s="190" t="s">
        <v>8</v>
      </c>
      <c r="L179" s="190">
        <f t="shared" si="59"/>
        <v>59.570699999999995</v>
      </c>
      <c r="O179" s="15">
        <f>_xlfn.IFNA(IF(VLOOKUP($J179&amp;O$12,'Mapping A'!$A$6:$G$1011,7,0)=1,$L179,""),0)</f>
        <v>0</v>
      </c>
      <c r="P179" s="15">
        <f>_xlfn.IFNA(IF(VLOOKUP($J179&amp;P$12,'Mapping A'!$A$6:$G$1011,7,0)=1,$L179,""),0)</f>
        <v>59.570699999999995</v>
      </c>
      <c r="Q179" s="15">
        <f>_xlfn.IFNA(IF(VLOOKUP($J179&amp;Q$12,'Mapping A'!$A$6:$G$1011,7,0)=1,$L179,""),0)</f>
        <v>59.570699999999995</v>
      </c>
      <c r="R179" s="15">
        <f>_xlfn.IFNA(IF(VLOOKUP($J179&amp;R$12,'Mapping A'!$A$6:$G$1011,7,0)=1,$L179,""),0)</f>
        <v>0</v>
      </c>
      <c r="S179" s="15">
        <f>_xlfn.IFNA(IF(VLOOKUP($J179&amp;S$12,'Mapping A'!$A$6:$G$1011,7,0)=1,$L179,""),0)</f>
        <v>0</v>
      </c>
      <c r="T179" s="15">
        <f>_xlfn.IFNA(IF(VLOOKUP($J179&amp;T$14,'Mapping A'!$A$6:$G$1011,7,0)=1,$L179,""),0)</f>
        <v>0</v>
      </c>
      <c r="U179" s="15">
        <f>_xlfn.IFNA(IF(VLOOKUP($J179&amp;U$12,'Mapping A'!$A$6:$G$1011,7,0)=1,$L179,""),0)</f>
        <v>0</v>
      </c>
      <c r="V179" s="15">
        <f>_xlfn.IFNA(IF(VLOOKUP($J179&amp;V$12,'Mapping A'!$A$6:$G$1011,7,0)=1,$L179,""),0)</f>
        <v>0</v>
      </c>
      <c r="W179" s="15">
        <f>_xlfn.IFNA(IF(VLOOKUP($J179&amp;W$12,'Mapping A'!$A$6:$G$1011,7,0)=1,$L179,""),0)</f>
        <v>0</v>
      </c>
      <c r="X179" s="15">
        <f>_xlfn.IFNA(IF(VLOOKUP($J179&amp;X$12,'Mapping A'!$A$6:$G$1011,7,0)=1,$L179,""),0)</f>
        <v>0</v>
      </c>
      <c r="Y179" s="15">
        <f>_xlfn.IFNA(IF(VLOOKUP($J179&amp;Y$12,'Mapping A'!$A$6:$G$1011,7,0)=1,$L179,""),0)</f>
        <v>0</v>
      </c>
      <c r="Z179" s="15">
        <f>_xlfn.IFNA(IF(VLOOKUP($J179&amp;Z$12,'Mapping A'!$A$6:$G$1011,7,0)=1,$L179,""),0)</f>
        <v>0</v>
      </c>
      <c r="AA179" s="15">
        <f>_xlfn.IFNA(IF(VLOOKUP($J179&amp;AA$12,'Mapping A'!$A$6:$G$1011,7,0)=1,$L179,""),0)</f>
        <v>0</v>
      </c>
      <c r="AF179" s="155" t="str">
        <f t="shared" si="67"/>
        <v>PRM0331Electra</v>
      </c>
      <c r="AG179" s="15" t="s">
        <v>305</v>
      </c>
      <c r="AH179" s="190" t="s">
        <v>8</v>
      </c>
      <c r="AI179" s="190">
        <f t="shared" si="60"/>
        <v>59.570699999999995</v>
      </c>
      <c r="AJ179" s="292" t="s">
        <v>95</v>
      </c>
      <c r="AK179" s="15"/>
      <c r="AL179" s="15">
        <f t="shared" ca="1" si="72"/>
        <v>0</v>
      </c>
      <c r="AM179" s="15">
        <f t="shared" ca="1" si="73"/>
        <v>0</v>
      </c>
      <c r="AN179" s="15">
        <f t="shared" ca="1" si="74"/>
        <v>0</v>
      </c>
      <c r="AO179" s="15">
        <f t="shared" ca="1" si="75"/>
        <v>0</v>
      </c>
      <c r="AP179" s="15"/>
      <c r="AQ179" s="15">
        <f t="shared" ca="1" si="76"/>
        <v>0</v>
      </c>
      <c r="AR179" s="20">
        <f t="shared" ca="1" si="61"/>
        <v>0</v>
      </c>
      <c r="AS179" s="20"/>
      <c r="AT179" s="20">
        <f t="shared" ca="1" si="62"/>
        <v>0</v>
      </c>
      <c r="AU179" s="20">
        <f t="shared" ca="1" si="63"/>
        <v>0</v>
      </c>
      <c r="AV179" s="20">
        <f t="shared" ca="1" si="64"/>
        <v>0</v>
      </c>
      <c r="AW179" s="20">
        <f t="shared" si="65"/>
        <v>0</v>
      </c>
      <c r="AX179" s="20">
        <f t="shared" si="66"/>
        <v>0</v>
      </c>
      <c r="BA179" s="20"/>
      <c r="BD179" s="94" t="str">
        <f t="shared" si="71"/>
        <v>PEN0331Other</v>
      </c>
      <c r="BF179" s="15" t="s">
        <v>53</v>
      </c>
      <c r="BG179" t="s">
        <v>300</v>
      </c>
      <c r="BH179" s="190"/>
      <c r="BI179" s="190">
        <v>0.15333645885247399</v>
      </c>
      <c r="BJ179" s="257">
        <f t="shared" si="70"/>
        <v>0</v>
      </c>
      <c r="BK179" s="257">
        <f t="shared" si="68"/>
        <v>0</v>
      </c>
      <c r="BL179" s="257">
        <f t="shared" si="69"/>
        <v>0</v>
      </c>
      <c r="BM179" s="342" t="str">
        <f>VLOOKUP(LEFT(BG179,3),'Mapping B'!$D$2:$E$310,2,0)</f>
        <v>N</v>
      </c>
      <c r="BO179" s="20"/>
      <c r="BP179" s="190"/>
      <c r="BQ179" s="20"/>
      <c r="BR179" s="20"/>
    </row>
    <row r="180" spans="2:70" x14ac:dyDescent="0.25">
      <c r="B180" s="98" t="s">
        <v>554</v>
      </c>
      <c r="C180" s="98">
        <v>2014</v>
      </c>
      <c r="D180" s="98" t="s">
        <v>293</v>
      </c>
      <c r="E180" s="98" t="s">
        <v>4</v>
      </c>
      <c r="F180" s="98" t="s">
        <v>131</v>
      </c>
      <c r="G180" s="98">
        <v>199456.06120357499</v>
      </c>
      <c r="H180" s="299" t="str">
        <f>VLOOKUP(LEFT('Rev Adequacy'!D180,3),'Mapping B'!$D$2:$E$400,2,0)</f>
        <v>N</v>
      </c>
      <c r="I180" s="190"/>
      <c r="J180" s="15" t="s">
        <v>306</v>
      </c>
      <c r="K180" s="190" t="s">
        <v>36</v>
      </c>
      <c r="L180" s="190">
        <f t="shared" si="59"/>
        <v>64.010099999999994</v>
      </c>
      <c r="O180" s="15">
        <f>_xlfn.IFNA(IF(VLOOKUP($J180&amp;O$12,'Mapping A'!$A$6:$G$1011,7,0)=1,$L180,""),0)</f>
        <v>0</v>
      </c>
      <c r="P180" s="15">
        <f>_xlfn.IFNA(IF(VLOOKUP($J180&amp;P$12,'Mapping A'!$A$6:$G$1011,7,0)=1,$L180,""),0)</f>
        <v>64.010099999999994</v>
      </c>
      <c r="Q180" s="15">
        <f>_xlfn.IFNA(IF(VLOOKUP($J180&amp;Q$12,'Mapping A'!$A$6:$G$1011,7,0)=1,$L180,""),0)</f>
        <v>64.010099999999994</v>
      </c>
      <c r="R180" s="15">
        <f>_xlfn.IFNA(IF(VLOOKUP($J180&amp;R$12,'Mapping A'!$A$6:$G$1011,7,0)=1,$L180,""),0)</f>
        <v>0</v>
      </c>
      <c r="S180" s="15">
        <f>_xlfn.IFNA(IF(VLOOKUP($J180&amp;S$12,'Mapping A'!$A$6:$G$1011,7,0)=1,$L180,""),0)</f>
        <v>0</v>
      </c>
      <c r="T180" s="15">
        <f>_xlfn.IFNA(IF(VLOOKUP($J180&amp;T$14,'Mapping A'!$A$6:$G$1011,7,0)=1,$L180,""),0)</f>
        <v>64.010099999999994</v>
      </c>
      <c r="U180" s="15">
        <f>_xlfn.IFNA(IF(VLOOKUP($J180&amp;U$12,'Mapping A'!$A$6:$G$1011,7,0)=1,$L180,""),0)</f>
        <v>0</v>
      </c>
      <c r="V180" s="15">
        <f>_xlfn.IFNA(IF(VLOOKUP($J180&amp;V$12,'Mapping A'!$A$6:$G$1011,7,0)=1,$L180,""),0)</f>
        <v>0</v>
      </c>
      <c r="W180" s="15">
        <f>_xlfn.IFNA(IF(VLOOKUP($J180&amp;W$12,'Mapping A'!$A$6:$G$1011,7,0)=1,$L180,""),0)</f>
        <v>0</v>
      </c>
      <c r="X180" s="15">
        <f>_xlfn.IFNA(IF(VLOOKUP($J180&amp;X$12,'Mapping A'!$A$6:$G$1011,7,0)=1,$L180,""),0)</f>
        <v>0</v>
      </c>
      <c r="Y180" s="15">
        <f>_xlfn.IFNA(IF(VLOOKUP($J180&amp;Y$12,'Mapping A'!$A$6:$G$1011,7,0)=1,$L180,""),0)</f>
        <v>0</v>
      </c>
      <c r="Z180" s="15">
        <f>_xlfn.IFNA(IF(VLOOKUP($J180&amp;Z$12,'Mapping A'!$A$6:$G$1011,7,0)=1,$L180,""),0)</f>
        <v>0</v>
      </c>
      <c r="AA180" s="15">
        <f>_xlfn.IFNA(IF(VLOOKUP($J180&amp;AA$12,'Mapping A'!$A$6:$G$1011,7,0)=1,$L180,""),0)</f>
        <v>0</v>
      </c>
      <c r="AF180" s="155" t="str">
        <f t="shared" si="67"/>
        <v>RDF0331Unison</v>
      </c>
      <c r="AG180" s="15" t="s">
        <v>306</v>
      </c>
      <c r="AH180" s="190" t="s">
        <v>36</v>
      </c>
      <c r="AI180" s="190">
        <f t="shared" si="60"/>
        <v>64.010099999999994</v>
      </c>
      <c r="AJ180" s="292" t="s">
        <v>95</v>
      </c>
      <c r="AK180" s="15"/>
      <c r="AL180" s="15">
        <f t="shared" ca="1" si="72"/>
        <v>0</v>
      </c>
      <c r="AM180" s="15">
        <f t="shared" ca="1" si="73"/>
        <v>0</v>
      </c>
      <c r="AN180" s="15">
        <f t="shared" ca="1" si="74"/>
        <v>0</v>
      </c>
      <c r="AO180" s="15">
        <f t="shared" ca="1" si="75"/>
        <v>0</v>
      </c>
      <c r="AP180" s="15"/>
      <c r="AQ180" s="15">
        <f t="shared" ca="1" si="76"/>
        <v>0</v>
      </c>
      <c r="AR180" s="20">
        <f t="shared" ca="1" si="61"/>
        <v>0</v>
      </c>
      <c r="AS180" s="20"/>
      <c r="AT180" s="20">
        <f t="shared" ca="1" si="62"/>
        <v>0</v>
      </c>
      <c r="AU180" s="20">
        <f t="shared" ca="1" si="63"/>
        <v>0</v>
      </c>
      <c r="AV180" s="20">
        <f t="shared" ca="1" si="64"/>
        <v>0</v>
      </c>
      <c r="AW180" s="20">
        <f t="shared" si="65"/>
        <v>0</v>
      </c>
      <c r="AX180" s="20">
        <f t="shared" si="66"/>
        <v>0</v>
      </c>
      <c r="BA180" s="20"/>
      <c r="BD180" s="94" t="str">
        <f t="shared" si="71"/>
        <v>PEN0331Vector</v>
      </c>
      <c r="BF180" s="15" t="s">
        <v>37</v>
      </c>
      <c r="BG180" t="s">
        <v>300</v>
      </c>
      <c r="BH180" s="190">
        <v>267.10740000000004</v>
      </c>
      <c r="BI180" s="190">
        <v>267.21705255471397</v>
      </c>
      <c r="BJ180" s="257">
        <f t="shared" si="70"/>
        <v>9.4871840223965567</v>
      </c>
      <c r="BK180" s="257">
        <f t="shared" si="68"/>
        <v>10.400300704837985</v>
      </c>
      <c r="BL180" s="257">
        <f t="shared" si="69"/>
        <v>11.009045159798935</v>
      </c>
      <c r="BM180" s="342" t="str">
        <f>VLOOKUP(LEFT(BG180,3),'Mapping B'!$D$2:$E$310,2,0)</f>
        <v>N</v>
      </c>
      <c r="BO180" s="20"/>
      <c r="BP180" s="190"/>
      <c r="BQ180" s="20"/>
      <c r="BR180" s="20"/>
    </row>
    <row r="181" spans="2:70" x14ac:dyDescent="0.25">
      <c r="B181" s="98" t="s">
        <v>554</v>
      </c>
      <c r="C181" s="98">
        <v>2014</v>
      </c>
      <c r="D181" s="98" t="s">
        <v>303</v>
      </c>
      <c r="E181" s="98" t="s">
        <v>4</v>
      </c>
      <c r="F181" s="98" t="s">
        <v>131</v>
      </c>
      <c r="G181" s="98">
        <v>20.672999999999899</v>
      </c>
      <c r="H181" s="299" t="str">
        <f>VLOOKUP(LEFT('Rev Adequacy'!D181,3),'Mapping B'!$D$2:$E$400,2,0)</f>
        <v>N</v>
      </c>
      <c r="I181" s="190"/>
      <c r="J181" s="15" t="s">
        <v>307</v>
      </c>
      <c r="K181" s="190" t="s">
        <v>41</v>
      </c>
      <c r="L181" s="190">
        <f t="shared" si="59"/>
        <v>9.1392000000000007</v>
      </c>
      <c r="O181" s="15">
        <f>_xlfn.IFNA(IF(VLOOKUP($J181&amp;O$12,'Mapping A'!$A$6:$G$1011,7,0)=1,$L181,""),0)</f>
        <v>0</v>
      </c>
      <c r="P181" s="15">
        <f>_xlfn.IFNA(IF(VLOOKUP($J181&amp;P$12,'Mapping A'!$A$6:$G$1011,7,0)=1,$L181,""),0)</f>
        <v>9.1392000000000007</v>
      </c>
      <c r="Q181" s="15">
        <f>_xlfn.IFNA(IF(VLOOKUP($J181&amp;Q$12,'Mapping A'!$A$6:$G$1011,7,0)=1,$L181,""),0)</f>
        <v>0</v>
      </c>
      <c r="R181" s="15">
        <f>_xlfn.IFNA(IF(VLOOKUP($J181&amp;R$12,'Mapping A'!$A$6:$G$1011,7,0)=1,$L181,""),0)</f>
        <v>0</v>
      </c>
      <c r="S181" s="15">
        <f>_xlfn.IFNA(IF(VLOOKUP($J181&amp;S$12,'Mapping A'!$A$6:$G$1011,7,0)=1,$L181,""),0)</f>
        <v>0</v>
      </c>
      <c r="T181" s="15">
        <f>_xlfn.IFNA(IF(VLOOKUP($J181&amp;T$14,'Mapping A'!$A$6:$G$1011,7,0)=1,$L181,""),0)</f>
        <v>0</v>
      </c>
      <c r="U181" s="15">
        <f>_xlfn.IFNA(IF(VLOOKUP($J181&amp;U$12,'Mapping A'!$A$6:$G$1011,7,0)=1,$L181,""),0)</f>
        <v>0</v>
      </c>
      <c r="V181" s="15">
        <f>_xlfn.IFNA(IF(VLOOKUP($J181&amp;V$12,'Mapping A'!$A$6:$G$1011,7,0)=1,$L181,""),0)</f>
        <v>0</v>
      </c>
      <c r="W181" s="15">
        <f>_xlfn.IFNA(IF(VLOOKUP($J181&amp;W$12,'Mapping A'!$A$6:$G$1011,7,0)=1,$L181,""),0)</f>
        <v>9.1392000000000007</v>
      </c>
      <c r="X181" s="15">
        <f>_xlfn.IFNA(IF(VLOOKUP($J181&amp;X$12,'Mapping A'!$A$6:$G$1011,7,0)=1,$L181,""),0)</f>
        <v>0</v>
      </c>
      <c r="Y181" s="15">
        <f>_xlfn.IFNA(IF(VLOOKUP($J181&amp;Y$12,'Mapping A'!$A$6:$G$1011,7,0)=1,$L181,""),0)</f>
        <v>0</v>
      </c>
      <c r="Z181" s="15">
        <f>_xlfn.IFNA(IF(VLOOKUP($J181&amp;Z$12,'Mapping A'!$A$6:$G$1011,7,0)=1,$L181,""),0)</f>
        <v>0</v>
      </c>
      <c r="AA181" s="15">
        <f>_xlfn.IFNA(IF(VLOOKUP($J181&amp;AA$12,'Mapping A'!$A$6:$G$1011,7,0)=1,$L181,""),0)</f>
        <v>9.1392000000000007</v>
      </c>
      <c r="AF181" s="155" t="str">
        <f t="shared" si="67"/>
        <v>RFN1101Westpower</v>
      </c>
      <c r="AG181" s="15" t="s">
        <v>307</v>
      </c>
      <c r="AH181" s="190" t="s">
        <v>41</v>
      </c>
      <c r="AI181" s="190">
        <f t="shared" si="60"/>
        <v>9.1392000000000007</v>
      </c>
      <c r="AJ181" s="292" t="s">
        <v>96</v>
      </c>
      <c r="AK181" s="15"/>
      <c r="AL181" s="15">
        <f t="shared" ca="1" si="72"/>
        <v>0</v>
      </c>
      <c r="AM181" s="15">
        <f t="shared" ca="1" si="73"/>
        <v>0</v>
      </c>
      <c r="AN181" s="15">
        <f t="shared" ca="1" si="74"/>
        <v>0</v>
      </c>
      <c r="AO181" s="15">
        <f t="shared" ca="1" si="75"/>
        <v>0</v>
      </c>
      <c r="AP181" s="15"/>
      <c r="AQ181" s="15">
        <f t="shared" ca="1" si="76"/>
        <v>0</v>
      </c>
      <c r="AR181" s="20">
        <f t="shared" ca="1" si="61"/>
        <v>0</v>
      </c>
      <c r="AS181" s="20"/>
      <c r="AT181" s="20">
        <f t="shared" ca="1" si="62"/>
        <v>2.6079642324357902E-2</v>
      </c>
      <c r="AU181" s="20">
        <f t="shared" ca="1" si="63"/>
        <v>0</v>
      </c>
      <c r="AV181" s="20">
        <f t="shared" ca="1" si="64"/>
        <v>0</v>
      </c>
      <c r="AW181" s="20">
        <f t="shared" si="65"/>
        <v>0</v>
      </c>
      <c r="AX181" s="20">
        <f t="shared" si="66"/>
        <v>0</v>
      </c>
      <c r="BA181" s="20"/>
      <c r="BD181" s="94" t="str">
        <f t="shared" si="71"/>
        <v>PEN1101Vector</v>
      </c>
      <c r="BF181" s="15" t="s">
        <v>37</v>
      </c>
      <c r="BG181" t="s">
        <v>301</v>
      </c>
      <c r="BH181" s="190">
        <v>200.09010000000001</v>
      </c>
      <c r="BI181" s="190">
        <v>199.940994262695</v>
      </c>
      <c r="BJ181" s="257">
        <f t="shared" si="70"/>
        <v>7.1068476566344811</v>
      </c>
      <c r="BK181" s="257">
        <f t="shared" si="68"/>
        <v>7.7908631811065607</v>
      </c>
      <c r="BL181" s="257">
        <f t="shared" si="69"/>
        <v>8.2468735307546126</v>
      </c>
      <c r="BM181" s="342" t="str">
        <f>VLOOKUP(LEFT(BG181,3),'Mapping B'!$D$2:$E$310,2,0)</f>
        <v>N</v>
      </c>
      <c r="BO181" s="20"/>
      <c r="BP181" s="190"/>
      <c r="BQ181" s="20"/>
      <c r="BR181" s="20"/>
    </row>
    <row r="182" spans="2:70" x14ac:dyDescent="0.25">
      <c r="B182" s="98" t="s">
        <v>554</v>
      </c>
      <c r="C182" s="98">
        <v>2014</v>
      </c>
      <c r="D182" s="98" t="s">
        <v>304</v>
      </c>
      <c r="E182" s="98" t="s">
        <v>4</v>
      </c>
      <c r="F182" s="98" t="s">
        <v>136</v>
      </c>
      <c r="G182" s="98">
        <v>57699.374000000898</v>
      </c>
      <c r="H182" s="299" t="str">
        <f>VLOOKUP(LEFT('Rev Adequacy'!D182,3),'Mapping B'!$D$2:$E$400,2,0)</f>
        <v>N</v>
      </c>
      <c r="I182" s="190"/>
      <c r="J182" s="15" t="s">
        <v>308</v>
      </c>
      <c r="K182" s="190" t="s">
        <v>41</v>
      </c>
      <c r="L182" s="190">
        <f t="shared" si="59"/>
        <v>10.2354</v>
      </c>
      <c r="O182" s="15">
        <f>_xlfn.IFNA(IF(VLOOKUP($J182&amp;O$12,'Mapping A'!$A$6:$G$1011,7,0)=1,$L182,""),0)</f>
        <v>0</v>
      </c>
      <c r="P182" s="15">
        <f>_xlfn.IFNA(IF(VLOOKUP($J182&amp;P$12,'Mapping A'!$A$6:$G$1011,7,0)=1,$L182,""),0)</f>
        <v>10.2354</v>
      </c>
      <c r="Q182" s="15">
        <f>_xlfn.IFNA(IF(VLOOKUP($J182&amp;Q$12,'Mapping A'!$A$6:$G$1011,7,0)=1,$L182,""),0)</f>
        <v>0</v>
      </c>
      <c r="R182" s="15">
        <f>_xlfn.IFNA(IF(VLOOKUP($J182&amp;R$12,'Mapping A'!$A$6:$G$1011,7,0)=1,$L182,""),0)</f>
        <v>0</v>
      </c>
      <c r="S182" s="15">
        <f>_xlfn.IFNA(IF(VLOOKUP($J182&amp;S$12,'Mapping A'!$A$6:$G$1011,7,0)=1,$L182,""),0)</f>
        <v>0</v>
      </c>
      <c r="T182" s="15">
        <f>_xlfn.IFNA(IF(VLOOKUP($J182&amp;T$14,'Mapping A'!$A$6:$G$1011,7,0)=1,$L182,""),0)</f>
        <v>0</v>
      </c>
      <c r="U182" s="15">
        <f>_xlfn.IFNA(IF(VLOOKUP($J182&amp;U$12,'Mapping A'!$A$6:$G$1011,7,0)=1,$L182,""),0)</f>
        <v>0</v>
      </c>
      <c r="V182" s="15">
        <f>_xlfn.IFNA(IF(VLOOKUP($J182&amp;V$12,'Mapping A'!$A$6:$G$1011,7,0)=1,$L182,""),0)</f>
        <v>0</v>
      </c>
      <c r="W182" s="15">
        <f>_xlfn.IFNA(IF(VLOOKUP($J182&amp;W$12,'Mapping A'!$A$6:$G$1011,7,0)=1,$L182,""),0)</f>
        <v>10.2354</v>
      </c>
      <c r="X182" s="15">
        <f>_xlfn.IFNA(IF(VLOOKUP($J182&amp;X$12,'Mapping A'!$A$6:$G$1011,7,0)=1,$L182,""),0)</f>
        <v>0</v>
      </c>
      <c r="Y182" s="15">
        <f>_xlfn.IFNA(IF(VLOOKUP($J182&amp;Y$12,'Mapping A'!$A$6:$G$1011,7,0)=1,$L182,""),0)</f>
        <v>0</v>
      </c>
      <c r="Z182" s="15">
        <f>_xlfn.IFNA(IF(VLOOKUP($J182&amp;Z$12,'Mapping A'!$A$6:$G$1011,7,0)=1,$L182,""),0)</f>
        <v>0</v>
      </c>
      <c r="AA182" s="15">
        <f>_xlfn.IFNA(IF(VLOOKUP($J182&amp;AA$12,'Mapping A'!$A$6:$G$1011,7,0)=1,$L182,""),0)</f>
        <v>10.2354</v>
      </c>
      <c r="AF182" s="155" t="str">
        <f t="shared" si="67"/>
        <v>RFN1102Westpower</v>
      </c>
      <c r="AG182" s="15" t="s">
        <v>308</v>
      </c>
      <c r="AH182" s="190" t="s">
        <v>41</v>
      </c>
      <c r="AI182" s="190">
        <f t="shared" si="60"/>
        <v>10.2354</v>
      </c>
      <c r="AJ182" s="292" t="s">
        <v>96</v>
      </c>
      <c r="AK182" s="15"/>
      <c r="AL182" s="15">
        <f t="shared" ca="1" si="72"/>
        <v>0</v>
      </c>
      <c r="AM182" s="15">
        <f t="shared" ca="1" si="73"/>
        <v>0</v>
      </c>
      <c r="AN182" s="15">
        <f t="shared" ca="1" si="74"/>
        <v>0</v>
      </c>
      <c r="AO182" s="15">
        <f t="shared" ca="1" si="75"/>
        <v>0</v>
      </c>
      <c r="AP182" s="15"/>
      <c r="AQ182" s="15">
        <f t="shared" ca="1" si="76"/>
        <v>0</v>
      </c>
      <c r="AR182" s="20">
        <f t="shared" ca="1" si="61"/>
        <v>0</v>
      </c>
      <c r="AS182" s="20"/>
      <c r="AT182" s="20">
        <f t="shared" ca="1" si="62"/>
        <v>2.9207761187711487E-2</v>
      </c>
      <c r="AU182" s="20">
        <f t="shared" ca="1" si="63"/>
        <v>0</v>
      </c>
      <c r="AV182" s="20">
        <f t="shared" ca="1" si="64"/>
        <v>0</v>
      </c>
      <c r="AW182" s="20">
        <f t="shared" si="65"/>
        <v>0</v>
      </c>
      <c r="AX182" s="20">
        <f t="shared" si="66"/>
        <v>0</v>
      </c>
      <c r="BA182" s="20"/>
      <c r="BD182" s="94" t="str">
        <f t="shared" si="71"/>
        <v>PNI0331Wellington Electricity</v>
      </c>
      <c r="BF182" s="15" t="s">
        <v>40</v>
      </c>
      <c r="BG182" t="s">
        <v>302</v>
      </c>
      <c r="BH182" s="190">
        <v>20.357400000000002</v>
      </c>
      <c r="BI182" s="190">
        <v>20.354000091552699</v>
      </c>
      <c r="BJ182" s="257">
        <f t="shared" si="70"/>
        <v>0.7230589643624088</v>
      </c>
      <c r="BK182" s="257">
        <f t="shared" si="68"/>
        <v>0.79265150111404159</v>
      </c>
      <c r="BL182" s="257">
        <f t="shared" si="69"/>
        <v>0.83904652561513016</v>
      </c>
      <c r="BM182" s="342" t="str">
        <f>VLOOKUP(LEFT(BG182,3),'Mapping B'!$D$2:$E$310,2,0)</f>
        <v>N</v>
      </c>
      <c r="BO182" s="20"/>
      <c r="BP182" s="190"/>
      <c r="BQ182" s="20"/>
      <c r="BR182" s="20"/>
    </row>
    <row r="183" spans="2:70" x14ac:dyDescent="0.25">
      <c r="B183" s="98" t="s">
        <v>554</v>
      </c>
      <c r="C183" s="98">
        <v>2014</v>
      </c>
      <c r="D183" s="98" t="s">
        <v>315</v>
      </c>
      <c r="E183" s="98" t="s">
        <v>4</v>
      </c>
      <c r="F183" s="98" t="s">
        <v>136</v>
      </c>
      <c r="G183" s="98">
        <v>0</v>
      </c>
      <c r="H183" s="299" t="str">
        <f>VLOOKUP(LEFT('Rev Adequacy'!D183,3),'Mapping B'!$D$2:$E$400,2,0)</f>
        <v>S</v>
      </c>
      <c r="I183" s="190"/>
      <c r="J183" s="15" t="s">
        <v>309</v>
      </c>
      <c r="K183" s="190" t="s">
        <v>37</v>
      </c>
      <c r="L183" s="190">
        <f t="shared" si="59"/>
        <v>127.68210000000001</v>
      </c>
      <c r="O183" s="15">
        <f>_xlfn.IFNA(IF(VLOOKUP($J183&amp;O$12,'Mapping A'!$A$6:$G$1011,7,0)=1,$L183,""),0)</f>
        <v>127.68210000000001</v>
      </c>
      <c r="P183" s="15">
        <f>_xlfn.IFNA(IF(VLOOKUP($J183&amp;P$12,'Mapping A'!$A$6:$G$1011,7,0)=1,$L183,""),0)</f>
        <v>127.68210000000001</v>
      </c>
      <c r="Q183" s="15">
        <f>_xlfn.IFNA(IF(VLOOKUP($J183&amp;Q$12,'Mapping A'!$A$6:$G$1011,7,0)=1,$L183,""),0)</f>
        <v>127.68210000000001</v>
      </c>
      <c r="R183" s="15">
        <f>_xlfn.IFNA(IF(VLOOKUP($J183&amp;R$12,'Mapping A'!$A$6:$G$1011,7,0)=1,$L183,""),0)</f>
        <v>0</v>
      </c>
      <c r="S183" s="15">
        <f>_xlfn.IFNA(IF(VLOOKUP($J183&amp;S$12,'Mapping A'!$A$6:$G$1011,7,0)=1,$L183,""),0)</f>
        <v>0</v>
      </c>
      <c r="T183" s="15">
        <f>_xlfn.IFNA(IF(VLOOKUP($J183&amp;T$14,'Mapping A'!$A$6:$G$1011,7,0)=1,$L183,""),0)</f>
        <v>127.68210000000001</v>
      </c>
      <c r="U183" s="15">
        <f>_xlfn.IFNA(IF(VLOOKUP($J183&amp;U$12,'Mapping A'!$A$6:$G$1011,7,0)=1,$L183,""),0)</f>
        <v>127.68210000000001</v>
      </c>
      <c r="V183" s="15">
        <f>_xlfn.IFNA(IF(VLOOKUP($J183&amp;V$12,'Mapping A'!$A$6:$G$1011,7,0)=1,$L183,""),0)</f>
        <v>0</v>
      </c>
      <c r="W183" s="15">
        <f>_xlfn.IFNA(IF(VLOOKUP($J183&amp;W$12,'Mapping A'!$A$6:$G$1011,7,0)=1,$L183,""),0)</f>
        <v>0</v>
      </c>
      <c r="X183" s="15">
        <f>_xlfn.IFNA(IF(VLOOKUP($J183&amp;X$12,'Mapping A'!$A$6:$G$1011,7,0)=1,$L183,""),0)</f>
        <v>127.68210000000001</v>
      </c>
      <c r="Y183" s="15">
        <f>_xlfn.IFNA(IF(VLOOKUP($J183&amp;Y$12,'Mapping A'!$A$6:$G$1011,7,0)=1,$L183,""),0)</f>
        <v>0</v>
      </c>
      <c r="Z183" s="15">
        <f>_xlfn.IFNA(IF(VLOOKUP($J183&amp;Z$12,'Mapping A'!$A$6:$G$1011,7,0)=1,$L183,""),0)</f>
        <v>0</v>
      </c>
      <c r="AA183" s="15">
        <f>_xlfn.IFNA(IF(VLOOKUP($J183&amp;AA$12,'Mapping A'!$A$6:$G$1011,7,0)=1,$L183,""),0)</f>
        <v>0</v>
      </c>
      <c r="AF183" s="155" t="str">
        <f t="shared" si="67"/>
        <v>ROS0221Vector</v>
      </c>
      <c r="AG183" s="15" t="s">
        <v>309</v>
      </c>
      <c r="AH183" s="190" t="s">
        <v>37</v>
      </c>
      <c r="AI183" s="190">
        <f t="shared" si="60"/>
        <v>127.68210000000001</v>
      </c>
      <c r="AJ183" s="292" t="s">
        <v>95</v>
      </c>
      <c r="AK183" s="15"/>
      <c r="AL183" s="15">
        <f t="shared" ca="1" si="72"/>
        <v>0</v>
      </c>
      <c r="AM183" s="15">
        <f t="shared" ca="1" si="73"/>
        <v>0</v>
      </c>
      <c r="AN183" s="15">
        <f t="shared" ca="1" si="74"/>
        <v>0</v>
      </c>
      <c r="AO183" s="15">
        <f t="shared" ca="1" si="75"/>
        <v>0</v>
      </c>
      <c r="AP183" s="15"/>
      <c r="AQ183" s="15">
        <f t="shared" ca="1" si="76"/>
        <v>0</v>
      </c>
      <c r="AR183" s="20">
        <f t="shared" ca="1" si="61"/>
        <v>0.55868521299768259</v>
      </c>
      <c r="AS183" s="20"/>
      <c r="AT183" s="20">
        <f t="shared" ca="1" si="62"/>
        <v>0</v>
      </c>
      <c r="AU183" s="20">
        <f t="shared" ca="1" si="63"/>
        <v>0.25766682853358264</v>
      </c>
      <c r="AV183" s="20">
        <f t="shared" ca="1" si="64"/>
        <v>0</v>
      </c>
      <c r="AW183" s="20">
        <f t="shared" si="65"/>
        <v>0</v>
      </c>
      <c r="AX183" s="20">
        <f t="shared" si="66"/>
        <v>0</v>
      </c>
      <c r="BA183" s="20"/>
      <c r="BD183" s="94" t="str">
        <f t="shared" si="71"/>
        <v>PPI2201Contact</v>
      </c>
      <c r="BF183" s="15" t="s">
        <v>4</v>
      </c>
      <c r="BG183" t="s">
        <v>303</v>
      </c>
      <c r="BH183" s="190">
        <v>2.8140000000000001</v>
      </c>
      <c r="BI183" s="190">
        <v>2.82200002670288</v>
      </c>
      <c r="BJ183" s="257">
        <f t="shared" si="70"/>
        <v>9.9948319810772401E-2</v>
      </c>
      <c r="BK183" s="257">
        <f t="shared" si="68"/>
        <v>0.10956808453608578</v>
      </c>
      <c r="BL183" s="257">
        <f t="shared" si="69"/>
        <v>0.11598126101962807</v>
      </c>
      <c r="BM183" s="342" t="str">
        <f>VLOOKUP(LEFT(BG183,3),'Mapping B'!$D$2:$E$310,2,0)</f>
        <v>N</v>
      </c>
      <c r="BO183" s="20"/>
      <c r="BP183" s="190"/>
      <c r="BQ183" s="20"/>
      <c r="BR183" s="20"/>
    </row>
    <row r="184" spans="2:70" x14ac:dyDescent="0.25">
      <c r="B184" s="98" t="s">
        <v>554</v>
      </c>
      <c r="C184" s="98">
        <v>2014</v>
      </c>
      <c r="D184" s="98" t="s">
        <v>316</v>
      </c>
      <c r="E184" s="98" t="s">
        <v>4</v>
      </c>
      <c r="F184" s="98" t="s">
        <v>136</v>
      </c>
      <c r="G184" s="98">
        <v>0</v>
      </c>
      <c r="H184" s="299" t="str">
        <f>VLOOKUP(LEFT('Rev Adequacy'!D184,3),'Mapping B'!$D$2:$E$400,2,0)</f>
        <v>S</v>
      </c>
      <c r="I184" s="190"/>
      <c r="J184" s="15" t="s">
        <v>310</v>
      </c>
      <c r="K184" s="190" t="s">
        <v>37</v>
      </c>
      <c r="L184" s="190">
        <f t="shared" si="59"/>
        <v>149.40450000000001</v>
      </c>
      <c r="O184" s="15">
        <f>_xlfn.IFNA(IF(VLOOKUP($J184&amp;O$12,'Mapping A'!$A$6:$G$1011,7,0)=1,$L184,""),0)</f>
        <v>149.40450000000001</v>
      </c>
      <c r="P184" s="15">
        <f>_xlfn.IFNA(IF(VLOOKUP($J184&amp;P$12,'Mapping A'!$A$6:$G$1011,7,0)=1,$L184,""),0)</f>
        <v>149.40450000000001</v>
      </c>
      <c r="Q184" s="15">
        <f>_xlfn.IFNA(IF(VLOOKUP($J184&amp;Q$12,'Mapping A'!$A$6:$G$1011,7,0)=1,$L184,""),0)</f>
        <v>149.40450000000001</v>
      </c>
      <c r="R184" s="15">
        <f>_xlfn.IFNA(IF(VLOOKUP($J184&amp;R$12,'Mapping A'!$A$6:$G$1011,7,0)=1,$L184,""),0)</f>
        <v>0</v>
      </c>
      <c r="S184" s="15">
        <f>_xlfn.IFNA(IF(VLOOKUP($J184&amp;S$12,'Mapping A'!$A$6:$G$1011,7,0)=1,$L184,""),0)</f>
        <v>0</v>
      </c>
      <c r="T184" s="15">
        <f>_xlfn.IFNA(IF(VLOOKUP($J184&amp;T$14,'Mapping A'!$A$6:$G$1011,7,0)=1,$L184,""),0)</f>
        <v>149.40450000000001</v>
      </c>
      <c r="U184" s="15">
        <f>_xlfn.IFNA(IF(VLOOKUP($J184&amp;U$12,'Mapping A'!$A$6:$G$1011,7,0)=1,$L184,""),0)</f>
        <v>149.40450000000001</v>
      </c>
      <c r="V184" s="15">
        <f>_xlfn.IFNA(IF(VLOOKUP($J184&amp;V$12,'Mapping A'!$A$6:$G$1011,7,0)=1,$L184,""),0)</f>
        <v>0</v>
      </c>
      <c r="W184" s="15">
        <f>_xlfn.IFNA(IF(VLOOKUP($J184&amp;W$12,'Mapping A'!$A$6:$G$1011,7,0)=1,$L184,""),0)</f>
        <v>0</v>
      </c>
      <c r="X184" s="15">
        <f>_xlfn.IFNA(IF(VLOOKUP($J184&amp;X$12,'Mapping A'!$A$6:$G$1011,7,0)=1,$L184,""),0)</f>
        <v>149.40450000000001</v>
      </c>
      <c r="Y184" s="15">
        <f>_xlfn.IFNA(IF(VLOOKUP($J184&amp;Y$12,'Mapping A'!$A$6:$G$1011,7,0)=1,$L184,""),0)</f>
        <v>0</v>
      </c>
      <c r="Z184" s="15">
        <f>_xlfn.IFNA(IF(VLOOKUP($J184&amp;Z$12,'Mapping A'!$A$6:$G$1011,7,0)=1,$L184,""),0)</f>
        <v>0</v>
      </c>
      <c r="AA184" s="15">
        <f>_xlfn.IFNA(IF(VLOOKUP($J184&amp;AA$12,'Mapping A'!$A$6:$G$1011,7,0)=1,$L184,""),0)</f>
        <v>0</v>
      </c>
      <c r="AF184" s="155" t="str">
        <f t="shared" si="67"/>
        <v>ROS1101Vector</v>
      </c>
      <c r="AG184" s="15" t="s">
        <v>310</v>
      </c>
      <c r="AH184" s="190" t="s">
        <v>37</v>
      </c>
      <c r="AI184" s="190">
        <f t="shared" si="60"/>
        <v>149.40450000000001</v>
      </c>
      <c r="AJ184" s="292" t="s">
        <v>95</v>
      </c>
      <c r="AK184" s="15"/>
      <c r="AL184" s="15">
        <f t="shared" ca="1" si="72"/>
        <v>0</v>
      </c>
      <c r="AM184" s="15">
        <f t="shared" ca="1" si="73"/>
        <v>0</v>
      </c>
      <c r="AN184" s="15">
        <f t="shared" ca="1" si="74"/>
        <v>0</v>
      </c>
      <c r="AO184" s="15">
        <f t="shared" ca="1" si="75"/>
        <v>0</v>
      </c>
      <c r="AP184" s="15"/>
      <c r="AQ184" s="15">
        <f t="shared" ca="1" si="76"/>
        <v>0</v>
      </c>
      <c r="AR184" s="20">
        <f t="shared" ca="1" si="61"/>
        <v>0.65373364712291127</v>
      </c>
      <c r="AS184" s="20"/>
      <c r="AT184" s="20">
        <f t="shared" ca="1" si="62"/>
        <v>0</v>
      </c>
      <c r="AU184" s="20">
        <f t="shared" ca="1" si="63"/>
        <v>0.30150337191858256</v>
      </c>
      <c r="AV184" s="20">
        <f t="shared" ca="1" si="64"/>
        <v>0</v>
      </c>
      <c r="AW184" s="20">
        <f t="shared" si="65"/>
        <v>0</v>
      </c>
      <c r="AX184" s="20">
        <f t="shared" si="66"/>
        <v>0</v>
      </c>
      <c r="BA184" s="20"/>
      <c r="BD184" s="94" t="str">
        <f t="shared" si="71"/>
        <v>PRM0331Electra</v>
      </c>
      <c r="BF184" s="15" t="s">
        <v>8</v>
      </c>
      <c r="BG184" t="s">
        <v>305</v>
      </c>
      <c r="BH184" s="190">
        <v>59.570699999999995</v>
      </c>
      <c r="BI184" s="190">
        <v>59.568000793457003</v>
      </c>
      <c r="BJ184" s="257">
        <f t="shared" si="70"/>
        <v>2.1158462597553584</v>
      </c>
      <c r="BK184" s="257">
        <f t="shared" si="68"/>
        <v>2.3194909358471234</v>
      </c>
      <c r="BL184" s="257">
        <f t="shared" si="69"/>
        <v>2.4552540532416334</v>
      </c>
      <c r="BM184" s="342" t="str">
        <f>VLOOKUP(LEFT(BG184,3),'Mapping B'!$D$2:$E$310,2,0)</f>
        <v>N</v>
      </c>
      <c r="BO184" s="20"/>
      <c r="BP184" s="190"/>
      <c r="BQ184" s="20"/>
      <c r="BR184" s="20"/>
    </row>
    <row r="185" spans="2:70" x14ac:dyDescent="0.25">
      <c r="B185" s="98" t="s">
        <v>554</v>
      </c>
      <c r="C185" s="98">
        <v>2014</v>
      </c>
      <c r="D185" s="98" t="s">
        <v>321</v>
      </c>
      <c r="E185" s="98" t="s">
        <v>4</v>
      </c>
      <c r="F185" s="98" t="s">
        <v>131</v>
      </c>
      <c r="G185" s="98">
        <v>7185.7880000000196</v>
      </c>
      <c r="H185" s="299" t="str">
        <f>VLOOKUP(LEFT('Rev Adequacy'!D185,3),'Mapping B'!$D$2:$E$400,2,0)</f>
        <v>N</v>
      </c>
      <c r="I185" s="190"/>
      <c r="J185" s="15" t="s">
        <v>311</v>
      </c>
      <c r="K185" s="190" t="s">
        <v>36</v>
      </c>
      <c r="L185" s="190">
        <f t="shared" si="59"/>
        <v>29.420999999999999</v>
      </c>
      <c r="O185" s="15">
        <f>_xlfn.IFNA(IF(VLOOKUP($J185&amp;O$12,'Mapping A'!$A$6:$G$1011,7,0)=1,$L185,""),0)</f>
        <v>0</v>
      </c>
      <c r="P185" s="15">
        <f>_xlfn.IFNA(IF(VLOOKUP($J185&amp;P$12,'Mapping A'!$A$6:$G$1011,7,0)=1,$L185,""),0)</f>
        <v>29.420999999999999</v>
      </c>
      <c r="Q185" s="15">
        <f>_xlfn.IFNA(IF(VLOOKUP($J185&amp;Q$12,'Mapping A'!$A$6:$G$1011,7,0)=1,$L185,""),0)</f>
        <v>29.420999999999999</v>
      </c>
      <c r="R185" s="15">
        <f>_xlfn.IFNA(IF(VLOOKUP($J185&amp;R$12,'Mapping A'!$A$6:$G$1011,7,0)=1,$L185,""),0)</f>
        <v>0</v>
      </c>
      <c r="S185" s="15">
        <f>_xlfn.IFNA(IF(VLOOKUP($J185&amp;S$12,'Mapping A'!$A$6:$G$1011,7,0)=1,$L185,""),0)</f>
        <v>0</v>
      </c>
      <c r="T185" s="15">
        <f>_xlfn.IFNA(IF(VLOOKUP($J185&amp;T$14,'Mapping A'!$A$6:$G$1011,7,0)=1,$L185,""),0)</f>
        <v>29.420999999999999</v>
      </c>
      <c r="U185" s="15">
        <f>_xlfn.IFNA(IF(VLOOKUP($J185&amp;U$12,'Mapping A'!$A$6:$G$1011,7,0)=1,$L185,""),0)</f>
        <v>0</v>
      </c>
      <c r="V185" s="15">
        <f>_xlfn.IFNA(IF(VLOOKUP($J185&amp;V$12,'Mapping A'!$A$6:$G$1011,7,0)=1,$L185,""),0)</f>
        <v>0</v>
      </c>
      <c r="W185" s="15">
        <f>_xlfn.IFNA(IF(VLOOKUP($J185&amp;W$12,'Mapping A'!$A$6:$G$1011,7,0)=1,$L185,""),0)</f>
        <v>0</v>
      </c>
      <c r="X185" s="15">
        <f>_xlfn.IFNA(IF(VLOOKUP($J185&amp;X$12,'Mapping A'!$A$6:$G$1011,7,0)=1,$L185,""),0)</f>
        <v>0</v>
      </c>
      <c r="Y185" s="15">
        <f>_xlfn.IFNA(IF(VLOOKUP($J185&amp;Y$12,'Mapping A'!$A$6:$G$1011,7,0)=1,$L185,""),0)</f>
        <v>0</v>
      </c>
      <c r="Z185" s="15">
        <f>_xlfn.IFNA(IF(VLOOKUP($J185&amp;Z$12,'Mapping A'!$A$6:$G$1011,7,0)=1,$L185,""),0)</f>
        <v>0</v>
      </c>
      <c r="AA185" s="15">
        <f>_xlfn.IFNA(IF(VLOOKUP($J185&amp;AA$12,'Mapping A'!$A$6:$G$1011,7,0)=1,$L185,""),0)</f>
        <v>0</v>
      </c>
      <c r="AF185" s="155" t="str">
        <f t="shared" si="67"/>
        <v>ROT0111Unison</v>
      </c>
      <c r="AG185" s="15" t="s">
        <v>311</v>
      </c>
      <c r="AH185" s="190" t="s">
        <v>36</v>
      </c>
      <c r="AI185" s="190">
        <f t="shared" si="60"/>
        <v>29.420999999999999</v>
      </c>
      <c r="AJ185" s="292" t="s">
        <v>95</v>
      </c>
      <c r="AK185" s="15"/>
      <c r="AL185" s="15">
        <f t="shared" ca="1" si="72"/>
        <v>0</v>
      </c>
      <c r="AM185" s="15">
        <f t="shared" ca="1" si="73"/>
        <v>0</v>
      </c>
      <c r="AN185" s="15">
        <f t="shared" ca="1" si="74"/>
        <v>0</v>
      </c>
      <c r="AO185" s="15">
        <f t="shared" ca="1" si="75"/>
        <v>0</v>
      </c>
      <c r="AP185" s="15"/>
      <c r="AQ185" s="15">
        <f t="shared" ca="1" si="76"/>
        <v>0</v>
      </c>
      <c r="AR185" s="20">
        <f t="shared" ca="1" si="61"/>
        <v>0</v>
      </c>
      <c r="AS185" s="20"/>
      <c r="AT185" s="20">
        <f t="shared" ca="1" si="62"/>
        <v>0</v>
      </c>
      <c r="AU185" s="20">
        <f t="shared" ca="1" si="63"/>
        <v>0</v>
      </c>
      <c r="AV185" s="20">
        <f t="shared" ca="1" si="64"/>
        <v>0</v>
      </c>
      <c r="AW185" s="20">
        <f t="shared" si="65"/>
        <v>0</v>
      </c>
      <c r="AX185" s="20">
        <f t="shared" si="66"/>
        <v>0</v>
      </c>
      <c r="BA185" s="20"/>
      <c r="BD185" s="94" t="str">
        <f t="shared" si="71"/>
        <v>RDF0331Unison</v>
      </c>
      <c r="BF185" s="15" t="s">
        <v>36</v>
      </c>
      <c r="BG185" t="s">
        <v>306</v>
      </c>
      <c r="BH185" s="190">
        <v>64.010099999999994</v>
      </c>
      <c r="BI185" s="190">
        <v>61.058998107910099</v>
      </c>
      <c r="BJ185" s="257">
        <f t="shared" si="70"/>
        <v>2.2735259225016069</v>
      </c>
      <c r="BK185" s="257">
        <f t="shared" si="68"/>
        <v>2.4923468542868887</v>
      </c>
      <c r="BL185" s="257">
        <f t="shared" si="69"/>
        <v>2.6382274754770765</v>
      </c>
      <c r="BM185" s="342" t="str">
        <f>VLOOKUP(LEFT(BG185,3),'Mapping B'!$D$2:$E$310,2,0)</f>
        <v>N</v>
      </c>
      <c r="BO185" s="20"/>
      <c r="BP185" s="190"/>
      <c r="BQ185" s="20"/>
      <c r="BR185" s="20"/>
    </row>
    <row r="186" spans="2:70" x14ac:dyDescent="0.25">
      <c r="B186" s="98" t="s">
        <v>554</v>
      </c>
      <c r="C186" s="98">
        <v>2014</v>
      </c>
      <c r="D186" s="98" t="s">
        <v>322</v>
      </c>
      <c r="E186" s="98" t="s">
        <v>4</v>
      </c>
      <c r="F186" s="98" t="s">
        <v>136</v>
      </c>
      <c r="G186" s="98">
        <v>4167.3079999997099</v>
      </c>
      <c r="H186" s="299" t="str">
        <f>VLOOKUP(LEFT('Rev Adequacy'!D186,3),'Mapping B'!$D$2:$E$400,2,0)</f>
        <v>N</v>
      </c>
      <c r="I186" s="190"/>
      <c r="J186" s="15" t="s">
        <v>312</v>
      </c>
      <c r="K186" s="190" t="s">
        <v>36</v>
      </c>
      <c r="L186" s="190">
        <f t="shared" si="59"/>
        <v>44.011800000000001</v>
      </c>
      <c r="O186" s="15">
        <f>_xlfn.IFNA(IF(VLOOKUP($J186&amp;O$12,'Mapping A'!$A$6:$G$1011,7,0)=1,$L186,""),0)</f>
        <v>0</v>
      </c>
      <c r="P186" s="15">
        <f>_xlfn.IFNA(IF(VLOOKUP($J186&amp;P$12,'Mapping A'!$A$6:$G$1011,7,0)=1,$L186,""),0)</f>
        <v>44.011800000000001</v>
      </c>
      <c r="Q186" s="15">
        <f>_xlfn.IFNA(IF(VLOOKUP($J186&amp;Q$12,'Mapping A'!$A$6:$G$1011,7,0)=1,$L186,""),0)</f>
        <v>44.011800000000001</v>
      </c>
      <c r="R186" s="15">
        <f>_xlfn.IFNA(IF(VLOOKUP($J186&amp;R$12,'Mapping A'!$A$6:$G$1011,7,0)=1,$L186,""),0)</f>
        <v>0</v>
      </c>
      <c r="S186" s="15">
        <f>_xlfn.IFNA(IF(VLOOKUP($J186&amp;S$12,'Mapping A'!$A$6:$G$1011,7,0)=1,$L186,""),0)</f>
        <v>0</v>
      </c>
      <c r="T186" s="15">
        <f>_xlfn.IFNA(IF(VLOOKUP($J186&amp;T$14,'Mapping A'!$A$6:$G$1011,7,0)=1,$L186,""),0)</f>
        <v>44.011800000000001</v>
      </c>
      <c r="U186" s="15">
        <f>_xlfn.IFNA(IF(VLOOKUP($J186&amp;U$12,'Mapping A'!$A$6:$G$1011,7,0)=1,$L186,""),0)</f>
        <v>0</v>
      </c>
      <c r="V186" s="15">
        <f>_xlfn.IFNA(IF(VLOOKUP($J186&amp;V$12,'Mapping A'!$A$6:$G$1011,7,0)=1,$L186,""),0)</f>
        <v>0</v>
      </c>
      <c r="W186" s="15">
        <f>_xlfn.IFNA(IF(VLOOKUP($J186&amp;W$12,'Mapping A'!$A$6:$G$1011,7,0)=1,$L186,""),0)</f>
        <v>0</v>
      </c>
      <c r="X186" s="15">
        <f>_xlfn.IFNA(IF(VLOOKUP($J186&amp;X$12,'Mapping A'!$A$6:$G$1011,7,0)=1,$L186,""),0)</f>
        <v>0</v>
      </c>
      <c r="Y186" s="15">
        <f>_xlfn.IFNA(IF(VLOOKUP($J186&amp;Y$12,'Mapping A'!$A$6:$G$1011,7,0)=1,$L186,""),0)</f>
        <v>0</v>
      </c>
      <c r="Z186" s="15">
        <f>_xlfn.IFNA(IF(VLOOKUP($J186&amp;Z$12,'Mapping A'!$A$6:$G$1011,7,0)=1,$L186,""),0)</f>
        <v>0</v>
      </c>
      <c r="AA186" s="15">
        <f>_xlfn.IFNA(IF(VLOOKUP($J186&amp;AA$12,'Mapping A'!$A$6:$G$1011,7,0)=1,$L186,""),0)</f>
        <v>0</v>
      </c>
      <c r="AF186" s="155" t="str">
        <f t="shared" si="67"/>
        <v>ROT0331Unison</v>
      </c>
      <c r="AG186" s="15" t="s">
        <v>312</v>
      </c>
      <c r="AH186" s="190" t="s">
        <v>36</v>
      </c>
      <c r="AI186" s="190">
        <f t="shared" si="60"/>
        <v>44.011800000000001</v>
      </c>
      <c r="AJ186" s="292" t="s">
        <v>95</v>
      </c>
      <c r="AK186" s="15"/>
      <c r="AL186" s="15">
        <f t="shared" ca="1" si="72"/>
        <v>0</v>
      </c>
      <c r="AM186" s="15">
        <f t="shared" ca="1" si="73"/>
        <v>0</v>
      </c>
      <c r="AN186" s="15">
        <f t="shared" ca="1" si="74"/>
        <v>0</v>
      </c>
      <c r="AO186" s="15">
        <f t="shared" ca="1" si="75"/>
        <v>0</v>
      </c>
      <c r="AP186" s="15"/>
      <c r="AQ186" s="15">
        <f t="shared" ca="1" si="76"/>
        <v>0</v>
      </c>
      <c r="AR186" s="20">
        <f t="shared" ca="1" si="61"/>
        <v>0</v>
      </c>
      <c r="AS186" s="20"/>
      <c r="AT186" s="20">
        <f t="shared" ca="1" si="62"/>
        <v>0</v>
      </c>
      <c r="AU186" s="20">
        <f t="shared" ca="1" si="63"/>
        <v>0</v>
      </c>
      <c r="AV186" s="20">
        <f t="shared" ca="1" si="64"/>
        <v>0</v>
      </c>
      <c r="AW186" s="20">
        <f t="shared" si="65"/>
        <v>0</v>
      </c>
      <c r="AX186" s="20">
        <f t="shared" si="66"/>
        <v>0</v>
      </c>
      <c r="BA186" s="20"/>
      <c r="BD186" s="94" t="str">
        <f t="shared" si="71"/>
        <v>RFN1101Westpower</v>
      </c>
      <c r="BF186" s="15" t="s">
        <v>41</v>
      </c>
      <c r="BG186" t="s">
        <v>307</v>
      </c>
      <c r="BH186" s="190">
        <v>9.1392000000000007</v>
      </c>
      <c r="BI186" s="190">
        <v>9.1400003433227504</v>
      </c>
      <c r="BJ186" s="257">
        <f t="shared" si="70"/>
        <v>0.32460827448991159</v>
      </c>
      <c r="BK186" s="257">
        <f t="shared" si="68"/>
        <v>0.35585097306048163</v>
      </c>
      <c r="BL186" s="257">
        <f t="shared" si="69"/>
        <v>0.37667943877419502</v>
      </c>
      <c r="BM186" s="342" t="str">
        <f>VLOOKUP(LEFT(BG186,3),'Mapping B'!$D$2:$E$310,2,0)</f>
        <v>S</v>
      </c>
      <c r="BO186" s="20"/>
      <c r="BP186" s="190"/>
      <c r="BQ186" s="20"/>
      <c r="BR186" s="20"/>
    </row>
    <row r="187" spans="2:70" x14ac:dyDescent="0.25">
      <c r="B187" s="98" t="s">
        <v>554</v>
      </c>
      <c r="C187" s="98">
        <v>2014</v>
      </c>
      <c r="D187" s="98" t="s">
        <v>323</v>
      </c>
      <c r="E187" s="98" t="s">
        <v>4</v>
      </c>
      <c r="F187" s="98" t="s">
        <v>136</v>
      </c>
      <c r="G187" s="98">
        <v>0</v>
      </c>
      <c r="H187" s="299" t="str">
        <f>VLOOKUP(LEFT('Rev Adequacy'!D187,3),'Mapping B'!$D$2:$E$400,2,0)</f>
        <v>N</v>
      </c>
      <c r="I187" s="190"/>
      <c r="J187" s="15" t="s">
        <v>313</v>
      </c>
      <c r="K187" s="190" t="s">
        <v>138</v>
      </c>
      <c r="L187" s="190">
        <f t="shared" si="59"/>
        <v>7.3499999999999996E-2</v>
      </c>
      <c r="O187" s="15">
        <f>_xlfn.IFNA(IF(VLOOKUP($J187&amp;O$12,'Mapping A'!$A$6:$G$1011,7,0)=1,$L187,""),0)</f>
        <v>0</v>
      </c>
      <c r="P187" s="15">
        <f>_xlfn.IFNA(IF(VLOOKUP($J187&amp;P$12,'Mapping A'!$A$6:$G$1011,7,0)=1,$L187,""),0)</f>
        <v>7.3499999999999996E-2</v>
      </c>
      <c r="Q187" s="15">
        <f>_xlfn.IFNA(IF(VLOOKUP($J187&amp;Q$12,'Mapping A'!$A$6:$G$1011,7,0)=1,$L187,""),0)</f>
        <v>7.3499999999999996E-2</v>
      </c>
      <c r="R187" s="15">
        <f>_xlfn.IFNA(IF(VLOOKUP($J187&amp;R$12,'Mapping A'!$A$6:$G$1011,7,0)=1,$L187,""),0)</f>
        <v>0</v>
      </c>
      <c r="S187" s="15">
        <f>_xlfn.IFNA(IF(VLOOKUP($J187&amp;S$12,'Mapping A'!$A$6:$G$1011,7,0)=1,$L187,""),0)</f>
        <v>0</v>
      </c>
      <c r="T187" s="15">
        <f>_xlfn.IFNA(IF(VLOOKUP($J187&amp;T$14,'Mapping A'!$A$6:$G$1011,7,0)=1,$L187,""),0)</f>
        <v>7.3499999999999996E-2</v>
      </c>
      <c r="U187" s="15">
        <f>_xlfn.IFNA(IF(VLOOKUP($J187&amp;U$12,'Mapping A'!$A$6:$G$1011,7,0)=1,$L187,""),0)</f>
        <v>0</v>
      </c>
      <c r="V187" s="15">
        <f>_xlfn.IFNA(IF(VLOOKUP($J187&amp;V$12,'Mapping A'!$A$6:$G$1011,7,0)=1,$L187,""),0)</f>
        <v>0</v>
      </c>
      <c r="W187" s="15">
        <f>_xlfn.IFNA(IF(VLOOKUP($J187&amp;W$12,'Mapping A'!$A$6:$G$1011,7,0)=1,$L187,""),0)</f>
        <v>0</v>
      </c>
      <c r="X187" s="15">
        <f>_xlfn.IFNA(IF(VLOOKUP($J187&amp;X$12,'Mapping A'!$A$6:$G$1011,7,0)=1,$L187,""),0)</f>
        <v>0</v>
      </c>
      <c r="Y187" s="15">
        <f>_xlfn.IFNA(IF(VLOOKUP($J187&amp;Y$12,'Mapping A'!$A$6:$G$1011,7,0)=1,$L187,""),0)</f>
        <v>0</v>
      </c>
      <c r="Z187" s="15">
        <f>_xlfn.IFNA(IF(VLOOKUP($J187&amp;Z$12,'Mapping A'!$A$6:$G$1011,7,0)=1,$L187,""),0)</f>
        <v>0</v>
      </c>
      <c r="AA187" s="15">
        <f>_xlfn.IFNA(IF(VLOOKUP($J187&amp;AA$12,'Mapping A'!$A$6:$G$1011,7,0)=1,$L187,""),0)</f>
        <v>0</v>
      </c>
      <c r="AF187" s="155" t="str">
        <f t="shared" si="67"/>
        <v>ROT1101TrustPower</v>
      </c>
      <c r="AG187" s="15" t="s">
        <v>313</v>
      </c>
      <c r="AH187" s="190" t="s">
        <v>138</v>
      </c>
      <c r="AI187" s="190">
        <f t="shared" si="60"/>
        <v>7.3499999999999996E-2</v>
      </c>
      <c r="AJ187" s="292" t="s">
        <v>95</v>
      </c>
      <c r="AK187" s="15"/>
      <c r="AL187" s="15">
        <f t="shared" ca="1" si="72"/>
        <v>0</v>
      </c>
      <c r="AM187" s="15">
        <f t="shared" ca="1" si="73"/>
        <v>0</v>
      </c>
      <c r="AN187" s="15">
        <f t="shared" ca="1" si="74"/>
        <v>0</v>
      </c>
      <c r="AO187" s="15">
        <f t="shared" ca="1" si="75"/>
        <v>0</v>
      </c>
      <c r="AP187" s="15"/>
      <c r="AQ187" s="15">
        <f t="shared" ca="1" si="76"/>
        <v>0</v>
      </c>
      <c r="AR187" s="20">
        <f t="shared" ca="1" si="61"/>
        <v>0</v>
      </c>
      <c r="AS187" s="20"/>
      <c r="AT187" s="20">
        <f t="shared" ca="1" si="62"/>
        <v>0</v>
      </c>
      <c r="AU187" s="20">
        <f t="shared" ca="1" si="63"/>
        <v>0</v>
      </c>
      <c r="AV187" s="20">
        <f t="shared" ca="1" si="64"/>
        <v>0</v>
      </c>
      <c r="AW187" s="20">
        <f t="shared" si="65"/>
        <v>0</v>
      </c>
      <c r="AX187" s="20">
        <f t="shared" si="66"/>
        <v>0</v>
      </c>
      <c r="BA187" s="20"/>
      <c r="BD187" s="94" t="str">
        <f t="shared" si="71"/>
        <v>RFN1102Westpower</v>
      </c>
      <c r="BF187" s="15" t="s">
        <v>41</v>
      </c>
      <c r="BG187" t="s">
        <v>308</v>
      </c>
      <c r="BH187" s="190">
        <v>10.2354</v>
      </c>
      <c r="BI187" s="190">
        <v>10.239000320434499</v>
      </c>
      <c r="BJ187" s="257">
        <f t="shared" si="70"/>
        <v>0.36354336623709305</v>
      </c>
      <c r="BK187" s="257">
        <f t="shared" si="68"/>
        <v>0.39853346569319564</v>
      </c>
      <c r="BL187" s="257">
        <f t="shared" si="69"/>
        <v>0.42186019866393071</v>
      </c>
      <c r="BM187" s="342" t="str">
        <f>VLOOKUP(LEFT(BG187,3),'Mapping B'!$D$2:$E$310,2,0)</f>
        <v>S</v>
      </c>
      <c r="BO187" s="20"/>
      <c r="BP187" s="190"/>
      <c r="BQ187" s="20"/>
      <c r="BR187" s="20"/>
    </row>
    <row r="188" spans="2:70" x14ac:dyDescent="0.25">
      <c r="B188" s="98" t="s">
        <v>554</v>
      </c>
      <c r="C188" s="98">
        <v>2014</v>
      </c>
      <c r="D188" s="98" t="s">
        <v>324</v>
      </c>
      <c r="E188" s="98" t="s">
        <v>4</v>
      </c>
      <c r="F188" s="98" t="s">
        <v>136</v>
      </c>
      <c r="G188" s="98">
        <v>0</v>
      </c>
      <c r="H188" s="299" t="str">
        <f>VLOOKUP(LEFT('Rev Adequacy'!D188,3),'Mapping B'!$D$2:$E$400,2,0)</f>
        <v>N</v>
      </c>
      <c r="I188" s="190"/>
      <c r="J188" s="15" t="s">
        <v>318</v>
      </c>
      <c r="K188" s="190" t="s">
        <v>12</v>
      </c>
      <c r="L188" s="190">
        <f t="shared" si="59"/>
        <v>43.917300000000004</v>
      </c>
      <c r="O188" s="15">
        <f>_xlfn.IFNA(IF(VLOOKUP($J188&amp;O$12,'Mapping A'!$A$6:$G$1011,7,0)=1,$L188,""),0)</f>
        <v>0</v>
      </c>
      <c r="P188" s="15">
        <f>_xlfn.IFNA(IF(VLOOKUP($J188&amp;P$12,'Mapping A'!$A$6:$G$1011,7,0)=1,$L188,""),0)</f>
        <v>43.917300000000004</v>
      </c>
      <c r="Q188" s="15">
        <f>_xlfn.IFNA(IF(VLOOKUP($J188&amp;Q$12,'Mapping A'!$A$6:$G$1011,7,0)=1,$L188,""),0)</f>
        <v>0</v>
      </c>
      <c r="R188" s="15">
        <f>_xlfn.IFNA(IF(VLOOKUP($J188&amp;R$12,'Mapping A'!$A$6:$G$1011,7,0)=1,$L188,""),0)</f>
        <v>0</v>
      </c>
      <c r="S188" s="15">
        <f>_xlfn.IFNA(IF(VLOOKUP($J188&amp;S$12,'Mapping A'!$A$6:$G$1011,7,0)=1,$L188,""),0)</f>
        <v>0</v>
      </c>
      <c r="T188" s="15">
        <f>_xlfn.IFNA(IF(VLOOKUP($J188&amp;T$14,'Mapping A'!$A$6:$G$1011,7,0)=1,$L188,""),0)</f>
        <v>0</v>
      </c>
      <c r="U188" s="15">
        <f>_xlfn.IFNA(IF(VLOOKUP($J188&amp;U$12,'Mapping A'!$A$6:$G$1011,7,0)=1,$L188,""),0)</f>
        <v>0</v>
      </c>
      <c r="V188" s="15">
        <f>_xlfn.IFNA(IF(VLOOKUP($J188&amp;V$12,'Mapping A'!$A$6:$G$1011,7,0)=1,$L188,""),0)</f>
        <v>0</v>
      </c>
      <c r="W188" s="15">
        <f>_xlfn.IFNA(IF(VLOOKUP($J188&amp;W$12,'Mapping A'!$A$6:$G$1011,7,0)=1,$L188,""),0)</f>
        <v>43.917300000000004</v>
      </c>
      <c r="X188" s="15">
        <f>_xlfn.IFNA(IF(VLOOKUP($J188&amp;X$12,'Mapping A'!$A$6:$G$1011,7,0)=1,$L188,""),0)</f>
        <v>0</v>
      </c>
      <c r="Y188" s="15">
        <f>_xlfn.IFNA(IF(VLOOKUP($J188&amp;Y$12,'Mapping A'!$A$6:$G$1011,7,0)=1,$L188,""),0)</f>
        <v>0</v>
      </c>
      <c r="Z188" s="15">
        <f>_xlfn.IFNA(IF(VLOOKUP($J188&amp;Z$12,'Mapping A'!$A$6:$G$1011,7,0)=1,$L188,""),0)</f>
        <v>0</v>
      </c>
      <c r="AA188" s="15">
        <f>_xlfn.IFNA(IF(VLOOKUP($J188&amp;AA$12,'Mapping A'!$A$6:$G$1011,7,0)=1,$L188,""),0)</f>
        <v>0</v>
      </c>
      <c r="AF188" s="155" t="str">
        <f t="shared" si="67"/>
        <v>SBK0331Mainpower</v>
      </c>
      <c r="AG188" s="15" t="s">
        <v>318</v>
      </c>
      <c r="AH188" s="190" t="s">
        <v>12</v>
      </c>
      <c r="AI188" s="190">
        <f t="shared" si="60"/>
        <v>43.917300000000004</v>
      </c>
      <c r="AJ188" s="292" t="s">
        <v>96</v>
      </c>
      <c r="AK188" s="15"/>
      <c r="AL188" s="15">
        <f t="shared" ca="1" si="72"/>
        <v>0</v>
      </c>
      <c r="AM188" s="15">
        <f t="shared" ca="1" si="73"/>
        <v>0</v>
      </c>
      <c r="AN188" s="15">
        <f t="shared" ca="1" si="74"/>
        <v>0</v>
      </c>
      <c r="AO188" s="15">
        <f t="shared" ca="1" si="75"/>
        <v>0</v>
      </c>
      <c r="AP188" s="15"/>
      <c r="AQ188" s="15">
        <f t="shared" ca="1" si="76"/>
        <v>0</v>
      </c>
      <c r="AR188" s="20">
        <f t="shared" ca="1" si="61"/>
        <v>0</v>
      </c>
      <c r="AS188" s="20"/>
      <c r="AT188" s="20">
        <f t="shared" ca="1" si="62"/>
        <v>0.12532250917493032</v>
      </c>
      <c r="AU188" s="20">
        <f t="shared" ca="1" si="63"/>
        <v>0</v>
      </c>
      <c r="AV188" s="20">
        <f t="shared" ca="1" si="64"/>
        <v>0</v>
      </c>
      <c r="AW188" s="20">
        <f t="shared" si="65"/>
        <v>0</v>
      </c>
      <c r="AX188" s="20">
        <f t="shared" si="66"/>
        <v>0</v>
      </c>
      <c r="BA188" s="20"/>
      <c r="BD188" s="94" t="str">
        <f t="shared" si="71"/>
        <v>ROS0221Vector</v>
      </c>
      <c r="BF188" s="15" t="s">
        <v>37</v>
      </c>
      <c r="BG188" t="s">
        <v>309</v>
      </c>
      <c r="BH188" s="190">
        <v>127.68210000000001</v>
      </c>
      <c r="BI188" s="190">
        <v>127.68800354003901</v>
      </c>
      <c r="BJ188" s="257">
        <f t="shared" si="70"/>
        <v>4.5350431289662483</v>
      </c>
      <c r="BK188" s="257">
        <f t="shared" si="68"/>
        <v>4.9715291849839938</v>
      </c>
      <c r="BL188" s="257">
        <f t="shared" si="69"/>
        <v>5.2625198889958247</v>
      </c>
      <c r="BM188" s="342" t="str">
        <f>VLOOKUP(LEFT(BG188,3),'Mapping B'!$D$2:$E$310,2,0)</f>
        <v>N</v>
      </c>
      <c r="BO188" s="20"/>
      <c r="BP188" s="190"/>
      <c r="BQ188" s="20"/>
      <c r="BR188" s="20"/>
    </row>
    <row r="189" spans="2:70" x14ac:dyDescent="0.25">
      <c r="B189" s="98" t="s">
        <v>554</v>
      </c>
      <c r="C189" s="98">
        <v>2014</v>
      </c>
      <c r="D189" s="98" t="s">
        <v>336</v>
      </c>
      <c r="E189" s="98" t="s">
        <v>4</v>
      </c>
      <c r="F189" s="98" t="s">
        <v>131</v>
      </c>
      <c r="G189" s="98">
        <v>5987.5839999999998</v>
      </c>
      <c r="H189" s="299" t="str">
        <f>VLOOKUP(LEFT('Rev Adequacy'!D189,3),'Mapping B'!$D$2:$E$400,2,0)</f>
        <v>N</v>
      </c>
      <c r="I189" s="190"/>
      <c r="J189" s="15" t="s">
        <v>319</v>
      </c>
      <c r="K189" s="190" t="s">
        <v>1</v>
      </c>
      <c r="L189" s="190">
        <f t="shared" si="59"/>
        <v>73.109399999999994</v>
      </c>
      <c r="O189" s="15">
        <f>_xlfn.IFNA(IF(VLOOKUP($J189&amp;O$12,'Mapping A'!$A$6:$G$1011,7,0)=1,$L189,""),0)</f>
        <v>0</v>
      </c>
      <c r="P189" s="15">
        <f>_xlfn.IFNA(IF(VLOOKUP($J189&amp;P$12,'Mapping A'!$A$6:$G$1011,7,0)=1,$L189,""),0)</f>
        <v>73.109399999999994</v>
      </c>
      <c r="Q189" s="15">
        <f>_xlfn.IFNA(IF(VLOOKUP($J189&amp;Q$12,'Mapping A'!$A$6:$G$1011,7,0)=1,$L189,""),0)</f>
        <v>0</v>
      </c>
      <c r="R189" s="15">
        <f>_xlfn.IFNA(IF(VLOOKUP($J189&amp;R$12,'Mapping A'!$A$6:$G$1011,7,0)=1,$L189,""),0)</f>
        <v>0</v>
      </c>
      <c r="S189" s="15">
        <f>_xlfn.IFNA(IF(VLOOKUP($J189&amp;S$12,'Mapping A'!$A$6:$G$1011,7,0)=1,$L189,""),0)</f>
        <v>0</v>
      </c>
      <c r="T189" s="15">
        <f>_xlfn.IFNA(IF(VLOOKUP($J189&amp;T$14,'Mapping A'!$A$6:$G$1011,7,0)=1,$L189,""),0)</f>
        <v>0</v>
      </c>
      <c r="U189" s="15">
        <f>_xlfn.IFNA(IF(VLOOKUP($J189&amp;U$12,'Mapping A'!$A$6:$G$1011,7,0)=1,$L189,""),0)</f>
        <v>0</v>
      </c>
      <c r="V189" s="15">
        <f>_xlfn.IFNA(IF(VLOOKUP($J189&amp;V$12,'Mapping A'!$A$6:$G$1011,7,0)=1,$L189,""),0)</f>
        <v>0</v>
      </c>
      <c r="W189" s="15">
        <f>_xlfn.IFNA(IF(VLOOKUP($J189&amp;W$12,'Mapping A'!$A$6:$G$1011,7,0)=1,$L189,""),0)</f>
        <v>0</v>
      </c>
      <c r="X189" s="15">
        <f>_xlfn.IFNA(IF(VLOOKUP($J189&amp;X$12,'Mapping A'!$A$6:$G$1011,7,0)=1,$L189,""),0)</f>
        <v>0</v>
      </c>
      <c r="Y189" s="15">
        <f>_xlfn.IFNA(IF(VLOOKUP($J189&amp;Y$12,'Mapping A'!$A$6:$G$1011,7,0)=1,$L189,""),0)</f>
        <v>0</v>
      </c>
      <c r="Z189" s="15">
        <f>_xlfn.IFNA(IF(VLOOKUP($J189&amp;Z$12,'Mapping A'!$A$6:$G$1011,7,0)=1,$L189,""),0)</f>
        <v>0</v>
      </c>
      <c r="AA189" s="15">
        <f>_xlfn.IFNA(IF(VLOOKUP($J189&amp;AA$12,'Mapping A'!$A$6:$G$1011,7,0)=1,$L189,""),0)</f>
        <v>0</v>
      </c>
      <c r="AF189" s="155" t="str">
        <f t="shared" si="67"/>
        <v>SDN0331Aurora Energy</v>
      </c>
      <c r="AG189" s="15" t="s">
        <v>319</v>
      </c>
      <c r="AH189" s="190" t="s">
        <v>1</v>
      </c>
      <c r="AI189" s="190">
        <f t="shared" si="60"/>
        <v>73.109399999999994</v>
      </c>
      <c r="AJ189" s="292" t="s">
        <v>96</v>
      </c>
      <c r="AK189" s="15"/>
      <c r="AL189" s="15">
        <f t="shared" ca="1" si="72"/>
        <v>0</v>
      </c>
      <c r="AM189" s="15">
        <f t="shared" ca="1" si="73"/>
        <v>0</v>
      </c>
      <c r="AN189" s="15">
        <f t="shared" ca="1" si="74"/>
        <v>0</v>
      </c>
      <c r="AO189" s="15">
        <f t="shared" ca="1" si="75"/>
        <v>0</v>
      </c>
      <c r="AP189" s="15"/>
      <c r="AQ189" s="15">
        <f t="shared" ca="1" si="76"/>
        <v>0</v>
      </c>
      <c r="AR189" s="20">
        <f t="shared" ca="1" si="61"/>
        <v>0</v>
      </c>
      <c r="AS189" s="20"/>
      <c r="AT189" s="20">
        <f t="shared" ca="1" si="62"/>
        <v>0</v>
      </c>
      <c r="AU189" s="20">
        <f t="shared" ca="1" si="63"/>
        <v>0</v>
      </c>
      <c r="AV189" s="20">
        <f t="shared" ca="1" si="64"/>
        <v>0</v>
      </c>
      <c r="AW189" s="20">
        <f t="shared" si="65"/>
        <v>0</v>
      </c>
      <c r="AX189" s="20">
        <f t="shared" si="66"/>
        <v>0</v>
      </c>
      <c r="BA189" s="20"/>
      <c r="BD189" s="94" t="str">
        <f t="shared" si="71"/>
        <v>ROS1101Vector</v>
      </c>
      <c r="BF189" s="15" t="s">
        <v>37</v>
      </c>
      <c r="BG189" t="s">
        <v>310</v>
      </c>
      <c r="BH189" s="190">
        <v>149.40450000000001</v>
      </c>
      <c r="BI189" s="190">
        <v>149.38800048828099</v>
      </c>
      <c r="BJ189" s="257">
        <f t="shared" si="70"/>
        <v>5.3065844872667185</v>
      </c>
      <c r="BK189" s="257">
        <f t="shared" si="68"/>
        <v>5.8173293838207645</v>
      </c>
      <c r="BL189" s="257">
        <f t="shared" si="69"/>
        <v>6.1578259815234615</v>
      </c>
      <c r="BM189" s="342" t="str">
        <f>VLOOKUP(LEFT(BG189,3),'Mapping B'!$D$2:$E$310,2,0)</f>
        <v>N</v>
      </c>
      <c r="BO189" s="20"/>
      <c r="BP189" s="190"/>
      <c r="BQ189" s="20"/>
      <c r="BR189" s="20"/>
    </row>
    <row r="190" spans="2:70" x14ac:dyDescent="0.25">
      <c r="B190" s="98" t="s">
        <v>554</v>
      </c>
      <c r="C190" s="98">
        <v>2014</v>
      </c>
      <c r="D190" s="98" t="s">
        <v>337</v>
      </c>
      <c r="E190" s="98" t="s">
        <v>4</v>
      </c>
      <c r="F190" s="98" t="s">
        <v>136</v>
      </c>
      <c r="G190" s="98">
        <v>93339.116000000897</v>
      </c>
      <c r="H190" s="299" t="str">
        <f>VLOOKUP(LEFT('Rev Adequacy'!D190,3),'Mapping B'!$D$2:$E$400,2,0)</f>
        <v>N</v>
      </c>
      <c r="I190" s="190"/>
      <c r="J190" s="15" t="s">
        <v>320</v>
      </c>
      <c r="K190" s="190" t="s">
        <v>28</v>
      </c>
      <c r="L190" s="190">
        <f t="shared" si="59"/>
        <v>35.160299999999999</v>
      </c>
      <c r="O190" s="15">
        <f>_xlfn.IFNA(IF(VLOOKUP($J190&amp;O$12,'Mapping A'!$A$6:$G$1011,7,0)=1,$L190,""),0)</f>
        <v>0</v>
      </c>
      <c r="P190" s="15">
        <f>_xlfn.IFNA(IF(VLOOKUP($J190&amp;P$12,'Mapping A'!$A$6:$G$1011,7,0)=1,$L190,""),0)</f>
        <v>35.160299999999999</v>
      </c>
      <c r="Q190" s="15">
        <f>_xlfn.IFNA(IF(VLOOKUP($J190&amp;Q$12,'Mapping A'!$A$6:$G$1011,7,0)=1,$L190,""),0)</f>
        <v>35.160299999999999</v>
      </c>
      <c r="R190" s="15">
        <f>_xlfn.IFNA(IF(VLOOKUP($J190&amp;R$12,'Mapping A'!$A$6:$G$1011,7,0)=1,$L190,""),0)</f>
        <v>0</v>
      </c>
      <c r="S190" s="15">
        <f>_xlfn.IFNA(IF(VLOOKUP($J190&amp;S$12,'Mapping A'!$A$6:$G$1011,7,0)=1,$L190,""),0)</f>
        <v>0</v>
      </c>
      <c r="T190" s="15">
        <f>_xlfn.IFNA(IF(VLOOKUP($J190&amp;T$14,'Mapping A'!$A$6:$G$1011,7,0)=1,$L190,""),0)</f>
        <v>0</v>
      </c>
      <c r="U190" s="15">
        <f>_xlfn.IFNA(IF(VLOOKUP($J190&amp;U$12,'Mapping A'!$A$6:$G$1011,7,0)=1,$L190,""),0)</f>
        <v>0</v>
      </c>
      <c r="V190" s="15">
        <f>_xlfn.IFNA(IF(VLOOKUP($J190&amp;V$12,'Mapping A'!$A$6:$G$1011,7,0)=1,$L190,""),0)</f>
        <v>0</v>
      </c>
      <c r="W190" s="15">
        <f>_xlfn.IFNA(IF(VLOOKUP($J190&amp;W$12,'Mapping A'!$A$6:$G$1011,7,0)=1,$L190,""),0)</f>
        <v>0</v>
      </c>
      <c r="X190" s="15">
        <f>_xlfn.IFNA(IF(VLOOKUP($J190&amp;X$12,'Mapping A'!$A$6:$G$1011,7,0)=1,$L190,""),0)</f>
        <v>0</v>
      </c>
      <c r="Y190" s="15">
        <f>_xlfn.IFNA(IF(VLOOKUP($J190&amp;Y$12,'Mapping A'!$A$6:$G$1011,7,0)=1,$L190,""),0)</f>
        <v>0</v>
      </c>
      <c r="Z190" s="15">
        <f>_xlfn.IFNA(IF(VLOOKUP($J190&amp;Z$12,'Mapping A'!$A$6:$G$1011,7,0)=1,$L190,""),0)</f>
        <v>0</v>
      </c>
      <c r="AA190" s="15">
        <f>_xlfn.IFNA(IF(VLOOKUP($J190&amp;AA$12,'Mapping A'!$A$6:$G$1011,7,0)=1,$L190,""),0)</f>
        <v>0</v>
      </c>
      <c r="AF190" s="155" t="str">
        <f t="shared" si="67"/>
        <v>SFD0331Powerco</v>
      </c>
      <c r="AG190" s="15" t="s">
        <v>320</v>
      </c>
      <c r="AH190" s="190" t="s">
        <v>28</v>
      </c>
      <c r="AI190" s="190">
        <f t="shared" si="60"/>
        <v>35.160299999999999</v>
      </c>
      <c r="AJ190" s="292" t="s">
        <v>95</v>
      </c>
      <c r="AK190" s="15"/>
      <c r="AL190" s="15">
        <f t="shared" ca="1" si="72"/>
        <v>0</v>
      </c>
      <c r="AM190" s="15">
        <f t="shared" ca="1" si="73"/>
        <v>0</v>
      </c>
      <c r="AN190" s="15">
        <f t="shared" ca="1" si="74"/>
        <v>0</v>
      </c>
      <c r="AO190" s="15">
        <f t="shared" ca="1" si="75"/>
        <v>0</v>
      </c>
      <c r="AP190" s="15"/>
      <c r="AQ190" s="15">
        <f t="shared" ca="1" si="76"/>
        <v>0</v>
      </c>
      <c r="AR190" s="20">
        <f t="shared" ca="1" si="61"/>
        <v>0</v>
      </c>
      <c r="AS190" s="20"/>
      <c r="AT190" s="20">
        <f t="shared" ca="1" si="62"/>
        <v>0</v>
      </c>
      <c r="AU190" s="20">
        <f t="shared" ca="1" si="63"/>
        <v>0</v>
      </c>
      <c r="AV190" s="20">
        <f t="shared" ca="1" si="64"/>
        <v>0</v>
      </c>
      <c r="AW190" s="20">
        <f t="shared" si="65"/>
        <v>0</v>
      </c>
      <c r="AX190" s="20">
        <f t="shared" si="66"/>
        <v>0</v>
      </c>
      <c r="BA190" s="20"/>
      <c r="BD190" s="94" t="str">
        <f t="shared" si="71"/>
        <v>ROT0111Unison</v>
      </c>
      <c r="BF190" s="15" t="s">
        <v>36</v>
      </c>
      <c r="BG190" t="s">
        <v>311</v>
      </c>
      <c r="BH190" s="190">
        <v>29.420999999999999</v>
      </c>
      <c r="BI190" s="190">
        <v>29.424999237060501</v>
      </c>
      <c r="BJ190" s="257">
        <f t="shared" si="70"/>
        <v>1.0449820601111353</v>
      </c>
      <c r="BK190" s="257">
        <f t="shared" si="68"/>
        <v>1.1455588539929566</v>
      </c>
      <c r="BL190" s="257">
        <f t="shared" si="69"/>
        <v>1.2126100499141708</v>
      </c>
      <c r="BM190" s="342" t="str">
        <f>VLOOKUP(LEFT(BG190,3),'Mapping B'!$D$2:$E$310,2,0)</f>
        <v>N</v>
      </c>
      <c r="BO190" s="20"/>
      <c r="BP190" s="190"/>
      <c r="BQ190" s="20"/>
      <c r="BR190" s="20"/>
    </row>
    <row r="191" spans="2:70" x14ac:dyDescent="0.25">
      <c r="B191" s="98" t="s">
        <v>554</v>
      </c>
      <c r="C191" s="98">
        <v>2014</v>
      </c>
      <c r="D191" s="98" t="s">
        <v>338</v>
      </c>
      <c r="E191" s="98" t="s">
        <v>4</v>
      </c>
      <c r="F191" s="98" t="s">
        <v>136</v>
      </c>
      <c r="G191" s="98">
        <v>93339.116000000897</v>
      </c>
      <c r="H191" s="299" t="str">
        <f>VLOOKUP(LEFT('Rev Adequacy'!D191,3),'Mapping B'!$D$2:$E$400,2,0)</f>
        <v>N</v>
      </c>
      <c r="I191" s="190"/>
      <c r="J191" s="15" t="s">
        <v>321</v>
      </c>
      <c r="K191" s="190" t="s">
        <v>4</v>
      </c>
      <c r="L191" s="190">
        <f t="shared" si="59"/>
        <v>9.1980000000000004</v>
      </c>
      <c r="O191" s="15">
        <f>_xlfn.IFNA(IF(VLOOKUP($J191&amp;O$12,'Mapping A'!$A$6:$G$1011,7,0)=1,$L191,""),0)</f>
        <v>0</v>
      </c>
      <c r="P191" s="15">
        <f>_xlfn.IFNA(IF(VLOOKUP($J191&amp;P$12,'Mapping A'!$A$6:$G$1011,7,0)=1,$L191,""),0)</f>
        <v>9.1980000000000004</v>
      </c>
      <c r="Q191" s="15">
        <f>_xlfn.IFNA(IF(VLOOKUP($J191&amp;Q$12,'Mapping A'!$A$6:$G$1011,7,0)=1,$L191,""),0)</f>
        <v>9.1980000000000004</v>
      </c>
      <c r="R191" s="15">
        <f>_xlfn.IFNA(IF(VLOOKUP($J191&amp;R$12,'Mapping A'!$A$6:$G$1011,7,0)=1,$L191,""),0)</f>
        <v>0</v>
      </c>
      <c r="S191" s="15">
        <f>_xlfn.IFNA(IF(VLOOKUP($J191&amp;S$12,'Mapping A'!$A$6:$G$1011,7,0)=1,$L191,""),0)</f>
        <v>0</v>
      </c>
      <c r="T191" s="15">
        <f>_xlfn.IFNA(IF(VLOOKUP($J191&amp;T$14,'Mapping A'!$A$6:$G$1011,7,0)=1,$L191,""),0)</f>
        <v>0</v>
      </c>
      <c r="U191" s="15">
        <f>_xlfn.IFNA(IF(VLOOKUP($J191&amp;U$12,'Mapping A'!$A$6:$G$1011,7,0)=1,$L191,""),0)</f>
        <v>0</v>
      </c>
      <c r="V191" s="15">
        <f>_xlfn.IFNA(IF(VLOOKUP($J191&amp;V$12,'Mapping A'!$A$6:$G$1011,7,0)=1,$L191,""),0)</f>
        <v>0</v>
      </c>
      <c r="W191" s="15">
        <f>_xlfn.IFNA(IF(VLOOKUP($J191&amp;W$12,'Mapping A'!$A$6:$G$1011,7,0)=1,$L191,""),0)</f>
        <v>0</v>
      </c>
      <c r="X191" s="15">
        <f>_xlfn.IFNA(IF(VLOOKUP($J191&amp;X$12,'Mapping A'!$A$6:$G$1011,7,0)=1,$L191,""),0)</f>
        <v>0</v>
      </c>
      <c r="Y191" s="15">
        <f>_xlfn.IFNA(IF(VLOOKUP($J191&amp;Y$12,'Mapping A'!$A$6:$G$1011,7,0)=1,$L191,""),0)</f>
        <v>0</v>
      </c>
      <c r="Z191" s="15">
        <f>_xlfn.IFNA(IF(VLOOKUP($J191&amp;Z$12,'Mapping A'!$A$6:$G$1011,7,0)=1,$L191,""),0)</f>
        <v>0</v>
      </c>
      <c r="AA191" s="15">
        <f>_xlfn.IFNA(IF(VLOOKUP($J191&amp;AA$12,'Mapping A'!$A$6:$G$1011,7,0)=1,$L191,""),0)</f>
        <v>0</v>
      </c>
      <c r="AF191" s="155" t="str">
        <f t="shared" si="67"/>
        <v>SFD2201Contact</v>
      </c>
      <c r="AG191" s="15" t="s">
        <v>321</v>
      </c>
      <c r="AH191" s="190" t="s">
        <v>4</v>
      </c>
      <c r="AI191" s="190">
        <f t="shared" si="60"/>
        <v>9.1980000000000004</v>
      </c>
      <c r="AJ191" s="292" t="s">
        <v>95</v>
      </c>
      <c r="AK191" s="15"/>
      <c r="AL191" s="15">
        <f t="shared" ca="1" si="72"/>
        <v>0</v>
      </c>
      <c r="AM191" s="15">
        <f t="shared" ca="1" si="73"/>
        <v>0</v>
      </c>
      <c r="AN191" s="15">
        <f t="shared" ca="1" si="74"/>
        <v>0</v>
      </c>
      <c r="AO191" s="15">
        <f t="shared" ca="1" si="75"/>
        <v>0</v>
      </c>
      <c r="AP191" s="15"/>
      <c r="AQ191" s="15">
        <f t="shared" ca="1" si="76"/>
        <v>0</v>
      </c>
      <c r="AR191" s="20">
        <f t="shared" ca="1" si="61"/>
        <v>0</v>
      </c>
      <c r="AS191" s="20"/>
      <c r="AT191" s="20">
        <f t="shared" ca="1" si="62"/>
        <v>0</v>
      </c>
      <c r="AU191" s="20">
        <f t="shared" ca="1" si="63"/>
        <v>0</v>
      </c>
      <c r="AV191" s="20">
        <f t="shared" ca="1" si="64"/>
        <v>0</v>
      </c>
      <c r="AW191" s="20">
        <f t="shared" si="65"/>
        <v>0</v>
      </c>
      <c r="AX191" s="20">
        <f t="shared" si="66"/>
        <v>0</v>
      </c>
      <c r="BA191" s="20"/>
      <c r="BD191" s="94" t="str">
        <f t="shared" si="71"/>
        <v>ROT0331Unison</v>
      </c>
      <c r="BF191" s="15" t="s">
        <v>36</v>
      </c>
      <c r="BG191" t="s">
        <v>312</v>
      </c>
      <c r="BH191" s="190">
        <v>44.011800000000001</v>
      </c>
      <c r="BI191" s="190">
        <v>44.006999969482401</v>
      </c>
      <c r="BJ191" s="257">
        <f t="shared" si="70"/>
        <v>1.5632215571598267</v>
      </c>
      <c r="BK191" s="257">
        <f t="shared" si="68"/>
        <v>1.7136775490352882</v>
      </c>
      <c r="BL191" s="257">
        <f t="shared" si="69"/>
        <v>1.8139815436189288</v>
      </c>
      <c r="BM191" s="342" t="str">
        <f>VLOOKUP(LEFT(BG191,3),'Mapping B'!$D$2:$E$310,2,0)</f>
        <v>N</v>
      </c>
      <c r="BO191" s="20"/>
      <c r="BP191" s="190"/>
      <c r="BQ191" s="20"/>
      <c r="BR191" s="20"/>
    </row>
    <row r="192" spans="2:70" x14ac:dyDescent="0.25">
      <c r="B192" s="98" t="s">
        <v>554</v>
      </c>
      <c r="C192" s="98">
        <v>2014</v>
      </c>
      <c r="D192" s="98" t="s">
        <v>359</v>
      </c>
      <c r="E192" s="98" t="s">
        <v>4</v>
      </c>
      <c r="F192" s="98" t="s">
        <v>136</v>
      </c>
      <c r="G192" s="98">
        <v>0</v>
      </c>
      <c r="H192" s="299" t="str">
        <f>VLOOKUP(LEFT('Rev Adequacy'!D192,3),'Mapping B'!$D$2:$E$400,2,0)</f>
        <v>N</v>
      </c>
      <c r="I192" s="190"/>
      <c r="J192" s="15" t="s">
        <v>325</v>
      </c>
      <c r="K192" s="190" t="s">
        <v>19</v>
      </c>
      <c r="L192" s="190">
        <f t="shared" si="59"/>
        <v>154.61670000000001</v>
      </c>
      <c r="O192" s="15">
        <f>_xlfn.IFNA(IF(VLOOKUP($J192&amp;O$12,'Mapping A'!$A$6:$G$1011,7,0)=1,$L192,""),0)</f>
        <v>0</v>
      </c>
      <c r="P192" s="15">
        <f>_xlfn.IFNA(IF(VLOOKUP($J192&amp;P$12,'Mapping A'!$A$6:$G$1011,7,0)=1,$L192,""),0)</f>
        <v>154.61670000000001</v>
      </c>
      <c r="Q192" s="15">
        <f>_xlfn.IFNA(IF(VLOOKUP($J192&amp;Q$12,'Mapping A'!$A$6:$G$1011,7,0)=1,$L192,""),0)</f>
        <v>0</v>
      </c>
      <c r="R192" s="15">
        <f>_xlfn.IFNA(IF(VLOOKUP($J192&amp;R$12,'Mapping A'!$A$6:$G$1011,7,0)=1,$L192,""),0)</f>
        <v>0</v>
      </c>
      <c r="S192" s="15">
        <f>_xlfn.IFNA(IF(VLOOKUP($J192&amp;S$12,'Mapping A'!$A$6:$G$1011,7,0)=1,$L192,""),0)</f>
        <v>0</v>
      </c>
      <c r="T192" s="15">
        <f>_xlfn.IFNA(IF(VLOOKUP($J192&amp;T$14,'Mapping A'!$A$6:$G$1011,7,0)=1,$L192,""),0)</f>
        <v>0</v>
      </c>
      <c r="U192" s="15">
        <f>_xlfn.IFNA(IF(VLOOKUP($J192&amp;U$12,'Mapping A'!$A$6:$G$1011,7,0)=1,$L192,""),0)</f>
        <v>0</v>
      </c>
      <c r="V192" s="15">
        <f>_xlfn.IFNA(IF(VLOOKUP($J192&amp;V$12,'Mapping A'!$A$6:$G$1011,7,0)=1,$L192,""),0)</f>
        <v>0</v>
      </c>
      <c r="W192" s="15">
        <f>_xlfn.IFNA(IF(VLOOKUP($J192&amp;W$12,'Mapping A'!$A$6:$G$1011,7,0)=1,$L192,""),0)</f>
        <v>154.61670000000001</v>
      </c>
      <c r="X192" s="15">
        <f>_xlfn.IFNA(IF(VLOOKUP($J192&amp;X$12,'Mapping A'!$A$6:$G$1011,7,0)=1,$L192,""),0)</f>
        <v>0</v>
      </c>
      <c r="Y192" s="15">
        <f>_xlfn.IFNA(IF(VLOOKUP($J192&amp;Y$12,'Mapping A'!$A$6:$G$1011,7,0)=1,$L192,""),0)</f>
        <v>0</v>
      </c>
      <c r="Z192" s="15">
        <f>_xlfn.IFNA(IF(VLOOKUP($J192&amp;Z$12,'Mapping A'!$A$6:$G$1011,7,0)=1,$L192,""),0)</f>
        <v>0</v>
      </c>
      <c r="AA192" s="15">
        <f>_xlfn.IFNA(IF(VLOOKUP($J192&amp;AA$12,'Mapping A'!$A$6:$G$1011,7,0)=1,$L192,""),0)</f>
        <v>154.61670000000001</v>
      </c>
      <c r="AF192" s="155" t="str">
        <f t="shared" si="67"/>
        <v>STK0331Network Tasman</v>
      </c>
      <c r="AG192" s="15" t="s">
        <v>325</v>
      </c>
      <c r="AH192" s="190" t="s">
        <v>19</v>
      </c>
      <c r="AI192" s="190">
        <f t="shared" si="60"/>
        <v>154.61670000000001</v>
      </c>
      <c r="AJ192" s="292" t="s">
        <v>96</v>
      </c>
      <c r="AK192" s="15"/>
      <c r="AL192" s="15">
        <f t="shared" ca="1" si="72"/>
        <v>0</v>
      </c>
      <c r="AM192" s="15">
        <f t="shared" ca="1" si="73"/>
        <v>0</v>
      </c>
      <c r="AN192" s="15">
        <f t="shared" ca="1" si="74"/>
        <v>0</v>
      </c>
      <c r="AO192" s="15">
        <f t="shared" ca="1" si="75"/>
        <v>0</v>
      </c>
      <c r="AP192" s="15"/>
      <c r="AQ192" s="15">
        <f t="shared" ca="1" si="76"/>
        <v>0</v>
      </c>
      <c r="AR192" s="20">
        <f t="shared" ca="1" si="61"/>
        <v>0</v>
      </c>
      <c r="AS192" s="20"/>
      <c r="AT192" s="20">
        <f t="shared" ca="1" si="62"/>
        <v>0.44121457385466434</v>
      </c>
      <c r="AU192" s="20">
        <f t="shared" ca="1" si="63"/>
        <v>0</v>
      </c>
      <c r="AV192" s="20">
        <f t="shared" ca="1" si="64"/>
        <v>0</v>
      </c>
      <c r="AW192" s="20">
        <f t="shared" si="65"/>
        <v>0</v>
      </c>
      <c r="AX192" s="20">
        <f t="shared" si="66"/>
        <v>0</v>
      </c>
      <c r="BA192" s="20"/>
      <c r="BD192" s="94" t="str">
        <f t="shared" si="71"/>
        <v>ROT1101TrustPower</v>
      </c>
      <c r="BF192" s="15" t="s">
        <v>138</v>
      </c>
      <c r="BG192" t="s">
        <v>313</v>
      </c>
      <c r="BH192" s="190">
        <v>7.3499999999999996E-2</v>
      </c>
      <c r="BI192" s="190">
        <v>7.1999996900558402E-2</v>
      </c>
      <c r="BJ192" s="257">
        <f t="shared" si="70"/>
        <v>2.6105904428186822E-3</v>
      </c>
      <c r="BK192" s="257">
        <f t="shared" si="68"/>
        <v>2.861852954300748E-3</v>
      </c>
      <c r="BL192" s="257">
        <f t="shared" si="69"/>
        <v>3.0293612952887921E-3</v>
      </c>
      <c r="BM192" s="342" t="str">
        <f>VLOOKUP(LEFT(BG192,3),'Mapping B'!$D$2:$E$310,2,0)</f>
        <v>N</v>
      </c>
      <c r="BO192" s="20"/>
      <c r="BP192" s="190"/>
      <c r="BQ192" s="20"/>
      <c r="BR192" s="20"/>
    </row>
    <row r="193" spans="2:70" x14ac:dyDescent="0.25">
      <c r="B193" s="98" t="s">
        <v>554</v>
      </c>
      <c r="C193" s="98">
        <v>2014</v>
      </c>
      <c r="D193" s="98" t="s">
        <v>369</v>
      </c>
      <c r="E193" s="98" t="s">
        <v>4</v>
      </c>
      <c r="F193" s="98" t="s">
        <v>131</v>
      </c>
      <c r="G193" s="98">
        <v>49.559364656255298</v>
      </c>
      <c r="H193" s="299" t="str">
        <f>VLOOKUP(LEFT('Rev Adequacy'!D193,3),'Mapping B'!$D$2:$E$400,2,0)</f>
        <v>N</v>
      </c>
      <c r="I193" s="190"/>
      <c r="J193" s="15" t="s">
        <v>327</v>
      </c>
      <c r="K193" s="190" t="s">
        <v>0</v>
      </c>
      <c r="L193" s="190">
        <f t="shared" si="59"/>
        <v>13.7319</v>
      </c>
      <c r="O193" s="15">
        <f>_xlfn.IFNA(IF(VLOOKUP($J193&amp;O$12,'Mapping A'!$A$6:$G$1011,7,0)=1,$L193,""),0)</f>
        <v>0</v>
      </c>
      <c r="P193" s="15">
        <f>_xlfn.IFNA(IF(VLOOKUP($J193&amp;P$12,'Mapping A'!$A$6:$G$1011,7,0)=1,$L193,""),0)</f>
        <v>13.7319</v>
      </c>
      <c r="Q193" s="15">
        <f>_xlfn.IFNA(IF(VLOOKUP($J193&amp;Q$12,'Mapping A'!$A$6:$G$1011,7,0)=1,$L193,""),0)</f>
        <v>0</v>
      </c>
      <c r="R193" s="15">
        <f>_xlfn.IFNA(IF(VLOOKUP($J193&amp;R$12,'Mapping A'!$A$6:$G$1011,7,0)=1,$L193,""),0)</f>
        <v>0</v>
      </c>
      <c r="S193" s="15">
        <f>_xlfn.IFNA(IF(VLOOKUP($J193&amp;S$12,'Mapping A'!$A$6:$G$1011,7,0)=1,$L193,""),0)</f>
        <v>0</v>
      </c>
      <c r="T193" s="15">
        <f>_xlfn.IFNA(IF(VLOOKUP($J193&amp;T$14,'Mapping A'!$A$6:$G$1011,7,0)=1,$L193,""),0)</f>
        <v>0</v>
      </c>
      <c r="U193" s="15">
        <f>_xlfn.IFNA(IF(VLOOKUP($J193&amp;U$12,'Mapping A'!$A$6:$G$1011,7,0)=1,$L193,""),0)</f>
        <v>0</v>
      </c>
      <c r="V193" s="15">
        <f>_xlfn.IFNA(IF(VLOOKUP($J193&amp;V$12,'Mapping A'!$A$6:$G$1011,7,0)=1,$L193,""),0)</f>
        <v>0</v>
      </c>
      <c r="W193" s="15">
        <f>_xlfn.IFNA(IF(VLOOKUP($J193&amp;W$12,'Mapping A'!$A$6:$G$1011,7,0)=1,$L193,""),0)</f>
        <v>0</v>
      </c>
      <c r="X193" s="15">
        <f>_xlfn.IFNA(IF(VLOOKUP($J193&amp;X$12,'Mapping A'!$A$6:$G$1011,7,0)=1,$L193,""),0)</f>
        <v>0</v>
      </c>
      <c r="Y193" s="15">
        <f>_xlfn.IFNA(IF(VLOOKUP($J193&amp;Y$12,'Mapping A'!$A$6:$G$1011,7,0)=1,$L193,""),0)</f>
        <v>0</v>
      </c>
      <c r="Z193" s="15">
        <f>_xlfn.IFNA(IF(VLOOKUP($J193&amp;Z$12,'Mapping A'!$A$6:$G$1011,7,0)=1,$L193,""),0)</f>
        <v>0</v>
      </c>
      <c r="AA193" s="15">
        <f>_xlfn.IFNA(IF(VLOOKUP($J193&amp;AA$12,'Mapping A'!$A$6:$G$1011,7,0)=1,$L193,""),0)</f>
        <v>0</v>
      </c>
      <c r="AF193" s="155" t="str">
        <f t="shared" si="67"/>
        <v>STU0111Alpine Energy</v>
      </c>
      <c r="AG193" s="15" t="s">
        <v>327</v>
      </c>
      <c r="AH193" s="190" t="s">
        <v>0</v>
      </c>
      <c r="AI193" s="190">
        <f t="shared" si="60"/>
        <v>13.7319</v>
      </c>
      <c r="AJ193" s="292" t="s">
        <v>96</v>
      </c>
      <c r="AK193" s="15"/>
      <c r="AL193" s="15">
        <f t="shared" ca="1" si="72"/>
        <v>0</v>
      </c>
      <c r="AM193" s="15">
        <f t="shared" ca="1" si="73"/>
        <v>0</v>
      </c>
      <c r="AN193" s="15">
        <f t="shared" ca="1" si="74"/>
        <v>0</v>
      </c>
      <c r="AO193" s="15">
        <f t="shared" ca="1" si="75"/>
        <v>0</v>
      </c>
      <c r="AP193" s="15"/>
      <c r="AQ193" s="15">
        <f t="shared" ca="1" si="76"/>
        <v>0</v>
      </c>
      <c r="AR193" s="20">
        <f t="shared" ca="1" si="61"/>
        <v>0</v>
      </c>
      <c r="AS193" s="20"/>
      <c r="AT193" s="20">
        <f t="shared" ca="1" si="62"/>
        <v>0</v>
      </c>
      <c r="AU193" s="20">
        <f t="shared" ca="1" si="63"/>
        <v>0</v>
      </c>
      <c r="AV193" s="20">
        <f t="shared" ca="1" si="64"/>
        <v>0</v>
      </c>
      <c r="AW193" s="20">
        <f t="shared" si="65"/>
        <v>0</v>
      </c>
      <c r="AX193" s="20">
        <f t="shared" si="66"/>
        <v>0</v>
      </c>
      <c r="BA193" s="20"/>
      <c r="BD193" s="94" t="str">
        <f t="shared" si="71"/>
        <v>SBK0331Mainpower</v>
      </c>
      <c r="BF193" s="15" t="s">
        <v>12</v>
      </c>
      <c r="BG193" t="s">
        <v>318</v>
      </c>
      <c r="BH193" s="190">
        <v>43.917300000000004</v>
      </c>
      <c r="BI193" s="190">
        <v>43.915000915527301</v>
      </c>
      <c r="BJ193" s="257">
        <f t="shared" si="70"/>
        <v>1.5598650837333459</v>
      </c>
      <c r="BK193" s="257">
        <f t="shared" si="68"/>
        <v>1.7099980238083301</v>
      </c>
      <c r="BL193" s="257">
        <f t="shared" si="69"/>
        <v>1.8100866505249864</v>
      </c>
      <c r="BM193" s="342" t="str">
        <f>VLOOKUP(LEFT(BG193,3),'Mapping B'!$D$2:$E$310,2,0)</f>
        <v>S</v>
      </c>
      <c r="BO193" s="20"/>
      <c r="BP193" s="190"/>
      <c r="BQ193" s="20"/>
      <c r="BR193" s="20"/>
    </row>
    <row r="194" spans="2:70" x14ac:dyDescent="0.25">
      <c r="B194" s="98" t="s">
        <v>554</v>
      </c>
      <c r="C194" s="98">
        <v>2014</v>
      </c>
      <c r="D194" s="98" t="s">
        <v>370</v>
      </c>
      <c r="E194" s="98" t="s">
        <v>4</v>
      </c>
      <c r="F194" s="98" t="s">
        <v>131</v>
      </c>
      <c r="G194" s="98">
        <v>0</v>
      </c>
      <c r="H194" s="299" t="str">
        <f>VLOOKUP(LEFT('Rev Adequacy'!D194,3),'Mapping B'!$D$2:$E$400,2,0)</f>
        <v>N</v>
      </c>
      <c r="I194" s="190"/>
      <c r="J194" s="15" t="s">
        <v>328</v>
      </c>
      <c r="K194" s="190" t="s">
        <v>37</v>
      </c>
      <c r="L194" s="190">
        <f t="shared" si="59"/>
        <v>92.301299999999998</v>
      </c>
      <c r="O194" s="15">
        <f>_xlfn.IFNA(IF(VLOOKUP($J194&amp;O$12,'Mapping A'!$A$6:$G$1011,7,0)=1,$L194,""),0)</f>
        <v>92.301299999999998</v>
      </c>
      <c r="P194" s="15">
        <f>_xlfn.IFNA(IF(VLOOKUP($J194&amp;P$12,'Mapping A'!$A$6:$G$1011,7,0)=1,$L194,""),0)</f>
        <v>92.301299999999998</v>
      </c>
      <c r="Q194" s="15">
        <f>_xlfn.IFNA(IF(VLOOKUP($J194&amp;Q$12,'Mapping A'!$A$6:$G$1011,7,0)=1,$L194,""),0)</f>
        <v>92.301299999999998</v>
      </c>
      <c r="R194" s="15">
        <f>_xlfn.IFNA(IF(VLOOKUP($J194&amp;R$12,'Mapping A'!$A$6:$G$1011,7,0)=1,$L194,""),0)</f>
        <v>92.301299999999998</v>
      </c>
      <c r="S194" s="15">
        <f>_xlfn.IFNA(IF(VLOOKUP($J194&amp;S$12,'Mapping A'!$A$6:$G$1011,7,0)=1,$L194,""),0)</f>
        <v>0</v>
      </c>
      <c r="T194" s="15">
        <f>_xlfn.IFNA(IF(VLOOKUP($J194&amp;T$14,'Mapping A'!$A$6:$G$1011,7,0)=1,$L194,""),0)</f>
        <v>92.301299999999998</v>
      </c>
      <c r="U194" s="15">
        <f>_xlfn.IFNA(IF(VLOOKUP($J194&amp;U$12,'Mapping A'!$A$6:$G$1011,7,0)=1,$L194,""),0)</f>
        <v>92.301299999999998</v>
      </c>
      <c r="V194" s="15">
        <f>_xlfn.IFNA(IF(VLOOKUP($J194&amp;V$12,'Mapping A'!$A$6:$G$1011,7,0)=1,$L194,""),0)</f>
        <v>0</v>
      </c>
      <c r="W194" s="15">
        <f>_xlfn.IFNA(IF(VLOOKUP($J194&amp;W$12,'Mapping A'!$A$6:$G$1011,7,0)=1,$L194,""),0)</f>
        <v>0</v>
      </c>
      <c r="X194" s="15">
        <f>_xlfn.IFNA(IF(VLOOKUP($J194&amp;X$12,'Mapping A'!$A$6:$G$1011,7,0)=1,$L194,""),0)</f>
        <v>92.301299999999998</v>
      </c>
      <c r="Y194" s="15">
        <f>_xlfn.IFNA(IF(VLOOKUP($J194&amp;Y$12,'Mapping A'!$A$6:$G$1011,7,0)=1,$L194,""),0)</f>
        <v>0</v>
      </c>
      <c r="Z194" s="15">
        <f>_xlfn.IFNA(IF(VLOOKUP($J194&amp;Z$12,'Mapping A'!$A$6:$G$1011,7,0)=1,$L194,""),0)</f>
        <v>0</v>
      </c>
      <c r="AA194" s="15">
        <f>_xlfn.IFNA(IF(VLOOKUP($J194&amp;AA$12,'Mapping A'!$A$6:$G$1011,7,0)=1,$L194,""),0)</f>
        <v>0</v>
      </c>
      <c r="AF194" s="155" t="str">
        <f t="shared" si="67"/>
        <v>SVL0331Vector</v>
      </c>
      <c r="AG194" s="15" t="s">
        <v>328</v>
      </c>
      <c r="AH194" s="190" t="s">
        <v>37</v>
      </c>
      <c r="AI194" s="190">
        <f t="shared" si="60"/>
        <v>92.301299999999998</v>
      </c>
      <c r="AJ194" s="292" t="s">
        <v>95</v>
      </c>
      <c r="AK194" s="15"/>
      <c r="AL194" s="15">
        <f t="shared" ca="1" si="72"/>
        <v>0</v>
      </c>
      <c r="AM194" s="15">
        <f t="shared" ca="1" si="73"/>
        <v>0</v>
      </c>
      <c r="AN194" s="15">
        <f t="shared" ca="1" si="74"/>
        <v>0</v>
      </c>
      <c r="AO194" s="15">
        <f t="shared" ca="1" si="75"/>
        <v>1.9965164631910199</v>
      </c>
      <c r="AP194" s="15"/>
      <c r="AQ194" s="15">
        <f t="shared" ca="1" si="76"/>
        <v>0</v>
      </c>
      <c r="AR194" s="20">
        <f t="shared" ca="1" si="61"/>
        <v>0.40387314627863258</v>
      </c>
      <c r="AS194" s="20"/>
      <c r="AT194" s="20">
        <f t="shared" ca="1" si="62"/>
        <v>0</v>
      </c>
      <c r="AU194" s="20">
        <f t="shared" ca="1" si="63"/>
        <v>0.1862671685422371</v>
      </c>
      <c r="AV194" s="20">
        <f t="shared" ca="1" si="64"/>
        <v>0</v>
      </c>
      <c r="AW194" s="20">
        <f t="shared" si="65"/>
        <v>0</v>
      </c>
      <c r="AX194" s="20">
        <f t="shared" si="66"/>
        <v>0</v>
      </c>
      <c r="BA194" s="20"/>
      <c r="BD194" s="94" t="str">
        <f t="shared" si="71"/>
        <v>SDN0331Aurora Energy</v>
      </c>
      <c r="BF194" s="15" t="s">
        <v>1</v>
      </c>
      <c r="BG194" t="s">
        <v>319</v>
      </c>
      <c r="BH194" s="190">
        <v>73.109399999999994</v>
      </c>
      <c r="BI194" s="190">
        <v>73.097000122070298</v>
      </c>
      <c r="BJ194" s="257">
        <f t="shared" si="70"/>
        <v>2.5967170193225595</v>
      </c>
      <c r="BK194" s="257">
        <f t="shared" si="68"/>
        <v>2.8466442500293212</v>
      </c>
      <c r="BL194" s="257">
        <f t="shared" si="69"/>
        <v>3.0132624038338292</v>
      </c>
      <c r="BM194" s="342" t="str">
        <f>VLOOKUP(LEFT(BG194,3),'Mapping B'!$D$2:$E$310,2,0)</f>
        <v>S</v>
      </c>
      <c r="BO194" s="20"/>
      <c r="BP194" s="190"/>
      <c r="BQ194" s="20"/>
      <c r="BR194" s="20"/>
    </row>
    <row r="195" spans="2:70" x14ac:dyDescent="0.25">
      <c r="B195" s="98" t="s">
        <v>554</v>
      </c>
      <c r="C195" s="98">
        <v>2014</v>
      </c>
      <c r="D195" s="98" t="s">
        <v>371</v>
      </c>
      <c r="E195" s="98" t="s">
        <v>4</v>
      </c>
      <c r="F195" s="98" t="s">
        <v>136</v>
      </c>
      <c r="G195" s="98">
        <v>46232.307000000001</v>
      </c>
      <c r="H195" s="299" t="str">
        <f>VLOOKUP(LEFT('Rev Adequacy'!D195,3),'Mapping B'!$D$2:$E$400,2,0)</f>
        <v>N</v>
      </c>
      <c r="I195" s="190"/>
      <c r="J195" s="15" t="s">
        <v>329</v>
      </c>
      <c r="K195" s="190" t="s">
        <v>51</v>
      </c>
      <c r="L195" s="190">
        <f t="shared" si="59"/>
        <v>3.1604999999999999</v>
      </c>
      <c r="O195" s="15">
        <f>_xlfn.IFNA(IF(VLOOKUP($J195&amp;O$12,'Mapping A'!$A$6:$G$1011,7,0)=1,$L195,""),0)</f>
        <v>0</v>
      </c>
      <c r="P195" s="15">
        <f>_xlfn.IFNA(IF(VLOOKUP($J195&amp;P$12,'Mapping A'!$A$6:$G$1011,7,0)=1,$L195,""),0)</f>
        <v>0</v>
      </c>
      <c r="Q195" s="15">
        <f>_xlfn.IFNA(IF(VLOOKUP($J195&amp;Q$12,'Mapping A'!$A$6:$G$1011,7,0)=1,$L195,""),0)</f>
        <v>0</v>
      </c>
      <c r="R195" s="15">
        <f>_xlfn.IFNA(IF(VLOOKUP($J195&amp;R$12,'Mapping A'!$A$6:$G$1011,7,0)=1,$L195,""),0)</f>
        <v>0</v>
      </c>
      <c r="S195" s="15">
        <f>_xlfn.IFNA(IF(VLOOKUP($J195&amp;S$12,'Mapping A'!$A$6:$G$1011,7,0)=1,$L195,""),0)</f>
        <v>0</v>
      </c>
      <c r="T195" s="15">
        <f>_xlfn.IFNA(IF(VLOOKUP($J195&amp;T$14,'Mapping A'!$A$6:$G$1011,7,0)=1,$L195,""),0)</f>
        <v>0</v>
      </c>
      <c r="U195" s="15">
        <f>_xlfn.IFNA(IF(VLOOKUP($J195&amp;U$12,'Mapping A'!$A$6:$G$1011,7,0)=1,$L195,""),0)</f>
        <v>0</v>
      </c>
      <c r="V195" s="15">
        <f>_xlfn.IFNA(IF(VLOOKUP($J195&amp;V$12,'Mapping A'!$A$6:$G$1011,7,0)=1,$L195,""),0)</f>
        <v>0</v>
      </c>
      <c r="W195" s="15">
        <f>_xlfn.IFNA(IF(VLOOKUP($J195&amp;W$12,'Mapping A'!$A$6:$G$1011,7,0)=1,$L195,""),0)</f>
        <v>0</v>
      </c>
      <c r="X195" s="15">
        <f>_xlfn.IFNA(IF(VLOOKUP($J195&amp;X$12,'Mapping A'!$A$6:$G$1011,7,0)=1,$L195,""),0)</f>
        <v>0</v>
      </c>
      <c r="Y195" s="15">
        <f>_xlfn.IFNA(IF(VLOOKUP($J195&amp;Y$12,'Mapping A'!$A$6:$G$1011,7,0)=1,$L195,""),0)</f>
        <v>0</v>
      </c>
      <c r="Z195" s="15">
        <f>_xlfn.IFNA(IF(VLOOKUP($J195&amp;Z$12,'Mapping A'!$A$6:$G$1011,7,0)=1,$L195,""),0)</f>
        <v>0</v>
      </c>
      <c r="AA195" s="15">
        <f>_xlfn.IFNA(IF(VLOOKUP($J195&amp;AA$12,'Mapping A'!$A$6:$G$1011,7,0)=1,$L195,""),0)</f>
        <v>0</v>
      </c>
      <c r="AF195" s="155" t="str">
        <f t="shared" si="67"/>
        <v>SWN0251Kiwirail</v>
      </c>
      <c r="AG195" s="15" t="s">
        <v>329</v>
      </c>
      <c r="AH195" s="190" t="s">
        <v>51</v>
      </c>
      <c r="AI195" s="190">
        <f t="shared" si="60"/>
        <v>3.1604999999999999</v>
      </c>
      <c r="AJ195" s="292" t="s">
        <v>95</v>
      </c>
      <c r="AK195" s="15"/>
      <c r="AL195" s="15">
        <f t="shared" ca="1" si="72"/>
        <v>0</v>
      </c>
      <c r="AM195" s="15">
        <f t="shared" ca="1" si="73"/>
        <v>0</v>
      </c>
      <c r="AN195" s="15">
        <f t="shared" ca="1" si="74"/>
        <v>0</v>
      </c>
      <c r="AO195" s="15">
        <f t="shared" ca="1" si="75"/>
        <v>0</v>
      </c>
      <c r="AP195" s="15"/>
      <c r="AQ195" s="15">
        <f t="shared" ca="1" si="76"/>
        <v>0</v>
      </c>
      <c r="AR195" s="20">
        <f t="shared" ca="1" si="61"/>
        <v>0</v>
      </c>
      <c r="AS195" s="20"/>
      <c r="AT195" s="20">
        <f t="shared" ca="1" si="62"/>
        <v>0</v>
      </c>
      <c r="AU195" s="20">
        <f t="shared" ca="1" si="63"/>
        <v>0</v>
      </c>
      <c r="AV195" s="20">
        <f t="shared" ca="1" si="64"/>
        <v>0</v>
      </c>
      <c r="AW195" s="20">
        <f t="shared" si="65"/>
        <v>0</v>
      </c>
      <c r="AX195" s="20">
        <f t="shared" si="66"/>
        <v>0</v>
      </c>
      <c r="BA195" s="20"/>
      <c r="BD195" s="94" t="str">
        <f t="shared" si="71"/>
        <v>SFD0331Powerco</v>
      </c>
      <c r="BF195" s="15" t="s">
        <v>28</v>
      </c>
      <c r="BG195" t="s">
        <v>320</v>
      </c>
      <c r="BH195" s="190">
        <v>35.160299999999999</v>
      </c>
      <c r="BI195" s="190">
        <v>31.3780002593994</v>
      </c>
      <c r="BJ195" s="257">
        <f t="shared" si="70"/>
        <v>1.2488318795460911</v>
      </c>
      <c r="BK195" s="257">
        <f t="shared" si="68"/>
        <v>1.3690286861102123</v>
      </c>
      <c r="BL195" s="257">
        <f t="shared" si="69"/>
        <v>1.449159890486293</v>
      </c>
      <c r="BM195" s="342" t="str">
        <f>VLOOKUP(LEFT(BG195,3),'Mapping B'!$D$2:$E$310,2,0)</f>
        <v>N</v>
      </c>
      <c r="BO195" s="20"/>
      <c r="BP195" s="190"/>
      <c r="BQ195" s="20"/>
      <c r="BR195" s="20"/>
    </row>
    <row r="196" spans="2:70" x14ac:dyDescent="0.25">
      <c r="B196" s="98" t="s">
        <v>554</v>
      </c>
      <c r="C196" s="98">
        <v>2014</v>
      </c>
      <c r="D196" s="98" t="s">
        <v>387</v>
      </c>
      <c r="E196" s="98" t="s">
        <v>4</v>
      </c>
      <c r="F196" s="98" t="s">
        <v>136</v>
      </c>
      <c r="G196" s="98">
        <v>52682.201999999503</v>
      </c>
      <c r="H196" s="299" t="str">
        <f>VLOOKUP(LEFT('Rev Adequacy'!D196,3),'Mapping B'!$D$2:$E$400,2,0)</f>
        <v>N</v>
      </c>
      <c r="I196" s="190"/>
      <c r="J196" s="15" t="s">
        <v>330</v>
      </c>
      <c r="K196" s="190" t="s">
        <v>17</v>
      </c>
      <c r="L196" s="190">
        <f t="shared" si="59"/>
        <v>3.738</v>
      </c>
      <c r="O196" s="15">
        <f>_xlfn.IFNA(IF(VLOOKUP($J196&amp;O$12,'Mapping A'!$A$6:$G$1011,7,0)=1,$L196,""),0)</f>
        <v>3.738</v>
      </c>
      <c r="P196" s="15">
        <f>_xlfn.IFNA(IF(VLOOKUP($J196&amp;P$12,'Mapping A'!$A$6:$G$1011,7,0)=1,$L196,""),0)</f>
        <v>3.738</v>
      </c>
      <c r="Q196" s="15">
        <f>_xlfn.IFNA(IF(VLOOKUP($J196&amp;Q$12,'Mapping A'!$A$6:$G$1011,7,0)=1,$L196,""),0)</f>
        <v>3.738</v>
      </c>
      <c r="R196" s="15">
        <f>_xlfn.IFNA(IF(VLOOKUP($J196&amp;R$12,'Mapping A'!$A$6:$G$1011,7,0)=1,$L196,""),0)</f>
        <v>0</v>
      </c>
      <c r="S196" s="15">
        <f>_xlfn.IFNA(IF(VLOOKUP($J196&amp;S$12,'Mapping A'!$A$6:$G$1011,7,0)=1,$L196,""),0)</f>
        <v>0</v>
      </c>
      <c r="T196" s="15">
        <f>_xlfn.IFNA(IF(VLOOKUP($J196&amp;T$14,'Mapping A'!$A$6:$G$1011,7,0)=1,$L196,""),0)</f>
        <v>3.738</v>
      </c>
      <c r="U196" s="15">
        <f>_xlfn.IFNA(IF(VLOOKUP($J196&amp;U$12,'Mapping A'!$A$6:$G$1011,7,0)=1,$L196,""),0)</f>
        <v>3.738</v>
      </c>
      <c r="V196" s="15">
        <f>_xlfn.IFNA(IF(VLOOKUP($J196&amp;V$12,'Mapping A'!$A$6:$G$1011,7,0)=1,$L196,""),0)</f>
        <v>0</v>
      </c>
      <c r="W196" s="15">
        <f>_xlfn.IFNA(IF(VLOOKUP($J196&amp;W$12,'Mapping A'!$A$6:$G$1011,7,0)=1,$L196,""),0)</f>
        <v>0</v>
      </c>
      <c r="X196" s="15">
        <f>_xlfn.IFNA(IF(VLOOKUP($J196&amp;X$12,'Mapping A'!$A$6:$G$1011,7,0)=1,$L196,""),0)</f>
        <v>3.738</v>
      </c>
      <c r="Y196" s="15">
        <f>_xlfn.IFNA(IF(VLOOKUP($J196&amp;Y$12,'Mapping A'!$A$6:$G$1011,7,0)=1,$L196,""),0)</f>
        <v>0</v>
      </c>
      <c r="Z196" s="15">
        <f>_xlfn.IFNA(IF(VLOOKUP($J196&amp;Z$12,'Mapping A'!$A$6:$G$1011,7,0)=1,$L196,""),0)</f>
        <v>0</v>
      </c>
      <c r="AA196" s="15">
        <f>_xlfn.IFNA(IF(VLOOKUP($J196&amp;AA$12,'Mapping A'!$A$6:$G$1011,7,0)=1,$L196,""),0)</f>
        <v>0</v>
      </c>
      <c r="AF196" s="155" t="str">
        <f t="shared" si="67"/>
        <v>SWN2201MRP</v>
      </c>
      <c r="AG196" s="15" t="s">
        <v>330</v>
      </c>
      <c r="AH196" s="190" t="s">
        <v>17</v>
      </c>
      <c r="AI196" s="190">
        <f t="shared" si="60"/>
        <v>3.738</v>
      </c>
      <c r="AJ196" s="292" t="s">
        <v>95</v>
      </c>
      <c r="AK196" s="15"/>
      <c r="AL196" s="15">
        <f t="shared" ca="1" si="72"/>
        <v>0</v>
      </c>
      <c r="AM196" s="15">
        <f t="shared" ca="1" si="73"/>
        <v>0</v>
      </c>
      <c r="AN196" s="15">
        <f t="shared" ca="1" si="74"/>
        <v>0</v>
      </c>
      <c r="AO196" s="15">
        <f t="shared" ca="1" si="75"/>
        <v>0</v>
      </c>
      <c r="AP196" s="15"/>
      <c r="AQ196" s="15">
        <f t="shared" ca="1" si="76"/>
        <v>0</v>
      </c>
      <c r="AR196" s="20">
        <f t="shared" ca="1" si="61"/>
        <v>1.6355975709871136E-2</v>
      </c>
      <c r="AS196" s="20"/>
      <c r="AT196" s="20">
        <f t="shared" ca="1" si="62"/>
        <v>0</v>
      </c>
      <c r="AU196" s="20">
        <f t="shared" ca="1" si="63"/>
        <v>7.5434113713553578E-3</v>
      </c>
      <c r="AV196" s="20">
        <f t="shared" ca="1" si="64"/>
        <v>0</v>
      </c>
      <c r="AW196" s="20">
        <f t="shared" si="65"/>
        <v>0</v>
      </c>
      <c r="AX196" s="20">
        <f t="shared" si="66"/>
        <v>0</v>
      </c>
      <c r="BA196" s="20"/>
      <c r="BD196" s="94" t="str">
        <f t="shared" si="71"/>
        <v>SFD2201Contact</v>
      </c>
      <c r="BF196" s="15" t="s">
        <v>4</v>
      </c>
      <c r="BG196" t="s">
        <v>321</v>
      </c>
      <c r="BH196" s="190">
        <v>9.1980000000000004</v>
      </c>
      <c r="BI196" s="190">
        <v>9.1979999542236293</v>
      </c>
      <c r="BJ196" s="257">
        <f t="shared" si="70"/>
        <v>0.3266967468441665</v>
      </c>
      <c r="BK196" s="257">
        <f t="shared" si="68"/>
        <v>0.35814045542392225</v>
      </c>
      <c r="BL196" s="257">
        <f t="shared" si="69"/>
        <v>0.37910292781042609</v>
      </c>
      <c r="BM196" s="342" t="str">
        <f>VLOOKUP(LEFT(BG196,3),'Mapping B'!$D$2:$E$310,2,0)</f>
        <v>N</v>
      </c>
      <c r="BO196" s="20"/>
      <c r="BP196" s="190"/>
      <c r="BQ196" s="20"/>
      <c r="BR196" s="20"/>
    </row>
    <row r="197" spans="2:70" x14ac:dyDescent="0.25">
      <c r="B197" s="98" t="s">
        <v>554</v>
      </c>
      <c r="C197" s="98">
        <v>2014</v>
      </c>
      <c r="D197" s="98" t="s">
        <v>388</v>
      </c>
      <c r="E197" s="98" t="s">
        <v>4</v>
      </c>
      <c r="F197" s="98" t="s">
        <v>136</v>
      </c>
      <c r="G197" s="98">
        <v>275139.84300000401</v>
      </c>
      <c r="H197" s="299" t="str">
        <f>VLOOKUP(LEFT('Rev Adequacy'!D197,3),'Mapping B'!$D$2:$E$400,2,0)</f>
        <v>N</v>
      </c>
      <c r="I197" s="190"/>
      <c r="J197" s="15" t="s">
        <v>332</v>
      </c>
      <c r="K197" s="190" t="s">
        <v>37</v>
      </c>
      <c r="L197" s="190">
        <f t="shared" si="59"/>
        <v>119.80080000000001</v>
      </c>
      <c r="O197" s="15">
        <f>_xlfn.IFNA(IF(VLOOKUP($J197&amp;O$12,'Mapping A'!$A$6:$G$1011,7,0)=1,$L197,""),0)</f>
        <v>119.80080000000001</v>
      </c>
      <c r="P197" s="15">
        <f>_xlfn.IFNA(IF(VLOOKUP($J197&amp;P$12,'Mapping A'!$A$6:$G$1011,7,0)=1,$L197,""),0)</f>
        <v>119.80080000000001</v>
      </c>
      <c r="Q197" s="15">
        <f>_xlfn.IFNA(IF(VLOOKUP($J197&amp;Q$12,'Mapping A'!$A$6:$G$1011,7,0)=1,$L197,""),0)</f>
        <v>119.80080000000001</v>
      </c>
      <c r="R197" s="15">
        <f>_xlfn.IFNA(IF(VLOOKUP($J197&amp;R$12,'Mapping A'!$A$6:$G$1011,7,0)=1,$L197,""),0)</f>
        <v>0</v>
      </c>
      <c r="S197" s="15">
        <f>_xlfn.IFNA(IF(VLOOKUP($J197&amp;S$12,'Mapping A'!$A$6:$G$1011,7,0)=1,$L197,""),0)</f>
        <v>0</v>
      </c>
      <c r="T197" s="15">
        <f>_xlfn.IFNA(IF(VLOOKUP($J197&amp;T$14,'Mapping A'!$A$6:$G$1011,7,0)=1,$L197,""),0)</f>
        <v>119.80080000000001</v>
      </c>
      <c r="U197" s="15">
        <f>_xlfn.IFNA(IF(VLOOKUP($J197&amp;U$12,'Mapping A'!$A$6:$G$1011,7,0)=1,$L197,""),0)</f>
        <v>119.80080000000001</v>
      </c>
      <c r="V197" s="15">
        <f>_xlfn.IFNA(IF(VLOOKUP($J197&amp;V$12,'Mapping A'!$A$6:$G$1011,7,0)=1,$L197,""),0)</f>
        <v>0</v>
      </c>
      <c r="W197" s="15">
        <f>_xlfn.IFNA(IF(VLOOKUP($J197&amp;W$12,'Mapping A'!$A$6:$G$1011,7,0)=1,$L197,""),0)</f>
        <v>0</v>
      </c>
      <c r="X197" s="15">
        <f>_xlfn.IFNA(IF(VLOOKUP($J197&amp;X$12,'Mapping A'!$A$6:$G$1011,7,0)=1,$L197,""),0)</f>
        <v>119.80080000000001</v>
      </c>
      <c r="Y197" s="15">
        <f>_xlfn.IFNA(IF(VLOOKUP($J197&amp;Y$12,'Mapping A'!$A$6:$G$1011,7,0)=1,$L197,""),0)</f>
        <v>0</v>
      </c>
      <c r="Z197" s="15">
        <f>_xlfn.IFNA(IF(VLOOKUP($J197&amp;Z$12,'Mapping A'!$A$6:$G$1011,7,0)=1,$L197,""),0)</f>
        <v>0</v>
      </c>
      <c r="AA197" s="15">
        <f>_xlfn.IFNA(IF(VLOOKUP($J197&amp;AA$12,'Mapping A'!$A$6:$G$1011,7,0)=1,$L197,""),0)</f>
        <v>0</v>
      </c>
      <c r="AF197" s="155" t="str">
        <f t="shared" si="67"/>
        <v>TAK0331Vector</v>
      </c>
      <c r="AG197" s="15" t="s">
        <v>332</v>
      </c>
      <c r="AH197" s="190" t="s">
        <v>37</v>
      </c>
      <c r="AI197" s="190">
        <f t="shared" si="60"/>
        <v>119.80080000000001</v>
      </c>
      <c r="AJ197" s="292" t="s">
        <v>95</v>
      </c>
      <c r="AK197" s="15"/>
      <c r="AL197" s="15">
        <f t="shared" ca="1" si="72"/>
        <v>0</v>
      </c>
      <c r="AM197" s="15">
        <f t="shared" ca="1" si="73"/>
        <v>0</v>
      </c>
      <c r="AN197" s="15">
        <f t="shared" ca="1" si="74"/>
        <v>0</v>
      </c>
      <c r="AO197" s="15">
        <f t="shared" ca="1" si="75"/>
        <v>0</v>
      </c>
      <c r="AP197" s="15"/>
      <c r="AQ197" s="15">
        <f t="shared" ca="1" si="76"/>
        <v>0</v>
      </c>
      <c r="AR197" s="20">
        <f t="shared" ca="1" si="61"/>
        <v>0.52419983275097115</v>
      </c>
      <c r="AS197" s="20"/>
      <c r="AT197" s="20">
        <f t="shared" ca="1" si="62"/>
        <v>0</v>
      </c>
      <c r="AU197" s="20">
        <f t="shared" ca="1" si="63"/>
        <v>0.24176209658038228</v>
      </c>
      <c r="AV197" s="20">
        <f t="shared" ca="1" si="64"/>
        <v>0</v>
      </c>
      <c r="AW197" s="20">
        <f t="shared" si="65"/>
        <v>0</v>
      </c>
      <c r="AX197" s="20">
        <f t="shared" si="66"/>
        <v>0</v>
      </c>
      <c r="BA197" s="20"/>
      <c r="BD197" s="94" t="str">
        <f t="shared" si="71"/>
        <v>STK0331Network Tasman</v>
      </c>
      <c r="BF197" s="15" t="s">
        <v>19</v>
      </c>
      <c r="BG197" t="s">
        <v>325</v>
      </c>
      <c r="BH197" s="190">
        <v>154.61670000000001</v>
      </c>
      <c r="BI197" s="190">
        <v>153.268135524446</v>
      </c>
      <c r="BJ197" s="257">
        <f t="shared" si="70"/>
        <v>5.4917126438117467</v>
      </c>
      <c r="BK197" s="257">
        <f t="shared" si="68"/>
        <v>6.0202756418943197</v>
      </c>
      <c r="BL197" s="257">
        <f t="shared" si="69"/>
        <v>6.3726509739493702</v>
      </c>
      <c r="BM197" s="342" t="str">
        <f>VLOOKUP(LEFT(BG197,3),'Mapping B'!$D$2:$E$310,2,0)</f>
        <v>S</v>
      </c>
      <c r="BO197" s="20"/>
      <c r="BP197" s="190"/>
      <c r="BQ197" s="20"/>
      <c r="BR197" s="20"/>
    </row>
    <row r="198" spans="2:70" x14ac:dyDescent="0.25">
      <c r="B198" s="98" t="s">
        <v>563</v>
      </c>
      <c r="C198" s="98">
        <v>2014</v>
      </c>
      <c r="D198" s="98" t="s">
        <v>177</v>
      </c>
      <c r="E198" s="98" t="s">
        <v>4</v>
      </c>
      <c r="F198" s="98" t="s">
        <v>131</v>
      </c>
      <c r="G198" s="98">
        <v>35.1562231759657</v>
      </c>
      <c r="H198" s="299" t="str">
        <f>VLOOKUP(LEFT('Rev Adequacy'!D198,3),'Mapping B'!$D$2:$E$400,2,0)</f>
        <v>S</v>
      </c>
      <c r="I198" s="190"/>
      <c r="J198" s="15" t="s">
        <v>333</v>
      </c>
      <c r="K198" s="190" t="s">
        <v>28</v>
      </c>
      <c r="L198" s="190">
        <f t="shared" si="59"/>
        <v>28.242900000000002</v>
      </c>
      <c r="O198" s="15">
        <f>_xlfn.IFNA(IF(VLOOKUP($J198&amp;O$12,'Mapping A'!$A$6:$G$1011,7,0)=1,$L198,""),0)</f>
        <v>0</v>
      </c>
      <c r="P198" s="15">
        <f>_xlfn.IFNA(IF(VLOOKUP($J198&amp;P$12,'Mapping A'!$A$6:$G$1011,7,0)=1,$L198,""),0)</f>
        <v>28.242900000000002</v>
      </c>
      <c r="Q198" s="15">
        <f>_xlfn.IFNA(IF(VLOOKUP($J198&amp;Q$12,'Mapping A'!$A$6:$G$1011,7,0)=1,$L198,""),0)</f>
        <v>28.242900000000002</v>
      </c>
      <c r="R198" s="15">
        <f>_xlfn.IFNA(IF(VLOOKUP($J198&amp;R$12,'Mapping A'!$A$6:$G$1011,7,0)=1,$L198,""),0)</f>
        <v>0</v>
      </c>
      <c r="S198" s="15">
        <f>_xlfn.IFNA(IF(VLOOKUP($J198&amp;S$12,'Mapping A'!$A$6:$G$1011,7,0)=1,$L198,""),0)</f>
        <v>0</v>
      </c>
      <c r="T198" s="15">
        <f>_xlfn.IFNA(IF(VLOOKUP($J198&amp;T$14,'Mapping A'!$A$6:$G$1011,7,0)=1,$L198,""),0)</f>
        <v>28.242900000000002</v>
      </c>
      <c r="U198" s="15">
        <f>_xlfn.IFNA(IF(VLOOKUP($J198&amp;U$12,'Mapping A'!$A$6:$G$1011,7,0)=1,$L198,""),0)</f>
        <v>0</v>
      </c>
      <c r="V198" s="15">
        <f>_xlfn.IFNA(IF(VLOOKUP($J198&amp;V$12,'Mapping A'!$A$6:$G$1011,7,0)=1,$L198,""),0)</f>
        <v>0</v>
      </c>
      <c r="W198" s="15">
        <f>_xlfn.IFNA(IF(VLOOKUP($J198&amp;W$12,'Mapping A'!$A$6:$G$1011,7,0)=1,$L198,""),0)</f>
        <v>0</v>
      </c>
      <c r="X198" s="15">
        <f>_xlfn.IFNA(IF(VLOOKUP($J198&amp;X$12,'Mapping A'!$A$6:$G$1011,7,0)=1,$L198,""),0)</f>
        <v>0</v>
      </c>
      <c r="Y198" s="15">
        <f>_xlfn.IFNA(IF(VLOOKUP($J198&amp;Y$12,'Mapping A'!$A$6:$G$1011,7,0)=1,$L198,""),0)</f>
        <v>0</v>
      </c>
      <c r="Z198" s="15">
        <f>_xlfn.IFNA(IF(VLOOKUP($J198&amp;Z$12,'Mapping A'!$A$6:$G$1011,7,0)=1,$L198,""),0)</f>
        <v>0</v>
      </c>
      <c r="AA198" s="15">
        <f>_xlfn.IFNA(IF(VLOOKUP($J198&amp;AA$12,'Mapping A'!$A$6:$G$1011,7,0)=1,$L198,""),0)</f>
        <v>0</v>
      </c>
      <c r="AF198" s="155" t="str">
        <f t="shared" si="67"/>
        <v>TGA0111Powerco</v>
      </c>
      <c r="AG198" s="15" t="s">
        <v>333</v>
      </c>
      <c r="AH198" s="190" t="s">
        <v>28</v>
      </c>
      <c r="AI198" s="190">
        <f t="shared" si="60"/>
        <v>28.242900000000002</v>
      </c>
      <c r="AJ198" s="292" t="s">
        <v>95</v>
      </c>
      <c r="AK198" s="15"/>
      <c r="AL198" s="15">
        <f t="shared" ca="1" si="72"/>
        <v>0</v>
      </c>
      <c r="AM198" s="15">
        <f t="shared" ca="1" si="73"/>
        <v>0</v>
      </c>
      <c r="AN198" s="15">
        <f t="shared" ca="1" si="74"/>
        <v>0</v>
      </c>
      <c r="AO198" s="15">
        <f t="shared" ca="1" si="75"/>
        <v>0</v>
      </c>
      <c r="AP198" s="15"/>
      <c r="AQ198" s="15">
        <f t="shared" ca="1" si="76"/>
        <v>0</v>
      </c>
      <c r="AR198" s="20">
        <f t="shared" ca="1" si="61"/>
        <v>0</v>
      </c>
      <c r="AS198" s="20"/>
      <c r="AT198" s="20">
        <f t="shared" ca="1" si="62"/>
        <v>0</v>
      </c>
      <c r="AU198" s="20">
        <f t="shared" ca="1" si="63"/>
        <v>0</v>
      </c>
      <c r="AV198" s="20">
        <f t="shared" ca="1" si="64"/>
        <v>0</v>
      </c>
      <c r="AW198" s="20">
        <f t="shared" si="65"/>
        <v>0</v>
      </c>
      <c r="AX198" s="20">
        <f t="shared" si="66"/>
        <v>0</v>
      </c>
      <c r="BA198" s="20"/>
      <c r="BD198" s="94" t="str">
        <f t="shared" si="71"/>
        <v>STU0111Alpine Energy</v>
      </c>
      <c r="BF198" s="15" t="s">
        <v>0</v>
      </c>
      <c r="BG198" t="s">
        <v>327</v>
      </c>
      <c r="BH198" s="190">
        <v>13.7319</v>
      </c>
      <c r="BI198" s="190">
        <v>13.734000205993601</v>
      </c>
      <c r="BJ198" s="257">
        <f t="shared" si="70"/>
        <v>0.48773288301689605</v>
      </c>
      <c r="BK198" s="257">
        <f t="shared" si="68"/>
        <v>0.5346758990906455</v>
      </c>
      <c r="BL198" s="257">
        <f t="shared" si="69"/>
        <v>0.56597124313981173</v>
      </c>
      <c r="BM198" s="342" t="str">
        <f>VLOOKUP(LEFT(BG198,3),'Mapping B'!$D$2:$E$310,2,0)</f>
        <v>S</v>
      </c>
      <c r="BO198" s="20"/>
      <c r="BP198" s="190"/>
      <c r="BQ198" s="20"/>
      <c r="BR198" s="20"/>
    </row>
    <row r="199" spans="2:70" x14ac:dyDescent="0.25">
      <c r="B199" s="98" t="s">
        <v>563</v>
      </c>
      <c r="C199" s="98">
        <v>2014</v>
      </c>
      <c r="D199" s="98" t="s">
        <v>178</v>
      </c>
      <c r="E199" s="98" t="s">
        <v>4</v>
      </c>
      <c r="F199" s="98" t="s">
        <v>131</v>
      </c>
      <c r="G199" s="98">
        <v>166.49299999999999</v>
      </c>
      <c r="H199" s="299" t="str">
        <f>VLOOKUP(LEFT('Rev Adequacy'!D199,3),'Mapping B'!$D$2:$E$400,2,0)</f>
        <v>S</v>
      </c>
      <c r="I199" s="190"/>
      <c r="J199" s="15" t="s">
        <v>334</v>
      </c>
      <c r="K199" s="190" t="s">
        <v>28</v>
      </c>
      <c r="L199" s="190">
        <f t="shared" si="59"/>
        <v>81.511499999999998</v>
      </c>
      <c r="O199" s="15">
        <f>_xlfn.IFNA(IF(VLOOKUP($J199&amp;O$12,'Mapping A'!$A$6:$G$1011,7,0)=1,$L199,""),0)</f>
        <v>0</v>
      </c>
      <c r="P199" s="15">
        <f>_xlfn.IFNA(IF(VLOOKUP($J199&amp;P$12,'Mapping A'!$A$6:$G$1011,7,0)=1,$L199,""),0)</f>
        <v>81.511499999999998</v>
      </c>
      <c r="Q199" s="15">
        <f>_xlfn.IFNA(IF(VLOOKUP($J199&amp;Q$12,'Mapping A'!$A$6:$G$1011,7,0)=1,$L199,""),0)</f>
        <v>81.511499999999998</v>
      </c>
      <c r="R199" s="15">
        <f>_xlfn.IFNA(IF(VLOOKUP($J199&amp;R$12,'Mapping A'!$A$6:$G$1011,7,0)=1,$L199,""),0)</f>
        <v>0</v>
      </c>
      <c r="S199" s="15">
        <f>_xlfn.IFNA(IF(VLOOKUP($J199&amp;S$12,'Mapping A'!$A$6:$G$1011,7,0)=1,$L199,""),0)</f>
        <v>0</v>
      </c>
      <c r="T199" s="15">
        <f>_xlfn.IFNA(IF(VLOOKUP($J199&amp;T$14,'Mapping A'!$A$6:$G$1011,7,0)=1,$L199,""),0)</f>
        <v>81.511499999999998</v>
      </c>
      <c r="U199" s="15">
        <f>_xlfn.IFNA(IF(VLOOKUP($J199&amp;U$12,'Mapping A'!$A$6:$G$1011,7,0)=1,$L199,""),0)</f>
        <v>0</v>
      </c>
      <c r="V199" s="15">
        <f>_xlfn.IFNA(IF(VLOOKUP($J199&amp;V$12,'Mapping A'!$A$6:$G$1011,7,0)=1,$L199,""),0)</f>
        <v>0</v>
      </c>
      <c r="W199" s="15">
        <f>_xlfn.IFNA(IF(VLOOKUP($J199&amp;W$12,'Mapping A'!$A$6:$G$1011,7,0)=1,$L199,""),0)</f>
        <v>0</v>
      </c>
      <c r="X199" s="15">
        <f>_xlfn.IFNA(IF(VLOOKUP($J199&amp;X$12,'Mapping A'!$A$6:$G$1011,7,0)=1,$L199,""),0)</f>
        <v>0</v>
      </c>
      <c r="Y199" s="15">
        <f>_xlfn.IFNA(IF(VLOOKUP($J199&amp;Y$12,'Mapping A'!$A$6:$G$1011,7,0)=1,$L199,""),0)</f>
        <v>0</v>
      </c>
      <c r="Z199" s="15">
        <f>_xlfn.IFNA(IF(VLOOKUP($J199&amp;Z$12,'Mapping A'!$A$6:$G$1011,7,0)=1,$L199,""),0)</f>
        <v>0</v>
      </c>
      <c r="AA199" s="15">
        <f>_xlfn.IFNA(IF(VLOOKUP($J199&amp;AA$12,'Mapping A'!$A$6:$G$1011,7,0)=1,$L199,""),0)</f>
        <v>0</v>
      </c>
      <c r="AF199" s="155" t="str">
        <f t="shared" si="67"/>
        <v>TGA0331Powerco</v>
      </c>
      <c r="AG199" s="15" t="s">
        <v>334</v>
      </c>
      <c r="AH199" s="190" t="s">
        <v>28</v>
      </c>
      <c r="AI199" s="190">
        <f t="shared" si="60"/>
        <v>81.511499999999998</v>
      </c>
      <c r="AJ199" s="292" t="s">
        <v>95</v>
      </c>
      <c r="AK199" s="15"/>
      <c r="AL199" s="15">
        <f t="shared" ca="1" si="72"/>
        <v>0</v>
      </c>
      <c r="AM199" s="15">
        <f t="shared" ca="1" si="73"/>
        <v>0</v>
      </c>
      <c r="AN199" s="15">
        <f t="shared" ca="1" si="74"/>
        <v>0</v>
      </c>
      <c r="AO199" s="15">
        <f t="shared" ca="1" si="75"/>
        <v>0</v>
      </c>
      <c r="AP199" s="15"/>
      <c r="AQ199" s="15">
        <f t="shared" ca="1" si="76"/>
        <v>0</v>
      </c>
      <c r="AR199" s="20">
        <f t="shared" ca="1" si="61"/>
        <v>0</v>
      </c>
      <c r="AS199" s="20"/>
      <c r="AT199" s="20">
        <f t="shared" ca="1" si="62"/>
        <v>0</v>
      </c>
      <c r="AU199" s="20">
        <f t="shared" ca="1" si="63"/>
        <v>0</v>
      </c>
      <c r="AV199" s="20">
        <f t="shared" ca="1" si="64"/>
        <v>0</v>
      </c>
      <c r="AW199" s="20">
        <f t="shared" si="65"/>
        <v>0</v>
      </c>
      <c r="AX199" s="20">
        <f t="shared" si="66"/>
        <v>0</v>
      </c>
      <c r="BA199" s="20"/>
      <c r="BD199" s="94" t="str">
        <f t="shared" si="71"/>
        <v>SVL0331Vector</v>
      </c>
      <c r="BF199" s="15" t="s">
        <v>37</v>
      </c>
      <c r="BG199" t="s">
        <v>328</v>
      </c>
      <c r="BH199" s="190">
        <v>92.301299999999998</v>
      </c>
      <c r="BI199" s="190">
        <v>84.0469970703125</v>
      </c>
      <c r="BJ199" s="257">
        <f t="shared" si="70"/>
        <v>3.278379478091701</v>
      </c>
      <c r="BK199" s="257">
        <f t="shared" si="68"/>
        <v>3.5939149400108796</v>
      </c>
      <c r="BL199" s="257">
        <f t="shared" si="69"/>
        <v>3.8042719146236652</v>
      </c>
      <c r="BM199" s="342" t="str">
        <f>VLOOKUP(LEFT(BG199,3),'Mapping B'!$D$2:$E$310,2,0)</f>
        <v>N</v>
      </c>
      <c r="BO199" s="20"/>
      <c r="BP199" s="190"/>
      <c r="BQ199" s="20"/>
      <c r="BR199" s="20"/>
    </row>
    <row r="200" spans="2:70" x14ac:dyDescent="0.25">
      <c r="B200" s="98" t="s">
        <v>563</v>
      </c>
      <c r="C200" s="98">
        <v>2014</v>
      </c>
      <c r="D200" s="98" t="s">
        <v>179</v>
      </c>
      <c r="E200" s="98" t="s">
        <v>4</v>
      </c>
      <c r="F200" s="98" t="s">
        <v>136</v>
      </c>
      <c r="G200" s="98">
        <v>0</v>
      </c>
      <c r="H200" s="299" t="str">
        <f>VLOOKUP(LEFT('Rev Adequacy'!D200,3),'Mapping B'!$D$2:$E$400,2,0)</f>
        <v>S</v>
      </c>
      <c r="I200" s="190"/>
      <c r="J200" s="15" t="s">
        <v>336</v>
      </c>
      <c r="K200" s="190" t="s">
        <v>4</v>
      </c>
      <c r="L200" s="190">
        <f t="shared" si="59"/>
        <v>9.0299999999999994</v>
      </c>
      <c r="O200" s="15">
        <f>_xlfn.IFNA(IF(VLOOKUP($J200&amp;O$12,'Mapping A'!$A$6:$G$1011,7,0)=1,$L200,""),0)</f>
        <v>0</v>
      </c>
      <c r="P200" s="15">
        <f>_xlfn.IFNA(IF(VLOOKUP($J200&amp;P$12,'Mapping A'!$A$6:$G$1011,7,0)=1,$L200,""),0)</f>
        <v>0</v>
      </c>
      <c r="Q200" s="15">
        <f>_xlfn.IFNA(IF(VLOOKUP($J200&amp;Q$12,'Mapping A'!$A$6:$G$1011,7,0)=1,$L200,""),0)</f>
        <v>0</v>
      </c>
      <c r="R200" s="15">
        <f>_xlfn.IFNA(IF(VLOOKUP($J200&amp;R$12,'Mapping A'!$A$6:$G$1011,7,0)=1,$L200,""),0)</f>
        <v>0</v>
      </c>
      <c r="S200" s="15">
        <f>_xlfn.IFNA(IF(VLOOKUP($J200&amp;S$12,'Mapping A'!$A$6:$G$1011,7,0)=1,$L200,""),0)</f>
        <v>0</v>
      </c>
      <c r="T200" s="15">
        <f>_xlfn.IFNA(IF(VLOOKUP($J200&amp;T$14,'Mapping A'!$A$6:$G$1011,7,0)=1,$L200,""),0)</f>
        <v>0</v>
      </c>
      <c r="U200" s="15">
        <f>_xlfn.IFNA(IF(VLOOKUP($J200&amp;U$12,'Mapping A'!$A$6:$G$1011,7,0)=1,$L200,""),0)</f>
        <v>0</v>
      </c>
      <c r="V200" s="15">
        <f>_xlfn.IFNA(IF(VLOOKUP($J200&amp;V$12,'Mapping A'!$A$6:$G$1011,7,0)=1,$L200,""),0)</f>
        <v>0</v>
      </c>
      <c r="W200" s="15">
        <f>_xlfn.IFNA(IF(VLOOKUP($J200&amp;W$12,'Mapping A'!$A$6:$G$1011,7,0)=1,$L200,""),0)</f>
        <v>0</v>
      </c>
      <c r="X200" s="15">
        <f>_xlfn.IFNA(IF(VLOOKUP($J200&amp;X$12,'Mapping A'!$A$6:$G$1011,7,0)=1,$L200,""),0)</f>
        <v>0</v>
      </c>
      <c r="Y200" s="15">
        <f>_xlfn.IFNA(IF(VLOOKUP($J200&amp;Y$12,'Mapping A'!$A$6:$G$1011,7,0)=1,$L200,""),0)</f>
        <v>0</v>
      </c>
      <c r="Z200" s="15">
        <f>_xlfn.IFNA(IF(VLOOKUP($J200&amp;Z$12,'Mapping A'!$A$6:$G$1011,7,0)=1,$L200,""),0)</f>
        <v>0</v>
      </c>
      <c r="AA200" s="15">
        <f>_xlfn.IFNA(IF(VLOOKUP($J200&amp;AA$12,'Mapping A'!$A$6:$G$1011,7,0)=1,$L200,""),0)</f>
        <v>0</v>
      </c>
      <c r="AF200" s="155" t="str">
        <f t="shared" si="67"/>
        <v>THI2201Contact</v>
      </c>
      <c r="AG200" s="15" t="s">
        <v>336</v>
      </c>
      <c r="AH200" s="190" t="s">
        <v>4</v>
      </c>
      <c r="AI200" s="190">
        <f t="shared" si="60"/>
        <v>9.0299999999999994</v>
      </c>
      <c r="AJ200" s="292" t="s">
        <v>95</v>
      </c>
      <c r="AK200" s="15"/>
      <c r="AL200" s="15">
        <f t="shared" ca="1" si="72"/>
        <v>0</v>
      </c>
      <c r="AM200" s="15">
        <f t="shared" ca="1" si="73"/>
        <v>0</v>
      </c>
      <c r="AN200" s="15">
        <f t="shared" ca="1" si="74"/>
        <v>0</v>
      </c>
      <c r="AO200" s="15">
        <f t="shared" ca="1" si="75"/>
        <v>0</v>
      </c>
      <c r="AP200" s="15"/>
      <c r="AQ200" s="15">
        <f t="shared" ca="1" si="76"/>
        <v>0</v>
      </c>
      <c r="AR200" s="20">
        <f t="shared" ca="1" si="61"/>
        <v>0</v>
      </c>
      <c r="AS200" s="20"/>
      <c r="AT200" s="20">
        <f t="shared" ca="1" si="62"/>
        <v>0</v>
      </c>
      <c r="AU200" s="20">
        <f t="shared" ca="1" si="63"/>
        <v>0</v>
      </c>
      <c r="AV200" s="20">
        <f t="shared" ca="1" si="64"/>
        <v>0</v>
      </c>
      <c r="AW200" s="20">
        <f t="shared" si="65"/>
        <v>0</v>
      </c>
      <c r="AX200" s="20">
        <f t="shared" si="66"/>
        <v>0</v>
      </c>
      <c r="BA200" s="20"/>
      <c r="BD200" s="94" t="str">
        <f t="shared" si="71"/>
        <v>SWN0251Kiwirail</v>
      </c>
      <c r="BF200" s="15" t="s">
        <v>51</v>
      </c>
      <c r="BG200" t="s">
        <v>329</v>
      </c>
      <c r="BH200" s="190">
        <v>3.1604999999999999</v>
      </c>
      <c r="BI200" s="190">
        <v>2.9530000686645499</v>
      </c>
      <c r="BJ200" s="257">
        <f t="shared" si="70"/>
        <v>0.11225538904120332</v>
      </c>
      <c r="BK200" s="257">
        <f t="shared" si="68"/>
        <v>0.12305967703493217</v>
      </c>
      <c r="BL200" s="257">
        <f t="shared" si="69"/>
        <v>0.13026253569741808</v>
      </c>
      <c r="BM200" s="342" t="str">
        <f>VLOOKUP(LEFT(BG200,3),'Mapping B'!$D$2:$E$310,2,0)</f>
        <v>N</v>
      </c>
      <c r="BO200" s="20"/>
      <c r="BP200" s="190"/>
      <c r="BQ200" s="20"/>
      <c r="BR200" s="20"/>
    </row>
    <row r="201" spans="2:70" x14ac:dyDescent="0.25">
      <c r="B201" s="98" t="s">
        <v>563</v>
      </c>
      <c r="C201" s="98">
        <v>2014</v>
      </c>
      <c r="D201" s="98" t="s">
        <v>287</v>
      </c>
      <c r="E201" s="98" t="s">
        <v>4</v>
      </c>
      <c r="F201" s="98" t="s">
        <v>136</v>
      </c>
      <c r="G201" s="98">
        <v>0</v>
      </c>
      <c r="H201" s="299" t="str">
        <f>VLOOKUP(LEFT('Rev Adequacy'!D201,3),'Mapping B'!$D$2:$E$400,2,0)</f>
        <v>N</v>
      </c>
      <c r="I201" s="190"/>
      <c r="J201" s="15" t="s">
        <v>339</v>
      </c>
      <c r="K201" s="190" t="s">
        <v>0</v>
      </c>
      <c r="L201" s="190">
        <f t="shared" si="59"/>
        <v>65.599800000000002</v>
      </c>
      <c r="O201" s="15">
        <f>_xlfn.IFNA(IF(VLOOKUP($J201&amp;O$12,'Mapping A'!$A$6:$G$1011,7,0)=1,$L201,""),0)</f>
        <v>0</v>
      </c>
      <c r="P201" s="15">
        <f>_xlfn.IFNA(IF(VLOOKUP($J201&amp;P$12,'Mapping A'!$A$6:$G$1011,7,0)=1,$L201,""),0)</f>
        <v>65.599800000000002</v>
      </c>
      <c r="Q201" s="15">
        <f>_xlfn.IFNA(IF(VLOOKUP($J201&amp;Q$12,'Mapping A'!$A$6:$G$1011,7,0)=1,$L201,""),0)</f>
        <v>0</v>
      </c>
      <c r="R201" s="15">
        <f>_xlfn.IFNA(IF(VLOOKUP($J201&amp;R$12,'Mapping A'!$A$6:$G$1011,7,0)=1,$L201,""),0)</f>
        <v>0</v>
      </c>
      <c r="S201" s="15">
        <f>_xlfn.IFNA(IF(VLOOKUP($J201&amp;S$12,'Mapping A'!$A$6:$G$1011,7,0)=1,$L201,""),0)</f>
        <v>0</v>
      </c>
      <c r="T201" s="15">
        <f>_xlfn.IFNA(IF(VLOOKUP($J201&amp;T$14,'Mapping A'!$A$6:$G$1011,7,0)=1,$L201,""),0)</f>
        <v>0</v>
      </c>
      <c r="U201" s="15">
        <f>_xlfn.IFNA(IF(VLOOKUP($J201&amp;U$12,'Mapping A'!$A$6:$G$1011,7,0)=1,$L201,""),0)</f>
        <v>0</v>
      </c>
      <c r="V201" s="15">
        <f>_xlfn.IFNA(IF(VLOOKUP($J201&amp;V$12,'Mapping A'!$A$6:$G$1011,7,0)=1,$L201,""),0)</f>
        <v>0</v>
      </c>
      <c r="W201" s="15">
        <f>_xlfn.IFNA(IF(VLOOKUP($J201&amp;W$12,'Mapping A'!$A$6:$G$1011,7,0)=1,$L201,""),0)</f>
        <v>0</v>
      </c>
      <c r="X201" s="15">
        <f>_xlfn.IFNA(IF(VLOOKUP($J201&amp;X$12,'Mapping A'!$A$6:$G$1011,7,0)=1,$L201,""),0)</f>
        <v>0</v>
      </c>
      <c r="Y201" s="15">
        <f>_xlfn.IFNA(IF(VLOOKUP($J201&amp;Y$12,'Mapping A'!$A$6:$G$1011,7,0)=1,$L201,""),0)</f>
        <v>0</v>
      </c>
      <c r="Z201" s="15">
        <f>_xlfn.IFNA(IF(VLOOKUP($J201&amp;Z$12,'Mapping A'!$A$6:$G$1011,7,0)=1,$L201,""),0)</f>
        <v>0</v>
      </c>
      <c r="AA201" s="15">
        <f>_xlfn.IFNA(IF(VLOOKUP($J201&amp;AA$12,'Mapping A'!$A$6:$G$1011,7,0)=1,$L201,""),0)</f>
        <v>0</v>
      </c>
      <c r="AF201" s="155" t="str">
        <f t="shared" si="67"/>
        <v>TIM0111Alpine Energy</v>
      </c>
      <c r="AG201" s="15" t="s">
        <v>339</v>
      </c>
      <c r="AH201" s="190" t="s">
        <v>0</v>
      </c>
      <c r="AI201" s="190">
        <f t="shared" si="60"/>
        <v>65.599800000000002</v>
      </c>
      <c r="AJ201" s="292" t="s">
        <v>96</v>
      </c>
      <c r="AK201" s="15"/>
      <c r="AL201" s="15">
        <f t="shared" ca="1" si="72"/>
        <v>0</v>
      </c>
      <c r="AM201" s="15">
        <f t="shared" ca="1" si="73"/>
        <v>0</v>
      </c>
      <c r="AN201" s="15">
        <f t="shared" ca="1" si="74"/>
        <v>0</v>
      </c>
      <c r="AO201" s="15">
        <f t="shared" ca="1" si="75"/>
        <v>0</v>
      </c>
      <c r="AP201" s="15"/>
      <c r="AQ201" s="15">
        <f t="shared" ca="1" si="76"/>
        <v>0</v>
      </c>
      <c r="AR201" s="20">
        <f t="shared" ca="1" si="61"/>
        <v>0</v>
      </c>
      <c r="AS201" s="20"/>
      <c r="AT201" s="20">
        <f t="shared" ca="1" si="62"/>
        <v>0</v>
      </c>
      <c r="AU201" s="20">
        <f t="shared" ca="1" si="63"/>
        <v>0</v>
      </c>
      <c r="AV201" s="20">
        <f t="shared" ca="1" si="64"/>
        <v>0</v>
      </c>
      <c r="AW201" s="20">
        <f t="shared" si="65"/>
        <v>0</v>
      </c>
      <c r="AX201" s="20">
        <f t="shared" si="66"/>
        <v>0</v>
      </c>
      <c r="BA201" s="20"/>
      <c r="BD201" s="94" t="str">
        <f t="shared" si="71"/>
        <v>SWN2201MRP</v>
      </c>
      <c r="BF201" s="15" t="s">
        <v>17</v>
      </c>
      <c r="BG201" t="s">
        <v>330</v>
      </c>
      <c r="BH201" s="190">
        <v>3.738</v>
      </c>
      <c r="BI201" s="190">
        <v>3.7379999160766602</v>
      </c>
      <c r="BJ201" s="257">
        <f t="shared" si="70"/>
        <v>0.13276717109192154</v>
      </c>
      <c r="BK201" s="257">
        <f t="shared" si="68"/>
        <v>0.14554566453300946</v>
      </c>
      <c r="BL201" s="257">
        <f t="shared" si="69"/>
        <v>0.15406466016040143</v>
      </c>
      <c r="BM201" s="342" t="str">
        <f>VLOOKUP(LEFT(BG201,3),'Mapping B'!$D$2:$E$310,2,0)</f>
        <v>N</v>
      </c>
      <c r="BO201" s="20"/>
      <c r="BP201" s="190"/>
      <c r="BQ201" s="20"/>
      <c r="BR201" s="20"/>
    </row>
    <row r="202" spans="2:70" x14ac:dyDescent="0.25">
      <c r="B202" s="98" t="s">
        <v>563</v>
      </c>
      <c r="C202" s="98">
        <v>2014</v>
      </c>
      <c r="D202" s="98" t="s">
        <v>293</v>
      </c>
      <c r="E202" s="98" t="s">
        <v>4</v>
      </c>
      <c r="F202" s="98" t="s">
        <v>131</v>
      </c>
      <c r="G202" s="98">
        <v>56712.707971114301</v>
      </c>
      <c r="H202" s="299" t="str">
        <f>VLOOKUP(LEFT('Rev Adequacy'!D202,3),'Mapping B'!$D$2:$E$400,2,0)</f>
        <v>N</v>
      </c>
      <c r="I202" s="190"/>
      <c r="J202" s="15" t="s">
        <v>919</v>
      </c>
      <c r="K202" s="190" t="s">
        <v>10</v>
      </c>
      <c r="L202" s="190">
        <f t="shared" si="59"/>
        <v>0.17849999999999999</v>
      </c>
      <c r="O202" s="15">
        <f>_xlfn.IFNA(IF(VLOOKUP($J202&amp;O$12,'Mapping A'!$A$6:$G$1011,7,0)=1,$L202,""),0)</f>
        <v>0</v>
      </c>
      <c r="P202" s="15">
        <f>_xlfn.IFNA(IF(VLOOKUP($J202&amp;P$12,'Mapping A'!$A$6:$G$1011,7,0)=1,$L202,""),0)</f>
        <v>0</v>
      </c>
      <c r="Q202" s="15">
        <f>_xlfn.IFNA(IF(VLOOKUP($J202&amp;Q$12,'Mapping A'!$A$6:$G$1011,7,0)=1,$L202,""),0)</f>
        <v>0</v>
      </c>
      <c r="R202" s="15">
        <f>_xlfn.IFNA(IF(VLOOKUP($J202&amp;R$12,'Mapping A'!$A$6:$G$1011,7,0)=1,$L202,""),0)</f>
        <v>0</v>
      </c>
      <c r="S202" s="15">
        <f>_xlfn.IFNA(IF(VLOOKUP($J202&amp;S$12,'Mapping A'!$A$6:$G$1011,7,0)=1,$L202,""),0)</f>
        <v>0</v>
      </c>
      <c r="T202" s="15">
        <f>_xlfn.IFNA(IF(VLOOKUP($J202&amp;T$14,'Mapping A'!$A$6:$G$1011,7,0)=1,$L202,""),0)</f>
        <v>0</v>
      </c>
      <c r="U202" s="15">
        <f>_xlfn.IFNA(IF(VLOOKUP($J202&amp;U$12,'Mapping A'!$A$6:$G$1011,7,0)=1,$L202,""),0)</f>
        <v>0</v>
      </c>
      <c r="V202" s="15">
        <f>_xlfn.IFNA(IF(VLOOKUP($J202&amp;V$12,'Mapping A'!$A$6:$G$1011,7,0)=1,$L202,""),0)</f>
        <v>0</v>
      </c>
      <c r="W202" s="15">
        <f>_xlfn.IFNA(IF(VLOOKUP($J202&amp;W$12,'Mapping A'!$A$6:$G$1011,7,0)=1,$L202,""),0)</f>
        <v>0</v>
      </c>
      <c r="X202" s="15">
        <f>_xlfn.IFNA(IF(VLOOKUP($J202&amp;X$12,'Mapping A'!$A$6:$G$1011,7,0)=1,$L202,""),0)</f>
        <v>0</v>
      </c>
      <c r="Y202" s="15">
        <f>_xlfn.IFNA(IF(VLOOKUP($J202&amp;Y$12,'Mapping A'!$A$6:$G$1011,7,0)=1,$L202,""),0)</f>
        <v>0</v>
      </c>
      <c r="Z202" s="15">
        <f>_xlfn.IFNA(IF(VLOOKUP($J202&amp;Z$12,'Mapping A'!$A$6:$G$1011,7,0)=1,$L202,""),0)</f>
        <v>0</v>
      </c>
      <c r="AA202" s="15">
        <f>_xlfn.IFNA(IF(VLOOKUP($J202&amp;AA$12,'Mapping A'!$A$6:$G$1011,7,0)=1,$L202,""),0)</f>
        <v>0</v>
      </c>
      <c r="AF202" s="155" t="str">
        <f t="shared" si="67"/>
        <v>TKA0111Genesis</v>
      </c>
      <c r="AG202" s="15" t="s">
        <v>919</v>
      </c>
      <c r="AH202" s="190" t="s">
        <v>10</v>
      </c>
      <c r="AI202" s="190">
        <f t="shared" si="60"/>
        <v>0.17849999999999999</v>
      </c>
      <c r="AJ202" s="292" t="s">
        <v>96</v>
      </c>
      <c r="AK202" s="15"/>
      <c r="AL202" s="15">
        <f t="shared" ca="1" si="72"/>
        <v>0</v>
      </c>
      <c r="AM202" s="15">
        <f t="shared" ca="1" si="73"/>
        <v>0</v>
      </c>
      <c r="AN202" s="15">
        <f t="shared" ca="1" si="74"/>
        <v>0</v>
      </c>
      <c r="AO202" s="15">
        <f t="shared" ca="1" si="75"/>
        <v>0</v>
      </c>
      <c r="AP202" s="15"/>
      <c r="AQ202" s="15">
        <f t="shared" ca="1" si="76"/>
        <v>0</v>
      </c>
      <c r="AR202" s="20">
        <f t="shared" ca="1" si="61"/>
        <v>0</v>
      </c>
      <c r="AS202" s="20"/>
      <c r="AT202" s="20">
        <f t="shared" ca="1" si="62"/>
        <v>0</v>
      </c>
      <c r="AU202" s="20">
        <f t="shared" ca="1" si="63"/>
        <v>0</v>
      </c>
      <c r="AV202" s="20">
        <f t="shared" ca="1" si="64"/>
        <v>0</v>
      </c>
      <c r="AW202" s="20">
        <f t="shared" si="65"/>
        <v>0</v>
      </c>
      <c r="AX202" s="20">
        <f t="shared" si="66"/>
        <v>0</v>
      </c>
      <c r="BA202" s="20"/>
      <c r="BD202" s="94" t="str">
        <f t="shared" si="71"/>
        <v>TAK0331Vector</v>
      </c>
      <c r="BF202" s="15" t="s">
        <v>37</v>
      </c>
      <c r="BG202" t="s">
        <v>332</v>
      </c>
      <c r="BH202" s="190">
        <v>119.80080000000001</v>
      </c>
      <c r="BI202" s="190">
        <v>116.80899810791</v>
      </c>
      <c r="BJ202" s="257">
        <f t="shared" si="70"/>
        <v>4.2551132451977187</v>
      </c>
      <c r="BK202" s="257">
        <f t="shared" si="68"/>
        <v>4.6646567810556885</v>
      </c>
      <c r="BL202" s="257">
        <f t="shared" si="69"/>
        <v>4.9376858049610011</v>
      </c>
      <c r="BM202" s="342" t="str">
        <f>VLOOKUP(LEFT(BG202,3),'Mapping B'!$D$2:$E$310,2,0)</f>
        <v>N</v>
      </c>
      <c r="BO202" s="20"/>
      <c r="BP202" s="190"/>
      <c r="BQ202" s="20"/>
      <c r="BR202" s="20"/>
    </row>
    <row r="203" spans="2:70" x14ac:dyDescent="0.25">
      <c r="B203" s="98" t="s">
        <v>563</v>
      </c>
      <c r="C203" s="98">
        <v>2014</v>
      </c>
      <c r="D203" s="98" t="s">
        <v>303</v>
      </c>
      <c r="E203" s="98" t="s">
        <v>4</v>
      </c>
      <c r="F203" s="98" t="s">
        <v>131</v>
      </c>
      <c r="G203" s="98">
        <v>102.997999999999</v>
      </c>
      <c r="H203" s="299" t="str">
        <f>VLOOKUP(LEFT('Rev Adequacy'!D203,3),'Mapping B'!$D$2:$E$400,2,0)</f>
        <v>N</v>
      </c>
      <c r="I203" s="190"/>
      <c r="J203" s="15" t="s">
        <v>422</v>
      </c>
      <c r="K203" s="190" t="s">
        <v>0</v>
      </c>
      <c r="L203" s="190">
        <f t="shared" si="59"/>
        <v>3.9375</v>
      </c>
      <c r="O203" s="15">
        <f>_xlfn.IFNA(IF(VLOOKUP($J203&amp;O$12,'Mapping A'!$A$6:$G$1011,7,0)=1,$L203,""),0)</f>
        <v>0</v>
      </c>
      <c r="P203" s="15">
        <f>_xlfn.IFNA(IF(VLOOKUP($J203&amp;P$12,'Mapping A'!$A$6:$G$1011,7,0)=1,$L203,""),0)</f>
        <v>3.9375</v>
      </c>
      <c r="Q203" s="15">
        <f>_xlfn.IFNA(IF(VLOOKUP($J203&amp;Q$12,'Mapping A'!$A$6:$G$1011,7,0)=1,$L203,""),0)</f>
        <v>0</v>
      </c>
      <c r="R203" s="15">
        <f>_xlfn.IFNA(IF(VLOOKUP($J203&amp;R$12,'Mapping A'!$A$6:$G$1011,7,0)=1,$L203,""),0)</f>
        <v>0</v>
      </c>
      <c r="S203" s="15">
        <f>_xlfn.IFNA(IF(VLOOKUP($J203&amp;S$12,'Mapping A'!$A$6:$G$1011,7,0)=1,$L203,""),0)</f>
        <v>0</v>
      </c>
      <c r="T203" s="15">
        <f>_xlfn.IFNA(IF(VLOOKUP($J203&amp;T$14,'Mapping A'!$A$6:$G$1011,7,0)=1,$L203,""),0)</f>
        <v>0</v>
      </c>
      <c r="U203" s="15">
        <f>_xlfn.IFNA(IF(VLOOKUP($J203&amp;U$12,'Mapping A'!$A$6:$G$1011,7,0)=1,$L203,""),0)</f>
        <v>0</v>
      </c>
      <c r="V203" s="15">
        <f>_xlfn.IFNA(IF(VLOOKUP($J203&amp;V$12,'Mapping A'!$A$6:$G$1011,7,0)=1,$L203,""),0)</f>
        <v>0</v>
      </c>
      <c r="W203" s="15">
        <f>_xlfn.IFNA(IF(VLOOKUP($J203&amp;W$12,'Mapping A'!$A$6:$G$1011,7,0)=1,$L203,""),0)</f>
        <v>0</v>
      </c>
      <c r="X203" s="15">
        <f>_xlfn.IFNA(IF(VLOOKUP($J203&amp;X$12,'Mapping A'!$A$6:$G$1011,7,0)=1,$L203,""),0)</f>
        <v>0</v>
      </c>
      <c r="Y203" s="15">
        <f>_xlfn.IFNA(IF(VLOOKUP($J203&amp;Y$12,'Mapping A'!$A$6:$G$1011,7,0)=1,$L203,""),0)</f>
        <v>0</v>
      </c>
      <c r="Z203" s="15">
        <f>_xlfn.IFNA(IF(VLOOKUP($J203&amp;Z$12,'Mapping A'!$A$6:$G$1011,7,0)=1,$L203,""),0)</f>
        <v>0</v>
      </c>
      <c r="AA203" s="15">
        <f>_xlfn.IFNA(IF(VLOOKUP($J203&amp;AA$12,'Mapping A'!$A$6:$G$1011,7,0)=1,$L203,""),0)</f>
        <v>0</v>
      </c>
      <c r="AF203" s="155" t="str">
        <f t="shared" si="67"/>
        <v>TKA0331Alpine Energy</v>
      </c>
      <c r="AG203" s="15" t="s">
        <v>422</v>
      </c>
      <c r="AH203" s="190" t="s">
        <v>0</v>
      </c>
      <c r="AI203" s="190">
        <f t="shared" si="60"/>
        <v>3.9375</v>
      </c>
      <c r="AJ203" s="292" t="s">
        <v>96</v>
      </c>
      <c r="AK203" s="15"/>
      <c r="AL203" s="15">
        <f t="shared" ca="1" si="72"/>
        <v>0</v>
      </c>
      <c r="AM203" s="15">
        <f t="shared" ca="1" si="73"/>
        <v>0</v>
      </c>
      <c r="AN203" s="15">
        <f t="shared" ca="1" si="74"/>
        <v>0</v>
      </c>
      <c r="AO203" s="15">
        <f t="shared" ca="1" si="75"/>
        <v>0</v>
      </c>
      <c r="AP203" s="15"/>
      <c r="AQ203" s="15">
        <f t="shared" ca="1" si="76"/>
        <v>0</v>
      </c>
      <c r="AR203" s="20">
        <f t="shared" ca="1" si="61"/>
        <v>0</v>
      </c>
      <c r="AS203" s="20"/>
      <c r="AT203" s="20">
        <f t="shared" ca="1" si="62"/>
        <v>0</v>
      </c>
      <c r="AU203" s="20">
        <f t="shared" ca="1" si="63"/>
        <v>0</v>
      </c>
      <c r="AV203" s="20">
        <f t="shared" ca="1" si="64"/>
        <v>0</v>
      </c>
      <c r="AW203" s="20">
        <f t="shared" si="65"/>
        <v>0</v>
      </c>
      <c r="AX203" s="20">
        <f t="shared" si="66"/>
        <v>0</v>
      </c>
      <c r="BA203" s="20"/>
      <c r="BD203" s="94" t="str">
        <f t="shared" si="71"/>
        <v>TGA0111Powerco</v>
      </c>
      <c r="BF203" s="15" t="s">
        <v>28</v>
      </c>
      <c r="BG203" t="s">
        <v>333</v>
      </c>
      <c r="BH203" s="190">
        <v>28.242900000000002</v>
      </c>
      <c r="BI203" s="190">
        <v>28.041999816894499</v>
      </c>
      <c r="BJ203" s="257">
        <f t="shared" si="70"/>
        <v>1.0031380247276702</v>
      </c>
      <c r="BK203" s="257">
        <f t="shared" si="68"/>
        <v>1.0996874394968792</v>
      </c>
      <c r="BL203" s="257">
        <f t="shared" si="69"/>
        <v>1.1640537160096851</v>
      </c>
      <c r="BM203" s="342" t="str">
        <f>VLOOKUP(LEFT(BG203,3),'Mapping B'!$D$2:$E$310,2,0)</f>
        <v>N</v>
      </c>
      <c r="BO203" s="20"/>
      <c r="BP203" s="190"/>
      <c r="BQ203" s="20"/>
      <c r="BR203" s="20"/>
    </row>
    <row r="204" spans="2:70" x14ac:dyDescent="0.25">
      <c r="B204" s="98" t="s">
        <v>563</v>
      </c>
      <c r="C204" s="98">
        <v>2014</v>
      </c>
      <c r="D204" s="98" t="s">
        <v>304</v>
      </c>
      <c r="E204" s="98" t="s">
        <v>4</v>
      </c>
      <c r="F204" s="98" t="s">
        <v>136</v>
      </c>
      <c r="G204" s="98">
        <v>0</v>
      </c>
      <c r="H204" s="299" t="str">
        <f>VLOOKUP(LEFT('Rev Adequacy'!D204,3),'Mapping B'!$D$2:$E$400,2,0)</f>
        <v>N</v>
      </c>
      <c r="I204" s="190"/>
      <c r="J204" s="15" t="s">
        <v>920</v>
      </c>
      <c r="K204" s="190" t="s">
        <v>10</v>
      </c>
      <c r="L204" s="190">
        <f t="shared" si="59"/>
        <v>1.0500000000000001E-2</v>
      </c>
      <c r="O204" s="15">
        <f>_xlfn.IFNA(IF(VLOOKUP($J204&amp;O$12,'Mapping A'!$A$6:$G$1011,7,0)=1,$L204,""),0)</f>
        <v>0</v>
      </c>
      <c r="P204" s="15">
        <f>_xlfn.IFNA(IF(VLOOKUP($J204&amp;P$12,'Mapping A'!$A$6:$G$1011,7,0)=1,$L204,""),0)</f>
        <v>0</v>
      </c>
      <c r="Q204" s="15">
        <f>_xlfn.IFNA(IF(VLOOKUP($J204&amp;Q$12,'Mapping A'!$A$6:$G$1011,7,0)=1,$L204,""),0)</f>
        <v>0</v>
      </c>
      <c r="R204" s="15">
        <f>_xlfn.IFNA(IF(VLOOKUP($J204&amp;R$12,'Mapping A'!$A$6:$G$1011,7,0)=1,$L204,""),0)</f>
        <v>0</v>
      </c>
      <c r="S204" s="15">
        <f>_xlfn.IFNA(IF(VLOOKUP($J204&amp;S$12,'Mapping A'!$A$6:$G$1011,7,0)=1,$L204,""),0)</f>
        <v>0</v>
      </c>
      <c r="T204" s="15">
        <f>_xlfn.IFNA(IF(VLOOKUP($J204&amp;T$14,'Mapping A'!$A$6:$G$1011,7,0)=1,$L204,""),0)</f>
        <v>0</v>
      </c>
      <c r="U204" s="15">
        <f>_xlfn.IFNA(IF(VLOOKUP($J204&amp;U$12,'Mapping A'!$A$6:$G$1011,7,0)=1,$L204,""),0)</f>
        <v>0</v>
      </c>
      <c r="V204" s="15">
        <f>_xlfn.IFNA(IF(VLOOKUP($J204&amp;V$12,'Mapping A'!$A$6:$G$1011,7,0)=1,$L204,""),0)</f>
        <v>0</v>
      </c>
      <c r="W204" s="15">
        <f>_xlfn.IFNA(IF(VLOOKUP($J204&amp;W$12,'Mapping A'!$A$6:$G$1011,7,0)=1,$L204,""),0)</f>
        <v>0</v>
      </c>
      <c r="X204" s="15">
        <f>_xlfn.IFNA(IF(VLOOKUP($J204&amp;X$12,'Mapping A'!$A$6:$G$1011,7,0)=1,$L204,""),0)</f>
        <v>0</v>
      </c>
      <c r="Y204" s="15">
        <f>_xlfn.IFNA(IF(VLOOKUP($J204&amp;Y$12,'Mapping A'!$A$6:$G$1011,7,0)=1,$L204,""),0)</f>
        <v>0</v>
      </c>
      <c r="Z204" s="15">
        <f>_xlfn.IFNA(IF(VLOOKUP($J204&amp;Z$12,'Mapping A'!$A$6:$G$1011,7,0)=1,$L204,""),0)</f>
        <v>0</v>
      </c>
      <c r="AA204" s="15">
        <f>_xlfn.IFNA(IF(VLOOKUP($J204&amp;AA$12,'Mapping A'!$A$6:$G$1011,7,0)=1,$L204,""),0)</f>
        <v>0</v>
      </c>
      <c r="AF204" s="155" t="str">
        <f t="shared" si="67"/>
        <v>TKB2201Genesis</v>
      </c>
      <c r="AG204" s="15" t="s">
        <v>920</v>
      </c>
      <c r="AH204" s="190" t="s">
        <v>10</v>
      </c>
      <c r="AI204" s="190">
        <f t="shared" si="60"/>
        <v>1.0500000000000001E-2</v>
      </c>
      <c r="AJ204" s="292" t="s">
        <v>96</v>
      </c>
      <c r="AK204" s="15"/>
      <c r="AL204" s="15">
        <f t="shared" ca="1" si="72"/>
        <v>0</v>
      </c>
      <c r="AM204" s="15">
        <f t="shared" ca="1" si="73"/>
        <v>0</v>
      </c>
      <c r="AN204" s="15">
        <f t="shared" ca="1" si="74"/>
        <v>0</v>
      </c>
      <c r="AO204" s="15">
        <f t="shared" ca="1" si="75"/>
        <v>0</v>
      </c>
      <c r="AP204" s="15"/>
      <c r="AQ204" s="15">
        <f t="shared" ca="1" si="76"/>
        <v>0</v>
      </c>
      <c r="AR204" s="20">
        <f t="shared" ca="1" si="61"/>
        <v>0</v>
      </c>
      <c r="AS204" s="20"/>
      <c r="AT204" s="20">
        <f t="shared" ca="1" si="62"/>
        <v>0</v>
      </c>
      <c r="AU204" s="20">
        <f t="shared" ca="1" si="63"/>
        <v>0</v>
      </c>
      <c r="AV204" s="20">
        <f t="shared" ca="1" si="64"/>
        <v>0</v>
      </c>
      <c r="AW204" s="20">
        <f t="shared" si="65"/>
        <v>0</v>
      </c>
      <c r="AX204" s="20">
        <f t="shared" si="66"/>
        <v>0</v>
      </c>
      <c r="BA204" s="20"/>
      <c r="BD204" s="94" t="str">
        <f t="shared" si="71"/>
        <v>TGA0331Powerco</v>
      </c>
      <c r="BF204" s="15" t="s">
        <v>28</v>
      </c>
      <c r="BG204" t="s">
        <v>334</v>
      </c>
      <c r="BH204" s="190">
        <v>81.511499999999998</v>
      </c>
      <c r="BI204" s="190">
        <v>81.505996704101506</v>
      </c>
      <c r="BJ204" s="257">
        <f t="shared" si="70"/>
        <v>2.8951448010859182</v>
      </c>
      <c r="BK204" s="257">
        <f t="shared" si="68"/>
        <v>3.1737949263195295</v>
      </c>
      <c r="BL204" s="257">
        <f t="shared" si="69"/>
        <v>3.3595616764752707</v>
      </c>
      <c r="BM204" s="342" t="str">
        <f>VLOOKUP(LEFT(BG204,3),'Mapping B'!$D$2:$E$310,2,0)</f>
        <v>N</v>
      </c>
      <c r="BO204" s="20"/>
      <c r="BP204" s="190"/>
      <c r="BQ204" s="20"/>
      <c r="BR204" s="20"/>
    </row>
    <row r="205" spans="2:70" x14ac:dyDescent="0.25">
      <c r="B205" s="98" t="s">
        <v>563</v>
      </c>
      <c r="C205" s="98">
        <v>2014</v>
      </c>
      <c r="D205" s="98" t="s">
        <v>315</v>
      </c>
      <c r="E205" s="98" t="s">
        <v>4</v>
      </c>
      <c r="F205" s="98" t="s">
        <v>136</v>
      </c>
      <c r="G205" s="98">
        <v>0</v>
      </c>
      <c r="H205" s="299" t="str">
        <f>VLOOKUP(LEFT('Rev Adequacy'!D205,3),'Mapping B'!$D$2:$E$400,2,0)</f>
        <v>S</v>
      </c>
      <c r="I205" s="190"/>
      <c r="J205" s="15" t="s">
        <v>342</v>
      </c>
      <c r="K205" s="190" t="s">
        <v>11</v>
      </c>
      <c r="L205" s="190">
        <f t="shared" si="59"/>
        <v>1.722</v>
      </c>
      <c r="O205" s="15">
        <f>_xlfn.IFNA(IF(VLOOKUP($J205&amp;O$12,'Mapping A'!$A$6:$G$1011,7,0)=1,$L205,""),0)</f>
        <v>0</v>
      </c>
      <c r="P205" s="15">
        <f>_xlfn.IFNA(IF(VLOOKUP($J205&amp;P$12,'Mapping A'!$A$6:$G$1011,7,0)=1,$L205,""),0)</f>
        <v>1.722</v>
      </c>
      <c r="Q205" s="15">
        <f>_xlfn.IFNA(IF(VLOOKUP($J205&amp;Q$12,'Mapping A'!$A$6:$G$1011,7,0)=1,$L205,""),0)</f>
        <v>1.722</v>
      </c>
      <c r="R205" s="15">
        <f>_xlfn.IFNA(IF(VLOOKUP($J205&amp;R$12,'Mapping A'!$A$6:$G$1011,7,0)=1,$L205,""),0)</f>
        <v>0</v>
      </c>
      <c r="S205" s="15">
        <f>_xlfn.IFNA(IF(VLOOKUP($J205&amp;S$12,'Mapping A'!$A$6:$G$1011,7,0)=1,$L205,""),0)</f>
        <v>0</v>
      </c>
      <c r="T205" s="15">
        <f>_xlfn.IFNA(IF(VLOOKUP($J205&amp;T$14,'Mapping A'!$A$6:$G$1011,7,0)=1,$L205,""),0)</f>
        <v>1.722</v>
      </c>
      <c r="U205" s="15">
        <f>_xlfn.IFNA(IF(VLOOKUP($J205&amp;U$12,'Mapping A'!$A$6:$G$1011,7,0)=1,$L205,""),0)</f>
        <v>0</v>
      </c>
      <c r="V205" s="15">
        <f>_xlfn.IFNA(IF(VLOOKUP($J205&amp;V$12,'Mapping A'!$A$6:$G$1011,7,0)=1,$L205,""),0)</f>
        <v>0</v>
      </c>
      <c r="W205" s="15">
        <f>_xlfn.IFNA(IF(VLOOKUP($J205&amp;W$12,'Mapping A'!$A$6:$G$1011,7,0)=1,$L205,""),0)</f>
        <v>0</v>
      </c>
      <c r="X205" s="15">
        <f>_xlfn.IFNA(IF(VLOOKUP($J205&amp;X$12,'Mapping A'!$A$6:$G$1011,7,0)=1,$L205,""),0)</f>
        <v>0</v>
      </c>
      <c r="Y205" s="15">
        <f>_xlfn.IFNA(IF(VLOOKUP($J205&amp;Y$12,'Mapping A'!$A$6:$G$1011,7,0)=1,$L205,""),0)</f>
        <v>0</v>
      </c>
      <c r="Z205" s="15">
        <f>_xlfn.IFNA(IF(VLOOKUP($J205&amp;Z$12,'Mapping A'!$A$6:$G$1011,7,0)=1,$L205,""),0)</f>
        <v>0</v>
      </c>
      <c r="AA205" s="15">
        <f>_xlfn.IFNA(IF(VLOOKUP($J205&amp;AA$12,'Mapping A'!$A$6:$G$1011,7,0)=1,$L205,""),0)</f>
        <v>0</v>
      </c>
      <c r="AF205" s="155" t="str">
        <f t="shared" si="67"/>
        <v>TKH0111Horizon</v>
      </c>
      <c r="AG205" s="15" t="s">
        <v>342</v>
      </c>
      <c r="AH205" s="190" t="s">
        <v>11</v>
      </c>
      <c r="AI205" s="190">
        <f t="shared" si="60"/>
        <v>1.722</v>
      </c>
      <c r="AJ205" s="292" t="s">
        <v>95</v>
      </c>
      <c r="AK205" s="15"/>
      <c r="AL205" s="15">
        <f t="shared" ca="1" si="72"/>
        <v>0</v>
      </c>
      <c r="AM205" s="15">
        <f t="shared" ca="1" si="73"/>
        <v>0</v>
      </c>
      <c r="AN205" s="15">
        <f t="shared" ca="1" si="74"/>
        <v>0</v>
      </c>
      <c r="AO205" s="15">
        <f t="shared" ca="1" si="75"/>
        <v>0</v>
      </c>
      <c r="AP205" s="15"/>
      <c r="AQ205" s="15">
        <f t="shared" ca="1" si="76"/>
        <v>0</v>
      </c>
      <c r="AR205" s="20">
        <f t="shared" ca="1" si="61"/>
        <v>0</v>
      </c>
      <c r="AS205" s="20"/>
      <c r="AT205" s="20">
        <f t="shared" ca="1" si="62"/>
        <v>0</v>
      </c>
      <c r="AU205" s="20">
        <f t="shared" ca="1" si="63"/>
        <v>0</v>
      </c>
      <c r="AV205" s="20">
        <f t="shared" ca="1" si="64"/>
        <v>0</v>
      </c>
      <c r="AW205" s="20">
        <f t="shared" si="65"/>
        <v>0</v>
      </c>
      <c r="AX205" s="20">
        <f t="shared" si="66"/>
        <v>0</v>
      </c>
      <c r="BA205" s="20"/>
      <c r="BD205" s="94" t="str">
        <f t="shared" si="71"/>
        <v>THI2201Contact</v>
      </c>
      <c r="BF205" s="15" t="s">
        <v>4</v>
      </c>
      <c r="BG205" t="s">
        <v>336</v>
      </c>
      <c r="BH205" s="190">
        <v>9.0299999999999994</v>
      </c>
      <c r="BI205" s="190">
        <v>9.0299997329711896</v>
      </c>
      <c r="BJ205" s="257">
        <f t="shared" si="70"/>
        <v>0.32072968297486665</v>
      </c>
      <c r="BK205" s="257">
        <f t="shared" si="68"/>
        <v>0.35159907724266332</v>
      </c>
      <c r="BL205" s="257">
        <f t="shared" si="69"/>
        <v>0.37217867342119443</v>
      </c>
      <c r="BM205" s="342" t="str">
        <f>VLOOKUP(LEFT(BG205,3),'Mapping B'!$D$2:$E$310,2,0)</f>
        <v>N</v>
      </c>
      <c r="BO205" s="20"/>
      <c r="BP205" s="190"/>
      <c r="BQ205" s="20"/>
      <c r="BR205" s="20"/>
    </row>
    <row r="206" spans="2:70" x14ac:dyDescent="0.25">
      <c r="B206" s="98" t="s">
        <v>563</v>
      </c>
      <c r="C206" s="98">
        <v>2014</v>
      </c>
      <c r="D206" s="98" t="s">
        <v>316</v>
      </c>
      <c r="E206" s="98" t="s">
        <v>4</v>
      </c>
      <c r="F206" s="98" t="s">
        <v>136</v>
      </c>
      <c r="G206" s="98">
        <v>0</v>
      </c>
      <c r="H206" s="299" t="str">
        <f>VLOOKUP(LEFT('Rev Adequacy'!D206,3),'Mapping B'!$D$2:$E$400,2,0)</f>
        <v>S</v>
      </c>
      <c r="I206" s="190"/>
      <c r="J206" s="15" t="s">
        <v>343</v>
      </c>
      <c r="K206" s="190" t="s">
        <v>40</v>
      </c>
      <c r="L206" s="190">
        <f t="shared" si="59"/>
        <v>95.283299999999997</v>
      </c>
      <c r="O206" s="15">
        <f>_xlfn.IFNA(IF(VLOOKUP($J206&amp;O$12,'Mapping A'!$A$6:$G$1011,7,0)=1,$L206,""),0)</f>
        <v>0</v>
      </c>
      <c r="P206" s="15">
        <f>_xlfn.IFNA(IF(VLOOKUP($J206&amp;P$12,'Mapping A'!$A$6:$G$1011,7,0)=1,$L206,""),0)</f>
        <v>95.283299999999997</v>
      </c>
      <c r="Q206" s="15">
        <f>_xlfn.IFNA(IF(VLOOKUP($J206&amp;Q$12,'Mapping A'!$A$6:$G$1011,7,0)=1,$L206,""),0)</f>
        <v>95.283299999999997</v>
      </c>
      <c r="R206" s="15">
        <f>_xlfn.IFNA(IF(VLOOKUP($J206&amp;R$12,'Mapping A'!$A$6:$G$1011,7,0)=1,$L206,""),0)</f>
        <v>0</v>
      </c>
      <c r="S206" s="15">
        <f>_xlfn.IFNA(IF(VLOOKUP($J206&amp;S$12,'Mapping A'!$A$6:$G$1011,7,0)=1,$L206,""),0)</f>
        <v>0</v>
      </c>
      <c r="T206" s="15">
        <f>_xlfn.IFNA(IF(VLOOKUP($J206&amp;T$14,'Mapping A'!$A$6:$G$1011,7,0)=1,$L206,""),0)</f>
        <v>0</v>
      </c>
      <c r="U206" s="15">
        <f>_xlfn.IFNA(IF(VLOOKUP($J206&amp;U$12,'Mapping A'!$A$6:$G$1011,7,0)=1,$L206,""),0)</f>
        <v>0</v>
      </c>
      <c r="V206" s="15">
        <f>_xlfn.IFNA(IF(VLOOKUP($J206&amp;V$12,'Mapping A'!$A$6:$G$1011,7,0)=1,$L206,""),0)</f>
        <v>0</v>
      </c>
      <c r="W206" s="15">
        <f>_xlfn.IFNA(IF(VLOOKUP($J206&amp;W$12,'Mapping A'!$A$6:$G$1011,7,0)=1,$L206,""),0)</f>
        <v>0</v>
      </c>
      <c r="X206" s="15">
        <f>_xlfn.IFNA(IF(VLOOKUP($J206&amp;X$12,'Mapping A'!$A$6:$G$1011,7,0)=1,$L206,""),0)</f>
        <v>0</v>
      </c>
      <c r="Y206" s="15">
        <f>_xlfn.IFNA(IF(VLOOKUP($J206&amp;Y$12,'Mapping A'!$A$6:$G$1011,7,0)=1,$L206,""),0)</f>
        <v>0</v>
      </c>
      <c r="Z206" s="15">
        <f>_xlfn.IFNA(IF(VLOOKUP($J206&amp;Z$12,'Mapping A'!$A$6:$G$1011,7,0)=1,$L206,""),0)</f>
        <v>0</v>
      </c>
      <c r="AA206" s="15">
        <f>_xlfn.IFNA(IF(VLOOKUP($J206&amp;AA$12,'Mapping A'!$A$6:$G$1011,7,0)=1,$L206,""),0)</f>
        <v>0</v>
      </c>
      <c r="AF206" s="155" t="str">
        <f t="shared" si="67"/>
        <v>TKR0331Wellington Electricity</v>
      </c>
      <c r="AG206" s="15" t="s">
        <v>343</v>
      </c>
      <c r="AH206" s="190" t="s">
        <v>40</v>
      </c>
      <c r="AI206" s="190">
        <f t="shared" si="60"/>
        <v>95.283299999999997</v>
      </c>
      <c r="AJ206" s="292" t="s">
        <v>95</v>
      </c>
      <c r="AK206" s="15"/>
      <c r="AL206" s="15">
        <f t="shared" ca="1" si="72"/>
        <v>0</v>
      </c>
      <c r="AM206" s="15">
        <f t="shared" ca="1" si="73"/>
        <v>0</v>
      </c>
      <c r="AN206" s="15">
        <f t="shared" ca="1" si="74"/>
        <v>0</v>
      </c>
      <c r="AO206" s="15">
        <f t="shared" ca="1" si="75"/>
        <v>0</v>
      </c>
      <c r="AP206" s="15"/>
      <c r="AQ206" s="15">
        <f t="shared" ca="1" si="76"/>
        <v>0</v>
      </c>
      <c r="AR206" s="20">
        <f t="shared" ca="1" si="61"/>
        <v>0</v>
      </c>
      <c r="AS206" s="20"/>
      <c r="AT206" s="20">
        <f t="shared" ca="1" si="62"/>
        <v>0</v>
      </c>
      <c r="AU206" s="20">
        <f t="shared" ca="1" si="63"/>
        <v>0</v>
      </c>
      <c r="AV206" s="20">
        <f t="shared" ca="1" si="64"/>
        <v>0</v>
      </c>
      <c r="AW206" s="20">
        <f t="shared" si="65"/>
        <v>0</v>
      </c>
      <c r="AX206" s="20">
        <f t="shared" si="66"/>
        <v>0</v>
      </c>
      <c r="BA206" s="20"/>
      <c r="BD206" s="94" t="str">
        <f t="shared" si="71"/>
        <v>TIM0111Alpine Energy</v>
      </c>
      <c r="BF206" s="15" t="s">
        <v>0</v>
      </c>
      <c r="BG206" t="s">
        <v>339</v>
      </c>
      <c r="BH206" s="190">
        <v>65.599800000000002</v>
      </c>
      <c r="BI206" s="190">
        <v>65.5989990234375</v>
      </c>
      <c r="BJ206" s="257">
        <f t="shared" si="70"/>
        <v>2.329989264364857</v>
      </c>
      <c r="BK206" s="257">
        <f t="shared" si="68"/>
        <v>2.5542446453270511</v>
      </c>
      <c r="BL206" s="257">
        <f t="shared" si="69"/>
        <v>2.70374823263518</v>
      </c>
      <c r="BM206" s="342" t="str">
        <f>VLOOKUP(LEFT(BG206,3),'Mapping B'!$D$2:$E$310,2,0)</f>
        <v>S</v>
      </c>
      <c r="BO206" s="20"/>
      <c r="BP206" s="190"/>
      <c r="BQ206" s="20"/>
      <c r="BR206" s="20"/>
    </row>
    <row r="207" spans="2:70" x14ac:dyDescent="0.25">
      <c r="B207" s="98" t="s">
        <v>563</v>
      </c>
      <c r="C207" s="98">
        <v>2014</v>
      </c>
      <c r="D207" s="98" t="s">
        <v>321</v>
      </c>
      <c r="E207" s="98" t="s">
        <v>4</v>
      </c>
      <c r="F207" s="98" t="s">
        <v>131</v>
      </c>
      <c r="G207" s="98">
        <v>7730.60700000002</v>
      </c>
      <c r="H207" s="299" t="str">
        <f>VLOOKUP(LEFT('Rev Adequacy'!D207,3),'Mapping B'!$D$2:$E$400,2,0)</f>
        <v>N</v>
      </c>
      <c r="I207" s="190"/>
      <c r="J207" s="15" t="s">
        <v>344</v>
      </c>
      <c r="K207" s="190" t="s">
        <v>10</v>
      </c>
      <c r="L207" s="190">
        <f t="shared" si="59"/>
        <v>0.51870000000000005</v>
      </c>
      <c r="O207" s="15">
        <f>_xlfn.IFNA(IF(VLOOKUP($J207&amp;O$12,'Mapping A'!$A$6:$G$1011,7,0)=1,$L207,""),0)</f>
        <v>0</v>
      </c>
      <c r="P207" s="15">
        <f>_xlfn.IFNA(IF(VLOOKUP($J207&amp;P$12,'Mapping A'!$A$6:$G$1011,7,0)=1,$L207,""),0)</f>
        <v>0.51870000000000005</v>
      </c>
      <c r="Q207" s="15">
        <f>_xlfn.IFNA(IF(VLOOKUP($J207&amp;Q$12,'Mapping A'!$A$6:$G$1011,7,0)=1,$L207,""),0)</f>
        <v>0.51870000000000005</v>
      </c>
      <c r="R207" s="15">
        <f>_xlfn.IFNA(IF(VLOOKUP($J207&amp;R$12,'Mapping A'!$A$6:$G$1011,7,0)=1,$L207,""),0)</f>
        <v>0</v>
      </c>
      <c r="S207" s="15">
        <f>_xlfn.IFNA(IF(VLOOKUP($J207&amp;S$12,'Mapping A'!$A$6:$G$1011,7,0)=1,$L207,""),0)</f>
        <v>0</v>
      </c>
      <c r="T207" s="15">
        <f>_xlfn.IFNA(IF(VLOOKUP($J207&amp;T$14,'Mapping A'!$A$6:$G$1011,7,0)=1,$L207,""),0)</f>
        <v>0</v>
      </c>
      <c r="U207" s="15">
        <f>_xlfn.IFNA(IF(VLOOKUP($J207&amp;U$12,'Mapping A'!$A$6:$G$1011,7,0)=1,$L207,""),0)</f>
        <v>0</v>
      </c>
      <c r="V207" s="15">
        <f>_xlfn.IFNA(IF(VLOOKUP($J207&amp;V$12,'Mapping A'!$A$6:$G$1011,7,0)=1,$L207,""),0)</f>
        <v>0</v>
      </c>
      <c r="W207" s="15">
        <f>_xlfn.IFNA(IF(VLOOKUP($J207&amp;W$12,'Mapping A'!$A$6:$G$1011,7,0)=1,$L207,""),0)</f>
        <v>0</v>
      </c>
      <c r="X207" s="15">
        <f>_xlfn.IFNA(IF(VLOOKUP($J207&amp;X$12,'Mapping A'!$A$6:$G$1011,7,0)=1,$L207,""),0)</f>
        <v>0</v>
      </c>
      <c r="Y207" s="15">
        <f>_xlfn.IFNA(IF(VLOOKUP($J207&amp;Y$12,'Mapping A'!$A$6:$G$1011,7,0)=1,$L207,""),0)</f>
        <v>0</v>
      </c>
      <c r="Z207" s="15">
        <f>_xlfn.IFNA(IF(VLOOKUP($J207&amp;Z$12,'Mapping A'!$A$6:$G$1011,7,0)=1,$L207,""),0)</f>
        <v>0</v>
      </c>
      <c r="AA207" s="15">
        <f>_xlfn.IFNA(IF(VLOOKUP($J207&amp;AA$12,'Mapping A'!$A$6:$G$1011,7,0)=1,$L207,""),0)</f>
        <v>0</v>
      </c>
      <c r="AF207" s="155" t="str">
        <f t="shared" si="67"/>
        <v>TKU0331Genesis</v>
      </c>
      <c r="AG207" s="15" t="s">
        <v>344</v>
      </c>
      <c r="AH207" s="190" t="s">
        <v>10</v>
      </c>
      <c r="AI207" s="190">
        <f t="shared" si="60"/>
        <v>0.51870000000000005</v>
      </c>
      <c r="AJ207" s="292" t="s">
        <v>95</v>
      </c>
      <c r="AK207" s="15"/>
      <c r="AL207" s="15">
        <f t="shared" ca="1" si="72"/>
        <v>0</v>
      </c>
      <c r="AM207" s="15">
        <f t="shared" ca="1" si="73"/>
        <v>0</v>
      </c>
      <c r="AN207" s="15">
        <f t="shared" ca="1" si="74"/>
        <v>0</v>
      </c>
      <c r="AO207" s="15">
        <f t="shared" ca="1" si="75"/>
        <v>0</v>
      </c>
      <c r="AP207" s="15"/>
      <c r="AQ207" s="15">
        <f t="shared" ca="1" si="76"/>
        <v>0</v>
      </c>
      <c r="AR207" s="20">
        <f t="shared" ca="1" si="61"/>
        <v>0</v>
      </c>
      <c r="AS207" s="20"/>
      <c r="AT207" s="20">
        <f t="shared" ca="1" si="62"/>
        <v>0</v>
      </c>
      <c r="AU207" s="20">
        <f t="shared" ca="1" si="63"/>
        <v>0</v>
      </c>
      <c r="AV207" s="20">
        <f t="shared" ca="1" si="64"/>
        <v>0</v>
      </c>
      <c r="AW207" s="20">
        <f t="shared" si="65"/>
        <v>0</v>
      </c>
      <c r="AX207" s="20">
        <f t="shared" si="66"/>
        <v>0</v>
      </c>
      <c r="BA207" s="20"/>
      <c r="BD207" s="94" t="str">
        <f t="shared" si="71"/>
        <v>TKA0111Genesis</v>
      </c>
      <c r="BF207" s="15" t="s">
        <v>10</v>
      </c>
      <c r="BG207" t="s">
        <v>919</v>
      </c>
      <c r="BH207" s="190">
        <v>0.17849999999999999</v>
      </c>
      <c r="BI207" s="190">
        <v>0</v>
      </c>
      <c r="BJ207" s="257">
        <f t="shared" si="70"/>
        <v>6.3400053611310844E-3</v>
      </c>
      <c r="BK207" s="257">
        <f t="shared" si="68"/>
        <v>6.9502143175875306E-3</v>
      </c>
      <c r="BL207" s="257">
        <f t="shared" si="69"/>
        <v>7.3570202885584954E-3</v>
      </c>
      <c r="BM207" s="342" t="str">
        <f>VLOOKUP(LEFT(BG207,3),'Mapping B'!$D$2:$E$310,2,0)</f>
        <v>S</v>
      </c>
      <c r="BO207" s="20"/>
      <c r="BP207" s="190"/>
      <c r="BQ207" s="20"/>
      <c r="BR207" s="20"/>
    </row>
    <row r="208" spans="2:70" x14ac:dyDescent="0.25">
      <c r="B208" s="98" t="s">
        <v>563</v>
      </c>
      <c r="C208" s="98">
        <v>2014</v>
      </c>
      <c r="D208" s="98" t="s">
        <v>322</v>
      </c>
      <c r="E208" s="98" t="s">
        <v>4</v>
      </c>
      <c r="F208" s="98" t="s">
        <v>136</v>
      </c>
      <c r="G208" s="98">
        <v>0</v>
      </c>
      <c r="H208" s="299" t="str">
        <f>VLOOKUP(LEFT('Rev Adequacy'!D208,3),'Mapping B'!$D$2:$E$400,2,0)</f>
        <v>N</v>
      </c>
      <c r="I208" s="190"/>
      <c r="J208" s="15" t="s">
        <v>344</v>
      </c>
      <c r="K208" s="190" t="s">
        <v>32</v>
      </c>
      <c r="L208" s="190">
        <f t="shared" si="59"/>
        <v>11.243399999999999</v>
      </c>
      <c r="O208" s="15">
        <f>_xlfn.IFNA(IF(VLOOKUP($J208&amp;O$12,'Mapping A'!$A$6:$G$1011,7,0)=1,$L208,""),0)</f>
        <v>0</v>
      </c>
      <c r="P208" s="15">
        <f>_xlfn.IFNA(IF(VLOOKUP($J208&amp;P$12,'Mapping A'!$A$6:$G$1011,7,0)=1,$L208,""),0)</f>
        <v>11.243399999999999</v>
      </c>
      <c r="Q208" s="15">
        <f>_xlfn.IFNA(IF(VLOOKUP($J208&amp;Q$12,'Mapping A'!$A$6:$G$1011,7,0)=1,$L208,""),0)</f>
        <v>11.243399999999999</v>
      </c>
      <c r="R208" s="15">
        <f>_xlfn.IFNA(IF(VLOOKUP($J208&amp;R$12,'Mapping A'!$A$6:$G$1011,7,0)=1,$L208,""),0)</f>
        <v>0</v>
      </c>
      <c r="S208" s="15">
        <f>_xlfn.IFNA(IF(VLOOKUP($J208&amp;S$12,'Mapping A'!$A$6:$G$1011,7,0)=1,$L208,""),0)</f>
        <v>0</v>
      </c>
      <c r="T208" s="15">
        <f>_xlfn.IFNA(IF(VLOOKUP($J208&amp;T$14,'Mapping A'!$A$6:$G$1011,7,0)=1,$L208,""),0)</f>
        <v>0</v>
      </c>
      <c r="U208" s="15">
        <f>_xlfn.IFNA(IF(VLOOKUP($J208&amp;U$12,'Mapping A'!$A$6:$G$1011,7,0)=1,$L208,""),0)</f>
        <v>0</v>
      </c>
      <c r="V208" s="15">
        <f>_xlfn.IFNA(IF(VLOOKUP($J208&amp;V$12,'Mapping A'!$A$6:$G$1011,7,0)=1,$L208,""),0)</f>
        <v>0</v>
      </c>
      <c r="W208" s="15">
        <f>_xlfn.IFNA(IF(VLOOKUP($J208&amp;W$12,'Mapping A'!$A$6:$G$1011,7,0)=1,$L208,""),0)</f>
        <v>0</v>
      </c>
      <c r="X208" s="15">
        <f>_xlfn.IFNA(IF(VLOOKUP($J208&amp;X$12,'Mapping A'!$A$6:$G$1011,7,0)=1,$L208,""),0)</f>
        <v>0</v>
      </c>
      <c r="Y208" s="15">
        <f>_xlfn.IFNA(IF(VLOOKUP($J208&amp;Y$12,'Mapping A'!$A$6:$G$1011,7,0)=1,$L208,""),0)</f>
        <v>0</v>
      </c>
      <c r="Z208" s="15">
        <f>_xlfn.IFNA(IF(VLOOKUP($J208&amp;Z$12,'Mapping A'!$A$6:$G$1011,7,0)=1,$L208,""),0)</f>
        <v>0</v>
      </c>
      <c r="AA208" s="15">
        <f>_xlfn.IFNA(IF(VLOOKUP($J208&amp;AA$12,'Mapping A'!$A$6:$G$1011,7,0)=1,$L208,""),0)</f>
        <v>0</v>
      </c>
      <c r="AF208" s="155" t="str">
        <f t="shared" si="67"/>
        <v>TKU0331The Lines Company</v>
      </c>
      <c r="AG208" s="15" t="s">
        <v>344</v>
      </c>
      <c r="AH208" s="190" t="s">
        <v>32</v>
      </c>
      <c r="AI208" s="190">
        <f t="shared" si="60"/>
        <v>11.243399999999999</v>
      </c>
      <c r="AJ208" s="292" t="s">
        <v>95</v>
      </c>
      <c r="AK208" s="15"/>
      <c r="AL208" s="15">
        <f t="shared" ca="1" si="72"/>
        <v>0</v>
      </c>
      <c r="AM208" s="15">
        <f t="shared" ca="1" si="73"/>
        <v>0</v>
      </c>
      <c r="AN208" s="15">
        <f t="shared" ca="1" si="74"/>
        <v>0</v>
      </c>
      <c r="AO208" s="15">
        <f t="shared" ca="1" si="75"/>
        <v>0</v>
      </c>
      <c r="AP208" s="15"/>
      <c r="AQ208" s="15">
        <f t="shared" ca="1" si="76"/>
        <v>0</v>
      </c>
      <c r="AR208" s="20">
        <f t="shared" ca="1" si="61"/>
        <v>0</v>
      </c>
      <c r="AS208" s="20"/>
      <c r="AT208" s="20">
        <f t="shared" ca="1" si="62"/>
        <v>0</v>
      </c>
      <c r="AU208" s="20">
        <f t="shared" ca="1" si="63"/>
        <v>0</v>
      </c>
      <c r="AV208" s="20">
        <f t="shared" ca="1" si="64"/>
        <v>0</v>
      </c>
      <c r="AW208" s="20">
        <f t="shared" si="65"/>
        <v>0</v>
      </c>
      <c r="AX208" s="20">
        <f t="shared" si="66"/>
        <v>0</v>
      </c>
      <c r="BA208" s="20"/>
      <c r="BD208" s="94" t="str">
        <f t="shared" si="71"/>
        <v>TKA0331Alpine Energy</v>
      </c>
      <c r="BF208" s="15" t="s">
        <v>0</v>
      </c>
      <c r="BG208" t="s">
        <v>422</v>
      </c>
      <c r="BH208" s="190">
        <v>3.9375</v>
      </c>
      <c r="BI208" s="190">
        <v>3.9340000152587802</v>
      </c>
      <c r="BJ208" s="257">
        <f t="shared" si="70"/>
        <v>0.13985305943671508</v>
      </c>
      <c r="BK208" s="257">
        <f t="shared" si="68"/>
        <v>0.15331355112325437</v>
      </c>
      <c r="BL208" s="257">
        <f t="shared" si="69"/>
        <v>0.16228721224761386</v>
      </c>
      <c r="BM208" s="342" t="str">
        <f>VLOOKUP(LEFT(BG208,3),'Mapping B'!$D$2:$E$310,2,0)</f>
        <v>S</v>
      </c>
      <c r="BO208" s="20"/>
      <c r="BP208" s="190"/>
      <c r="BQ208" s="20"/>
      <c r="BR208" s="20"/>
    </row>
    <row r="209" spans="2:70" x14ac:dyDescent="0.25">
      <c r="B209" s="98" t="s">
        <v>563</v>
      </c>
      <c r="C209" s="98">
        <v>2014</v>
      </c>
      <c r="D209" s="98" t="s">
        <v>323</v>
      </c>
      <c r="E209" s="98" t="s">
        <v>4</v>
      </c>
      <c r="F209" s="98" t="s">
        <v>136</v>
      </c>
      <c r="G209" s="98">
        <v>0</v>
      </c>
      <c r="H209" s="299" t="str">
        <f>VLOOKUP(LEFT('Rev Adequacy'!D209,3),'Mapping B'!$D$2:$E$400,2,0)</f>
        <v>N</v>
      </c>
      <c r="I209" s="190"/>
      <c r="J209" s="15" t="s">
        <v>921</v>
      </c>
      <c r="K209" s="190" t="s">
        <v>10</v>
      </c>
      <c r="L209" s="190">
        <f t="shared" si="59"/>
        <v>6.4616999999999996</v>
      </c>
      <c r="O209" s="15">
        <f>_xlfn.IFNA(IF(VLOOKUP($J209&amp;O$12,'Mapping A'!$A$6:$G$1011,7,0)=1,$L209,""),0)</f>
        <v>0</v>
      </c>
      <c r="P209" s="15">
        <f>_xlfn.IFNA(IF(VLOOKUP($J209&amp;P$12,'Mapping A'!$A$6:$G$1011,7,0)=1,$L209,""),0)</f>
        <v>0</v>
      </c>
      <c r="Q209" s="15">
        <f>_xlfn.IFNA(IF(VLOOKUP($J209&amp;Q$12,'Mapping A'!$A$6:$G$1011,7,0)=1,$L209,""),0)</f>
        <v>0</v>
      </c>
      <c r="R209" s="15">
        <f>_xlfn.IFNA(IF(VLOOKUP($J209&amp;R$12,'Mapping A'!$A$6:$G$1011,7,0)=1,$L209,""),0)</f>
        <v>0</v>
      </c>
      <c r="S209" s="15">
        <f>_xlfn.IFNA(IF(VLOOKUP($J209&amp;S$12,'Mapping A'!$A$6:$G$1011,7,0)=1,$L209,""),0)</f>
        <v>0</v>
      </c>
      <c r="T209" s="15">
        <f>_xlfn.IFNA(IF(VLOOKUP($J209&amp;T$14,'Mapping A'!$A$6:$G$1011,7,0)=1,$L209,""),0)</f>
        <v>0</v>
      </c>
      <c r="U209" s="15">
        <f>_xlfn.IFNA(IF(VLOOKUP($J209&amp;U$12,'Mapping A'!$A$6:$G$1011,7,0)=1,$L209,""),0)</f>
        <v>0</v>
      </c>
      <c r="V209" s="15">
        <f>_xlfn.IFNA(IF(VLOOKUP($J209&amp;V$12,'Mapping A'!$A$6:$G$1011,7,0)=1,$L209,""),0)</f>
        <v>0</v>
      </c>
      <c r="W209" s="15">
        <f>_xlfn.IFNA(IF(VLOOKUP($J209&amp;W$12,'Mapping A'!$A$6:$G$1011,7,0)=1,$L209,""),0)</f>
        <v>0</v>
      </c>
      <c r="X209" s="15">
        <f>_xlfn.IFNA(IF(VLOOKUP($J209&amp;X$12,'Mapping A'!$A$6:$G$1011,7,0)=1,$L209,""),0)</f>
        <v>0</v>
      </c>
      <c r="Y209" s="15">
        <f>_xlfn.IFNA(IF(VLOOKUP($J209&amp;Y$12,'Mapping A'!$A$6:$G$1011,7,0)=1,$L209,""),0)</f>
        <v>0</v>
      </c>
      <c r="Z209" s="15">
        <f>_xlfn.IFNA(IF(VLOOKUP($J209&amp;Z$12,'Mapping A'!$A$6:$G$1011,7,0)=1,$L209,""),0)</f>
        <v>0</v>
      </c>
      <c r="AA209" s="15">
        <f>_xlfn.IFNA(IF(VLOOKUP($J209&amp;AA$12,'Mapping A'!$A$6:$G$1011,7,0)=1,$L209,""),0)</f>
        <v>0</v>
      </c>
      <c r="AF209" s="155" t="str">
        <f t="shared" si="67"/>
        <v>TKU2201Genesis</v>
      </c>
      <c r="AG209" s="15" t="s">
        <v>921</v>
      </c>
      <c r="AH209" s="190" t="s">
        <v>10</v>
      </c>
      <c r="AI209" s="190">
        <f t="shared" si="60"/>
        <v>6.4616999999999996</v>
      </c>
      <c r="AJ209" s="292" t="s">
        <v>95</v>
      </c>
      <c r="AK209" s="15"/>
      <c r="AL209" s="15">
        <f t="shared" ca="1" si="72"/>
        <v>0</v>
      </c>
      <c r="AM209" s="15">
        <f t="shared" ca="1" si="73"/>
        <v>0</v>
      </c>
      <c r="AN209" s="15">
        <f t="shared" ca="1" si="74"/>
        <v>0</v>
      </c>
      <c r="AO209" s="15">
        <f t="shared" ca="1" si="75"/>
        <v>0</v>
      </c>
      <c r="AP209" s="15"/>
      <c r="AQ209" s="15">
        <f t="shared" ca="1" si="76"/>
        <v>0</v>
      </c>
      <c r="AR209" s="20">
        <f t="shared" ca="1" si="61"/>
        <v>0</v>
      </c>
      <c r="AS209" s="20"/>
      <c r="AT209" s="20">
        <f t="shared" ca="1" si="62"/>
        <v>0</v>
      </c>
      <c r="AU209" s="20">
        <f t="shared" ca="1" si="63"/>
        <v>0</v>
      </c>
      <c r="AV209" s="20">
        <f t="shared" ca="1" si="64"/>
        <v>0</v>
      </c>
      <c r="AW209" s="20">
        <f t="shared" si="65"/>
        <v>0</v>
      </c>
      <c r="AX209" s="20">
        <f t="shared" si="66"/>
        <v>0</v>
      </c>
      <c r="BA209" s="20"/>
      <c r="BD209" s="94" t="str">
        <f t="shared" si="71"/>
        <v>TKB2201Genesis</v>
      </c>
      <c r="BF209" s="15" t="s">
        <v>10</v>
      </c>
      <c r="BG209" t="s">
        <v>920</v>
      </c>
      <c r="BH209" s="190">
        <v>1.0500000000000001E-2</v>
      </c>
      <c r="BI209" s="190">
        <v>0</v>
      </c>
      <c r="BJ209" s="257">
        <f t="shared" si="70"/>
        <v>3.7294149183124029E-4</v>
      </c>
      <c r="BK209" s="257">
        <f t="shared" si="68"/>
        <v>4.0883613632867837E-4</v>
      </c>
      <c r="BL209" s="257">
        <f t="shared" si="69"/>
        <v>4.3276589932697036E-4</v>
      </c>
      <c r="BM209" s="342" t="str">
        <f>VLOOKUP(LEFT(BG209,3),'Mapping B'!$D$2:$E$310,2,0)</f>
        <v>S</v>
      </c>
      <c r="BO209" s="20"/>
      <c r="BP209" s="190"/>
      <c r="BQ209" s="20"/>
      <c r="BR209" s="20"/>
    </row>
    <row r="210" spans="2:70" x14ac:dyDescent="0.25">
      <c r="B210" s="98" t="s">
        <v>563</v>
      </c>
      <c r="C210" s="98">
        <v>2014</v>
      </c>
      <c r="D210" s="98" t="s">
        <v>324</v>
      </c>
      <c r="E210" s="98" t="s">
        <v>4</v>
      </c>
      <c r="F210" s="98" t="s">
        <v>136</v>
      </c>
      <c r="G210" s="98">
        <v>0</v>
      </c>
      <c r="H210" s="299" t="str">
        <f>VLOOKUP(LEFT('Rev Adequacy'!D210,3),'Mapping B'!$D$2:$E$400,2,0)</f>
        <v>N</v>
      </c>
      <c r="I210" s="190"/>
      <c r="J210" s="15" t="s">
        <v>346</v>
      </c>
      <c r="K210" s="190" t="s">
        <v>28</v>
      </c>
      <c r="L210" s="190">
        <f t="shared" si="59"/>
        <v>29.761200000000002</v>
      </c>
      <c r="O210" s="15">
        <f>_xlfn.IFNA(IF(VLOOKUP($J210&amp;O$12,'Mapping A'!$A$6:$G$1011,7,0)=1,$L210,""),0)</f>
        <v>0</v>
      </c>
      <c r="P210" s="15">
        <f>_xlfn.IFNA(IF(VLOOKUP($J210&amp;P$12,'Mapping A'!$A$6:$G$1011,7,0)=1,$L210,""),0)</f>
        <v>29.761200000000002</v>
      </c>
      <c r="Q210" s="15">
        <f>_xlfn.IFNA(IF(VLOOKUP($J210&amp;Q$12,'Mapping A'!$A$6:$G$1011,7,0)=1,$L210,""),0)</f>
        <v>29.761200000000002</v>
      </c>
      <c r="R210" s="15">
        <f>_xlfn.IFNA(IF(VLOOKUP($J210&amp;R$12,'Mapping A'!$A$6:$G$1011,7,0)=1,$L210,""),0)</f>
        <v>0</v>
      </c>
      <c r="S210" s="15">
        <f>_xlfn.IFNA(IF(VLOOKUP($J210&amp;S$12,'Mapping A'!$A$6:$G$1011,7,0)=1,$L210,""),0)</f>
        <v>0</v>
      </c>
      <c r="T210" s="15">
        <f>_xlfn.IFNA(IF(VLOOKUP($J210&amp;T$14,'Mapping A'!$A$6:$G$1011,7,0)=1,$L210,""),0)</f>
        <v>29.761200000000002</v>
      </c>
      <c r="U210" s="15">
        <f>_xlfn.IFNA(IF(VLOOKUP($J210&amp;U$12,'Mapping A'!$A$6:$G$1011,7,0)=1,$L210,""),0)</f>
        <v>0</v>
      </c>
      <c r="V210" s="15">
        <f>_xlfn.IFNA(IF(VLOOKUP($J210&amp;V$12,'Mapping A'!$A$6:$G$1011,7,0)=1,$L210,""),0)</f>
        <v>0</v>
      </c>
      <c r="W210" s="15">
        <f>_xlfn.IFNA(IF(VLOOKUP($J210&amp;W$12,'Mapping A'!$A$6:$G$1011,7,0)=1,$L210,""),0)</f>
        <v>0</v>
      </c>
      <c r="X210" s="15">
        <f>_xlfn.IFNA(IF(VLOOKUP($J210&amp;X$12,'Mapping A'!$A$6:$G$1011,7,0)=1,$L210,""),0)</f>
        <v>0</v>
      </c>
      <c r="Y210" s="15">
        <f>_xlfn.IFNA(IF(VLOOKUP($J210&amp;Y$12,'Mapping A'!$A$6:$G$1011,7,0)=1,$L210,""),0)</f>
        <v>0</v>
      </c>
      <c r="Z210" s="15">
        <f>_xlfn.IFNA(IF(VLOOKUP($J210&amp;Z$12,'Mapping A'!$A$6:$G$1011,7,0)=1,$L210,""),0)</f>
        <v>0</v>
      </c>
      <c r="AA210" s="15">
        <f>_xlfn.IFNA(IF(VLOOKUP($J210&amp;AA$12,'Mapping A'!$A$6:$G$1011,7,0)=1,$L210,""),0)</f>
        <v>0</v>
      </c>
      <c r="AF210" s="155" t="str">
        <f t="shared" si="67"/>
        <v>TMI0331Powerco</v>
      </c>
      <c r="AG210" s="15" t="s">
        <v>346</v>
      </c>
      <c r="AH210" s="190" t="s">
        <v>28</v>
      </c>
      <c r="AI210" s="190">
        <f t="shared" si="60"/>
        <v>29.761200000000002</v>
      </c>
      <c r="AJ210" s="292" t="s">
        <v>95</v>
      </c>
      <c r="AK210" s="15"/>
      <c r="AL210" s="15">
        <f t="shared" ca="1" si="72"/>
        <v>0</v>
      </c>
      <c r="AM210" s="15">
        <f t="shared" ca="1" si="73"/>
        <v>0</v>
      </c>
      <c r="AN210" s="15">
        <f t="shared" ca="1" si="74"/>
        <v>0</v>
      </c>
      <c r="AO210" s="15">
        <f t="shared" ca="1" si="75"/>
        <v>0</v>
      </c>
      <c r="AP210" s="15"/>
      <c r="AQ210" s="15">
        <f t="shared" ca="1" si="76"/>
        <v>0</v>
      </c>
      <c r="AR210" s="20">
        <f t="shared" ca="1" si="61"/>
        <v>0</v>
      </c>
      <c r="AS210" s="20"/>
      <c r="AT210" s="20">
        <f t="shared" ca="1" si="62"/>
        <v>0</v>
      </c>
      <c r="AU210" s="20">
        <f t="shared" ca="1" si="63"/>
        <v>0</v>
      </c>
      <c r="AV210" s="20">
        <f t="shared" ca="1" si="64"/>
        <v>0</v>
      </c>
      <c r="AW210" s="20">
        <f t="shared" si="65"/>
        <v>0</v>
      </c>
      <c r="AX210" s="20">
        <f t="shared" si="66"/>
        <v>0</v>
      </c>
      <c r="BA210" s="20"/>
      <c r="BD210" s="94" t="str">
        <f t="shared" si="71"/>
        <v>TKH0111Horizon</v>
      </c>
      <c r="BF210" s="15" t="s">
        <v>11</v>
      </c>
      <c r="BG210" t="s">
        <v>342</v>
      </c>
      <c r="BH210" s="190">
        <v>1.722</v>
      </c>
      <c r="BI210" s="190">
        <v>1.7200000286102199</v>
      </c>
      <c r="BJ210" s="257">
        <f t="shared" si="70"/>
        <v>6.1162404660323404E-2</v>
      </c>
      <c r="BK210" s="257">
        <f t="shared" si="68"/>
        <v>6.7049126357903235E-2</v>
      </c>
      <c r="BL210" s="257">
        <f t="shared" si="69"/>
        <v>7.0973607489623142E-2</v>
      </c>
      <c r="BM210" s="342" t="str">
        <f>VLOOKUP(LEFT(BG210,3),'Mapping B'!$D$2:$E$310,2,0)</f>
        <v>N</v>
      </c>
      <c r="BO210" s="20"/>
      <c r="BP210" s="190"/>
      <c r="BQ210" s="20"/>
      <c r="BR210" s="20"/>
    </row>
    <row r="211" spans="2:70" x14ac:dyDescent="0.25">
      <c r="B211" s="98" t="s">
        <v>563</v>
      </c>
      <c r="C211" s="98">
        <v>2014</v>
      </c>
      <c r="D211" s="98" t="s">
        <v>336</v>
      </c>
      <c r="E211" s="98" t="s">
        <v>4</v>
      </c>
      <c r="F211" s="98" t="s">
        <v>131</v>
      </c>
      <c r="G211" s="98">
        <v>6097.4840000000004</v>
      </c>
      <c r="H211" s="299" t="str">
        <f>VLOOKUP(LEFT('Rev Adequacy'!D211,3),'Mapping B'!$D$2:$E$400,2,0)</f>
        <v>N</v>
      </c>
      <c r="I211" s="190"/>
      <c r="J211" s="15" t="s">
        <v>347</v>
      </c>
      <c r="K211" s="190" t="s">
        <v>0</v>
      </c>
      <c r="L211" s="190">
        <f t="shared" si="59"/>
        <v>56.823900000000002</v>
      </c>
      <c r="O211" s="15">
        <f>_xlfn.IFNA(IF(VLOOKUP($J211&amp;O$12,'Mapping A'!$A$6:$G$1011,7,0)=1,$L211,""),0)</f>
        <v>0</v>
      </c>
      <c r="P211" s="15">
        <f>_xlfn.IFNA(IF(VLOOKUP($J211&amp;P$12,'Mapping A'!$A$6:$G$1011,7,0)=1,$L211,""),0)</f>
        <v>56.823900000000002</v>
      </c>
      <c r="Q211" s="15">
        <f>_xlfn.IFNA(IF(VLOOKUP($J211&amp;Q$12,'Mapping A'!$A$6:$G$1011,7,0)=1,$L211,""),0)</f>
        <v>0</v>
      </c>
      <c r="R211" s="15">
        <f>_xlfn.IFNA(IF(VLOOKUP($J211&amp;R$12,'Mapping A'!$A$6:$G$1011,7,0)=1,$L211,""),0)</f>
        <v>0</v>
      </c>
      <c r="S211" s="15">
        <f>_xlfn.IFNA(IF(VLOOKUP($J211&amp;S$12,'Mapping A'!$A$6:$G$1011,7,0)=1,$L211,""),0)</f>
        <v>0</v>
      </c>
      <c r="T211" s="15">
        <f>_xlfn.IFNA(IF(VLOOKUP($J211&amp;T$14,'Mapping A'!$A$6:$G$1011,7,0)=1,$L211,""),0)</f>
        <v>0</v>
      </c>
      <c r="U211" s="15">
        <f>_xlfn.IFNA(IF(VLOOKUP($J211&amp;U$12,'Mapping A'!$A$6:$G$1011,7,0)=1,$L211,""),0)</f>
        <v>0</v>
      </c>
      <c r="V211" s="15">
        <f>_xlfn.IFNA(IF(VLOOKUP($J211&amp;V$12,'Mapping A'!$A$6:$G$1011,7,0)=1,$L211,""),0)</f>
        <v>0</v>
      </c>
      <c r="W211" s="15">
        <f>_xlfn.IFNA(IF(VLOOKUP($J211&amp;W$12,'Mapping A'!$A$6:$G$1011,7,0)=1,$L211,""),0)</f>
        <v>0</v>
      </c>
      <c r="X211" s="15">
        <f>_xlfn.IFNA(IF(VLOOKUP($J211&amp;X$12,'Mapping A'!$A$6:$G$1011,7,0)=1,$L211,""),0)</f>
        <v>0</v>
      </c>
      <c r="Y211" s="15">
        <f>_xlfn.IFNA(IF(VLOOKUP($J211&amp;Y$12,'Mapping A'!$A$6:$G$1011,7,0)=1,$L211,""),0)</f>
        <v>0</v>
      </c>
      <c r="Z211" s="15">
        <f>_xlfn.IFNA(IF(VLOOKUP($J211&amp;Z$12,'Mapping A'!$A$6:$G$1011,7,0)=1,$L211,""),0)</f>
        <v>0</v>
      </c>
      <c r="AA211" s="15">
        <f>_xlfn.IFNA(IF(VLOOKUP($J211&amp;AA$12,'Mapping A'!$A$6:$G$1011,7,0)=1,$L211,""),0)</f>
        <v>0</v>
      </c>
      <c r="AF211" s="155" t="str">
        <f t="shared" si="67"/>
        <v>TMK0331Alpine Energy</v>
      </c>
      <c r="AG211" s="15" t="s">
        <v>347</v>
      </c>
      <c r="AH211" s="190" t="s">
        <v>0</v>
      </c>
      <c r="AI211" s="190">
        <f t="shared" si="60"/>
        <v>56.823900000000002</v>
      </c>
      <c r="AJ211" s="292" t="s">
        <v>96</v>
      </c>
      <c r="AK211" s="15"/>
      <c r="AL211" s="15">
        <f t="shared" ca="1" si="72"/>
        <v>0</v>
      </c>
      <c r="AM211" s="15">
        <f t="shared" ca="1" si="73"/>
        <v>0</v>
      </c>
      <c r="AN211" s="15">
        <f t="shared" ca="1" si="74"/>
        <v>0</v>
      </c>
      <c r="AO211" s="15">
        <f t="shared" ca="1" si="75"/>
        <v>0</v>
      </c>
      <c r="AP211" s="15"/>
      <c r="AQ211" s="15">
        <f t="shared" ca="1" si="76"/>
        <v>0</v>
      </c>
      <c r="AR211" s="20">
        <f t="shared" ca="1" si="61"/>
        <v>0</v>
      </c>
      <c r="AS211" s="20"/>
      <c r="AT211" s="20">
        <f t="shared" ca="1" si="62"/>
        <v>0</v>
      </c>
      <c r="AU211" s="20">
        <f t="shared" ca="1" si="63"/>
        <v>0</v>
      </c>
      <c r="AV211" s="20">
        <f t="shared" ca="1" si="64"/>
        <v>0</v>
      </c>
      <c r="AW211" s="20">
        <f t="shared" si="65"/>
        <v>0</v>
      </c>
      <c r="AX211" s="20">
        <f t="shared" si="66"/>
        <v>0</v>
      </c>
      <c r="BA211" s="20"/>
      <c r="BD211" s="94" t="str">
        <f t="shared" si="71"/>
        <v>TKR0331Wellington Electricity</v>
      </c>
      <c r="BF211" s="15" t="s">
        <v>40</v>
      </c>
      <c r="BG211" t="s">
        <v>343</v>
      </c>
      <c r="BH211" s="190">
        <v>95.283299999999997</v>
      </c>
      <c r="BI211" s="190">
        <v>95.254997253417898</v>
      </c>
      <c r="BJ211" s="257">
        <f t="shared" si="70"/>
        <v>3.3842948617717727</v>
      </c>
      <c r="BK211" s="257">
        <f t="shared" si="68"/>
        <v>3.7100244027282243</v>
      </c>
      <c r="BL211" s="257">
        <f t="shared" si="69"/>
        <v>3.9271774300325246</v>
      </c>
      <c r="BM211" s="342" t="str">
        <f>VLOOKUP(LEFT(BG211,3),'Mapping B'!$D$2:$E$310,2,0)</f>
        <v>N</v>
      </c>
      <c r="BO211" s="20"/>
      <c r="BP211" s="190"/>
      <c r="BQ211" s="20"/>
      <c r="BR211" s="20"/>
    </row>
    <row r="212" spans="2:70" x14ac:dyDescent="0.25">
      <c r="B212" s="98" t="s">
        <v>563</v>
      </c>
      <c r="C212" s="98">
        <v>2014</v>
      </c>
      <c r="D212" s="98" t="s">
        <v>337</v>
      </c>
      <c r="E212" s="98" t="s">
        <v>4</v>
      </c>
      <c r="F212" s="98" t="s">
        <v>136</v>
      </c>
      <c r="G212" s="98">
        <v>0</v>
      </c>
      <c r="H212" s="299" t="str">
        <f>VLOOKUP(LEFT('Rev Adequacy'!D212,3),'Mapping B'!$D$2:$E$400,2,0)</f>
        <v>N</v>
      </c>
      <c r="I212" s="190"/>
      <c r="J212" s="15" t="s">
        <v>348</v>
      </c>
      <c r="K212" s="190" t="s">
        <v>51</v>
      </c>
      <c r="L212" s="190">
        <f t="shared" si="59"/>
        <v>10.905299999999999</v>
      </c>
      <c r="O212" s="15">
        <f>_xlfn.IFNA(IF(VLOOKUP($J212&amp;O$12,'Mapping A'!$A$6:$G$1011,7,0)=1,$L212,""),0)</f>
        <v>0</v>
      </c>
      <c r="P212" s="15">
        <f>_xlfn.IFNA(IF(VLOOKUP($J212&amp;P$12,'Mapping A'!$A$6:$G$1011,7,0)=1,$L212,""),0)</f>
        <v>10.905299999999999</v>
      </c>
      <c r="Q212" s="15">
        <f>_xlfn.IFNA(IF(VLOOKUP($J212&amp;Q$12,'Mapping A'!$A$6:$G$1011,7,0)=1,$L212,""),0)</f>
        <v>10.905299999999999</v>
      </c>
      <c r="R212" s="15">
        <f>_xlfn.IFNA(IF(VLOOKUP($J212&amp;R$12,'Mapping A'!$A$6:$G$1011,7,0)=1,$L212,""),0)</f>
        <v>0</v>
      </c>
      <c r="S212" s="15">
        <f>_xlfn.IFNA(IF(VLOOKUP($J212&amp;S$12,'Mapping A'!$A$6:$G$1011,7,0)=1,$L212,""),0)</f>
        <v>0</v>
      </c>
      <c r="T212" s="15">
        <f>_xlfn.IFNA(IF(VLOOKUP($J212&amp;T$14,'Mapping A'!$A$6:$G$1011,7,0)=1,$L212,""),0)</f>
        <v>0</v>
      </c>
      <c r="U212" s="15">
        <f>_xlfn.IFNA(IF(VLOOKUP($J212&amp;U$12,'Mapping A'!$A$6:$G$1011,7,0)=1,$L212,""),0)</f>
        <v>0</v>
      </c>
      <c r="V212" s="15">
        <f>_xlfn.IFNA(IF(VLOOKUP($J212&amp;V$12,'Mapping A'!$A$6:$G$1011,7,0)=1,$L212,""),0)</f>
        <v>0</v>
      </c>
      <c r="W212" s="15">
        <f>_xlfn.IFNA(IF(VLOOKUP($J212&amp;W$12,'Mapping A'!$A$6:$G$1011,7,0)=1,$L212,""),0)</f>
        <v>0</v>
      </c>
      <c r="X212" s="15">
        <f>_xlfn.IFNA(IF(VLOOKUP($J212&amp;X$12,'Mapping A'!$A$6:$G$1011,7,0)=1,$L212,""),0)</f>
        <v>0</v>
      </c>
      <c r="Y212" s="15">
        <f>_xlfn.IFNA(IF(VLOOKUP($J212&amp;Y$12,'Mapping A'!$A$6:$G$1011,7,0)=1,$L212,""),0)</f>
        <v>0</v>
      </c>
      <c r="Z212" s="15">
        <f>_xlfn.IFNA(IF(VLOOKUP($J212&amp;Z$12,'Mapping A'!$A$6:$G$1011,7,0)=1,$L212,""),0)</f>
        <v>0</v>
      </c>
      <c r="AA212" s="15">
        <f>_xlfn.IFNA(IF(VLOOKUP($J212&amp;AA$12,'Mapping A'!$A$6:$G$1011,7,0)=1,$L212,""),0)</f>
        <v>0</v>
      </c>
      <c r="AF212" s="155" t="str">
        <f t="shared" si="67"/>
        <v>TMN0551Kiwirail</v>
      </c>
      <c r="AG212" s="15" t="s">
        <v>348</v>
      </c>
      <c r="AH212" s="190" t="s">
        <v>51</v>
      </c>
      <c r="AI212" s="190">
        <f t="shared" si="60"/>
        <v>10.905299999999999</v>
      </c>
      <c r="AJ212" s="292" t="s">
        <v>95</v>
      </c>
      <c r="AK212" s="15"/>
      <c r="AL212" s="15">
        <f t="shared" ca="1" si="72"/>
        <v>0</v>
      </c>
      <c r="AM212" s="15">
        <f t="shared" ca="1" si="73"/>
        <v>0</v>
      </c>
      <c r="AN212" s="15">
        <f t="shared" ca="1" si="74"/>
        <v>0</v>
      </c>
      <c r="AO212" s="15">
        <f t="shared" ca="1" si="75"/>
        <v>0</v>
      </c>
      <c r="AP212" s="15"/>
      <c r="AQ212" s="15">
        <f t="shared" ca="1" si="76"/>
        <v>0</v>
      </c>
      <c r="AR212" s="20">
        <f t="shared" ca="1" si="61"/>
        <v>0</v>
      </c>
      <c r="AS212" s="20"/>
      <c r="AT212" s="20">
        <f t="shared" ca="1" si="62"/>
        <v>0</v>
      </c>
      <c r="AU212" s="20">
        <f t="shared" ca="1" si="63"/>
        <v>0</v>
      </c>
      <c r="AV212" s="20">
        <f t="shared" ca="1" si="64"/>
        <v>0</v>
      </c>
      <c r="AW212" s="20">
        <f t="shared" si="65"/>
        <v>0</v>
      </c>
      <c r="AX212" s="20">
        <f t="shared" si="66"/>
        <v>0</v>
      </c>
      <c r="BA212" s="20"/>
      <c r="BD212" s="94" t="str">
        <f t="shared" si="71"/>
        <v>TKU0331Genesis</v>
      </c>
      <c r="BF212" s="15" t="s">
        <v>10</v>
      </c>
      <c r="BG212" t="s">
        <v>344</v>
      </c>
      <c r="BH212" s="190">
        <v>0.51870000000000005</v>
      </c>
      <c r="BI212" s="190">
        <v>0.51866630688766702</v>
      </c>
      <c r="BJ212" s="257">
        <f t="shared" si="70"/>
        <v>1.8423309696463271E-2</v>
      </c>
      <c r="BK212" s="257">
        <f t="shared" si="68"/>
        <v>2.0196505134636712E-2</v>
      </c>
      <c r="BL212" s="257">
        <f t="shared" si="69"/>
        <v>2.1378635426752338E-2</v>
      </c>
      <c r="BM212" s="342" t="str">
        <f>VLOOKUP(LEFT(BG212,3),'Mapping B'!$D$2:$E$310,2,0)</f>
        <v>N</v>
      </c>
      <c r="BO212" s="20"/>
      <c r="BP212" s="190"/>
      <c r="BQ212" s="20"/>
      <c r="BR212" s="20"/>
    </row>
    <row r="213" spans="2:70" x14ac:dyDescent="0.25">
      <c r="B213" s="98" t="s">
        <v>563</v>
      </c>
      <c r="C213" s="98">
        <v>2014</v>
      </c>
      <c r="D213" s="98" t="s">
        <v>338</v>
      </c>
      <c r="E213" s="98" t="s">
        <v>4</v>
      </c>
      <c r="F213" s="98" t="s">
        <v>136</v>
      </c>
      <c r="G213" s="98">
        <v>0</v>
      </c>
      <c r="H213" s="299" t="str">
        <f>VLOOKUP(LEFT('Rev Adequacy'!D213,3),'Mapping B'!$D$2:$E$400,2,0)</f>
        <v>N</v>
      </c>
      <c r="I213" s="190"/>
      <c r="J213" s="15" t="s">
        <v>349</v>
      </c>
      <c r="K213" s="190" t="s">
        <v>38</v>
      </c>
      <c r="L213" s="190">
        <f t="shared" si="59"/>
        <v>36.290099999999995</v>
      </c>
      <c r="O213" s="15">
        <f>_xlfn.IFNA(IF(VLOOKUP($J213&amp;O$12,'Mapping A'!$A$6:$G$1011,7,0)=1,$L213,""),0)</f>
        <v>0</v>
      </c>
      <c r="P213" s="15">
        <f>_xlfn.IFNA(IF(VLOOKUP($J213&amp;P$12,'Mapping A'!$A$6:$G$1011,7,0)=1,$L213,""),0)</f>
        <v>36.290099999999995</v>
      </c>
      <c r="Q213" s="15">
        <f>_xlfn.IFNA(IF(VLOOKUP($J213&amp;Q$12,'Mapping A'!$A$6:$G$1011,7,0)=1,$L213,""),0)</f>
        <v>36.290099999999995</v>
      </c>
      <c r="R213" s="15">
        <f>_xlfn.IFNA(IF(VLOOKUP($J213&amp;R$12,'Mapping A'!$A$6:$G$1011,7,0)=1,$L213,""),0)</f>
        <v>0</v>
      </c>
      <c r="S213" s="15">
        <f>_xlfn.IFNA(IF(VLOOKUP($J213&amp;S$12,'Mapping A'!$A$6:$G$1011,7,0)=1,$L213,""),0)</f>
        <v>0</v>
      </c>
      <c r="T213" s="15">
        <f>_xlfn.IFNA(IF(VLOOKUP($J213&amp;T$14,'Mapping A'!$A$6:$G$1011,7,0)=1,$L213,""),0)</f>
        <v>36.290099999999995</v>
      </c>
      <c r="U213" s="15">
        <f>_xlfn.IFNA(IF(VLOOKUP($J213&amp;U$12,'Mapping A'!$A$6:$G$1011,7,0)=1,$L213,""),0)</f>
        <v>0</v>
      </c>
      <c r="V213" s="15">
        <f>_xlfn.IFNA(IF(VLOOKUP($J213&amp;V$12,'Mapping A'!$A$6:$G$1011,7,0)=1,$L213,""),0)</f>
        <v>0</v>
      </c>
      <c r="W213" s="15">
        <f>_xlfn.IFNA(IF(VLOOKUP($J213&amp;W$12,'Mapping A'!$A$6:$G$1011,7,0)=1,$L213,""),0)</f>
        <v>0</v>
      </c>
      <c r="X213" s="15">
        <f>_xlfn.IFNA(IF(VLOOKUP($J213&amp;X$12,'Mapping A'!$A$6:$G$1011,7,0)=1,$L213,""),0)</f>
        <v>0</v>
      </c>
      <c r="Y213" s="15">
        <f>_xlfn.IFNA(IF(VLOOKUP($J213&amp;Y$12,'Mapping A'!$A$6:$G$1011,7,0)=1,$L213,""),0)</f>
        <v>0</v>
      </c>
      <c r="Z213" s="15">
        <f>_xlfn.IFNA(IF(VLOOKUP($J213&amp;Z$12,'Mapping A'!$A$6:$G$1011,7,0)=1,$L213,""),0)</f>
        <v>0</v>
      </c>
      <c r="AA213" s="15">
        <f>_xlfn.IFNA(IF(VLOOKUP($J213&amp;AA$12,'Mapping A'!$A$6:$G$1011,7,0)=1,$L213,""),0)</f>
        <v>0</v>
      </c>
      <c r="AF213" s="155" t="str">
        <f t="shared" si="67"/>
        <v>TMU0111Waipa Power</v>
      </c>
      <c r="AG213" s="15" t="s">
        <v>349</v>
      </c>
      <c r="AH213" s="190" t="s">
        <v>38</v>
      </c>
      <c r="AI213" s="190">
        <f t="shared" si="60"/>
        <v>36.290099999999995</v>
      </c>
      <c r="AJ213" s="292" t="s">
        <v>95</v>
      </c>
      <c r="AK213" s="15"/>
      <c r="AL213" s="15">
        <f t="shared" ca="1" si="72"/>
        <v>0</v>
      </c>
      <c r="AM213" s="15">
        <f t="shared" ca="1" si="73"/>
        <v>0</v>
      </c>
      <c r="AN213" s="15">
        <f t="shared" ca="1" si="74"/>
        <v>0</v>
      </c>
      <c r="AO213" s="15">
        <f t="shared" ca="1" si="75"/>
        <v>0</v>
      </c>
      <c r="AP213" s="15"/>
      <c r="AQ213" s="15">
        <f t="shared" ca="1" si="76"/>
        <v>0</v>
      </c>
      <c r="AR213" s="20">
        <f t="shared" ca="1" si="61"/>
        <v>0</v>
      </c>
      <c r="AS213" s="20"/>
      <c r="AT213" s="20">
        <f t="shared" ca="1" si="62"/>
        <v>0</v>
      </c>
      <c r="AU213" s="20">
        <f t="shared" ca="1" si="63"/>
        <v>0</v>
      </c>
      <c r="AV213" s="20">
        <f t="shared" ca="1" si="64"/>
        <v>0</v>
      </c>
      <c r="AW213" s="20">
        <f t="shared" si="65"/>
        <v>0</v>
      </c>
      <c r="AX213" s="20">
        <f t="shared" si="66"/>
        <v>0</v>
      </c>
      <c r="BA213" s="20"/>
      <c r="BD213" s="94" t="str">
        <f t="shared" si="71"/>
        <v>TKU0331The Lines Company</v>
      </c>
      <c r="BF213" s="15" t="s">
        <v>32</v>
      </c>
      <c r="BG213" t="s">
        <v>344</v>
      </c>
      <c r="BH213" s="190">
        <v>11.243399999999999</v>
      </c>
      <c r="BI213" s="190">
        <v>11.2430000305175</v>
      </c>
      <c r="BJ213" s="257">
        <f t="shared" si="70"/>
        <v>0.39934574945289208</v>
      </c>
      <c r="BK213" s="257">
        <f t="shared" si="68"/>
        <v>0.43778173478074872</v>
      </c>
      <c r="BL213" s="257">
        <f t="shared" si="69"/>
        <v>0.46340572499931981</v>
      </c>
      <c r="BM213" s="342" t="str">
        <f>VLOOKUP(LEFT(BG213,3),'Mapping B'!$D$2:$E$310,2,0)</f>
        <v>N</v>
      </c>
      <c r="BO213" s="20"/>
      <c r="BP213" s="190"/>
      <c r="BQ213" s="20"/>
      <c r="BR213" s="20"/>
    </row>
    <row r="214" spans="2:70" x14ac:dyDescent="0.25">
      <c r="B214" s="98" t="s">
        <v>563</v>
      </c>
      <c r="C214" s="98">
        <v>2014</v>
      </c>
      <c r="D214" s="98" t="s">
        <v>359</v>
      </c>
      <c r="E214" s="98" t="s">
        <v>4</v>
      </c>
      <c r="F214" s="98" t="s">
        <v>136</v>
      </c>
      <c r="G214" s="98">
        <v>0</v>
      </c>
      <c r="H214" s="299" t="str">
        <f>VLOOKUP(LEFT('Rev Adequacy'!D214,3),'Mapping B'!$D$2:$E$400,2,0)</f>
        <v>N</v>
      </c>
      <c r="I214" s="190"/>
      <c r="J214" s="15" t="s">
        <v>350</v>
      </c>
      <c r="K214" s="190" t="s">
        <v>32</v>
      </c>
      <c r="L214" s="190">
        <f t="shared" si="59"/>
        <v>1.0310999999999999</v>
      </c>
      <c r="O214" s="15">
        <f>_xlfn.IFNA(IF(VLOOKUP($J214&amp;O$12,'Mapping A'!$A$6:$G$1011,7,0)=1,$L214,""),0)</f>
        <v>0</v>
      </c>
      <c r="P214" s="15">
        <f>_xlfn.IFNA(IF(VLOOKUP($J214&amp;P$12,'Mapping A'!$A$6:$G$1011,7,0)=1,$L214,""),0)</f>
        <v>1.0310999999999999</v>
      </c>
      <c r="Q214" s="15">
        <f>_xlfn.IFNA(IF(VLOOKUP($J214&amp;Q$12,'Mapping A'!$A$6:$G$1011,7,0)=1,$L214,""),0)</f>
        <v>1.0310999999999999</v>
      </c>
      <c r="R214" s="15">
        <f>_xlfn.IFNA(IF(VLOOKUP($J214&amp;R$12,'Mapping A'!$A$6:$G$1011,7,0)=1,$L214,""),0)</f>
        <v>0</v>
      </c>
      <c r="S214" s="15">
        <f>_xlfn.IFNA(IF(VLOOKUP($J214&amp;S$12,'Mapping A'!$A$6:$G$1011,7,0)=1,$L214,""),0)</f>
        <v>0</v>
      </c>
      <c r="T214" s="15">
        <f>_xlfn.IFNA(IF(VLOOKUP($J214&amp;T$14,'Mapping A'!$A$6:$G$1011,7,0)=1,$L214,""),0)</f>
        <v>0</v>
      </c>
      <c r="U214" s="15">
        <f>_xlfn.IFNA(IF(VLOOKUP($J214&amp;U$12,'Mapping A'!$A$6:$G$1011,7,0)=1,$L214,""),0)</f>
        <v>0</v>
      </c>
      <c r="V214" s="15">
        <f>_xlfn.IFNA(IF(VLOOKUP($J214&amp;V$12,'Mapping A'!$A$6:$G$1011,7,0)=1,$L214,""),0)</f>
        <v>0</v>
      </c>
      <c r="W214" s="15">
        <f>_xlfn.IFNA(IF(VLOOKUP($J214&amp;W$12,'Mapping A'!$A$6:$G$1011,7,0)=1,$L214,""),0)</f>
        <v>0</v>
      </c>
      <c r="X214" s="15">
        <f>_xlfn.IFNA(IF(VLOOKUP($J214&amp;X$12,'Mapping A'!$A$6:$G$1011,7,0)=1,$L214,""),0)</f>
        <v>0</v>
      </c>
      <c r="Y214" s="15">
        <f>_xlfn.IFNA(IF(VLOOKUP($J214&amp;Y$12,'Mapping A'!$A$6:$G$1011,7,0)=1,$L214,""),0)</f>
        <v>0</v>
      </c>
      <c r="Z214" s="15">
        <f>_xlfn.IFNA(IF(VLOOKUP($J214&amp;Z$12,'Mapping A'!$A$6:$G$1011,7,0)=1,$L214,""),0)</f>
        <v>0</v>
      </c>
      <c r="AA214" s="15">
        <f>_xlfn.IFNA(IF(VLOOKUP($J214&amp;AA$12,'Mapping A'!$A$6:$G$1011,7,0)=1,$L214,""),0)</f>
        <v>0</v>
      </c>
      <c r="AF214" s="155" t="str">
        <f t="shared" si="67"/>
        <v>TNG0111The Lines Company</v>
      </c>
      <c r="AG214" s="15" t="s">
        <v>350</v>
      </c>
      <c r="AH214" s="190" t="s">
        <v>32</v>
      </c>
      <c r="AI214" s="190">
        <f t="shared" si="60"/>
        <v>1.0310999999999999</v>
      </c>
      <c r="AJ214" s="292" t="s">
        <v>95</v>
      </c>
      <c r="AK214" s="15"/>
      <c r="AL214" s="15">
        <f t="shared" ca="1" si="72"/>
        <v>0</v>
      </c>
      <c r="AM214" s="15">
        <f t="shared" ca="1" si="73"/>
        <v>0</v>
      </c>
      <c r="AN214" s="15">
        <f t="shared" ca="1" si="74"/>
        <v>0</v>
      </c>
      <c r="AO214" s="15">
        <f t="shared" ca="1" si="75"/>
        <v>0</v>
      </c>
      <c r="AP214" s="15"/>
      <c r="AQ214" s="15">
        <f t="shared" ca="1" si="76"/>
        <v>0</v>
      </c>
      <c r="AR214" s="20">
        <f t="shared" ca="1" si="61"/>
        <v>0</v>
      </c>
      <c r="AS214" s="20"/>
      <c r="AT214" s="20">
        <f t="shared" ca="1" si="62"/>
        <v>0</v>
      </c>
      <c r="AU214" s="20">
        <f t="shared" ca="1" si="63"/>
        <v>0</v>
      </c>
      <c r="AV214" s="20">
        <f t="shared" ca="1" si="64"/>
        <v>0</v>
      </c>
      <c r="AW214" s="20">
        <f t="shared" si="65"/>
        <v>0</v>
      </c>
      <c r="AX214" s="20">
        <f t="shared" si="66"/>
        <v>0</v>
      </c>
      <c r="BA214" s="20"/>
      <c r="BD214" s="94" t="str">
        <f t="shared" si="71"/>
        <v>TKU2201Genesis</v>
      </c>
      <c r="BF214" s="15" t="s">
        <v>10</v>
      </c>
      <c r="BG214" t="s">
        <v>921</v>
      </c>
      <c r="BH214" s="190">
        <v>6.4616999999999996</v>
      </c>
      <c r="BI214" s="190">
        <v>0</v>
      </c>
      <c r="BJ214" s="257">
        <f t="shared" si="70"/>
        <v>0.22950819407294526</v>
      </c>
      <c r="BK214" s="257">
        <f t="shared" si="68"/>
        <v>0.25159775829666864</v>
      </c>
      <c r="BL214" s="257">
        <f t="shared" si="69"/>
        <v>0.26632413444581754</v>
      </c>
      <c r="BM214" s="342" t="str">
        <f>VLOOKUP(LEFT(BG214,3),'Mapping B'!$D$2:$E$310,2,0)</f>
        <v>N</v>
      </c>
      <c r="BO214" s="20"/>
      <c r="BP214" s="190"/>
      <c r="BQ214" s="20"/>
      <c r="BR214" s="20"/>
    </row>
    <row r="215" spans="2:70" x14ac:dyDescent="0.25">
      <c r="B215" s="98" t="s">
        <v>563</v>
      </c>
      <c r="C215" s="98">
        <v>2014</v>
      </c>
      <c r="D215" s="98" t="s">
        <v>369</v>
      </c>
      <c r="E215" s="98" t="s">
        <v>4</v>
      </c>
      <c r="F215" s="98" t="s">
        <v>131</v>
      </c>
      <c r="G215" s="98">
        <v>210.96478079937501</v>
      </c>
      <c r="H215" s="299" t="str">
        <f>VLOOKUP(LEFT('Rev Adequacy'!D215,3),'Mapping B'!$D$2:$E$400,2,0)</f>
        <v>N</v>
      </c>
      <c r="I215" s="190"/>
      <c r="J215" s="15" t="s">
        <v>350</v>
      </c>
      <c r="K215" s="190" t="s">
        <v>42</v>
      </c>
      <c r="L215" s="190">
        <f t="shared" ref="L215:L252" si="77">BH220</f>
        <v>38.988599999999998</v>
      </c>
      <c r="O215" s="15">
        <f>_xlfn.IFNA(IF(VLOOKUP($J215&amp;O$12,'Mapping A'!$A$6:$G$1011,7,0)=1,$L215,""),0)</f>
        <v>0</v>
      </c>
      <c r="P215" s="15">
        <f>_xlfn.IFNA(IF(VLOOKUP($J215&amp;P$12,'Mapping A'!$A$6:$G$1011,7,0)=1,$L215,""),0)</f>
        <v>38.988599999999998</v>
      </c>
      <c r="Q215" s="15">
        <f>_xlfn.IFNA(IF(VLOOKUP($J215&amp;Q$12,'Mapping A'!$A$6:$G$1011,7,0)=1,$L215,""),0)</f>
        <v>38.988599999999998</v>
      </c>
      <c r="R215" s="15">
        <f>_xlfn.IFNA(IF(VLOOKUP($J215&amp;R$12,'Mapping A'!$A$6:$G$1011,7,0)=1,$L215,""),0)</f>
        <v>0</v>
      </c>
      <c r="S215" s="15">
        <f>_xlfn.IFNA(IF(VLOOKUP($J215&amp;S$12,'Mapping A'!$A$6:$G$1011,7,0)=1,$L215,""),0)</f>
        <v>0</v>
      </c>
      <c r="T215" s="15">
        <f>_xlfn.IFNA(IF(VLOOKUP($J215&amp;T$14,'Mapping A'!$A$6:$G$1011,7,0)=1,$L215,""),0)</f>
        <v>0</v>
      </c>
      <c r="U215" s="15">
        <f>_xlfn.IFNA(IF(VLOOKUP($J215&amp;U$12,'Mapping A'!$A$6:$G$1011,7,0)=1,$L215,""),0)</f>
        <v>0</v>
      </c>
      <c r="V215" s="15">
        <f>_xlfn.IFNA(IF(VLOOKUP($J215&amp;V$12,'Mapping A'!$A$6:$G$1011,7,0)=1,$L215,""),0)</f>
        <v>0</v>
      </c>
      <c r="W215" s="15">
        <f>_xlfn.IFNA(IF(VLOOKUP($J215&amp;W$12,'Mapping A'!$A$6:$G$1011,7,0)=1,$L215,""),0)</f>
        <v>0</v>
      </c>
      <c r="X215" s="15">
        <f>_xlfn.IFNA(IF(VLOOKUP($J215&amp;X$12,'Mapping A'!$A$6:$G$1011,7,0)=1,$L215,""),0)</f>
        <v>0</v>
      </c>
      <c r="Y215" s="15">
        <f>_xlfn.IFNA(IF(VLOOKUP($J215&amp;Y$12,'Mapping A'!$A$6:$G$1011,7,0)=1,$L215,""),0)</f>
        <v>0</v>
      </c>
      <c r="Z215" s="15">
        <f>_xlfn.IFNA(IF(VLOOKUP($J215&amp;Z$12,'Mapping A'!$A$6:$G$1011,7,0)=1,$L215,""),0)</f>
        <v>0</v>
      </c>
      <c r="AA215" s="15">
        <f>_xlfn.IFNA(IF(VLOOKUP($J215&amp;AA$12,'Mapping A'!$A$6:$G$1011,7,0)=1,$L215,""),0)</f>
        <v>0</v>
      </c>
      <c r="AF215" s="155" t="str">
        <f t="shared" si="67"/>
        <v>TNG0111Winstones</v>
      </c>
      <c r="AG215" s="15" t="s">
        <v>350</v>
      </c>
      <c r="AH215" s="190" t="s">
        <v>42</v>
      </c>
      <c r="AI215" s="190">
        <f t="shared" ref="AI215:AI252" si="78">BH220</f>
        <v>38.988599999999998</v>
      </c>
      <c r="AJ215" s="292" t="s">
        <v>95</v>
      </c>
      <c r="AK215" s="15"/>
      <c r="AL215" s="15">
        <f t="shared" ca="1" si="72"/>
        <v>0</v>
      </c>
      <c r="AM215" s="15">
        <f t="shared" ca="1" si="73"/>
        <v>0</v>
      </c>
      <c r="AN215" s="15">
        <f t="shared" ca="1" si="74"/>
        <v>0</v>
      </c>
      <c r="AO215" s="15">
        <f t="shared" ca="1" si="75"/>
        <v>0</v>
      </c>
      <c r="AP215" s="15"/>
      <c r="AQ215" s="15">
        <f t="shared" ca="1" si="76"/>
        <v>0</v>
      </c>
      <c r="AR215" s="20">
        <f t="shared" ref="AR215:AR252" ca="1" si="79">U$13*U$7*U215/U$21</f>
        <v>0</v>
      </c>
      <c r="AS215" s="20"/>
      <c r="AT215" s="20">
        <f t="shared" ref="AT215:AT252" ca="1" si="80">W$13*W$7*W215/W$21</f>
        <v>0</v>
      </c>
      <c r="AU215" s="20">
        <f t="shared" ref="AU215:AU252" ca="1" si="81">X$13*X$7*X215/X$21</f>
        <v>0</v>
      </c>
      <c r="AV215" s="20">
        <f t="shared" ref="AV215:AV252" ca="1" si="82">Y$13*Y$7*Y215/Y$21</f>
        <v>0</v>
      </c>
      <c r="AW215" s="20">
        <f t="shared" ref="AW215:AW252" si="83">Z$13*Z$7*Z215/Z$21</f>
        <v>0</v>
      </c>
      <c r="AX215" s="20">
        <f t="shared" ref="AX215:AX252" si="84">AA$13*AA$7*AA215/AA$21</f>
        <v>0</v>
      </c>
      <c r="BA215" s="20"/>
      <c r="BD215" s="94" t="str">
        <f t="shared" si="71"/>
        <v>TMI0331Powerco</v>
      </c>
      <c r="BF215" s="15" t="s">
        <v>28</v>
      </c>
      <c r="BG215" t="s">
        <v>346</v>
      </c>
      <c r="BH215" s="190">
        <v>29.761200000000002</v>
      </c>
      <c r="BI215" s="190">
        <v>29.760999679565401</v>
      </c>
      <c r="BJ215" s="257">
        <f t="shared" si="70"/>
        <v>1.0570653644464676</v>
      </c>
      <c r="BK215" s="257">
        <f t="shared" si="68"/>
        <v>1.1588051448100058</v>
      </c>
      <c r="BL215" s="257">
        <f t="shared" si="69"/>
        <v>1.2266316650523648</v>
      </c>
      <c r="BM215" s="342" t="str">
        <f>VLOOKUP(LEFT(BG215,3),'Mapping B'!$D$2:$E$310,2,0)</f>
        <v>N</v>
      </c>
      <c r="BO215" s="20"/>
      <c r="BP215" s="190"/>
      <c r="BQ215" s="20"/>
      <c r="BR215" s="20"/>
    </row>
    <row r="216" spans="2:70" x14ac:dyDescent="0.25">
      <c r="B216" s="98" t="s">
        <v>563</v>
      </c>
      <c r="C216" s="98">
        <v>2014</v>
      </c>
      <c r="D216" s="98" t="s">
        <v>370</v>
      </c>
      <c r="E216" s="98" t="s">
        <v>4</v>
      </c>
      <c r="F216" s="98" t="s">
        <v>131</v>
      </c>
      <c r="G216" s="98">
        <v>1542.5619999999899</v>
      </c>
      <c r="H216" s="299" t="str">
        <f>VLOOKUP(LEFT('Rev Adequacy'!D216,3),'Mapping B'!$D$2:$E$400,2,0)</f>
        <v>N</v>
      </c>
      <c r="I216" s="190"/>
      <c r="J216" s="15" t="s">
        <v>351</v>
      </c>
      <c r="K216" s="190" t="s">
        <v>51</v>
      </c>
      <c r="L216" s="190">
        <f t="shared" si="77"/>
        <v>9.0342000000000002</v>
      </c>
      <c r="O216" s="15">
        <f>_xlfn.IFNA(IF(VLOOKUP($J216&amp;O$12,'Mapping A'!$A$6:$G$1011,7,0)=1,$L216,""),0)</f>
        <v>0</v>
      </c>
      <c r="P216" s="15">
        <f>_xlfn.IFNA(IF(VLOOKUP($J216&amp;P$12,'Mapping A'!$A$6:$G$1011,7,0)=1,$L216,""),0)</f>
        <v>9.0342000000000002</v>
      </c>
      <c r="Q216" s="15">
        <f>_xlfn.IFNA(IF(VLOOKUP($J216&amp;Q$12,'Mapping A'!$A$6:$G$1011,7,0)=1,$L216,""),0)</f>
        <v>9.0342000000000002</v>
      </c>
      <c r="R216" s="15">
        <f>_xlfn.IFNA(IF(VLOOKUP($J216&amp;R$12,'Mapping A'!$A$6:$G$1011,7,0)=1,$L216,""),0)</f>
        <v>0</v>
      </c>
      <c r="S216" s="15">
        <f>_xlfn.IFNA(IF(VLOOKUP($J216&amp;S$12,'Mapping A'!$A$6:$G$1011,7,0)=1,$L216,""),0)</f>
        <v>0</v>
      </c>
      <c r="T216" s="15">
        <f>_xlfn.IFNA(IF(VLOOKUP($J216&amp;T$14,'Mapping A'!$A$6:$G$1011,7,0)=1,$L216,""),0)</f>
        <v>0</v>
      </c>
      <c r="U216" s="15">
        <f>_xlfn.IFNA(IF(VLOOKUP($J216&amp;U$12,'Mapping A'!$A$6:$G$1011,7,0)=1,$L216,""),0)</f>
        <v>0</v>
      </c>
      <c r="V216" s="15">
        <f>_xlfn.IFNA(IF(VLOOKUP($J216&amp;V$12,'Mapping A'!$A$6:$G$1011,7,0)=1,$L216,""),0)</f>
        <v>0</v>
      </c>
      <c r="W216" s="15">
        <f>_xlfn.IFNA(IF(VLOOKUP($J216&amp;W$12,'Mapping A'!$A$6:$G$1011,7,0)=1,$L216,""),0)</f>
        <v>0</v>
      </c>
      <c r="X216" s="15">
        <f>_xlfn.IFNA(IF(VLOOKUP($J216&amp;X$12,'Mapping A'!$A$6:$G$1011,7,0)=1,$L216,""),0)</f>
        <v>0</v>
      </c>
      <c r="Y216" s="15">
        <f>_xlfn.IFNA(IF(VLOOKUP($J216&amp;Y$12,'Mapping A'!$A$6:$G$1011,7,0)=1,$L216,""),0)</f>
        <v>0</v>
      </c>
      <c r="Z216" s="15">
        <f>_xlfn.IFNA(IF(VLOOKUP($J216&amp;Z$12,'Mapping A'!$A$6:$G$1011,7,0)=1,$L216,""),0)</f>
        <v>0</v>
      </c>
      <c r="AA216" s="15">
        <f>_xlfn.IFNA(IF(VLOOKUP($J216&amp;AA$12,'Mapping A'!$A$6:$G$1011,7,0)=1,$L216,""),0)</f>
        <v>0</v>
      </c>
      <c r="AF216" s="155" t="str">
        <f t="shared" ref="AF216:AF284" si="85">AG216&amp;AH216</f>
        <v>TNG0551Kiwirail</v>
      </c>
      <c r="AG216" s="15" t="s">
        <v>351</v>
      </c>
      <c r="AH216" s="190" t="s">
        <v>51</v>
      </c>
      <c r="AI216" s="190">
        <f t="shared" si="78"/>
        <v>9.0342000000000002</v>
      </c>
      <c r="AJ216" s="292" t="s">
        <v>95</v>
      </c>
      <c r="AK216" s="15"/>
      <c r="AL216" s="15">
        <f t="shared" ca="1" si="72"/>
        <v>0</v>
      </c>
      <c r="AM216" s="15">
        <f t="shared" ca="1" si="73"/>
        <v>0</v>
      </c>
      <c r="AN216" s="15">
        <f t="shared" ca="1" si="74"/>
        <v>0</v>
      </c>
      <c r="AO216" s="15">
        <f t="shared" ca="1" si="75"/>
        <v>0</v>
      </c>
      <c r="AP216" s="15"/>
      <c r="AQ216" s="15">
        <f t="shared" ca="1" si="76"/>
        <v>0</v>
      </c>
      <c r="AR216" s="20">
        <f t="shared" ca="1" si="79"/>
        <v>0</v>
      </c>
      <c r="AS216" s="20"/>
      <c r="AT216" s="20">
        <f t="shared" ca="1" si="80"/>
        <v>0</v>
      </c>
      <c r="AU216" s="20">
        <f t="shared" ca="1" si="81"/>
        <v>0</v>
      </c>
      <c r="AV216" s="20">
        <f t="shared" ca="1" si="82"/>
        <v>0</v>
      </c>
      <c r="AW216" s="20">
        <f t="shared" si="83"/>
        <v>0</v>
      </c>
      <c r="AX216" s="20">
        <f t="shared" si="84"/>
        <v>0</v>
      </c>
      <c r="BA216" s="20"/>
      <c r="BD216" s="94" t="str">
        <f t="shared" si="71"/>
        <v>TMK0331Alpine Energy</v>
      </c>
      <c r="BF216" s="15" t="s">
        <v>0</v>
      </c>
      <c r="BG216" t="s">
        <v>347</v>
      </c>
      <c r="BH216" s="190">
        <v>56.823900000000002</v>
      </c>
      <c r="BI216" s="190">
        <v>56.819999694824197</v>
      </c>
      <c r="BJ216" s="257">
        <f t="shared" si="70"/>
        <v>2.018284765492306</v>
      </c>
      <c r="BK216" s="257">
        <f t="shared" si="68"/>
        <v>2.2125394025835412</v>
      </c>
      <c r="BL216" s="257">
        <f t="shared" si="69"/>
        <v>2.342042493977698</v>
      </c>
      <c r="BM216" s="342" t="str">
        <f>VLOOKUP(LEFT(BG216,3),'Mapping B'!$D$2:$E$310,2,0)</f>
        <v>S</v>
      </c>
      <c r="BO216" s="20"/>
      <c r="BP216" s="190"/>
      <c r="BQ216" s="20"/>
      <c r="BR216" s="20"/>
    </row>
    <row r="217" spans="2:70" x14ac:dyDescent="0.25">
      <c r="B217" s="98" t="s">
        <v>563</v>
      </c>
      <c r="C217" s="98">
        <v>2014</v>
      </c>
      <c r="D217" s="98" t="s">
        <v>371</v>
      </c>
      <c r="E217" s="98" t="s">
        <v>4</v>
      </c>
      <c r="F217" s="98" t="s">
        <v>136</v>
      </c>
      <c r="G217" s="98">
        <v>40109.686999999998</v>
      </c>
      <c r="H217" s="299" t="str">
        <f>VLOOKUP(LEFT('Rev Adequacy'!D217,3),'Mapping B'!$D$2:$E$400,2,0)</f>
        <v>N</v>
      </c>
      <c r="I217" s="190"/>
      <c r="J217" s="15" t="s">
        <v>352</v>
      </c>
      <c r="K217" s="190" t="s">
        <v>36</v>
      </c>
      <c r="L217" s="190">
        <f t="shared" si="77"/>
        <v>8.2887000000000004</v>
      </c>
      <c r="O217" s="15">
        <f>_xlfn.IFNA(IF(VLOOKUP($J217&amp;O$12,'Mapping A'!$A$6:$G$1011,7,0)=1,$L217,""),0)</f>
        <v>0</v>
      </c>
      <c r="P217" s="15">
        <f>_xlfn.IFNA(IF(VLOOKUP($J217&amp;P$12,'Mapping A'!$A$6:$G$1011,7,0)=1,$L217,""),0)</f>
        <v>8.2887000000000004</v>
      </c>
      <c r="Q217" s="15">
        <f>_xlfn.IFNA(IF(VLOOKUP($J217&amp;Q$12,'Mapping A'!$A$6:$G$1011,7,0)=1,$L217,""),0)</f>
        <v>8.2887000000000004</v>
      </c>
      <c r="R217" s="15">
        <f>_xlfn.IFNA(IF(VLOOKUP($J217&amp;R$12,'Mapping A'!$A$6:$G$1011,7,0)=1,$L217,""),0)</f>
        <v>0</v>
      </c>
      <c r="S217" s="15">
        <f>_xlfn.IFNA(IF(VLOOKUP($J217&amp;S$12,'Mapping A'!$A$6:$G$1011,7,0)=1,$L217,""),0)</f>
        <v>0</v>
      </c>
      <c r="T217" s="15">
        <f>_xlfn.IFNA(IF(VLOOKUP($J217&amp;T$14,'Mapping A'!$A$6:$G$1011,7,0)=1,$L217,""),0)</f>
        <v>8.2887000000000004</v>
      </c>
      <c r="U217" s="15">
        <f>_xlfn.IFNA(IF(VLOOKUP($J217&amp;U$12,'Mapping A'!$A$6:$G$1011,7,0)=1,$L217,""),0)</f>
        <v>0</v>
      </c>
      <c r="V217" s="15">
        <f>_xlfn.IFNA(IF(VLOOKUP($J217&amp;V$12,'Mapping A'!$A$6:$G$1011,7,0)=1,$L217,""),0)</f>
        <v>0</v>
      </c>
      <c r="W217" s="15">
        <f>_xlfn.IFNA(IF(VLOOKUP($J217&amp;W$12,'Mapping A'!$A$6:$G$1011,7,0)=1,$L217,""),0)</f>
        <v>0</v>
      </c>
      <c r="X217" s="15">
        <f>_xlfn.IFNA(IF(VLOOKUP($J217&amp;X$12,'Mapping A'!$A$6:$G$1011,7,0)=1,$L217,""),0)</f>
        <v>0</v>
      </c>
      <c r="Y217" s="15">
        <f>_xlfn.IFNA(IF(VLOOKUP($J217&amp;Y$12,'Mapping A'!$A$6:$G$1011,7,0)=1,$L217,""),0)</f>
        <v>0</v>
      </c>
      <c r="Z217" s="15">
        <f>_xlfn.IFNA(IF(VLOOKUP($J217&amp;Z$12,'Mapping A'!$A$6:$G$1011,7,0)=1,$L217,""),0)</f>
        <v>0</v>
      </c>
      <c r="AA217" s="15">
        <f>_xlfn.IFNA(IF(VLOOKUP($J217&amp;AA$12,'Mapping A'!$A$6:$G$1011,7,0)=1,$L217,""),0)</f>
        <v>0</v>
      </c>
      <c r="AF217" s="155" t="str">
        <f t="shared" si="85"/>
        <v>TRK0111Unison</v>
      </c>
      <c r="AG217" s="15" t="s">
        <v>352</v>
      </c>
      <c r="AH217" s="190" t="s">
        <v>36</v>
      </c>
      <c r="AI217" s="190">
        <f t="shared" si="78"/>
        <v>8.2887000000000004</v>
      </c>
      <c r="AJ217" s="292" t="s">
        <v>95</v>
      </c>
      <c r="AK217" s="15"/>
      <c r="AL217" s="15">
        <f t="shared" ca="1" si="72"/>
        <v>0</v>
      </c>
      <c r="AM217" s="15">
        <f t="shared" ca="1" si="73"/>
        <v>0</v>
      </c>
      <c r="AN217" s="15">
        <f t="shared" ca="1" si="74"/>
        <v>0</v>
      </c>
      <c r="AO217" s="15">
        <f t="shared" ca="1" si="75"/>
        <v>0</v>
      </c>
      <c r="AP217" s="15"/>
      <c r="AQ217" s="15">
        <f t="shared" ca="1" si="76"/>
        <v>0</v>
      </c>
      <c r="AR217" s="20">
        <f t="shared" ca="1" si="79"/>
        <v>0</v>
      </c>
      <c r="AS217" s="20"/>
      <c r="AT217" s="20">
        <f t="shared" ca="1" si="80"/>
        <v>0</v>
      </c>
      <c r="AU217" s="20">
        <f t="shared" ca="1" si="81"/>
        <v>0</v>
      </c>
      <c r="AV217" s="20">
        <f t="shared" ca="1" si="82"/>
        <v>0</v>
      </c>
      <c r="AW217" s="20">
        <f t="shared" si="83"/>
        <v>0</v>
      </c>
      <c r="AX217" s="20">
        <f t="shared" si="84"/>
        <v>0</v>
      </c>
      <c r="BA217" s="20"/>
      <c r="BD217" s="94" t="str">
        <f t="shared" si="71"/>
        <v>TMN0551Kiwirail</v>
      </c>
      <c r="BF217" s="15" t="s">
        <v>51</v>
      </c>
      <c r="BG217" t="s">
        <v>348</v>
      </c>
      <c r="BH217" s="190">
        <v>10.905299999999999</v>
      </c>
      <c r="BI217" s="190">
        <v>10.904999732971101</v>
      </c>
      <c r="BJ217" s="257">
        <f t="shared" si="70"/>
        <v>0.38733703341592612</v>
      </c>
      <c r="BK217" s="257">
        <f t="shared" si="68"/>
        <v>0.42461721119096529</v>
      </c>
      <c r="BL217" s="257">
        <f t="shared" si="69"/>
        <v>0.44947066304099131</v>
      </c>
      <c r="BM217" s="342" t="str">
        <f>VLOOKUP(LEFT(BG217,3),'Mapping B'!$D$2:$E$310,2,0)</f>
        <v>N</v>
      </c>
      <c r="BO217" s="20"/>
      <c r="BP217" s="190"/>
      <c r="BQ217" s="20"/>
      <c r="BR217" s="20"/>
    </row>
    <row r="218" spans="2:70" x14ac:dyDescent="0.25">
      <c r="B218" s="98" t="s">
        <v>563</v>
      </c>
      <c r="C218" s="98">
        <v>2014</v>
      </c>
      <c r="D218" s="98" t="s">
        <v>387</v>
      </c>
      <c r="E218" s="98" t="s">
        <v>4</v>
      </c>
      <c r="F218" s="98" t="s">
        <v>136</v>
      </c>
      <c r="G218" s="98">
        <v>0</v>
      </c>
      <c r="H218" s="299" t="str">
        <f>VLOOKUP(LEFT('Rev Adequacy'!D218,3),'Mapping B'!$D$2:$E$400,2,0)</f>
        <v>N</v>
      </c>
      <c r="I218" s="190"/>
      <c r="J218" s="15" t="s">
        <v>353</v>
      </c>
      <c r="K218" s="190" t="s">
        <v>7</v>
      </c>
      <c r="L218" s="190">
        <f t="shared" si="77"/>
        <v>58.113300000000002</v>
      </c>
      <c r="O218" s="15">
        <f>_xlfn.IFNA(IF(VLOOKUP($J218&amp;O$12,'Mapping A'!$A$6:$G$1011,7,0)=1,$L218,""),0)</f>
        <v>0</v>
      </c>
      <c r="P218" s="15">
        <f>_xlfn.IFNA(IF(VLOOKUP($J218&amp;P$12,'Mapping A'!$A$6:$G$1011,7,0)=1,$L218,""),0)</f>
        <v>58.113300000000002</v>
      </c>
      <c r="Q218" s="15">
        <f>_xlfn.IFNA(IF(VLOOKUP($J218&amp;Q$12,'Mapping A'!$A$6:$G$1011,7,0)=1,$L218,""),0)</f>
        <v>58.113300000000002</v>
      </c>
      <c r="R218" s="15">
        <f>_xlfn.IFNA(IF(VLOOKUP($J218&amp;R$12,'Mapping A'!$A$6:$G$1011,7,0)=1,$L218,""),0)</f>
        <v>0</v>
      </c>
      <c r="S218" s="15">
        <f>_xlfn.IFNA(IF(VLOOKUP($J218&amp;S$12,'Mapping A'!$A$6:$G$1011,7,0)=1,$L218,""),0)</f>
        <v>0</v>
      </c>
      <c r="T218" s="15">
        <f>_xlfn.IFNA(IF(VLOOKUP($J218&amp;T$14,'Mapping A'!$A$6:$G$1011,7,0)=1,$L218,""),0)</f>
        <v>58.113300000000002</v>
      </c>
      <c r="U218" s="15">
        <f>_xlfn.IFNA(IF(VLOOKUP($J218&amp;U$12,'Mapping A'!$A$6:$G$1011,7,0)=1,$L218,""),0)</f>
        <v>0</v>
      </c>
      <c r="V218" s="15">
        <f>_xlfn.IFNA(IF(VLOOKUP($J218&amp;V$12,'Mapping A'!$A$6:$G$1011,7,0)=1,$L218,""),0)</f>
        <v>0</v>
      </c>
      <c r="W218" s="15">
        <f>_xlfn.IFNA(IF(VLOOKUP($J218&amp;W$12,'Mapping A'!$A$6:$G$1011,7,0)=1,$L218,""),0)</f>
        <v>0</v>
      </c>
      <c r="X218" s="15">
        <f>_xlfn.IFNA(IF(VLOOKUP($J218&amp;X$12,'Mapping A'!$A$6:$G$1011,7,0)=1,$L218,""),0)</f>
        <v>0</v>
      </c>
      <c r="Y218" s="15">
        <f>_xlfn.IFNA(IF(VLOOKUP($J218&amp;Y$12,'Mapping A'!$A$6:$G$1011,7,0)=1,$L218,""),0)</f>
        <v>0</v>
      </c>
      <c r="Z218" s="15">
        <f>_xlfn.IFNA(IF(VLOOKUP($J218&amp;Z$12,'Mapping A'!$A$6:$G$1011,7,0)=1,$L218,""),0)</f>
        <v>0</v>
      </c>
      <c r="AA218" s="15">
        <f>_xlfn.IFNA(IF(VLOOKUP($J218&amp;AA$12,'Mapping A'!$A$6:$G$1011,7,0)=1,$L218,""),0)</f>
        <v>0</v>
      </c>
      <c r="AF218" s="155" t="str">
        <f t="shared" si="85"/>
        <v>TUI1101Eastland Network</v>
      </c>
      <c r="AG218" s="15" t="s">
        <v>353</v>
      </c>
      <c r="AH218" s="190" t="s">
        <v>7</v>
      </c>
      <c r="AI218" s="190">
        <f t="shared" si="78"/>
        <v>58.113300000000002</v>
      </c>
      <c r="AJ218" s="292" t="s">
        <v>95</v>
      </c>
      <c r="AK218" s="15"/>
      <c r="AL218" s="15">
        <f t="shared" ca="1" si="72"/>
        <v>0</v>
      </c>
      <c r="AM218" s="15">
        <f t="shared" ca="1" si="73"/>
        <v>0</v>
      </c>
      <c r="AN218" s="15">
        <f t="shared" ca="1" si="74"/>
        <v>0</v>
      </c>
      <c r="AO218" s="15">
        <f t="shared" ca="1" si="75"/>
        <v>0</v>
      </c>
      <c r="AP218" s="15"/>
      <c r="AQ218" s="15">
        <f t="shared" ca="1" si="76"/>
        <v>0</v>
      </c>
      <c r="AR218" s="20">
        <f t="shared" ca="1" si="79"/>
        <v>0</v>
      </c>
      <c r="AS218" s="20"/>
      <c r="AT218" s="20">
        <f t="shared" ca="1" si="80"/>
        <v>0</v>
      </c>
      <c r="AU218" s="20">
        <f t="shared" ca="1" si="81"/>
        <v>0</v>
      </c>
      <c r="AV218" s="20">
        <f t="shared" ca="1" si="82"/>
        <v>0</v>
      </c>
      <c r="AW218" s="20">
        <f t="shared" si="83"/>
        <v>0</v>
      </c>
      <c r="AX218" s="20">
        <f t="shared" si="84"/>
        <v>0</v>
      </c>
      <c r="BA218" s="20"/>
      <c r="BD218" s="94" t="str">
        <f t="shared" si="71"/>
        <v>TMU0111Waipa Power</v>
      </c>
      <c r="BF218" s="15" t="s">
        <v>38</v>
      </c>
      <c r="BG218" t="s">
        <v>349</v>
      </c>
      <c r="BH218" s="190">
        <v>36.290099999999995</v>
      </c>
      <c r="BI218" s="190">
        <v>34.76900100708</v>
      </c>
      <c r="BJ218" s="257">
        <f t="shared" si="70"/>
        <v>1.2889603840671324</v>
      </c>
      <c r="BK218" s="257">
        <f t="shared" si="68"/>
        <v>1.4130194543791779</v>
      </c>
      <c r="BL218" s="257">
        <f t="shared" si="69"/>
        <v>1.4957255012538748</v>
      </c>
      <c r="BM218" s="342" t="str">
        <f>VLOOKUP(LEFT(BG218,3),'Mapping B'!$D$2:$E$310,2,0)</f>
        <v>N</v>
      </c>
      <c r="BO218" s="20"/>
      <c r="BP218" s="190"/>
      <c r="BQ218" s="20"/>
      <c r="BR218" s="20"/>
    </row>
    <row r="219" spans="2:70" x14ac:dyDescent="0.25">
      <c r="B219" s="98" t="s">
        <v>563</v>
      </c>
      <c r="C219" s="98">
        <v>2014</v>
      </c>
      <c r="D219" s="98" t="s">
        <v>388</v>
      </c>
      <c r="E219" s="98" t="s">
        <v>4</v>
      </c>
      <c r="F219" s="98" t="s">
        <v>136</v>
      </c>
      <c r="G219" s="98">
        <v>0</v>
      </c>
      <c r="H219" s="299" t="str">
        <f>VLOOKUP(LEFT('Rev Adequacy'!D219,3),'Mapping B'!$D$2:$E$400,2,0)</f>
        <v>N</v>
      </c>
      <c r="I219" s="190"/>
      <c r="J219" s="15" t="s">
        <v>353</v>
      </c>
      <c r="K219" s="190" t="s">
        <v>10</v>
      </c>
      <c r="L219" s="190">
        <f t="shared" si="77"/>
        <v>0.67200000000000004</v>
      </c>
      <c r="O219" s="15">
        <f>_xlfn.IFNA(IF(VLOOKUP($J219&amp;O$12,'Mapping A'!$A$6:$G$1011,7,0)=1,$L219,""),0)</f>
        <v>0</v>
      </c>
      <c r="P219" s="15">
        <f>_xlfn.IFNA(IF(VLOOKUP($J219&amp;P$12,'Mapping A'!$A$6:$G$1011,7,0)=1,$L219,""),0)</f>
        <v>0.67200000000000004</v>
      </c>
      <c r="Q219" s="15">
        <f>_xlfn.IFNA(IF(VLOOKUP($J219&amp;Q$12,'Mapping A'!$A$6:$G$1011,7,0)=1,$L219,""),0)</f>
        <v>0.67200000000000004</v>
      </c>
      <c r="R219" s="15">
        <f>_xlfn.IFNA(IF(VLOOKUP($J219&amp;R$12,'Mapping A'!$A$6:$G$1011,7,0)=1,$L219,""),0)</f>
        <v>0</v>
      </c>
      <c r="S219" s="15">
        <f>_xlfn.IFNA(IF(VLOOKUP($J219&amp;S$12,'Mapping A'!$A$6:$G$1011,7,0)=1,$L219,""),0)</f>
        <v>0</v>
      </c>
      <c r="T219" s="15">
        <f>_xlfn.IFNA(IF(VLOOKUP($J219&amp;T$14,'Mapping A'!$A$6:$G$1011,7,0)=1,$L219,""),0)</f>
        <v>0.67200000000000004</v>
      </c>
      <c r="U219" s="15">
        <f>_xlfn.IFNA(IF(VLOOKUP($J219&amp;U$12,'Mapping A'!$A$6:$G$1011,7,0)=1,$L219,""),0)</f>
        <v>0</v>
      </c>
      <c r="V219" s="15">
        <f>_xlfn.IFNA(IF(VLOOKUP($J219&amp;V$12,'Mapping A'!$A$6:$G$1011,7,0)=1,$L219,""),0)</f>
        <v>0</v>
      </c>
      <c r="W219" s="15">
        <f>_xlfn.IFNA(IF(VLOOKUP($J219&amp;W$12,'Mapping A'!$A$6:$G$1011,7,0)=1,$L219,""),0)</f>
        <v>0</v>
      </c>
      <c r="X219" s="15">
        <f>_xlfn.IFNA(IF(VLOOKUP($J219&amp;X$12,'Mapping A'!$A$6:$G$1011,7,0)=1,$L219,""),0)</f>
        <v>0</v>
      </c>
      <c r="Y219" s="15">
        <f>_xlfn.IFNA(IF(VLOOKUP($J219&amp;Y$12,'Mapping A'!$A$6:$G$1011,7,0)=1,$L219,""),0)</f>
        <v>0</v>
      </c>
      <c r="Z219" s="15">
        <f>_xlfn.IFNA(IF(VLOOKUP($J219&amp;Z$12,'Mapping A'!$A$6:$G$1011,7,0)=1,$L219,""),0)</f>
        <v>0</v>
      </c>
      <c r="AA219" s="15">
        <f>_xlfn.IFNA(IF(VLOOKUP($J219&amp;AA$12,'Mapping A'!$A$6:$G$1011,7,0)=1,$L219,""),0)</f>
        <v>0</v>
      </c>
      <c r="AF219" s="155" t="str">
        <f t="shared" si="85"/>
        <v>TUI1101Genesis</v>
      </c>
      <c r="AG219" s="15" t="s">
        <v>353</v>
      </c>
      <c r="AH219" s="190" t="s">
        <v>10</v>
      </c>
      <c r="AI219" s="190">
        <f t="shared" si="78"/>
        <v>0.67200000000000004</v>
      </c>
      <c r="AJ219" s="292" t="s">
        <v>95</v>
      </c>
      <c r="AK219" s="15"/>
      <c r="AL219" s="15">
        <f t="shared" ca="1" si="72"/>
        <v>0</v>
      </c>
      <c r="AM219" s="15">
        <f t="shared" ca="1" si="73"/>
        <v>0</v>
      </c>
      <c r="AN219" s="15">
        <f t="shared" ca="1" si="74"/>
        <v>0</v>
      </c>
      <c r="AO219" s="15">
        <f t="shared" ca="1" si="75"/>
        <v>0</v>
      </c>
      <c r="AP219" s="15"/>
      <c r="AQ219" s="15">
        <f t="shared" ca="1" si="76"/>
        <v>0</v>
      </c>
      <c r="AR219" s="20">
        <f t="shared" ca="1" si="79"/>
        <v>0</v>
      </c>
      <c r="AS219" s="20"/>
      <c r="AT219" s="20">
        <f t="shared" ca="1" si="80"/>
        <v>0</v>
      </c>
      <c r="AU219" s="20">
        <f t="shared" ca="1" si="81"/>
        <v>0</v>
      </c>
      <c r="AV219" s="20">
        <f t="shared" ca="1" si="82"/>
        <v>0</v>
      </c>
      <c r="AW219" s="20">
        <f t="shared" si="83"/>
        <v>0</v>
      </c>
      <c r="AX219" s="20">
        <f t="shared" si="84"/>
        <v>0</v>
      </c>
      <c r="BA219" s="20"/>
      <c r="BD219" s="94" t="str">
        <f t="shared" si="71"/>
        <v>TNG0111The Lines Company</v>
      </c>
      <c r="BF219" s="15" t="s">
        <v>32</v>
      </c>
      <c r="BG219" t="s">
        <v>350</v>
      </c>
      <c r="BH219" s="190">
        <v>1.0310999999999999</v>
      </c>
      <c r="BI219" s="190">
        <v>1.0310864837654801</v>
      </c>
      <c r="BJ219" s="257">
        <f t="shared" si="70"/>
        <v>3.6622854497827789E-2</v>
      </c>
      <c r="BK219" s="257">
        <f t="shared" ref="BK219:BK257" si="86">($BH$17-$BH$19+$BK$25)*BH219/$BH$18</f>
        <v>4.0147708587476204E-2</v>
      </c>
      <c r="BL219" s="257">
        <f t="shared" ref="BL219:BL257" si="87">($BH$17-$BH$19+$BL$25)*BH219/$BH$18</f>
        <v>4.2497611313908487E-2</v>
      </c>
      <c r="BM219" s="342" t="str">
        <f>VLOOKUP(LEFT(BG219,3),'Mapping B'!$D$2:$E$310,2,0)</f>
        <v>N</v>
      </c>
      <c r="BO219" s="20"/>
      <c r="BP219" s="190"/>
      <c r="BQ219" s="20"/>
      <c r="BR219" s="20"/>
    </row>
    <row r="220" spans="2:70" x14ac:dyDescent="0.25">
      <c r="B220" s="98" t="s">
        <v>555</v>
      </c>
      <c r="C220" s="98">
        <v>2014</v>
      </c>
      <c r="D220" s="98" t="s">
        <v>177</v>
      </c>
      <c r="E220" s="98" t="s">
        <v>4</v>
      </c>
      <c r="F220" s="98" t="s">
        <v>131</v>
      </c>
      <c r="G220" s="98">
        <v>6.06866952789699</v>
      </c>
      <c r="H220" s="299" t="str">
        <f>VLOOKUP(LEFT('Rev Adequacy'!D220,3),'Mapping B'!$D$2:$E$400,2,0)</f>
        <v>S</v>
      </c>
      <c r="I220" s="190"/>
      <c r="J220" s="15" t="s">
        <v>357</v>
      </c>
      <c r="K220" s="190" t="s">
        <v>138</v>
      </c>
      <c r="L220" s="190">
        <f t="shared" si="77"/>
        <v>1.1907000000000001</v>
      </c>
      <c r="O220" s="15">
        <f>_xlfn.IFNA(IF(VLOOKUP($J220&amp;O$12,'Mapping A'!$A$6:$G$1011,7,0)=1,$L220,""),0)</f>
        <v>0</v>
      </c>
      <c r="P220" s="15">
        <f>_xlfn.IFNA(IF(VLOOKUP($J220&amp;P$12,'Mapping A'!$A$6:$G$1011,7,0)=1,$L220,""),0)</f>
        <v>1.1907000000000001</v>
      </c>
      <c r="Q220" s="15">
        <f>_xlfn.IFNA(IF(VLOOKUP($J220&amp;Q$12,'Mapping A'!$A$6:$G$1011,7,0)=1,$L220,""),0)</f>
        <v>1.1907000000000001</v>
      </c>
      <c r="R220" s="15">
        <f>_xlfn.IFNA(IF(VLOOKUP($J220&amp;R$12,'Mapping A'!$A$6:$G$1011,7,0)=1,$L220,""),0)</f>
        <v>0</v>
      </c>
      <c r="S220" s="15">
        <f>_xlfn.IFNA(IF(VLOOKUP($J220&amp;S$12,'Mapping A'!$A$6:$G$1011,7,0)=1,$L220,""),0)</f>
        <v>0</v>
      </c>
      <c r="T220" s="15">
        <f>_xlfn.IFNA(IF(VLOOKUP($J220&amp;T$14,'Mapping A'!$A$6:$G$1011,7,0)=1,$L220,""),0)</f>
        <v>0</v>
      </c>
      <c r="U220" s="15">
        <f>_xlfn.IFNA(IF(VLOOKUP($J220&amp;U$12,'Mapping A'!$A$6:$G$1011,7,0)=1,$L220,""),0)</f>
        <v>0</v>
      </c>
      <c r="V220" s="15">
        <f>_xlfn.IFNA(IF(VLOOKUP($J220&amp;V$12,'Mapping A'!$A$6:$G$1011,7,0)=1,$L220,""),0)</f>
        <v>1.1907000000000001</v>
      </c>
      <c r="W220" s="15">
        <f>_xlfn.IFNA(IF(VLOOKUP($J220&amp;W$12,'Mapping A'!$A$6:$G$1011,7,0)=1,$L220,""),0)</f>
        <v>0</v>
      </c>
      <c r="X220" s="15">
        <f>_xlfn.IFNA(IF(VLOOKUP($J220&amp;X$12,'Mapping A'!$A$6:$G$1011,7,0)=1,$L220,""),0)</f>
        <v>0</v>
      </c>
      <c r="Y220" s="15">
        <f>_xlfn.IFNA(IF(VLOOKUP($J220&amp;Y$12,'Mapping A'!$A$6:$G$1011,7,0)=1,$L220,""),0)</f>
        <v>0</v>
      </c>
      <c r="Z220" s="15">
        <f>_xlfn.IFNA(IF(VLOOKUP($J220&amp;Z$12,'Mapping A'!$A$6:$G$1011,7,0)=1,$L220,""),0)</f>
        <v>0</v>
      </c>
      <c r="AA220" s="15">
        <f>_xlfn.IFNA(IF(VLOOKUP($J220&amp;AA$12,'Mapping A'!$A$6:$G$1011,7,0)=1,$L220,""),0)</f>
        <v>0</v>
      </c>
      <c r="AF220" s="155" t="str">
        <f t="shared" si="85"/>
        <v>TWC2201TrustPower</v>
      </c>
      <c r="AG220" s="15" t="s">
        <v>357</v>
      </c>
      <c r="AH220" s="190" t="s">
        <v>138</v>
      </c>
      <c r="AI220" s="190">
        <f t="shared" si="78"/>
        <v>1.1907000000000001</v>
      </c>
      <c r="AJ220" s="292" t="s">
        <v>95</v>
      </c>
      <c r="AK220" s="15"/>
      <c r="AL220" s="15">
        <f t="shared" ca="1" si="72"/>
        <v>0</v>
      </c>
      <c r="AM220" s="15">
        <f t="shared" ca="1" si="73"/>
        <v>0</v>
      </c>
      <c r="AN220" s="15">
        <f t="shared" ca="1" si="74"/>
        <v>0</v>
      </c>
      <c r="AO220" s="15">
        <f t="shared" ca="1" si="75"/>
        <v>0</v>
      </c>
      <c r="AP220" s="15"/>
      <c r="AQ220" s="15">
        <f t="shared" ca="1" si="76"/>
        <v>0</v>
      </c>
      <c r="AR220" s="20">
        <f t="shared" ca="1" si="79"/>
        <v>0</v>
      </c>
      <c r="AS220" s="20"/>
      <c r="AT220" s="20">
        <f t="shared" ca="1" si="80"/>
        <v>0</v>
      </c>
      <c r="AU220" s="20">
        <f t="shared" ca="1" si="81"/>
        <v>0</v>
      </c>
      <c r="AV220" s="20">
        <f t="shared" ca="1" si="82"/>
        <v>0</v>
      </c>
      <c r="AW220" s="20">
        <f t="shared" si="83"/>
        <v>0</v>
      </c>
      <c r="AX220" s="20">
        <f t="shared" si="84"/>
        <v>0</v>
      </c>
      <c r="BA220" s="20"/>
      <c r="BD220" s="94" t="str">
        <f t="shared" si="71"/>
        <v>TNG0111Winstones</v>
      </c>
      <c r="BF220" s="15" t="s">
        <v>42</v>
      </c>
      <c r="BG220" t="s">
        <v>350</v>
      </c>
      <c r="BH220" s="190">
        <v>38.988599999999998</v>
      </c>
      <c r="BI220" s="190">
        <v>38.9869995117187</v>
      </c>
      <c r="BJ220" s="257">
        <f t="shared" ref="BJ220:BJ257" si="88">($BH$17-$BH$19)*BH220/$BH$18</f>
        <v>1.3848063474677612</v>
      </c>
      <c r="BK220" s="257">
        <f t="shared" si="86"/>
        <v>1.5180903414156484</v>
      </c>
      <c r="BL220" s="257">
        <f t="shared" si="87"/>
        <v>1.6069463373809063</v>
      </c>
      <c r="BM220" s="342" t="str">
        <f>VLOOKUP(LEFT(BG220,3),'Mapping B'!$D$2:$E$310,2,0)</f>
        <v>N</v>
      </c>
      <c r="BO220" s="20"/>
      <c r="BP220" s="190"/>
      <c r="BQ220" s="20"/>
      <c r="BR220" s="20"/>
    </row>
    <row r="221" spans="2:70" x14ac:dyDescent="0.25">
      <c r="B221" s="98" t="s">
        <v>555</v>
      </c>
      <c r="C221" s="98">
        <v>2014</v>
      </c>
      <c r="D221" s="98" t="s">
        <v>178</v>
      </c>
      <c r="E221" s="98" t="s">
        <v>4</v>
      </c>
      <c r="F221" s="98" t="s">
        <v>131</v>
      </c>
      <c r="G221" s="98">
        <v>61.567999999999998</v>
      </c>
      <c r="H221" s="299" t="str">
        <f>VLOOKUP(LEFT('Rev Adequacy'!D221,3),'Mapping B'!$D$2:$E$400,2,0)</f>
        <v>S</v>
      </c>
      <c r="I221" s="190"/>
      <c r="J221" s="15" t="s">
        <v>358</v>
      </c>
      <c r="K221" s="190" t="s">
        <v>39</v>
      </c>
      <c r="L221" s="190">
        <f t="shared" si="77"/>
        <v>86.625</v>
      </c>
      <c r="O221" s="15">
        <f>_xlfn.IFNA(IF(VLOOKUP($J221&amp;O$12,'Mapping A'!$A$6:$G$1011,7,0)=1,$L221,""),0)</f>
        <v>0</v>
      </c>
      <c r="P221" s="15">
        <f>_xlfn.IFNA(IF(VLOOKUP($J221&amp;P$12,'Mapping A'!$A$6:$G$1011,7,0)=1,$L221,""),0)</f>
        <v>86.625</v>
      </c>
      <c r="Q221" s="15">
        <f>_xlfn.IFNA(IF(VLOOKUP($J221&amp;Q$12,'Mapping A'!$A$6:$G$1011,7,0)=1,$L221,""),0)</f>
        <v>86.625</v>
      </c>
      <c r="R221" s="15">
        <f>_xlfn.IFNA(IF(VLOOKUP($J221&amp;R$12,'Mapping A'!$A$6:$G$1011,7,0)=1,$L221,""),0)</f>
        <v>0</v>
      </c>
      <c r="S221" s="15">
        <f>_xlfn.IFNA(IF(VLOOKUP($J221&amp;S$12,'Mapping A'!$A$6:$G$1011,7,0)=1,$L221,""),0)</f>
        <v>0</v>
      </c>
      <c r="T221" s="15">
        <f>_xlfn.IFNA(IF(VLOOKUP($J221&amp;T$14,'Mapping A'!$A$6:$G$1011,7,0)=1,$L221,""),0)</f>
        <v>86.625</v>
      </c>
      <c r="U221" s="15">
        <f>_xlfn.IFNA(IF(VLOOKUP($J221&amp;U$12,'Mapping A'!$A$6:$G$1011,7,0)=1,$L221,""),0)</f>
        <v>0</v>
      </c>
      <c r="V221" s="15">
        <f>_xlfn.IFNA(IF(VLOOKUP($J221&amp;V$12,'Mapping A'!$A$6:$G$1011,7,0)=1,$L221,""),0)</f>
        <v>86.625</v>
      </c>
      <c r="W221" s="15">
        <f>_xlfn.IFNA(IF(VLOOKUP($J221&amp;W$12,'Mapping A'!$A$6:$G$1011,7,0)=1,$L221,""),0)</f>
        <v>0</v>
      </c>
      <c r="X221" s="15">
        <f>_xlfn.IFNA(IF(VLOOKUP($J221&amp;X$12,'Mapping A'!$A$6:$G$1011,7,0)=1,$L221,""),0)</f>
        <v>0</v>
      </c>
      <c r="Y221" s="15">
        <f>_xlfn.IFNA(IF(VLOOKUP($J221&amp;Y$12,'Mapping A'!$A$6:$G$1011,7,0)=1,$L221,""),0)</f>
        <v>0</v>
      </c>
      <c r="Z221" s="15">
        <f>_xlfn.IFNA(IF(VLOOKUP($J221&amp;Z$12,'Mapping A'!$A$6:$G$1011,7,0)=1,$L221,""),0)</f>
        <v>0</v>
      </c>
      <c r="AA221" s="15">
        <f>_xlfn.IFNA(IF(VLOOKUP($J221&amp;AA$12,'Mapping A'!$A$6:$G$1011,7,0)=1,$L221,""),0)</f>
        <v>0</v>
      </c>
      <c r="AF221" s="155" t="str">
        <f t="shared" si="85"/>
        <v>TWH0331WEL</v>
      </c>
      <c r="AG221" s="15" t="s">
        <v>358</v>
      </c>
      <c r="AH221" s="190" t="s">
        <v>39</v>
      </c>
      <c r="AI221" s="190">
        <f t="shared" si="78"/>
        <v>86.625</v>
      </c>
      <c r="AJ221" s="292" t="s">
        <v>95</v>
      </c>
      <c r="AK221" s="15"/>
      <c r="AL221" s="15">
        <f t="shared" ca="1" si="72"/>
        <v>0</v>
      </c>
      <c r="AM221" s="15">
        <f t="shared" ca="1" si="73"/>
        <v>0</v>
      </c>
      <c r="AN221" s="15">
        <f t="shared" ca="1" si="74"/>
        <v>0</v>
      </c>
      <c r="AO221" s="15">
        <f t="shared" ca="1" si="75"/>
        <v>0</v>
      </c>
      <c r="AP221" s="15"/>
      <c r="AQ221" s="15">
        <f t="shared" ca="1" si="76"/>
        <v>0</v>
      </c>
      <c r="AR221" s="20">
        <f t="shared" ca="1" si="79"/>
        <v>0</v>
      </c>
      <c r="AS221" s="20"/>
      <c r="AT221" s="20">
        <f t="shared" ca="1" si="80"/>
        <v>0</v>
      </c>
      <c r="AU221" s="20">
        <f t="shared" ca="1" si="81"/>
        <v>0</v>
      </c>
      <c r="AV221" s="20">
        <f t="shared" ca="1" si="82"/>
        <v>0</v>
      </c>
      <c r="AW221" s="20">
        <f t="shared" si="83"/>
        <v>0</v>
      </c>
      <c r="AX221" s="20">
        <f t="shared" si="84"/>
        <v>0</v>
      </c>
      <c r="BA221" s="20"/>
      <c r="BD221" s="94" t="str">
        <f t="shared" ref="BD221:BD257" si="89">BG221&amp;BF221</f>
        <v>TNG0551Kiwirail</v>
      </c>
      <c r="BF221" s="15" t="s">
        <v>51</v>
      </c>
      <c r="BG221" t="s">
        <v>351</v>
      </c>
      <c r="BH221" s="190">
        <v>9.0342000000000002</v>
      </c>
      <c r="BI221" s="190">
        <v>9.0299997329711896</v>
      </c>
      <c r="BJ221" s="257">
        <f t="shared" si="88"/>
        <v>0.32087885957159917</v>
      </c>
      <c r="BK221" s="257">
        <f t="shared" si="86"/>
        <v>0.3517626116971948</v>
      </c>
      <c r="BL221" s="257">
        <f t="shared" si="87"/>
        <v>0.37235177978092532</v>
      </c>
      <c r="BM221" s="342" t="str">
        <f>VLOOKUP(LEFT(BG221,3),'Mapping B'!$D$2:$E$310,2,0)</f>
        <v>N</v>
      </c>
      <c r="BO221" s="20"/>
      <c r="BP221" s="190"/>
      <c r="BQ221" s="20"/>
      <c r="BR221" s="20"/>
    </row>
    <row r="222" spans="2:70" x14ac:dyDescent="0.25">
      <c r="B222" s="98" t="s">
        <v>555</v>
      </c>
      <c r="C222" s="98">
        <v>2014</v>
      </c>
      <c r="D222" s="98" t="s">
        <v>179</v>
      </c>
      <c r="E222" s="98" t="s">
        <v>4</v>
      </c>
      <c r="F222" s="98" t="s">
        <v>136</v>
      </c>
      <c r="G222" s="98">
        <v>0</v>
      </c>
      <c r="H222" s="299" t="str">
        <f>VLOOKUP(LEFT('Rev Adequacy'!D222,3),'Mapping B'!$D$2:$E$400,2,0)</f>
        <v>S</v>
      </c>
      <c r="I222" s="190"/>
      <c r="J222" s="15" t="s">
        <v>361</v>
      </c>
      <c r="K222" s="190" t="s">
        <v>54</v>
      </c>
      <c r="L222" s="190">
        <f t="shared" si="77"/>
        <v>582.21400000000006</v>
      </c>
      <c r="O222" s="15">
        <f>_xlfn.IFNA(IF(VLOOKUP($J222&amp;O$12,'Mapping A'!$A$6:$G$1011,7,0)=1,$L222,""),0)</f>
        <v>0</v>
      </c>
      <c r="P222" s="15">
        <f>_xlfn.IFNA(IF(VLOOKUP($J222&amp;P$12,'Mapping A'!$A$6:$G$1011,7,0)=1,$L222,""),0)</f>
        <v>582.21400000000006</v>
      </c>
      <c r="Q222" s="15">
        <f>_xlfn.IFNA(IF(VLOOKUP($J222&amp;Q$12,'Mapping A'!$A$6:$G$1011,7,0)=1,$L222,""),0)</f>
        <v>0</v>
      </c>
      <c r="R222" s="15">
        <f>_xlfn.IFNA(IF(VLOOKUP($J222&amp;R$12,'Mapping A'!$A$6:$G$1011,7,0)=1,$L222,""),0)</f>
        <v>0</v>
      </c>
      <c r="S222" s="15">
        <f>_xlfn.IFNA(IF(VLOOKUP($J222&amp;S$12,'Mapping A'!$A$6:$G$1011,7,0)=1,$L222,""),0)</f>
        <v>0</v>
      </c>
      <c r="T222" s="15">
        <f>_xlfn.IFNA(IF(VLOOKUP($J222&amp;T$14,'Mapping A'!$A$6:$G$1011,7,0)=1,$L222,""),0)</f>
        <v>0</v>
      </c>
      <c r="U222" s="15">
        <f>_xlfn.IFNA(IF(VLOOKUP($J222&amp;U$12,'Mapping A'!$A$6:$G$1011,7,0)=1,$L222,""),0)</f>
        <v>0</v>
      </c>
      <c r="V222" s="15">
        <f>_xlfn.IFNA(IF(VLOOKUP($J222&amp;V$12,'Mapping A'!$A$6:$G$1011,7,0)=1,$L222,""),0)</f>
        <v>0</v>
      </c>
      <c r="W222" s="15">
        <f>_xlfn.IFNA(IF(VLOOKUP($J222&amp;W$12,'Mapping A'!$A$6:$G$1011,7,0)=1,$L222,""),0)</f>
        <v>0</v>
      </c>
      <c r="X222" s="15">
        <f>_xlfn.IFNA(IF(VLOOKUP($J222&amp;X$12,'Mapping A'!$A$6:$G$1011,7,0)=1,$L222,""),0)</f>
        <v>0</v>
      </c>
      <c r="Y222" s="15">
        <f>_xlfn.IFNA(IF(VLOOKUP($J222&amp;Y$12,'Mapping A'!$A$6:$G$1011,7,0)=1,$L222,""),0)</f>
        <v>582.21400000000006</v>
      </c>
      <c r="Z222" s="15">
        <f>_xlfn.IFNA(IF(VLOOKUP($J222&amp;Z$12,'Mapping A'!$A$6:$G$1011,7,0)=1,$L222,""),0)</f>
        <v>0</v>
      </c>
      <c r="AA222" s="15">
        <f>_xlfn.IFNA(IF(VLOOKUP($J222&amp;AA$12,'Mapping A'!$A$6:$G$1011,7,0)=1,$L222,""),0)</f>
        <v>0</v>
      </c>
      <c r="AF222" s="155" t="str">
        <f t="shared" si="85"/>
        <v>TWI2201Pacific Aluminium</v>
      </c>
      <c r="AG222" s="15" t="s">
        <v>361</v>
      </c>
      <c r="AH222" s="190" t="s">
        <v>54</v>
      </c>
      <c r="AI222" s="190">
        <f t="shared" si="78"/>
        <v>582.21400000000006</v>
      </c>
      <c r="AJ222" s="292" t="s">
        <v>96</v>
      </c>
      <c r="AK222" s="15"/>
      <c r="AL222" s="15">
        <f t="shared" ca="1" si="72"/>
        <v>0</v>
      </c>
      <c r="AM222" s="15">
        <f t="shared" ca="1" si="73"/>
        <v>0</v>
      </c>
      <c r="AN222" s="15">
        <f t="shared" ca="1" si="74"/>
        <v>0</v>
      </c>
      <c r="AO222" s="15">
        <f t="shared" ca="1" si="75"/>
        <v>0</v>
      </c>
      <c r="AP222" s="15"/>
      <c r="AQ222" s="15">
        <f t="shared" ca="1" si="76"/>
        <v>0</v>
      </c>
      <c r="AR222" s="20">
        <f t="shared" ca="1" si="79"/>
        <v>0</v>
      </c>
      <c r="AS222" s="20"/>
      <c r="AT222" s="20">
        <f t="shared" ca="1" si="80"/>
        <v>0</v>
      </c>
      <c r="AU222" s="20">
        <f t="shared" ca="1" si="81"/>
        <v>0</v>
      </c>
      <c r="AV222" s="20">
        <f t="shared" ca="1" si="82"/>
        <v>1.5676377274003712</v>
      </c>
      <c r="AW222" s="20">
        <f t="shared" si="83"/>
        <v>0</v>
      </c>
      <c r="AX222" s="20">
        <f t="shared" si="84"/>
        <v>0</v>
      </c>
      <c r="BA222" s="20"/>
      <c r="BD222" s="94" t="str">
        <f t="shared" si="89"/>
        <v>TRK0111Unison</v>
      </c>
      <c r="BF222" s="15" t="s">
        <v>36</v>
      </c>
      <c r="BG222" t="s">
        <v>352</v>
      </c>
      <c r="BH222" s="190">
        <v>8.2887000000000004</v>
      </c>
      <c r="BI222" s="190">
        <v>8.2930002212524396</v>
      </c>
      <c r="BJ222" s="257">
        <f t="shared" si="88"/>
        <v>0.29440001365158108</v>
      </c>
      <c r="BK222" s="257">
        <f t="shared" si="86"/>
        <v>0.32273524601785869</v>
      </c>
      <c r="BL222" s="257">
        <f t="shared" si="87"/>
        <v>0.34162540092871041</v>
      </c>
      <c r="BM222" s="342" t="str">
        <f>VLOOKUP(LEFT(BG222,3),'Mapping B'!$D$2:$E$310,2,0)</f>
        <v>N</v>
      </c>
      <c r="BO222" s="20"/>
      <c r="BP222" s="190"/>
      <c r="BQ222" s="20"/>
      <c r="BR222" s="20"/>
    </row>
    <row r="223" spans="2:70" x14ac:dyDescent="0.25">
      <c r="B223" s="98" t="s">
        <v>555</v>
      </c>
      <c r="C223" s="98">
        <v>2014</v>
      </c>
      <c r="D223" s="98" t="s">
        <v>287</v>
      </c>
      <c r="E223" s="98" t="s">
        <v>4</v>
      </c>
      <c r="F223" s="98" t="s">
        <v>136</v>
      </c>
      <c r="G223" s="98">
        <v>341015.47599999898</v>
      </c>
      <c r="H223" s="299" t="str">
        <f>VLOOKUP(LEFT('Rev Adequacy'!D223,3),'Mapping B'!$D$2:$E$400,2,0)</f>
        <v>N</v>
      </c>
      <c r="I223" s="190"/>
      <c r="J223" s="15" t="s">
        <v>362</v>
      </c>
      <c r="K223" s="190" t="s">
        <v>0</v>
      </c>
      <c r="L223" s="190">
        <f t="shared" si="77"/>
        <v>3.3369</v>
      </c>
      <c r="O223" s="15">
        <f>_xlfn.IFNA(IF(VLOOKUP($J223&amp;O$12,'Mapping A'!$A$6:$G$1011,7,0)=1,$L223,""),0)</f>
        <v>0</v>
      </c>
      <c r="P223" s="15">
        <f>_xlfn.IFNA(IF(VLOOKUP($J223&amp;P$12,'Mapping A'!$A$6:$G$1011,7,0)=1,$L223,""),0)</f>
        <v>3.3369</v>
      </c>
      <c r="Q223" s="15">
        <f>_xlfn.IFNA(IF(VLOOKUP($J223&amp;Q$12,'Mapping A'!$A$6:$G$1011,7,0)=1,$L223,""),0)</f>
        <v>0</v>
      </c>
      <c r="R223" s="15">
        <f>_xlfn.IFNA(IF(VLOOKUP($J223&amp;R$12,'Mapping A'!$A$6:$G$1011,7,0)=1,$L223,""),0)</f>
        <v>0</v>
      </c>
      <c r="S223" s="15">
        <f>_xlfn.IFNA(IF(VLOOKUP($J223&amp;S$12,'Mapping A'!$A$6:$G$1011,7,0)=1,$L223,""),0)</f>
        <v>0</v>
      </c>
      <c r="T223" s="15">
        <f>_xlfn.IFNA(IF(VLOOKUP($J223&amp;T$14,'Mapping A'!$A$6:$G$1011,7,0)=1,$L223,""),0)</f>
        <v>0</v>
      </c>
      <c r="U223" s="15">
        <f>_xlfn.IFNA(IF(VLOOKUP($J223&amp;U$12,'Mapping A'!$A$6:$G$1011,7,0)=1,$L223,""),0)</f>
        <v>0</v>
      </c>
      <c r="V223" s="15">
        <f>_xlfn.IFNA(IF(VLOOKUP($J223&amp;V$12,'Mapping A'!$A$6:$G$1011,7,0)=1,$L223,""),0)</f>
        <v>0</v>
      </c>
      <c r="W223" s="15">
        <f>_xlfn.IFNA(IF(VLOOKUP($J223&amp;W$12,'Mapping A'!$A$6:$G$1011,7,0)=1,$L223,""),0)</f>
        <v>0</v>
      </c>
      <c r="X223" s="15">
        <f>_xlfn.IFNA(IF(VLOOKUP($J223&amp;X$12,'Mapping A'!$A$6:$G$1011,7,0)=1,$L223,""),0)</f>
        <v>0</v>
      </c>
      <c r="Y223" s="15">
        <f>_xlfn.IFNA(IF(VLOOKUP($J223&amp;Y$12,'Mapping A'!$A$6:$G$1011,7,0)=1,$L223,""),0)</f>
        <v>0</v>
      </c>
      <c r="Z223" s="15">
        <f>_xlfn.IFNA(IF(VLOOKUP($J223&amp;Z$12,'Mapping A'!$A$6:$G$1011,7,0)=1,$L223,""),0)</f>
        <v>0</v>
      </c>
      <c r="AA223" s="15">
        <f>_xlfn.IFNA(IF(VLOOKUP($J223&amp;AA$12,'Mapping A'!$A$6:$G$1011,7,0)=1,$L223,""),0)</f>
        <v>0</v>
      </c>
      <c r="AF223" s="155" t="str">
        <f t="shared" si="85"/>
        <v>TWZ0331Alpine Energy</v>
      </c>
      <c r="AG223" s="15" t="s">
        <v>362</v>
      </c>
      <c r="AH223" s="190" t="s">
        <v>0</v>
      </c>
      <c r="AI223" s="190">
        <f t="shared" si="78"/>
        <v>3.3369</v>
      </c>
      <c r="AJ223" s="292" t="s">
        <v>96</v>
      </c>
      <c r="AK223" s="15"/>
      <c r="AL223" s="15">
        <f t="shared" ca="1" si="72"/>
        <v>0</v>
      </c>
      <c r="AM223" s="15">
        <f t="shared" ca="1" si="73"/>
        <v>0</v>
      </c>
      <c r="AN223" s="15">
        <f t="shared" ca="1" si="74"/>
        <v>0</v>
      </c>
      <c r="AO223" s="15">
        <f t="shared" ca="1" si="75"/>
        <v>0</v>
      </c>
      <c r="AP223" s="15"/>
      <c r="AQ223" s="15">
        <f t="shared" ca="1" si="76"/>
        <v>0</v>
      </c>
      <c r="AR223" s="20">
        <f t="shared" ca="1" si="79"/>
        <v>0</v>
      </c>
      <c r="AS223" s="20"/>
      <c r="AT223" s="20">
        <f t="shared" ca="1" si="80"/>
        <v>0</v>
      </c>
      <c r="AU223" s="20">
        <f t="shared" ca="1" si="81"/>
        <v>0</v>
      </c>
      <c r="AV223" s="20">
        <f t="shared" ca="1" si="82"/>
        <v>0</v>
      </c>
      <c r="AW223" s="20">
        <f t="shared" si="83"/>
        <v>0</v>
      </c>
      <c r="AX223" s="20">
        <f t="shared" si="84"/>
        <v>0</v>
      </c>
      <c r="BA223" s="20"/>
      <c r="BD223" s="94" t="str">
        <f t="shared" si="89"/>
        <v>TUI1101Eastland Network</v>
      </c>
      <c r="BF223" s="15" t="s">
        <v>7</v>
      </c>
      <c r="BG223" t="s">
        <v>353</v>
      </c>
      <c r="BH223" s="190">
        <v>58.113300000000002</v>
      </c>
      <c r="BI223" s="190">
        <v>53.417999267578097</v>
      </c>
      <c r="BJ223" s="257">
        <f t="shared" si="88"/>
        <v>2.0640819806891826</v>
      </c>
      <c r="BK223" s="257">
        <f t="shared" si="86"/>
        <v>2.2627444801247032</v>
      </c>
      <c r="BL223" s="257">
        <f t="shared" si="87"/>
        <v>2.3951861464150501</v>
      </c>
      <c r="BM223" s="342" t="str">
        <f>VLOOKUP(LEFT(BG223,3),'Mapping B'!$D$2:$E$310,2,0)</f>
        <v>N</v>
      </c>
      <c r="BO223" s="20"/>
      <c r="BP223" s="190"/>
      <c r="BQ223" s="20"/>
      <c r="BR223" s="20"/>
    </row>
    <row r="224" spans="2:70" x14ac:dyDescent="0.25">
      <c r="B224" s="98" t="s">
        <v>555</v>
      </c>
      <c r="C224" s="98">
        <v>2014</v>
      </c>
      <c r="D224" s="98" t="s">
        <v>293</v>
      </c>
      <c r="E224" s="98" t="s">
        <v>4</v>
      </c>
      <c r="F224" s="98" t="s">
        <v>131</v>
      </c>
      <c r="G224" s="98">
        <v>11887.7113204951</v>
      </c>
      <c r="H224" s="299" t="str">
        <f>VLOOKUP(LEFT('Rev Adequacy'!D224,3),'Mapping B'!$D$2:$E$400,2,0)</f>
        <v>N</v>
      </c>
      <c r="I224" s="190"/>
      <c r="J224" s="15" t="s">
        <v>362</v>
      </c>
      <c r="K224" s="190" t="s">
        <v>14</v>
      </c>
      <c r="L224" s="190">
        <f t="shared" si="77"/>
        <v>1.0983000000000001</v>
      </c>
      <c r="O224" s="15">
        <f>_xlfn.IFNA(IF(VLOOKUP($J224&amp;O$12,'Mapping A'!$A$6:$G$1011,7,0)=1,$L224,""),0)</f>
        <v>0</v>
      </c>
      <c r="P224" s="15">
        <f>_xlfn.IFNA(IF(VLOOKUP($J224&amp;P$12,'Mapping A'!$A$6:$G$1011,7,0)=1,$L224,""),0)</f>
        <v>1.0983000000000001</v>
      </c>
      <c r="Q224" s="15">
        <f>_xlfn.IFNA(IF(VLOOKUP($J224&amp;Q$12,'Mapping A'!$A$6:$G$1011,7,0)=1,$L224,""),0)</f>
        <v>0</v>
      </c>
      <c r="R224" s="15">
        <f>_xlfn.IFNA(IF(VLOOKUP($J224&amp;R$12,'Mapping A'!$A$6:$G$1011,7,0)=1,$L224,""),0)</f>
        <v>0</v>
      </c>
      <c r="S224" s="15">
        <f>_xlfn.IFNA(IF(VLOOKUP($J224&amp;S$12,'Mapping A'!$A$6:$G$1011,7,0)=1,$L224,""),0)</f>
        <v>0</v>
      </c>
      <c r="T224" s="15">
        <f>_xlfn.IFNA(IF(VLOOKUP($J224&amp;T$14,'Mapping A'!$A$6:$G$1011,7,0)=1,$L224,""),0)</f>
        <v>0</v>
      </c>
      <c r="U224" s="15">
        <f>_xlfn.IFNA(IF(VLOOKUP($J224&amp;U$12,'Mapping A'!$A$6:$G$1011,7,0)=1,$L224,""),0)</f>
        <v>0</v>
      </c>
      <c r="V224" s="15">
        <f>_xlfn.IFNA(IF(VLOOKUP($J224&amp;V$12,'Mapping A'!$A$6:$G$1011,7,0)=1,$L224,""),0)</f>
        <v>0</v>
      </c>
      <c r="W224" s="15">
        <f>_xlfn.IFNA(IF(VLOOKUP($J224&amp;W$12,'Mapping A'!$A$6:$G$1011,7,0)=1,$L224,""),0)</f>
        <v>0</v>
      </c>
      <c r="X224" s="15">
        <f>_xlfn.IFNA(IF(VLOOKUP($J224&amp;X$12,'Mapping A'!$A$6:$G$1011,7,0)=1,$L224,""),0)</f>
        <v>0</v>
      </c>
      <c r="Y224" s="15">
        <f>_xlfn.IFNA(IF(VLOOKUP($J224&amp;Y$12,'Mapping A'!$A$6:$G$1011,7,0)=1,$L224,""),0)</f>
        <v>0</v>
      </c>
      <c r="Z224" s="15">
        <f>_xlfn.IFNA(IF(VLOOKUP($J224&amp;Z$12,'Mapping A'!$A$6:$G$1011,7,0)=1,$L224,""),0)</f>
        <v>0</v>
      </c>
      <c r="AA224" s="15">
        <f>_xlfn.IFNA(IF(VLOOKUP($J224&amp;AA$12,'Mapping A'!$A$6:$G$1011,7,0)=1,$L224,""),0)</f>
        <v>0</v>
      </c>
      <c r="AF224" s="155" t="str">
        <f t="shared" si="85"/>
        <v>TWZ0331Meridian</v>
      </c>
      <c r="AG224" s="15" t="s">
        <v>362</v>
      </c>
      <c r="AH224" s="190" t="s">
        <v>14</v>
      </c>
      <c r="AI224" s="190">
        <f t="shared" si="78"/>
        <v>1.0983000000000001</v>
      </c>
      <c r="AJ224" s="292" t="s">
        <v>96</v>
      </c>
      <c r="AK224" s="15"/>
      <c r="AL224" s="15">
        <f t="shared" ca="1" si="72"/>
        <v>0</v>
      </c>
      <c r="AM224" s="15">
        <f t="shared" ca="1" si="73"/>
        <v>0</v>
      </c>
      <c r="AN224" s="15">
        <f t="shared" ca="1" si="74"/>
        <v>0</v>
      </c>
      <c r="AO224" s="15">
        <f t="shared" ca="1" si="75"/>
        <v>0</v>
      </c>
      <c r="AP224" s="15"/>
      <c r="AQ224" s="15">
        <f t="shared" ca="1" si="76"/>
        <v>0</v>
      </c>
      <c r="AR224" s="20">
        <f t="shared" ca="1" si="79"/>
        <v>0</v>
      </c>
      <c r="AS224" s="20"/>
      <c r="AT224" s="20">
        <f t="shared" ca="1" si="80"/>
        <v>0</v>
      </c>
      <c r="AU224" s="20">
        <f t="shared" ca="1" si="81"/>
        <v>0</v>
      </c>
      <c r="AV224" s="20">
        <f t="shared" ca="1" si="82"/>
        <v>0</v>
      </c>
      <c r="AW224" s="20">
        <f t="shared" si="83"/>
        <v>0</v>
      </c>
      <c r="AX224" s="20">
        <f t="shared" si="84"/>
        <v>0</v>
      </c>
      <c r="BA224" s="20"/>
      <c r="BD224" s="94" t="str">
        <f t="shared" si="89"/>
        <v>TUI1101Genesis</v>
      </c>
      <c r="BF224" s="15" t="s">
        <v>10</v>
      </c>
      <c r="BG224" t="s">
        <v>353</v>
      </c>
      <c r="BH224" s="190">
        <v>0.67200000000000004</v>
      </c>
      <c r="BI224" s="190">
        <v>0.62673957011993997</v>
      </c>
      <c r="BJ224" s="257">
        <f t="shared" si="88"/>
        <v>2.3868255477199379E-2</v>
      </c>
      <c r="BK224" s="257">
        <f t="shared" si="86"/>
        <v>2.6165512725035416E-2</v>
      </c>
      <c r="BL224" s="257">
        <f t="shared" si="87"/>
        <v>2.7697017556926103E-2</v>
      </c>
      <c r="BM224" s="342" t="str">
        <f>VLOOKUP(LEFT(BG224,3),'Mapping B'!$D$2:$E$310,2,0)</f>
        <v>N</v>
      </c>
      <c r="BO224" s="20"/>
      <c r="BP224" s="190"/>
      <c r="BQ224" s="20"/>
      <c r="BR224" s="20"/>
    </row>
    <row r="225" spans="2:70" x14ac:dyDescent="0.25">
      <c r="B225" s="98" t="s">
        <v>555</v>
      </c>
      <c r="C225" s="98">
        <v>2014</v>
      </c>
      <c r="D225" s="98" t="s">
        <v>303</v>
      </c>
      <c r="E225" s="98" t="s">
        <v>4</v>
      </c>
      <c r="F225" s="98" t="s">
        <v>131</v>
      </c>
      <c r="G225" s="98">
        <v>0</v>
      </c>
      <c r="H225" s="299" t="str">
        <f>VLOOKUP(LEFT('Rev Adequacy'!D225,3),'Mapping B'!$D$2:$E$400,2,0)</f>
        <v>N</v>
      </c>
      <c r="I225" s="190"/>
      <c r="J225" s="15" t="s">
        <v>362</v>
      </c>
      <c r="K225" s="190" t="s">
        <v>20</v>
      </c>
      <c r="L225" s="190">
        <f t="shared" si="77"/>
        <v>4.8216000000000001</v>
      </c>
      <c r="O225" s="15">
        <f>_xlfn.IFNA(IF(VLOOKUP($J225&amp;O$12,'Mapping A'!$A$6:$G$1011,7,0)=1,$L225,""),0)</f>
        <v>0</v>
      </c>
      <c r="P225" s="15">
        <f>_xlfn.IFNA(IF(VLOOKUP($J225&amp;P$12,'Mapping A'!$A$6:$G$1011,7,0)=1,$L225,""),0)</f>
        <v>4.8216000000000001</v>
      </c>
      <c r="Q225" s="15">
        <f>_xlfn.IFNA(IF(VLOOKUP($J225&amp;Q$12,'Mapping A'!$A$6:$G$1011,7,0)=1,$L225,""),0)</f>
        <v>0</v>
      </c>
      <c r="R225" s="15">
        <f>_xlfn.IFNA(IF(VLOOKUP($J225&amp;R$12,'Mapping A'!$A$6:$G$1011,7,0)=1,$L225,""),0)</f>
        <v>0</v>
      </c>
      <c r="S225" s="15">
        <f>_xlfn.IFNA(IF(VLOOKUP($J225&amp;S$12,'Mapping A'!$A$6:$G$1011,7,0)=1,$L225,""),0)</f>
        <v>0</v>
      </c>
      <c r="T225" s="15">
        <f>_xlfn.IFNA(IF(VLOOKUP($J225&amp;T$14,'Mapping A'!$A$6:$G$1011,7,0)=1,$L225,""),0)</f>
        <v>0</v>
      </c>
      <c r="U225" s="15">
        <f>_xlfn.IFNA(IF(VLOOKUP($J225&amp;U$12,'Mapping A'!$A$6:$G$1011,7,0)=1,$L225,""),0)</f>
        <v>0</v>
      </c>
      <c r="V225" s="15">
        <f>_xlfn.IFNA(IF(VLOOKUP($J225&amp;V$12,'Mapping A'!$A$6:$G$1011,7,0)=1,$L225,""),0)</f>
        <v>0</v>
      </c>
      <c r="W225" s="15">
        <f>_xlfn.IFNA(IF(VLOOKUP($J225&amp;W$12,'Mapping A'!$A$6:$G$1011,7,0)=1,$L225,""),0)</f>
        <v>0</v>
      </c>
      <c r="X225" s="15">
        <f>_xlfn.IFNA(IF(VLOOKUP($J225&amp;X$12,'Mapping A'!$A$6:$G$1011,7,0)=1,$L225,""),0)</f>
        <v>0</v>
      </c>
      <c r="Y225" s="15">
        <f>_xlfn.IFNA(IF(VLOOKUP($J225&amp;Y$12,'Mapping A'!$A$6:$G$1011,7,0)=1,$L225,""),0)</f>
        <v>0</v>
      </c>
      <c r="Z225" s="15">
        <f>_xlfn.IFNA(IF(VLOOKUP($J225&amp;Z$12,'Mapping A'!$A$6:$G$1011,7,0)=1,$L225,""),0)</f>
        <v>0</v>
      </c>
      <c r="AA225" s="15">
        <f>_xlfn.IFNA(IF(VLOOKUP($J225&amp;AA$12,'Mapping A'!$A$6:$G$1011,7,0)=1,$L225,""),0)</f>
        <v>0</v>
      </c>
      <c r="AF225" s="155" t="str">
        <f t="shared" si="85"/>
        <v>TWZ0331Network Waitaki</v>
      </c>
      <c r="AG225" s="15" t="s">
        <v>362</v>
      </c>
      <c r="AH225" s="190" t="s">
        <v>20</v>
      </c>
      <c r="AI225" s="190">
        <f t="shared" si="78"/>
        <v>4.8216000000000001</v>
      </c>
      <c r="AJ225" s="292" t="s">
        <v>96</v>
      </c>
      <c r="AK225" s="15"/>
      <c r="AL225" s="15">
        <f t="shared" ca="1" si="72"/>
        <v>0</v>
      </c>
      <c r="AM225" s="15">
        <f t="shared" ca="1" si="73"/>
        <v>0</v>
      </c>
      <c r="AN225" s="15">
        <f t="shared" ca="1" si="74"/>
        <v>0</v>
      </c>
      <c r="AO225" s="15">
        <f t="shared" ca="1" si="75"/>
        <v>0</v>
      </c>
      <c r="AP225" s="15"/>
      <c r="AQ225" s="15">
        <f t="shared" ca="1" si="76"/>
        <v>0</v>
      </c>
      <c r="AR225" s="20">
        <f t="shared" ca="1" si="79"/>
        <v>0</v>
      </c>
      <c r="AS225" s="20"/>
      <c r="AT225" s="20">
        <f t="shared" ca="1" si="80"/>
        <v>0</v>
      </c>
      <c r="AU225" s="20">
        <f t="shared" ca="1" si="81"/>
        <v>0</v>
      </c>
      <c r="AV225" s="20">
        <f t="shared" ca="1" si="82"/>
        <v>0</v>
      </c>
      <c r="AW225" s="20">
        <f t="shared" si="83"/>
        <v>0</v>
      </c>
      <c r="AX225" s="20">
        <f t="shared" si="84"/>
        <v>0</v>
      </c>
      <c r="BA225" s="20"/>
      <c r="BD225" s="94" t="str">
        <f t="shared" si="89"/>
        <v>TWC2201TrustPower</v>
      </c>
      <c r="BF225" s="15" t="s">
        <v>138</v>
      </c>
      <c r="BG225" t="s">
        <v>357</v>
      </c>
      <c r="BH225" s="190">
        <v>1.1907000000000001</v>
      </c>
      <c r="BI225" s="190">
        <v>1.19200003147125</v>
      </c>
      <c r="BJ225" s="257">
        <f t="shared" si="88"/>
        <v>4.229156517366265E-2</v>
      </c>
      <c r="BK225" s="257">
        <f t="shared" si="86"/>
        <v>4.6362017859672124E-2</v>
      </c>
      <c r="BL225" s="257">
        <f t="shared" si="87"/>
        <v>4.9075652983678442E-2</v>
      </c>
      <c r="BM225" s="342" t="str">
        <f>VLOOKUP(LEFT(BG225,3),'Mapping B'!$D$2:$E$310,2,0)</f>
        <v>N</v>
      </c>
      <c r="BO225" s="20"/>
      <c r="BP225" s="190"/>
      <c r="BQ225" s="20"/>
      <c r="BR225" s="20"/>
    </row>
    <row r="226" spans="2:70" x14ac:dyDescent="0.25">
      <c r="B226" s="98" t="s">
        <v>555</v>
      </c>
      <c r="C226" s="98">
        <v>2014</v>
      </c>
      <c r="D226" s="98" t="s">
        <v>304</v>
      </c>
      <c r="E226" s="98" t="s">
        <v>4</v>
      </c>
      <c r="F226" s="98" t="s">
        <v>136</v>
      </c>
      <c r="G226" s="98">
        <v>0</v>
      </c>
      <c r="H226" s="299" t="str">
        <f>VLOOKUP(LEFT('Rev Adequacy'!D226,3),'Mapping B'!$D$2:$E$400,2,0)</f>
        <v>N</v>
      </c>
      <c r="I226" s="190"/>
      <c r="J226" s="15" t="s">
        <v>363</v>
      </c>
      <c r="K226" s="190" t="s">
        <v>40</v>
      </c>
      <c r="L226" s="190">
        <f t="shared" si="77"/>
        <v>32.003999999999998</v>
      </c>
      <c r="O226" s="15">
        <f>_xlfn.IFNA(IF(VLOOKUP($J226&amp;O$12,'Mapping A'!$A$6:$G$1011,7,0)=1,$L226,""),0)</f>
        <v>0</v>
      </c>
      <c r="P226" s="15">
        <f>_xlfn.IFNA(IF(VLOOKUP($J226&amp;P$12,'Mapping A'!$A$6:$G$1011,7,0)=1,$L226,""),0)</f>
        <v>32.003999999999998</v>
      </c>
      <c r="Q226" s="15">
        <f>_xlfn.IFNA(IF(VLOOKUP($J226&amp;Q$12,'Mapping A'!$A$6:$G$1011,7,0)=1,$L226,""),0)</f>
        <v>32.003999999999998</v>
      </c>
      <c r="R226" s="15">
        <f>_xlfn.IFNA(IF(VLOOKUP($J226&amp;R$12,'Mapping A'!$A$6:$G$1011,7,0)=1,$L226,""),0)</f>
        <v>0</v>
      </c>
      <c r="S226" s="15">
        <f>_xlfn.IFNA(IF(VLOOKUP($J226&amp;S$12,'Mapping A'!$A$6:$G$1011,7,0)=1,$L226,""),0)</f>
        <v>0</v>
      </c>
      <c r="T226" s="15">
        <f>_xlfn.IFNA(IF(VLOOKUP($J226&amp;T$14,'Mapping A'!$A$6:$G$1011,7,0)=1,$L226,""),0)</f>
        <v>0</v>
      </c>
      <c r="U226" s="15">
        <f>_xlfn.IFNA(IF(VLOOKUP($J226&amp;U$12,'Mapping A'!$A$6:$G$1011,7,0)=1,$L226,""),0)</f>
        <v>0</v>
      </c>
      <c r="V226" s="15">
        <f>_xlfn.IFNA(IF(VLOOKUP($J226&amp;V$12,'Mapping A'!$A$6:$G$1011,7,0)=1,$L226,""),0)</f>
        <v>0</v>
      </c>
      <c r="W226" s="15">
        <f>_xlfn.IFNA(IF(VLOOKUP($J226&amp;W$12,'Mapping A'!$A$6:$G$1011,7,0)=1,$L226,""),0)</f>
        <v>0</v>
      </c>
      <c r="X226" s="15">
        <f>_xlfn.IFNA(IF(VLOOKUP($J226&amp;X$12,'Mapping A'!$A$6:$G$1011,7,0)=1,$L226,""),0)</f>
        <v>0</v>
      </c>
      <c r="Y226" s="15">
        <f>_xlfn.IFNA(IF(VLOOKUP($J226&amp;Y$12,'Mapping A'!$A$6:$G$1011,7,0)=1,$L226,""),0)</f>
        <v>0</v>
      </c>
      <c r="Z226" s="15">
        <f>_xlfn.IFNA(IF(VLOOKUP($J226&amp;Z$12,'Mapping A'!$A$6:$G$1011,7,0)=1,$L226,""),0)</f>
        <v>0</v>
      </c>
      <c r="AA226" s="15">
        <f>_xlfn.IFNA(IF(VLOOKUP($J226&amp;AA$12,'Mapping A'!$A$6:$G$1011,7,0)=1,$L226,""),0)</f>
        <v>0</v>
      </c>
      <c r="AF226" s="155" t="str">
        <f t="shared" si="85"/>
        <v>UHT0331Wellington Electricity</v>
      </c>
      <c r="AG226" s="15" t="s">
        <v>363</v>
      </c>
      <c r="AH226" s="190" t="s">
        <v>40</v>
      </c>
      <c r="AI226" s="190">
        <f t="shared" si="78"/>
        <v>32.003999999999998</v>
      </c>
      <c r="AJ226" s="292" t="s">
        <v>95</v>
      </c>
      <c r="AK226" s="15"/>
      <c r="AL226" s="15">
        <f t="shared" ca="1" si="72"/>
        <v>0</v>
      </c>
      <c r="AM226" s="15">
        <f t="shared" ca="1" si="73"/>
        <v>0</v>
      </c>
      <c r="AN226" s="15">
        <f t="shared" ca="1" si="74"/>
        <v>0</v>
      </c>
      <c r="AO226" s="15">
        <f t="shared" ca="1" si="75"/>
        <v>0</v>
      </c>
      <c r="AP226" s="15"/>
      <c r="AQ226" s="15">
        <f t="shared" ca="1" si="76"/>
        <v>0</v>
      </c>
      <c r="AR226" s="20">
        <f t="shared" ca="1" si="79"/>
        <v>0</v>
      </c>
      <c r="AS226" s="20"/>
      <c r="AT226" s="20">
        <f t="shared" ca="1" si="80"/>
        <v>0</v>
      </c>
      <c r="AU226" s="20">
        <f t="shared" ca="1" si="81"/>
        <v>0</v>
      </c>
      <c r="AV226" s="20">
        <f t="shared" ca="1" si="82"/>
        <v>0</v>
      </c>
      <c r="AW226" s="20">
        <f t="shared" si="83"/>
        <v>0</v>
      </c>
      <c r="AX226" s="20">
        <f t="shared" si="84"/>
        <v>0</v>
      </c>
      <c r="BA226" s="20"/>
      <c r="BD226" s="94" t="str">
        <f t="shared" si="89"/>
        <v>TWH0331WEL</v>
      </c>
      <c r="BF226" s="15" t="s">
        <v>39</v>
      </c>
      <c r="BG226" t="s">
        <v>358</v>
      </c>
      <c r="BH226" s="190">
        <v>86.625</v>
      </c>
      <c r="BI226" s="190">
        <v>93.482002258300696</v>
      </c>
      <c r="BJ226" s="257">
        <f t="shared" si="88"/>
        <v>3.0767673076077324</v>
      </c>
      <c r="BK226" s="257">
        <f t="shared" si="86"/>
        <v>3.3728981247115959</v>
      </c>
      <c r="BL226" s="257">
        <f t="shared" si="87"/>
        <v>3.5703186694475053</v>
      </c>
      <c r="BM226" s="342" t="str">
        <f>VLOOKUP(LEFT(BG226,3),'Mapping B'!$D$2:$E$310,2,0)</f>
        <v>N</v>
      </c>
      <c r="BO226" s="20"/>
      <c r="BP226" s="190"/>
      <c r="BQ226" s="20"/>
      <c r="BR226" s="20"/>
    </row>
    <row r="227" spans="2:70" x14ac:dyDescent="0.25">
      <c r="B227" s="98" t="s">
        <v>555</v>
      </c>
      <c r="C227" s="98">
        <v>2014</v>
      </c>
      <c r="D227" s="98" t="s">
        <v>315</v>
      </c>
      <c r="E227" s="98" t="s">
        <v>4</v>
      </c>
      <c r="F227" s="98" t="s">
        <v>136</v>
      </c>
      <c r="G227" s="98">
        <v>0</v>
      </c>
      <c r="H227" s="299" t="str">
        <f>VLOOKUP(LEFT('Rev Adequacy'!D227,3),'Mapping B'!$D$2:$E$400,2,0)</f>
        <v>S</v>
      </c>
      <c r="I227" s="190"/>
      <c r="J227" s="15" t="s">
        <v>364</v>
      </c>
      <c r="K227" s="190" t="s">
        <v>11</v>
      </c>
      <c r="L227" s="190">
        <f t="shared" si="77"/>
        <v>9.9077999999999999</v>
      </c>
      <c r="O227" s="15">
        <f>_xlfn.IFNA(IF(VLOOKUP($J227&amp;O$12,'Mapping A'!$A$6:$G$1011,7,0)=1,$L227,""),0)</f>
        <v>0</v>
      </c>
      <c r="P227" s="15">
        <f>_xlfn.IFNA(IF(VLOOKUP($J227&amp;P$12,'Mapping A'!$A$6:$G$1011,7,0)=1,$L227,""),0)</f>
        <v>9.9077999999999999</v>
      </c>
      <c r="Q227" s="15">
        <f>_xlfn.IFNA(IF(VLOOKUP($J227&amp;Q$12,'Mapping A'!$A$6:$G$1011,7,0)=1,$L227,""),0)</f>
        <v>9.9077999999999999</v>
      </c>
      <c r="R227" s="15">
        <f>_xlfn.IFNA(IF(VLOOKUP($J227&amp;R$12,'Mapping A'!$A$6:$G$1011,7,0)=1,$L227,""),0)</f>
        <v>0</v>
      </c>
      <c r="S227" s="15">
        <f>_xlfn.IFNA(IF(VLOOKUP($J227&amp;S$12,'Mapping A'!$A$6:$G$1011,7,0)=1,$L227,""),0)</f>
        <v>0</v>
      </c>
      <c r="T227" s="15">
        <f>_xlfn.IFNA(IF(VLOOKUP($J227&amp;T$14,'Mapping A'!$A$6:$G$1011,7,0)=1,$L227,""),0)</f>
        <v>9.9077999999999999</v>
      </c>
      <c r="U227" s="15">
        <f>_xlfn.IFNA(IF(VLOOKUP($J227&amp;U$12,'Mapping A'!$A$6:$G$1011,7,0)=1,$L227,""),0)</f>
        <v>0</v>
      </c>
      <c r="V227" s="15">
        <f>_xlfn.IFNA(IF(VLOOKUP($J227&amp;V$12,'Mapping A'!$A$6:$G$1011,7,0)=1,$L227,""),0)</f>
        <v>0</v>
      </c>
      <c r="W227" s="15">
        <f>_xlfn.IFNA(IF(VLOOKUP($J227&amp;W$12,'Mapping A'!$A$6:$G$1011,7,0)=1,$L227,""),0)</f>
        <v>0</v>
      </c>
      <c r="X227" s="15">
        <f>_xlfn.IFNA(IF(VLOOKUP($J227&amp;X$12,'Mapping A'!$A$6:$G$1011,7,0)=1,$L227,""),0)</f>
        <v>0</v>
      </c>
      <c r="Y227" s="15">
        <f>_xlfn.IFNA(IF(VLOOKUP($J227&amp;Y$12,'Mapping A'!$A$6:$G$1011,7,0)=1,$L227,""),0)</f>
        <v>0</v>
      </c>
      <c r="Z227" s="15">
        <f>_xlfn.IFNA(IF(VLOOKUP($J227&amp;Z$12,'Mapping A'!$A$6:$G$1011,7,0)=1,$L227,""),0)</f>
        <v>0</v>
      </c>
      <c r="AA227" s="15">
        <f>_xlfn.IFNA(IF(VLOOKUP($J227&amp;AA$12,'Mapping A'!$A$6:$G$1011,7,0)=1,$L227,""),0)</f>
        <v>0</v>
      </c>
      <c r="AF227" s="155" t="str">
        <f t="shared" si="85"/>
        <v>WAI0111Horizon</v>
      </c>
      <c r="AG227" s="15" t="s">
        <v>364</v>
      </c>
      <c r="AH227" s="190" t="s">
        <v>11</v>
      </c>
      <c r="AI227" s="190">
        <f t="shared" si="78"/>
        <v>9.9077999999999999</v>
      </c>
      <c r="AJ227" s="292" t="s">
        <v>95</v>
      </c>
      <c r="AK227" s="15"/>
      <c r="AL227" s="15">
        <f t="shared" ca="1" si="72"/>
        <v>0</v>
      </c>
      <c r="AM227" s="15">
        <f t="shared" ca="1" si="73"/>
        <v>0</v>
      </c>
      <c r="AN227" s="15">
        <f t="shared" ca="1" si="74"/>
        <v>0</v>
      </c>
      <c r="AO227" s="15">
        <f t="shared" ca="1" si="75"/>
        <v>0</v>
      </c>
      <c r="AP227" s="15"/>
      <c r="AQ227" s="15">
        <f t="shared" ca="1" si="76"/>
        <v>0</v>
      </c>
      <c r="AR227" s="20">
        <f t="shared" ca="1" si="79"/>
        <v>0</v>
      </c>
      <c r="AS227" s="20"/>
      <c r="AT227" s="20">
        <f t="shared" ca="1" si="80"/>
        <v>0</v>
      </c>
      <c r="AU227" s="20">
        <f t="shared" ca="1" si="81"/>
        <v>0</v>
      </c>
      <c r="AV227" s="20">
        <f t="shared" ca="1" si="82"/>
        <v>0</v>
      </c>
      <c r="AW227" s="20">
        <f t="shared" si="83"/>
        <v>0</v>
      </c>
      <c r="AX227" s="20">
        <f t="shared" si="84"/>
        <v>0</v>
      </c>
      <c r="BA227" s="20"/>
      <c r="BD227" s="94" t="str">
        <f t="shared" si="89"/>
        <v>TWI2201Pacific Aluminium</v>
      </c>
      <c r="BF227" s="15" t="s">
        <v>54</v>
      </c>
      <c r="BG227" t="s">
        <v>361</v>
      </c>
      <c r="BH227" s="190">
        <v>582.21400000000006</v>
      </c>
      <c r="BI227" s="190">
        <v>582.21502685546795</v>
      </c>
      <c r="BJ227" s="257">
        <f t="shared" si="88"/>
        <v>20.679215021431787</v>
      </c>
      <c r="BK227" s="257">
        <f t="shared" si="86"/>
        <v>22.669535454901443</v>
      </c>
      <c r="BL227" s="257">
        <f t="shared" si="87"/>
        <v>23.996415743881212</v>
      </c>
      <c r="BM227" s="342" t="str">
        <f>VLOOKUP(LEFT(BG227,3),'Mapping B'!$D$2:$E$310,2,0)</f>
        <v>S</v>
      </c>
      <c r="BO227" s="20"/>
      <c r="BP227" s="190"/>
      <c r="BQ227" s="20"/>
      <c r="BR227" s="20"/>
    </row>
    <row r="228" spans="2:70" x14ac:dyDescent="0.25">
      <c r="B228" s="98" t="s">
        <v>555</v>
      </c>
      <c r="C228" s="98">
        <v>2014</v>
      </c>
      <c r="D228" s="98" t="s">
        <v>316</v>
      </c>
      <c r="E228" s="98" t="s">
        <v>4</v>
      </c>
      <c r="F228" s="98" t="s">
        <v>136</v>
      </c>
      <c r="G228" s="98">
        <v>0</v>
      </c>
      <c r="H228" s="299" t="str">
        <f>VLOOKUP(LEFT('Rev Adequacy'!D228,3),'Mapping B'!$D$2:$E$400,2,0)</f>
        <v>S</v>
      </c>
      <c r="I228" s="190"/>
      <c r="J228" s="15" t="s">
        <v>365</v>
      </c>
      <c r="K228" s="190" t="s">
        <v>31</v>
      </c>
      <c r="L228" s="190">
        <f t="shared" si="77"/>
        <v>2.6985000000000001</v>
      </c>
      <c r="O228" s="15">
        <f>_xlfn.IFNA(IF(VLOOKUP($J228&amp;O$12,'Mapping A'!$A$6:$G$1011,7,0)=1,$L228,""),0)</f>
        <v>0</v>
      </c>
      <c r="P228" s="15">
        <f>_xlfn.IFNA(IF(VLOOKUP($J228&amp;P$12,'Mapping A'!$A$6:$G$1011,7,0)=1,$L228,""),0)</f>
        <v>2.6985000000000001</v>
      </c>
      <c r="Q228" s="15">
        <f>_xlfn.IFNA(IF(VLOOKUP($J228&amp;Q$12,'Mapping A'!$A$6:$G$1011,7,0)=1,$L228,""),0)</f>
        <v>2.6985000000000001</v>
      </c>
      <c r="R228" s="15">
        <f>_xlfn.IFNA(IF(VLOOKUP($J228&amp;R$12,'Mapping A'!$A$6:$G$1011,7,0)=1,$L228,""),0)</f>
        <v>0</v>
      </c>
      <c r="S228" s="15">
        <f>_xlfn.IFNA(IF(VLOOKUP($J228&amp;S$12,'Mapping A'!$A$6:$G$1011,7,0)=1,$L228,""),0)</f>
        <v>0</v>
      </c>
      <c r="T228" s="15">
        <f>_xlfn.IFNA(IF(VLOOKUP($J228&amp;T$14,'Mapping A'!$A$6:$G$1011,7,0)=1,$L228,""),0)</f>
        <v>0</v>
      </c>
      <c r="U228" s="15">
        <f>_xlfn.IFNA(IF(VLOOKUP($J228&amp;U$12,'Mapping A'!$A$6:$G$1011,7,0)=1,$L228,""),0)</f>
        <v>0</v>
      </c>
      <c r="V228" s="15">
        <f>_xlfn.IFNA(IF(VLOOKUP($J228&amp;V$12,'Mapping A'!$A$6:$G$1011,7,0)=1,$L228,""),0)</f>
        <v>0</v>
      </c>
      <c r="W228" s="15">
        <f>_xlfn.IFNA(IF(VLOOKUP($J228&amp;W$12,'Mapping A'!$A$6:$G$1011,7,0)=1,$L228,""),0)</f>
        <v>0</v>
      </c>
      <c r="X228" s="15">
        <f>_xlfn.IFNA(IF(VLOOKUP($J228&amp;X$12,'Mapping A'!$A$6:$G$1011,7,0)=1,$L228,""),0)</f>
        <v>0</v>
      </c>
      <c r="Y228" s="15">
        <f>_xlfn.IFNA(IF(VLOOKUP($J228&amp;Y$12,'Mapping A'!$A$6:$G$1011,7,0)=1,$L228,""),0)</f>
        <v>0</v>
      </c>
      <c r="Z228" s="15">
        <f>_xlfn.IFNA(IF(VLOOKUP($J228&amp;Z$12,'Mapping A'!$A$6:$G$1011,7,0)=1,$L228,""),0)</f>
        <v>0</v>
      </c>
      <c r="AA228" s="15">
        <f>_xlfn.IFNA(IF(VLOOKUP($J228&amp;AA$12,'Mapping A'!$A$6:$G$1011,7,0)=1,$L228,""),0)</f>
        <v>0</v>
      </c>
      <c r="AF228" s="155" t="str">
        <f t="shared" si="85"/>
        <v>WDV0111Scanpower</v>
      </c>
      <c r="AG228" s="15" t="s">
        <v>365</v>
      </c>
      <c r="AH228" s="190" t="s">
        <v>31</v>
      </c>
      <c r="AI228" s="190">
        <f t="shared" si="78"/>
        <v>2.6985000000000001</v>
      </c>
      <c r="AJ228" s="292" t="s">
        <v>95</v>
      </c>
      <c r="AK228" s="15"/>
      <c r="AL228" s="15">
        <f t="shared" ca="1" si="72"/>
        <v>0</v>
      </c>
      <c r="AM228" s="15">
        <f t="shared" ca="1" si="73"/>
        <v>0</v>
      </c>
      <c r="AN228" s="15">
        <f t="shared" ca="1" si="74"/>
        <v>0</v>
      </c>
      <c r="AO228" s="15">
        <f t="shared" ca="1" si="75"/>
        <v>0</v>
      </c>
      <c r="AP228" s="15"/>
      <c r="AQ228" s="15">
        <f t="shared" ca="1" si="76"/>
        <v>0</v>
      </c>
      <c r="AR228" s="20">
        <f t="shared" ca="1" si="79"/>
        <v>0</v>
      </c>
      <c r="AS228" s="20"/>
      <c r="AT228" s="20">
        <f t="shared" ca="1" si="80"/>
        <v>0</v>
      </c>
      <c r="AU228" s="20">
        <f t="shared" ca="1" si="81"/>
        <v>0</v>
      </c>
      <c r="AV228" s="20">
        <f t="shared" ca="1" si="82"/>
        <v>0</v>
      </c>
      <c r="AW228" s="20">
        <f t="shared" si="83"/>
        <v>0</v>
      </c>
      <c r="AX228" s="20">
        <f t="shared" si="84"/>
        <v>0</v>
      </c>
      <c r="BA228" s="20"/>
      <c r="BD228" s="94" t="str">
        <f t="shared" si="89"/>
        <v>TWZ0331Alpine Energy</v>
      </c>
      <c r="BF228" s="15" t="s">
        <v>0</v>
      </c>
      <c r="BG228" t="s">
        <v>362</v>
      </c>
      <c r="BH228" s="190">
        <v>3.3369</v>
      </c>
      <c r="BI228" s="190">
        <v>3.33736203974762</v>
      </c>
      <c r="BJ228" s="257">
        <f t="shared" si="88"/>
        <v>0.11852080610396816</v>
      </c>
      <c r="BK228" s="257">
        <f t="shared" si="86"/>
        <v>0.12992812412525398</v>
      </c>
      <c r="BL228" s="257">
        <f t="shared" si="87"/>
        <v>0.13753300280611119</v>
      </c>
      <c r="BM228" s="342" t="str">
        <f>VLOOKUP(LEFT(BG228,3),'Mapping B'!$D$2:$E$310,2,0)</f>
        <v>S</v>
      </c>
      <c r="BO228" s="20"/>
      <c r="BP228" s="190"/>
      <c r="BQ228" s="20"/>
      <c r="BR228" s="20"/>
    </row>
    <row r="229" spans="2:70" x14ac:dyDescent="0.25">
      <c r="B229" s="98" t="s">
        <v>555</v>
      </c>
      <c r="C229" s="98">
        <v>2014</v>
      </c>
      <c r="D229" s="98" t="s">
        <v>321</v>
      </c>
      <c r="E229" s="98" t="s">
        <v>4</v>
      </c>
      <c r="F229" s="98" t="s">
        <v>131</v>
      </c>
      <c r="G229" s="98">
        <v>1714.279</v>
      </c>
      <c r="H229" s="299" t="str">
        <f>VLOOKUP(LEFT('Rev Adequacy'!D229,3),'Mapping B'!$D$2:$E$400,2,0)</f>
        <v>N</v>
      </c>
      <c r="I229" s="190"/>
      <c r="J229" s="15" t="s">
        <v>366</v>
      </c>
      <c r="K229" s="190" t="s">
        <v>14</v>
      </c>
      <c r="L229" s="190">
        <f t="shared" si="77"/>
        <v>0.99329999999999996</v>
      </c>
      <c r="O229" s="15">
        <f>_xlfn.IFNA(IF(VLOOKUP($J229&amp;O$12,'Mapping A'!$A$6:$G$1011,7,0)=1,$L229,""),0)</f>
        <v>0</v>
      </c>
      <c r="P229" s="15">
        <f>_xlfn.IFNA(IF(VLOOKUP($J229&amp;P$12,'Mapping A'!$A$6:$G$1011,7,0)=1,$L229,""),0)</f>
        <v>0.99329999999999996</v>
      </c>
      <c r="Q229" s="15">
        <f>_xlfn.IFNA(IF(VLOOKUP($J229&amp;Q$12,'Mapping A'!$A$6:$G$1011,7,0)=1,$L229,""),0)</f>
        <v>0.99329999999999996</v>
      </c>
      <c r="R229" s="15">
        <f>_xlfn.IFNA(IF(VLOOKUP($J229&amp;R$12,'Mapping A'!$A$6:$G$1011,7,0)=1,$L229,""),0)</f>
        <v>0</v>
      </c>
      <c r="S229" s="15">
        <f>_xlfn.IFNA(IF(VLOOKUP($J229&amp;S$12,'Mapping A'!$A$6:$G$1011,7,0)=1,$L229,""),0)</f>
        <v>0</v>
      </c>
      <c r="T229" s="15">
        <f>_xlfn.IFNA(IF(VLOOKUP($J229&amp;T$14,'Mapping A'!$A$6:$G$1011,7,0)=1,$L229,""),0)</f>
        <v>0</v>
      </c>
      <c r="U229" s="15">
        <f>_xlfn.IFNA(IF(VLOOKUP($J229&amp;U$12,'Mapping A'!$A$6:$G$1011,7,0)=1,$L229,""),0)</f>
        <v>0</v>
      </c>
      <c r="V229" s="15">
        <f>_xlfn.IFNA(IF(VLOOKUP($J229&amp;V$12,'Mapping A'!$A$6:$G$1011,7,0)=1,$L229,""),0)</f>
        <v>0.99329999999999996</v>
      </c>
      <c r="W229" s="15">
        <f>_xlfn.IFNA(IF(VLOOKUP($J229&amp;W$12,'Mapping A'!$A$6:$G$1011,7,0)=1,$L229,""),0)</f>
        <v>0</v>
      </c>
      <c r="X229" s="15">
        <f>_xlfn.IFNA(IF(VLOOKUP($J229&amp;X$12,'Mapping A'!$A$6:$G$1011,7,0)=1,$L229,""),0)</f>
        <v>0</v>
      </c>
      <c r="Y229" s="15">
        <f>_xlfn.IFNA(IF(VLOOKUP($J229&amp;Y$12,'Mapping A'!$A$6:$G$1011,7,0)=1,$L229,""),0)</f>
        <v>0</v>
      </c>
      <c r="Z229" s="15">
        <f>_xlfn.IFNA(IF(VLOOKUP($J229&amp;Z$12,'Mapping A'!$A$6:$G$1011,7,0)=1,$L229,""),0)</f>
        <v>0</v>
      </c>
      <c r="AA229" s="15">
        <f>_xlfn.IFNA(IF(VLOOKUP($J229&amp;AA$12,'Mapping A'!$A$6:$G$1011,7,0)=1,$L229,""),0)</f>
        <v>0</v>
      </c>
      <c r="AF229" s="155" t="str">
        <f t="shared" si="85"/>
        <v>WDV1101Meridian</v>
      </c>
      <c r="AG229" s="15" t="s">
        <v>366</v>
      </c>
      <c r="AH229" s="190" t="s">
        <v>14</v>
      </c>
      <c r="AI229" s="190">
        <f t="shared" si="78"/>
        <v>0.99329999999999996</v>
      </c>
      <c r="AJ229" s="292" t="s">
        <v>95</v>
      </c>
      <c r="AK229" s="15"/>
      <c r="AL229" s="15">
        <f t="shared" ca="1" si="72"/>
        <v>0</v>
      </c>
      <c r="AM229" s="15">
        <f t="shared" ca="1" si="73"/>
        <v>0</v>
      </c>
      <c r="AN229" s="15">
        <f t="shared" ca="1" si="74"/>
        <v>0</v>
      </c>
      <c r="AO229" s="15">
        <f t="shared" ca="1" si="75"/>
        <v>0</v>
      </c>
      <c r="AP229" s="15"/>
      <c r="AQ229" s="15">
        <f t="shared" ca="1" si="76"/>
        <v>0</v>
      </c>
      <c r="AR229" s="20">
        <f t="shared" ca="1" si="79"/>
        <v>0</v>
      </c>
      <c r="AS229" s="20"/>
      <c r="AT229" s="20">
        <f t="shared" ca="1" si="80"/>
        <v>0</v>
      </c>
      <c r="AU229" s="20">
        <f t="shared" ca="1" si="81"/>
        <v>0</v>
      </c>
      <c r="AV229" s="20">
        <f t="shared" ca="1" si="82"/>
        <v>0</v>
      </c>
      <c r="AW229" s="20">
        <f t="shared" si="83"/>
        <v>0</v>
      </c>
      <c r="AX229" s="20">
        <f t="shared" si="84"/>
        <v>0</v>
      </c>
      <c r="BA229" s="20"/>
      <c r="BD229" s="94" t="str">
        <f t="shared" si="89"/>
        <v>TWZ0331Meridian</v>
      </c>
      <c r="BF229" s="15" t="s">
        <v>14</v>
      </c>
      <c r="BG229" t="s">
        <v>362</v>
      </c>
      <c r="BH229" s="190">
        <v>1.0983000000000001</v>
      </c>
      <c r="BI229" s="190">
        <v>1.0923638805437501</v>
      </c>
      <c r="BJ229" s="257">
        <f t="shared" si="88"/>
        <v>3.9009680045547737E-2</v>
      </c>
      <c r="BK229" s="257">
        <f t="shared" si="86"/>
        <v>4.2764259859979753E-2</v>
      </c>
      <c r="BL229" s="257">
        <f t="shared" si="87"/>
        <v>4.5267313069601106E-2</v>
      </c>
      <c r="BM229" s="342" t="str">
        <f>VLOOKUP(LEFT(BG229,3),'Mapping B'!$D$2:$E$310,2,0)</f>
        <v>S</v>
      </c>
      <c r="BO229" s="20"/>
      <c r="BP229" s="190"/>
      <c r="BQ229" s="20"/>
      <c r="BR229" s="20"/>
    </row>
    <row r="230" spans="2:70" x14ac:dyDescent="0.25">
      <c r="B230" s="98" t="s">
        <v>555</v>
      </c>
      <c r="C230" s="98">
        <v>2014</v>
      </c>
      <c r="D230" s="98" t="s">
        <v>322</v>
      </c>
      <c r="E230" s="98" t="s">
        <v>4</v>
      </c>
      <c r="F230" s="98" t="s">
        <v>136</v>
      </c>
      <c r="G230" s="98">
        <v>0</v>
      </c>
      <c r="H230" s="299" t="str">
        <f>VLOOKUP(LEFT('Rev Adequacy'!D230,3),'Mapping B'!$D$2:$E$400,2,0)</f>
        <v>N</v>
      </c>
      <c r="I230" s="190"/>
      <c r="J230" s="15" t="s">
        <v>367</v>
      </c>
      <c r="K230" s="190" t="s">
        <v>37</v>
      </c>
      <c r="L230" s="190">
        <f t="shared" si="77"/>
        <v>33.297599999999996</v>
      </c>
      <c r="O230" s="15">
        <f>_xlfn.IFNA(IF(VLOOKUP($J230&amp;O$12,'Mapping A'!$A$6:$G$1011,7,0)=1,$L230,""),0)</f>
        <v>33.297599999999996</v>
      </c>
      <c r="P230" s="15">
        <f>_xlfn.IFNA(IF(VLOOKUP($J230&amp;P$12,'Mapping A'!$A$6:$G$1011,7,0)=1,$L230,""),0)</f>
        <v>33.297599999999996</v>
      </c>
      <c r="Q230" s="15">
        <f>_xlfn.IFNA(IF(VLOOKUP($J230&amp;Q$12,'Mapping A'!$A$6:$G$1011,7,0)=1,$L230,""),0)</f>
        <v>33.297599999999996</v>
      </c>
      <c r="R230" s="15">
        <f>_xlfn.IFNA(IF(VLOOKUP($J230&amp;R$12,'Mapping A'!$A$6:$G$1011,7,0)=1,$L230,""),0)</f>
        <v>33.297599999999996</v>
      </c>
      <c r="S230" s="15">
        <f>_xlfn.IFNA(IF(VLOOKUP($J230&amp;S$12,'Mapping A'!$A$6:$G$1011,7,0)=1,$L230,""),0)</f>
        <v>0</v>
      </c>
      <c r="T230" s="15">
        <f>_xlfn.IFNA(IF(VLOOKUP($J230&amp;T$14,'Mapping A'!$A$6:$G$1011,7,0)=1,$L230,""),0)</f>
        <v>33.297599999999996</v>
      </c>
      <c r="U230" s="15">
        <f>_xlfn.IFNA(IF(VLOOKUP($J230&amp;U$12,'Mapping A'!$A$6:$G$1011,7,0)=1,$L230,""),0)</f>
        <v>33.297599999999996</v>
      </c>
      <c r="V230" s="15">
        <f>_xlfn.IFNA(IF(VLOOKUP($J230&amp;V$12,'Mapping A'!$A$6:$G$1011,7,0)=1,$L230,""),0)</f>
        <v>0</v>
      </c>
      <c r="W230" s="15">
        <f>_xlfn.IFNA(IF(VLOOKUP($J230&amp;W$12,'Mapping A'!$A$6:$G$1011,7,0)=1,$L230,""),0)</f>
        <v>0</v>
      </c>
      <c r="X230" s="15">
        <f>_xlfn.IFNA(IF(VLOOKUP($J230&amp;X$12,'Mapping A'!$A$6:$G$1011,7,0)=1,$L230,""),0)</f>
        <v>33.297599999999996</v>
      </c>
      <c r="Y230" s="15">
        <f>_xlfn.IFNA(IF(VLOOKUP($J230&amp;Y$12,'Mapping A'!$A$6:$G$1011,7,0)=1,$L230,""),0)</f>
        <v>0</v>
      </c>
      <c r="Z230" s="15">
        <f>_xlfn.IFNA(IF(VLOOKUP($J230&amp;Z$12,'Mapping A'!$A$6:$G$1011,7,0)=1,$L230,""),0)</f>
        <v>0</v>
      </c>
      <c r="AA230" s="15">
        <f>_xlfn.IFNA(IF(VLOOKUP($J230&amp;AA$12,'Mapping A'!$A$6:$G$1011,7,0)=1,$L230,""),0)</f>
        <v>0</v>
      </c>
      <c r="AF230" s="155" t="str">
        <f t="shared" si="85"/>
        <v>WEL0331Vector</v>
      </c>
      <c r="AG230" s="15" t="s">
        <v>367</v>
      </c>
      <c r="AH230" s="190" t="s">
        <v>37</v>
      </c>
      <c r="AI230" s="190">
        <f t="shared" si="78"/>
        <v>33.297599999999996</v>
      </c>
      <c r="AJ230" s="292" t="s">
        <v>95</v>
      </c>
      <c r="AK230" s="15"/>
      <c r="AL230" s="15">
        <f t="shared" ca="1" si="72"/>
        <v>0</v>
      </c>
      <c r="AM230" s="15">
        <f t="shared" ca="1" si="73"/>
        <v>0</v>
      </c>
      <c r="AN230" s="15">
        <f t="shared" ca="1" si="74"/>
        <v>0</v>
      </c>
      <c r="AO230" s="15">
        <f t="shared" ca="1" si="75"/>
        <v>0.72024128137685273</v>
      </c>
      <c r="AP230" s="15"/>
      <c r="AQ230" s="15">
        <f t="shared" ca="1" si="76"/>
        <v>0</v>
      </c>
      <c r="AR230" s="20">
        <f t="shared" ca="1" si="79"/>
        <v>0.14569682632343633</v>
      </c>
      <c r="AS230" s="20"/>
      <c r="AT230" s="20">
        <f t="shared" ca="1" si="80"/>
        <v>0</v>
      </c>
      <c r="AU230" s="20">
        <f t="shared" ca="1" si="81"/>
        <v>6.7195691406859853E-2</v>
      </c>
      <c r="AV230" s="20">
        <f t="shared" ca="1" si="82"/>
        <v>0</v>
      </c>
      <c r="AW230" s="20">
        <f t="shared" si="83"/>
        <v>0</v>
      </c>
      <c r="AX230" s="20">
        <f t="shared" si="84"/>
        <v>0</v>
      </c>
      <c r="BA230" s="20"/>
      <c r="BD230" s="94" t="str">
        <f t="shared" si="89"/>
        <v>TWZ0331Network Waitaki</v>
      </c>
      <c r="BF230" s="15" t="s">
        <v>20</v>
      </c>
      <c r="BG230" t="s">
        <v>362</v>
      </c>
      <c r="BH230" s="190">
        <v>4.8216000000000001</v>
      </c>
      <c r="BI230" s="190">
        <v>4.8140622646418603</v>
      </c>
      <c r="BJ230" s="257">
        <f t="shared" si="88"/>
        <v>0.17125473304890554</v>
      </c>
      <c r="BK230" s="257">
        <f t="shared" si="86"/>
        <v>0.18773755380212909</v>
      </c>
      <c r="BL230" s="257">
        <f t="shared" si="87"/>
        <v>0.19872610097094479</v>
      </c>
      <c r="BM230" s="342" t="str">
        <f>VLOOKUP(LEFT(BG230,3),'Mapping B'!$D$2:$E$310,2,0)</f>
        <v>S</v>
      </c>
      <c r="BO230" s="20"/>
      <c r="BP230" s="190"/>
      <c r="BQ230" s="20"/>
      <c r="BR230" s="20"/>
    </row>
    <row r="231" spans="2:70" x14ac:dyDescent="0.25">
      <c r="B231" s="98" t="s">
        <v>555</v>
      </c>
      <c r="C231" s="98">
        <v>2014</v>
      </c>
      <c r="D231" s="98" t="s">
        <v>323</v>
      </c>
      <c r="E231" s="98" t="s">
        <v>4</v>
      </c>
      <c r="F231" s="98" t="s">
        <v>136</v>
      </c>
      <c r="G231" s="98">
        <v>0</v>
      </c>
      <c r="H231" s="299" t="str">
        <f>VLOOKUP(LEFT('Rev Adequacy'!D231,3),'Mapping B'!$D$2:$E$400,2,0)</f>
        <v>N</v>
      </c>
      <c r="I231" s="190"/>
      <c r="J231" s="15" t="s">
        <v>368</v>
      </c>
      <c r="K231" s="190" t="s">
        <v>28</v>
      </c>
      <c r="L231" s="190">
        <f t="shared" si="77"/>
        <v>41.651400000000002</v>
      </c>
      <c r="O231" s="15">
        <f>_xlfn.IFNA(IF(VLOOKUP($J231&amp;O$12,'Mapping A'!$A$6:$G$1011,7,0)=1,$L231,""),0)</f>
        <v>0</v>
      </c>
      <c r="P231" s="15">
        <f>_xlfn.IFNA(IF(VLOOKUP($J231&amp;P$12,'Mapping A'!$A$6:$G$1011,7,0)=1,$L231,""),0)</f>
        <v>41.651400000000002</v>
      </c>
      <c r="Q231" s="15">
        <f>_xlfn.IFNA(IF(VLOOKUP($J231&amp;Q$12,'Mapping A'!$A$6:$G$1011,7,0)=1,$L231,""),0)</f>
        <v>41.651400000000002</v>
      </c>
      <c r="R231" s="15">
        <f>_xlfn.IFNA(IF(VLOOKUP($J231&amp;R$12,'Mapping A'!$A$6:$G$1011,7,0)=1,$L231,""),0)</f>
        <v>0</v>
      </c>
      <c r="S231" s="15">
        <f>_xlfn.IFNA(IF(VLOOKUP($J231&amp;S$12,'Mapping A'!$A$6:$G$1011,7,0)=1,$L231,""),0)</f>
        <v>0</v>
      </c>
      <c r="T231" s="15">
        <f>_xlfn.IFNA(IF(VLOOKUP($J231&amp;T$14,'Mapping A'!$A$6:$G$1011,7,0)=1,$L231,""),0)</f>
        <v>0</v>
      </c>
      <c r="U231" s="15">
        <f>_xlfn.IFNA(IF(VLOOKUP($J231&amp;U$12,'Mapping A'!$A$6:$G$1011,7,0)=1,$L231,""),0)</f>
        <v>0</v>
      </c>
      <c r="V231" s="15">
        <f>_xlfn.IFNA(IF(VLOOKUP($J231&amp;V$12,'Mapping A'!$A$6:$G$1011,7,0)=1,$L231,""),0)</f>
        <v>0</v>
      </c>
      <c r="W231" s="15">
        <f>_xlfn.IFNA(IF(VLOOKUP($J231&amp;W$12,'Mapping A'!$A$6:$G$1011,7,0)=1,$L231,""),0)</f>
        <v>0</v>
      </c>
      <c r="X231" s="15">
        <f>_xlfn.IFNA(IF(VLOOKUP($J231&amp;X$12,'Mapping A'!$A$6:$G$1011,7,0)=1,$L231,""),0)</f>
        <v>0</v>
      </c>
      <c r="Y231" s="15">
        <f>_xlfn.IFNA(IF(VLOOKUP($J231&amp;Y$12,'Mapping A'!$A$6:$G$1011,7,0)=1,$L231,""),0)</f>
        <v>0</v>
      </c>
      <c r="Z231" s="15">
        <f>_xlfn.IFNA(IF(VLOOKUP($J231&amp;Z$12,'Mapping A'!$A$6:$G$1011,7,0)=1,$L231,""),0)</f>
        <v>0</v>
      </c>
      <c r="AA231" s="15">
        <f>_xlfn.IFNA(IF(VLOOKUP($J231&amp;AA$12,'Mapping A'!$A$6:$G$1011,7,0)=1,$L231,""),0)</f>
        <v>0</v>
      </c>
      <c r="AF231" s="155" t="str">
        <f t="shared" si="85"/>
        <v>WGN0331Powerco</v>
      </c>
      <c r="AG231" s="15" t="s">
        <v>368</v>
      </c>
      <c r="AH231" s="190" t="s">
        <v>28</v>
      </c>
      <c r="AI231" s="190">
        <f t="shared" si="78"/>
        <v>41.651400000000002</v>
      </c>
      <c r="AJ231" s="292" t="s">
        <v>95</v>
      </c>
      <c r="AK231" s="15"/>
      <c r="AL231" s="15">
        <f t="shared" ca="1" si="72"/>
        <v>0</v>
      </c>
      <c r="AM231" s="15">
        <f t="shared" ca="1" si="73"/>
        <v>0</v>
      </c>
      <c r="AN231" s="15">
        <f t="shared" ca="1" si="74"/>
        <v>0</v>
      </c>
      <c r="AO231" s="15">
        <f t="shared" ca="1" si="75"/>
        <v>0</v>
      </c>
      <c r="AP231" s="15"/>
      <c r="AQ231" s="15">
        <f t="shared" ca="1" si="76"/>
        <v>0</v>
      </c>
      <c r="AR231" s="20">
        <f t="shared" ca="1" si="79"/>
        <v>0</v>
      </c>
      <c r="AS231" s="20"/>
      <c r="AT231" s="20">
        <f t="shared" ca="1" si="80"/>
        <v>0</v>
      </c>
      <c r="AU231" s="20">
        <f t="shared" ca="1" si="81"/>
        <v>0</v>
      </c>
      <c r="AV231" s="20">
        <f t="shared" ca="1" si="82"/>
        <v>0</v>
      </c>
      <c r="AW231" s="20">
        <f t="shared" si="83"/>
        <v>0</v>
      </c>
      <c r="AX231" s="20">
        <f t="shared" si="84"/>
        <v>0</v>
      </c>
      <c r="BA231" s="20"/>
      <c r="BD231" s="94" t="str">
        <f t="shared" si="89"/>
        <v>UHT0331Wellington Electricity</v>
      </c>
      <c r="BF231" s="15" t="s">
        <v>40</v>
      </c>
      <c r="BG231" t="s">
        <v>363</v>
      </c>
      <c r="BH231" s="190">
        <v>32.003999999999998</v>
      </c>
      <c r="BI231" s="190">
        <v>32.007999420166001</v>
      </c>
      <c r="BJ231" s="257">
        <f t="shared" si="88"/>
        <v>1.1367256671016202</v>
      </c>
      <c r="BK231" s="257">
        <f t="shared" si="86"/>
        <v>1.2461325435298114</v>
      </c>
      <c r="BL231" s="257">
        <f t="shared" si="87"/>
        <v>1.3190704611486055</v>
      </c>
      <c r="BM231" s="342" t="str">
        <f>VLOOKUP(LEFT(BG231,3),'Mapping B'!$D$2:$E$310,2,0)</f>
        <v>N</v>
      </c>
      <c r="BO231" s="20"/>
      <c r="BP231" s="190"/>
      <c r="BQ231" s="20"/>
      <c r="BR231" s="20"/>
    </row>
    <row r="232" spans="2:70" x14ac:dyDescent="0.25">
      <c r="B232" s="98" t="s">
        <v>555</v>
      </c>
      <c r="C232" s="98">
        <v>2014</v>
      </c>
      <c r="D232" s="98" t="s">
        <v>324</v>
      </c>
      <c r="E232" s="98" t="s">
        <v>4</v>
      </c>
      <c r="F232" s="98" t="s">
        <v>136</v>
      </c>
      <c r="G232" s="98">
        <v>0</v>
      </c>
      <c r="H232" s="299" t="str">
        <f>VLOOKUP(LEFT('Rev Adequacy'!D232,3),'Mapping B'!$D$2:$E$400,2,0)</f>
        <v>N</v>
      </c>
      <c r="I232" s="190"/>
      <c r="J232" s="15" t="s">
        <v>369</v>
      </c>
      <c r="K232" s="190" t="s">
        <v>4</v>
      </c>
      <c r="L232" s="190">
        <f t="shared" si="77"/>
        <v>0.30660000000000004</v>
      </c>
      <c r="O232" s="15">
        <f>_xlfn.IFNA(IF(VLOOKUP($J232&amp;O$12,'Mapping A'!$A$6:$G$1011,7,0)=1,$L232,""),0)</f>
        <v>0</v>
      </c>
      <c r="P232" s="15">
        <f>_xlfn.IFNA(IF(VLOOKUP($J232&amp;P$12,'Mapping A'!$A$6:$G$1011,7,0)=1,$L232,""),0)</f>
        <v>0.30660000000000004</v>
      </c>
      <c r="Q232" s="15">
        <f>_xlfn.IFNA(IF(VLOOKUP($J232&amp;Q$12,'Mapping A'!$A$6:$G$1011,7,0)=1,$L232,""),0)</f>
        <v>0.30660000000000004</v>
      </c>
      <c r="R232" s="15">
        <f>_xlfn.IFNA(IF(VLOOKUP($J232&amp;R$12,'Mapping A'!$A$6:$G$1011,7,0)=1,$L232,""),0)</f>
        <v>0</v>
      </c>
      <c r="S232" s="15">
        <f>_xlfn.IFNA(IF(VLOOKUP($J232&amp;S$12,'Mapping A'!$A$6:$G$1011,7,0)=1,$L232,""),0)</f>
        <v>0</v>
      </c>
      <c r="T232" s="15">
        <f>_xlfn.IFNA(IF(VLOOKUP($J232&amp;T$14,'Mapping A'!$A$6:$G$1011,7,0)=1,$L232,""),0)</f>
        <v>0.30660000000000004</v>
      </c>
      <c r="U232" s="15">
        <f>_xlfn.IFNA(IF(VLOOKUP($J232&amp;U$12,'Mapping A'!$A$6:$G$1011,7,0)=1,$L232,""),0)</f>
        <v>0</v>
      </c>
      <c r="V232" s="15">
        <f>_xlfn.IFNA(IF(VLOOKUP($J232&amp;V$12,'Mapping A'!$A$6:$G$1011,7,0)=1,$L232,""),0)</f>
        <v>0</v>
      </c>
      <c r="W232" s="15">
        <f>_xlfn.IFNA(IF(VLOOKUP($J232&amp;W$12,'Mapping A'!$A$6:$G$1011,7,0)=1,$L232,""),0)</f>
        <v>0</v>
      </c>
      <c r="X232" s="15">
        <f>_xlfn.IFNA(IF(VLOOKUP($J232&amp;X$12,'Mapping A'!$A$6:$G$1011,7,0)=1,$L232,""),0)</f>
        <v>0</v>
      </c>
      <c r="Y232" s="15">
        <f>_xlfn.IFNA(IF(VLOOKUP($J232&amp;Y$12,'Mapping A'!$A$6:$G$1011,7,0)=1,$L232,""),0)</f>
        <v>0</v>
      </c>
      <c r="Z232" s="15">
        <f>_xlfn.IFNA(IF(VLOOKUP($J232&amp;Z$12,'Mapping A'!$A$6:$G$1011,7,0)=1,$L232,""),0)</f>
        <v>0</v>
      </c>
      <c r="AA232" s="15">
        <f>_xlfn.IFNA(IF(VLOOKUP($J232&amp;AA$12,'Mapping A'!$A$6:$G$1011,7,0)=1,$L232,""),0)</f>
        <v>0</v>
      </c>
      <c r="AF232" s="155" t="str">
        <f t="shared" si="85"/>
        <v>WHI0111Contact</v>
      </c>
      <c r="AG232" s="15" t="s">
        <v>369</v>
      </c>
      <c r="AH232" s="190" t="s">
        <v>4</v>
      </c>
      <c r="AI232" s="190">
        <f t="shared" si="78"/>
        <v>0.30660000000000004</v>
      </c>
      <c r="AJ232" s="292" t="s">
        <v>95</v>
      </c>
      <c r="AK232" s="15"/>
      <c r="AL232" s="15">
        <f t="shared" ca="1" si="72"/>
        <v>0</v>
      </c>
      <c r="AM232" s="15">
        <f t="shared" ca="1" si="73"/>
        <v>0</v>
      </c>
      <c r="AN232" s="15">
        <f t="shared" ca="1" si="74"/>
        <v>0</v>
      </c>
      <c r="AO232" s="15">
        <f t="shared" ca="1" si="75"/>
        <v>0</v>
      </c>
      <c r="AP232" s="15"/>
      <c r="AQ232" s="15">
        <f t="shared" ca="1" si="76"/>
        <v>0</v>
      </c>
      <c r="AR232" s="20">
        <f t="shared" ca="1" si="79"/>
        <v>0</v>
      </c>
      <c r="AS232" s="20"/>
      <c r="AT232" s="20">
        <f t="shared" ca="1" si="80"/>
        <v>0</v>
      </c>
      <c r="AU232" s="20">
        <f t="shared" ca="1" si="81"/>
        <v>0</v>
      </c>
      <c r="AV232" s="20">
        <f t="shared" ca="1" si="82"/>
        <v>0</v>
      </c>
      <c r="AW232" s="20">
        <f t="shared" si="83"/>
        <v>0</v>
      </c>
      <c r="AX232" s="20">
        <f t="shared" si="84"/>
        <v>0</v>
      </c>
      <c r="BA232" s="20"/>
      <c r="BD232" s="94" t="str">
        <f t="shared" si="89"/>
        <v>WAI0111Horizon</v>
      </c>
      <c r="BF232" s="15" t="s">
        <v>11</v>
      </c>
      <c r="BG232" t="s">
        <v>364</v>
      </c>
      <c r="BH232" s="190">
        <v>9.9077999999999999</v>
      </c>
      <c r="BI232" s="190">
        <v>9.9099998474121094</v>
      </c>
      <c r="BJ232" s="257">
        <f t="shared" si="88"/>
        <v>0.35190759169195834</v>
      </c>
      <c r="BK232" s="257">
        <f t="shared" si="86"/>
        <v>0.38577777823974085</v>
      </c>
      <c r="BL232" s="257">
        <f t="shared" si="87"/>
        <v>0.40835790260492921</v>
      </c>
      <c r="BM232" s="342" t="str">
        <f>VLOOKUP(LEFT(BG232,3),'Mapping B'!$D$2:$E$310,2,0)</f>
        <v>N</v>
      </c>
      <c r="BO232" s="20"/>
      <c r="BP232" s="190"/>
      <c r="BQ232" s="20"/>
      <c r="BR232" s="20"/>
    </row>
    <row r="233" spans="2:70" x14ac:dyDescent="0.25">
      <c r="B233" s="98" t="s">
        <v>555</v>
      </c>
      <c r="C233" s="98">
        <v>2014</v>
      </c>
      <c r="D233" s="98" t="s">
        <v>336</v>
      </c>
      <c r="E233" s="98" t="s">
        <v>4</v>
      </c>
      <c r="F233" s="98" t="s">
        <v>131</v>
      </c>
      <c r="G233" s="98">
        <v>0</v>
      </c>
      <c r="H233" s="299" t="str">
        <f>VLOOKUP(LEFT('Rev Adequacy'!D233,3),'Mapping B'!$D$2:$E$400,2,0)</f>
        <v>N</v>
      </c>
      <c r="I233" s="190"/>
      <c r="J233" s="15" t="s">
        <v>369</v>
      </c>
      <c r="K233" s="190" t="s">
        <v>26</v>
      </c>
      <c r="L233" s="190">
        <f t="shared" si="77"/>
        <v>85.140299999999996</v>
      </c>
      <c r="O233" s="15">
        <f>_xlfn.IFNA(IF(VLOOKUP($J233&amp;O$12,'Mapping A'!$A$6:$G$1011,7,0)=1,$L233,""),0)</f>
        <v>0</v>
      </c>
      <c r="P233" s="15">
        <f>_xlfn.IFNA(IF(VLOOKUP($J233&amp;P$12,'Mapping A'!$A$6:$G$1011,7,0)=1,$L233,""),0)</f>
        <v>85.140299999999996</v>
      </c>
      <c r="Q233" s="15">
        <f>_xlfn.IFNA(IF(VLOOKUP($J233&amp;Q$12,'Mapping A'!$A$6:$G$1011,7,0)=1,$L233,""),0)</f>
        <v>85.140299999999996</v>
      </c>
      <c r="R233" s="15">
        <f>_xlfn.IFNA(IF(VLOOKUP($J233&amp;R$12,'Mapping A'!$A$6:$G$1011,7,0)=1,$L233,""),0)</f>
        <v>0</v>
      </c>
      <c r="S233" s="15">
        <f>_xlfn.IFNA(IF(VLOOKUP($J233&amp;S$12,'Mapping A'!$A$6:$G$1011,7,0)=1,$L233,""),0)</f>
        <v>0</v>
      </c>
      <c r="T233" s="15">
        <f>_xlfn.IFNA(IF(VLOOKUP($J233&amp;T$14,'Mapping A'!$A$6:$G$1011,7,0)=1,$L233,""),0)</f>
        <v>85.140299999999996</v>
      </c>
      <c r="U233" s="15">
        <f>_xlfn.IFNA(IF(VLOOKUP($J233&amp;U$12,'Mapping A'!$A$6:$G$1011,7,0)=1,$L233,""),0)</f>
        <v>0</v>
      </c>
      <c r="V233" s="15">
        <f>_xlfn.IFNA(IF(VLOOKUP($J233&amp;V$12,'Mapping A'!$A$6:$G$1011,7,0)=1,$L233,""),0)</f>
        <v>0</v>
      </c>
      <c r="W233" s="15">
        <f>_xlfn.IFNA(IF(VLOOKUP($J233&amp;W$12,'Mapping A'!$A$6:$G$1011,7,0)=1,$L233,""),0)</f>
        <v>0</v>
      </c>
      <c r="X233" s="15">
        <f>_xlfn.IFNA(IF(VLOOKUP($J233&amp;X$12,'Mapping A'!$A$6:$G$1011,7,0)=1,$L233,""),0)</f>
        <v>0</v>
      </c>
      <c r="Y233" s="15">
        <f>_xlfn.IFNA(IF(VLOOKUP($J233&amp;Y$12,'Mapping A'!$A$6:$G$1011,7,0)=1,$L233,""),0)</f>
        <v>0</v>
      </c>
      <c r="Z233" s="15">
        <f>_xlfn.IFNA(IF(VLOOKUP($J233&amp;Z$12,'Mapping A'!$A$6:$G$1011,7,0)=1,$L233,""),0)</f>
        <v>0</v>
      </c>
      <c r="AA233" s="15">
        <f>_xlfn.IFNA(IF(VLOOKUP($J233&amp;AA$12,'Mapping A'!$A$6:$G$1011,7,0)=1,$L233,""),0)</f>
        <v>0</v>
      </c>
      <c r="AF233" s="155" t="str">
        <f t="shared" si="85"/>
        <v>WHI0111PanPac</v>
      </c>
      <c r="AG233" s="15" t="s">
        <v>369</v>
      </c>
      <c r="AH233" s="190" t="s">
        <v>26</v>
      </c>
      <c r="AI233" s="190">
        <f t="shared" si="78"/>
        <v>85.140299999999996</v>
      </c>
      <c r="AJ233" s="292" t="s">
        <v>95</v>
      </c>
      <c r="AK233" s="15"/>
      <c r="AL233" s="15">
        <f t="shared" ca="1" si="72"/>
        <v>0</v>
      </c>
      <c r="AM233" s="15">
        <f t="shared" ca="1" si="73"/>
        <v>0</v>
      </c>
      <c r="AN233" s="15">
        <f t="shared" ca="1" si="74"/>
        <v>0</v>
      </c>
      <c r="AO233" s="15">
        <f t="shared" ca="1" si="75"/>
        <v>0</v>
      </c>
      <c r="AP233" s="15"/>
      <c r="AQ233" s="15">
        <f t="shared" ca="1" si="76"/>
        <v>0</v>
      </c>
      <c r="AR233" s="20">
        <f t="shared" ca="1" si="79"/>
        <v>0</v>
      </c>
      <c r="AS233" s="20"/>
      <c r="AT233" s="20">
        <f t="shared" ca="1" si="80"/>
        <v>0</v>
      </c>
      <c r="AU233" s="20">
        <f t="shared" ca="1" si="81"/>
        <v>0</v>
      </c>
      <c r="AV233" s="20">
        <f t="shared" ca="1" si="82"/>
        <v>0</v>
      </c>
      <c r="AW233" s="20">
        <f t="shared" si="83"/>
        <v>0</v>
      </c>
      <c r="AX233" s="20">
        <f t="shared" si="84"/>
        <v>0</v>
      </c>
      <c r="BA233" s="20"/>
      <c r="BD233" s="94" t="str">
        <f t="shared" si="89"/>
        <v>WDV0111Scanpower</v>
      </c>
      <c r="BF233" s="15" t="s">
        <v>31</v>
      </c>
      <c r="BG233" t="s">
        <v>365</v>
      </c>
      <c r="BH233" s="190">
        <v>2.6985000000000001</v>
      </c>
      <c r="BI233" s="190">
        <v>2.69600009918212</v>
      </c>
      <c r="BJ233" s="257">
        <f t="shared" si="88"/>
        <v>9.5845963400628759E-2</v>
      </c>
      <c r="BK233" s="257">
        <f t="shared" si="86"/>
        <v>0.10507088703647034</v>
      </c>
      <c r="BL233" s="257">
        <f t="shared" si="87"/>
        <v>0.11122083612703138</v>
      </c>
      <c r="BM233" s="342" t="str">
        <f>VLOOKUP(LEFT(BG233,3),'Mapping B'!$D$2:$E$310,2,0)</f>
        <v>N</v>
      </c>
      <c r="BO233" s="20"/>
      <c r="BP233" s="190"/>
      <c r="BQ233" s="20"/>
      <c r="BR233" s="20"/>
    </row>
    <row r="234" spans="2:70" x14ac:dyDescent="0.25">
      <c r="B234" s="98" t="s">
        <v>555</v>
      </c>
      <c r="C234" s="98">
        <v>2014</v>
      </c>
      <c r="D234" s="98" t="s">
        <v>337</v>
      </c>
      <c r="E234" s="98" t="s">
        <v>4</v>
      </c>
      <c r="F234" s="98" t="s">
        <v>136</v>
      </c>
      <c r="G234" s="98">
        <v>0</v>
      </c>
      <c r="H234" s="299" t="str">
        <f>VLOOKUP(LEFT('Rev Adequacy'!D234,3),'Mapping B'!$D$2:$E$400,2,0)</f>
        <v>N</v>
      </c>
      <c r="I234" s="190"/>
      <c r="J234" s="15" t="s">
        <v>370</v>
      </c>
      <c r="K234" s="190" t="s">
        <v>4</v>
      </c>
      <c r="L234" s="190">
        <f t="shared" si="77"/>
        <v>0.37380000000000002</v>
      </c>
      <c r="O234" s="15">
        <f>_xlfn.IFNA(IF(VLOOKUP($J234&amp;O$12,'Mapping A'!$A$6:$G$1011,7,0)=1,$L234,""),0)</f>
        <v>0</v>
      </c>
      <c r="P234" s="15">
        <f>_xlfn.IFNA(IF(VLOOKUP($J234&amp;P$12,'Mapping A'!$A$6:$G$1011,7,0)=1,$L234,""),0)</f>
        <v>0.37380000000000002</v>
      </c>
      <c r="Q234" s="15">
        <f>_xlfn.IFNA(IF(VLOOKUP($J234&amp;Q$12,'Mapping A'!$A$6:$G$1011,7,0)=1,$L234,""),0)</f>
        <v>0.37380000000000002</v>
      </c>
      <c r="R234" s="15">
        <f>_xlfn.IFNA(IF(VLOOKUP($J234&amp;R$12,'Mapping A'!$A$6:$G$1011,7,0)=1,$L234,""),0)</f>
        <v>0</v>
      </c>
      <c r="S234" s="15">
        <f>_xlfn.IFNA(IF(VLOOKUP($J234&amp;S$12,'Mapping A'!$A$6:$G$1011,7,0)=1,$L234,""),0)</f>
        <v>0</v>
      </c>
      <c r="T234" s="15">
        <f>_xlfn.IFNA(IF(VLOOKUP($J234&amp;T$14,'Mapping A'!$A$6:$G$1011,7,0)=1,$L234,""),0)</f>
        <v>0.37380000000000002</v>
      </c>
      <c r="U234" s="15">
        <f>_xlfn.IFNA(IF(VLOOKUP($J234&amp;U$12,'Mapping A'!$A$6:$G$1011,7,0)=1,$L234,""),0)</f>
        <v>0</v>
      </c>
      <c r="V234" s="15">
        <f>_xlfn.IFNA(IF(VLOOKUP($J234&amp;V$12,'Mapping A'!$A$6:$G$1011,7,0)=1,$L234,""),0)</f>
        <v>0</v>
      </c>
      <c r="W234" s="15">
        <f>_xlfn.IFNA(IF(VLOOKUP($J234&amp;W$12,'Mapping A'!$A$6:$G$1011,7,0)=1,$L234,""),0)</f>
        <v>0</v>
      </c>
      <c r="X234" s="15">
        <f>_xlfn.IFNA(IF(VLOOKUP($J234&amp;X$12,'Mapping A'!$A$6:$G$1011,7,0)=1,$L234,""),0)</f>
        <v>0</v>
      </c>
      <c r="Y234" s="15">
        <f>_xlfn.IFNA(IF(VLOOKUP($J234&amp;Y$12,'Mapping A'!$A$6:$G$1011,7,0)=1,$L234,""),0)</f>
        <v>0</v>
      </c>
      <c r="Z234" s="15">
        <f>_xlfn.IFNA(IF(VLOOKUP($J234&amp;Z$12,'Mapping A'!$A$6:$G$1011,7,0)=1,$L234,""),0)</f>
        <v>0</v>
      </c>
      <c r="AA234" s="15">
        <f>_xlfn.IFNA(IF(VLOOKUP($J234&amp;AA$12,'Mapping A'!$A$6:$G$1011,7,0)=1,$L234,""),0)</f>
        <v>0</v>
      </c>
      <c r="AF234" s="155" t="str">
        <f t="shared" si="85"/>
        <v>WHI2201Contact</v>
      </c>
      <c r="AG234" s="15" t="s">
        <v>370</v>
      </c>
      <c r="AH234" s="190" t="s">
        <v>4</v>
      </c>
      <c r="AI234" s="190">
        <f t="shared" si="78"/>
        <v>0.37380000000000002</v>
      </c>
      <c r="AJ234" s="292" t="s">
        <v>95</v>
      </c>
      <c r="AK234" s="15"/>
      <c r="AL234" s="15">
        <f t="shared" ca="1" si="72"/>
        <v>0</v>
      </c>
      <c r="AM234" s="15">
        <f t="shared" ca="1" si="73"/>
        <v>0</v>
      </c>
      <c r="AN234" s="15">
        <f t="shared" ca="1" si="74"/>
        <v>0</v>
      </c>
      <c r="AO234" s="15">
        <f t="shared" ca="1" si="75"/>
        <v>0</v>
      </c>
      <c r="AP234" s="15"/>
      <c r="AQ234" s="15">
        <f t="shared" ca="1" si="76"/>
        <v>0</v>
      </c>
      <c r="AR234" s="20">
        <f t="shared" ca="1" si="79"/>
        <v>0</v>
      </c>
      <c r="AS234" s="20"/>
      <c r="AT234" s="20">
        <f t="shared" ca="1" si="80"/>
        <v>0</v>
      </c>
      <c r="AU234" s="20">
        <f t="shared" ca="1" si="81"/>
        <v>0</v>
      </c>
      <c r="AV234" s="20">
        <f t="shared" ca="1" si="82"/>
        <v>0</v>
      </c>
      <c r="AW234" s="20">
        <f t="shared" si="83"/>
        <v>0</v>
      </c>
      <c r="AX234" s="20">
        <f t="shared" si="84"/>
        <v>0</v>
      </c>
      <c r="BA234" s="20"/>
      <c r="BD234" s="94" t="str">
        <f t="shared" si="89"/>
        <v>WDV1101Meridian</v>
      </c>
      <c r="BF234" s="15" t="s">
        <v>14</v>
      </c>
      <c r="BG234" t="s">
        <v>366</v>
      </c>
      <c r="BH234" s="190">
        <v>0.99329999999999996</v>
      </c>
      <c r="BI234" s="190">
        <v>0.99199998378753595</v>
      </c>
      <c r="BJ234" s="257">
        <f t="shared" si="88"/>
        <v>3.5280265127235325E-2</v>
      </c>
      <c r="BK234" s="257">
        <f t="shared" si="86"/>
        <v>3.8675898496692972E-2</v>
      </c>
      <c r="BL234" s="257">
        <f t="shared" si="87"/>
        <v>4.0939654076331392E-2</v>
      </c>
      <c r="BM234" s="342" t="str">
        <f>VLOOKUP(LEFT(BG234,3),'Mapping B'!$D$2:$E$310,2,0)</f>
        <v>N</v>
      </c>
      <c r="BO234" s="20"/>
      <c r="BP234" s="190"/>
      <c r="BQ234" s="20"/>
      <c r="BR234" s="20"/>
    </row>
    <row r="235" spans="2:70" x14ac:dyDescent="0.25">
      <c r="B235" s="98" t="s">
        <v>555</v>
      </c>
      <c r="C235" s="98">
        <v>2014</v>
      </c>
      <c r="D235" s="98" t="s">
        <v>338</v>
      </c>
      <c r="E235" s="98" t="s">
        <v>4</v>
      </c>
      <c r="F235" s="98" t="s">
        <v>136</v>
      </c>
      <c r="G235" s="98">
        <v>0</v>
      </c>
      <c r="H235" s="299" t="str">
        <f>VLOOKUP(LEFT('Rev Adequacy'!D235,3),'Mapping B'!$D$2:$E$400,2,0)</f>
        <v>N</v>
      </c>
      <c r="I235" s="190"/>
      <c r="J235" s="15" t="s">
        <v>372</v>
      </c>
      <c r="K235" s="190" t="s">
        <v>28</v>
      </c>
      <c r="L235" s="190">
        <f t="shared" si="77"/>
        <v>49.253399999999999</v>
      </c>
      <c r="O235" s="15">
        <f>_xlfn.IFNA(IF(VLOOKUP($J235&amp;O$12,'Mapping A'!$A$6:$G$1011,7,0)=1,$L235,""),0)</f>
        <v>0</v>
      </c>
      <c r="P235" s="15">
        <f>_xlfn.IFNA(IF(VLOOKUP($J235&amp;P$12,'Mapping A'!$A$6:$G$1011,7,0)=1,$L235,""),0)</f>
        <v>49.253399999999999</v>
      </c>
      <c r="Q235" s="15">
        <f>_xlfn.IFNA(IF(VLOOKUP($J235&amp;Q$12,'Mapping A'!$A$6:$G$1011,7,0)=1,$L235,""),0)</f>
        <v>49.253399999999999</v>
      </c>
      <c r="R235" s="15">
        <f>_xlfn.IFNA(IF(VLOOKUP($J235&amp;R$12,'Mapping A'!$A$6:$G$1011,7,0)=1,$L235,""),0)</f>
        <v>0</v>
      </c>
      <c r="S235" s="15">
        <f>_xlfn.IFNA(IF(VLOOKUP($J235&amp;S$12,'Mapping A'!$A$6:$G$1011,7,0)=1,$L235,""),0)</f>
        <v>0</v>
      </c>
      <c r="T235" s="15">
        <f>_xlfn.IFNA(IF(VLOOKUP($J235&amp;T$14,'Mapping A'!$A$6:$G$1011,7,0)=1,$L235,""),0)</f>
        <v>49.253399999999999</v>
      </c>
      <c r="U235" s="15">
        <f>_xlfn.IFNA(IF(VLOOKUP($J235&amp;U$12,'Mapping A'!$A$6:$G$1011,7,0)=1,$L235,""),0)</f>
        <v>0</v>
      </c>
      <c r="V235" s="15">
        <f>_xlfn.IFNA(IF(VLOOKUP($J235&amp;V$12,'Mapping A'!$A$6:$G$1011,7,0)=1,$L235,""),0)</f>
        <v>0</v>
      </c>
      <c r="W235" s="15">
        <f>_xlfn.IFNA(IF(VLOOKUP($J235&amp;W$12,'Mapping A'!$A$6:$G$1011,7,0)=1,$L235,""),0)</f>
        <v>0</v>
      </c>
      <c r="X235" s="15">
        <f>_xlfn.IFNA(IF(VLOOKUP($J235&amp;X$12,'Mapping A'!$A$6:$G$1011,7,0)=1,$L235,""),0)</f>
        <v>0</v>
      </c>
      <c r="Y235" s="15">
        <f>_xlfn.IFNA(IF(VLOOKUP($J235&amp;Y$12,'Mapping A'!$A$6:$G$1011,7,0)=1,$L235,""),0)</f>
        <v>0</v>
      </c>
      <c r="Z235" s="15">
        <f>_xlfn.IFNA(IF(VLOOKUP($J235&amp;Z$12,'Mapping A'!$A$6:$G$1011,7,0)=1,$L235,""),0)</f>
        <v>0</v>
      </c>
      <c r="AA235" s="15">
        <f>_xlfn.IFNA(IF(VLOOKUP($J235&amp;AA$12,'Mapping A'!$A$6:$G$1011,7,0)=1,$L235,""),0)</f>
        <v>0</v>
      </c>
      <c r="AF235" s="155" t="str">
        <f t="shared" si="85"/>
        <v>WHU0331Powerco</v>
      </c>
      <c r="AG235" s="15" t="s">
        <v>372</v>
      </c>
      <c r="AH235" s="190" t="s">
        <v>28</v>
      </c>
      <c r="AI235" s="190">
        <f t="shared" si="78"/>
        <v>49.253399999999999</v>
      </c>
      <c r="AJ235" s="292" t="s">
        <v>95</v>
      </c>
      <c r="AK235" s="15"/>
      <c r="AL235" s="15">
        <f t="shared" ca="1" si="72"/>
        <v>0</v>
      </c>
      <c r="AM235" s="15">
        <f t="shared" ca="1" si="73"/>
        <v>0</v>
      </c>
      <c r="AN235" s="15">
        <f t="shared" ca="1" si="74"/>
        <v>0</v>
      </c>
      <c r="AO235" s="15">
        <f t="shared" ca="1" si="75"/>
        <v>0</v>
      </c>
      <c r="AP235" s="15"/>
      <c r="AQ235" s="15">
        <f t="shared" ca="1" si="76"/>
        <v>0</v>
      </c>
      <c r="AR235" s="20">
        <f t="shared" ca="1" si="79"/>
        <v>0</v>
      </c>
      <c r="AS235" s="20"/>
      <c r="AT235" s="20">
        <f t="shared" ca="1" si="80"/>
        <v>0</v>
      </c>
      <c r="AU235" s="20">
        <f t="shared" ca="1" si="81"/>
        <v>0</v>
      </c>
      <c r="AV235" s="20">
        <f t="shared" ca="1" si="82"/>
        <v>0</v>
      </c>
      <c r="AW235" s="20">
        <f t="shared" si="83"/>
        <v>0</v>
      </c>
      <c r="AX235" s="20">
        <f t="shared" si="84"/>
        <v>0</v>
      </c>
      <c r="BA235" s="20"/>
      <c r="BD235" s="94" t="str">
        <f t="shared" si="89"/>
        <v>WEL0331Vector</v>
      </c>
      <c r="BF235" s="15" t="s">
        <v>37</v>
      </c>
      <c r="BG235" t="s">
        <v>367</v>
      </c>
      <c r="BH235" s="190">
        <v>33.297599999999996</v>
      </c>
      <c r="BI235" s="190">
        <v>33.638999938964801</v>
      </c>
      <c r="BJ235" s="257">
        <f t="shared" si="88"/>
        <v>1.1826720588952291</v>
      </c>
      <c r="BK235" s="257">
        <f t="shared" si="86"/>
        <v>1.2965011555255046</v>
      </c>
      <c r="BL235" s="257">
        <f t="shared" si="87"/>
        <v>1.3723872199456881</v>
      </c>
      <c r="BM235" s="342" t="str">
        <f>VLOOKUP(LEFT(BG235,3),'Mapping B'!$D$2:$E$310,2,0)</f>
        <v>N</v>
      </c>
      <c r="BO235" s="20"/>
      <c r="BP235" s="190"/>
      <c r="BQ235" s="20"/>
      <c r="BR235" s="20"/>
    </row>
    <row r="236" spans="2:70" x14ac:dyDescent="0.25">
      <c r="B236" s="98" t="s">
        <v>555</v>
      </c>
      <c r="C236" s="98">
        <v>2014</v>
      </c>
      <c r="D236" s="98" t="s">
        <v>359</v>
      </c>
      <c r="E236" s="98" t="s">
        <v>4</v>
      </c>
      <c r="F236" s="98" t="s">
        <v>136</v>
      </c>
      <c r="G236" s="98">
        <v>0</v>
      </c>
      <c r="H236" s="299" t="str">
        <f>VLOOKUP(LEFT('Rev Adequacy'!D236,3),'Mapping B'!$D$2:$E$400,2,0)</f>
        <v>N</v>
      </c>
      <c r="I236" s="190"/>
      <c r="J236" s="15" t="s">
        <v>373</v>
      </c>
      <c r="K236" s="190" t="s">
        <v>40</v>
      </c>
      <c r="L236" s="190">
        <f t="shared" si="77"/>
        <v>53.1006</v>
      </c>
      <c r="O236" s="15">
        <f>_xlfn.IFNA(IF(VLOOKUP($J236&amp;O$12,'Mapping A'!$A$6:$G$1011,7,0)=1,$L236,""),0)</f>
        <v>0</v>
      </c>
      <c r="P236" s="15">
        <f>_xlfn.IFNA(IF(VLOOKUP($J236&amp;P$12,'Mapping A'!$A$6:$G$1011,7,0)=1,$L236,""),0)</f>
        <v>53.1006</v>
      </c>
      <c r="Q236" s="15">
        <f>_xlfn.IFNA(IF(VLOOKUP($J236&amp;Q$12,'Mapping A'!$A$6:$G$1011,7,0)=1,$L236,""),0)</f>
        <v>53.1006</v>
      </c>
      <c r="R236" s="15">
        <f>_xlfn.IFNA(IF(VLOOKUP($J236&amp;R$12,'Mapping A'!$A$6:$G$1011,7,0)=1,$L236,""),0)</f>
        <v>0</v>
      </c>
      <c r="S236" s="15">
        <f>_xlfn.IFNA(IF(VLOOKUP($J236&amp;S$12,'Mapping A'!$A$6:$G$1011,7,0)=1,$L236,""),0)</f>
        <v>0</v>
      </c>
      <c r="T236" s="15">
        <f>_xlfn.IFNA(IF(VLOOKUP($J236&amp;T$14,'Mapping A'!$A$6:$G$1011,7,0)=1,$L236,""),0)</f>
        <v>0</v>
      </c>
      <c r="U236" s="15">
        <f>_xlfn.IFNA(IF(VLOOKUP($J236&amp;U$12,'Mapping A'!$A$6:$G$1011,7,0)=1,$L236,""),0)</f>
        <v>0</v>
      </c>
      <c r="V236" s="15">
        <f>_xlfn.IFNA(IF(VLOOKUP($J236&amp;V$12,'Mapping A'!$A$6:$G$1011,7,0)=1,$L236,""),0)</f>
        <v>0</v>
      </c>
      <c r="W236" s="15">
        <f>_xlfn.IFNA(IF(VLOOKUP($J236&amp;W$12,'Mapping A'!$A$6:$G$1011,7,0)=1,$L236,""),0)</f>
        <v>0</v>
      </c>
      <c r="X236" s="15">
        <f>_xlfn.IFNA(IF(VLOOKUP($J236&amp;X$12,'Mapping A'!$A$6:$G$1011,7,0)=1,$L236,""),0)</f>
        <v>0</v>
      </c>
      <c r="Y236" s="15">
        <f>_xlfn.IFNA(IF(VLOOKUP($J236&amp;Y$12,'Mapping A'!$A$6:$G$1011,7,0)=1,$L236,""),0)</f>
        <v>0</v>
      </c>
      <c r="Z236" s="15">
        <f>_xlfn.IFNA(IF(VLOOKUP($J236&amp;Z$12,'Mapping A'!$A$6:$G$1011,7,0)=1,$L236,""),0)</f>
        <v>0</v>
      </c>
      <c r="AA236" s="15">
        <f>_xlfn.IFNA(IF(VLOOKUP($J236&amp;AA$12,'Mapping A'!$A$6:$G$1011,7,0)=1,$L236,""),0)</f>
        <v>0</v>
      </c>
      <c r="AF236" s="155" t="str">
        <f t="shared" si="85"/>
        <v>WIL0331Wellington Electricity</v>
      </c>
      <c r="AG236" s="15" t="s">
        <v>373</v>
      </c>
      <c r="AH236" s="190" t="s">
        <v>40</v>
      </c>
      <c r="AI236" s="190">
        <f t="shared" si="78"/>
        <v>53.1006</v>
      </c>
      <c r="AJ236" s="292" t="s">
        <v>95</v>
      </c>
      <c r="AK236" s="15"/>
      <c r="AL236" s="15">
        <f t="shared" ref="AL236:AL247" ca="1" si="90">O$13*O$7*O236/O$21</f>
        <v>0</v>
      </c>
      <c r="AM236" s="15">
        <f t="shared" ref="AM236:AM247" ca="1" si="91">P$13*P$7*P236/P$21</f>
        <v>0</v>
      </c>
      <c r="AN236" s="15">
        <f t="shared" ref="AN236:AN247" ca="1" si="92">Q$13*Q$7*Q236/Q$21</f>
        <v>0</v>
      </c>
      <c r="AO236" s="15">
        <f t="shared" ref="AO236:AO247" ca="1" si="93">R$13*R$7*R236/R$21</f>
        <v>0</v>
      </c>
      <c r="AP236" s="15"/>
      <c r="AQ236" s="15">
        <f t="shared" ref="AQ236:AQ247" ca="1" si="94">T$15*T$7*T236/T$21</f>
        <v>0</v>
      </c>
      <c r="AR236" s="20">
        <f t="shared" ca="1" si="79"/>
        <v>0</v>
      </c>
      <c r="AS236" s="20"/>
      <c r="AT236" s="20">
        <f t="shared" ca="1" si="80"/>
        <v>0</v>
      </c>
      <c r="AU236" s="20">
        <f t="shared" ca="1" si="81"/>
        <v>0</v>
      </c>
      <c r="AV236" s="20">
        <f t="shared" ca="1" si="82"/>
        <v>0</v>
      </c>
      <c r="AW236" s="20">
        <f t="shared" si="83"/>
        <v>0</v>
      </c>
      <c r="AX236" s="20">
        <f t="shared" si="84"/>
        <v>0</v>
      </c>
      <c r="BA236" s="20"/>
      <c r="BD236" s="94" t="str">
        <f t="shared" si="89"/>
        <v>WGN0331Powerco</v>
      </c>
      <c r="BF236" s="15" t="s">
        <v>28</v>
      </c>
      <c r="BG236" t="s">
        <v>368</v>
      </c>
      <c r="BH236" s="190">
        <v>41.651400000000002</v>
      </c>
      <c r="BI236" s="190">
        <v>41.627998352050703</v>
      </c>
      <c r="BJ236" s="257">
        <f t="shared" si="88"/>
        <v>1.4793843097961641</v>
      </c>
      <c r="BK236" s="257">
        <f t="shared" si="86"/>
        <v>1.6217711855886014</v>
      </c>
      <c r="BL236" s="257">
        <f t="shared" si="87"/>
        <v>1.7166957694502263</v>
      </c>
      <c r="BM236" s="342" t="str">
        <f>VLOOKUP(LEFT(BG236,3),'Mapping B'!$D$2:$E$310,2,0)</f>
        <v>N</v>
      </c>
      <c r="BO236" s="20"/>
      <c r="BP236" s="190"/>
      <c r="BQ236" s="20"/>
      <c r="BR236" s="20"/>
    </row>
    <row r="237" spans="2:70" x14ac:dyDescent="0.25">
      <c r="B237" s="98" t="s">
        <v>555</v>
      </c>
      <c r="C237" s="98">
        <v>2014</v>
      </c>
      <c r="D237" s="98" t="s">
        <v>369</v>
      </c>
      <c r="E237" s="98" t="s">
        <v>4</v>
      </c>
      <c r="F237" s="98" t="s">
        <v>131</v>
      </c>
      <c r="G237" s="98">
        <v>0</v>
      </c>
      <c r="H237" s="299" t="str">
        <f>VLOOKUP(LEFT('Rev Adequacy'!D237,3),'Mapping B'!$D$2:$E$400,2,0)</f>
        <v>N</v>
      </c>
      <c r="I237" s="190"/>
      <c r="J237" s="15" t="s">
        <v>374</v>
      </c>
      <c r="K237" s="190" t="s">
        <v>37</v>
      </c>
      <c r="L237" s="190">
        <f t="shared" si="77"/>
        <v>85.304100000000005</v>
      </c>
      <c r="O237" s="15">
        <f>_xlfn.IFNA(IF(VLOOKUP($J237&amp;O$12,'Mapping A'!$A$6:$G$1011,7,0)=1,$L237,""),0)</f>
        <v>85.304100000000005</v>
      </c>
      <c r="P237" s="15">
        <f>_xlfn.IFNA(IF(VLOOKUP($J237&amp;P$12,'Mapping A'!$A$6:$G$1011,7,0)=1,$L237,""),0)</f>
        <v>85.304100000000005</v>
      </c>
      <c r="Q237" s="15">
        <f>_xlfn.IFNA(IF(VLOOKUP($J237&amp;Q$12,'Mapping A'!$A$6:$G$1011,7,0)=1,$L237,""),0)</f>
        <v>85.304100000000005</v>
      </c>
      <c r="R237" s="15">
        <f>_xlfn.IFNA(IF(VLOOKUP($J237&amp;R$12,'Mapping A'!$A$6:$G$1011,7,0)=1,$L237,""),0)</f>
        <v>0</v>
      </c>
      <c r="S237" s="15">
        <f>_xlfn.IFNA(IF(VLOOKUP($J237&amp;S$12,'Mapping A'!$A$6:$G$1011,7,0)=1,$L237,""),0)</f>
        <v>0</v>
      </c>
      <c r="T237" s="15">
        <f>_xlfn.IFNA(IF(VLOOKUP($J237&amp;T$14,'Mapping A'!$A$6:$G$1011,7,0)=1,$L237,""),0)</f>
        <v>85.304100000000005</v>
      </c>
      <c r="U237" s="15">
        <f>_xlfn.IFNA(IF(VLOOKUP($J237&amp;U$12,'Mapping A'!$A$6:$G$1011,7,0)=1,$L237,""),0)</f>
        <v>85.304100000000005</v>
      </c>
      <c r="V237" s="15">
        <f>_xlfn.IFNA(IF(VLOOKUP($J237&amp;V$12,'Mapping A'!$A$6:$G$1011,7,0)=1,$L237,""),0)</f>
        <v>0</v>
      </c>
      <c r="W237" s="15">
        <f>_xlfn.IFNA(IF(VLOOKUP($J237&amp;W$12,'Mapping A'!$A$6:$G$1011,7,0)=1,$L237,""),0)</f>
        <v>0</v>
      </c>
      <c r="X237" s="15">
        <f>_xlfn.IFNA(IF(VLOOKUP($J237&amp;X$12,'Mapping A'!$A$6:$G$1011,7,0)=1,$L237,""),0)</f>
        <v>85.304100000000005</v>
      </c>
      <c r="Y237" s="15">
        <f>_xlfn.IFNA(IF(VLOOKUP($J237&amp;Y$12,'Mapping A'!$A$6:$G$1011,7,0)=1,$L237,""),0)</f>
        <v>0</v>
      </c>
      <c r="Z237" s="15">
        <f>_xlfn.IFNA(IF(VLOOKUP($J237&amp;Z$12,'Mapping A'!$A$6:$G$1011,7,0)=1,$L237,""),0)</f>
        <v>0</v>
      </c>
      <c r="AA237" s="15">
        <f>_xlfn.IFNA(IF(VLOOKUP($J237&amp;AA$12,'Mapping A'!$A$6:$G$1011,7,0)=1,$L237,""),0)</f>
        <v>0</v>
      </c>
      <c r="AF237" s="155" t="str">
        <f t="shared" si="85"/>
        <v>WIR0331Vector</v>
      </c>
      <c r="AG237" s="15" t="s">
        <v>374</v>
      </c>
      <c r="AH237" s="190" t="s">
        <v>37</v>
      </c>
      <c r="AI237" s="190">
        <f t="shared" si="78"/>
        <v>85.304100000000005</v>
      </c>
      <c r="AJ237" s="292" t="s">
        <v>95</v>
      </c>
      <c r="AK237" s="15"/>
      <c r="AL237" s="15">
        <f t="shared" ca="1" si="90"/>
        <v>0</v>
      </c>
      <c r="AM237" s="15">
        <f t="shared" ca="1" si="91"/>
        <v>0</v>
      </c>
      <c r="AN237" s="15">
        <f t="shared" ca="1" si="92"/>
        <v>0</v>
      </c>
      <c r="AO237" s="15">
        <f t="shared" ca="1" si="93"/>
        <v>0</v>
      </c>
      <c r="AP237" s="15"/>
      <c r="AQ237" s="15">
        <f t="shared" ca="1" si="94"/>
        <v>0</v>
      </c>
      <c r="AR237" s="20">
        <f t="shared" ca="1" si="79"/>
        <v>0.37325622994981772</v>
      </c>
      <c r="AS237" s="20"/>
      <c r="AT237" s="20">
        <f t="shared" ca="1" si="80"/>
        <v>0</v>
      </c>
      <c r="AU237" s="20">
        <f t="shared" ca="1" si="81"/>
        <v>0.17214658051450901</v>
      </c>
      <c r="AV237" s="20">
        <f t="shared" ca="1" si="82"/>
        <v>0</v>
      </c>
      <c r="AW237" s="20">
        <f t="shared" si="83"/>
        <v>0</v>
      </c>
      <c r="AX237" s="20">
        <f t="shared" si="84"/>
        <v>0</v>
      </c>
      <c r="BA237" s="20"/>
      <c r="BD237" s="94" t="str">
        <f t="shared" si="89"/>
        <v>WHI0111Contact</v>
      </c>
      <c r="BF237" s="15" t="s">
        <v>4</v>
      </c>
      <c r="BG237" t="s">
        <v>369</v>
      </c>
      <c r="BH237" s="190">
        <v>0.30660000000000004</v>
      </c>
      <c r="BI237" s="190">
        <v>0.26249999430642201</v>
      </c>
      <c r="BJ237" s="257">
        <f t="shared" si="88"/>
        <v>1.0889891561472218E-2</v>
      </c>
      <c r="BK237" s="257">
        <f t="shared" si="86"/>
        <v>1.193801518079741E-2</v>
      </c>
      <c r="BL237" s="257">
        <f t="shared" si="87"/>
        <v>1.2636764260347535E-2</v>
      </c>
      <c r="BM237" s="342" t="str">
        <f>VLOOKUP(LEFT(BG237,3),'Mapping B'!$D$2:$E$310,2,0)</f>
        <v>N</v>
      </c>
      <c r="BO237" s="20"/>
      <c r="BP237" s="190"/>
      <c r="BQ237" s="20"/>
      <c r="BR237" s="20"/>
    </row>
    <row r="238" spans="2:70" x14ac:dyDescent="0.25">
      <c r="B238" s="98" t="s">
        <v>555</v>
      </c>
      <c r="C238" s="98">
        <v>2014</v>
      </c>
      <c r="D238" s="98" t="s">
        <v>370</v>
      </c>
      <c r="E238" s="98" t="s">
        <v>4</v>
      </c>
      <c r="F238" s="98" t="s">
        <v>131</v>
      </c>
      <c r="G238" s="98">
        <v>0</v>
      </c>
      <c r="H238" s="299" t="str">
        <f>VLOOKUP(LEFT('Rev Adequacy'!D238,3),'Mapping B'!$D$2:$E$400,2,0)</f>
        <v>N</v>
      </c>
      <c r="I238" s="190"/>
      <c r="J238" s="15" t="s">
        <v>375</v>
      </c>
      <c r="K238" s="190" t="s">
        <v>53</v>
      </c>
      <c r="L238" s="190">
        <f t="shared" si="77"/>
        <v>13.156499999999999</v>
      </c>
      <c r="O238" s="15">
        <f>_xlfn.IFNA(IF(VLOOKUP($J238&amp;O$12,'Mapping A'!$A$6:$G$1011,7,0)=1,$L238,""),0)</f>
        <v>0</v>
      </c>
      <c r="P238" s="15">
        <f>_xlfn.IFNA(IF(VLOOKUP($J238&amp;P$12,'Mapping A'!$A$6:$G$1011,7,0)=1,$L238,""),0)</f>
        <v>13.156499999999999</v>
      </c>
      <c r="Q238" s="15">
        <f>_xlfn.IFNA(IF(VLOOKUP($J238&amp;Q$12,'Mapping A'!$A$6:$G$1011,7,0)=1,$L238,""),0)</f>
        <v>13.156499999999999</v>
      </c>
      <c r="R238" s="15">
        <f>_xlfn.IFNA(IF(VLOOKUP($J238&amp;R$12,'Mapping A'!$A$6:$G$1011,7,0)=1,$L238,""),0)</f>
        <v>0</v>
      </c>
      <c r="S238" s="15">
        <f>_xlfn.IFNA(IF(VLOOKUP($J238&amp;S$12,'Mapping A'!$A$6:$G$1011,7,0)=1,$L238,""),0)</f>
        <v>0</v>
      </c>
      <c r="T238" s="15">
        <f>_xlfn.IFNA(IF(VLOOKUP($J238&amp;T$14,'Mapping A'!$A$6:$G$1011,7,0)=1,$L238,""),0)</f>
        <v>0</v>
      </c>
      <c r="U238" s="15">
        <f>_xlfn.IFNA(IF(VLOOKUP($J238&amp;U$12,'Mapping A'!$A$6:$G$1011,7,0)=1,$L238,""),0)</f>
        <v>0</v>
      </c>
      <c r="V238" s="15">
        <f>_xlfn.IFNA(IF(VLOOKUP($J238&amp;V$12,'Mapping A'!$A$6:$G$1011,7,0)=1,$L238,""),0)</f>
        <v>0</v>
      </c>
      <c r="W238" s="15">
        <f>_xlfn.IFNA(IF(VLOOKUP($J238&amp;W$12,'Mapping A'!$A$6:$G$1011,7,0)=1,$L238,""),0)</f>
        <v>0</v>
      </c>
      <c r="X238" s="15">
        <f>_xlfn.IFNA(IF(VLOOKUP($J238&amp;X$12,'Mapping A'!$A$6:$G$1011,7,0)=1,$L238,""),0)</f>
        <v>0</v>
      </c>
      <c r="Y238" s="15">
        <f>_xlfn.IFNA(IF(VLOOKUP($J238&amp;Y$12,'Mapping A'!$A$6:$G$1011,7,0)=1,$L238,""),0)</f>
        <v>0</v>
      </c>
      <c r="Z238" s="15">
        <f>_xlfn.IFNA(IF(VLOOKUP($J238&amp;Z$12,'Mapping A'!$A$6:$G$1011,7,0)=1,$L238,""),0)</f>
        <v>0</v>
      </c>
      <c r="AA238" s="15">
        <f>_xlfn.IFNA(IF(VLOOKUP($J238&amp;AA$12,'Mapping A'!$A$6:$G$1011,7,0)=1,$L238,""),0)</f>
        <v>0</v>
      </c>
      <c r="AF238" s="155" t="str">
        <f t="shared" si="85"/>
        <v>WKM2201Other</v>
      </c>
      <c r="AG238" s="15" t="s">
        <v>375</v>
      </c>
      <c r="AH238" s="190" t="s">
        <v>53</v>
      </c>
      <c r="AI238" s="190">
        <f t="shared" si="78"/>
        <v>13.156499999999999</v>
      </c>
      <c r="AJ238" s="292" t="s">
        <v>95</v>
      </c>
      <c r="AK238" s="15"/>
      <c r="AL238" s="15">
        <f t="shared" ca="1" si="90"/>
        <v>0</v>
      </c>
      <c r="AM238" s="15">
        <f t="shared" ca="1" si="91"/>
        <v>0</v>
      </c>
      <c r="AN238" s="15">
        <f t="shared" ca="1" si="92"/>
        <v>0</v>
      </c>
      <c r="AO238" s="15">
        <f t="shared" ca="1" si="93"/>
        <v>0</v>
      </c>
      <c r="AP238" s="15"/>
      <c r="AQ238" s="15">
        <f t="shared" ca="1" si="94"/>
        <v>0</v>
      </c>
      <c r="AR238" s="20">
        <f t="shared" ca="1" si="79"/>
        <v>0</v>
      </c>
      <c r="AS238" s="20"/>
      <c r="AT238" s="20">
        <f t="shared" ca="1" si="80"/>
        <v>0</v>
      </c>
      <c r="AU238" s="20">
        <f t="shared" ca="1" si="81"/>
        <v>0</v>
      </c>
      <c r="AV238" s="20">
        <f t="shared" ca="1" si="82"/>
        <v>0</v>
      </c>
      <c r="AW238" s="20">
        <f t="shared" si="83"/>
        <v>0</v>
      </c>
      <c r="AX238" s="20">
        <f t="shared" si="84"/>
        <v>0</v>
      </c>
      <c r="BA238" s="95"/>
      <c r="BD238" s="94" t="str">
        <f t="shared" si="89"/>
        <v>WHI0111PanPac</v>
      </c>
      <c r="BF238" s="15" t="s">
        <v>26</v>
      </c>
      <c r="BG238" t="s">
        <v>369</v>
      </c>
      <c r="BH238" s="190">
        <v>85.140299999999996</v>
      </c>
      <c r="BI238" s="190">
        <v>85.142896579021297</v>
      </c>
      <c r="BJ238" s="257">
        <f t="shared" si="88"/>
        <v>3.0240333806627948</v>
      </c>
      <c r="BK238" s="257">
        <f t="shared" si="86"/>
        <v>3.3150886950347211</v>
      </c>
      <c r="BL238" s="257">
        <f t="shared" si="87"/>
        <v>3.5091255712826714</v>
      </c>
      <c r="BM238" s="342" t="str">
        <f>VLOOKUP(LEFT(BG238,3),'Mapping B'!$D$2:$E$310,2,0)</f>
        <v>N</v>
      </c>
      <c r="BO238" s="20"/>
      <c r="BP238" s="190"/>
      <c r="BQ238" s="20"/>
      <c r="BR238" s="20"/>
    </row>
    <row r="239" spans="2:70" x14ac:dyDescent="0.25">
      <c r="B239" s="98" t="s">
        <v>555</v>
      </c>
      <c r="C239" s="98">
        <v>2014</v>
      </c>
      <c r="D239" s="98" t="s">
        <v>371</v>
      </c>
      <c r="E239" s="98" t="s">
        <v>4</v>
      </c>
      <c r="F239" s="98" t="s">
        <v>136</v>
      </c>
      <c r="G239" s="98">
        <v>45719.726999999999</v>
      </c>
      <c r="H239" s="299" t="str">
        <f>VLOOKUP(LEFT('Rev Adequacy'!D239,3),'Mapping B'!$D$2:$E$400,2,0)</f>
        <v>N</v>
      </c>
      <c r="I239" s="190"/>
      <c r="J239" s="15" t="s">
        <v>378</v>
      </c>
      <c r="K239" s="190" t="s">
        <v>28</v>
      </c>
      <c r="L239" s="190">
        <f t="shared" si="77"/>
        <v>36.264900000000004</v>
      </c>
      <c r="O239" s="15">
        <f>_xlfn.IFNA(IF(VLOOKUP($J239&amp;O$12,'Mapping A'!$A$6:$G$1011,7,0)=1,$L239,""),0)</f>
        <v>0</v>
      </c>
      <c r="P239" s="15">
        <f>_xlfn.IFNA(IF(VLOOKUP($J239&amp;P$12,'Mapping A'!$A$6:$G$1011,7,0)=1,$L239,""),0)</f>
        <v>36.264900000000004</v>
      </c>
      <c r="Q239" s="15">
        <f>_xlfn.IFNA(IF(VLOOKUP($J239&amp;Q$12,'Mapping A'!$A$6:$G$1011,7,0)=1,$L239,""),0)</f>
        <v>36.264900000000004</v>
      </c>
      <c r="R239" s="15">
        <f>_xlfn.IFNA(IF(VLOOKUP($J239&amp;R$12,'Mapping A'!$A$6:$G$1011,7,0)=1,$L239,""),0)</f>
        <v>0</v>
      </c>
      <c r="S239" s="15">
        <f>_xlfn.IFNA(IF(VLOOKUP($J239&amp;S$12,'Mapping A'!$A$6:$G$1011,7,0)=1,$L239,""),0)</f>
        <v>0</v>
      </c>
      <c r="T239" s="15">
        <f>_xlfn.IFNA(IF(VLOOKUP($J239&amp;T$14,'Mapping A'!$A$6:$G$1011,7,0)=1,$L239,""),0)</f>
        <v>36.264900000000004</v>
      </c>
      <c r="U239" s="15">
        <f>_xlfn.IFNA(IF(VLOOKUP($J239&amp;U$12,'Mapping A'!$A$6:$G$1011,7,0)=1,$L239,""),0)</f>
        <v>0</v>
      </c>
      <c r="V239" s="15">
        <f>_xlfn.IFNA(IF(VLOOKUP($J239&amp;V$12,'Mapping A'!$A$6:$G$1011,7,0)=1,$L239,""),0)</f>
        <v>0</v>
      </c>
      <c r="W239" s="15">
        <f>_xlfn.IFNA(IF(VLOOKUP($J239&amp;W$12,'Mapping A'!$A$6:$G$1011,7,0)=1,$L239,""),0)</f>
        <v>0</v>
      </c>
      <c r="X239" s="15">
        <f>_xlfn.IFNA(IF(VLOOKUP($J239&amp;X$12,'Mapping A'!$A$6:$G$1011,7,0)=1,$L239,""),0)</f>
        <v>0</v>
      </c>
      <c r="Y239" s="15">
        <f>_xlfn.IFNA(IF(VLOOKUP($J239&amp;Y$12,'Mapping A'!$A$6:$G$1011,7,0)=1,$L239,""),0)</f>
        <v>0</v>
      </c>
      <c r="Z239" s="15">
        <f>_xlfn.IFNA(IF(VLOOKUP($J239&amp;Z$12,'Mapping A'!$A$6:$G$1011,7,0)=1,$L239,""),0)</f>
        <v>0</v>
      </c>
      <c r="AA239" s="15">
        <f>_xlfn.IFNA(IF(VLOOKUP($J239&amp;AA$12,'Mapping A'!$A$6:$G$1011,7,0)=1,$L239,""),0)</f>
        <v>0</v>
      </c>
      <c r="AF239" s="155" t="str">
        <f t="shared" si="85"/>
        <v>WKO0331Powerco</v>
      </c>
      <c r="AG239" s="15" t="s">
        <v>378</v>
      </c>
      <c r="AH239" s="190" t="s">
        <v>28</v>
      </c>
      <c r="AI239" s="190">
        <f t="shared" si="78"/>
        <v>36.264900000000004</v>
      </c>
      <c r="AJ239" s="292" t="s">
        <v>95</v>
      </c>
      <c r="AK239" s="15"/>
      <c r="AL239" s="15">
        <f t="shared" ca="1" si="90"/>
        <v>0</v>
      </c>
      <c r="AM239" s="15">
        <f t="shared" ca="1" si="91"/>
        <v>0</v>
      </c>
      <c r="AN239" s="15">
        <f t="shared" ca="1" si="92"/>
        <v>0</v>
      </c>
      <c r="AO239" s="15">
        <f t="shared" ca="1" si="93"/>
        <v>0</v>
      </c>
      <c r="AP239" s="15"/>
      <c r="AQ239" s="15">
        <f t="shared" ca="1" si="94"/>
        <v>0</v>
      </c>
      <c r="AR239" s="20">
        <f t="shared" ca="1" si="79"/>
        <v>0</v>
      </c>
      <c r="AS239" s="20"/>
      <c r="AT239" s="20">
        <f t="shared" ca="1" si="80"/>
        <v>0</v>
      </c>
      <c r="AU239" s="20">
        <f t="shared" ca="1" si="81"/>
        <v>0</v>
      </c>
      <c r="AV239" s="20">
        <f t="shared" ca="1" si="82"/>
        <v>0</v>
      </c>
      <c r="AW239" s="20">
        <f t="shared" si="83"/>
        <v>0</v>
      </c>
      <c r="AX239" s="20">
        <f t="shared" si="84"/>
        <v>0</v>
      </c>
      <c r="BA239" s="20"/>
      <c r="BD239" s="94" t="str">
        <f t="shared" si="89"/>
        <v>WHI2201Contact</v>
      </c>
      <c r="BF239" s="15" t="s">
        <v>4</v>
      </c>
      <c r="BG239" t="s">
        <v>370</v>
      </c>
      <c r="BH239" s="190">
        <v>0.37380000000000002</v>
      </c>
      <c r="BI239" s="190">
        <v>0.37799999117851202</v>
      </c>
      <c r="BJ239" s="257">
        <f t="shared" si="88"/>
        <v>1.3276717109192156E-2</v>
      </c>
      <c r="BK239" s="257">
        <f t="shared" si="86"/>
        <v>1.4554566453300949E-2</v>
      </c>
      <c r="BL239" s="257">
        <f t="shared" si="87"/>
        <v>1.5406466016040146E-2</v>
      </c>
      <c r="BM239" s="342" t="str">
        <f>VLOOKUP(LEFT(BG239,3),'Mapping B'!$D$2:$E$310,2,0)</f>
        <v>N</v>
      </c>
      <c r="BO239" s="20"/>
      <c r="BP239" s="190"/>
      <c r="BQ239" s="20"/>
      <c r="BR239" s="20"/>
    </row>
    <row r="240" spans="2:70" x14ac:dyDescent="0.25">
      <c r="B240" s="98" t="s">
        <v>555</v>
      </c>
      <c r="C240" s="98">
        <v>2014</v>
      </c>
      <c r="D240" s="98" t="s">
        <v>387</v>
      </c>
      <c r="E240" s="98" t="s">
        <v>4</v>
      </c>
      <c r="F240" s="98" t="s">
        <v>136</v>
      </c>
      <c r="G240" s="98">
        <v>226514.17499999999</v>
      </c>
      <c r="H240" s="299" t="str">
        <f>VLOOKUP(LEFT('Rev Adequacy'!D240,3),'Mapping B'!$D$2:$E$400,2,0)</f>
        <v>N</v>
      </c>
      <c r="I240" s="190"/>
      <c r="J240" s="15" t="s">
        <v>933</v>
      </c>
      <c r="K240" s="190" t="s">
        <v>17</v>
      </c>
      <c r="L240" s="190">
        <f t="shared" si="77"/>
        <v>0.189</v>
      </c>
      <c r="O240" s="15">
        <f>_xlfn.IFNA(IF(VLOOKUP($J240&amp;O$12,'Mapping A'!$A$6:$G$1011,7,0)=1,$L240,""),0)</f>
        <v>0</v>
      </c>
      <c r="P240" s="15">
        <f>_xlfn.IFNA(IF(VLOOKUP($J240&amp;P$12,'Mapping A'!$A$6:$G$1011,7,0)=1,$L240,""),0)</f>
        <v>0</v>
      </c>
      <c r="Q240" s="15">
        <f>_xlfn.IFNA(IF(VLOOKUP($J240&amp;Q$12,'Mapping A'!$A$6:$G$1011,7,0)=1,$L240,""),0)</f>
        <v>0</v>
      </c>
      <c r="R240" s="15">
        <f>_xlfn.IFNA(IF(VLOOKUP($J240&amp;R$12,'Mapping A'!$A$6:$G$1011,7,0)=1,$L240,""),0)</f>
        <v>0</v>
      </c>
      <c r="S240" s="15">
        <f>_xlfn.IFNA(IF(VLOOKUP($J240&amp;S$12,'Mapping A'!$A$6:$G$1011,7,0)=1,$L240,""),0)</f>
        <v>0</v>
      </c>
      <c r="T240" s="15">
        <f>_xlfn.IFNA(IF(VLOOKUP($J240&amp;T$14,'Mapping A'!$A$6:$G$1011,7,0)=1,$L240,""),0)</f>
        <v>0</v>
      </c>
      <c r="U240" s="15">
        <f>_xlfn.IFNA(IF(VLOOKUP($J240&amp;U$12,'Mapping A'!$A$6:$G$1011,7,0)=1,$L240,""),0)</f>
        <v>0</v>
      </c>
      <c r="V240" s="15">
        <f>_xlfn.IFNA(IF(VLOOKUP($J240&amp;V$12,'Mapping A'!$A$6:$G$1011,7,0)=1,$L240,""),0)</f>
        <v>0</v>
      </c>
      <c r="W240" s="15">
        <f>_xlfn.IFNA(IF(VLOOKUP($J240&amp;W$12,'Mapping A'!$A$6:$G$1011,7,0)=1,$L240,""),0)</f>
        <v>0</v>
      </c>
      <c r="X240" s="15">
        <f>_xlfn.IFNA(IF(VLOOKUP($J240&amp;X$12,'Mapping A'!$A$6:$G$1011,7,0)=1,$L240,""),0)</f>
        <v>0</v>
      </c>
      <c r="Y240" s="15">
        <f>_xlfn.IFNA(IF(VLOOKUP($J240&amp;Y$12,'Mapping A'!$A$6:$G$1011,7,0)=1,$L240,""),0)</f>
        <v>0</v>
      </c>
      <c r="Z240" s="15">
        <f>_xlfn.IFNA(IF(VLOOKUP($J240&amp;Z$12,'Mapping A'!$A$6:$G$1011,7,0)=1,$L240,""),0)</f>
        <v>0</v>
      </c>
      <c r="AA240" s="15">
        <f>_xlfn.IFNA(IF(VLOOKUP($J240&amp;AA$12,'Mapping A'!$A$6:$G$1011,7,0)=1,$L240,""),0)</f>
        <v>0</v>
      </c>
      <c r="AF240" s="155" t="str">
        <f t="shared" si="85"/>
        <v>WPA2201MRP</v>
      </c>
      <c r="AG240" s="15" t="s">
        <v>933</v>
      </c>
      <c r="AH240" s="190" t="s">
        <v>17</v>
      </c>
      <c r="AI240" s="190">
        <f t="shared" si="78"/>
        <v>0.189</v>
      </c>
      <c r="AJ240" s="292" t="s">
        <v>95</v>
      </c>
      <c r="AK240" s="15"/>
      <c r="AL240" s="15">
        <f t="shared" ca="1" si="90"/>
        <v>0</v>
      </c>
      <c r="AM240" s="15">
        <f t="shared" ca="1" si="91"/>
        <v>0</v>
      </c>
      <c r="AN240" s="15">
        <f t="shared" ca="1" si="92"/>
        <v>0</v>
      </c>
      <c r="AO240" s="15">
        <f t="shared" ca="1" si="93"/>
        <v>0</v>
      </c>
      <c r="AP240" s="15"/>
      <c r="AQ240" s="15">
        <f t="shared" ca="1" si="94"/>
        <v>0</v>
      </c>
      <c r="AR240" s="20">
        <f t="shared" ca="1" si="79"/>
        <v>0</v>
      </c>
      <c r="AS240" s="20"/>
      <c r="AT240" s="20">
        <f t="shared" ca="1" si="80"/>
        <v>0</v>
      </c>
      <c r="AU240" s="20">
        <f t="shared" ca="1" si="81"/>
        <v>0</v>
      </c>
      <c r="AV240" s="20">
        <f t="shared" ca="1" si="82"/>
        <v>0</v>
      </c>
      <c r="AW240" s="20">
        <f t="shared" si="83"/>
        <v>0</v>
      </c>
      <c r="AX240" s="20">
        <f t="shared" si="84"/>
        <v>0</v>
      </c>
      <c r="BA240" s="20"/>
      <c r="BD240" s="94" t="str">
        <f t="shared" si="89"/>
        <v>WHU0331Powerco</v>
      </c>
      <c r="BF240" s="15" t="s">
        <v>28</v>
      </c>
      <c r="BG240" t="s">
        <v>372</v>
      </c>
      <c r="BH240" s="190">
        <v>49.253399999999999</v>
      </c>
      <c r="BI240" s="190">
        <v>49.244998931884702</v>
      </c>
      <c r="BJ240" s="257">
        <f t="shared" si="88"/>
        <v>1.7493939498819819</v>
      </c>
      <c r="BK240" s="257">
        <f t="shared" si="86"/>
        <v>1.9177685482905644</v>
      </c>
      <c r="BL240" s="257">
        <f t="shared" si="87"/>
        <v>2.0300182805629525</v>
      </c>
      <c r="BM240" s="342" t="str">
        <f>VLOOKUP(LEFT(BG240,3),'Mapping B'!$D$2:$E$310,2,0)</f>
        <v>N</v>
      </c>
      <c r="BO240" s="20"/>
      <c r="BP240" s="190"/>
      <c r="BQ240" s="20"/>
      <c r="BR240" s="20"/>
    </row>
    <row r="241" spans="2:70" x14ac:dyDescent="0.25">
      <c r="B241" s="98" t="s">
        <v>555</v>
      </c>
      <c r="C241" s="98">
        <v>2014</v>
      </c>
      <c r="D241" s="98" t="s">
        <v>388</v>
      </c>
      <c r="E241" s="98" t="s">
        <v>4</v>
      </c>
      <c r="F241" s="98" t="s">
        <v>136</v>
      </c>
      <c r="G241" s="98">
        <v>1793589.8430000001</v>
      </c>
      <c r="H241" s="299" t="str">
        <f>VLOOKUP(LEFT('Rev Adequacy'!D241,3),'Mapping B'!$D$2:$E$400,2,0)</f>
        <v>N</v>
      </c>
      <c r="I241" s="190"/>
      <c r="J241" s="15" t="s">
        <v>380</v>
      </c>
      <c r="K241" s="190" t="s">
        <v>12</v>
      </c>
      <c r="L241" s="190">
        <f t="shared" si="77"/>
        <v>12.6084</v>
      </c>
      <c r="O241" s="15">
        <f>_xlfn.IFNA(IF(VLOOKUP($J241&amp;O$12,'Mapping A'!$A$6:$G$1011,7,0)=1,$L241,""),0)</f>
        <v>0</v>
      </c>
      <c r="P241" s="15">
        <f>_xlfn.IFNA(IF(VLOOKUP($J241&amp;P$12,'Mapping A'!$A$6:$G$1011,7,0)=1,$L241,""),0)</f>
        <v>12.6084</v>
      </c>
      <c r="Q241" s="15">
        <f>_xlfn.IFNA(IF(VLOOKUP($J241&amp;Q$12,'Mapping A'!$A$6:$G$1011,7,0)=1,$L241,""),0)</f>
        <v>0</v>
      </c>
      <c r="R241" s="15">
        <f>_xlfn.IFNA(IF(VLOOKUP($J241&amp;R$12,'Mapping A'!$A$6:$G$1011,7,0)=1,$L241,""),0)</f>
        <v>0</v>
      </c>
      <c r="S241" s="15">
        <f>_xlfn.IFNA(IF(VLOOKUP($J241&amp;S$12,'Mapping A'!$A$6:$G$1011,7,0)=1,$L241,""),0)</f>
        <v>0</v>
      </c>
      <c r="T241" s="15">
        <f>_xlfn.IFNA(IF(VLOOKUP($J241&amp;T$14,'Mapping A'!$A$6:$G$1011,7,0)=1,$L241,""),0)</f>
        <v>0</v>
      </c>
      <c r="U241" s="15">
        <f>_xlfn.IFNA(IF(VLOOKUP($J241&amp;U$12,'Mapping A'!$A$6:$G$1011,7,0)=1,$L241,""),0)</f>
        <v>0</v>
      </c>
      <c r="V241" s="15">
        <f>_xlfn.IFNA(IF(VLOOKUP($J241&amp;V$12,'Mapping A'!$A$6:$G$1011,7,0)=1,$L241,""),0)</f>
        <v>0</v>
      </c>
      <c r="W241" s="15">
        <f>_xlfn.IFNA(IF(VLOOKUP($J241&amp;W$12,'Mapping A'!$A$6:$G$1011,7,0)=1,$L241,""),0)</f>
        <v>12.6084</v>
      </c>
      <c r="X241" s="15">
        <f>_xlfn.IFNA(IF(VLOOKUP($J241&amp;X$12,'Mapping A'!$A$6:$G$1011,7,0)=1,$L241,""),0)</f>
        <v>0</v>
      </c>
      <c r="Y241" s="15">
        <f>_xlfn.IFNA(IF(VLOOKUP($J241&amp;Y$12,'Mapping A'!$A$6:$G$1011,7,0)=1,$L241,""),0)</f>
        <v>0</v>
      </c>
      <c r="Z241" s="15">
        <f>_xlfn.IFNA(IF(VLOOKUP($J241&amp;Z$12,'Mapping A'!$A$6:$G$1011,7,0)=1,$L241,""),0)</f>
        <v>0</v>
      </c>
      <c r="AA241" s="15">
        <f>_xlfn.IFNA(IF(VLOOKUP($J241&amp;AA$12,'Mapping A'!$A$6:$G$1011,7,0)=1,$L241,""),0)</f>
        <v>0</v>
      </c>
      <c r="AF241" s="155" t="str">
        <f t="shared" si="85"/>
        <v>WPR0331Mainpower</v>
      </c>
      <c r="AG241" s="15" t="s">
        <v>380</v>
      </c>
      <c r="AH241" s="190" t="s">
        <v>12</v>
      </c>
      <c r="AI241" s="190">
        <f t="shared" si="78"/>
        <v>12.6084</v>
      </c>
      <c r="AJ241" s="292" t="s">
        <v>96</v>
      </c>
      <c r="AK241" s="15"/>
      <c r="AL241" s="15">
        <f t="shared" ca="1" si="90"/>
        <v>0</v>
      </c>
      <c r="AM241" s="15">
        <f t="shared" ca="1" si="91"/>
        <v>0</v>
      </c>
      <c r="AN241" s="15">
        <f t="shared" ca="1" si="92"/>
        <v>0</v>
      </c>
      <c r="AO241" s="15">
        <f t="shared" ca="1" si="93"/>
        <v>0</v>
      </c>
      <c r="AP241" s="15"/>
      <c r="AQ241" s="15">
        <f t="shared" ca="1" si="94"/>
        <v>0</v>
      </c>
      <c r="AR241" s="20">
        <f t="shared" ca="1" si="79"/>
        <v>0</v>
      </c>
      <c r="AS241" s="20"/>
      <c r="AT241" s="20">
        <f t="shared" ca="1" si="80"/>
        <v>3.5979359493438605E-2</v>
      </c>
      <c r="AU241" s="20">
        <f t="shared" ca="1" si="81"/>
        <v>0</v>
      </c>
      <c r="AV241" s="20">
        <f t="shared" ca="1" si="82"/>
        <v>0</v>
      </c>
      <c r="AW241" s="20">
        <f t="shared" si="83"/>
        <v>0</v>
      </c>
      <c r="AX241" s="20">
        <f t="shared" si="84"/>
        <v>0</v>
      </c>
      <c r="BA241" s="20"/>
      <c r="BD241" s="94" t="str">
        <f t="shared" si="89"/>
        <v>WIL0331Wellington Electricity</v>
      </c>
      <c r="BF241" s="15" t="s">
        <v>40</v>
      </c>
      <c r="BG241" t="s">
        <v>373</v>
      </c>
      <c r="BH241" s="190">
        <v>53.1006</v>
      </c>
      <c r="BI241" s="190">
        <v>53.101001739501903</v>
      </c>
      <c r="BJ241" s="257">
        <f t="shared" si="88"/>
        <v>1.8860397124889485</v>
      </c>
      <c r="BK241" s="257">
        <f t="shared" si="86"/>
        <v>2.0675661086413921</v>
      </c>
      <c r="BL241" s="257">
        <f t="shared" si="87"/>
        <v>2.1885837060763547</v>
      </c>
      <c r="BM241" s="342" t="str">
        <f>VLOOKUP(LEFT(BG241,3),'Mapping B'!$D$2:$E$310,2,0)</f>
        <v>N</v>
      </c>
      <c r="BO241" s="20"/>
      <c r="BP241" s="190"/>
      <c r="BQ241" s="20"/>
      <c r="BR241" s="20"/>
    </row>
    <row r="242" spans="2:70" x14ac:dyDescent="0.25">
      <c r="B242" s="98" t="s">
        <v>112</v>
      </c>
      <c r="C242" s="98">
        <v>2014</v>
      </c>
      <c r="D242" s="98" t="s">
        <v>177</v>
      </c>
      <c r="E242" s="98" t="s">
        <v>4</v>
      </c>
      <c r="F242" s="98" t="s">
        <v>131</v>
      </c>
      <c r="G242" s="98">
        <v>0</v>
      </c>
      <c r="H242" s="299" t="str">
        <f>VLOOKUP(LEFT('Rev Adequacy'!D242,3),'Mapping B'!$D$2:$E$400,2,0)</f>
        <v>S</v>
      </c>
      <c r="I242" s="190"/>
      <c r="J242" s="15" t="s">
        <v>381</v>
      </c>
      <c r="K242" s="190" t="s">
        <v>12</v>
      </c>
      <c r="L242" s="190">
        <f t="shared" si="77"/>
        <v>10.428600000000001</v>
      </c>
      <c r="O242" s="15">
        <f>_xlfn.IFNA(IF(VLOOKUP($J242&amp;O$12,'Mapping A'!$A$6:$G$1011,7,0)=1,$L242,""),0)</f>
        <v>0</v>
      </c>
      <c r="P242" s="15">
        <f>_xlfn.IFNA(IF(VLOOKUP($J242&amp;P$12,'Mapping A'!$A$6:$G$1011,7,0)=1,$L242,""),0)</f>
        <v>10.428600000000001</v>
      </c>
      <c r="Q242" s="15">
        <f>_xlfn.IFNA(IF(VLOOKUP($J242&amp;Q$12,'Mapping A'!$A$6:$G$1011,7,0)=1,$L242,""),0)</f>
        <v>0</v>
      </c>
      <c r="R242" s="15">
        <f>_xlfn.IFNA(IF(VLOOKUP($J242&amp;R$12,'Mapping A'!$A$6:$G$1011,7,0)=1,$L242,""),0)</f>
        <v>0</v>
      </c>
      <c r="S242" s="15">
        <f>_xlfn.IFNA(IF(VLOOKUP($J242&amp;S$12,'Mapping A'!$A$6:$G$1011,7,0)=1,$L242,""),0)</f>
        <v>0</v>
      </c>
      <c r="T242" s="15">
        <f>_xlfn.IFNA(IF(VLOOKUP($J242&amp;T$14,'Mapping A'!$A$6:$G$1011,7,0)=1,$L242,""),0)</f>
        <v>0</v>
      </c>
      <c r="U242" s="15">
        <f>_xlfn.IFNA(IF(VLOOKUP($J242&amp;U$12,'Mapping A'!$A$6:$G$1011,7,0)=1,$L242,""),0)</f>
        <v>0</v>
      </c>
      <c r="V242" s="15">
        <f>_xlfn.IFNA(IF(VLOOKUP($J242&amp;V$12,'Mapping A'!$A$6:$G$1011,7,0)=1,$L242,""),0)</f>
        <v>0</v>
      </c>
      <c r="W242" s="15">
        <f>_xlfn.IFNA(IF(VLOOKUP($J242&amp;W$12,'Mapping A'!$A$6:$G$1011,7,0)=1,$L242,""),0)</f>
        <v>10.428600000000001</v>
      </c>
      <c r="X242" s="15">
        <f>_xlfn.IFNA(IF(VLOOKUP($J242&amp;X$12,'Mapping A'!$A$6:$G$1011,7,0)=1,$L242,""),0)</f>
        <v>0</v>
      </c>
      <c r="Y242" s="15">
        <f>_xlfn.IFNA(IF(VLOOKUP($J242&amp;Y$12,'Mapping A'!$A$6:$G$1011,7,0)=1,$L242,""),0)</f>
        <v>0</v>
      </c>
      <c r="Z242" s="15">
        <f>_xlfn.IFNA(IF(VLOOKUP($J242&amp;Z$12,'Mapping A'!$A$6:$G$1011,7,0)=1,$L242,""),0)</f>
        <v>0</v>
      </c>
      <c r="AA242" s="15">
        <f>_xlfn.IFNA(IF(VLOOKUP($J242&amp;AA$12,'Mapping A'!$A$6:$G$1011,7,0)=1,$L242,""),0)</f>
        <v>0</v>
      </c>
      <c r="AF242" s="155" t="str">
        <f t="shared" si="85"/>
        <v>WPR0661Mainpower</v>
      </c>
      <c r="AG242" s="15" t="s">
        <v>381</v>
      </c>
      <c r="AH242" s="190" t="s">
        <v>12</v>
      </c>
      <c r="AI242" s="190">
        <f t="shared" si="78"/>
        <v>10.428600000000001</v>
      </c>
      <c r="AJ242" s="292" t="s">
        <v>96</v>
      </c>
      <c r="AK242" s="15"/>
      <c r="AL242" s="15">
        <f t="shared" ca="1" si="90"/>
        <v>0</v>
      </c>
      <c r="AM242" s="15">
        <f t="shared" ca="1" si="91"/>
        <v>0</v>
      </c>
      <c r="AN242" s="15">
        <f t="shared" ca="1" si="92"/>
        <v>0</v>
      </c>
      <c r="AO242" s="15">
        <f t="shared" ca="1" si="93"/>
        <v>0</v>
      </c>
      <c r="AP242" s="15"/>
      <c r="AQ242" s="15">
        <f t="shared" ca="1" si="94"/>
        <v>0</v>
      </c>
      <c r="AR242" s="20">
        <f t="shared" ca="1" si="79"/>
        <v>0</v>
      </c>
      <c r="AS242" s="20"/>
      <c r="AT242" s="20">
        <f t="shared" ca="1" si="80"/>
        <v>2.9759077155965378E-2</v>
      </c>
      <c r="AU242" s="20">
        <f t="shared" ca="1" si="81"/>
        <v>0</v>
      </c>
      <c r="AV242" s="20">
        <f t="shared" ca="1" si="82"/>
        <v>0</v>
      </c>
      <c r="AW242" s="20">
        <f t="shared" si="83"/>
        <v>0</v>
      </c>
      <c r="AX242" s="20">
        <f t="shared" si="84"/>
        <v>0</v>
      </c>
      <c r="BA242" s="20"/>
      <c r="BD242" s="94" t="str">
        <f t="shared" si="89"/>
        <v>WIR0331Vector</v>
      </c>
      <c r="BF242" s="15" t="s">
        <v>37</v>
      </c>
      <c r="BG242" t="s">
        <v>374</v>
      </c>
      <c r="BH242" s="190">
        <v>85.304100000000005</v>
      </c>
      <c r="BI242" s="190">
        <v>85.303001403808594</v>
      </c>
      <c r="BJ242" s="257">
        <f t="shared" si="88"/>
        <v>3.0298512679353626</v>
      </c>
      <c r="BK242" s="257">
        <f t="shared" si="86"/>
        <v>3.3214665387614488</v>
      </c>
      <c r="BL242" s="257">
        <f t="shared" si="87"/>
        <v>3.5158767193121725</v>
      </c>
      <c r="BM242" s="342" t="str">
        <f>VLOOKUP(LEFT(BG242,3),'Mapping B'!$D$2:$E$310,2,0)</f>
        <v>N</v>
      </c>
      <c r="BO242" s="20"/>
      <c r="BP242" s="190"/>
      <c r="BQ242" s="20"/>
      <c r="BR242" s="20"/>
    </row>
    <row r="243" spans="2:70" x14ac:dyDescent="0.25">
      <c r="B243" s="98" t="s">
        <v>112</v>
      </c>
      <c r="C243" s="98">
        <v>2014</v>
      </c>
      <c r="D243" s="98" t="s">
        <v>178</v>
      </c>
      <c r="E243" s="98" t="s">
        <v>4</v>
      </c>
      <c r="F243" s="98" t="s">
        <v>131</v>
      </c>
      <c r="G243" s="98">
        <v>35505.555</v>
      </c>
      <c r="H243" s="299" t="str">
        <f>VLOOKUP(LEFT('Rev Adequacy'!D243,3),'Mapping B'!$D$2:$E$400,2,0)</f>
        <v>S</v>
      </c>
      <c r="I243" s="190"/>
      <c r="J243" s="15" t="s">
        <v>382</v>
      </c>
      <c r="K243" s="190" t="s">
        <v>2</v>
      </c>
      <c r="L243" s="190">
        <f t="shared" si="77"/>
        <v>9.4352999999999998</v>
      </c>
      <c r="O243" s="15">
        <f>_xlfn.IFNA(IF(VLOOKUP($J243&amp;O$12,'Mapping A'!$A$6:$G$1011,7,0)=1,$L243,""),0)</f>
        <v>0</v>
      </c>
      <c r="P243" s="15">
        <f>_xlfn.IFNA(IF(VLOOKUP($J243&amp;P$12,'Mapping A'!$A$6:$G$1011,7,0)=1,$L243,""),0)</f>
        <v>9.4352999999999998</v>
      </c>
      <c r="Q243" s="15">
        <f>_xlfn.IFNA(IF(VLOOKUP($J243&amp;Q$12,'Mapping A'!$A$6:$G$1011,7,0)=1,$L243,""),0)</f>
        <v>0</v>
      </c>
      <c r="R243" s="15">
        <f>_xlfn.IFNA(IF(VLOOKUP($J243&amp;R$12,'Mapping A'!$A$6:$G$1011,7,0)=1,$L243,""),0)</f>
        <v>0</v>
      </c>
      <c r="S243" s="15">
        <f>_xlfn.IFNA(IF(VLOOKUP($J243&amp;S$12,'Mapping A'!$A$6:$G$1011,7,0)=1,$L243,""),0)</f>
        <v>0</v>
      </c>
      <c r="T243" s="15">
        <f>_xlfn.IFNA(IF(VLOOKUP($J243&amp;T$14,'Mapping A'!$A$6:$G$1011,7,0)=1,$L243,""),0)</f>
        <v>0</v>
      </c>
      <c r="U243" s="15">
        <f>_xlfn.IFNA(IF(VLOOKUP($J243&amp;U$12,'Mapping A'!$A$6:$G$1011,7,0)=1,$L243,""),0)</f>
        <v>0</v>
      </c>
      <c r="V243" s="15">
        <f>_xlfn.IFNA(IF(VLOOKUP($J243&amp;V$12,'Mapping A'!$A$6:$G$1011,7,0)=1,$L243,""),0)</f>
        <v>0</v>
      </c>
      <c r="W243" s="15">
        <f>_xlfn.IFNA(IF(VLOOKUP($J243&amp;W$12,'Mapping A'!$A$6:$G$1011,7,0)=1,$L243,""),0)</f>
        <v>9.4352999999999998</v>
      </c>
      <c r="X243" s="15">
        <f>_xlfn.IFNA(IF(VLOOKUP($J243&amp;X$12,'Mapping A'!$A$6:$G$1011,7,0)=1,$L243,""),0)</f>
        <v>0</v>
      </c>
      <c r="Y243" s="15">
        <f>_xlfn.IFNA(IF(VLOOKUP($J243&amp;Y$12,'Mapping A'!$A$6:$G$1011,7,0)=1,$L243,""),0)</f>
        <v>0</v>
      </c>
      <c r="Z243" s="15">
        <f>_xlfn.IFNA(IF(VLOOKUP($J243&amp;Z$12,'Mapping A'!$A$6:$G$1011,7,0)=1,$L243,""),0)</f>
        <v>0</v>
      </c>
      <c r="AA243" s="15">
        <f>_xlfn.IFNA(IF(VLOOKUP($J243&amp;AA$12,'Mapping A'!$A$6:$G$1011,7,0)=1,$L243,""),0)</f>
        <v>9.4352999999999998</v>
      </c>
      <c r="AF243" s="155" t="str">
        <f t="shared" si="85"/>
        <v>WPT0111Buller Electricity</v>
      </c>
      <c r="AG243" s="15" t="s">
        <v>382</v>
      </c>
      <c r="AH243" s="190" t="s">
        <v>2</v>
      </c>
      <c r="AI243" s="190">
        <f t="shared" si="78"/>
        <v>9.4352999999999998</v>
      </c>
      <c r="AJ243" s="292" t="s">
        <v>96</v>
      </c>
      <c r="AK243" s="15"/>
      <c r="AL243" s="15">
        <f t="shared" ca="1" si="90"/>
        <v>0</v>
      </c>
      <c r="AM243" s="15">
        <f t="shared" ca="1" si="91"/>
        <v>0</v>
      </c>
      <c r="AN243" s="15">
        <f t="shared" ca="1" si="92"/>
        <v>0</v>
      </c>
      <c r="AO243" s="15">
        <f t="shared" ca="1" si="93"/>
        <v>0</v>
      </c>
      <c r="AP243" s="15"/>
      <c r="AQ243" s="15">
        <f t="shared" ca="1" si="94"/>
        <v>0</v>
      </c>
      <c r="AR243" s="20">
        <f t="shared" ca="1" si="79"/>
        <v>0</v>
      </c>
      <c r="AS243" s="20"/>
      <c r="AT243" s="20">
        <f t="shared" ca="1" si="80"/>
        <v>2.6924593971355708E-2</v>
      </c>
      <c r="AU243" s="20">
        <f t="shared" ca="1" si="81"/>
        <v>0</v>
      </c>
      <c r="AV243" s="20">
        <f t="shared" ca="1" si="82"/>
        <v>0</v>
      </c>
      <c r="AW243" s="20">
        <f t="shared" si="83"/>
        <v>0</v>
      </c>
      <c r="AX243" s="20">
        <f t="shared" si="84"/>
        <v>0</v>
      </c>
      <c r="BA243" s="20"/>
      <c r="BD243" s="94" t="str">
        <f t="shared" si="89"/>
        <v>WKM2201Other</v>
      </c>
      <c r="BF243" s="15" t="s">
        <v>53</v>
      </c>
      <c r="BG243" t="s">
        <v>375</v>
      </c>
      <c r="BH243" s="190">
        <v>13.156499999999999</v>
      </c>
      <c r="BI243" s="190">
        <v>11.2550001144409</v>
      </c>
      <c r="BJ243" s="257">
        <f t="shared" si="88"/>
        <v>0.46729568926454401</v>
      </c>
      <c r="BK243" s="257">
        <f t="shared" si="86"/>
        <v>0.51227167881983393</v>
      </c>
      <c r="BL243" s="257">
        <f t="shared" si="87"/>
        <v>0.54225567185669388</v>
      </c>
      <c r="BM243" s="342" t="str">
        <f>VLOOKUP(LEFT(BG243,3),'Mapping B'!$D$2:$E$310,2,0)</f>
        <v>N</v>
      </c>
      <c r="BO243" s="20"/>
      <c r="BP243" s="190"/>
      <c r="BQ243" s="20"/>
      <c r="BR243" s="20"/>
    </row>
    <row r="244" spans="2:70" x14ac:dyDescent="0.25">
      <c r="B244" s="98" t="s">
        <v>112</v>
      </c>
      <c r="C244" s="98">
        <v>2014</v>
      </c>
      <c r="D244" s="98" t="s">
        <v>179</v>
      </c>
      <c r="E244" s="98" t="s">
        <v>4</v>
      </c>
      <c r="F244" s="98" t="s">
        <v>136</v>
      </c>
      <c r="G244" s="98">
        <v>47357295.476000004</v>
      </c>
      <c r="H244" s="299" t="str">
        <f>VLOOKUP(LEFT('Rev Adequacy'!D244,3),'Mapping B'!$D$2:$E$400,2,0)</f>
        <v>S</v>
      </c>
      <c r="I244" s="190"/>
      <c r="J244" s="15" t="s">
        <v>383</v>
      </c>
      <c r="K244" s="190" t="s">
        <v>100</v>
      </c>
      <c r="L244" s="190">
        <f t="shared" si="77"/>
        <v>20.4267</v>
      </c>
      <c r="O244" s="15">
        <f>_xlfn.IFNA(IF(VLOOKUP($J244&amp;O$12,'Mapping A'!$A$6:$G$1011,7,0)=1,$L244,""),0)</f>
        <v>0</v>
      </c>
      <c r="P244" s="15">
        <f>_xlfn.IFNA(IF(VLOOKUP($J244&amp;P$12,'Mapping A'!$A$6:$G$1011,7,0)=1,$L244,""),0)</f>
        <v>20.4267</v>
      </c>
      <c r="Q244" s="15">
        <f>_xlfn.IFNA(IF(VLOOKUP($J244&amp;Q$12,'Mapping A'!$A$6:$G$1011,7,0)=1,$L244,""),0)</f>
        <v>20.4267</v>
      </c>
      <c r="R244" s="15">
        <f>_xlfn.IFNA(IF(VLOOKUP($J244&amp;R$12,'Mapping A'!$A$6:$G$1011,7,0)=1,$L244,""),0)</f>
        <v>0</v>
      </c>
      <c r="S244" s="15">
        <f>_xlfn.IFNA(IF(VLOOKUP($J244&amp;S$12,'Mapping A'!$A$6:$G$1011,7,0)=1,$L244,""),0)</f>
        <v>0</v>
      </c>
      <c r="T244" s="15">
        <f>_xlfn.IFNA(IF(VLOOKUP($J244&amp;T$14,'Mapping A'!$A$6:$G$1011,7,0)=1,$L244,""),0)</f>
        <v>0</v>
      </c>
      <c r="U244" s="15">
        <f>_xlfn.IFNA(IF(VLOOKUP($J244&amp;U$12,'Mapping A'!$A$6:$G$1011,7,0)=1,$L244,""),0)</f>
        <v>0</v>
      </c>
      <c r="V244" s="15">
        <f>_xlfn.IFNA(IF(VLOOKUP($J244&amp;V$12,'Mapping A'!$A$6:$G$1011,7,0)=1,$L244,""),0)</f>
        <v>0</v>
      </c>
      <c r="W244" s="15">
        <f>_xlfn.IFNA(IF(VLOOKUP($J244&amp;W$12,'Mapping A'!$A$6:$G$1011,7,0)=1,$L244,""),0)</f>
        <v>0</v>
      </c>
      <c r="X244" s="15">
        <f>_xlfn.IFNA(IF(VLOOKUP($J244&amp;X$12,'Mapping A'!$A$6:$G$1011,7,0)=1,$L244,""),0)</f>
        <v>0</v>
      </c>
      <c r="Y244" s="15">
        <f>_xlfn.IFNA(IF(VLOOKUP($J244&amp;Y$12,'Mapping A'!$A$6:$G$1011,7,0)=1,$L244,""),0)</f>
        <v>0</v>
      </c>
      <c r="Z244" s="15">
        <f>_xlfn.IFNA(IF(VLOOKUP($J244&amp;Z$12,'Mapping A'!$A$6:$G$1011,7,0)=1,$L244,""),0)</f>
        <v>0</v>
      </c>
      <c r="AA244" s="15">
        <f>_xlfn.IFNA(IF(VLOOKUP($J244&amp;AA$12,'Mapping A'!$A$6:$G$1011,7,0)=1,$L244,""),0)</f>
        <v>0</v>
      </c>
      <c r="AF244" s="155" t="str">
        <f t="shared" si="85"/>
        <v>WPW0331Centralines</v>
      </c>
      <c r="AG244" s="15" t="s">
        <v>383</v>
      </c>
      <c r="AH244" s="190" t="s">
        <v>100</v>
      </c>
      <c r="AI244" s="190">
        <f t="shared" si="78"/>
        <v>20.4267</v>
      </c>
      <c r="AJ244" s="292" t="s">
        <v>95</v>
      </c>
      <c r="AK244" s="15"/>
      <c r="AL244" s="15">
        <f t="shared" ca="1" si="90"/>
        <v>0</v>
      </c>
      <c r="AM244" s="15">
        <f t="shared" ca="1" si="91"/>
        <v>0</v>
      </c>
      <c r="AN244" s="15">
        <f t="shared" ca="1" si="92"/>
        <v>0</v>
      </c>
      <c r="AO244" s="15">
        <f t="shared" ca="1" si="93"/>
        <v>0</v>
      </c>
      <c r="AP244" s="15"/>
      <c r="AQ244" s="15">
        <f t="shared" ca="1" si="94"/>
        <v>0</v>
      </c>
      <c r="AR244" s="20">
        <f t="shared" ca="1" si="79"/>
        <v>0</v>
      </c>
      <c r="AS244" s="20"/>
      <c r="AT244" s="20">
        <f t="shared" ca="1" si="80"/>
        <v>0</v>
      </c>
      <c r="AU244" s="20">
        <f t="shared" ca="1" si="81"/>
        <v>0</v>
      </c>
      <c r="AV244" s="20">
        <f t="shared" ca="1" si="82"/>
        <v>0</v>
      </c>
      <c r="AW244" s="20">
        <f t="shared" si="83"/>
        <v>0</v>
      </c>
      <c r="AX244" s="20">
        <f t="shared" si="84"/>
        <v>0</v>
      </c>
      <c r="BA244" s="20"/>
      <c r="BD244" s="94" t="str">
        <f t="shared" si="89"/>
        <v>WKO0331Powerco</v>
      </c>
      <c r="BF244" s="15" t="s">
        <v>28</v>
      </c>
      <c r="BG244" t="s">
        <v>378</v>
      </c>
      <c r="BH244" s="190">
        <v>36.264900000000004</v>
      </c>
      <c r="BI244" s="190">
        <v>35.562000274658203</v>
      </c>
      <c r="BJ244" s="257">
        <f t="shared" si="88"/>
        <v>1.2880653244867377</v>
      </c>
      <c r="BK244" s="257">
        <f t="shared" si="86"/>
        <v>1.4120382476519893</v>
      </c>
      <c r="BL244" s="257">
        <f t="shared" si="87"/>
        <v>1.4946868630954904</v>
      </c>
      <c r="BM244" s="342" t="str">
        <f>VLOOKUP(LEFT(BG244,3),'Mapping B'!$D$2:$E$310,2,0)</f>
        <v>N</v>
      </c>
      <c r="BO244" s="20"/>
      <c r="BP244" s="190"/>
      <c r="BQ244" s="20"/>
      <c r="BR244" s="20"/>
    </row>
    <row r="245" spans="2:70" x14ac:dyDescent="0.25">
      <c r="B245" s="98" t="s">
        <v>112</v>
      </c>
      <c r="C245" s="98">
        <v>2014</v>
      </c>
      <c r="D245" s="98" t="s">
        <v>287</v>
      </c>
      <c r="E245" s="98" t="s">
        <v>4</v>
      </c>
      <c r="F245" s="98" t="s">
        <v>136</v>
      </c>
      <c r="G245" s="98">
        <v>0</v>
      </c>
      <c r="H245" s="299" t="str">
        <f>VLOOKUP(LEFT('Rev Adequacy'!D245,3),'Mapping B'!$D$2:$E$400,2,0)</f>
        <v>N</v>
      </c>
      <c r="I245" s="190"/>
      <c r="J245" s="15" t="s">
        <v>384</v>
      </c>
      <c r="K245" s="190" t="s">
        <v>37</v>
      </c>
      <c r="L245" s="190">
        <f t="shared" si="77"/>
        <v>70.297499999999999</v>
      </c>
      <c r="O245" s="15">
        <f>_xlfn.IFNA(IF(VLOOKUP($J245&amp;O$12,'Mapping A'!$A$6:$G$1011,7,0)=1,$L245,""),0)</f>
        <v>70.297499999999999</v>
      </c>
      <c r="P245" s="15">
        <f>_xlfn.IFNA(IF(VLOOKUP($J245&amp;P$12,'Mapping A'!$A$6:$G$1011,7,0)=1,$L245,""),0)</f>
        <v>70.297499999999999</v>
      </c>
      <c r="Q245" s="15">
        <f>_xlfn.IFNA(IF(VLOOKUP($J245&amp;Q$12,'Mapping A'!$A$6:$G$1011,7,0)=1,$L245,""),0)</f>
        <v>70.297499999999999</v>
      </c>
      <c r="R245" s="15">
        <f>_xlfn.IFNA(IF(VLOOKUP($J245&amp;R$12,'Mapping A'!$A$6:$G$1011,7,0)=1,$L245,""),0)</f>
        <v>70.297499999999999</v>
      </c>
      <c r="S245" s="15">
        <f>_xlfn.IFNA(IF(VLOOKUP($J245&amp;S$12,'Mapping A'!$A$6:$G$1011,7,0)=1,$L245,""),0)</f>
        <v>0</v>
      </c>
      <c r="T245" s="15">
        <f>_xlfn.IFNA(IF(VLOOKUP($J245&amp;T$14,'Mapping A'!$A$6:$G$1011,7,0)=1,$L245,""),0)</f>
        <v>70.297499999999999</v>
      </c>
      <c r="U245" s="15">
        <f>_xlfn.IFNA(IF(VLOOKUP($J245&amp;U$12,'Mapping A'!$A$6:$G$1011,7,0)=1,$L245,""),0)</f>
        <v>70.297499999999999</v>
      </c>
      <c r="V245" s="15">
        <f>_xlfn.IFNA(IF(VLOOKUP($J245&amp;V$12,'Mapping A'!$A$6:$G$1011,7,0)=1,$L245,""),0)</f>
        <v>0</v>
      </c>
      <c r="W245" s="15">
        <f>_xlfn.IFNA(IF(VLOOKUP($J245&amp;W$12,'Mapping A'!$A$6:$G$1011,7,0)=1,$L245,""),0)</f>
        <v>0</v>
      </c>
      <c r="X245" s="15">
        <f>_xlfn.IFNA(IF(VLOOKUP($J245&amp;X$12,'Mapping A'!$A$6:$G$1011,7,0)=1,$L245,""),0)</f>
        <v>70.297499999999999</v>
      </c>
      <c r="Y245" s="15">
        <f>_xlfn.IFNA(IF(VLOOKUP($J245&amp;Y$12,'Mapping A'!$A$6:$G$1011,7,0)=1,$L245,""),0)</f>
        <v>0</v>
      </c>
      <c r="Z245" s="15">
        <f>_xlfn.IFNA(IF(VLOOKUP($J245&amp;Z$12,'Mapping A'!$A$6:$G$1011,7,0)=1,$L245,""),0)</f>
        <v>0</v>
      </c>
      <c r="AA245" s="15">
        <f>_xlfn.IFNA(IF(VLOOKUP($J245&amp;AA$12,'Mapping A'!$A$6:$G$1011,7,0)=1,$L245,""),0)</f>
        <v>0</v>
      </c>
      <c r="AF245" s="155" t="str">
        <f t="shared" si="85"/>
        <v>WRD0331Vector</v>
      </c>
      <c r="AG245" s="15" t="s">
        <v>384</v>
      </c>
      <c r="AH245" s="190" t="s">
        <v>37</v>
      </c>
      <c r="AI245" s="190">
        <f t="shared" si="78"/>
        <v>70.297499999999999</v>
      </c>
      <c r="AJ245" s="292" t="s">
        <v>95</v>
      </c>
      <c r="AK245" s="15"/>
      <c r="AL245" s="15">
        <f t="shared" ca="1" si="90"/>
        <v>0</v>
      </c>
      <c r="AM245" s="15">
        <f t="shared" ca="1" si="91"/>
        <v>0</v>
      </c>
      <c r="AN245" s="15">
        <f t="shared" ca="1" si="92"/>
        <v>0</v>
      </c>
      <c r="AO245" s="15">
        <f t="shared" ca="1" si="93"/>
        <v>1.5205648898896411</v>
      </c>
      <c r="AP245" s="15"/>
      <c r="AQ245" s="15">
        <f t="shared" ca="1" si="94"/>
        <v>0</v>
      </c>
      <c r="AR245" s="20">
        <f t="shared" ca="1" si="79"/>
        <v>0.30759341959996417</v>
      </c>
      <c r="AS245" s="20"/>
      <c r="AT245" s="20">
        <f t="shared" ca="1" si="80"/>
        <v>0</v>
      </c>
      <c r="AU245" s="20">
        <f t="shared" ca="1" si="81"/>
        <v>0.14186275036860707</v>
      </c>
      <c r="AV245" s="20">
        <f t="shared" ca="1" si="82"/>
        <v>0</v>
      </c>
      <c r="AW245" s="20">
        <f t="shared" si="83"/>
        <v>0</v>
      </c>
      <c r="AX245" s="20">
        <f t="shared" si="84"/>
        <v>0</v>
      </c>
      <c r="BA245" s="20"/>
      <c r="BD245" s="94" t="str">
        <f t="shared" si="89"/>
        <v>WPA2201MRP</v>
      </c>
      <c r="BF245" s="15" t="s">
        <v>17</v>
      </c>
      <c r="BG245" t="s">
        <v>933</v>
      </c>
      <c r="BH245" s="190">
        <v>0.189</v>
      </c>
      <c r="BI245" s="190">
        <v>0</v>
      </c>
      <c r="BJ245" s="257">
        <f t="shared" si="88"/>
        <v>6.7129468529623249E-3</v>
      </c>
      <c r="BK245" s="257">
        <f t="shared" si="86"/>
        <v>7.35905045391621E-3</v>
      </c>
      <c r="BL245" s="257">
        <f t="shared" si="87"/>
        <v>7.7897861878854667E-3</v>
      </c>
      <c r="BM245" s="342" t="str">
        <f>VLOOKUP(LEFT(BG245,3),'Mapping B'!$D$2:$E$310,2,0)</f>
        <v>N</v>
      </c>
      <c r="BO245" s="20"/>
      <c r="BP245" s="190"/>
      <c r="BQ245" s="20"/>
      <c r="BR245" s="20"/>
    </row>
    <row r="246" spans="2:70" x14ac:dyDescent="0.25">
      <c r="B246" s="98" t="s">
        <v>112</v>
      </c>
      <c r="C246" s="98">
        <v>2014</v>
      </c>
      <c r="D246" s="98" t="s">
        <v>293</v>
      </c>
      <c r="E246" s="98" t="s">
        <v>4</v>
      </c>
      <c r="F246" s="98" t="s">
        <v>131</v>
      </c>
      <c r="G246" s="98">
        <v>268685.34596286103</v>
      </c>
      <c r="H246" s="299" t="str">
        <f>VLOOKUP(LEFT('Rev Adequacy'!D246,3),'Mapping B'!$D$2:$E$400,2,0)</f>
        <v>N</v>
      </c>
      <c r="I246" s="190"/>
      <c r="J246" s="15" t="s">
        <v>385</v>
      </c>
      <c r="K246" s="190" t="s">
        <v>36</v>
      </c>
      <c r="L246" s="190">
        <f t="shared" si="77"/>
        <v>46.183199999999999</v>
      </c>
      <c r="O246" s="15">
        <f>_xlfn.IFNA(IF(VLOOKUP($J246&amp;O$12,'Mapping A'!$A$6:$G$1011,7,0)=1,$L246,""),0)</f>
        <v>0</v>
      </c>
      <c r="P246" s="15">
        <f>_xlfn.IFNA(IF(VLOOKUP($J246&amp;P$12,'Mapping A'!$A$6:$G$1011,7,0)=1,$L246,""),0)</f>
        <v>46.183199999999999</v>
      </c>
      <c r="Q246" s="15">
        <f>_xlfn.IFNA(IF(VLOOKUP($J246&amp;Q$12,'Mapping A'!$A$6:$G$1011,7,0)=1,$L246,""),0)</f>
        <v>46.183199999999999</v>
      </c>
      <c r="R246" s="15">
        <f>_xlfn.IFNA(IF(VLOOKUP($J246&amp;R$12,'Mapping A'!$A$6:$G$1011,7,0)=1,$L246,""),0)</f>
        <v>0</v>
      </c>
      <c r="S246" s="15">
        <f>_xlfn.IFNA(IF(VLOOKUP($J246&amp;S$12,'Mapping A'!$A$6:$G$1011,7,0)=1,$L246,""),0)</f>
        <v>0</v>
      </c>
      <c r="T246" s="15">
        <f>_xlfn.IFNA(IF(VLOOKUP($J246&amp;T$14,'Mapping A'!$A$6:$G$1011,7,0)=1,$L246,""),0)</f>
        <v>0</v>
      </c>
      <c r="U246" s="15">
        <f>_xlfn.IFNA(IF(VLOOKUP($J246&amp;U$12,'Mapping A'!$A$6:$G$1011,7,0)=1,$L246,""),0)</f>
        <v>0</v>
      </c>
      <c r="V246" s="15">
        <f>_xlfn.IFNA(IF(VLOOKUP($J246&amp;V$12,'Mapping A'!$A$6:$G$1011,7,0)=1,$L246,""),0)</f>
        <v>0</v>
      </c>
      <c r="W246" s="15">
        <f>_xlfn.IFNA(IF(VLOOKUP($J246&amp;W$12,'Mapping A'!$A$6:$G$1011,7,0)=1,$L246,""),0)</f>
        <v>0</v>
      </c>
      <c r="X246" s="15">
        <f>_xlfn.IFNA(IF(VLOOKUP($J246&amp;X$12,'Mapping A'!$A$6:$G$1011,7,0)=1,$L246,""),0)</f>
        <v>0</v>
      </c>
      <c r="Y246" s="15">
        <f>_xlfn.IFNA(IF(VLOOKUP($J246&amp;Y$12,'Mapping A'!$A$6:$G$1011,7,0)=1,$L246,""),0)</f>
        <v>0</v>
      </c>
      <c r="Z246" s="15">
        <f>_xlfn.IFNA(IF(VLOOKUP($J246&amp;Z$12,'Mapping A'!$A$6:$G$1011,7,0)=1,$L246,""),0)</f>
        <v>0</v>
      </c>
      <c r="AA246" s="15">
        <f>_xlfn.IFNA(IF(VLOOKUP($J246&amp;AA$12,'Mapping A'!$A$6:$G$1011,7,0)=1,$L246,""),0)</f>
        <v>0</v>
      </c>
      <c r="AF246" s="155" t="str">
        <f t="shared" si="85"/>
        <v>WRK0331Unison</v>
      </c>
      <c r="AG246" s="15" t="s">
        <v>385</v>
      </c>
      <c r="AH246" s="190" t="s">
        <v>36</v>
      </c>
      <c r="AI246" s="190">
        <f t="shared" si="78"/>
        <v>46.183199999999999</v>
      </c>
      <c r="AJ246" s="292" t="s">
        <v>95</v>
      </c>
      <c r="AK246" s="15"/>
      <c r="AL246" s="15">
        <f t="shared" ca="1" si="90"/>
        <v>0</v>
      </c>
      <c r="AM246" s="15">
        <f t="shared" ca="1" si="91"/>
        <v>0</v>
      </c>
      <c r="AN246" s="15">
        <f t="shared" ca="1" si="92"/>
        <v>0</v>
      </c>
      <c r="AO246" s="15">
        <f t="shared" ca="1" si="93"/>
        <v>0</v>
      </c>
      <c r="AP246" s="15"/>
      <c r="AQ246" s="15">
        <f t="shared" ca="1" si="94"/>
        <v>0</v>
      </c>
      <c r="AR246" s="20">
        <f t="shared" ca="1" si="79"/>
        <v>0</v>
      </c>
      <c r="AS246" s="20"/>
      <c r="AT246" s="20">
        <f t="shared" ca="1" si="80"/>
        <v>0</v>
      </c>
      <c r="AU246" s="20">
        <f t="shared" ca="1" si="81"/>
        <v>0</v>
      </c>
      <c r="AV246" s="20">
        <f t="shared" ca="1" si="82"/>
        <v>0</v>
      </c>
      <c r="AW246" s="20">
        <f t="shared" si="83"/>
        <v>0</v>
      </c>
      <c r="AX246" s="20">
        <f t="shared" si="84"/>
        <v>0</v>
      </c>
      <c r="BA246" s="20"/>
      <c r="BD246" s="94" t="str">
        <f t="shared" si="89"/>
        <v>WPR0331Mainpower</v>
      </c>
      <c r="BF246" s="15" t="s">
        <v>12</v>
      </c>
      <c r="BG246" t="s">
        <v>380</v>
      </c>
      <c r="BH246" s="190">
        <v>12.6084</v>
      </c>
      <c r="BI246" s="190">
        <v>12.6079998016357</v>
      </c>
      <c r="BJ246" s="257">
        <f t="shared" si="88"/>
        <v>0.44782814339095334</v>
      </c>
      <c r="BK246" s="257">
        <f t="shared" si="86"/>
        <v>0.49093043250347695</v>
      </c>
      <c r="BL246" s="257">
        <f t="shared" si="87"/>
        <v>0.51966529191182598</v>
      </c>
      <c r="BM246" s="342" t="str">
        <f>VLOOKUP(LEFT(BG246,3),'Mapping B'!$D$2:$E$310,2,0)</f>
        <v>S</v>
      </c>
      <c r="BO246" s="20"/>
      <c r="BP246" s="190"/>
      <c r="BQ246" s="20"/>
      <c r="BR246" s="20"/>
    </row>
    <row r="247" spans="2:70" x14ac:dyDescent="0.25">
      <c r="B247" s="98" t="s">
        <v>112</v>
      </c>
      <c r="C247" s="98">
        <v>2014</v>
      </c>
      <c r="D247" s="98" t="s">
        <v>434</v>
      </c>
      <c r="E247" s="98" t="s">
        <v>4</v>
      </c>
      <c r="F247" s="98" t="s">
        <v>136</v>
      </c>
      <c r="G247" s="98">
        <v>0</v>
      </c>
      <c r="H247" s="299" t="str">
        <f>VLOOKUP(LEFT('Rev Adequacy'!D247,3),'Mapping B'!$D$2:$E$400,2,0)</f>
        <v>N</v>
      </c>
      <c r="I247" s="190"/>
      <c r="J247" s="15" t="s">
        <v>917</v>
      </c>
      <c r="K247" s="190" t="s">
        <v>4</v>
      </c>
      <c r="L247" s="190">
        <f t="shared" si="77"/>
        <v>2.226</v>
      </c>
      <c r="O247" s="15">
        <f>_xlfn.IFNA(IF(VLOOKUP($J247&amp;O$12,'Mapping A'!$A$6:$G$1011,7,0)=1,$L247,""),0)</f>
        <v>0</v>
      </c>
      <c r="P247" s="15">
        <f>_xlfn.IFNA(IF(VLOOKUP($J247&amp;P$12,'Mapping A'!$A$6:$G$1011,7,0)=1,$L247,""),0)</f>
        <v>0</v>
      </c>
      <c r="Q247" s="15">
        <f>_xlfn.IFNA(IF(VLOOKUP($J247&amp;Q$12,'Mapping A'!$A$6:$G$1011,7,0)=1,$L247,""),0)</f>
        <v>0</v>
      </c>
      <c r="R247" s="15">
        <f>_xlfn.IFNA(IF(VLOOKUP($J247&amp;R$12,'Mapping A'!$A$6:$G$1011,7,0)=1,$L247,""),0)</f>
        <v>0</v>
      </c>
      <c r="S247" s="15">
        <f>_xlfn.IFNA(IF(VLOOKUP($J247&amp;S$12,'Mapping A'!$A$6:$G$1011,7,0)=1,$L247,""),0)</f>
        <v>0</v>
      </c>
      <c r="T247" s="15">
        <f>_xlfn.IFNA(IF(VLOOKUP($J247&amp;T$14,'Mapping A'!$A$6:$G$1011,7,0)=1,$L247,""),0)</f>
        <v>0</v>
      </c>
      <c r="U247" s="15">
        <f>_xlfn.IFNA(IF(VLOOKUP($J247&amp;U$12,'Mapping A'!$A$6:$G$1011,7,0)=1,$L247,""),0)</f>
        <v>0</v>
      </c>
      <c r="V247" s="15">
        <f>_xlfn.IFNA(IF(VLOOKUP($J247&amp;V$12,'Mapping A'!$A$6:$G$1011,7,0)=1,$L247,""),0)</f>
        <v>0</v>
      </c>
      <c r="W247" s="15">
        <f>_xlfn.IFNA(IF(VLOOKUP($J247&amp;W$12,'Mapping A'!$A$6:$G$1011,7,0)=1,$L247,""),0)</f>
        <v>0</v>
      </c>
      <c r="X247" s="15">
        <f>_xlfn.IFNA(IF(VLOOKUP($J247&amp;X$12,'Mapping A'!$A$6:$G$1011,7,0)=1,$L247,""),0)</f>
        <v>0</v>
      </c>
      <c r="Y247" s="15">
        <f>_xlfn.IFNA(IF(VLOOKUP($J247&amp;Y$12,'Mapping A'!$A$6:$G$1011,7,0)=1,$L247,""),0)</f>
        <v>0</v>
      </c>
      <c r="Z247" s="15">
        <f>_xlfn.IFNA(IF(VLOOKUP($J247&amp;Z$12,'Mapping A'!$A$6:$G$1011,7,0)=1,$L247,""),0)</f>
        <v>0</v>
      </c>
      <c r="AA247" s="15">
        <f>_xlfn.IFNA(IF(VLOOKUP($J247&amp;AA$12,'Mapping A'!$A$6:$G$1011,7,0)=1,$L247,""),0)</f>
        <v>0</v>
      </c>
      <c r="AF247" s="155" t="str">
        <f t="shared" si="85"/>
        <v>WRK2201Contact</v>
      </c>
      <c r="AG247" s="15" t="s">
        <v>917</v>
      </c>
      <c r="AH247" s="190" t="s">
        <v>4</v>
      </c>
      <c r="AI247" s="190">
        <f t="shared" si="78"/>
        <v>2.226</v>
      </c>
      <c r="AJ247" s="292" t="s">
        <v>95</v>
      </c>
      <c r="AK247" s="15"/>
      <c r="AL247" s="15">
        <f t="shared" ca="1" si="90"/>
        <v>0</v>
      </c>
      <c r="AM247" s="15">
        <f t="shared" ca="1" si="91"/>
        <v>0</v>
      </c>
      <c r="AN247" s="15">
        <f t="shared" ca="1" si="92"/>
        <v>0</v>
      </c>
      <c r="AO247" s="15">
        <f t="shared" ca="1" si="93"/>
        <v>0</v>
      </c>
      <c r="AP247" s="15"/>
      <c r="AQ247" s="15">
        <f t="shared" ca="1" si="94"/>
        <v>0</v>
      </c>
      <c r="AR247" s="20">
        <f t="shared" ca="1" si="79"/>
        <v>0</v>
      </c>
      <c r="AS247" s="20"/>
      <c r="AT247" s="20">
        <f t="shared" ca="1" si="80"/>
        <v>0</v>
      </c>
      <c r="AU247" s="20">
        <f t="shared" ca="1" si="81"/>
        <v>0</v>
      </c>
      <c r="AV247" s="20">
        <f t="shared" ca="1" si="82"/>
        <v>0</v>
      </c>
      <c r="AW247" s="20">
        <f t="shared" si="83"/>
        <v>0</v>
      </c>
      <c r="AX247" s="20">
        <f t="shared" si="84"/>
        <v>0</v>
      </c>
      <c r="BA247" s="20"/>
      <c r="BD247" s="94" t="str">
        <f t="shared" si="89"/>
        <v>WPR0661Mainpower</v>
      </c>
      <c r="BF247" s="15" t="s">
        <v>12</v>
      </c>
      <c r="BG247" t="s">
        <v>381</v>
      </c>
      <c r="BH247" s="190">
        <v>10.428600000000001</v>
      </c>
      <c r="BI247" s="190">
        <v>10.4270000457763</v>
      </c>
      <c r="BJ247" s="257">
        <f t="shared" si="88"/>
        <v>0.37040548968678794</v>
      </c>
      <c r="BK247" s="257">
        <f t="shared" si="86"/>
        <v>0.40605605060164335</v>
      </c>
      <c r="BL247" s="257">
        <f t="shared" si="87"/>
        <v>0.42982309121154699</v>
      </c>
      <c r="BM247" s="342" t="str">
        <f>VLOOKUP(LEFT(BG247,3),'Mapping B'!$D$2:$E$310,2,0)</f>
        <v>S</v>
      </c>
      <c r="BO247" s="20"/>
      <c r="BP247" s="190"/>
      <c r="BQ247" s="20"/>
      <c r="BR247" s="20"/>
    </row>
    <row r="248" spans="2:70" x14ac:dyDescent="0.25">
      <c r="B248" s="98" t="s">
        <v>112</v>
      </c>
      <c r="C248" s="98">
        <v>2014</v>
      </c>
      <c r="D248" s="98" t="s">
        <v>303</v>
      </c>
      <c r="E248" s="98" t="s">
        <v>4</v>
      </c>
      <c r="F248" s="98" t="s">
        <v>131</v>
      </c>
      <c r="G248" s="98">
        <v>5784.9369999999999</v>
      </c>
      <c r="H248" s="299" t="str">
        <f>VLOOKUP(LEFT('Rev Adequacy'!D248,3),'Mapping B'!$D$2:$E$400,2,0)</f>
        <v>N</v>
      </c>
      <c r="I248" s="190"/>
      <c r="J248" s="190" t="s">
        <v>389</v>
      </c>
      <c r="K248" s="190" t="s">
        <v>20</v>
      </c>
      <c r="L248" s="190">
        <f t="shared" si="77"/>
        <v>4.3596000000000004</v>
      </c>
      <c r="M248" s="190"/>
      <c r="N248" s="190"/>
      <c r="O248" s="190">
        <f>_xlfn.IFNA(IF(VLOOKUP($J248&amp;O$12,'Mapping A'!$A$6:$G$1011,7,0)=1,$L248,""),0)</f>
        <v>0</v>
      </c>
      <c r="P248" s="190">
        <f>_xlfn.IFNA(IF(VLOOKUP($J248&amp;P$12,'Mapping A'!$A$6:$G$1011,7,0)=1,$L248,""),0)</f>
        <v>4.3596000000000004</v>
      </c>
      <c r="Q248" s="190">
        <f>_xlfn.IFNA(IF(VLOOKUP($J248&amp;Q$12,'Mapping A'!$A$6:$G$1011,7,0)=1,$L248,""),0)</f>
        <v>0</v>
      </c>
      <c r="R248" s="190">
        <f>_xlfn.IFNA(IF(VLOOKUP($J248&amp;R$12,'Mapping A'!$A$6:$G$1011,7,0)=1,$L248,""),0)</f>
        <v>0</v>
      </c>
      <c r="S248" s="190">
        <f>_xlfn.IFNA(IF(VLOOKUP($J248&amp;S$12,'Mapping A'!$A$6:$G$1011,7,0)=1,$L248,""),0)</f>
        <v>0</v>
      </c>
      <c r="T248" s="190">
        <f>_xlfn.IFNA(IF(VLOOKUP($J248&amp;T$14,'Mapping A'!$A$6:$G$1011,7,0)=1,$L248,""),0)</f>
        <v>0</v>
      </c>
      <c r="U248" s="190">
        <f>_xlfn.IFNA(IF(VLOOKUP($J248&amp;U$12,'Mapping A'!$A$6:$G$1011,7,0)=1,$L248,""),0)</f>
        <v>0</v>
      </c>
      <c r="V248" s="190">
        <f>_xlfn.IFNA(IF(VLOOKUP($J248&amp;V$12,'Mapping A'!$A$6:$G$1011,7,0)=1,$L248,""),0)</f>
        <v>0</v>
      </c>
      <c r="W248" s="190">
        <f>_xlfn.IFNA(IF(VLOOKUP($J248&amp;W$12,'Mapping A'!$A$6:$G$1011,7,0)=1,$L248,""),0)</f>
        <v>0</v>
      </c>
      <c r="X248" s="190">
        <f>_xlfn.IFNA(IF(VLOOKUP($J248&amp;X$12,'Mapping A'!$A$6:$G$1011,7,0)=1,$L248,""),0)</f>
        <v>0</v>
      </c>
      <c r="Y248" s="190">
        <f>_xlfn.IFNA(IF(VLOOKUP($J248&amp;Y$12,'Mapping A'!$A$6:$G$1011,7,0)=1,$L248,""),0)</f>
        <v>0</v>
      </c>
      <c r="Z248" s="190">
        <f>_xlfn.IFNA(IF(VLOOKUP($J248&amp;Z$12,'Mapping A'!$A$6:$G$1011,7,0)=1,$L248,""),0)</f>
        <v>0</v>
      </c>
      <c r="AA248" s="190">
        <f>_xlfn.IFNA(IF(VLOOKUP($J248&amp;AA$12,'Mapping A'!$A$6:$G$1011,7,0)=1,$L248,""),0)</f>
        <v>0</v>
      </c>
      <c r="AB248" s="190"/>
      <c r="AC248" s="190"/>
      <c r="AD248" s="190"/>
      <c r="AE248" s="190"/>
      <c r="AF248" s="155" t="str">
        <f t="shared" si="85"/>
        <v>WTK0111Network Waitaki</v>
      </c>
      <c r="AG248" s="190" t="s">
        <v>389</v>
      </c>
      <c r="AH248" s="190" t="s">
        <v>20</v>
      </c>
      <c r="AI248" s="190">
        <f t="shared" si="78"/>
        <v>4.3596000000000004</v>
      </c>
      <c r="AJ248" s="292" t="s">
        <v>96</v>
      </c>
      <c r="AK248" s="190"/>
      <c r="AL248" s="190">
        <f t="shared" ref="AL248:AO252" ca="1" si="95">O$13*O$7*O248/O$21</f>
        <v>0</v>
      </c>
      <c r="AM248" s="190">
        <f t="shared" ca="1" si="95"/>
        <v>0</v>
      </c>
      <c r="AN248" s="190">
        <f t="shared" ca="1" si="95"/>
        <v>0</v>
      </c>
      <c r="AO248" s="190">
        <f t="shared" ca="1" si="95"/>
        <v>0</v>
      </c>
      <c r="AP248" s="190"/>
      <c r="AQ248" s="190">
        <f ca="1">T$15*T$7*T248/T$21</f>
        <v>0</v>
      </c>
      <c r="AR248" s="20">
        <f t="shared" ca="1" si="79"/>
        <v>0</v>
      </c>
      <c r="AS248" s="20"/>
      <c r="AT248" s="20">
        <f t="shared" ca="1" si="80"/>
        <v>0</v>
      </c>
      <c r="AU248" s="20">
        <f t="shared" ca="1" si="81"/>
        <v>0</v>
      </c>
      <c r="AV248" s="20">
        <f t="shared" ca="1" si="82"/>
        <v>0</v>
      </c>
      <c r="AW248" s="20">
        <f t="shared" si="83"/>
        <v>0</v>
      </c>
      <c r="AX248" s="20">
        <f t="shared" si="84"/>
        <v>0</v>
      </c>
      <c r="BA248" s="20"/>
      <c r="BD248" s="94" t="str">
        <f t="shared" si="89"/>
        <v>WPT0111Buller Electricity</v>
      </c>
      <c r="BF248" t="s">
        <v>2</v>
      </c>
      <c r="BG248" t="s">
        <v>382</v>
      </c>
      <c r="BH248" s="190">
        <v>9.4352999999999998</v>
      </c>
      <c r="BI248" s="190">
        <v>9.4340000152587802</v>
      </c>
      <c r="BJ248" s="257">
        <f t="shared" si="88"/>
        <v>0.33512522455955251</v>
      </c>
      <c r="BK248" s="257">
        <f t="shared" si="86"/>
        <v>0.36738015210495034</v>
      </c>
      <c r="BL248" s="257">
        <f t="shared" si="87"/>
        <v>0.38888343713521556</v>
      </c>
      <c r="BM248" s="342" t="str">
        <f>VLOOKUP(LEFT(BG248,3),'Mapping B'!$D$2:$E$310,2,0)</f>
        <v>S</v>
      </c>
      <c r="BO248" s="20"/>
      <c r="BP248" s="190"/>
      <c r="BQ248" s="20"/>
      <c r="BR248" s="20"/>
    </row>
    <row r="249" spans="2:70" x14ac:dyDescent="0.25">
      <c r="B249" s="98" t="s">
        <v>112</v>
      </c>
      <c r="C249" s="98">
        <v>2014</v>
      </c>
      <c r="D249" s="98" t="s">
        <v>304</v>
      </c>
      <c r="E249" s="98" t="s">
        <v>4</v>
      </c>
      <c r="F249" s="98" t="s">
        <v>136</v>
      </c>
      <c r="G249" s="98">
        <v>0</v>
      </c>
      <c r="H249" s="299" t="str">
        <f>VLOOKUP(LEFT('Rev Adequacy'!D249,3),'Mapping B'!$D$2:$E$400,2,0)</f>
        <v>N</v>
      </c>
      <c r="I249" s="190"/>
      <c r="J249" s="190" t="s">
        <v>391</v>
      </c>
      <c r="K249" s="190" t="s">
        <v>36</v>
      </c>
      <c r="L249" s="190">
        <f t="shared" si="77"/>
        <v>86.339399999999998</v>
      </c>
      <c r="M249" s="190"/>
      <c r="N249" s="190"/>
      <c r="O249" s="190">
        <f>_xlfn.IFNA(IF(VLOOKUP($J249&amp;O$12,'Mapping A'!$A$6:$G$1011,7,0)=1,$L249,""),0)</f>
        <v>0</v>
      </c>
      <c r="P249" s="190">
        <f>_xlfn.IFNA(IF(VLOOKUP($J249&amp;P$12,'Mapping A'!$A$6:$G$1011,7,0)=1,$L249,""),0)</f>
        <v>86.339399999999998</v>
      </c>
      <c r="Q249" s="190">
        <f>_xlfn.IFNA(IF(VLOOKUP($J249&amp;Q$12,'Mapping A'!$A$6:$G$1011,7,0)=1,$L249,""),0)</f>
        <v>86.339399999999998</v>
      </c>
      <c r="R249" s="190">
        <f>_xlfn.IFNA(IF(VLOOKUP($J249&amp;R$12,'Mapping A'!$A$6:$G$1011,7,0)=1,$L249,""),0)</f>
        <v>0</v>
      </c>
      <c r="S249" s="190">
        <f>_xlfn.IFNA(IF(VLOOKUP($J249&amp;S$12,'Mapping A'!$A$6:$G$1011,7,0)=1,$L249,""),0)</f>
        <v>0</v>
      </c>
      <c r="T249" s="190">
        <f>_xlfn.IFNA(IF(VLOOKUP($J249&amp;T$14,'Mapping A'!$A$6:$G$1011,7,0)=1,$L249,""),0)</f>
        <v>86.339399999999998</v>
      </c>
      <c r="U249" s="190">
        <f>_xlfn.IFNA(IF(VLOOKUP($J249&amp;U$12,'Mapping A'!$A$6:$G$1011,7,0)=1,$L249,""),0)</f>
        <v>0</v>
      </c>
      <c r="V249" s="190">
        <f>_xlfn.IFNA(IF(VLOOKUP($J249&amp;V$12,'Mapping A'!$A$6:$G$1011,7,0)=1,$L249,""),0)</f>
        <v>0</v>
      </c>
      <c r="W249" s="190">
        <f>_xlfn.IFNA(IF(VLOOKUP($J249&amp;W$12,'Mapping A'!$A$6:$G$1011,7,0)=1,$L249,""),0)</f>
        <v>0</v>
      </c>
      <c r="X249" s="190">
        <f>_xlfn.IFNA(IF(VLOOKUP($J249&amp;X$12,'Mapping A'!$A$6:$G$1011,7,0)=1,$L249,""),0)</f>
        <v>0</v>
      </c>
      <c r="Y249" s="190">
        <f>_xlfn.IFNA(IF(VLOOKUP($J249&amp;Y$12,'Mapping A'!$A$6:$G$1011,7,0)=1,$L249,""),0)</f>
        <v>0</v>
      </c>
      <c r="Z249" s="190">
        <f>_xlfn.IFNA(IF(VLOOKUP($J249&amp;Z$12,'Mapping A'!$A$6:$G$1011,7,0)=1,$L249,""),0)</f>
        <v>0</v>
      </c>
      <c r="AA249" s="190">
        <f>_xlfn.IFNA(IF(VLOOKUP($J249&amp;AA$12,'Mapping A'!$A$6:$G$1011,7,0)=1,$L249,""),0)</f>
        <v>0</v>
      </c>
      <c r="AB249" s="190"/>
      <c r="AC249" s="190"/>
      <c r="AD249" s="190"/>
      <c r="AE249" s="190"/>
      <c r="AF249" s="155" t="str">
        <f t="shared" si="85"/>
        <v>WTU0331Unison</v>
      </c>
      <c r="AG249" s="190" t="s">
        <v>391</v>
      </c>
      <c r="AH249" s="190" t="s">
        <v>36</v>
      </c>
      <c r="AI249" s="190">
        <f t="shared" si="78"/>
        <v>86.339399999999998</v>
      </c>
      <c r="AJ249" s="292" t="s">
        <v>95</v>
      </c>
      <c r="AK249" s="190"/>
      <c r="AL249" s="190">
        <f t="shared" ca="1" si="95"/>
        <v>0</v>
      </c>
      <c r="AM249" s="190">
        <f t="shared" ca="1" si="95"/>
        <v>0</v>
      </c>
      <c r="AN249" s="190">
        <f t="shared" ca="1" si="95"/>
        <v>0</v>
      </c>
      <c r="AO249" s="190">
        <f t="shared" ca="1" si="95"/>
        <v>0</v>
      </c>
      <c r="AP249" s="190"/>
      <c r="AQ249" s="190">
        <f ca="1">T$15*T$7*T249/T$21</f>
        <v>0</v>
      </c>
      <c r="AR249" s="20">
        <f t="shared" ca="1" si="79"/>
        <v>0</v>
      </c>
      <c r="AS249" s="20"/>
      <c r="AT249" s="20">
        <f t="shared" ca="1" si="80"/>
        <v>0</v>
      </c>
      <c r="AU249" s="20">
        <f t="shared" ca="1" si="81"/>
        <v>0</v>
      </c>
      <c r="AV249" s="20">
        <f t="shared" ca="1" si="82"/>
        <v>0</v>
      </c>
      <c r="AW249" s="20">
        <f t="shared" si="83"/>
        <v>0</v>
      </c>
      <c r="AX249" s="20">
        <f t="shared" si="84"/>
        <v>0</v>
      </c>
      <c r="BA249" s="20"/>
      <c r="BC249" s="190" t="s">
        <v>36</v>
      </c>
      <c r="BD249" s="94" t="str">
        <f t="shared" si="89"/>
        <v>WPW0331Centralines</v>
      </c>
      <c r="BF249" t="s">
        <v>100</v>
      </c>
      <c r="BG249" t="s">
        <v>383</v>
      </c>
      <c r="BH249" s="190">
        <v>20.4267</v>
      </c>
      <c r="BI249" s="190" t="e">
        <v>#N/A</v>
      </c>
      <c r="BJ249" s="257">
        <f t="shared" si="88"/>
        <v>0.72552037820849491</v>
      </c>
      <c r="BK249" s="257">
        <f t="shared" si="86"/>
        <v>0.79534981961381079</v>
      </c>
      <c r="BL249" s="257">
        <f t="shared" si="87"/>
        <v>0.84190278055068812</v>
      </c>
      <c r="BM249" s="342" t="str">
        <f>VLOOKUP(LEFT(BG249,3),'Mapping B'!$D$2:$E$310,2,0)</f>
        <v>N</v>
      </c>
      <c r="BO249" s="20"/>
      <c r="BP249" s="190"/>
      <c r="BQ249" s="20"/>
      <c r="BR249" s="20"/>
    </row>
    <row r="250" spans="2:70" x14ac:dyDescent="0.25">
      <c r="B250" s="98" t="s">
        <v>112</v>
      </c>
      <c r="C250" s="98">
        <v>2014</v>
      </c>
      <c r="D250" s="98" t="s">
        <v>315</v>
      </c>
      <c r="E250" s="98" t="s">
        <v>4</v>
      </c>
      <c r="F250" s="98" t="s">
        <v>136</v>
      </c>
      <c r="G250" s="98">
        <v>7550859.5559999896</v>
      </c>
      <c r="H250" s="299" t="str">
        <f>VLOOKUP(LEFT('Rev Adequacy'!D250,3),'Mapping B'!$D$2:$E$400,2,0)</f>
        <v>S</v>
      </c>
      <c r="I250" s="190"/>
      <c r="J250" s="190" t="s">
        <v>392</v>
      </c>
      <c r="K250" s="190" t="s">
        <v>28</v>
      </c>
      <c r="L250" s="190">
        <f t="shared" si="77"/>
        <v>4.7439</v>
      </c>
      <c r="M250" s="190"/>
      <c r="N250" s="190"/>
      <c r="O250" s="190">
        <f>_xlfn.IFNA(IF(VLOOKUP($J250&amp;O$12,'Mapping A'!$A$6:$G$1011,7,0)=1,$L250,""),0)</f>
        <v>0</v>
      </c>
      <c r="P250" s="190">
        <f>_xlfn.IFNA(IF(VLOOKUP($J250&amp;P$12,'Mapping A'!$A$6:$G$1011,7,0)=1,$L250,""),0)</f>
        <v>4.7439</v>
      </c>
      <c r="Q250" s="190">
        <f>_xlfn.IFNA(IF(VLOOKUP($J250&amp;Q$12,'Mapping A'!$A$6:$G$1011,7,0)=1,$L250,""),0)</f>
        <v>4.7439</v>
      </c>
      <c r="R250" s="190">
        <f>_xlfn.IFNA(IF(VLOOKUP($J250&amp;R$12,'Mapping A'!$A$6:$G$1011,7,0)=1,$L250,""),0)</f>
        <v>0</v>
      </c>
      <c r="S250" s="190">
        <f>_xlfn.IFNA(IF(VLOOKUP($J250&amp;S$12,'Mapping A'!$A$6:$G$1011,7,0)=1,$L250,""),0)</f>
        <v>0</v>
      </c>
      <c r="T250" s="190">
        <f>_xlfn.IFNA(IF(VLOOKUP($J250&amp;T$14,'Mapping A'!$A$6:$G$1011,7,0)=1,$L250,""),0)</f>
        <v>0</v>
      </c>
      <c r="U250" s="190">
        <f>_xlfn.IFNA(IF(VLOOKUP($J250&amp;U$12,'Mapping A'!$A$6:$G$1011,7,0)=1,$L250,""),0)</f>
        <v>0</v>
      </c>
      <c r="V250" s="190">
        <f>_xlfn.IFNA(IF(VLOOKUP($J250&amp;V$12,'Mapping A'!$A$6:$G$1011,7,0)=1,$L250,""),0)</f>
        <v>0</v>
      </c>
      <c r="W250" s="190">
        <f>_xlfn.IFNA(IF(VLOOKUP($J250&amp;W$12,'Mapping A'!$A$6:$G$1011,7,0)=1,$L250,""),0)</f>
        <v>0</v>
      </c>
      <c r="X250" s="190">
        <f>_xlfn.IFNA(IF(VLOOKUP($J250&amp;X$12,'Mapping A'!$A$6:$G$1011,7,0)=1,$L250,""),0)</f>
        <v>0</v>
      </c>
      <c r="Y250" s="190">
        <f>_xlfn.IFNA(IF(VLOOKUP($J250&amp;Y$12,'Mapping A'!$A$6:$G$1011,7,0)=1,$L250,""),0)</f>
        <v>0</v>
      </c>
      <c r="Z250" s="190">
        <f>_xlfn.IFNA(IF(VLOOKUP($J250&amp;Z$12,'Mapping A'!$A$6:$G$1011,7,0)=1,$L250,""),0)</f>
        <v>4.7439</v>
      </c>
      <c r="AA250" s="190">
        <f>_xlfn.IFNA(IF(VLOOKUP($J250&amp;AA$12,'Mapping A'!$A$6:$G$1011,7,0)=1,$L250,""),0)</f>
        <v>0</v>
      </c>
      <c r="AB250" s="190"/>
      <c r="AC250" s="190"/>
      <c r="AD250" s="190"/>
      <c r="AE250" s="190"/>
      <c r="AF250" s="155" t="str">
        <f t="shared" si="85"/>
        <v>WVY0111Powerco</v>
      </c>
      <c r="AG250" s="190" t="s">
        <v>392</v>
      </c>
      <c r="AH250" s="190" t="s">
        <v>28</v>
      </c>
      <c r="AI250" s="190">
        <f t="shared" si="78"/>
        <v>4.7439</v>
      </c>
      <c r="AJ250" s="292" t="s">
        <v>95</v>
      </c>
      <c r="AK250" s="190"/>
      <c r="AL250" s="190">
        <f t="shared" ca="1" si="95"/>
        <v>0</v>
      </c>
      <c r="AM250" s="190">
        <f t="shared" ca="1" si="95"/>
        <v>0</v>
      </c>
      <c r="AN250" s="190">
        <f t="shared" ca="1" si="95"/>
        <v>0</v>
      </c>
      <c r="AO250" s="190">
        <f t="shared" ca="1" si="95"/>
        <v>0</v>
      </c>
      <c r="AP250" s="190"/>
      <c r="AQ250" s="190">
        <f ca="1">T$15*T$7*T250/T$21</f>
        <v>0</v>
      </c>
      <c r="AR250" s="20">
        <f t="shared" ca="1" si="79"/>
        <v>0</v>
      </c>
      <c r="AS250" s="20"/>
      <c r="AT250" s="20">
        <f t="shared" ca="1" si="80"/>
        <v>0</v>
      </c>
      <c r="AU250" s="20">
        <f t="shared" ca="1" si="81"/>
        <v>0</v>
      </c>
      <c r="AV250" s="20">
        <f t="shared" ca="1" si="82"/>
        <v>0</v>
      </c>
      <c r="AW250" s="20">
        <f t="shared" si="83"/>
        <v>0</v>
      </c>
      <c r="AX250" s="20">
        <f t="shared" si="84"/>
        <v>0</v>
      </c>
      <c r="BA250" s="20"/>
      <c r="BD250" s="94" t="str">
        <f t="shared" si="89"/>
        <v>WRD0331Vector</v>
      </c>
      <c r="BF250" t="s">
        <v>37</v>
      </c>
      <c r="BG250" t="s">
        <v>384</v>
      </c>
      <c r="BH250" s="190">
        <v>70.297499999999999</v>
      </c>
      <c r="BI250" s="190">
        <v>70.295997619628906</v>
      </c>
      <c r="BJ250" s="257">
        <f t="shared" si="88"/>
        <v>2.4968432878101536</v>
      </c>
      <c r="BK250" s="257">
        <f t="shared" si="86"/>
        <v>2.7371579327205011</v>
      </c>
      <c r="BL250" s="257">
        <f t="shared" si="87"/>
        <v>2.8973676959940664</v>
      </c>
      <c r="BM250" s="342" t="str">
        <f>VLOOKUP(LEFT(BG250,3),'Mapping B'!$D$2:$E$310,2,0)</f>
        <v>N</v>
      </c>
      <c r="BO250" s="20"/>
      <c r="BP250" s="190"/>
      <c r="BQ250" s="20"/>
      <c r="BR250" s="20"/>
    </row>
    <row r="251" spans="2:70" x14ac:dyDescent="0.25">
      <c r="B251" s="98" t="s">
        <v>112</v>
      </c>
      <c r="C251" s="98">
        <v>2014</v>
      </c>
      <c r="D251" s="98" t="s">
        <v>316</v>
      </c>
      <c r="E251" s="98" t="s">
        <v>4</v>
      </c>
      <c r="F251" s="98" t="s">
        <v>136</v>
      </c>
      <c r="G251" s="98">
        <v>22569708.173999999</v>
      </c>
      <c r="H251" s="299" t="str">
        <f>VLOOKUP(LEFT('Rev Adequacy'!D251,3),'Mapping B'!$D$2:$E$400,2,0)</f>
        <v>S</v>
      </c>
      <c r="I251" s="190"/>
      <c r="J251" s="190" t="s">
        <v>393</v>
      </c>
      <c r="K251" s="190" t="s">
        <v>14</v>
      </c>
      <c r="L251" s="190">
        <f t="shared" si="77"/>
        <v>0.94499999999999995</v>
      </c>
      <c r="M251" s="190"/>
      <c r="N251" s="190"/>
      <c r="O251" s="190">
        <f>_xlfn.IFNA(IF(VLOOKUP($J251&amp;O$12,'Mapping A'!$A$6:$G$1011,7,0)=1,$L251,""),0)</f>
        <v>0</v>
      </c>
      <c r="P251" s="190">
        <f>_xlfn.IFNA(IF(VLOOKUP($J251&amp;P$12,'Mapping A'!$A$6:$G$1011,7,0)=1,$L251,""),0)</f>
        <v>0.94499999999999995</v>
      </c>
      <c r="Q251" s="190">
        <f>_xlfn.IFNA(IF(VLOOKUP($J251&amp;Q$12,'Mapping A'!$A$6:$G$1011,7,0)=1,$L251,""),0)</f>
        <v>0.94499999999999995</v>
      </c>
      <c r="R251" s="190">
        <f>_xlfn.IFNA(IF(VLOOKUP($J251&amp;R$12,'Mapping A'!$A$6:$G$1011,7,0)=1,$L251,""),0)</f>
        <v>0</v>
      </c>
      <c r="S251" s="190">
        <f>_xlfn.IFNA(IF(VLOOKUP($J251&amp;S$12,'Mapping A'!$A$6:$G$1011,7,0)=1,$L251,""),0)</f>
        <v>0</v>
      </c>
      <c r="T251" s="190">
        <f>_xlfn.IFNA(IF(VLOOKUP($J251&amp;T$14,'Mapping A'!$A$6:$G$1011,7,0)=1,$L251,""),0)</f>
        <v>0</v>
      </c>
      <c r="U251" s="190">
        <f>_xlfn.IFNA(IF(VLOOKUP($J251&amp;U$12,'Mapping A'!$A$6:$G$1011,7,0)=1,$L251,""),0)</f>
        <v>0</v>
      </c>
      <c r="V251" s="190">
        <f>_xlfn.IFNA(IF(VLOOKUP($J251&amp;V$12,'Mapping A'!$A$6:$G$1011,7,0)=1,$L251,""),0)</f>
        <v>0.94499999999999995</v>
      </c>
      <c r="W251" s="190">
        <f>_xlfn.IFNA(IF(VLOOKUP($J251&amp;W$12,'Mapping A'!$A$6:$G$1011,7,0)=1,$L251,""),0)</f>
        <v>0</v>
      </c>
      <c r="X251" s="190">
        <f>_xlfn.IFNA(IF(VLOOKUP($J251&amp;X$12,'Mapping A'!$A$6:$G$1011,7,0)=1,$L251,""),0)</f>
        <v>0</v>
      </c>
      <c r="Y251" s="190">
        <f>_xlfn.IFNA(IF(VLOOKUP($J251&amp;Y$12,'Mapping A'!$A$6:$G$1011,7,0)=1,$L251,""),0)</f>
        <v>0</v>
      </c>
      <c r="Z251" s="190">
        <f>_xlfn.IFNA(IF(VLOOKUP($J251&amp;Z$12,'Mapping A'!$A$6:$G$1011,7,0)=1,$L251,""),0)</f>
        <v>0</v>
      </c>
      <c r="AA251" s="190">
        <f>_xlfn.IFNA(IF(VLOOKUP($J251&amp;AA$12,'Mapping A'!$A$6:$G$1011,7,0)=1,$L251,""),0)</f>
        <v>0</v>
      </c>
      <c r="AB251" s="190"/>
      <c r="AC251" s="190"/>
      <c r="AD251" s="190"/>
      <c r="AE251" s="190"/>
      <c r="AF251" s="155" t="str">
        <f t="shared" si="85"/>
        <v>WWD1102Meridian</v>
      </c>
      <c r="AG251" s="190" t="s">
        <v>393</v>
      </c>
      <c r="AH251" s="190" t="s">
        <v>14</v>
      </c>
      <c r="AI251" s="190">
        <f t="shared" si="78"/>
        <v>0.94499999999999995</v>
      </c>
      <c r="AJ251" s="292" t="s">
        <v>95</v>
      </c>
      <c r="AK251" s="190"/>
      <c r="AL251" s="190">
        <f t="shared" ca="1" si="95"/>
        <v>0</v>
      </c>
      <c r="AM251" s="190">
        <f t="shared" ca="1" si="95"/>
        <v>0</v>
      </c>
      <c r="AN251" s="190">
        <f t="shared" ca="1" si="95"/>
        <v>0</v>
      </c>
      <c r="AO251" s="190">
        <f t="shared" ca="1" si="95"/>
        <v>0</v>
      </c>
      <c r="AP251" s="190"/>
      <c r="AQ251" s="190">
        <f ca="1">T$15*T$7*T251/T$21</f>
        <v>0</v>
      </c>
      <c r="AR251" s="20">
        <f t="shared" ca="1" si="79"/>
        <v>0</v>
      </c>
      <c r="AS251" s="20"/>
      <c r="AT251" s="20">
        <f t="shared" ca="1" si="80"/>
        <v>0</v>
      </c>
      <c r="AU251" s="20">
        <f t="shared" ca="1" si="81"/>
        <v>0</v>
      </c>
      <c r="AV251" s="20">
        <f t="shared" ca="1" si="82"/>
        <v>0</v>
      </c>
      <c r="AW251" s="20">
        <f t="shared" si="83"/>
        <v>0</v>
      </c>
      <c r="AX251" s="20">
        <f t="shared" si="84"/>
        <v>0</v>
      </c>
      <c r="BA251" s="20"/>
      <c r="BD251" s="94" t="str">
        <f t="shared" si="89"/>
        <v>WRK0331Unison</v>
      </c>
      <c r="BF251" t="s">
        <v>36</v>
      </c>
      <c r="BG251" t="s">
        <v>385</v>
      </c>
      <c r="BH251" s="190">
        <v>46.183199999999999</v>
      </c>
      <c r="BI251" s="190">
        <v>60.479000091552699</v>
      </c>
      <c r="BJ251" s="257">
        <f t="shared" si="88"/>
        <v>1.6403458576705272</v>
      </c>
      <c r="BK251" s="257">
        <f t="shared" si="86"/>
        <v>1.7982248620280588</v>
      </c>
      <c r="BL251" s="257">
        <f t="shared" si="87"/>
        <v>1.9034775315997463</v>
      </c>
      <c r="BM251" s="342" t="str">
        <f>VLOOKUP(LEFT(BG251,3),'Mapping B'!$D$2:$E$310,2,0)</f>
        <v>N</v>
      </c>
      <c r="BO251" s="20"/>
      <c r="BP251" s="190"/>
      <c r="BQ251" s="20"/>
      <c r="BR251" s="20"/>
    </row>
    <row r="252" spans="2:70" x14ac:dyDescent="0.25">
      <c r="B252" s="98" t="s">
        <v>112</v>
      </c>
      <c r="C252" s="98">
        <v>2014</v>
      </c>
      <c r="D252" s="98" t="s">
        <v>321</v>
      </c>
      <c r="E252" s="98" t="s">
        <v>4</v>
      </c>
      <c r="F252" s="98" t="s">
        <v>131</v>
      </c>
      <c r="G252" s="98">
        <v>124577.14599999999</v>
      </c>
      <c r="H252" s="299" t="str">
        <f>VLOOKUP(LEFT('Rev Adequacy'!D252,3),'Mapping B'!$D$2:$E$400,2,0)</f>
        <v>N</v>
      </c>
      <c r="I252" s="190"/>
      <c r="J252" s="15" t="s">
        <v>394</v>
      </c>
      <c r="K252" t="s">
        <v>14</v>
      </c>
      <c r="L252" s="190">
        <f t="shared" si="77"/>
        <v>1.0038</v>
      </c>
      <c r="O252" s="190">
        <f>_xlfn.IFNA(IF(VLOOKUP($J252&amp;O$12,'Mapping A'!$A$6:$G$1011,7,0)=1,$L252,""),0)</f>
        <v>0</v>
      </c>
      <c r="P252" s="190">
        <f>_xlfn.IFNA(IF(VLOOKUP($J252&amp;P$12,'Mapping A'!$A$6:$G$1011,7,0)=1,$L252,""),0)</f>
        <v>1.0038</v>
      </c>
      <c r="Q252" s="190">
        <f>_xlfn.IFNA(IF(VLOOKUP($J252&amp;Q$12,'Mapping A'!$A$6:$G$1011,7,0)=1,$L252,""),0)</f>
        <v>1.0038</v>
      </c>
      <c r="R252" s="190">
        <f>_xlfn.IFNA(IF(VLOOKUP($J252&amp;R$12,'Mapping A'!$A$6:$G$1011,7,0)=1,$L252,""),0)</f>
        <v>0</v>
      </c>
      <c r="S252" s="190">
        <f>_xlfn.IFNA(IF(VLOOKUP($J252&amp;S$12,'Mapping A'!$A$6:$G$1011,7,0)=1,$L252,""),0)</f>
        <v>0</v>
      </c>
      <c r="T252" s="190">
        <f>_xlfn.IFNA(IF(VLOOKUP($J252&amp;T$14,'Mapping A'!$A$6:$G$1011,7,0)=1,$L252,""),0)</f>
        <v>0</v>
      </c>
      <c r="U252" s="190">
        <f>_xlfn.IFNA(IF(VLOOKUP($J252&amp;U$12,'Mapping A'!$A$6:$G$1011,7,0)=1,$L252,""),0)</f>
        <v>0</v>
      </c>
      <c r="V252" s="190">
        <f>_xlfn.IFNA(IF(VLOOKUP($J252&amp;V$12,'Mapping A'!$A$6:$G$1011,7,0)=1,$L252,""),0)</f>
        <v>1.0038</v>
      </c>
      <c r="W252" s="190">
        <f>_xlfn.IFNA(IF(VLOOKUP($J252&amp;W$12,'Mapping A'!$A$6:$G$1011,7,0)=1,$L252,""),0)</f>
        <v>0</v>
      </c>
      <c r="X252" s="190">
        <f>_xlfn.IFNA(IF(VLOOKUP($J252&amp;X$12,'Mapping A'!$A$6:$G$1011,7,0)=1,$L252,""),0)</f>
        <v>0</v>
      </c>
      <c r="Y252" s="190">
        <f>_xlfn.IFNA(IF(VLOOKUP($J252&amp;Y$12,'Mapping A'!$A$6:$G$1011,7,0)=1,$L252,""),0)</f>
        <v>0</v>
      </c>
      <c r="Z252" s="190">
        <f>_xlfn.IFNA(IF(VLOOKUP($J252&amp;Z$12,'Mapping A'!$A$6:$G$1011,7,0)=1,$L252,""),0)</f>
        <v>0</v>
      </c>
      <c r="AA252" s="190">
        <f>_xlfn.IFNA(IF(VLOOKUP($J252&amp;AA$12,'Mapping A'!$A$6:$G$1011,7,0)=1,$L252,""),0)</f>
        <v>0</v>
      </c>
      <c r="AF252" s="155" t="str">
        <f t="shared" si="85"/>
        <v>WWD1103Meridian</v>
      </c>
      <c r="AG252" s="15" t="s">
        <v>394</v>
      </c>
      <c r="AH252" s="15" t="s">
        <v>14</v>
      </c>
      <c r="AI252" s="190">
        <f t="shared" si="78"/>
        <v>1.0038</v>
      </c>
      <c r="AJ252" s="292" t="s">
        <v>95</v>
      </c>
      <c r="AK252" s="15"/>
      <c r="AL252" s="190">
        <f t="shared" ca="1" si="95"/>
        <v>0</v>
      </c>
      <c r="AM252" s="190">
        <f t="shared" ca="1" si="95"/>
        <v>0</v>
      </c>
      <c r="AN252" s="190">
        <f t="shared" ca="1" si="95"/>
        <v>0</v>
      </c>
      <c r="AO252" s="190">
        <f t="shared" ca="1" si="95"/>
        <v>0</v>
      </c>
      <c r="AP252" s="190"/>
      <c r="AQ252" s="190">
        <f ca="1">T$15*T$7*T252/T$21</f>
        <v>0</v>
      </c>
      <c r="AR252" s="20">
        <f t="shared" ca="1" si="79"/>
        <v>0</v>
      </c>
      <c r="AS252" s="20"/>
      <c r="AT252" s="20">
        <f t="shared" ca="1" si="80"/>
        <v>0</v>
      </c>
      <c r="AU252" s="20">
        <f t="shared" ca="1" si="81"/>
        <v>0</v>
      </c>
      <c r="AV252" s="20">
        <f t="shared" ca="1" si="82"/>
        <v>0</v>
      </c>
      <c r="AW252" s="20">
        <f t="shared" si="83"/>
        <v>0</v>
      </c>
      <c r="AX252" s="20">
        <f t="shared" si="84"/>
        <v>0</v>
      </c>
      <c r="BA252" s="20"/>
      <c r="BD252" s="94" t="str">
        <f t="shared" si="89"/>
        <v>WRK2201Contact</v>
      </c>
      <c r="BF252" t="s">
        <v>4</v>
      </c>
      <c r="BG252" t="s">
        <v>917</v>
      </c>
      <c r="BH252" s="190">
        <v>2.226</v>
      </c>
      <c r="BI252" s="190">
        <v>0</v>
      </c>
      <c r="BJ252" s="257">
        <f t="shared" si="88"/>
        <v>7.9063596268222944E-2</v>
      </c>
      <c r="BK252" s="257">
        <f t="shared" si="86"/>
        <v>8.6673260901679802E-2</v>
      </c>
      <c r="BL252" s="257">
        <f t="shared" si="87"/>
        <v>9.1746370657317708E-2</v>
      </c>
      <c r="BM252" s="342" t="str">
        <f>VLOOKUP(LEFT(BG252,3),'Mapping B'!$D$2:$E$310,2,0)</f>
        <v>N</v>
      </c>
      <c r="BO252" s="20"/>
      <c r="BP252" s="190"/>
      <c r="BQ252" s="20"/>
      <c r="BR252" s="20"/>
    </row>
    <row r="253" spans="2:70" x14ac:dyDescent="0.25">
      <c r="B253" s="98" t="s">
        <v>112</v>
      </c>
      <c r="C253" s="98">
        <v>2014</v>
      </c>
      <c r="D253" s="98" t="s">
        <v>322</v>
      </c>
      <c r="E253" s="98" t="s">
        <v>4</v>
      </c>
      <c r="F253" s="98" t="s">
        <v>136</v>
      </c>
      <c r="G253" s="98">
        <v>0</v>
      </c>
      <c r="H253" s="299" t="str">
        <f>VLOOKUP(LEFT('Rev Adequacy'!D253,3),'Mapping B'!$D$2:$E$400,2,0)</f>
        <v>N</v>
      </c>
      <c r="I253" s="190"/>
      <c r="K253" s="15"/>
      <c r="L253" s="15"/>
      <c r="M253" s="15"/>
      <c r="N253" s="15"/>
      <c r="O253" s="15"/>
      <c r="P253" s="15"/>
      <c r="Q253" s="15"/>
      <c r="R253" s="15"/>
      <c r="S253" s="15"/>
      <c r="T253" s="15"/>
      <c r="U253" s="15"/>
      <c r="V253" s="15"/>
      <c r="W253" s="15"/>
      <c r="X253" s="15"/>
      <c r="Y253" s="15"/>
      <c r="Z253" s="15"/>
      <c r="AA253" s="15"/>
      <c r="AF253" s="155" t="str">
        <f t="shared" si="85"/>
        <v/>
      </c>
      <c r="AG253" s="15"/>
      <c r="AH253" s="15"/>
      <c r="AI253" s="15"/>
      <c r="AJ253" s="15"/>
      <c r="AK253" s="15"/>
      <c r="AL253" s="15"/>
      <c r="AM253" s="15"/>
      <c r="AN253" s="7"/>
      <c r="AO253" s="7"/>
      <c r="AP253" s="7"/>
      <c r="AQ253" s="7"/>
      <c r="AR253" s="7"/>
      <c r="AS253" s="7"/>
      <c r="AT253" s="7"/>
      <c r="AU253" s="7"/>
      <c r="AV253" s="7"/>
      <c r="AW253" s="15"/>
      <c r="AX253" s="15"/>
      <c r="BA253" s="20"/>
      <c r="BD253" s="94" t="str">
        <f t="shared" si="89"/>
        <v>WTK0111Network Waitaki</v>
      </c>
      <c r="BF253" t="s">
        <v>20</v>
      </c>
      <c r="BG253" t="s">
        <v>389</v>
      </c>
      <c r="BH253" s="190">
        <v>4.3596000000000004</v>
      </c>
      <c r="BI253" s="190">
        <v>4.3590002059936497</v>
      </c>
      <c r="BJ253" s="257">
        <f t="shared" si="88"/>
        <v>0.154845307408331</v>
      </c>
      <c r="BK253" s="257">
        <f t="shared" si="86"/>
        <v>0.16974876380366727</v>
      </c>
      <c r="BL253" s="257">
        <f t="shared" si="87"/>
        <v>0.17968440140055811</v>
      </c>
      <c r="BM253" s="342" t="str">
        <f>VLOOKUP(LEFT(BG253,3),'Mapping B'!$D$2:$E$310,2,0)</f>
        <v>S</v>
      </c>
      <c r="BO253" s="20"/>
      <c r="BP253" s="190"/>
      <c r="BQ253" s="20"/>
      <c r="BR253" s="20"/>
    </row>
    <row r="254" spans="2:70" x14ac:dyDescent="0.25">
      <c r="B254" s="98" t="s">
        <v>112</v>
      </c>
      <c r="C254" s="98">
        <v>2014</v>
      </c>
      <c r="D254" s="98" t="s">
        <v>323</v>
      </c>
      <c r="E254" s="98" t="s">
        <v>4</v>
      </c>
      <c r="F254" s="98" t="s">
        <v>136</v>
      </c>
      <c r="G254" s="98">
        <v>0</v>
      </c>
      <c r="H254" s="299" t="str">
        <f>VLOOKUP(LEFT('Rev Adequacy'!D254,3),'Mapping B'!$D$2:$E$400,2,0)</f>
        <v>N</v>
      </c>
      <c r="I254" s="16" t="s">
        <v>544</v>
      </c>
      <c r="J254" s="16" t="s">
        <v>544</v>
      </c>
      <c r="K254" s="15"/>
      <c r="L254" s="15"/>
      <c r="M254" s="15"/>
      <c r="N254" s="15"/>
      <c r="O254" s="15"/>
      <c r="P254" s="15"/>
      <c r="Q254" s="15"/>
      <c r="R254" s="15"/>
      <c r="S254" s="15"/>
      <c r="T254" s="15"/>
      <c r="U254" s="15"/>
      <c r="V254" s="15"/>
      <c r="W254" s="15"/>
      <c r="X254" s="15"/>
      <c r="Y254" s="15"/>
      <c r="Z254" s="15"/>
      <c r="AA254" s="15"/>
      <c r="AF254" s="155" t="str">
        <f t="shared" si="85"/>
        <v>Demand allocation 2</v>
      </c>
      <c r="AG254" s="15" t="s">
        <v>544</v>
      </c>
      <c r="AH254" s="15"/>
      <c r="AI254" s="15"/>
      <c r="AJ254" s="15"/>
      <c r="AK254" s="15"/>
      <c r="AL254" s="15"/>
      <c r="AM254" s="15"/>
      <c r="AN254" s="7"/>
      <c r="AO254" s="7"/>
      <c r="AP254" s="7"/>
      <c r="AQ254" s="7"/>
      <c r="AR254" s="7"/>
      <c r="AS254" s="7"/>
      <c r="AT254" s="7"/>
      <c r="AU254" s="7"/>
      <c r="AV254" s="7"/>
      <c r="AW254" s="15"/>
      <c r="AX254" s="15"/>
      <c r="BA254" s="20"/>
      <c r="BD254" s="94" t="str">
        <f t="shared" si="89"/>
        <v>WTU0331Unison</v>
      </c>
      <c r="BF254" t="s">
        <v>36</v>
      </c>
      <c r="BG254" t="s">
        <v>391</v>
      </c>
      <c r="BH254" s="190">
        <v>86.339399999999998</v>
      </c>
      <c r="BI254" s="190">
        <v>86.292999267578097</v>
      </c>
      <c r="BJ254" s="257">
        <f t="shared" si="88"/>
        <v>3.0666232990299229</v>
      </c>
      <c r="BK254" s="257">
        <f t="shared" si="86"/>
        <v>3.3617777818034558</v>
      </c>
      <c r="BL254" s="257">
        <f t="shared" si="87"/>
        <v>3.5585474369858114</v>
      </c>
      <c r="BM254" s="342" t="str">
        <f>VLOOKUP(LEFT(BG254,3),'Mapping B'!$D$2:$E$310,2,0)</f>
        <v>N</v>
      </c>
      <c r="BO254" s="20"/>
      <c r="BP254" s="190"/>
      <c r="BQ254" s="20"/>
      <c r="BR254" s="20"/>
    </row>
    <row r="255" spans="2:70" x14ac:dyDescent="0.25">
      <c r="B255" s="98" t="s">
        <v>112</v>
      </c>
      <c r="C255" s="98">
        <v>2014</v>
      </c>
      <c r="D255" s="98" t="s">
        <v>324</v>
      </c>
      <c r="E255" s="98" t="s">
        <v>4</v>
      </c>
      <c r="F255" s="98" t="s">
        <v>136</v>
      </c>
      <c r="G255" s="98">
        <v>0</v>
      </c>
      <c r="H255" s="299" t="str">
        <f>VLOOKUP(LEFT('Rev Adequacy'!D255,3),'Mapping B'!$D$2:$E$400,2,0)</f>
        <v>N</v>
      </c>
      <c r="I255" s="91" t="s">
        <v>397</v>
      </c>
      <c r="J255" s="91" t="s">
        <v>397</v>
      </c>
      <c r="K255" s="91" t="s">
        <v>52</v>
      </c>
      <c r="L255" s="91" t="s">
        <v>424</v>
      </c>
      <c r="M255" s="15"/>
      <c r="N255" s="15"/>
      <c r="O255" s="101">
        <f t="shared" ref="O255:AA255" si="96">SUM(O256:O481)</f>
        <v>0</v>
      </c>
      <c r="P255" s="101">
        <f t="shared" si="96"/>
        <v>88.911900000000003</v>
      </c>
      <c r="Q255" s="101">
        <f t="shared" si="96"/>
        <v>2833.4790000000007</v>
      </c>
      <c r="R255" s="101">
        <f t="shared" si="96"/>
        <v>0</v>
      </c>
      <c r="S255" s="101">
        <f t="shared" si="96"/>
        <v>0</v>
      </c>
      <c r="T255" s="101">
        <f t="shared" si="96"/>
        <v>4252.3187008239738</v>
      </c>
      <c r="U255" s="101">
        <f t="shared" si="96"/>
        <v>0</v>
      </c>
      <c r="V255" s="101">
        <f t="shared" si="96"/>
        <v>88.911900000000003</v>
      </c>
      <c r="W255" s="101">
        <f t="shared" si="96"/>
        <v>0</v>
      </c>
      <c r="X255" s="101">
        <f t="shared" si="96"/>
        <v>0</v>
      </c>
      <c r="Y255" s="101">
        <f t="shared" si="96"/>
        <v>0</v>
      </c>
      <c r="Z255" s="101">
        <f t="shared" si="96"/>
        <v>0</v>
      </c>
      <c r="AA255" s="101">
        <f t="shared" si="96"/>
        <v>0</v>
      </c>
      <c r="AF255" s="155" t="str">
        <f t="shared" si="85"/>
        <v>nodecustomer</v>
      </c>
      <c r="AG255" s="91" t="s">
        <v>397</v>
      </c>
      <c r="AH255" s="91" t="s">
        <v>52</v>
      </c>
      <c r="AI255" s="91" t="s">
        <v>424</v>
      </c>
      <c r="AJ255" s="15"/>
      <c r="AK255" s="15"/>
      <c r="AL255" s="15"/>
      <c r="AM255" s="15"/>
      <c r="AN255" s="7"/>
      <c r="AO255" s="7"/>
      <c r="AP255" s="7"/>
      <c r="AQ255" s="7"/>
      <c r="AR255" s="7"/>
      <c r="AS255" s="7"/>
      <c r="AT255" s="7"/>
      <c r="AU255" s="7"/>
      <c r="AV255" s="7"/>
      <c r="AW255" s="15"/>
      <c r="AX255" s="15"/>
      <c r="BA255" s="20"/>
      <c r="BD255" s="94" t="str">
        <f t="shared" si="89"/>
        <v>WVY0111Powerco</v>
      </c>
      <c r="BF255" t="s">
        <v>28</v>
      </c>
      <c r="BG255" t="s">
        <v>392</v>
      </c>
      <c r="BH255" s="190">
        <v>4.7439</v>
      </c>
      <c r="BI255" s="190">
        <v>4.73600006103515</v>
      </c>
      <c r="BJ255" s="257">
        <f t="shared" si="88"/>
        <v>0.16849496600935435</v>
      </c>
      <c r="BK255" s="257">
        <f t="shared" si="86"/>
        <v>0.18471216639329685</v>
      </c>
      <c r="BL255" s="257">
        <f t="shared" si="87"/>
        <v>0.1955236333159252</v>
      </c>
      <c r="BM255" s="342" t="str">
        <f>VLOOKUP(LEFT(BG255,3),'Mapping B'!$D$2:$E$310,2,0)</f>
        <v>N</v>
      </c>
      <c r="BO255" s="190"/>
      <c r="BP255" s="190"/>
      <c r="BQ255" s="190"/>
    </row>
    <row r="256" spans="2:70" x14ac:dyDescent="0.25">
      <c r="B256" s="98" t="s">
        <v>112</v>
      </c>
      <c r="C256" s="98">
        <v>2014</v>
      </c>
      <c r="D256" s="98" t="s">
        <v>336</v>
      </c>
      <c r="E256" s="98" t="s">
        <v>4</v>
      </c>
      <c r="F256" s="98" t="s">
        <v>131</v>
      </c>
      <c r="G256" s="98">
        <v>102972.23799999899</v>
      </c>
      <c r="H256" s="299" t="str">
        <f>VLOOKUP(LEFT('Rev Adequacy'!D256,3),'Mapping B'!$D$2:$E$400,2,0)</f>
        <v>N</v>
      </c>
      <c r="I256" s="190"/>
      <c r="J256" s="15" t="s">
        <v>130</v>
      </c>
      <c r="K256" s="15" t="s">
        <v>0</v>
      </c>
      <c r="L256" s="190">
        <f>BH27</f>
        <v>4.4687999999999999</v>
      </c>
      <c r="M256" s="15"/>
      <c r="N256" s="15"/>
      <c r="O256" s="15">
        <f>_xlfn.IFNA(IF(VLOOKUP($J256&amp;O$14,'Mapping A'!$A$6:$G$1011,7,0)=1,$L256,""),0)</f>
        <v>0</v>
      </c>
      <c r="P256" s="15">
        <f>_xlfn.IFNA(IF(VLOOKUP($J256&amp;P$14,'Mapping A'!$A$6:$G$1011,7,0)=1,$L256,""),0)</f>
        <v>0</v>
      </c>
      <c r="Q256" s="15">
        <f>_xlfn.IFNA(IF(VLOOKUP($J256&amp;Q$14,'Mapping A'!$A$6:$G$1011,7,0)=1,$L256,""),0)</f>
        <v>4.4687999999999999</v>
      </c>
      <c r="R256" s="15">
        <f>_xlfn.IFNA(IF(VLOOKUP($J256&amp;R$14,'Mapping A'!$A$6:$G$1011,7,0)=1,$L256,""),0)</f>
        <v>0</v>
      </c>
      <c r="S256" s="15">
        <f>_xlfn.IFNA(IF(VLOOKUP($J256&amp;S$14,'Mapping A'!$A$6:$G$1011,7,0)=1,$L256,""),0)</f>
        <v>0</v>
      </c>
      <c r="T256" s="15">
        <f>_xlfn.IFNA(IF(VLOOKUP($J256&amp;T$14,'Mapping A'!$A$6:$G$1011,7,0)=1,$L256,""),0)</f>
        <v>0</v>
      </c>
      <c r="U256" s="15">
        <f>_xlfn.IFNA(IF(VLOOKUP($J256&amp;U$14,'Mapping A'!$A$6:$G$1011,7,0)=1,$L256,""),0)</f>
        <v>0</v>
      </c>
      <c r="V256" s="15">
        <f>_xlfn.IFNA(IF(VLOOKUP($J256&amp;V$14,'Mapping A'!$A$6:$G$1011,7,0)=1,$L256,""),0)</f>
        <v>0</v>
      </c>
      <c r="W256" s="15">
        <f>_xlfn.IFNA(IF(VLOOKUP($J256&amp;W$14,'Mapping A'!$A$6:$G$1011,7,0)=1,$L256,""),0)</f>
        <v>0</v>
      </c>
      <c r="X256" s="15">
        <f>_xlfn.IFNA(IF(VLOOKUP($J256&amp;X$14,'Mapping A'!$A$6:$G$1011,7,0)=1,$L256,""),0)</f>
        <v>0</v>
      </c>
      <c r="Y256" s="15">
        <f>_xlfn.IFNA(IF(VLOOKUP($J256&amp;Y$14,'Mapping A'!$A$6:$G$1011,7,0)=1,$L256,""),0)</f>
        <v>0</v>
      </c>
      <c r="Z256" s="15">
        <f>_xlfn.IFNA(IF(VLOOKUP($J256&amp;Z$14,'Mapping A'!$A$6:$G$1011,7,0)=1,$L256,""),0)</f>
        <v>0</v>
      </c>
      <c r="AA256" s="15">
        <f>_xlfn.IFNA(IF(VLOOKUP($J256&amp;AA$14,'Mapping A'!$A$6:$G$1011,7,0)=1,$L256,""),0)</f>
        <v>0</v>
      </c>
      <c r="AF256" s="155" t="str">
        <f t="shared" si="85"/>
        <v>ABY0111Alpine Energy</v>
      </c>
      <c r="AG256" s="190" t="s">
        <v>130</v>
      </c>
      <c r="AH256" s="190" t="s">
        <v>0</v>
      </c>
      <c r="AI256" s="190">
        <f>BH27</f>
        <v>4.4687999999999999</v>
      </c>
      <c r="AJ256" s="292" t="s">
        <v>96</v>
      </c>
      <c r="AK256" s="15"/>
      <c r="AL256" s="15">
        <f t="shared" ref="AL256:AL319" si="97">IF(O$255=0,0,(O$13*O$7*O256/O$255))</f>
        <v>0</v>
      </c>
      <c r="AM256" s="15"/>
      <c r="AN256" s="15">
        <f t="shared" ref="AN256:AN319" ca="1" si="98">IF(Q$255=0,0,(Q$15*Q$7*Q256/Q$255))</f>
        <v>0</v>
      </c>
      <c r="AO256" s="15">
        <f t="shared" ref="AO256:AO319" si="99">IF(R$255=0,0,(R$13*R$7*R256/R$255))</f>
        <v>0</v>
      </c>
      <c r="AP256" s="15">
        <f t="shared" ref="AP256:AP319" si="100">IF(S$255=0,0,(S$13*S$7*S256/S$255))</f>
        <v>0</v>
      </c>
      <c r="AQ256" s="15"/>
      <c r="AR256" s="15">
        <f>IF(U$255=0,0,(U$13*U$7*U256/U$255))</f>
        <v>0</v>
      </c>
      <c r="AS256" s="15"/>
      <c r="AT256" s="15">
        <f>IF(W$255=0,0,(W$13*W$7*W256/W$255))</f>
        <v>0</v>
      </c>
      <c r="AU256" s="15">
        <f>IF(X$255=0,0,(X$13*X$7*X256/X$255))</f>
        <v>0</v>
      </c>
      <c r="AV256" s="15">
        <f>IF(Y$255=0,0,(Y$13*Y$7*Y256/Y$255))</f>
        <v>0</v>
      </c>
      <c r="AW256" s="15">
        <f>IF(Z$255=0,0,(Z$13*Z$8*Z256/Z$255))</f>
        <v>0</v>
      </c>
      <c r="AX256" s="15">
        <f>IF(AA$255=0,0,(AA$13*AA$7*AA256/AA$255))</f>
        <v>0</v>
      </c>
      <c r="BA256" s="20"/>
      <c r="BD256" s="94" t="str">
        <f t="shared" si="89"/>
        <v>WWD1102Meridian</v>
      </c>
      <c r="BF256" t="s">
        <v>14</v>
      </c>
      <c r="BG256" t="s">
        <v>393</v>
      </c>
      <c r="BH256" s="190">
        <v>0.94499999999999995</v>
      </c>
      <c r="BI256" s="190">
        <v>1.28600001335144</v>
      </c>
      <c r="BJ256" s="257">
        <f t="shared" si="88"/>
        <v>3.3564734264811623E-2</v>
      </c>
      <c r="BK256" s="257">
        <f t="shared" si="86"/>
        <v>3.6795252269581046E-2</v>
      </c>
      <c r="BL256" s="257">
        <f t="shared" si="87"/>
        <v>3.8948930939427334E-2</v>
      </c>
      <c r="BM256" s="342" t="str">
        <f>VLOOKUP(LEFT(BG256,3),'Mapping B'!$D$2:$E$310,2,0)</f>
        <v>N</v>
      </c>
      <c r="BP256" s="190"/>
    </row>
    <row r="257" spans="2:68" x14ac:dyDescent="0.25">
      <c r="B257" s="98" t="s">
        <v>112</v>
      </c>
      <c r="C257" s="98">
        <v>2014</v>
      </c>
      <c r="D257" s="98" t="s">
        <v>337</v>
      </c>
      <c r="E257" s="98" t="s">
        <v>4</v>
      </c>
      <c r="F257" s="98" t="s">
        <v>136</v>
      </c>
      <c r="G257" s="98">
        <v>0</v>
      </c>
      <c r="H257" s="299" t="str">
        <f>VLOOKUP(LEFT('Rev Adequacy'!D257,3),'Mapping B'!$D$2:$E$400,2,0)</f>
        <v>N</v>
      </c>
      <c r="I257" s="190"/>
      <c r="J257" s="15" t="s">
        <v>132</v>
      </c>
      <c r="K257" s="190" t="s">
        <v>37</v>
      </c>
      <c r="L257" s="190">
        <f t="shared" ref="L257:L320" si="101">BH28</f>
        <v>158.68439999999998</v>
      </c>
      <c r="M257" s="15"/>
      <c r="N257" s="15"/>
      <c r="O257" s="15">
        <f>_xlfn.IFNA(IF(VLOOKUP($J257&amp;O$14,'Mapping A'!$A$6:$G$1011,7,0)=1,$L257,""),0)</f>
        <v>0</v>
      </c>
      <c r="P257" s="15">
        <f>_xlfn.IFNA(IF(VLOOKUP($J257&amp;P$14,'Mapping A'!$A$6:$G$1011,7,0)=1,$L257,""),0)</f>
        <v>0</v>
      </c>
      <c r="Q257" s="15">
        <f>_xlfn.IFNA(IF(VLOOKUP($J257&amp;Q$14,'Mapping A'!$A$6:$G$1011,7,0)=1,$L257,""),0)</f>
        <v>0</v>
      </c>
      <c r="R257" s="15">
        <f>_xlfn.IFNA(IF(VLOOKUP($J257&amp;R$14,'Mapping A'!$A$6:$G$1011,7,0)=1,$L257,""),0)</f>
        <v>0</v>
      </c>
      <c r="S257" s="15">
        <f>_xlfn.IFNA(IF(VLOOKUP($J257&amp;S$14,'Mapping A'!$A$6:$G$1011,7,0)=1,$L257,""),0)</f>
        <v>0</v>
      </c>
      <c r="T257" s="15">
        <f>_xlfn.IFNA(IF(VLOOKUP($J257&amp;T$14,'Mapping A'!$A$6:$G$1011,7,0)=1,$L257,""),0)</f>
        <v>158.68439999999998</v>
      </c>
      <c r="U257" s="15">
        <f>_xlfn.IFNA(IF(VLOOKUP($J257&amp;U$14,'Mapping A'!$A$6:$G$1011,7,0)=1,$L257,""),0)</f>
        <v>0</v>
      </c>
      <c r="V257" s="15">
        <f>_xlfn.IFNA(IF(VLOOKUP($J257&amp;V$14,'Mapping A'!$A$6:$G$1011,7,0)=1,$L257,""),0)</f>
        <v>0</v>
      </c>
      <c r="W257" s="15">
        <f>_xlfn.IFNA(IF(VLOOKUP($J257&amp;W$14,'Mapping A'!$A$6:$G$1011,7,0)=1,$L257,""),0)</f>
        <v>0</v>
      </c>
      <c r="X257" s="15">
        <f>_xlfn.IFNA(IF(VLOOKUP($J257&amp;X$14,'Mapping A'!$A$6:$G$1011,7,0)=1,$L257,""),0)</f>
        <v>0</v>
      </c>
      <c r="Y257" s="15">
        <f>_xlfn.IFNA(IF(VLOOKUP($J257&amp;Y$14,'Mapping A'!$A$6:$G$1011,7,0)=1,$L257,""),0)</f>
        <v>0</v>
      </c>
      <c r="Z257" s="15">
        <f>_xlfn.IFNA(IF(VLOOKUP($J257&amp;Z$14,'Mapping A'!$A$6:$G$1011,7,0)=1,$L257,""),0)</f>
        <v>0</v>
      </c>
      <c r="AA257" s="15">
        <f>_xlfn.IFNA(IF(VLOOKUP($J257&amp;AA$14,'Mapping A'!$A$6:$G$1011,7,0)=1,$L257,""),0)</f>
        <v>0</v>
      </c>
      <c r="AF257" s="155" t="str">
        <f t="shared" si="85"/>
        <v>ALB0331Vector</v>
      </c>
      <c r="AG257" s="190" t="s">
        <v>132</v>
      </c>
      <c r="AH257" s="190" t="s">
        <v>37</v>
      </c>
      <c r="AI257" s="190">
        <f t="shared" ref="AI257:AI320" si="102">BH28</f>
        <v>158.68439999999998</v>
      </c>
      <c r="AJ257" s="292" t="s">
        <v>95</v>
      </c>
      <c r="AK257" s="15"/>
      <c r="AL257" s="15">
        <f t="shared" si="97"/>
        <v>0</v>
      </c>
      <c r="AM257" s="15"/>
      <c r="AN257" s="15">
        <f t="shared" ca="1" si="98"/>
        <v>0</v>
      </c>
      <c r="AO257" s="15">
        <f t="shared" si="99"/>
        <v>0</v>
      </c>
      <c r="AP257" s="15">
        <f t="shared" si="100"/>
        <v>0</v>
      </c>
      <c r="AQ257" s="15"/>
      <c r="AR257" s="190">
        <f t="shared" ref="AR257:AR320" si="103">IF(U$255=0,0,(U$13*U$7*U257/U$255))</f>
        <v>0</v>
      </c>
      <c r="AS257" s="15"/>
      <c r="AT257" s="190">
        <f t="shared" ref="AT257:AT320" si="104">IF(W$255=0,0,(W$13*W$7*W257/W$255))</f>
        <v>0</v>
      </c>
      <c r="AU257" s="190">
        <f t="shared" ref="AU257:AU320" si="105">IF(X$255=0,0,(X$13*X$7*X257/X$255))</f>
        <v>0</v>
      </c>
      <c r="AV257" s="190">
        <f t="shared" ref="AV257:AV320" si="106">IF(Y$255=0,0,(Y$13*Y$7*Y257/Y$255))</f>
        <v>0</v>
      </c>
      <c r="AW257" s="190">
        <f t="shared" ref="AW257:AW320" si="107">IF(Z$255=0,0,(Z$13*Z$8*Z257/Z$255))</f>
        <v>0</v>
      </c>
      <c r="AX257" s="190">
        <f t="shared" ref="AX257:AX320" si="108">IF(AA$255=0,0,(AA$13*AA$7*AA257/AA$255))</f>
        <v>0</v>
      </c>
      <c r="BA257" s="20"/>
      <c r="BD257" s="94" t="str">
        <f t="shared" si="89"/>
        <v>WWD1103Meridian</v>
      </c>
      <c r="BF257" t="s">
        <v>14</v>
      </c>
      <c r="BG257" t="s">
        <v>394</v>
      </c>
      <c r="BH257" s="190">
        <v>1.0038</v>
      </c>
      <c r="BI257" s="190">
        <v>1.3639999628067001</v>
      </c>
      <c r="BJ257" s="257">
        <f t="shared" si="88"/>
        <v>3.5653206619066576E-2</v>
      </c>
      <c r="BK257" s="257">
        <f t="shared" si="86"/>
        <v>3.9084734633021645E-2</v>
      </c>
      <c r="BL257" s="257">
        <f t="shared" si="87"/>
        <v>4.1372419975658367E-2</v>
      </c>
      <c r="BM257" s="342" t="str">
        <f>VLOOKUP(LEFT(BG257,3),'Mapping B'!$D$2:$E$310,2,0)</f>
        <v>N</v>
      </c>
      <c r="BP257" s="190"/>
    </row>
    <row r="258" spans="2:68" x14ac:dyDescent="0.25">
      <c r="B258" s="98" t="s">
        <v>112</v>
      </c>
      <c r="C258" s="98">
        <v>2014</v>
      </c>
      <c r="D258" s="98" t="s">
        <v>338</v>
      </c>
      <c r="E258" s="98" t="s">
        <v>4</v>
      </c>
      <c r="F258" s="98" t="s">
        <v>136</v>
      </c>
      <c r="G258" s="98">
        <v>0</v>
      </c>
      <c r="H258" s="299" t="str">
        <f>VLOOKUP(LEFT('Rev Adequacy'!D258,3),'Mapping B'!$D$2:$E$400,2,0)</f>
        <v>N</v>
      </c>
      <c r="I258" s="190"/>
      <c r="J258" s="15" t="s">
        <v>133</v>
      </c>
      <c r="K258" s="190" t="s">
        <v>37</v>
      </c>
      <c r="L258" s="190">
        <f t="shared" si="101"/>
        <v>146.62620000000001</v>
      </c>
      <c r="M258" s="15"/>
      <c r="N258" s="15"/>
      <c r="O258" s="15">
        <f>_xlfn.IFNA(IF(VLOOKUP($J258&amp;O$14,'Mapping A'!$A$6:$G$1011,7,0)=1,$L258,""),0)</f>
        <v>0</v>
      </c>
      <c r="P258" s="15">
        <f>_xlfn.IFNA(IF(VLOOKUP($J258&amp;P$14,'Mapping A'!$A$6:$G$1011,7,0)=1,$L258,""),0)</f>
        <v>0</v>
      </c>
      <c r="Q258" s="15">
        <f>_xlfn.IFNA(IF(VLOOKUP($J258&amp;Q$14,'Mapping A'!$A$6:$G$1011,7,0)=1,$L258,""),0)</f>
        <v>0</v>
      </c>
      <c r="R258" s="15">
        <f>_xlfn.IFNA(IF(VLOOKUP($J258&amp;R$14,'Mapping A'!$A$6:$G$1011,7,0)=1,$L258,""),0)</f>
        <v>0</v>
      </c>
      <c r="S258" s="15">
        <f>_xlfn.IFNA(IF(VLOOKUP($J258&amp;S$14,'Mapping A'!$A$6:$G$1011,7,0)=1,$L258,""),0)</f>
        <v>0</v>
      </c>
      <c r="T258" s="15">
        <f>_xlfn.IFNA(IF(VLOOKUP($J258&amp;T$14,'Mapping A'!$A$6:$G$1011,7,0)=1,$L258,""),0)</f>
        <v>146.62620000000001</v>
      </c>
      <c r="U258" s="15">
        <f>_xlfn.IFNA(IF(VLOOKUP($J258&amp;U$14,'Mapping A'!$A$6:$G$1011,7,0)=1,$L258,""),0)</f>
        <v>0</v>
      </c>
      <c r="V258" s="15">
        <f>_xlfn.IFNA(IF(VLOOKUP($J258&amp;V$14,'Mapping A'!$A$6:$G$1011,7,0)=1,$L258,""),0)</f>
        <v>0</v>
      </c>
      <c r="W258" s="15">
        <f>_xlfn.IFNA(IF(VLOOKUP($J258&amp;W$14,'Mapping A'!$A$6:$G$1011,7,0)=1,$L258,""),0)</f>
        <v>0</v>
      </c>
      <c r="X258" s="15">
        <f>_xlfn.IFNA(IF(VLOOKUP($J258&amp;X$14,'Mapping A'!$A$6:$G$1011,7,0)=1,$L258,""),0)</f>
        <v>0</v>
      </c>
      <c r="Y258" s="15">
        <f>_xlfn.IFNA(IF(VLOOKUP($J258&amp;Y$14,'Mapping A'!$A$6:$G$1011,7,0)=1,$L258,""),0)</f>
        <v>0</v>
      </c>
      <c r="Z258" s="15">
        <f>_xlfn.IFNA(IF(VLOOKUP($J258&amp;Z$14,'Mapping A'!$A$6:$G$1011,7,0)=1,$L258,""),0)</f>
        <v>0</v>
      </c>
      <c r="AA258" s="15">
        <f>_xlfn.IFNA(IF(VLOOKUP($J258&amp;AA$14,'Mapping A'!$A$6:$G$1011,7,0)=1,$L258,""),0)</f>
        <v>0</v>
      </c>
      <c r="AF258" s="155" t="str">
        <f t="shared" si="85"/>
        <v>ALB1101Vector</v>
      </c>
      <c r="AG258" s="190" t="s">
        <v>133</v>
      </c>
      <c r="AH258" s="190" t="s">
        <v>37</v>
      </c>
      <c r="AI258" s="190">
        <f t="shared" si="102"/>
        <v>146.62620000000001</v>
      </c>
      <c r="AJ258" s="292" t="s">
        <v>95</v>
      </c>
      <c r="AK258" s="15"/>
      <c r="AL258" s="15">
        <f t="shared" si="97"/>
        <v>0</v>
      </c>
      <c r="AM258" s="15"/>
      <c r="AN258" s="15">
        <f t="shared" ca="1" si="98"/>
        <v>0</v>
      </c>
      <c r="AO258" s="15">
        <f t="shared" si="99"/>
        <v>0</v>
      </c>
      <c r="AP258" s="15">
        <f t="shared" si="100"/>
        <v>0</v>
      </c>
      <c r="AQ258" s="15"/>
      <c r="AR258" s="190">
        <f t="shared" si="103"/>
        <v>0</v>
      </c>
      <c r="AS258" s="15"/>
      <c r="AT258" s="190">
        <f t="shared" si="104"/>
        <v>0</v>
      </c>
      <c r="AU258" s="190">
        <f t="shared" si="105"/>
        <v>0</v>
      </c>
      <c r="AV258" s="190">
        <f t="shared" si="106"/>
        <v>0</v>
      </c>
      <c r="AW258" s="190">
        <f t="shared" si="107"/>
        <v>0</v>
      </c>
      <c r="AX258" s="190">
        <f t="shared" si="108"/>
        <v>0</v>
      </c>
      <c r="BA258" s="20"/>
      <c r="BP258" s="190"/>
    </row>
    <row r="259" spans="2:68" x14ac:dyDescent="0.25">
      <c r="B259" s="98" t="s">
        <v>112</v>
      </c>
      <c r="C259" s="98">
        <v>2014</v>
      </c>
      <c r="D259" s="98" t="s">
        <v>359</v>
      </c>
      <c r="E259" s="98" t="s">
        <v>4</v>
      </c>
      <c r="F259" s="98" t="s">
        <v>136</v>
      </c>
      <c r="G259" s="98">
        <v>0</v>
      </c>
      <c r="H259" s="299" t="str">
        <f>VLOOKUP(LEFT('Rev Adequacy'!D259,3),'Mapping B'!$D$2:$E$400,2,0)</f>
        <v>N</v>
      </c>
      <c r="I259" s="190"/>
      <c r="J259" s="15" t="s">
        <v>134</v>
      </c>
      <c r="K259" s="190" t="s">
        <v>25</v>
      </c>
      <c r="L259" s="190">
        <f t="shared" si="101"/>
        <v>0.37169999999999997</v>
      </c>
      <c r="M259" s="15"/>
      <c r="N259" s="15"/>
      <c r="O259" s="15">
        <f>_xlfn.IFNA(IF(VLOOKUP($J259&amp;O$14,'Mapping A'!$A$6:$G$1011,7,0)=1,$L259,""),0)</f>
        <v>0</v>
      </c>
      <c r="P259" s="15">
        <f>_xlfn.IFNA(IF(VLOOKUP($J259&amp;P$14,'Mapping A'!$A$6:$G$1011,7,0)=1,$L259,""),0)</f>
        <v>0</v>
      </c>
      <c r="Q259" s="15">
        <f>_xlfn.IFNA(IF(VLOOKUP($J259&amp;Q$14,'Mapping A'!$A$6:$G$1011,7,0)=1,$L259,""),0)</f>
        <v>0.37169999999999997</v>
      </c>
      <c r="R259" s="15">
        <f>_xlfn.IFNA(IF(VLOOKUP($J259&amp;R$14,'Mapping A'!$A$6:$G$1011,7,0)=1,$L259,""),0)</f>
        <v>0</v>
      </c>
      <c r="S259" s="15">
        <f>_xlfn.IFNA(IF(VLOOKUP($J259&amp;S$14,'Mapping A'!$A$6:$G$1011,7,0)=1,$L259,""),0)</f>
        <v>0</v>
      </c>
      <c r="T259" s="15">
        <f>_xlfn.IFNA(IF(VLOOKUP($J259&amp;T$14,'Mapping A'!$A$6:$G$1011,7,0)=1,$L259,""),0)</f>
        <v>0</v>
      </c>
      <c r="U259" s="15">
        <f>_xlfn.IFNA(IF(VLOOKUP($J259&amp;U$14,'Mapping A'!$A$6:$G$1011,7,0)=1,$L259,""),0)</f>
        <v>0</v>
      </c>
      <c r="V259" s="15">
        <f>_xlfn.IFNA(IF(VLOOKUP($J259&amp;V$14,'Mapping A'!$A$6:$G$1011,7,0)=1,$L259,""),0)</f>
        <v>0</v>
      </c>
      <c r="W259" s="15">
        <f>_xlfn.IFNA(IF(VLOOKUP($J259&amp;W$14,'Mapping A'!$A$6:$G$1011,7,0)=1,$L259,""),0)</f>
        <v>0</v>
      </c>
      <c r="X259" s="15">
        <f>_xlfn.IFNA(IF(VLOOKUP($J259&amp;X$14,'Mapping A'!$A$6:$G$1011,7,0)=1,$L259,""),0)</f>
        <v>0</v>
      </c>
      <c r="Y259" s="15">
        <f>_xlfn.IFNA(IF(VLOOKUP($J259&amp;Y$14,'Mapping A'!$A$6:$G$1011,7,0)=1,$L259,""),0)</f>
        <v>0</v>
      </c>
      <c r="Z259" s="15">
        <f>_xlfn.IFNA(IF(VLOOKUP($J259&amp;Z$14,'Mapping A'!$A$6:$G$1011,7,0)=1,$L259,""),0)</f>
        <v>0</v>
      </c>
      <c r="AA259" s="15">
        <f>_xlfn.IFNA(IF(VLOOKUP($J259&amp;AA$14,'Mapping A'!$A$6:$G$1011,7,0)=1,$L259,""),0)</f>
        <v>0</v>
      </c>
      <c r="AF259" s="155" t="str">
        <f t="shared" si="85"/>
        <v>APS0111Orion</v>
      </c>
      <c r="AG259" s="190" t="s">
        <v>134</v>
      </c>
      <c r="AH259" s="190" t="s">
        <v>25</v>
      </c>
      <c r="AI259" s="190">
        <f t="shared" si="102"/>
        <v>0.37169999999999997</v>
      </c>
      <c r="AJ259" s="292" t="s">
        <v>96</v>
      </c>
      <c r="AK259" s="15"/>
      <c r="AL259" s="15">
        <f t="shared" si="97"/>
        <v>0</v>
      </c>
      <c r="AM259" s="15"/>
      <c r="AN259" s="15">
        <f t="shared" ca="1" si="98"/>
        <v>0</v>
      </c>
      <c r="AO259" s="15">
        <f t="shared" si="99"/>
        <v>0</v>
      </c>
      <c r="AP259" s="15">
        <f t="shared" si="100"/>
        <v>0</v>
      </c>
      <c r="AQ259" s="15"/>
      <c r="AR259" s="190">
        <f t="shared" si="103"/>
        <v>0</v>
      </c>
      <c r="AS259" s="15"/>
      <c r="AT259" s="190">
        <f t="shared" si="104"/>
        <v>0</v>
      </c>
      <c r="AU259" s="190">
        <f t="shared" si="105"/>
        <v>0</v>
      </c>
      <c r="AV259" s="190">
        <f t="shared" si="106"/>
        <v>0</v>
      </c>
      <c r="AW259" s="190">
        <f t="shared" si="107"/>
        <v>0</v>
      </c>
      <c r="AX259" s="190">
        <f t="shared" si="108"/>
        <v>0</v>
      </c>
      <c r="BA259" s="20"/>
      <c r="BP259" s="190"/>
    </row>
    <row r="260" spans="2:68" x14ac:dyDescent="0.25">
      <c r="B260" s="98" t="s">
        <v>112</v>
      </c>
      <c r="C260" s="98">
        <v>2014</v>
      </c>
      <c r="D260" s="98" t="s">
        <v>369</v>
      </c>
      <c r="E260" s="98" t="s">
        <v>4</v>
      </c>
      <c r="F260" s="98" t="s">
        <v>131</v>
      </c>
      <c r="G260" s="98">
        <v>5450.5210259079804</v>
      </c>
      <c r="H260" s="299" t="str">
        <f>VLOOKUP(LEFT('Rev Adequacy'!D260,3),'Mapping B'!$D$2:$E$400,2,0)</f>
        <v>N</v>
      </c>
      <c r="I260" s="190"/>
      <c r="J260" s="15" t="s">
        <v>927</v>
      </c>
      <c r="K260" s="190" t="s">
        <v>17</v>
      </c>
      <c r="L260" s="190">
        <f t="shared" si="101"/>
        <v>5.1029999999999998</v>
      </c>
      <c r="M260" s="15"/>
      <c r="N260" s="15"/>
      <c r="O260" s="15">
        <f>_xlfn.IFNA(IF(VLOOKUP($J260&amp;O$14,'Mapping A'!$A$6:$G$1011,7,0)=1,$L260,""),0)</f>
        <v>0</v>
      </c>
      <c r="P260" s="15">
        <f>_xlfn.IFNA(IF(VLOOKUP($J260&amp;P$14,'Mapping A'!$A$6:$G$1011,7,0)=1,$L260,""),0)</f>
        <v>0</v>
      </c>
      <c r="Q260" s="15">
        <f>_xlfn.IFNA(IF(VLOOKUP($J260&amp;Q$14,'Mapping A'!$A$6:$G$1011,7,0)=1,$L260,""),0)</f>
        <v>0</v>
      </c>
      <c r="R260" s="15">
        <f>_xlfn.IFNA(IF(VLOOKUP($J260&amp;R$14,'Mapping A'!$A$6:$G$1011,7,0)=1,$L260,""),0)</f>
        <v>0</v>
      </c>
      <c r="S260" s="15">
        <f>_xlfn.IFNA(IF(VLOOKUP($J260&amp;S$14,'Mapping A'!$A$6:$G$1011,7,0)=1,$L260,""),0)</f>
        <v>0</v>
      </c>
      <c r="T260" s="15">
        <f>_xlfn.IFNA(IF(VLOOKUP($J260&amp;T$14,'Mapping A'!$A$6:$G$1011,7,0)=1,$L260,""),0)</f>
        <v>0</v>
      </c>
      <c r="U260" s="15">
        <f>_xlfn.IFNA(IF(VLOOKUP($J260&amp;U$14,'Mapping A'!$A$6:$G$1011,7,0)=1,$L260,""),0)</f>
        <v>0</v>
      </c>
      <c r="V260" s="15">
        <f>_xlfn.IFNA(IF(VLOOKUP($J260&amp;V$14,'Mapping A'!$A$6:$G$1011,7,0)=1,$L260,""),0)</f>
        <v>0</v>
      </c>
      <c r="W260" s="15">
        <f>_xlfn.IFNA(IF(VLOOKUP($J260&amp;W$14,'Mapping A'!$A$6:$G$1011,7,0)=1,$L260,""),0)</f>
        <v>0</v>
      </c>
      <c r="X260" s="15">
        <f>_xlfn.IFNA(IF(VLOOKUP($J260&amp;X$14,'Mapping A'!$A$6:$G$1011,7,0)=1,$L260,""),0)</f>
        <v>0</v>
      </c>
      <c r="Y260" s="15">
        <f>_xlfn.IFNA(IF(VLOOKUP($J260&amp;Y$14,'Mapping A'!$A$6:$G$1011,7,0)=1,$L260,""),0)</f>
        <v>0</v>
      </c>
      <c r="Z260" s="15">
        <f>_xlfn.IFNA(IF(VLOOKUP($J260&amp;Z$14,'Mapping A'!$A$6:$G$1011,7,0)=1,$L260,""),0)</f>
        <v>0</v>
      </c>
      <c r="AA260" s="15">
        <f>_xlfn.IFNA(IF(VLOOKUP($J260&amp;AA$14,'Mapping A'!$A$6:$G$1011,7,0)=1,$L260,""),0)</f>
        <v>0</v>
      </c>
      <c r="AF260" s="155" t="str">
        <f t="shared" si="85"/>
        <v>ARA2201MRP</v>
      </c>
      <c r="AG260" s="190" t="s">
        <v>927</v>
      </c>
      <c r="AH260" s="190" t="s">
        <v>17</v>
      </c>
      <c r="AI260" s="190">
        <f t="shared" si="102"/>
        <v>5.1029999999999998</v>
      </c>
      <c r="AJ260" s="292" t="s">
        <v>95</v>
      </c>
      <c r="AK260" s="15"/>
      <c r="AL260" s="15">
        <f t="shared" si="97"/>
        <v>0</v>
      </c>
      <c r="AM260" s="15"/>
      <c r="AN260" s="15">
        <f t="shared" ca="1" si="98"/>
        <v>0</v>
      </c>
      <c r="AO260" s="15">
        <f t="shared" si="99"/>
        <v>0</v>
      </c>
      <c r="AP260" s="15">
        <f t="shared" si="100"/>
        <v>0</v>
      </c>
      <c r="AQ260" s="15"/>
      <c r="AR260" s="190">
        <f t="shared" si="103"/>
        <v>0</v>
      </c>
      <c r="AS260" s="15"/>
      <c r="AT260" s="190">
        <f t="shared" si="104"/>
        <v>0</v>
      </c>
      <c r="AU260" s="190">
        <f t="shared" si="105"/>
        <v>0</v>
      </c>
      <c r="AV260" s="190">
        <f t="shared" si="106"/>
        <v>0</v>
      </c>
      <c r="AW260" s="190">
        <f t="shared" si="107"/>
        <v>0</v>
      </c>
      <c r="AX260" s="190">
        <f t="shared" si="108"/>
        <v>0</v>
      </c>
      <c r="BA260" s="20"/>
      <c r="BP260" s="190"/>
    </row>
    <row r="261" spans="2:68" x14ac:dyDescent="0.25">
      <c r="B261" s="98" t="s">
        <v>112</v>
      </c>
      <c r="C261" s="98">
        <v>2014</v>
      </c>
      <c r="D261" s="98" t="s">
        <v>370</v>
      </c>
      <c r="E261" s="98" t="s">
        <v>4</v>
      </c>
      <c r="F261" s="98" t="s">
        <v>131</v>
      </c>
      <c r="G261" s="98">
        <v>45293.203000000001</v>
      </c>
      <c r="H261" s="299" t="str">
        <f>VLOOKUP(LEFT('Rev Adequacy'!D261,3),'Mapping B'!$D$2:$E$400,2,0)</f>
        <v>N</v>
      </c>
      <c r="I261" s="190"/>
      <c r="J261" s="15" t="s">
        <v>137</v>
      </c>
      <c r="K261" s="190" t="s">
        <v>138</v>
      </c>
      <c r="L261" s="190">
        <f t="shared" si="101"/>
        <v>4.6200000000000005E-2</v>
      </c>
      <c r="M261" s="15"/>
      <c r="N261" s="15"/>
      <c r="O261" s="15">
        <f>_xlfn.IFNA(IF(VLOOKUP($J261&amp;O$14,'Mapping A'!$A$6:$G$1011,7,0)=1,$L261,""),0)</f>
        <v>0</v>
      </c>
      <c r="P261" s="15">
        <f>_xlfn.IFNA(IF(VLOOKUP($J261&amp;P$14,'Mapping A'!$A$6:$G$1011,7,0)=1,$L261,""),0)</f>
        <v>0</v>
      </c>
      <c r="Q261" s="15">
        <f>_xlfn.IFNA(IF(VLOOKUP($J261&amp;Q$14,'Mapping A'!$A$6:$G$1011,7,0)=1,$L261,""),0)</f>
        <v>4.6200000000000005E-2</v>
      </c>
      <c r="R261" s="15">
        <f>_xlfn.IFNA(IF(VLOOKUP($J261&amp;R$14,'Mapping A'!$A$6:$G$1011,7,0)=1,$L261,""),0)</f>
        <v>0</v>
      </c>
      <c r="S261" s="15">
        <f>_xlfn.IFNA(IF(VLOOKUP($J261&amp;S$14,'Mapping A'!$A$6:$G$1011,7,0)=1,$L261,""),0)</f>
        <v>0</v>
      </c>
      <c r="T261" s="15">
        <f>_xlfn.IFNA(IF(VLOOKUP($J261&amp;T$14,'Mapping A'!$A$6:$G$1011,7,0)=1,$L261,""),0)</f>
        <v>0</v>
      </c>
      <c r="U261" s="15">
        <f>_xlfn.IFNA(IF(VLOOKUP($J261&amp;U$14,'Mapping A'!$A$6:$G$1011,7,0)=1,$L261,""),0)</f>
        <v>0</v>
      </c>
      <c r="V261" s="15">
        <f>_xlfn.IFNA(IF(VLOOKUP($J261&amp;V$14,'Mapping A'!$A$6:$G$1011,7,0)=1,$L261,""),0)</f>
        <v>0</v>
      </c>
      <c r="W261" s="15">
        <f>_xlfn.IFNA(IF(VLOOKUP($J261&amp;W$14,'Mapping A'!$A$6:$G$1011,7,0)=1,$L261,""),0)</f>
        <v>0</v>
      </c>
      <c r="X261" s="15">
        <f>_xlfn.IFNA(IF(VLOOKUP($J261&amp;X$14,'Mapping A'!$A$6:$G$1011,7,0)=1,$L261,""),0)</f>
        <v>0</v>
      </c>
      <c r="Y261" s="15">
        <f>_xlfn.IFNA(IF(VLOOKUP($J261&amp;Y$14,'Mapping A'!$A$6:$G$1011,7,0)=1,$L261,""),0)</f>
        <v>0</v>
      </c>
      <c r="Z261" s="15">
        <f>_xlfn.IFNA(IF(VLOOKUP($J261&amp;Z$14,'Mapping A'!$A$6:$G$1011,7,0)=1,$L261,""),0)</f>
        <v>0</v>
      </c>
      <c r="AA261" s="15">
        <f>_xlfn.IFNA(IF(VLOOKUP($J261&amp;AA$14,'Mapping A'!$A$6:$G$1011,7,0)=1,$L261,""),0)</f>
        <v>0</v>
      </c>
      <c r="AF261" s="155" t="str">
        <f t="shared" si="85"/>
        <v>ARG1101TrustPower</v>
      </c>
      <c r="AG261" s="190" t="s">
        <v>137</v>
      </c>
      <c r="AH261" s="190" t="s">
        <v>138</v>
      </c>
      <c r="AI261" s="190">
        <f t="shared" si="102"/>
        <v>4.6200000000000005E-2</v>
      </c>
      <c r="AJ261" s="292" t="s">
        <v>96</v>
      </c>
      <c r="AK261" s="15"/>
      <c r="AL261" s="15">
        <f t="shared" si="97"/>
        <v>0</v>
      </c>
      <c r="AM261" s="15"/>
      <c r="AN261" s="15">
        <f t="shared" ca="1" si="98"/>
        <v>0</v>
      </c>
      <c r="AO261" s="15">
        <f t="shared" si="99"/>
        <v>0</v>
      </c>
      <c r="AP261" s="15">
        <f t="shared" si="100"/>
        <v>0</v>
      </c>
      <c r="AQ261" s="15"/>
      <c r="AR261" s="190">
        <f t="shared" si="103"/>
        <v>0</v>
      </c>
      <c r="AS261" s="15"/>
      <c r="AT261" s="190">
        <f t="shared" si="104"/>
        <v>0</v>
      </c>
      <c r="AU261" s="190">
        <f t="shared" si="105"/>
        <v>0</v>
      </c>
      <c r="AV261" s="190">
        <f t="shared" si="106"/>
        <v>0</v>
      </c>
      <c r="AW261" s="190">
        <f t="shared" si="107"/>
        <v>0</v>
      </c>
      <c r="AX261" s="190">
        <f t="shared" si="108"/>
        <v>0</v>
      </c>
      <c r="BA261" s="20"/>
      <c r="BP261" s="190"/>
    </row>
    <row r="262" spans="2:68" x14ac:dyDescent="0.25">
      <c r="B262" s="98" t="s">
        <v>112</v>
      </c>
      <c r="C262" s="98">
        <v>2014</v>
      </c>
      <c r="D262" s="98" t="s">
        <v>371</v>
      </c>
      <c r="E262" s="98" t="s">
        <v>4</v>
      </c>
      <c r="F262" s="98" t="s">
        <v>136</v>
      </c>
      <c r="G262" s="98">
        <v>0</v>
      </c>
      <c r="H262" s="299" t="str">
        <f>VLOOKUP(LEFT('Rev Adequacy'!D262,3),'Mapping B'!$D$2:$E$400,2,0)</f>
        <v>N</v>
      </c>
      <c r="I262" s="190"/>
      <c r="J262" s="15" t="s">
        <v>928</v>
      </c>
      <c r="K262" s="190" t="s">
        <v>17</v>
      </c>
      <c r="L262" s="190">
        <f t="shared" si="101"/>
        <v>2.1483000000000003</v>
      </c>
      <c r="M262" s="15"/>
      <c r="N262" s="15"/>
      <c r="O262" s="15">
        <f>_xlfn.IFNA(IF(VLOOKUP($J262&amp;O$14,'Mapping A'!$A$6:$G$1011,7,0)=1,$L262,""),0)</f>
        <v>0</v>
      </c>
      <c r="P262" s="15">
        <f>_xlfn.IFNA(IF(VLOOKUP($J262&amp;P$14,'Mapping A'!$A$6:$G$1011,7,0)=1,$L262,""),0)</f>
        <v>0</v>
      </c>
      <c r="Q262" s="15">
        <f>_xlfn.IFNA(IF(VLOOKUP($J262&amp;Q$14,'Mapping A'!$A$6:$G$1011,7,0)=1,$L262,""),0)</f>
        <v>0</v>
      </c>
      <c r="R262" s="15">
        <f>_xlfn.IFNA(IF(VLOOKUP($J262&amp;R$14,'Mapping A'!$A$6:$G$1011,7,0)=1,$L262,""),0)</f>
        <v>0</v>
      </c>
      <c r="S262" s="15">
        <f>_xlfn.IFNA(IF(VLOOKUP($J262&amp;S$14,'Mapping A'!$A$6:$G$1011,7,0)=1,$L262,""),0)</f>
        <v>0</v>
      </c>
      <c r="T262" s="15">
        <f>_xlfn.IFNA(IF(VLOOKUP($J262&amp;T$14,'Mapping A'!$A$6:$G$1011,7,0)=1,$L262,""),0)</f>
        <v>0</v>
      </c>
      <c r="U262" s="15">
        <f>_xlfn.IFNA(IF(VLOOKUP($J262&amp;U$14,'Mapping A'!$A$6:$G$1011,7,0)=1,$L262,""),0)</f>
        <v>0</v>
      </c>
      <c r="V262" s="15">
        <f>_xlfn.IFNA(IF(VLOOKUP($J262&amp;V$14,'Mapping A'!$A$6:$G$1011,7,0)=1,$L262,""),0)</f>
        <v>0</v>
      </c>
      <c r="W262" s="15">
        <f>_xlfn.IFNA(IF(VLOOKUP($J262&amp;W$14,'Mapping A'!$A$6:$G$1011,7,0)=1,$L262,""),0)</f>
        <v>0</v>
      </c>
      <c r="X262" s="15">
        <f>_xlfn.IFNA(IF(VLOOKUP($J262&amp;X$14,'Mapping A'!$A$6:$G$1011,7,0)=1,$L262,""),0)</f>
        <v>0</v>
      </c>
      <c r="Y262" s="15">
        <f>_xlfn.IFNA(IF(VLOOKUP($J262&amp;Y$14,'Mapping A'!$A$6:$G$1011,7,0)=1,$L262,""),0)</f>
        <v>0</v>
      </c>
      <c r="Z262" s="15">
        <f>_xlfn.IFNA(IF(VLOOKUP($J262&amp;Z$14,'Mapping A'!$A$6:$G$1011,7,0)=1,$L262,""),0)</f>
        <v>0</v>
      </c>
      <c r="AA262" s="15">
        <f>_xlfn.IFNA(IF(VLOOKUP($J262&amp;AA$14,'Mapping A'!$A$6:$G$1011,7,0)=1,$L262,""),0)</f>
        <v>0</v>
      </c>
      <c r="AF262" s="155" t="str">
        <f t="shared" si="85"/>
        <v>ARI1101MRP</v>
      </c>
      <c r="AG262" s="190" t="s">
        <v>928</v>
      </c>
      <c r="AH262" s="190" t="s">
        <v>17</v>
      </c>
      <c r="AI262" s="190">
        <f t="shared" si="102"/>
        <v>2.1483000000000003</v>
      </c>
      <c r="AJ262" s="292" t="s">
        <v>95</v>
      </c>
      <c r="AK262" s="15"/>
      <c r="AL262" s="15">
        <f t="shared" si="97"/>
        <v>0</v>
      </c>
      <c r="AM262" s="15"/>
      <c r="AN262" s="15">
        <f t="shared" ca="1" si="98"/>
        <v>0</v>
      </c>
      <c r="AO262" s="15">
        <f t="shared" si="99"/>
        <v>0</v>
      </c>
      <c r="AP262" s="15">
        <f t="shared" si="100"/>
        <v>0</v>
      </c>
      <c r="AQ262" s="15"/>
      <c r="AR262" s="190">
        <f t="shared" si="103"/>
        <v>0</v>
      </c>
      <c r="AS262" s="15"/>
      <c r="AT262" s="190">
        <f t="shared" si="104"/>
        <v>0</v>
      </c>
      <c r="AU262" s="190">
        <f t="shared" si="105"/>
        <v>0</v>
      </c>
      <c r="AV262" s="190">
        <f t="shared" si="106"/>
        <v>0</v>
      </c>
      <c r="AW262" s="190">
        <f t="shared" si="107"/>
        <v>0</v>
      </c>
      <c r="AX262" s="190">
        <f t="shared" si="108"/>
        <v>0</v>
      </c>
      <c r="BA262" s="20"/>
      <c r="BP262" s="190"/>
    </row>
    <row r="263" spans="2:68" x14ac:dyDescent="0.25">
      <c r="B263" s="98" t="s">
        <v>112</v>
      </c>
      <c r="C263" s="98">
        <v>2014</v>
      </c>
      <c r="D263" s="98" t="s">
        <v>387</v>
      </c>
      <c r="E263" s="98" t="s">
        <v>4</v>
      </c>
      <c r="F263" s="98" t="s">
        <v>136</v>
      </c>
      <c r="G263" s="98">
        <v>0</v>
      </c>
      <c r="H263" s="299" t="str">
        <f>VLOOKUP(LEFT('Rev Adequacy'!D263,3),'Mapping B'!$D$2:$E$400,2,0)</f>
        <v>N</v>
      </c>
      <c r="I263" s="190"/>
      <c r="J263" s="15" t="s">
        <v>929</v>
      </c>
      <c r="K263" s="190" t="s">
        <v>17</v>
      </c>
      <c r="L263" s="190">
        <f t="shared" si="101"/>
        <v>3.5679000000000003</v>
      </c>
      <c r="M263" s="15"/>
      <c r="N263" s="15"/>
      <c r="O263" s="15">
        <f>_xlfn.IFNA(IF(VLOOKUP($J263&amp;O$14,'Mapping A'!$A$6:$G$1011,7,0)=1,$L263,""),0)</f>
        <v>0</v>
      </c>
      <c r="P263" s="15">
        <f>_xlfn.IFNA(IF(VLOOKUP($J263&amp;P$14,'Mapping A'!$A$6:$G$1011,7,0)=1,$L263,""),0)</f>
        <v>0</v>
      </c>
      <c r="Q263" s="15">
        <f>_xlfn.IFNA(IF(VLOOKUP($J263&amp;Q$14,'Mapping A'!$A$6:$G$1011,7,0)=1,$L263,""),0)</f>
        <v>0</v>
      </c>
      <c r="R263" s="15">
        <f>_xlfn.IFNA(IF(VLOOKUP($J263&amp;R$14,'Mapping A'!$A$6:$G$1011,7,0)=1,$L263,""),0)</f>
        <v>0</v>
      </c>
      <c r="S263" s="15">
        <f>_xlfn.IFNA(IF(VLOOKUP($J263&amp;S$14,'Mapping A'!$A$6:$G$1011,7,0)=1,$L263,""),0)</f>
        <v>0</v>
      </c>
      <c r="T263" s="15">
        <f>_xlfn.IFNA(IF(VLOOKUP($J263&amp;T$14,'Mapping A'!$A$6:$G$1011,7,0)=1,$L263,""),0)</f>
        <v>0</v>
      </c>
      <c r="U263" s="15">
        <f>_xlfn.IFNA(IF(VLOOKUP($J263&amp;U$14,'Mapping A'!$A$6:$G$1011,7,0)=1,$L263,""),0)</f>
        <v>0</v>
      </c>
      <c r="V263" s="15">
        <f>_xlfn.IFNA(IF(VLOOKUP($J263&amp;V$14,'Mapping A'!$A$6:$G$1011,7,0)=1,$L263,""),0)</f>
        <v>0</v>
      </c>
      <c r="W263" s="15">
        <f>_xlfn.IFNA(IF(VLOOKUP($J263&amp;W$14,'Mapping A'!$A$6:$G$1011,7,0)=1,$L263,""),0)</f>
        <v>0</v>
      </c>
      <c r="X263" s="15">
        <f>_xlfn.IFNA(IF(VLOOKUP($J263&amp;X$14,'Mapping A'!$A$6:$G$1011,7,0)=1,$L263,""),0)</f>
        <v>0</v>
      </c>
      <c r="Y263" s="15">
        <f>_xlfn.IFNA(IF(VLOOKUP($J263&amp;Y$14,'Mapping A'!$A$6:$G$1011,7,0)=1,$L263,""),0)</f>
        <v>0</v>
      </c>
      <c r="Z263" s="15">
        <f>_xlfn.IFNA(IF(VLOOKUP($J263&amp;Z$14,'Mapping A'!$A$6:$G$1011,7,0)=1,$L263,""),0)</f>
        <v>0</v>
      </c>
      <c r="AA263" s="15">
        <f>_xlfn.IFNA(IF(VLOOKUP($J263&amp;AA$14,'Mapping A'!$A$6:$G$1011,7,0)=1,$L263,""),0)</f>
        <v>0</v>
      </c>
      <c r="AF263" s="155" t="str">
        <f t="shared" si="85"/>
        <v>ARI1102MRP</v>
      </c>
      <c r="AG263" s="190" t="s">
        <v>929</v>
      </c>
      <c r="AH263" s="190" t="s">
        <v>17</v>
      </c>
      <c r="AI263" s="190">
        <f t="shared" si="102"/>
        <v>3.5679000000000003</v>
      </c>
      <c r="AJ263" s="292" t="s">
        <v>95</v>
      </c>
      <c r="AK263" s="15"/>
      <c r="AL263" s="15">
        <f t="shared" si="97"/>
        <v>0</v>
      </c>
      <c r="AM263" s="15"/>
      <c r="AN263" s="15">
        <f t="shared" ca="1" si="98"/>
        <v>0</v>
      </c>
      <c r="AO263" s="15">
        <f t="shared" si="99"/>
        <v>0</v>
      </c>
      <c r="AP263" s="15">
        <f t="shared" si="100"/>
        <v>0</v>
      </c>
      <c r="AQ263" s="15"/>
      <c r="AR263" s="190">
        <f t="shared" si="103"/>
        <v>0</v>
      </c>
      <c r="AS263" s="15"/>
      <c r="AT263" s="190">
        <f t="shared" si="104"/>
        <v>0</v>
      </c>
      <c r="AU263" s="190">
        <f t="shared" si="105"/>
        <v>0</v>
      </c>
      <c r="AV263" s="190">
        <f t="shared" si="106"/>
        <v>0</v>
      </c>
      <c r="AW263" s="190">
        <f t="shared" si="107"/>
        <v>0</v>
      </c>
      <c r="AX263" s="190">
        <f t="shared" si="108"/>
        <v>0</v>
      </c>
      <c r="BA263" s="20"/>
      <c r="BP263" s="190"/>
    </row>
    <row r="264" spans="2:68" x14ac:dyDescent="0.25">
      <c r="B264" s="98" t="s">
        <v>112</v>
      </c>
      <c r="C264" s="98">
        <v>2014</v>
      </c>
      <c r="D264" s="98" t="s">
        <v>388</v>
      </c>
      <c r="E264" s="98" t="s">
        <v>4</v>
      </c>
      <c r="F264" s="98" t="s">
        <v>136</v>
      </c>
      <c r="G264" s="98">
        <v>0</v>
      </c>
      <c r="H264" s="299" t="str">
        <f>VLOOKUP(LEFT('Rev Adequacy'!D264,3),'Mapping B'!$D$2:$E$400,2,0)</f>
        <v>N</v>
      </c>
      <c r="I264" s="190"/>
      <c r="J264" s="15" t="s">
        <v>142</v>
      </c>
      <c r="K264" s="190" t="s">
        <v>9</v>
      </c>
      <c r="L264" s="190">
        <f t="shared" si="101"/>
        <v>39.173400000000001</v>
      </c>
      <c r="M264" s="15"/>
      <c r="N264" s="15"/>
      <c r="O264" s="15">
        <f>_xlfn.IFNA(IF(VLOOKUP($J264&amp;O$14,'Mapping A'!$A$6:$G$1011,7,0)=1,$L264,""),0)</f>
        <v>0</v>
      </c>
      <c r="P264" s="15">
        <f>_xlfn.IFNA(IF(VLOOKUP($J264&amp;P$14,'Mapping A'!$A$6:$G$1011,7,0)=1,$L264,""),0)</f>
        <v>0</v>
      </c>
      <c r="Q264" s="15">
        <f>_xlfn.IFNA(IF(VLOOKUP($J264&amp;Q$14,'Mapping A'!$A$6:$G$1011,7,0)=1,$L264,""),0)</f>
        <v>39.173400000000001</v>
      </c>
      <c r="R264" s="15">
        <f>_xlfn.IFNA(IF(VLOOKUP($J264&amp;R$14,'Mapping A'!$A$6:$G$1011,7,0)=1,$L264,""),0)</f>
        <v>0</v>
      </c>
      <c r="S264" s="15">
        <f>_xlfn.IFNA(IF(VLOOKUP($J264&amp;S$14,'Mapping A'!$A$6:$G$1011,7,0)=1,$L264,""),0)</f>
        <v>0</v>
      </c>
      <c r="T264" s="15">
        <f>_xlfn.IFNA(IF(VLOOKUP($J264&amp;T$14,'Mapping A'!$A$6:$G$1011,7,0)=1,$L264,""),0)</f>
        <v>0</v>
      </c>
      <c r="U264" s="15">
        <f>_xlfn.IFNA(IF(VLOOKUP($J264&amp;U$14,'Mapping A'!$A$6:$G$1011,7,0)=1,$L264,""),0)</f>
        <v>0</v>
      </c>
      <c r="V264" s="15">
        <f>_xlfn.IFNA(IF(VLOOKUP($J264&amp;V$14,'Mapping A'!$A$6:$G$1011,7,0)=1,$L264,""),0)</f>
        <v>0</v>
      </c>
      <c r="W264" s="15">
        <f>_xlfn.IFNA(IF(VLOOKUP($J264&amp;W$14,'Mapping A'!$A$6:$G$1011,7,0)=1,$L264,""),0)</f>
        <v>0</v>
      </c>
      <c r="X264" s="15">
        <f>_xlfn.IFNA(IF(VLOOKUP($J264&amp;X$14,'Mapping A'!$A$6:$G$1011,7,0)=1,$L264,""),0)</f>
        <v>0</v>
      </c>
      <c r="Y264" s="15">
        <f>_xlfn.IFNA(IF(VLOOKUP($J264&amp;Y$14,'Mapping A'!$A$6:$G$1011,7,0)=1,$L264,""),0)</f>
        <v>0</v>
      </c>
      <c r="Z264" s="15">
        <f>_xlfn.IFNA(IF(VLOOKUP($J264&amp;Z$14,'Mapping A'!$A$6:$G$1011,7,0)=1,$L264,""),0)</f>
        <v>0</v>
      </c>
      <c r="AA264" s="15">
        <f>_xlfn.IFNA(IF(VLOOKUP($J264&amp;AA$14,'Mapping A'!$A$6:$G$1011,7,0)=1,$L264,""),0)</f>
        <v>0</v>
      </c>
      <c r="AF264" s="155" t="str">
        <f t="shared" si="85"/>
        <v>ASB0331Electricity Ashburton</v>
      </c>
      <c r="AG264" s="190" t="s">
        <v>142</v>
      </c>
      <c r="AH264" s="190" t="s">
        <v>9</v>
      </c>
      <c r="AI264" s="190">
        <f t="shared" si="102"/>
        <v>39.173400000000001</v>
      </c>
      <c r="AJ264" s="292" t="s">
        <v>96</v>
      </c>
      <c r="AK264" s="15"/>
      <c r="AL264" s="15">
        <f t="shared" si="97"/>
        <v>0</v>
      </c>
      <c r="AM264" s="15"/>
      <c r="AN264" s="15">
        <f t="shared" ca="1" si="98"/>
        <v>0</v>
      </c>
      <c r="AO264" s="15">
        <f t="shared" si="99"/>
        <v>0</v>
      </c>
      <c r="AP264" s="15">
        <f t="shared" si="100"/>
        <v>0</v>
      </c>
      <c r="AQ264" s="15"/>
      <c r="AR264" s="190">
        <f t="shared" si="103"/>
        <v>0</v>
      </c>
      <c r="AS264" s="15"/>
      <c r="AT264" s="190">
        <f t="shared" si="104"/>
        <v>0</v>
      </c>
      <c r="AU264" s="190">
        <f t="shared" si="105"/>
        <v>0</v>
      </c>
      <c r="AV264" s="190">
        <f t="shared" si="106"/>
        <v>0</v>
      </c>
      <c r="AW264" s="190">
        <f t="shared" si="107"/>
        <v>0</v>
      </c>
      <c r="AX264" s="190">
        <f t="shared" si="108"/>
        <v>0</v>
      </c>
      <c r="BA264" s="20"/>
      <c r="BP264" s="190"/>
    </row>
    <row r="265" spans="2:68" x14ac:dyDescent="0.25">
      <c r="B265" s="98" t="s">
        <v>111</v>
      </c>
      <c r="C265" s="98">
        <v>2014</v>
      </c>
      <c r="D265" s="98" t="s">
        <v>177</v>
      </c>
      <c r="E265" s="98" t="s">
        <v>4</v>
      </c>
      <c r="F265" s="98" t="s">
        <v>131</v>
      </c>
      <c r="G265" s="98">
        <v>0</v>
      </c>
      <c r="H265" s="299" t="str">
        <f>VLOOKUP(LEFT('Rev Adequacy'!D265,3),'Mapping B'!$D$2:$E$400,2,0)</f>
        <v>S</v>
      </c>
      <c r="I265" s="190"/>
      <c r="J265" s="15" t="s">
        <v>143</v>
      </c>
      <c r="K265" s="190" t="s">
        <v>9</v>
      </c>
      <c r="L265" s="190">
        <f t="shared" si="101"/>
        <v>158.02710000000002</v>
      </c>
      <c r="M265" s="15"/>
      <c r="N265" s="15"/>
      <c r="O265" s="15">
        <f>_xlfn.IFNA(IF(VLOOKUP($J265&amp;O$14,'Mapping A'!$A$6:$G$1011,7,0)=1,$L265,""),0)</f>
        <v>0</v>
      </c>
      <c r="P265" s="15">
        <f>_xlfn.IFNA(IF(VLOOKUP($J265&amp;P$14,'Mapping A'!$A$6:$G$1011,7,0)=1,$L265,""),0)</f>
        <v>0</v>
      </c>
      <c r="Q265" s="15">
        <f>_xlfn.IFNA(IF(VLOOKUP($J265&amp;Q$14,'Mapping A'!$A$6:$G$1011,7,0)=1,$L265,""),0)</f>
        <v>158.02710000000002</v>
      </c>
      <c r="R265" s="15">
        <f>_xlfn.IFNA(IF(VLOOKUP($J265&amp;R$14,'Mapping A'!$A$6:$G$1011,7,0)=1,$L265,""),0)</f>
        <v>0</v>
      </c>
      <c r="S265" s="15">
        <f>_xlfn.IFNA(IF(VLOOKUP($J265&amp;S$14,'Mapping A'!$A$6:$G$1011,7,0)=1,$L265,""),0)</f>
        <v>0</v>
      </c>
      <c r="T265" s="15">
        <f>_xlfn.IFNA(IF(VLOOKUP($J265&amp;T$14,'Mapping A'!$A$6:$G$1011,7,0)=1,$L265,""),0)</f>
        <v>0</v>
      </c>
      <c r="U265" s="15">
        <f>_xlfn.IFNA(IF(VLOOKUP($J265&amp;U$14,'Mapping A'!$A$6:$G$1011,7,0)=1,$L265,""),0)</f>
        <v>0</v>
      </c>
      <c r="V265" s="15">
        <f>_xlfn.IFNA(IF(VLOOKUP($J265&amp;V$14,'Mapping A'!$A$6:$G$1011,7,0)=1,$L265,""),0)</f>
        <v>0</v>
      </c>
      <c r="W265" s="15">
        <f>_xlfn.IFNA(IF(VLOOKUP($J265&amp;W$14,'Mapping A'!$A$6:$G$1011,7,0)=1,$L265,""),0)</f>
        <v>0</v>
      </c>
      <c r="X265" s="15">
        <f>_xlfn.IFNA(IF(VLOOKUP($J265&amp;X$14,'Mapping A'!$A$6:$G$1011,7,0)=1,$L265,""),0)</f>
        <v>0</v>
      </c>
      <c r="Y265" s="15">
        <f>_xlfn.IFNA(IF(VLOOKUP($J265&amp;Y$14,'Mapping A'!$A$6:$G$1011,7,0)=1,$L265,""),0)</f>
        <v>0</v>
      </c>
      <c r="Z265" s="15">
        <f>_xlfn.IFNA(IF(VLOOKUP($J265&amp;Z$14,'Mapping A'!$A$6:$G$1011,7,0)=1,$L265,""),0)</f>
        <v>0</v>
      </c>
      <c r="AA265" s="15">
        <f>_xlfn.IFNA(IF(VLOOKUP($J265&amp;AA$14,'Mapping A'!$A$6:$G$1011,7,0)=1,$L265,""),0)</f>
        <v>0</v>
      </c>
      <c r="AF265" s="155" t="str">
        <f t="shared" si="85"/>
        <v>ASB0661Electricity Ashburton</v>
      </c>
      <c r="AG265" s="190" t="s">
        <v>143</v>
      </c>
      <c r="AH265" s="190" t="s">
        <v>9</v>
      </c>
      <c r="AI265" s="190">
        <f t="shared" si="102"/>
        <v>158.02710000000002</v>
      </c>
      <c r="AJ265" s="292" t="s">
        <v>96</v>
      </c>
      <c r="AK265" s="15"/>
      <c r="AL265" s="15">
        <f t="shared" si="97"/>
        <v>0</v>
      </c>
      <c r="AM265" s="15"/>
      <c r="AN265" s="15">
        <f t="shared" ca="1" si="98"/>
        <v>0</v>
      </c>
      <c r="AO265" s="15">
        <f t="shared" si="99"/>
        <v>0</v>
      </c>
      <c r="AP265" s="15">
        <f t="shared" si="100"/>
        <v>0</v>
      </c>
      <c r="AQ265" s="15"/>
      <c r="AR265" s="190">
        <f t="shared" si="103"/>
        <v>0</v>
      </c>
      <c r="AS265" s="15"/>
      <c r="AT265" s="190">
        <f t="shared" si="104"/>
        <v>0</v>
      </c>
      <c r="AU265" s="190">
        <f t="shared" si="105"/>
        <v>0</v>
      </c>
      <c r="AV265" s="190">
        <f t="shared" si="106"/>
        <v>0</v>
      </c>
      <c r="AW265" s="190">
        <f t="shared" si="107"/>
        <v>0</v>
      </c>
      <c r="AX265" s="190">
        <f t="shared" si="108"/>
        <v>0</v>
      </c>
      <c r="BA265" s="20"/>
      <c r="BP265" s="190"/>
    </row>
    <row r="266" spans="2:68" x14ac:dyDescent="0.25">
      <c r="B266" s="98" t="s">
        <v>111</v>
      </c>
      <c r="C266" s="98">
        <v>2014</v>
      </c>
      <c r="D266" s="98" t="s">
        <v>178</v>
      </c>
      <c r="E266" s="98" t="s">
        <v>4</v>
      </c>
      <c r="F266" s="98" t="s">
        <v>131</v>
      </c>
      <c r="G266" s="98">
        <v>4677.3519999999899</v>
      </c>
      <c r="H266" s="299" t="str">
        <f>VLOOKUP(LEFT('Rev Adequacy'!D266,3),'Mapping B'!$D$2:$E$400,2,0)</f>
        <v>S</v>
      </c>
      <c r="I266" s="190"/>
      <c r="J266" s="15" t="s">
        <v>146</v>
      </c>
      <c r="K266" s="190" t="s">
        <v>6</v>
      </c>
      <c r="L266" s="190">
        <f t="shared" si="101"/>
        <v>11.3736</v>
      </c>
      <c r="M266" s="15"/>
      <c r="N266" s="15"/>
      <c r="O266" s="15">
        <f>_xlfn.IFNA(IF(VLOOKUP($J266&amp;O$14,'Mapping A'!$A$6:$G$1011,7,0)=1,$L266,""),0)</f>
        <v>0</v>
      </c>
      <c r="P266" s="15">
        <f>_xlfn.IFNA(IF(VLOOKUP($J266&amp;P$14,'Mapping A'!$A$6:$G$1011,7,0)=1,$L266,""),0)</f>
        <v>0</v>
      </c>
      <c r="Q266" s="15">
        <f>_xlfn.IFNA(IF(VLOOKUP($J266&amp;Q$14,'Mapping A'!$A$6:$G$1011,7,0)=1,$L266,""),0)</f>
        <v>11.3736</v>
      </c>
      <c r="R266" s="15">
        <f>_xlfn.IFNA(IF(VLOOKUP($J266&amp;R$14,'Mapping A'!$A$6:$G$1011,7,0)=1,$L266,""),0)</f>
        <v>0</v>
      </c>
      <c r="S266" s="15">
        <f>_xlfn.IFNA(IF(VLOOKUP($J266&amp;S$14,'Mapping A'!$A$6:$G$1011,7,0)=1,$L266,""),0)</f>
        <v>0</v>
      </c>
      <c r="T266" s="15">
        <f>_xlfn.IFNA(IF(VLOOKUP($J266&amp;T$14,'Mapping A'!$A$6:$G$1011,7,0)=1,$L266,""),0)</f>
        <v>0</v>
      </c>
      <c r="U266" s="15">
        <f>_xlfn.IFNA(IF(VLOOKUP($J266&amp;U$14,'Mapping A'!$A$6:$G$1011,7,0)=1,$L266,""),0)</f>
        <v>0</v>
      </c>
      <c r="V266" s="15">
        <f>_xlfn.IFNA(IF(VLOOKUP($J266&amp;V$14,'Mapping A'!$A$6:$G$1011,7,0)=1,$L266,""),0)</f>
        <v>0</v>
      </c>
      <c r="W266" s="15">
        <f>_xlfn.IFNA(IF(VLOOKUP($J266&amp;W$14,'Mapping A'!$A$6:$G$1011,7,0)=1,$L266,""),0)</f>
        <v>0</v>
      </c>
      <c r="X266" s="15">
        <f>_xlfn.IFNA(IF(VLOOKUP($J266&amp;X$14,'Mapping A'!$A$6:$G$1011,7,0)=1,$L266,""),0)</f>
        <v>0</v>
      </c>
      <c r="Y266" s="15">
        <f>_xlfn.IFNA(IF(VLOOKUP($J266&amp;Y$14,'Mapping A'!$A$6:$G$1011,7,0)=1,$L266,""),0)</f>
        <v>0</v>
      </c>
      <c r="Z266" s="15">
        <f>_xlfn.IFNA(IF(VLOOKUP($J266&amp;Z$14,'Mapping A'!$A$6:$G$1011,7,0)=1,$L266,""),0)</f>
        <v>0</v>
      </c>
      <c r="AA266" s="15">
        <f>_xlfn.IFNA(IF(VLOOKUP($J266&amp;AA$14,'Mapping A'!$A$6:$G$1011,7,0)=1,$L266,""),0)</f>
        <v>0</v>
      </c>
      <c r="AF266" s="155" t="str">
        <f t="shared" si="85"/>
        <v>ASY0111Daiken MDF</v>
      </c>
      <c r="AG266" s="190" t="s">
        <v>146</v>
      </c>
      <c r="AH266" s="190" t="s">
        <v>6</v>
      </c>
      <c r="AI266" s="190">
        <f t="shared" si="102"/>
        <v>11.3736</v>
      </c>
      <c r="AJ266" s="292" t="s">
        <v>96</v>
      </c>
      <c r="AK266" s="15"/>
      <c r="AL266" s="15">
        <f t="shared" si="97"/>
        <v>0</v>
      </c>
      <c r="AM266" s="15"/>
      <c r="AN266" s="15">
        <f t="shared" ca="1" si="98"/>
        <v>0</v>
      </c>
      <c r="AO266" s="15">
        <f t="shared" si="99"/>
        <v>0</v>
      </c>
      <c r="AP266" s="15">
        <f t="shared" si="100"/>
        <v>0</v>
      </c>
      <c r="AQ266" s="15"/>
      <c r="AR266" s="190">
        <f t="shared" si="103"/>
        <v>0</v>
      </c>
      <c r="AS266" s="15"/>
      <c r="AT266" s="190">
        <f t="shared" si="104"/>
        <v>0</v>
      </c>
      <c r="AU266" s="190">
        <f t="shared" si="105"/>
        <v>0</v>
      </c>
      <c r="AV266" s="190">
        <f t="shared" si="106"/>
        <v>0</v>
      </c>
      <c r="AW266" s="190">
        <f t="shared" si="107"/>
        <v>0</v>
      </c>
      <c r="AX266" s="190">
        <f t="shared" si="108"/>
        <v>0</v>
      </c>
      <c r="BA266" s="20"/>
      <c r="BP266" s="190"/>
    </row>
    <row r="267" spans="2:68" x14ac:dyDescent="0.25">
      <c r="B267" s="98" t="s">
        <v>111</v>
      </c>
      <c r="C267" s="98">
        <v>2014</v>
      </c>
      <c r="D267" s="98" t="s">
        <v>179</v>
      </c>
      <c r="E267" s="98" t="s">
        <v>4</v>
      </c>
      <c r="F267" s="98" t="s">
        <v>136</v>
      </c>
      <c r="G267" s="98">
        <v>46357312.7669999</v>
      </c>
      <c r="H267" s="299" t="str">
        <f>VLOOKUP(LEFT('Rev Adequacy'!D267,3),'Mapping B'!$D$2:$E$400,2,0)</f>
        <v>S</v>
      </c>
      <c r="I267" s="190"/>
      <c r="J267" s="15" t="s">
        <v>930</v>
      </c>
      <c r="K267" s="190" t="s">
        <v>17</v>
      </c>
      <c r="L267" s="190">
        <f t="shared" si="101"/>
        <v>13.465200000000001</v>
      </c>
      <c r="M267" s="15"/>
      <c r="N267" s="15"/>
      <c r="O267" s="15">
        <f>_xlfn.IFNA(IF(VLOOKUP($J267&amp;O$14,'Mapping A'!$A$6:$G$1011,7,0)=1,$L267,""),0)</f>
        <v>0</v>
      </c>
      <c r="P267" s="15">
        <f>_xlfn.IFNA(IF(VLOOKUP($J267&amp;P$14,'Mapping A'!$A$6:$G$1011,7,0)=1,$L267,""),0)</f>
        <v>0</v>
      </c>
      <c r="Q267" s="15">
        <f>_xlfn.IFNA(IF(VLOOKUP($J267&amp;Q$14,'Mapping A'!$A$6:$G$1011,7,0)=1,$L267,""),0)</f>
        <v>0</v>
      </c>
      <c r="R267" s="15">
        <f>_xlfn.IFNA(IF(VLOOKUP($J267&amp;R$14,'Mapping A'!$A$6:$G$1011,7,0)=1,$L267,""),0)</f>
        <v>0</v>
      </c>
      <c r="S267" s="15">
        <f>_xlfn.IFNA(IF(VLOOKUP($J267&amp;S$14,'Mapping A'!$A$6:$G$1011,7,0)=1,$L267,""),0)</f>
        <v>0</v>
      </c>
      <c r="T267" s="15">
        <f>_xlfn.IFNA(IF(VLOOKUP($J267&amp;T$14,'Mapping A'!$A$6:$G$1011,7,0)=1,$L267,""),0)</f>
        <v>0</v>
      </c>
      <c r="U267" s="15">
        <f>_xlfn.IFNA(IF(VLOOKUP($J267&amp;U$14,'Mapping A'!$A$6:$G$1011,7,0)=1,$L267,""),0)</f>
        <v>0</v>
      </c>
      <c r="V267" s="15">
        <f>_xlfn.IFNA(IF(VLOOKUP($J267&amp;V$14,'Mapping A'!$A$6:$G$1011,7,0)=1,$L267,""),0)</f>
        <v>0</v>
      </c>
      <c r="W267" s="15">
        <f>_xlfn.IFNA(IF(VLOOKUP($J267&amp;W$14,'Mapping A'!$A$6:$G$1011,7,0)=1,$L267,""),0)</f>
        <v>0</v>
      </c>
      <c r="X267" s="15">
        <f>_xlfn.IFNA(IF(VLOOKUP($J267&amp;X$14,'Mapping A'!$A$6:$G$1011,7,0)=1,$L267,""),0)</f>
        <v>0</v>
      </c>
      <c r="Y267" s="15">
        <f>_xlfn.IFNA(IF(VLOOKUP($J267&amp;Y$14,'Mapping A'!$A$6:$G$1011,7,0)=1,$L267,""),0)</f>
        <v>0</v>
      </c>
      <c r="Z267" s="15">
        <f>_xlfn.IFNA(IF(VLOOKUP($J267&amp;Z$14,'Mapping A'!$A$6:$G$1011,7,0)=1,$L267,""),0)</f>
        <v>0</v>
      </c>
      <c r="AA267" s="15">
        <f>_xlfn.IFNA(IF(VLOOKUP($J267&amp;AA$14,'Mapping A'!$A$6:$G$1011,7,0)=1,$L267,""),0)</f>
        <v>0</v>
      </c>
      <c r="AF267" s="155" t="str">
        <f t="shared" si="85"/>
        <v>ATI2201MRP</v>
      </c>
      <c r="AG267" s="190" t="s">
        <v>930</v>
      </c>
      <c r="AH267" s="190" t="s">
        <v>17</v>
      </c>
      <c r="AI267" s="190">
        <f t="shared" si="102"/>
        <v>13.465200000000001</v>
      </c>
      <c r="AJ267" s="292" t="s">
        <v>95</v>
      </c>
      <c r="AK267" s="15"/>
      <c r="AL267" s="15">
        <f t="shared" si="97"/>
        <v>0</v>
      </c>
      <c r="AM267" s="15"/>
      <c r="AN267" s="15">
        <f t="shared" ca="1" si="98"/>
        <v>0</v>
      </c>
      <c r="AO267" s="15">
        <f t="shared" si="99"/>
        <v>0</v>
      </c>
      <c r="AP267" s="15">
        <f t="shared" si="100"/>
        <v>0</v>
      </c>
      <c r="AQ267" s="15"/>
      <c r="AR267" s="190">
        <f t="shared" si="103"/>
        <v>0</v>
      </c>
      <c r="AS267" s="15"/>
      <c r="AT267" s="190">
        <f t="shared" si="104"/>
        <v>0</v>
      </c>
      <c r="AU267" s="190">
        <f t="shared" si="105"/>
        <v>0</v>
      </c>
      <c r="AV267" s="190">
        <f t="shared" si="106"/>
        <v>0</v>
      </c>
      <c r="AW267" s="190">
        <f t="shared" si="107"/>
        <v>0</v>
      </c>
      <c r="AX267" s="190">
        <f t="shared" si="108"/>
        <v>0</v>
      </c>
      <c r="BA267" s="20"/>
      <c r="BP267" s="190"/>
    </row>
    <row r="268" spans="2:68" x14ac:dyDescent="0.25">
      <c r="B268" s="98" t="s">
        <v>111</v>
      </c>
      <c r="C268" s="98">
        <v>2014</v>
      </c>
      <c r="D268" s="98" t="s">
        <v>287</v>
      </c>
      <c r="E268" s="98" t="s">
        <v>4</v>
      </c>
      <c r="F268" s="98" t="s">
        <v>136</v>
      </c>
      <c r="G268" s="98">
        <v>0</v>
      </c>
      <c r="H268" s="299" t="str">
        <f>VLOOKUP(LEFT('Rev Adequacy'!D268,3),'Mapping B'!$D$2:$E$400,2,0)</f>
        <v>N</v>
      </c>
      <c r="I268" s="190"/>
      <c r="J268" s="15" t="s">
        <v>148</v>
      </c>
      <c r="K268" s="190" t="s">
        <v>41</v>
      </c>
      <c r="L268" s="190">
        <f t="shared" si="101"/>
        <v>1.1487000000000001</v>
      </c>
      <c r="M268" s="15"/>
      <c r="N268" s="15"/>
      <c r="O268" s="15">
        <f>_xlfn.IFNA(IF(VLOOKUP($J268&amp;O$14,'Mapping A'!$A$6:$G$1011,7,0)=1,$L268,""),0)</f>
        <v>0</v>
      </c>
      <c r="P268" s="15">
        <f>_xlfn.IFNA(IF(VLOOKUP($J268&amp;P$14,'Mapping A'!$A$6:$G$1011,7,0)=1,$L268,""),0)</f>
        <v>0</v>
      </c>
      <c r="Q268" s="15">
        <f>_xlfn.IFNA(IF(VLOOKUP($J268&amp;Q$14,'Mapping A'!$A$6:$G$1011,7,0)=1,$L268,""),0)</f>
        <v>1.1487000000000001</v>
      </c>
      <c r="R268" s="15">
        <f>_xlfn.IFNA(IF(VLOOKUP($J268&amp;R$14,'Mapping A'!$A$6:$G$1011,7,0)=1,$L268,""),0)</f>
        <v>0</v>
      </c>
      <c r="S268" s="15">
        <f>_xlfn.IFNA(IF(VLOOKUP($J268&amp;S$14,'Mapping A'!$A$6:$G$1011,7,0)=1,$L268,""),0)</f>
        <v>0</v>
      </c>
      <c r="T268" s="15">
        <f>_xlfn.IFNA(IF(VLOOKUP($J268&amp;T$14,'Mapping A'!$A$6:$G$1011,7,0)=1,$L268,""),0)</f>
        <v>0</v>
      </c>
      <c r="U268" s="15">
        <f>_xlfn.IFNA(IF(VLOOKUP($J268&amp;U$14,'Mapping A'!$A$6:$G$1011,7,0)=1,$L268,""),0)</f>
        <v>0</v>
      </c>
      <c r="V268" s="15">
        <f>_xlfn.IFNA(IF(VLOOKUP($J268&amp;V$14,'Mapping A'!$A$6:$G$1011,7,0)=1,$L268,""),0)</f>
        <v>0</v>
      </c>
      <c r="W268" s="15">
        <f>_xlfn.IFNA(IF(VLOOKUP($J268&amp;W$14,'Mapping A'!$A$6:$G$1011,7,0)=1,$L268,""),0)</f>
        <v>0</v>
      </c>
      <c r="X268" s="15">
        <f>_xlfn.IFNA(IF(VLOOKUP($J268&amp;X$14,'Mapping A'!$A$6:$G$1011,7,0)=1,$L268,""),0)</f>
        <v>0</v>
      </c>
      <c r="Y268" s="15">
        <f>_xlfn.IFNA(IF(VLOOKUP($J268&amp;Y$14,'Mapping A'!$A$6:$G$1011,7,0)=1,$L268,""),0)</f>
        <v>0</v>
      </c>
      <c r="Z268" s="15">
        <f>_xlfn.IFNA(IF(VLOOKUP($J268&amp;Z$14,'Mapping A'!$A$6:$G$1011,7,0)=1,$L268,""),0)</f>
        <v>0</v>
      </c>
      <c r="AA268" s="15">
        <f>_xlfn.IFNA(IF(VLOOKUP($J268&amp;AA$14,'Mapping A'!$A$6:$G$1011,7,0)=1,$L268,""),0)</f>
        <v>0</v>
      </c>
      <c r="AF268" s="155" t="str">
        <f t="shared" si="85"/>
        <v>ATU1101Westpower</v>
      </c>
      <c r="AG268" s="190" t="s">
        <v>148</v>
      </c>
      <c r="AH268" s="190" t="s">
        <v>41</v>
      </c>
      <c r="AI268" s="190">
        <f t="shared" si="102"/>
        <v>1.1487000000000001</v>
      </c>
      <c r="AJ268" s="292" t="s">
        <v>96</v>
      </c>
      <c r="AK268" s="15"/>
      <c r="AL268" s="15">
        <f t="shared" si="97"/>
        <v>0</v>
      </c>
      <c r="AM268" s="15"/>
      <c r="AN268" s="15">
        <f t="shared" ca="1" si="98"/>
        <v>0</v>
      </c>
      <c r="AO268" s="15">
        <f t="shared" si="99"/>
        <v>0</v>
      </c>
      <c r="AP268" s="15">
        <f t="shared" si="100"/>
        <v>0</v>
      </c>
      <c r="AQ268" s="15"/>
      <c r="AR268" s="190">
        <f t="shared" si="103"/>
        <v>0</v>
      </c>
      <c r="AS268" s="15"/>
      <c r="AT268" s="190">
        <f t="shared" si="104"/>
        <v>0</v>
      </c>
      <c r="AU268" s="190">
        <f t="shared" si="105"/>
        <v>0</v>
      </c>
      <c r="AV268" s="190">
        <f t="shared" si="106"/>
        <v>0</v>
      </c>
      <c r="AW268" s="190">
        <f t="shared" si="107"/>
        <v>0</v>
      </c>
      <c r="AX268" s="190">
        <f t="shared" si="108"/>
        <v>0</v>
      </c>
      <c r="BP268" s="190"/>
    </row>
    <row r="269" spans="2:68" x14ac:dyDescent="0.25">
      <c r="B269" s="98" t="s">
        <v>111</v>
      </c>
      <c r="C269" s="98">
        <v>2014</v>
      </c>
      <c r="D269" s="98" t="s">
        <v>293</v>
      </c>
      <c r="E269" s="98" t="s">
        <v>4</v>
      </c>
      <c r="F269" s="98" t="s">
        <v>131</v>
      </c>
      <c r="G269" s="98">
        <v>71511.357895460795</v>
      </c>
      <c r="H269" s="299" t="str">
        <f>VLOOKUP(LEFT('Rev Adequacy'!D269,3),'Mapping B'!$D$2:$E$400,2,0)</f>
        <v>N</v>
      </c>
      <c r="I269" s="190"/>
      <c r="J269" s="15" t="s">
        <v>922</v>
      </c>
      <c r="K269" s="190" t="s">
        <v>14</v>
      </c>
      <c r="L269" s="190">
        <f t="shared" si="101"/>
        <v>2.6459999999999999</v>
      </c>
      <c r="M269" s="15"/>
      <c r="N269" s="15"/>
      <c r="O269" s="15">
        <f>_xlfn.IFNA(IF(VLOOKUP($J269&amp;O$14,'Mapping A'!$A$6:$G$1011,7,0)=1,$L269,""),0)</f>
        <v>0</v>
      </c>
      <c r="P269" s="15">
        <f>_xlfn.IFNA(IF(VLOOKUP($J269&amp;P$14,'Mapping A'!$A$6:$G$1011,7,0)=1,$L269,""),0)</f>
        <v>0</v>
      </c>
      <c r="Q269" s="15">
        <f>_xlfn.IFNA(IF(VLOOKUP($J269&amp;Q$14,'Mapping A'!$A$6:$G$1011,7,0)=1,$L269,""),0)</f>
        <v>0</v>
      </c>
      <c r="R269" s="15">
        <f>_xlfn.IFNA(IF(VLOOKUP($J269&amp;R$14,'Mapping A'!$A$6:$G$1011,7,0)=1,$L269,""),0)</f>
        <v>0</v>
      </c>
      <c r="S269" s="15">
        <f>_xlfn.IFNA(IF(VLOOKUP($J269&amp;S$14,'Mapping A'!$A$6:$G$1011,7,0)=1,$L269,""),0)</f>
        <v>0</v>
      </c>
      <c r="T269" s="15">
        <f>_xlfn.IFNA(IF(VLOOKUP($J269&amp;T$14,'Mapping A'!$A$6:$G$1011,7,0)=1,$L269,""),0)</f>
        <v>0</v>
      </c>
      <c r="U269" s="15">
        <f>_xlfn.IFNA(IF(VLOOKUP($J269&amp;U$14,'Mapping A'!$A$6:$G$1011,7,0)=1,$L269,""),0)</f>
        <v>0</v>
      </c>
      <c r="V269" s="15">
        <f>_xlfn.IFNA(IF(VLOOKUP($J269&amp;V$14,'Mapping A'!$A$6:$G$1011,7,0)=1,$L269,""),0)</f>
        <v>0</v>
      </c>
      <c r="W269" s="15">
        <f>_xlfn.IFNA(IF(VLOOKUP($J269&amp;W$14,'Mapping A'!$A$6:$G$1011,7,0)=1,$L269,""),0)</f>
        <v>0</v>
      </c>
      <c r="X269" s="15">
        <f>_xlfn.IFNA(IF(VLOOKUP($J269&amp;X$14,'Mapping A'!$A$6:$G$1011,7,0)=1,$L269,""),0)</f>
        <v>0</v>
      </c>
      <c r="Y269" s="15">
        <f>_xlfn.IFNA(IF(VLOOKUP($J269&amp;Y$14,'Mapping A'!$A$6:$G$1011,7,0)=1,$L269,""),0)</f>
        <v>0</v>
      </c>
      <c r="Z269" s="15">
        <f>_xlfn.IFNA(IF(VLOOKUP($J269&amp;Z$14,'Mapping A'!$A$6:$G$1011,7,0)=1,$L269,""),0)</f>
        <v>0</v>
      </c>
      <c r="AA269" s="15">
        <f>_xlfn.IFNA(IF(VLOOKUP($J269&amp;AA$14,'Mapping A'!$A$6:$G$1011,7,0)=1,$L269,""),0)</f>
        <v>0</v>
      </c>
      <c r="AF269" s="155" t="str">
        <f t="shared" si="85"/>
        <v>AVI2201Meridian</v>
      </c>
      <c r="AG269" s="190" t="s">
        <v>922</v>
      </c>
      <c r="AH269" s="190" t="s">
        <v>14</v>
      </c>
      <c r="AI269" s="190">
        <f t="shared" si="102"/>
        <v>2.6459999999999999</v>
      </c>
      <c r="AJ269" s="292" t="s">
        <v>96</v>
      </c>
      <c r="AK269" s="15"/>
      <c r="AL269" s="15">
        <f t="shared" si="97"/>
        <v>0</v>
      </c>
      <c r="AM269" s="15"/>
      <c r="AN269" s="15">
        <f t="shared" ca="1" si="98"/>
        <v>0</v>
      </c>
      <c r="AO269" s="15">
        <f t="shared" si="99"/>
        <v>0</v>
      </c>
      <c r="AP269" s="15">
        <f t="shared" si="100"/>
        <v>0</v>
      </c>
      <c r="AQ269" s="15"/>
      <c r="AR269" s="190">
        <f t="shared" si="103"/>
        <v>0</v>
      </c>
      <c r="AS269" s="15"/>
      <c r="AT269" s="190">
        <f t="shared" si="104"/>
        <v>0</v>
      </c>
      <c r="AU269" s="190">
        <f t="shared" si="105"/>
        <v>0</v>
      </c>
      <c r="AV269" s="190">
        <f t="shared" si="106"/>
        <v>0</v>
      </c>
      <c r="AW269" s="190">
        <f t="shared" si="107"/>
        <v>0</v>
      </c>
      <c r="AX269" s="190">
        <f t="shared" si="108"/>
        <v>0</v>
      </c>
      <c r="BP269" s="190"/>
    </row>
    <row r="270" spans="2:68" x14ac:dyDescent="0.25">
      <c r="B270" s="98" t="s">
        <v>111</v>
      </c>
      <c r="C270" s="98">
        <v>2014</v>
      </c>
      <c r="D270" s="98" t="s">
        <v>303</v>
      </c>
      <c r="E270" s="98" t="s">
        <v>4</v>
      </c>
      <c r="F270" s="98" t="s">
        <v>131</v>
      </c>
      <c r="G270" s="98">
        <v>1720.9489999999901</v>
      </c>
      <c r="H270" s="299" t="str">
        <f>VLOOKUP(LEFT('Rev Adequacy'!D270,3),'Mapping B'!$D$2:$E$400,2,0)</f>
        <v>N</v>
      </c>
      <c r="I270" s="190"/>
      <c r="J270" s="15" t="s">
        <v>150</v>
      </c>
      <c r="K270" s="190" t="s">
        <v>103</v>
      </c>
      <c r="L270" s="190">
        <f t="shared" si="101"/>
        <v>29.0913</v>
      </c>
      <c r="M270" s="15"/>
      <c r="N270" s="15"/>
      <c r="O270" s="15">
        <f>_xlfn.IFNA(IF(VLOOKUP($J270&amp;O$14,'Mapping A'!$A$6:$G$1011,7,0)=1,$L270,""),0)</f>
        <v>0</v>
      </c>
      <c r="P270" s="15">
        <f>_xlfn.IFNA(IF(VLOOKUP($J270&amp;P$14,'Mapping A'!$A$6:$G$1011,7,0)=1,$L270,""),0)</f>
        <v>0</v>
      </c>
      <c r="Q270" s="15">
        <f>_xlfn.IFNA(IF(VLOOKUP($J270&amp;Q$14,'Mapping A'!$A$6:$G$1011,7,0)=1,$L270,""),0)</f>
        <v>29.0913</v>
      </c>
      <c r="R270" s="15">
        <f>_xlfn.IFNA(IF(VLOOKUP($J270&amp;R$14,'Mapping A'!$A$6:$G$1011,7,0)=1,$L270,""),0)</f>
        <v>0</v>
      </c>
      <c r="S270" s="15">
        <f>_xlfn.IFNA(IF(VLOOKUP($J270&amp;S$14,'Mapping A'!$A$6:$G$1011,7,0)=1,$L270,""),0)</f>
        <v>0</v>
      </c>
      <c r="T270" s="15">
        <f>_xlfn.IFNA(IF(VLOOKUP($J270&amp;T$14,'Mapping A'!$A$6:$G$1011,7,0)=1,$L270,""),0)</f>
        <v>0</v>
      </c>
      <c r="U270" s="15">
        <f>_xlfn.IFNA(IF(VLOOKUP($J270&amp;U$14,'Mapping A'!$A$6:$G$1011,7,0)=1,$L270,""),0)</f>
        <v>0</v>
      </c>
      <c r="V270" s="15">
        <f>_xlfn.IFNA(IF(VLOOKUP($J270&amp;V$14,'Mapping A'!$A$6:$G$1011,7,0)=1,$L270,""),0)</f>
        <v>0</v>
      </c>
      <c r="W270" s="15">
        <f>_xlfn.IFNA(IF(VLOOKUP($J270&amp;W$14,'Mapping A'!$A$6:$G$1011,7,0)=1,$L270,""),0)</f>
        <v>0</v>
      </c>
      <c r="X270" s="15">
        <f>_xlfn.IFNA(IF(VLOOKUP($J270&amp;X$14,'Mapping A'!$A$6:$G$1011,7,0)=1,$L270,""),0)</f>
        <v>0</v>
      </c>
      <c r="Y270" s="15">
        <f>_xlfn.IFNA(IF(VLOOKUP($J270&amp;Y$14,'Mapping A'!$A$6:$G$1011,7,0)=1,$L270,""),0)</f>
        <v>0</v>
      </c>
      <c r="Z270" s="15">
        <f>_xlfn.IFNA(IF(VLOOKUP($J270&amp;Z$14,'Mapping A'!$A$6:$G$1011,7,0)=1,$L270,""),0)</f>
        <v>0</v>
      </c>
      <c r="AA270" s="15">
        <f>_xlfn.IFNA(IF(VLOOKUP($J270&amp;AA$14,'Mapping A'!$A$6:$G$1011,7,0)=1,$L270,""),0)</f>
        <v>0</v>
      </c>
      <c r="AF270" s="155" t="str">
        <f t="shared" si="85"/>
        <v>BAL0331OtagoNet JV</v>
      </c>
      <c r="AG270" s="190" t="s">
        <v>150</v>
      </c>
      <c r="AH270" s="190" t="s">
        <v>103</v>
      </c>
      <c r="AI270" s="190">
        <f t="shared" si="102"/>
        <v>29.0913</v>
      </c>
      <c r="AJ270" s="292" t="s">
        <v>96</v>
      </c>
      <c r="AK270" s="15"/>
      <c r="AL270" s="15">
        <f t="shared" si="97"/>
        <v>0</v>
      </c>
      <c r="AM270" s="15"/>
      <c r="AN270" s="15">
        <f t="shared" ca="1" si="98"/>
        <v>0</v>
      </c>
      <c r="AO270" s="15">
        <f t="shared" si="99"/>
        <v>0</v>
      </c>
      <c r="AP270" s="15">
        <f t="shared" si="100"/>
        <v>0</v>
      </c>
      <c r="AQ270" s="15"/>
      <c r="AR270" s="190">
        <f t="shared" si="103"/>
        <v>0</v>
      </c>
      <c r="AS270" s="15"/>
      <c r="AT270" s="190">
        <f t="shared" si="104"/>
        <v>0</v>
      </c>
      <c r="AU270" s="190">
        <f t="shared" si="105"/>
        <v>0</v>
      </c>
      <c r="AV270" s="190">
        <f t="shared" si="106"/>
        <v>0</v>
      </c>
      <c r="AW270" s="190">
        <f t="shared" si="107"/>
        <v>0</v>
      </c>
      <c r="AX270" s="190">
        <f t="shared" si="108"/>
        <v>0</v>
      </c>
      <c r="BP270" s="190"/>
    </row>
    <row r="271" spans="2:68" x14ac:dyDescent="0.25">
      <c r="B271" s="98" t="s">
        <v>111</v>
      </c>
      <c r="C271" s="98">
        <v>2014</v>
      </c>
      <c r="D271" s="98" t="s">
        <v>304</v>
      </c>
      <c r="E271" s="98" t="s">
        <v>4</v>
      </c>
      <c r="F271" s="98" t="s">
        <v>136</v>
      </c>
      <c r="G271" s="98">
        <v>0</v>
      </c>
      <c r="H271" s="299" t="str">
        <f>VLOOKUP(LEFT('Rev Adequacy'!D271,3),'Mapping B'!$D$2:$E$400,2,0)</f>
        <v>N</v>
      </c>
      <c r="I271" s="190"/>
      <c r="J271" s="15" t="s">
        <v>151</v>
      </c>
      <c r="K271" s="190" t="s">
        <v>53</v>
      </c>
      <c r="L271" s="190">
        <f t="shared" si="101"/>
        <v>0</v>
      </c>
      <c r="M271" s="15"/>
      <c r="N271" s="15"/>
      <c r="O271" s="15">
        <f>_xlfn.IFNA(IF(VLOOKUP($J271&amp;O$14,'Mapping A'!$A$6:$G$1011,7,0)=1,$L271,""),0)</f>
        <v>0</v>
      </c>
      <c r="P271" s="15">
        <f>_xlfn.IFNA(IF(VLOOKUP($J271&amp;P$14,'Mapping A'!$A$6:$G$1011,7,0)=1,$L271,""),0)</f>
        <v>0</v>
      </c>
      <c r="Q271" s="15">
        <f>_xlfn.IFNA(IF(VLOOKUP($J271&amp;Q$14,'Mapping A'!$A$6:$G$1011,7,0)=1,$L271,""),0)</f>
        <v>0</v>
      </c>
      <c r="R271" s="15">
        <f>_xlfn.IFNA(IF(VLOOKUP($J271&amp;R$14,'Mapping A'!$A$6:$G$1011,7,0)=1,$L271,""),0)</f>
        <v>0</v>
      </c>
      <c r="S271" s="15">
        <f>_xlfn.IFNA(IF(VLOOKUP($J271&amp;S$14,'Mapping A'!$A$6:$G$1011,7,0)=1,$L271,""),0)</f>
        <v>0</v>
      </c>
      <c r="T271" s="15">
        <f>_xlfn.IFNA(IF(VLOOKUP($J271&amp;T$14,'Mapping A'!$A$6:$G$1011,7,0)=1,$L271,""),0)</f>
        <v>0</v>
      </c>
      <c r="U271" s="15">
        <f>_xlfn.IFNA(IF(VLOOKUP($J271&amp;U$14,'Mapping A'!$A$6:$G$1011,7,0)=1,$L271,""),0)</f>
        <v>0</v>
      </c>
      <c r="V271" s="15">
        <f>_xlfn.IFNA(IF(VLOOKUP($J271&amp;V$14,'Mapping A'!$A$6:$G$1011,7,0)=1,$L271,""),0)</f>
        <v>0</v>
      </c>
      <c r="W271" s="15">
        <f>_xlfn.IFNA(IF(VLOOKUP($J271&amp;W$14,'Mapping A'!$A$6:$G$1011,7,0)=1,$L271,""),0)</f>
        <v>0</v>
      </c>
      <c r="X271" s="15">
        <f>_xlfn.IFNA(IF(VLOOKUP($J271&amp;X$14,'Mapping A'!$A$6:$G$1011,7,0)=1,$L271,""),0)</f>
        <v>0</v>
      </c>
      <c r="Y271" s="15">
        <f>_xlfn.IFNA(IF(VLOOKUP($J271&amp;Y$14,'Mapping A'!$A$6:$G$1011,7,0)=1,$L271,""),0)</f>
        <v>0</v>
      </c>
      <c r="Z271" s="15">
        <f>_xlfn.IFNA(IF(VLOOKUP($J271&amp;Z$14,'Mapping A'!$A$6:$G$1011,7,0)=1,$L271,""),0)</f>
        <v>0</v>
      </c>
      <c r="AA271" s="15">
        <f>_xlfn.IFNA(IF(VLOOKUP($J271&amp;AA$14,'Mapping A'!$A$6:$G$1011,7,0)=1,$L271,""),0)</f>
        <v>0</v>
      </c>
      <c r="AF271" s="155" t="str">
        <f t="shared" si="85"/>
        <v>BDE0111Other</v>
      </c>
      <c r="AG271" s="190" t="s">
        <v>151</v>
      </c>
      <c r="AH271" s="190" t="s">
        <v>53</v>
      </c>
      <c r="AI271" s="190">
        <f t="shared" si="102"/>
        <v>0</v>
      </c>
      <c r="AJ271" s="292" t="s">
        <v>96</v>
      </c>
      <c r="AK271" s="15"/>
      <c r="AL271" s="15">
        <f t="shared" si="97"/>
        <v>0</v>
      </c>
      <c r="AM271" s="15"/>
      <c r="AN271" s="15">
        <f t="shared" ca="1" si="98"/>
        <v>0</v>
      </c>
      <c r="AO271" s="15">
        <f t="shared" si="99"/>
        <v>0</v>
      </c>
      <c r="AP271" s="15">
        <f t="shared" si="100"/>
        <v>0</v>
      </c>
      <c r="AQ271" s="15"/>
      <c r="AR271" s="190">
        <f t="shared" si="103"/>
        <v>0</v>
      </c>
      <c r="AS271" s="15"/>
      <c r="AT271" s="190">
        <f t="shared" si="104"/>
        <v>0</v>
      </c>
      <c r="AU271" s="190">
        <f t="shared" si="105"/>
        <v>0</v>
      </c>
      <c r="AV271" s="190">
        <f t="shared" si="106"/>
        <v>0</v>
      </c>
      <c r="AW271" s="190">
        <f t="shared" si="107"/>
        <v>0</v>
      </c>
      <c r="AX271" s="190">
        <f t="shared" si="108"/>
        <v>0</v>
      </c>
      <c r="BP271" s="190"/>
    </row>
    <row r="272" spans="2:68" x14ac:dyDescent="0.25">
      <c r="B272" s="98" t="s">
        <v>111</v>
      </c>
      <c r="C272" s="98">
        <v>2014</v>
      </c>
      <c r="D272" s="98" t="s">
        <v>315</v>
      </c>
      <c r="E272" s="98" t="s">
        <v>4</v>
      </c>
      <c r="F272" s="98" t="s">
        <v>136</v>
      </c>
      <c r="G272" s="98">
        <v>9501570.9329999797</v>
      </c>
      <c r="H272" s="299" t="str">
        <f>VLOOKUP(LEFT('Rev Adequacy'!D272,3),'Mapping B'!$D$2:$E$400,2,0)</f>
        <v>S</v>
      </c>
      <c r="I272" s="190"/>
      <c r="J272" s="15" t="s">
        <v>151</v>
      </c>
      <c r="K272" s="190" t="s">
        <v>30</v>
      </c>
      <c r="L272" s="190">
        <f t="shared" si="101"/>
        <v>9.1181999999999999</v>
      </c>
      <c r="M272" s="15"/>
      <c r="N272" s="15"/>
      <c r="O272" s="15">
        <f>_xlfn.IFNA(IF(VLOOKUP($J272&amp;O$14,'Mapping A'!$A$6:$G$1011,7,0)=1,$L272,""),0)</f>
        <v>0</v>
      </c>
      <c r="P272" s="15">
        <f>_xlfn.IFNA(IF(VLOOKUP($J272&amp;P$14,'Mapping A'!$A$6:$G$1011,7,0)=1,$L272,""),0)</f>
        <v>0</v>
      </c>
      <c r="Q272" s="15">
        <f>_xlfn.IFNA(IF(VLOOKUP($J272&amp;Q$14,'Mapping A'!$A$6:$G$1011,7,0)=1,$L272,""),0)</f>
        <v>9.1181999999999999</v>
      </c>
      <c r="R272" s="15">
        <f>_xlfn.IFNA(IF(VLOOKUP($J272&amp;R$14,'Mapping A'!$A$6:$G$1011,7,0)=1,$L272,""),0)</f>
        <v>0</v>
      </c>
      <c r="S272" s="15">
        <f>_xlfn.IFNA(IF(VLOOKUP($J272&amp;S$14,'Mapping A'!$A$6:$G$1011,7,0)=1,$L272,""),0)</f>
        <v>0</v>
      </c>
      <c r="T272" s="15">
        <f>_xlfn.IFNA(IF(VLOOKUP($J272&amp;T$14,'Mapping A'!$A$6:$G$1011,7,0)=1,$L272,""),0)</f>
        <v>0</v>
      </c>
      <c r="U272" s="15">
        <f>_xlfn.IFNA(IF(VLOOKUP($J272&amp;U$14,'Mapping A'!$A$6:$G$1011,7,0)=1,$L272,""),0)</f>
        <v>0</v>
      </c>
      <c r="V272" s="15">
        <f>_xlfn.IFNA(IF(VLOOKUP($J272&amp;V$14,'Mapping A'!$A$6:$G$1011,7,0)=1,$L272,""),0)</f>
        <v>0</v>
      </c>
      <c r="W272" s="15">
        <f>_xlfn.IFNA(IF(VLOOKUP($J272&amp;W$14,'Mapping A'!$A$6:$G$1011,7,0)=1,$L272,""),0)</f>
        <v>0</v>
      </c>
      <c r="X272" s="15">
        <f>_xlfn.IFNA(IF(VLOOKUP($J272&amp;X$14,'Mapping A'!$A$6:$G$1011,7,0)=1,$L272,""),0)</f>
        <v>0</v>
      </c>
      <c r="Y272" s="15">
        <f>_xlfn.IFNA(IF(VLOOKUP($J272&amp;Y$14,'Mapping A'!$A$6:$G$1011,7,0)=1,$L272,""),0)</f>
        <v>0</v>
      </c>
      <c r="Z272" s="15">
        <f>_xlfn.IFNA(IF(VLOOKUP($J272&amp;Z$14,'Mapping A'!$A$6:$G$1011,7,0)=1,$L272,""),0)</f>
        <v>0</v>
      </c>
      <c r="AA272" s="15">
        <f>_xlfn.IFNA(IF(VLOOKUP($J272&amp;AA$14,'Mapping A'!$A$6:$G$1011,7,0)=1,$L272,""),0)</f>
        <v>0</v>
      </c>
      <c r="AF272" s="155" t="str">
        <f t="shared" si="85"/>
        <v>BDE0111Rayonier</v>
      </c>
      <c r="AG272" s="190" t="s">
        <v>151</v>
      </c>
      <c r="AH272" s="190" t="s">
        <v>30</v>
      </c>
      <c r="AI272" s="190">
        <f t="shared" si="102"/>
        <v>9.1181999999999999</v>
      </c>
      <c r="AJ272" s="292" t="s">
        <v>96</v>
      </c>
      <c r="AK272" s="15"/>
      <c r="AL272" s="15">
        <f t="shared" si="97"/>
        <v>0</v>
      </c>
      <c r="AM272" s="15"/>
      <c r="AN272" s="15">
        <f t="shared" ca="1" si="98"/>
        <v>0</v>
      </c>
      <c r="AO272" s="15">
        <f t="shared" si="99"/>
        <v>0</v>
      </c>
      <c r="AP272" s="15">
        <f t="shared" si="100"/>
        <v>0</v>
      </c>
      <c r="AQ272" s="15"/>
      <c r="AR272" s="190">
        <f t="shared" si="103"/>
        <v>0</v>
      </c>
      <c r="AS272" s="15"/>
      <c r="AT272" s="190">
        <f t="shared" si="104"/>
        <v>0</v>
      </c>
      <c r="AU272" s="190">
        <f t="shared" si="105"/>
        <v>0</v>
      </c>
      <c r="AV272" s="190">
        <f t="shared" si="106"/>
        <v>0</v>
      </c>
      <c r="AW272" s="190">
        <f t="shared" si="107"/>
        <v>0</v>
      </c>
      <c r="AX272" s="190">
        <f t="shared" si="108"/>
        <v>0</v>
      </c>
      <c r="BP272" s="190"/>
    </row>
    <row r="273" spans="2:68" x14ac:dyDescent="0.25">
      <c r="B273" s="98" t="s">
        <v>111</v>
      </c>
      <c r="C273" s="98">
        <v>2014</v>
      </c>
      <c r="D273" s="98" t="s">
        <v>316</v>
      </c>
      <c r="E273" s="98" t="s">
        <v>4</v>
      </c>
      <c r="F273" s="98" t="s">
        <v>136</v>
      </c>
      <c r="G273" s="98">
        <v>23010327.866999902</v>
      </c>
      <c r="H273" s="299" t="str">
        <f>VLOOKUP(LEFT('Rev Adequacy'!D273,3),'Mapping B'!$D$2:$E$400,2,0)</f>
        <v>S</v>
      </c>
      <c r="I273" s="190"/>
      <c r="J273" s="15" t="s">
        <v>923</v>
      </c>
      <c r="K273" s="190" t="s">
        <v>14</v>
      </c>
      <c r="L273" s="190">
        <f t="shared" si="101"/>
        <v>8.2928999999999995</v>
      </c>
      <c r="M273" s="15"/>
      <c r="N273" s="15"/>
      <c r="O273" s="15">
        <f>_xlfn.IFNA(IF(VLOOKUP($J273&amp;O$14,'Mapping A'!$A$6:$G$1011,7,0)=1,$L273,""),0)</f>
        <v>0</v>
      </c>
      <c r="P273" s="15">
        <f>_xlfn.IFNA(IF(VLOOKUP($J273&amp;P$14,'Mapping A'!$A$6:$G$1011,7,0)=1,$L273,""),0)</f>
        <v>0</v>
      </c>
      <c r="Q273" s="15">
        <f>_xlfn.IFNA(IF(VLOOKUP($J273&amp;Q$14,'Mapping A'!$A$6:$G$1011,7,0)=1,$L273,""),0)</f>
        <v>0</v>
      </c>
      <c r="R273" s="15">
        <f>_xlfn.IFNA(IF(VLOOKUP($J273&amp;R$14,'Mapping A'!$A$6:$G$1011,7,0)=1,$L273,""),0)</f>
        <v>0</v>
      </c>
      <c r="S273" s="15">
        <f>_xlfn.IFNA(IF(VLOOKUP($J273&amp;S$14,'Mapping A'!$A$6:$G$1011,7,0)=1,$L273,""),0)</f>
        <v>0</v>
      </c>
      <c r="T273" s="15">
        <f>_xlfn.IFNA(IF(VLOOKUP($J273&amp;T$14,'Mapping A'!$A$6:$G$1011,7,0)=1,$L273,""),0)</f>
        <v>0</v>
      </c>
      <c r="U273" s="15">
        <f>_xlfn.IFNA(IF(VLOOKUP($J273&amp;U$14,'Mapping A'!$A$6:$G$1011,7,0)=1,$L273,""),0)</f>
        <v>0</v>
      </c>
      <c r="V273" s="15">
        <f>_xlfn.IFNA(IF(VLOOKUP($J273&amp;V$14,'Mapping A'!$A$6:$G$1011,7,0)=1,$L273,""),0)</f>
        <v>0</v>
      </c>
      <c r="W273" s="15">
        <f>_xlfn.IFNA(IF(VLOOKUP($J273&amp;W$14,'Mapping A'!$A$6:$G$1011,7,0)=1,$L273,""),0)</f>
        <v>0</v>
      </c>
      <c r="X273" s="15">
        <f>_xlfn.IFNA(IF(VLOOKUP($J273&amp;X$14,'Mapping A'!$A$6:$G$1011,7,0)=1,$L273,""),0)</f>
        <v>0</v>
      </c>
      <c r="Y273" s="15">
        <f>_xlfn.IFNA(IF(VLOOKUP($J273&amp;Y$14,'Mapping A'!$A$6:$G$1011,7,0)=1,$L273,""),0)</f>
        <v>0</v>
      </c>
      <c r="Z273" s="15">
        <f>_xlfn.IFNA(IF(VLOOKUP($J273&amp;Z$14,'Mapping A'!$A$6:$G$1011,7,0)=1,$L273,""),0)</f>
        <v>0</v>
      </c>
      <c r="AA273" s="15">
        <f>_xlfn.IFNA(IF(VLOOKUP($J273&amp;AA$14,'Mapping A'!$A$6:$G$1011,7,0)=1,$L273,""),0)</f>
        <v>0</v>
      </c>
      <c r="AF273" s="155" t="str">
        <f t="shared" si="85"/>
        <v>BEN2202Meridian</v>
      </c>
      <c r="AG273" s="190" t="s">
        <v>923</v>
      </c>
      <c r="AH273" s="190" t="s">
        <v>14</v>
      </c>
      <c r="AI273" s="190">
        <f t="shared" si="102"/>
        <v>8.2928999999999995</v>
      </c>
      <c r="AJ273" s="292" t="s">
        <v>96</v>
      </c>
      <c r="AK273" s="15"/>
      <c r="AL273" s="15">
        <f t="shared" si="97"/>
        <v>0</v>
      </c>
      <c r="AM273" s="15"/>
      <c r="AN273" s="15">
        <f t="shared" ca="1" si="98"/>
        <v>0</v>
      </c>
      <c r="AO273" s="15">
        <f t="shared" si="99"/>
        <v>0</v>
      </c>
      <c r="AP273" s="15">
        <f t="shared" si="100"/>
        <v>0</v>
      </c>
      <c r="AQ273" s="15"/>
      <c r="AR273" s="190">
        <f t="shared" si="103"/>
        <v>0</v>
      </c>
      <c r="AS273" s="15"/>
      <c r="AT273" s="190">
        <f t="shared" si="104"/>
        <v>0</v>
      </c>
      <c r="AU273" s="190">
        <f t="shared" si="105"/>
        <v>0</v>
      </c>
      <c r="AV273" s="190">
        <f t="shared" si="106"/>
        <v>0</v>
      </c>
      <c r="AW273" s="190">
        <f t="shared" si="107"/>
        <v>0</v>
      </c>
      <c r="AX273" s="190">
        <f t="shared" si="108"/>
        <v>0</v>
      </c>
      <c r="BP273" s="190"/>
    </row>
    <row r="274" spans="2:68" x14ac:dyDescent="0.25">
      <c r="B274" s="98" t="s">
        <v>111</v>
      </c>
      <c r="C274" s="98">
        <v>2014</v>
      </c>
      <c r="D274" s="98" t="s">
        <v>321</v>
      </c>
      <c r="E274" s="98" t="s">
        <v>4</v>
      </c>
      <c r="F274" s="98" t="s">
        <v>131</v>
      </c>
      <c r="G274" s="98">
        <v>32077.2219999999</v>
      </c>
      <c r="H274" s="299" t="str">
        <f>VLOOKUP(LEFT('Rev Adequacy'!D274,3),'Mapping B'!$D$2:$E$400,2,0)</f>
        <v>N</v>
      </c>
      <c r="I274" s="190"/>
      <c r="J274" s="15" t="s">
        <v>153</v>
      </c>
      <c r="K274" s="190" t="s">
        <v>13</v>
      </c>
      <c r="L274" s="190">
        <f t="shared" si="101"/>
        <v>76.263600000000011</v>
      </c>
      <c r="M274" s="15"/>
      <c r="N274" s="15"/>
      <c r="O274" s="15">
        <f>_xlfn.IFNA(IF(VLOOKUP($J274&amp;O$14,'Mapping A'!$A$6:$G$1011,7,0)=1,$L274,""),0)</f>
        <v>0</v>
      </c>
      <c r="P274" s="15">
        <f>_xlfn.IFNA(IF(VLOOKUP($J274&amp;P$14,'Mapping A'!$A$6:$G$1011,7,0)=1,$L274,""),0)</f>
        <v>0</v>
      </c>
      <c r="Q274" s="15">
        <f>_xlfn.IFNA(IF(VLOOKUP($J274&amp;Q$14,'Mapping A'!$A$6:$G$1011,7,0)=1,$L274,""),0)</f>
        <v>76.263600000000011</v>
      </c>
      <c r="R274" s="15">
        <f>_xlfn.IFNA(IF(VLOOKUP($J274&amp;R$14,'Mapping A'!$A$6:$G$1011,7,0)=1,$L274,""),0)</f>
        <v>0</v>
      </c>
      <c r="S274" s="15">
        <f>_xlfn.IFNA(IF(VLOOKUP($J274&amp;S$14,'Mapping A'!$A$6:$G$1011,7,0)=1,$L274,""),0)</f>
        <v>0</v>
      </c>
      <c r="T274" s="15">
        <f>_xlfn.IFNA(IF(VLOOKUP($J274&amp;T$14,'Mapping A'!$A$6:$G$1011,7,0)=1,$L274,""),0)</f>
        <v>0</v>
      </c>
      <c r="U274" s="15">
        <f>_xlfn.IFNA(IF(VLOOKUP($J274&amp;U$14,'Mapping A'!$A$6:$G$1011,7,0)=1,$L274,""),0)</f>
        <v>0</v>
      </c>
      <c r="V274" s="15">
        <f>_xlfn.IFNA(IF(VLOOKUP($J274&amp;V$14,'Mapping A'!$A$6:$G$1011,7,0)=1,$L274,""),0)</f>
        <v>0</v>
      </c>
      <c r="W274" s="15">
        <f>_xlfn.IFNA(IF(VLOOKUP($J274&amp;W$14,'Mapping A'!$A$6:$G$1011,7,0)=1,$L274,""),0)</f>
        <v>0</v>
      </c>
      <c r="X274" s="15">
        <f>_xlfn.IFNA(IF(VLOOKUP($J274&amp;X$14,'Mapping A'!$A$6:$G$1011,7,0)=1,$L274,""),0)</f>
        <v>0</v>
      </c>
      <c r="Y274" s="15">
        <f>_xlfn.IFNA(IF(VLOOKUP($J274&amp;Y$14,'Mapping A'!$A$6:$G$1011,7,0)=1,$L274,""),0)</f>
        <v>0</v>
      </c>
      <c r="Z274" s="15">
        <f>_xlfn.IFNA(IF(VLOOKUP($J274&amp;Z$14,'Mapping A'!$A$6:$G$1011,7,0)=1,$L274,""),0)</f>
        <v>0</v>
      </c>
      <c r="AA274" s="15">
        <f>_xlfn.IFNA(IF(VLOOKUP($J274&amp;AA$14,'Mapping A'!$A$6:$G$1011,7,0)=1,$L274,""),0)</f>
        <v>0</v>
      </c>
      <c r="AF274" s="155" t="str">
        <f t="shared" si="85"/>
        <v>BLN0331Marlborough Lines</v>
      </c>
      <c r="AG274" s="190" t="s">
        <v>153</v>
      </c>
      <c r="AH274" s="190" t="s">
        <v>13</v>
      </c>
      <c r="AI274" s="190">
        <f t="shared" si="102"/>
        <v>76.263600000000011</v>
      </c>
      <c r="AJ274" s="292" t="s">
        <v>96</v>
      </c>
      <c r="AK274" s="15"/>
      <c r="AL274" s="15">
        <f t="shared" si="97"/>
        <v>0</v>
      </c>
      <c r="AM274" s="15"/>
      <c r="AN274" s="15">
        <f t="shared" ca="1" si="98"/>
        <v>0</v>
      </c>
      <c r="AO274" s="15">
        <f t="shared" si="99"/>
        <v>0</v>
      </c>
      <c r="AP274" s="15">
        <f t="shared" si="100"/>
        <v>0</v>
      </c>
      <c r="AQ274" s="15"/>
      <c r="AR274" s="190">
        <f t="shared" si="103"/>
        <v>0</v>
      </c>
      <c r="AS274" s="15"/>
      <c r="AT274" s="190">
        <f t="shared" si="104"/>
        <v>0</v>
      </c>
      <c r="AU274" s="190">
        <f t="shared" si="105"/>
        <v>0</v>
      </c>
      <c r="AV274" s="190">
        <f t="shared" si="106"/>
        <v>0</v>
      </c>
      <c r="AW274" s="190">
        <f t="shared" si="107"/>
        <v>0</v>
      </c>
      <c r="AX274" s="190">
        <f t="shared" si="108"/>
        <v>0</v>
      </c>
      <c r="BP274" s="190"/>
    </row>
    <row r="275" spans="2:68" x14ac:dyDescent="0.25">
      <c r="B275" s="98" t="s">
        <v>111</v>
      </c>
      <c r="C275" s="98">
        <v>2014</v>
      </c>
      <c r="D275" s="98" t="s">
        <v>322</v>
      </c>
      <c r="E275" s="98" t="s">
        <v>4</v>
      </c>
      <c r="F275" s="98" t="s">
        <v>136</v>
      </c>
      <c r="G275" s="98">
        <v>0</v>
      </c>
      <c r="H275" s="299" t="str">
        <f>VLOOKUP(LEFT('Rev Adequacy'!D275,3),'Mapping B'!$D$2:$E$400,2,0)</f>
        <v>N</v>
      </c>
      <c r="I275" s="190"/>
      <c r="J275" s="15" t="s">
        <v>154</v>
      </c>
      <c r="K275" s="190" t="s">
        <v>5</v>
      </c>
      <c r="L275" s="190">
        <f t="shared" si="101"/>
        <v>29.406299999999998</v>
      </c>
      <c r="M275" s="15"/>
      <c r="N275" s="15"/>
      <c r="O275" s="15">
        <f>_xlfn.IFNA(IF(VLOOKUP($J275&amp;O$14,'Mapping A'!$A$6:$G$1011,7,0)=1,$L275,""),0)</f>
        <v>0</v>
      </c>
      <c r="P275" s="15">
        <f>_xlfn.IFNA(IF(VLOOKUP($J275&amp;P$14,'Mapping A'!$A$6:$G$1011,7,0)=1,$L275,""),0)</f>
        <v>0</v>
      </c>
      <c r="Q275" s="15">
        <f>_xlfn.IFNA(IF(VLOOKUP($J275&amp;Q$14,'Mapping A'!$A$6:$G$1011,7,0)=1,$L275,""),0)</f>
        <v>0</v>
      </c>
      <c r="R275" s="15">
        <f>_xlfn.IFNA(IF(VLOOKUP($J275&amp;R$14,'Mapping A'!$A$6:$G$1011,7,0)=1,$L275,""),0)</f>
        <v>0</v>
      </c>
      <c r="S275" s="15">
        <f>_xlfn.IFNA(IF(VLOOKUP($J275&amp;S$14,'Mapping A'!$A$6:$G$1011,7,0)=1,$L275,""),0)</f>
        <v>0</v>
      </c>
      <c r="T275" s="15">
        <f>_xlfn.IFNA(IF(VLOOKUP($J275&amp;T$14,'Mapping A'!$A$6:$G$1011,7,0)=1,$L275,""),0)</f>
        <v>29.406299999999998</v>
      </c>
      <c r="U275" s="15">
        <f>_xlfn.IFNA(IF(VLOOKUP($J275&amp;U$14,'Mapping A'!$A$6:$G$1011,7,0)=1,$L275,""),0)</f>
        <v>0</v>
      </c>
      <c r="V275" s="15">
        <f>_xlfn.IFNA(IF(VLOOKUP($J275&amp;V$14,'Mapping A'!$A$6:$G$1011,7,0)=1,$L275,""),0)</f>
        <v>0</v>
      </c>
      <c r="W275" s="15">
        <f>_xlfn.IFNA(IF(VLOOKUP($J275&amp;W$14,'Mapping A'!$A$6:$G$1011,7,0)=1,$L275,""),0)</f>
        <v>0</v>
      </c>
      <c r="X275" s="15">
        <f>_xlfn.IFNA(IF(VLOOKUP($J275&amp;X$14,'Mapping A'!$A$6:$G$1011,7,0)=1,$L275,""),0)</f>
        <v>0</v>
      </c>
      <c r="Y275" s="15">
        <f>_xlfn.IFNA(IF(VLOOKUP($J275&amp;Y$14,'Mapping A'!$A$6:$G$1011,7,0)=1,$L275,""),0)</f>
        <v>0</v>
      </c>
      <c r="Z275" s="15">
        <f>_xlfn.IFNA(IF(VLOOKUP($J275&amp;Z$14,'Mapping A'!$A$6:$G$1011,7,0)=1,$L275,""),0)</f>
        <v>0</v>
      </c>
      <c r="AA275" s="15">
        <f>_xlfn.IFNA(IF(VLOOKUP($J275&amp;AA$14,'Mapping A'!$A$6:$G$1011,7,0)=1,$L275,""),0)</f>
        <v>0</v>
      </c>
      <c r="AF275" s="155" t="str">
        <f t="shared" si="85"/>
        <v>BOB0331Counties Power</v>
      </c>
      <c r="AG275" s="190" t="s">
        <v>154</v>
      </c>
      <c r="AH275" s="190" t="s">
        <v>5</v>
      </c>
      <c r="AI275" s="190">
        <f t="shared" si="102"/>
        <v>29.406299999999998</v>
      </c>
      <c r="AJ275" s="292" t="s">
        <v>95</v>
      </c>
      <c r="AK275" s="15"/>
      <c r="AL275" s="15">
        <f t="shared" si="97"/>
        <v>0</v>
      </c>
      <c r="AM275" s="15"/>
      <c r="AN275" s="15">
        <f t="shared" ca="1" si="98"/>
        <v>0</v>
      </c>
      <c r="AO275" s="15">
        <f t="shared" si="99"/>
        <v>0</v>
      </c>
      <c r="AP275" s="15">
        <f t="shared" si="100"/>
        <v>0</v>
      </c>
      <c r="AQ275" s="15"/>
      <c r="AR275" s="190">
        <f t="shared" si="103"/>
        <v>0</v>
      </c>
      <c r="AS275" s="15"/>
      <c r="AT275" s="190">
        <f t="shared" si="104"/>
        <v>0</v>
      </c>
      <c r="AU275" s="190">
        <f t="shared" si="105"/>
        <v>0</v>
      </c>
      <c r="AV275" s="190">
        <f t="shared" si="106"/>
        <v>0</v>
      </c>
      <c r="AW275" s="190">
        <f t="shared" si="107"/>
        <v>0</v>
      </c>
      <c r="AX275" s="190">
        <f t="shared" si="108"/>
        <v>0</v>
      </c>
      <c r="BP275" s="190"/>
    </row>
    <row r="276" spans="2:68" x14ac:dyDescent="0.25">
      <c r="B276" s="98" t="s">
        <v>111</v>
      </c>
      <c r="C276" s="98">
        <v>2014</v>
      </c>
      <c r="D276" s="98" t="s">
        <v>323</v>
      </c>
      <c r="E276" s="98" t="s">
        <v>4</v>
      </c>
      <c r="F276" s="98" t="s">
        <v>136</v>
      </c>
      <c r="G276" s="98">
        <v>0</v>
      </c>
      <c r="H276" s="299" t="str">
        <f>VLOOKUP(LEFT('Rev Adequacy'!D276,3),'Mapping B'!$D$2:$E$400,2,0)</f>
        <v>N</v>
      </c>
      <c r="I276" s="190"/>
      <c r="J276" s="15" t="s">
        <v>155</v>
      </c>
      <c r="K276" s="190" t="s">
        <v>5</v>
      </c>
      <c r="L276" s="190">
        <f t="shared" si="101"/>
        <v>59.278800000000004</v>
      </c>
      <c r="M276" s="15"/>
      <c r="N276" s="15"/>
      <c r="O276" s="15">
        <f>_xlfn.IFNA(IF(VLOOKUP($J276&amp;O$14,'Mapping A'!$A$6:$G$1011,7,0)=1,$L276,""),0)</f>
        <v>0</v>
      </c>
      <c r="P276" s="15">
        <f>_xlfn.IFNA(IF(VLOOKUP($J276&amp;P$14,'Mapping A'!$A$6:$G$1011,7,0)=1,$L276,""),0)</f>
        <v>0</v>
      </c>
      <c r="Q276" s="15">
        <f>_xlfn.IFNA(IF(VLOOKUP($J276&amp;Q$14,'Mapping A'!$A$6:$G$1011,7,0)=1,$L276,""),0)</f>
        <v>0</v>
      </c>
      <c r="R276" s="15">
        <f>_xlfn.IFNA(IF(VLOOKUP($J276&amp;R$14,'Mapping A'!$A$6:$G$1011,7,0)=1,$L276,""),0)</f>
        <v>0</v>
      </c>
      <c r="S276" s="15">
        <f>_xlfn.IFNA(IF(VLOOKUP($J276&amp;S$14,'Mapping A'!$A$6:$G$1011,7,0)=1,$L276,""),0)</f>
        <v>0</v>
      </c>
      <c r="T276" s="15">
        <f>_xlfn.IFNA(IF(VLOOKUP($J276&amp;T$14,'Mapping A'!$A$6:$G$1011,7,0)=1,$L276,""),0)</f>
        <v>59.278800000000004</v>
      </c>
      <c r="U276" s="15">
        <f>_xlfn.IFNA(IF(VLOOKUP($J276&amp;U$14,'Mapping A'!$A$6:$G$1011,7,0)=1,$L276,""),0)</f>
        <v>0</v>
      </c>
      <c r="V276" s="15">
        <f>_xlfn.IFNA(IF(VLOOKUP($J276&amp;V$14,'Mapping A'!$A$6:$G$1011,7,0)=1,$L276,""),0)</f>
        <v>0</v>
      </c>
      <c r="W276" s="15">
        <f>_xlfn.IFNA(IF(VLOOKUP($J276&amp;W$14,'Mapping A'!$A$6:$G$1011,7,0)=1,$L276,""),0)</f>
        <v>0</v>
      </c>
      <c r="X276" s="15">
        <f>_xlfn.IFNA(IF(VLOOKUP($J276&amp;X$14,'Mapping A'!$A$6:$G$1011,7,0)=1,$L276,""),0)</f>
        <v>0</v>
      </c>
      <c r="Y276" s="15">
        <f>_xlfn.IFNA(IF(VLOOKUP($J276&amp;Y$14,'Mapping A'!$A$6:$G$1011,7,0)=1,$L276,""),0)</f>
        <v>0</v>
      </c>
      <c r="Z276" s="15">
        <f>_xlfn.IFNA(IF(VLOOKUP($J276&amp;Z$14,'Mapping A'!$A$6:$G$1011,7,0)=1,$L276,""),0)</f>
        <v>0</v>
      </c>
      <c r="AA276" s="15">
        <f>_xlfn.IFNA(IF(VLOOKUP($J276&amp;AA$14,'Mapping A'!$A$6:$G$1011,7,0)=1,$L276,""),0)</f>
        <v>0</v>
      </c>
      <c r="AF276" s="155" t="str">
        <f t="shared" si="85"/>
        <v>BOB1101Counties Power</v>
      </c>
      <c r="AG276" s="190" t="s">
        <v>155</v>
      </c>
      <c r="AH276" s="190" t="s">
        <v>5</v>
      </c>
      <c r="AI276" s="190">
        <f t="shared" si="102"/>
        <v>59.278800000000004</v>
      </c>
      <c r="AJ276" s="292" t="s">
        <v>95</v>
      </c>
      <c r="AK276" s="15"/>
      <c r="AL276" s="15">
        <f t="shared" si="97"/>
        <v>0</v>
      </c>
      <c r="AM276" s="15"/>
      <c r="AN276" s="15">
        <f t="shared" ca="1" si="98"/>
        <v>0</v>
      </c>
      <c r="AO276" s="15">
        <f t="shared" si="99"/>
        <v>0</v>
      </c>
      <c r="AP276" s="15">
        <f t="shared" si="100"/>
        <v>0</v>
      </c>
      <c r="AQ276" s="15"/>
      <c r="AR276" s="190">
        <f t="shared" si="103"/>
        <v>0</v>
      </c>
      <c r="AS276" s="15"/>
      <c r="AT276" s="190">
        <f t="shared" si="104"/>
        <v>0</v>
      </c>
      <c r="AU276" s="190">
        <f t="shared" si="105"/>
        <v>0</v>
      </c>
      <c r="AV276" s="190">
        <f t="shared" si="106"/>
        <v>0</v>
      </c>
      <c r="AW276" s="190">
        <f t="shared" si="107"/>
        <v>0</v>
      </c>
      <c r="AX276" s="190">
        <f t="shared" si="108"/>
        <v>0</v>
      </c>
      <c r="BP276" s="190"/>
    </row>
    <row r="277" spans="2:68" x14ac:dyDescent="0.25">
      <c r="B277" s="98" t="s">
        <v>111</v>
      </c>
      <c r="C277" s="98">
        <v>2014</v>
      </c>
      <c r="D277" s="98" t="s">
        <v>324</v>
      </c>
      <c r="E277" s="98" t="s">
        <v>4</v>
      </c>
      <c r="F277" s="98" t="s">
        <v>136</v>
      </c>
      <c r="G277" s="98">
        <v>0</v>
      </c>
      <c r="H277" s="299" t="str">
        <f>VLOOKUP(LEFT('Rev Adequacy'!D277,3),'Mapping B'!$D$2:$E$400,2,0)</f>
        <v>N</v>
      </c>
      <c r="I277" s="190"/>
      <c r="J277" s="190" t="s">
        <v>156</v>
      </c>
      <c r="K277" s="190" t="s">
        <v>0</v>
      </c>
      <c r="L277" s="190">
        <f t="shared" si="101"/>
        <v>10.7898</v>
      </c>
      <c r="M277" s="190"/>
      <c r="N277" s="190"/>
      <c r="O277" s="190">
        <f>_xlfn.IFNA(IF(VLOOKUP($J277&amp;O$14,'Mapping A'!$A$6:$G$1011,7,0)=1,$L277,""),0)</f>
        <v>0</v>
      </c>
      <c r="P277" s="190">
        <f>_xlfn.IFNA(IF(VLOOKUP($J277&amp;P$14,'Mapping A'!$A$6:$G$1011,7,0)=1,$L277,""),0)</f>
        <v>0</v>
      </c>
      <c r="Q277" s="190">
        <f>_xlfn.IFNA(IF(VLOOKUP($J277&amp;Q$14,'Mapping A'!$A$6:$G$1011,7,0)=1,$L277,""),0)</f>
        <v>10.7898</v>
      </c>
      <c r="R277" s="190">
        <f>_xlfn.IFNA(IF(VLOOKUP($J277&amp;R$14,'Mapping A'!$A$6:$G$1011,7,0)=1,$L277,""),0)</f>
        <v>0</v>
      </c>
      <c r="S277" s="190">
        <f>_xlfn.IFNA(IF(VLOOKUP($J277&amp;S$14,'Mapping A'!$A$6:$G$1011,7,0)=1,$L277,""),0)</f>
        <v>0</v>
      </c>
      <c r="T277" s="190">
        <f>_xlfn.IFNA(IF(VLOOKUP($J277&amp;T$14,'Mapping A'!$A$6:$G$1011,7,0)=1,$L277,""),0)</f>
        <v>0</v>
      </c>
      <c r="U277" s="190">
        <f>_xlfn.IFNA(IF(VLOOKUP($J277&amp;U$14,'Mapping A'!$A$6:$G$1011,7,0)=1,$L277,""),0)</f>
        <v>0</v>
      </c>
      <c r="V277" s="190">
        <f>_xlfn.IFNA(IF(VLOOKUP($J277&amp;V$14,'Mapping A'!$A$6:$G$1011,7,0)=1,$L277,""),0)</f>
        <v>0</v>
      </c>
      <c r="W277" s="190">
        <f>_xlfn.IFNA(IF(VLOOKUP($J277&amp;W$14,'Mapping A'!$A$6:$G$1011,7,0)=1,$L277,""),0)</f>
        <v>0</v>
      </c>
      <c r="X277" s="190">
        <f>_xlfn.IFNA(IF(VLOOKUP($J277&amp;X$14,'Mapping A'!$A$6:$G$1011,7,0)=1,$L277,""),0)</f>
        <v>0</v>
      </c>
      <c r="Y277" s="190">
        <f>_xlfn.IFNA(IF(VLOOKUP($J277&amp;Y$14,'Mapping A'!$A$6:$G$1011,7,0)=1,$L277,""),0)</f>
        <v>0</v>
      </c>
      <c r="Z277" s="190">
        <f>_xlfn.IFNA(IF(VLOOKUP($J277&amp;Z$14,'Mapping A'!$A$6:$G$1011,7,0)=1,$L277,""),0)</f>
        <v>0</v>
      </c>
      <c r="AA277" s="190">
        <f>_xlfn.IFNA(IF(VLOOKUP($J277&amp;AA$14,'Mapping A'!$A$6:$G$1011,7,0)=1,$L277,""),0)</f>
        <v>0</v>
      </c>
      <c r="AB277" s="190"/>
      <c r="AC277" s="190"/>
      <c r="AF277" s="155" t="str">
        <f t="shared" si="85"/>
        <v>BPD1101Alpine Energy</v>
      </c>
      <c r="AG277" s="190" t="s">
        <v>156</v>
      </c>
      <c r="AH277" s="190" t="s">
        <v>0</v>
      </c>
      <c r="AI277" s="190">
        <f t="shared" si="102"/>
        <v>10.7898</v>
      </c>
      <c r="AJ277" s="292" t="s">
        <v>96</v>
      </c>
      <c r="AK277" s="190"/>
      <c r="AL277" s="190">
        <f t="shared" si="97"/>
        <v>0</v>
      </c>
      <c r="AM277" s="190"/>
      <c r="AN277" s="190">
        <f t="shared" ca="1" si="98"/>
        <v>0</v>
      </c>
      <c r="AO277" s="190">
        <f t="shared" si="99"/>
        <v>0</v>
      </c>
      <c r="AP277" s="190">
        <f t="shared" si="100"/>
        <v>0</v>
      </c>
      <c r="AQ277" s="190"/>
      <c r="AR277" s="190">
        <f t="shared" si="103"/>
        <v>0</v>
      </c>
      <c r="AS277" s="190"/>
      <c r="AT277" s="190">
        <f t="shared" si="104"/>
        <v>0</v>
      </c>
      <c r="AU277" s="190">
        <f t="shared" si="105"/>
        <v>0</v>
      </c>
      <c r="AV277" s="190">
        <f t="shared" si="106"/>
        <v>0</v>
      </c>
      <c r="AW277" s="190">
        <f t="shared" si="107"/>
        <v>0</v>
      </c>
      <c r="AX277" s="190">
        <f t="shared" si="108"/>
        <v>0</v>
      </c>
      <c r="BP277" s="190"/>
    </row>
    <row r="278" spans="2:68" x14ac:dyDescent="0.25">
      <c r="B278" s="98" t="s">
        <v>111</v>
      </c>
      <c r="C278" s="98">
        <v>2014</v>
      </c>
      <c r="D278" s="98" t="s">
        <v>336</v>
      </c>
      <c r="E278" s="98" t="s">
        <v>4</v>
      </c>
      <c r="F278" s="98" t="s">
        <v>131</v>
      </c>
      <c r="G278" s="98">
        <v>14123.777</v>
      </c>
      <c r="H278" s="299" t="str">
        <f>VLOOKUP(LEFT('Rev Adequacy'!D278,3),'Mapping B'!$D$2:$E$400,2,0)</f>
        <v>N</v>
      </c>
      <c r="I278" s="190"/>
      <c r="J278" s="15" t="s">
        <v>157</v>
      </c>
      <c r="K278" s="190" t="s">
        <v>28</v>
      </c>
      <c r="L278" s="190">
        <f t="shared" si="101"/>
        <v>97.179600000000008</v>
      </c>
      <c r="M278" s="15"/>
      <c r="N278" s="15"/>
      <c r="O278" s="15">
        <f>_xlfn.IFNA(IF(VLOOKUP($J278&amp;O$14,'Mapping A'!$A$6:$G$1011,7,0)=1,$L278,""),0)</f>
        <v>0</v>
      </c>
      <c r="P278" s="15">
        <f>_xlfn.IFNA(IF(VLOOKUP($J278&amp;P$14,'Mapping A'!$A$6:$G$1011,7,0)=1,$L278,""),0)</f>
        <v>0</v>
      </c>
      <c r="Q278" s="15">
        <f>_xlfn.IFNA(IF(VLOOKUP($J278&amp;Q$14,'Mapping A'!$A$6:$G$1011,7,0)=1,$L278,""),0)</f>
        <v>0</v>
      </c>
      <c r="R278" s="15">
        <f>_xlfn.IFNA(IF(VLOOKUP($J278&amp;R$14,'Mapping A'!$A$6:$G$1011,7,0)=1,$L278,""),0)</f>
        <v>0</v>
      </c>
      <c r="S278" s="15">
        <f>_xlfn.IFNA(IF(VLOOKUP($J278&amp;S$14,'Mapping A'!$A$6:$G$1011,7,0)=1,$L278,""),0)</f>
        <v>0</v>
      </c>
      <c r="T278" s="15">
        <f>_xlfn.IFNA(IF(VLOOKUP($J278&amp;T$14,'Mapping A'!$A$6:$G$1011,7,0)=1,$L278,""),0)</f>
        <v>0</v>
      </c>
      <c r="U278" s="15">
        <f>_xlfn.IFNA(IF(VLOOKUP($J278&amp;U$14,'Mapping A'!$A$6:$G$1011,7,0)=1,$L278,""),0)</f>
        <v>0</v>
      </c>
      <c r="V278" s="15">
        <f>_xlfn.IFNA(IF(VLOOKUP($J278&amp;V$14,'Mapping A'!$A$6:$G$1011,7,0)=1,$L278,""),0)</f>
        <v>0</v>
      </c>
      <c r="W278" s="15">
        <f>_xlfn.IFNA(IF(VLOOKUP($J278&amp;W$14,'Mapping A'!$A$6:$G$1011,7,0)=1,$L278,""),0)</f>
        <v>0</v>
      </c>
      <c r="X278" s="15">
        <f>_xlfn.IFNA(IF(VLOOKUP($J278&amp;X$14,'Mapping A'!$A$6:$G$1011,7,0)=1,$L278,""),0)</f>
        <v>0</v>
      </c>
      <c r="Y278" s="15">
        <f>_xlfn.IFNA(IF(VLOOKUP($J278&amp;Y$14,'Mapping A'!$A$6:$G$1011,7,0)=1,$L278,""),0)</f>
        <v>0</v>
      </c>
      <c r="Z278" s="15">
        <f>_xlfn.IFNA(IF(VLOOKUP($J278&amp;Z$14,'Mapping A'!$A$6:$G$1011,7,0)=1,$L278,""),0)</f>
        <v>0</v>
      </c>
      <c r="AA278" s="15">
        <f>_xlfn.IFNA(IF(VLOOKUP($J278&amp;AA$14,'Mapping A'!$A$6:$G$1011,7,0)=1,$L278,""),0)</f>
        <v>0</v>
      </c>
      <c r="AF278" s="155" t="str">
        <f t="shared" si="85"/>
        <v>BPE0331Powerco</v>
      </c>
      <c r="AG278" s="190" t="s">
        <v>157</v>
      </c>
      <c r="AH278" s="190" t="s">
        <v>28</v>
      </c>
      <c r="AI278" s="190">
        <f t="shared" si="102"/>
        <v>97.179600000000008</v>
      </c>
      <c r="AJ278" s="292" t="s">
        <v>95</v>
      </c>
      <c r="AK278" s="15"/>
      <c r="AL278" s="15">
        <f t="shared" si="97"/>
        <v>0</v>
      </c>
      <c r="AM278" s="15"/>
      <c r="AN278" s="15">
        <f t="shared" ca="1" si="98"/>
        <v>0</v>
      </c>
      <c r="AO278" s="15">
        <f t="shared" si="99"/>
        <v>0</v>
      </c>
      <c r="AP278" s="15">
        <f t="shared" si="100"/>
        <v>0</v>
      </c>
      <c r="AQ278" s="15"/>
      <c r="AR278" s="190">
        <f t="shared" si="103"/>
        <v>0</v>
      </c>
      <c r="AS278" s="15"/>
      <c r="AT278" s="190">
        <f t="shared" si="104"/>
        <v>0</v>
      </c>
      <c r="AU278" s="190">
        <f t="shared" si="105"/>
        <v>0</v>
      </c>
      <c r="AV278" s="190">
        <f t="shared" si="106"/>
        <v>0</v>
      </c>
      <c r="AW278" s="190">
        <f t="shared" si="107"/>
        <v>0</v>
      </c>
      <c r="AX278" s="190">
        <f t="shared" si="108"/>
        <v>0</v>
      </c>
      <c r="BP278" s="190"/>
    </row>
    <row r="279" spans="2:68" x14ac:dyDescent="0.25">
      <c r="B279" s="98" t="s">
        <v>111</v>
      </c>
      <c r="C279" s="98">
        <v>2014</v>
      </c>
      <c r="D279" s="98" t="s">
        <v>337</v>
      </c>
      <c r="E279" s="98" t="s">
        <v>4</v>
      </c>
      <c r="F279" s="98" t="s">
        <v>136</v>
      </c>
      <c r="G279" s="98">
        <v>0</v>
      </c>
      <c r="H279" s="299" t="str">
        <f>VLOOKUP(LEFT('Rev Adequacy'!D279,3),'Mapping B'!$D$2:$E$400,2,0)</f>
        <v>N</v>
      </c>
      <c r="I279" s="190"/>
      <c r="J279" s="15" t="s">
        <v>159</v>
      </c>
      <c r="K279" s="190" t="s">
        <v>51</v>
      </c>
      <c r="L279" s="190">
        <f t="shared" si="101"/>
        <v>5.9535</v>
      </c>
      <c r="M279" s="15"/>
      <c r="N279" s="15"/>
      <c r="O279" s="15">
        <f>_xlfn.IFNA(IF(VLOOKUP($J279&amp;O$14,'Mapping A'!$A$6:$G$1011,7,0)=1,$L279,""),0)</f>
        <v>0</v>
      </c>
      <c r="P279" s="15">
        <f>_xlfn.IFNA(IF(VLOOKUP($J279&amp;P$14,'Mapping A'!$A$6:$G$1011,7,0)=1,$L279,""),0)</f>
        <v>0</v>
      </c>
      <c r="Q279" s="15">
        <f>_xlfn.IFNA(IF(VLOOKUP($J279&amp;Q$14,'Mapping A'!$A$6:$G$1011,7,0)=1,$L279,""),0)</f>
        <v>0</v>
      </c>
      <c r="R279" s="15">
        <f>_xlfn.IFNA(IF(VLOOKUP($J279&amp;R$14,'Mapping A'!$A$6:$G$1011,7,0)=1,$L279,""),0)</f>
        <v>0</v>
      </c>
      <c r="S279" s="15">
        <f>_xlfn.IFNA(IF(VLOOKUP($J279&amp;S$14,'Mapping A'!$A$6:$G$1011,7,0)=1,$L279,""),0)</f>
        <v>0</v>
      </c>
      <c r="T279" s="15">
        <f>_xlfn.IFNA(IF(VLOOKUP($J279&amp;T$14,'Mapping A'!$A$6:$G$1011,7,0)=1,$L279,""),0)</f>
        <v>0</v>
      </c>
      <c r="U279" s="15">
        <f>_xlfn.IFNA(IF(VLOOKUP($J279&amp;U$14,'Mapping A'!$A$6:$G$1011,7,0)=1,$L279,""),0)</f>
        <v>0</v>
      </c>
      <c r="V279" s="15">
        <f>_xlfn.IFNA(IF(VLOOKUP($J279&amp;V$14,'Mapping A'!$A$6:$G$1011,7,0)=1,$L279,""),0)</f>
        <v>0</v>
      </c>
      <c r="W279" s="15">
        <f>_xlfn.IFNA(IF(VLOOKUP($J279&amp;W$14,'Mapping A'!$A$6:$G$1011,7,0)=1,$L279,""),0)</f>
        <v>0</v>
      </c>
      <c r="X279" s="15">
        <f>_xlfn.IFNA(IF(VLOOKUP($J279&amp;X$14,'Mapping A'!$A$6:$G$1011,7,0)=1,$L279,""),0)</f>
        <v>0</v>
      </c>
      <c r="Y279" s="15">
        <f>_xlfn.IFNA(IF(VLOOKUP($J279&amp;Y$14,'Mapping A'!$A$6:$G$1011,7,0)=1,$L279,""),0)</f>
        <v>0</v>
      </c>
      <c r="Z279" s="15">
        <f>_xlfn.IFNA(IF(VLOOKUP($J279&amp;Z$14,'Mapping A'!$A$6:$G$1011,7,0)=1,$L279,""),0)</f>
        <v>0</v>
      </c>
      <c r="AA279" s="15">
        <f>_xlfn.IFNA(IF(VLOOKUP($J279&amp;AA$14,'Mapping A'!$A$6:$G$1011,7,0)=1,$L279,""),0)</f>
        <v>0</v>
      </c>
      <c r="AF279" s="155" t="str">
        <f t="shared" si="85"/>
        <v>BPE0551Kiwirail</v>
      </c>
      <c r="AG279" s="190" t="s">
        <v>159</v>
      </c>
      <c r="AH279" s="190" t="s">
        <v>51</v>
      </c>
      <c r="AI279" s="190">
        <f t="shared" si="102"/>
        <v>5.9535</v>
      </c>
      <c r="AJ279" s="292" t="s">
        <v>95</v>
      </c>
      <c r="AK279" s="15"/>
      <c r="AL279" s="15">
        <f t="shared" si="97"/>
        <v>0</v>
      </c>
      <c r="AM279" s="15"/>
      <c r="AN279" s="15">
        <f t="shared" ca="1" si="98"/>
        <v>0</v>
      </c>
      <c r="AO279" s="15">
        <f t="shared" si="99"/>
        <v>0</v>
      </c>
      <c r="AP279" s="15">
        <f t="shared" si="100"/>
        <v>0</v>
      </c>
      <c r="AQ279" s="15"/>
      <c r="AR279" s="190">
        <f t="shared" si="103"/>
        <v>0</v>
      </c>
      <c r="AS279" s="15"/>
      <c r="AT279" s="190">
        <f t="shared" si="104"/>
        <v>0</v>
      </c>
      <c r="AU279" s="190">
        <f t="shared" si="105"/>
        <v>0</v>
      </c>
      <c r="AV279" s="190">
        <f t="shared" si="106"/>
        <v>0</v>
      </c>
      <c r="AW279" s="190">
        <f t="shared" si="107"/>
        <v>0</v>
      </c>
      <c r="AX279" s="190">
        <f t="shared" si="108"/>
        <v>0</v>
      </c>
      <c r="BP279" s="190"/>
    </row>
    <row r="280" spans="2:68" x14ac:dyDescent="0.25">
      <c r="B280" s="98" t="s">
        <v>111</v>
      </c>
      <c r="C280" s="98">
        <v>2014</v>
      </c>
      <c r="D280" s="98" t="s">
        <v>338</v>
      </c>
      <c r="E280" s="98" t="s">
        <v>4</v>
      </c>
      <c r="F280" s="98" t="s">
        <v>136</v>
      </c>
      <c r="G280" s="98">
        <v>0</v>
      </c>
      <c r="H280" s="299" t="str">
        <f>VLOOKUP(LEFT('Rev Adequacy'!D280,3),'Mapping B'!$D$2:$E$400,2,0)</f>
        <v>N</v>
      </c>
      <c r="I280" s="190"/>
      <c r="J280" s="15" t="s">
        <v>160</v>
      </c>
      <c r="K280" s="190" t="s">
        <v>20</v>
      </c>
      <c r="L280" s="190">
        <f t="shared" si="101"/>
        <v>11.4366</v>
      </c>
      <c r="M280" s="15"/>
      <c r="N280" s="15"/>
      <c r="O280" s="15">
        <f>_xlfn.IFNA(IF(VLOOKUP($J280&amp;O$14,'Mapping A'!$A$6:$G$1011,7,0)=1,$L280,""),0)</f>
        <v>0</v>
      </c>
      <c r="P280" s="15">
        <f>_xlfn.IFNA(IF(VLOOKUP($J280&amp;P$14,'Mapping A'!$A$6:$G$1011,7,0)=1,$L280,""),0)</f>
        <v>0</v>
      </c>
      <c r="Q280" s="15">
        <f>_xlfn.IFNA(IF(VLOOKUP($J280&amp;Q$14,'Mapping A'!$A$6:$G$1011,7,0)=1,$L280,""),0)</f>
        <v>11.4366</v>
      </c>
      <c r="R280" s="15">
        <f>_xlfn.IFNA(IF(VLOOKUP($J280&amp;R$14,'Mapping A'!$A$6:$G$1011,7,0)=1,$L280,""),0)</f>
        <v>0</v>
      </c>
      <c r="S280" s="15">
        <f>_xlfn.IFNA(IF(VLOOKUP($J280&amp;S$14,'Mapping A'!$A$6:$G$1011,7,0)=1,$L280,""),0)</f>
        <v>0</v>
      </c>
      <c r="T280" s="15">
        <f>_xlfn.IFNA(IF(VLOOKUP($J280&amp;T$14,'Mapping A'!$A$6:$G$1011,7,0)=1,$L280,""),0)</f>
        <v>0</v>
      </c>
      <c r="U280" s="15">
        <f>_xlfn.IFNA(IF(VLOOKUP($J280&amp;U$14,'Mapping A'!$A$6:$G$1011,7,0)=1,$L280,""),0)</f>
        <v>0</v>
      </c>
      <c r="V280" s="15">
        <f>_xlfn.IFNA(IF(VLOOKUP($J280&amp;V$14,'Mapping A'!$A$6:$G$1011,7,0)=1,$L280,""),0)</f>
        <v>0</v>
      </c>
      <c r="W280" s="15">
        <f>_xlfn.IFNA(IF(VLOOKUP($J280&amp;W$14,'Mapping A'!$A$6:$G$1011,7,0)=1,$L280,""),0)</f>
        <v>0</v>
      </c>
      <c r="X280" s="15">
        <f>_xlfn.IFNA(IF(VLOOKUP($J280&amp;X$14,'Mapping A'!$A$6:$G$1011,7,0)=1,$L280,""),0)</f>
        <v>0</v>
      </c>
      <c r="Y280" s="15">
        <f>_xlfn.IFNA(IF(VLOOKUP($J280&amp;Y$14,'Mapping A'!$A$6:$G$1011,7,0)=1,$L280,""),0)</f>
        <v>0</v>
      </c>
      <c r="Z280" s="15">
        <f>_xlfn.IFNA(IF(VLOOKUP($J280&amp;Z$14,'Mapping A'!$A$6:$G$1011,7,0)=1,$L280,""),0)</f>
        <v>0</v>
      </c>
      <c r="AA280" s="15">
        <f>_xlfn.IFNA(IF(VLOOKUP($J280&amp;AA$14,'Mapping A'!$A$6:$G$1011,7,0)=1,$L280,""),0)</f>
        <v>0</v>
      </c>
      <c r="AF280" s="155" t="str">
        <f t="shared" si="85"/>
        <v>BPT1101Network Waitaki</v>
      </c>
      <c r="AG280" s="190" t="s">
        <v>160</v>
      </c>
      <c r="AH280" s="190" t="s">
        <v>20</v>
      </c>
      <c r="AI280" s="190">
        <f t="shared" si="102"/>
        <v>11.4366</v>
      </c>
      <c r="AJ280" s="292" t="s">
        <v>96</v>
      </c>
      <c r="AK280" s="15"/>
      <c r="AL280" s="15">
        <f t="shared" si="97"/>
        <v>0</v>
      </c>
      <c r="AM280" s="15"/>
      <c r="AN280" s="15">
        <f t="shared" ca="1" si="98"/>
        <v>0</v>
      </c>
      <c r="AO280" s="15">
        <f t="shared" si="99"/>
        <v>0</v>
      </c>
      <c r="AP280" s="15">
        <f t="shared" si="100"/>
        <v>0</v>
      </c>
      <c r="AQ280" s="15"/>
      <c r="AR280" s="190">
        <f t="shared" si="103"/>
        <v>0</v>
      </c>
      <c r="AS280" s="15"/>
      <c r="AT280" s="190">
        <f t="shared" si="104"/>
        <v>0</v>
      </c>
      <c r="AU280" s="190">
        <f t="shared" si="105"/>
        <v>0</v>
      </c>
      <c r="AV280" s="190">
        <f t="shared" si="106"/>
        <v>0</v>
      </c>
      <c r="AW280" s="190">
        <f t="shared" si="107"/>
        <v>0</v>
      </c>
      <c r="AX280" s="190">
        <f t="shared" si="108"/>
        <v>0</v>
      </c>
      <c r="BP280" s="190"/>
    </row>
    <row r="281" spans="2:68" x14ac:dyDescent="0.25">
      <c r="B281" s="98" t="s">
        <v>111</v>
      </c>
      <c r="C281" s="98">
        <v>2014</v>
      </c>
      <c r="D281" s="98" t="s">
        <v>359</v>
      </c>
      <c r="E281" s="98" t="s">
        <v>4</v>
      </c>
      <c r="F281" s="98" t="s">
        <v>136</v>
      </c>
      <c r="G281" s="98">
        <v>0</v>
      </c>
      <c r="H281" s="299" t="str">
        <f>VLOOKUP(LEFT('Rev Adequacy'!D281,3),'Mapping B'!$D$2:$E$400,2,0)</f>
        <v>N</v>
      </c>
      <c r="I281" s="190"/>
      <c r="J281" s="15" t="s">
        <v>161</v>
      </c>
      <c r="K281" s="190" t="s">
        <v>23</v>
      </c>
      <c r="L281" s="190">
        <f t="shared" si="101"/>
        <v>13.4841</v>
      </c>
      <c r="M281" s="15"/>
      <c r="N281" s="15"/>
      <c r="O281" s="15">
        <f>_xlfn.IFNA(IF(VLOOKUP($J281&amp;O$14,'Mapping A'!$A$6:$G$1011,7,0)=1,$L281,""),0)</f>
        <v>0</v>
      </c>
      <c r="P281" s="15">
        <f>_xlfn.IFNA(IF(VLOOKUP($J281&amp;P$14,'Mapping A'!$A$6:$G$1011,7,0)=1,$L281,""),0)</f>
        <v>0</v>
      </c>
      <c r="Q281" s="15">
        <f>_xlfn.IFNA(IF(VLOOKUP($J281&amp;Q$14,'Mapping A'!$A$6:$G$1011,7,0)=1,$L281,""),0)</f>
        <v>0</v>
      </c>
      <c r="R281" s="15">
        <f>_xlfn.IFNA(IF(VLOOKUP($J281&amp;R$14,'Mapping A'!$A$6:$G$1011,7,0)=1,$L281,""),0)</f>
        <v>0</v>
      </c>
      <c r="S281" s="15">
        <f>_xlfn.IFNA(IF(VLOOKUP($J281&amp;S$14,'Mapping A'!$A$6:$G$1011,7,0)=1,$L281,""),0)</f>
        <v>0</v>
      </c>
      <c r="T281" s="15">
        <f>_xlfn.IFNA(IF(VLOOKUP($J281&amp;T$14,'Mapping A'!$A$6:$G$1011,7,0)=1,$L281,""),0)</f>
        <v>13.4841</v>
      </c>
      <c r="U281" s="15">
        <f>_xlfn.IFNA(IF(VLOOKUP($J281&amp;U$14,'Mapping A'!$A$6:$G$1011,7,0)=1,$L281,""),0)</f>
        <v>0</v>
      </c>
      <c r="V281" s="15">
        <f>_xlfn.IFNA(IF(VLOOKUP($J281&amp;V$14,'Mapping A'!$A$6:$G$1011,7,0)=1,$L281,""),0)</f>
        <v>0</v>
      </c>
      <c r="W281" s="15">
        <f>_xlfn.IFNA(IF(VLOOKUP($J281&amp;W$14,'Mapping A'!$A$6:$G$1011,7,0)=1,$L281,""),0)</f>
        <v>0</v>
      </c>
      <c r="X281" s="15">
        <f>_xlfn.IFNA(IF(VLOOKUP($J281&amp;X$14,'Mapping A'!$A$6:$G$1011,7,0)=1,$L281,""),0)</f>
        <v>0</v>
      </c>
      <c r="Y281" s="15">
        <f>_xlfn.IFNA(IF(VLOOKUP($J281&amp;Y$14,'Mapping A'!$A$6:$G$1011,7,0)=1,$L281,""),0)</f>
        <v>0</v>
      </c>
      <c r="Z281" s="15">
        <f>_xlfn.IFNA(IF(VLOOKUP($J281&amp;Z$14,'Mapping A'!$A$6:$G$1011,7,0)=1,$L281,""),0)</f>
        <v>0</v>
      </c>
      <c r="AA281" s="15">
        <f>_xlfn.IFNA(IF(VLOOKUP($J281&amp;AA$14,'Mapping A'!$A$6:$G$1011,7,0)=1,$L281,""),0)</f>
        <v>0</v>
      </c>
      <c r="AF281" s="155" t="str">
        <f t="shared" si="85"/>
        <v>BRB0331Northpower</v>
      </c>
      <c r="AG281" s="190" t="s">
        <v>161</v>
      </c>
      <c r="AH281" s="190" t="s">
        <v>23</v>
      </c>
      <c r="AI281" s="190">
        <f t="shared" si="102"/>
        <v>13.4841</v>
      </c>
      <c r="AJ281" s="292" t="s">
        <v>95</v>
      </c>
      <c r="AK281" s="15"/>
      <c r="AL281" s="15">
        <f t="shared" si="97"/>
        <v>0</v>
      </c>
      <c r="AM281" s="15"/>
      <c r="AN281" s="15">
        <f t="shared" ca="1" si="98"/>
        <v>0</v>
      </c>
      <c r="AO281" s="15">
        <f t="shared" si="99"/>
        <v>0</v>
      </c>
      <c r="AP281" s="15">
        <f t="shared" si="100"/>
        <v>0</v>
      </c>
      <c r="AQ281" s="15"/>
      <c r="AR281" s="190">
        <f t="shared" si="103"/>
        <v>0</v>
      </c>
      <c r="AS281" s="15"/>
      <c r="AT281" s="190">
        <f t="shared" si="104"/>
        <v>0</v>
      </c>
      <c r="AU281" s="190">
        <f t="shared" si="105"/>
        <v>0</v>
      </c>
      <c r="AV281" s="190">
        <f t="shared" si="106"/>
        <v>0</v>
      </c>
      <c r="AW281" s="190">
        <f t="shared" si="107"/>
        <v>0</v>
      </c>
      <c r="AX281" s="190">
        <f t="shared" si="108"/>
        <v>0</v>
      </c>
      <c r="BP281" s="190"/>
    </row>
    <row r="282" spans="2:68" x14ac:dyDescent="0.25">
      <c r="B282" s="98" t="s">
        <v>111</v>
      </c>
      <c r="C282" s="98">
        <v>2014</v>
      </c>
      <c r="D282" s="98" t="s">
        <v>369</v>
      </c>
      <c r="E282" s="98" t="s">
        <v>4</v>
      </c>
      <c r="F282" s="98" t="s">
        <v>131</v>
      </c>
      <c r="G282" s="98">
        <v>1318.07149458504</v>
      </c>
      <c r="H282" s="299" t="str">
        <f>VLOOKUP(LEFT('Rev Adequacy'!D282,3),'Mapping B'!$D$2:$E$400,2,0)</f>
        <v>N</v>
      </c>
      <c r="I282" s="190"/>
      <c r="J282" s="15" t="s">
        <v>161</v>
      </c>
      <c r="K282" s="190" t="s">
        <v>904</v>
      </c>
      <c r="L282" s="190">
        <f t="shared" si="101"/>
        <v>35.599199999999996</v>
      </c>
      <c r="M282" s="15"/>
      <c r="N282" s="15"/>
      <c r="O282" s="15">
        <f>_xlfn.IFNA(IF(VLOOKUP($J282&amp;O$14,'Mapping A'!$A$6:$G$1011,7,0)=1,$L282,""),0)</f>
        <v>0</v>
      </c>
      <c r="P282" s="15">
        <f>_xlfn.IFNA(IF(VLOOKUP($J282&amp;P$14,'Mapping A'!$A$6:$G$1011,7,0)=1,$L282,""),0)</f>
        <v>0</v>
      </c>
      <c r="Q282" s="15">
        <f>_xlfn.IFNA(IF(VLOOKUP($J282&amp;Q$14,'Mapping A'!$A$6:$G$1011,7,0)=1,$L282,""),0)</f>
        <v>0</v>
      </c>
      <c r="R282" s="15">
        <f>_xlfn.IFNA(IF(VLOOKUP($J282&amp;R$14,'Mapping A'!$A$6:$G$1011,7,0)=1,$L282,""),0)</f>
        <v>0</v>
      </c>
      <c r="S282" s="15">
        <f>_xlfn.IFNA(IF(VLOOKUP($J282&amp;S$14,'Mapping A'!$A$6:$G$1011,7,0)=1,$L282,""),0)</f>
        <v>0</v>
      </c>
      <c r="T282" s="15">
        <f>_xlfn.IFNA(IF(VLOOKUP($J282&amp;T$14,'Mapping A'!$A$6:$G$1011,7,0)=1,$L282,""),0)</f>
        <v>35.599199999999996</v>
      </c>
      <c r="U282" s="15">
        <f>_xlfn.IFNA(IF(VLOOKUP($J282&amp;U$14,'Mapping A'!$A$6:$G$1011,7,0)=1,$L282,""),0)</f>
        <v>0</v>
      </c>
      <c r="V282" s="15">
        <f>_xlfn.IFNA(IF(VLOOKUP($J282&amp;V$14,'Mapping A'!$A$6:$G$1011,7,0)=1,$L282,""),0)</f>
        <v>0</v>
      </c>
      <c r="W282" s="15">
        <f>_xlfn.IFNA(IF(VLOOKUP($J282&amp;W$14,'Mapping A'!$A$6:$G$1011,7,0)=1,$L282,""),0)</f>
        <v>0</v>
      </c>
      <c r="X282" s="15">
        <f>_xlfn.IFNA(IF(VLOOKUP($J282&amp;X$14,'Mapping A'!$A$6:$G$1011,7,0)=1,$L282,""),0)</f>
        <v>0</v>
      </c>
      <c r="Y282" s="15">
        <f>_xlfn.IFNA(IF(VLOOKUP($J282&amp;Y$14,'Mapping A'!$A$6:$G$1011,7,0)=1,$L282,""),0)</f>
        <v>0</v>
      </c>
      <c r="Z282" s="15">
        <f>_xlfn.IFNA(IF(VLOOKUP($J282&amp;Z$14,'Mapping A'!$A$6:$G$1011,7,0)=1,$L282,""),0)</f>
        <v>0</v>
      </c>
      <c r="AA282" s="15">
        <f>_xlfn.IFNA(IF(VLOOKUP($J282&amp;AA$14,'Mapping A'!$A$6:$G$1011,7,0)=1,$L282,""),0)</f>
        <v>0</v>
      </c>
      <c r="AF282" s="155" t="str">
        <f t="shared" si="85"/>
        <v>BRB0331Refinery</v>
      </c>
      <c r="AG282" s="190" t="s">
        <v>161</v>
      </c>
      <c r="AH282" s="190" t="s">
        <v>904</v>
      </c>
      <c r="AI282" s="190">
        <f t="shared" si="102"/>
        <v>35.599199999999996</v>
      </c>
      <c r="AJ282" s="292" t="s">
        <v>95</v>
      </c>
      <c r="AK282" s="15"/>
      <c r="AL282" s="15">
        <f t="shared" si="97"/>
        <v>0</v>
      </c>
      <c r="AM282" s="15"/>
      <c r="AN282" s="15">
        <f t="shared" ca="1" si="98"/>
        <v>0</v>
      </c>
      <c r="AO282" s="15">
        <f t="shared" si="99"/>
        <v>0</v>
      </c>
      <c r="AP282" s="15">
        <f t="shared" si="100"/>
        <v>0</v>
      </c>
      <c r="AQ282" s="15"/>
      <c r="AR282" s="190">
        <f t="shared" si="103"/>
        <v>0</v>
      </c>
      <c r="AS282" s="15"/>
      <c r="AT282" s="190">
        <f t="shared" si="104"/>
        <v>0</v>
      </c>
      <c r="AU282" s="190">
        <f t="shared" si="105"/>
        <v>0</v>
      </c>
      <c r="AV282" s="190">
        <f t="shared" si="106"/>
        <v>0</v>
      </c>
      <c r="AW282" s="190">
        <f t="shared" si="107"/>
        <v>0</v>
      </c>
      <c r="AX282" s="190">
        <f t="shared" si="108"/>
        <v>0</v>
      </c>
      <c r="BP282" s="190"/>
    </row>
    <row r="283" spans="2:68" x14ac:dyDescent="0.25">
      <c r="B283" s="98" t="s">
        <v>111</v>
      </c>
      <c r="C283" s="98">
        <v>2014</v>
      </c>
      <c r="D283" s="98" t="s">
        <v>370</v>
      </c>
      <c r="E283" s="98" t="s">
        <v>4</v>
      </c>
      <c r="F283" s="98" t="s">
        <v>131</v>
      </c>
      <c r="G283" s="98">
        <v>11330.169</v>
      </c>
      <c r="H283" s="299" t="str">
        <f>VLOOKUP(LEFT('Rev Adequacy'!D283,3),'Mapping B'!$D$2:$E$400,2,0)</f>
        <v>N</v>
      </c>
      <c r="I283" s="190"/>
      <c r="J283" s="15" t="s">
        <v>162</v>
      </c>
      <c r="K283" s="190" t="s">
        <v>28</v>
      </c>
      <c r="L283" s="190">
        <f t="shared" si="101"/>
        <v>29.8431</v>
      </c>
      <c r="M283" s="15"/>
      <c r="N283" s="15"/>
      <c r="O283" s="15">
        <f>_xlfn.IFNA(IF(VLOOKUP($J283&amp;O$14,'Mapping A'!$A$6:$G$1011,7,0)=1,$L283,""),0)</f>
        <v>0</v>
      </c>
      <c r="P283" s="15">
        <f>_xlfn.IFNA(IF(VLOOKUP($J283&amp;P$14,'Mapping A'!$A$6:$G$1011,7,0)=1,$L283,""),0)</f>
        <v>0</v>
      </c>
      <c r="Q283" s="15">
        <f>_xlfn.IFNA(IF(VLOOKUP($J283&amp;Q$14,'Mapping A'!$A$6:$G$1011,7,0)=1,$L283,""),0)</f>
        <v>0</v>
      </c>
      <c r="R283" s="15">
        <f>_xlfn.IFNA(IF(VLOOKUP($J283&amp;R$14,'Mapping A'!$A$6:$G$1011,7,0)=1,$L283,""),0)</f>
        <v>0</v>
      </c>
      <c r="S283" s="15">
        <f>_xlfn.IFNA(IF(VLOOKUP($J283&amp;S$14,'Mapping A'!$A$6:$G$1011,7,0)=1,$L283,""),0)</f>
        <v>0</v>
      </c>
      <c r="T283" s="15">
        <f>_xlfn.IFNA(IF(VLOOKUP($J283&amp;T$14,'Mapping A'!$A$6:$G$1011,7,0)=1,$L283,""),0)</f>
        <v>0</v>
      </c>
      <c r="U283" s="15">
        <f>_xlfn.IFNA(IF(VLOOKUP($J283&amp;U$14,'Mapping A'!$A$6:$G$1011,7,0)=1,$L283,""),0)</f>
        <v>0</v>
      </c>
      <c r="V283" s="15">
        <f>_xlfn.IFNA(IF(VLOOKUP($J283&amp;V$14,'Mapping A'!$A$6:$G$1011,7,0)=1,$L283,""),0)</f>
        <v>0</v>
      </c>
      <c r="W283" s="15">
        <f>_xlfn.IFNA(IF(VLOOKUP($J283&amp;W$14,'Mapping A'!$A$6:$G$1011,7,0)=1,$L283,""),0)</f>
        <v>0</v>
      </c>
      <c r="X283" s="15">
        <f>_xlfn.IFNA(IF(VLOOKUP($J283&amp;X$14,'Mapping A'!$A$6:$G$1011,7,0)=1,$L283,""),0)</f>
        <v>0</v>
      </c>
      <c r="Y283" s="15">
        <f>_xlfn.IFNA(IF(VLOOKUP($J283&amp;Y$14,'Mapping A'!$A$6:$G$1011,7,0)=1,$L283,""),0)</f>
        <v>0</v>
      </c>
      <c r="Z283" s="15">
        <f>_xlfn.IFNA(IF(VLOOKUP($J283&amp;Z$14,'Mapping A'!$A$6:$G$1011,7,0)=1,$L283,""),0)</f>
        <v>0</v>
      </c>
      <c r="AA283" s="15">
        <f>_xlfn.IFNA(IF(VLOOKUP($J283&amp;AA$14,'Mapping A'!$A$6:$G$1011,7,0)=1,$L283,""),0)</f>
        <v>0</v>
      </c>
      <c r="AF283" s="155" t="str">
        <f t="shared" si="85"/>
        <v>BRK0331Powerco</v>
      </c>
      <c r="AG283" s="190" t="s">
        <v>162</v>
      </c>
      <c r="AH283" s="190" t="s">
        <v>28</v>
      </c>
      <c r="AI283" s="190">
        <f t="shared" si="102"/>
        <v>29.8431</v>
      </c>
      <c r="AJ283" s="292" t="s">
        <v>95</v>
      </c>
      <c r="AK283" s="15"/>
      <c r="AL283" s="15">
        <f t="shared" si="97"/>
        <v>0</v>
      </c>
      <c r="AM283" s="15"/>
      <c r="AN283" s="15">
        <f t="shared" ca="1" si="98"/>
        <v>0</v>
      </c>
      <c r="AO283" s="15">
        <f t="shared" si="99"/>
        <v>0</v>
      </c>
      <c r="AP283" s="15">
        <f t="shared" si="100"/>
        <v>0</v>
      </c>
      <c r="AQ283" s="15"/>
      <c r="AR283" s="190">
        <f t="shared" si="103"/>
        <v>0</v>
      </c>
      <c r="AS283" s="15"/>
      <c r="AT283" s="190">
        <f t="shared" si="104"/>
        <v>0</v>
      </c>
      <c r="AU283" s="190">
        <f t="shared" si="105"/>
        <v>0</v>
      </c>
      <c r="AV283" s="190">
        <f t="shared" si="106"/>
        <v>0</v>
      </c>
      <c r="AW283" s="190">
        <f t="shared" si="107"/>
        <v>0</v>
      </c>
      <c r="AX283" s="190">
        <f t="shared" si="108"/>
        <v>0</v>
      </c>
      <c r="BP283" s="190"/>
    </row>
    <row r="284" spans="2:68" x14ac:dyDescent="0.25">
      <c r="B284" s="98" t="s">
        <v>111</v>
      </c>
      <c r="C284" s="98">
        <v>2014</v>
      </c>
      <c r="D284" s="98" t="s">
        <v>371</v>
      </c>
      <c r="E284" s="98" t="s">
        <v>4</v>
      </c>
      <c r="F284" s="98" t="s">
        <v>136</v>
      </c>
      <c r="G284" s="98">
        <v>74239.808999999994</v>
      </c>
      <c r="H284" s="299" t="str">
        <f>VLOOKUP(LEFT('Rev Adequacy'!D284,3),'Mapping B'!$D$2:$E$400,2,0)</f>
        <v>N</v>
      </c>
      <c r="I284" s="190"/>
      <c r="J284" s="15" t="s">
        <v>163</v>
      </c>
      <c r="K284" s="190" t="s">
        <v>25</v>
      </c>
      <c r="L284" s="190">
        <f t="shared" si="101"/>
        <v>179.95529999999999</v>
      </c>
      <c r="M284" s="15"/>
      <c r="N284" s="15"/>
      <c r="O284" s="15">
        <f>_xlfn.IFNA(IF(VLOOKUP($J284&amp;O$14,'Mapping A'!$A$6:$G$1011,7,0)=1,$L284,""),0)</f>
        <v>0</v>
      </c>
      <c r="P284" s="15">
        <f>_xlfn.IFNA(IF(VLOOKUP($J284&amp;P$14,'Mapping A'!$A$6:$G$1011,7,0)=1,$L284,""),0)</f>
        <v>0</v>
      </c>
      <c r="Q284" s="15">
        <f>_xlfn.IFNA(IF(VLOOKUP($J284&amp;Q$14,'Mapping A'!$A$6:$G$1011,7,0)=1,$L284,""),0)</f>
        <v>179.95529999999999</v>
      </c>
      <c r="R284" s="15">
        <f>_xlfn.IFNA(IF(VLOOKUP($J284&amp;R$14,'Mapping A'!$A$6:$G$1011,7,0)=1,$L284,""),0)</f>
        <v>0</v>
      </c>
      <c r="S284" s="15">
        <f>_xlfn.IFNA(IF(VLOOKUP($J284&amp;S$14,'Mapping A'!$A$6:$G$1011,7,0)=1,$L284,""),0)</f>
        <v>0</v>
      </c>
      <c r="T284" s="15">
        <f>_xlfn.IFNA(IF(VLOOKUP($J284&amp;T$14,'Mapping A'!$A$6:$G$1011,7,0)=1,$L284,""),0)</f>
        <v>0</v>
      </c>
      <c r="U284" s="15">
        <f>_xlfn.IFNA(IF(VLOOKUP($J284&amp;U$14,'Mapping A'!$A$6:$G$1011,7,0)=1,$L284,""),0)</f>
        <v>0</v>
      </c>
      <c r="V284" s="15">
        <f>_xlfn.IFNA(IF(VLOOKUP($J284&amp;V$14,'Mapping A'!$A$6:$G$1011,7,0)=1,$L284,""),0)</f>
        <v>0</v>
      </c>
      <c r="W284" s="15">
        <f>_xlfn.IFNA(IF(VLOOKUP($J284&amp;W$14,'Mapping A'!$A$6:$G$1011,7,0)=1,$L284,""),0)</f>
        <v>0</v>
      </c>
      <c r="X284" s="15">
        <f>_xlfn.IFNA(IF(VLOOKUP($J284&amp;X$14,'Mapping A'!$A$6:$G$1011,7,0)=1,$L284,""),0)</f>
        <v>0</v>
      </c>
      <c r="Y284" s="15">
        <f>_xlfn.IFNA(IF(VLOOKUP($J284&amp;Y$14,'Mapping A'!$A$6:$G$1011,7,0)=1,$L284,""),0)</f>
        <v>0</v>
      </c>
      <c r="Z284" s="15">
        <f>_xlfn.IFNA(IF(VLOOKUP($J284&amp;Z$14,'Mapping A'!$A$6:$G$1011,7,0)=1,$L284,""),0)</f>
        <v>0</v>
      </c>
      <c r="AA284" s="15">
        <f>_xlfn.IFNA(IF(VLOOKUP($J284&amp;AA$14,'Mapping A'!$A$6:$G$1011,7,0)=1,$L284,""),0)</f>
        <v>0</v>
      </c>
      <c r="AF284" s="155" t="str">
        <f t="shared" si="85"/>
        <v>BRY0661Orion</v>
      </c>
      <c r="AG284" s="190" t="s">
        <v>163</v>
      </c>
      <c r="AH284" s="190" t="s">
        <v>25</v>
      </c>
      <c r="AI284" s="190">
        <f t="shared" si="102"/>
        <v>179.95529999999999</v>
      </c>
      <c r="AJ284" s="292" t="s">
        <v>96</v>
      </c>
      <c r="AK284" s="15"/>
      <c r="AL284" s="15">
        <f t="shared" si="97"/>
        <v>0</v>
      </c>
      <c r="AM284" s="15"/>
      <c r="AN284" s="15">
        <f t="shared" ca="1" si="98"/>
        <v>0</v>
      </c>
      <c r="AO284" s="15">
        <f t="shared" si="99"/>
        <v>0</v>
      </c>
      <c r="AP284" s="15">
        <f t="shared" si="100"/>
        <v>0</v>
      </c>
      <c r="AQ284" s="15"/>
      <c r="AR284" s="190">
        <f t="shared" si="103"/>
        <v>0</v>
      </c>
      <c r="AS284" s="15"/>
      <c r="AT284" s="190">
        <f t="shared" si="104"/>
        <v>0</v>
      </c>
      <c r="AU284" s="190">
        <f t="shared" si="105"/>
        <v>0</v>
      </c>
      <c r="AV284" s="190">
        <f t="shared" si="106"/>
        <v>0</v>
      </c>
      <c r="AW284" s="190">
        <f t="shared" si="107"/>
        <v>0</v>
      </c>
      <c r="AX284" s="190">
        <f t="shared" si="108"/>
        <v>0</v>
      </c>
      <c r="BP284" s="190"/>
    </row>
    <row r="285" spans="2:68" x14ac:dyDescent="0.25">
      <c r="B285" s="98" t="s">
        <v>111</v>
      </c>
      <c r="C285" s="98">
        <v>2014</v>
      </c>
      <c r="D285" s="98" t="s">
        <v>387</v>
      </c>
      <c r="E285" s="98" t="s">
        <v>4</v>
      </c>
      <c r="F285" s="98" t="s">
        <v>136</v>
      </c>
      <c r="G285" s="98">
        <v>0</v>
      </c>
      <c r="H285" s="299" t="str">
        <f>VLOOKUP(LEFT('Rev Adequacy'!D285,3),'Mapping B'!$D$2:$E$400,2,0)</f>
        <v>N</v>
      </c>
      <c r="I285" s="190"/>
      <c r="J285" s="15" t="s">
        <v>164</v>
      </c>
      <c r="K285" s="190" t="s">
        <v>138</v>
      </c>
      <c r="L285" s="190">
        <f t="shared" si="101"/>
        <v>0.1008</v>
      </c>
      <c r="M285" s="15"/>
      <c r="N285" s="15"/>
      <c r="O285" s="15">
        <f>_xlfn.IFNA(IF(VLOOKUP($J285&amp;O$14,'Mapping A'!$A$6:$G$1011,7,0)=1,$L285,""),0)</f>
        <v>0</v>
      </c>
      <c r="P285" s="15">
        <f>_xlfn.IFNA(IF(VLOOKUP($J285&amp;P$14,'Mapping A'!$A$6:$G$1011,7,0)=1,$L285,""),0)</f>
        <v>0</v>
      </c>
      <c r="Q285" s="15">
        <f>_xlfn.IFNA(IF(VLOOKUP($J285&amp;Q$14,'Mapping A'!$A$6:$G$1011,7,0)=1,$L285,""),0)</f>
        <v>0.1008</v>
      </c>
      <c r="R285" s="15">
        <f>_xlfn.IFNA(IF(VLOOKUP($J285&amp;R$14,'Mapping A'!$A$6:$G$1011,7,0)=1,$L285,""),0)</f>
        <v>0</v>
      </c>
      <c r="S285" s="15">
        <f>_xlfn.IFNA(IF(VLOOKUP($J285&amp;S$14,'Mapping A'!$A$6:$G$1011,7,0)=1,$L285,""),0)</f>
        <v>0</v>
      </c>
      <c r="T285" s="15">
        <f>_xlfn.IFNA(IF(VLOOKUP($J285&amp;T$14,'Mapping A'!$A$6:$G$1011,7,0)=1,$L285,""),0)</f>
        <v>0</v>
      </c>
      <c r="U285" s="15">
        <f>_xlfn.IFNA(IF(VLOOKUP($J285&amp;U$14,'Mapping A'!$A$6:$G$1011,7,0)=1,$L285,""),0)</f>
        <v>0</v>
      </c>
      <c r="V285" s="15">
        <f>_xlfn.IFNA(IF(VLOOKUP($J285&amp;V$14,'Mapping A'!$A$6:$G$1011,7,0)=1,$L285,""),0)</f>
        <v>0</v>
      </c>
      <c r="W285" s="15">
        <f>_xlfn.IFNA(IF(VLOOKUP($J285&amp;W$14,'Mapping A'!$A$6:$G$1011,7,0)=1,$L285,""),0)</f>
        <v>0</v>
      </c>
      <c r="X285" s="15">
        <f>_xlfn.IFNA(IF(VLOOKUP($J285&amp;X$14,'Mapping A'!$A$6:$G$1011,7,0)=1,$L285,""),0)</f>
        <v>0</v>
      </c>
      <c r="Y285" s="15">
        <f>_xlfn.IFNA(IF(VLOOKUP($J285&amp;Y$14,'Mapping A'!$A$6:$G$1011,7,0)=1,$L285,""),0)</f>
        <v>0</v>
      </c>
      <c r="Z285" s="15">
        <f>_xlfn.IFNA(IF(VLOOKUP($J285&amp;Z$14,'Mapping A'!$A$6:$G$1011,7,0)=1,$L285,""),0)</f>
        <v>0</v>
      </c>
      <c r="AA285" s="15">
        <f>_xlfn.IFNA(IF(VLOOKUP($J285&amp;AA$14,'Mapping A'!$A$6:$G$1011,7,0)=1,$L285,""),0)</f>
        <v>0</v>
      </c>
      <c r="AF285" s="155" t="str">
        <f t="shared" ref="AF285:AF348" si="109">AG285&amp;AH285</f>
        <v>BWK1101TrustPower</v>
      </c>
      <c r="AG285" s="190" t="s">
        <v>164</v>
      </c>
      <c r="AH285" s="190" t="s">
        <v>138</v>
      </c>
      <c r="AI285" s="190">
        <f t="shared" si="102"/>
        <v>0.1008</v>
      </c>
      <c r="AJ285" s="292" t="s">
        <v>96</v>
      </c>
      <c r="AK285" s="15"/>
      <c r="AL285" s="15">
        <f t="shared" si="97"/>
        <v>0</v>
      </c>
      <c r="AM285" s="15"/>
      <c r="AN285" s="15">
        <f t="shared" ca="1" si="98"/>
        <v>0</v>
      </c>
      <c r="AO285" s="15">
        <f t="shared" si="99"/>
        <v>0</v>
      </c>
      <c r="AP285" s="15">
        <f t="shared" si="100"/>
        <v>0</v>
      </c>
      <c r="AQ285" s="15"/>
      <c r="AR285" s="190">
        <f t="shared" si="103"/>
        <v>0</v>
      </c>
      <c r="AS285" s="15"/>
      <c r="AT285" s="190">
        <f t="shared" si="104"/>
        <v>0</v>
      </c>
      <c r="AU285" s="190">
        <f t="shared" si="105"/>
        <v>0</v>
      </c>
      <c r="AV285" s="190">
        <f t="shared" si="106"/>
        <v>0</v>
      </c>
      <c r="AW285" s="190">
        <f t="shared" si="107"/>
        <v>0</v>
      </c>
      <c r="AX285" s="190">
        <f t="shared" si="108"/>
        <v>0</v>
      </c>
      <c r="BP285" s="190"/>
    </row>
    <row r="286" spans="2:68" x14ac:dyDescent="0.25">
      <c r="B286" s="98" t="s">
        <v>111</v>
      </c>
      <c r="C286" s="98">
        <v>2014</v>
      </c>
      <c r="D286" s="98" t="s">
        <v>388</v>
      </c>
      <c r="E286" s="98" t="s">
        <v>4</v>
      </c>
      <c r="F286" s="98" t="s">
        <v>136</v>
      </c>
      <c r="G286" s="98">
        <v>0</v>
      </c>
      <c r="H286" s="299" t="str">
        <f>VLOOKUP(LEFT('Rev Adequacy'!D286,3),'Mapping B'!$D$2:$E$400,2,0)</f>
        <v>N</v>
      </c>
      <c r="I286" s="190"/>
      <c r="J286" s="15" t="s">
        <v>166</v>
      </c>
      <c r="K286" s="190" t="s">
        <v>38</v>
      </c>
      <c r="L286" s="190">
        <f t="shared" si="101"/>
        <v>41.208300000000001</v>
      </c>
      <c r="M286" s="15"/>
      <c r="N286" s="15"/>
      <c r="O286" s="15">
        <f>_xlfn.IFNA(IF(VLOOKUP($J286&amp;O$14,'Mapping A'!$A$6:$G$1011,7,0)=1,$L286,""),0)</f>
        <v>0</v>
      </c>
      <c r="P286" s="15">
        <f>_xlfn.IFNA(IF(VLOOKUP($J286&amp;P$14,'Mapping A'!$A$6:$G$1011,7,0)=1,$L286,""),0)</f>
        <v>0</v>
      </c>
      <c r="Q286" s="15">
        <f>_xlfn.IFNA(IF(VLOOKUP($J286&amp;Q$14,'Mapping A'!$A$6:$G$1011,7,0)=1,$L286,""),0)</f>
        <v>0</v>
      </c>
      <c r="R286" s="15">
        <f>_xlfn.IFNA(IF(VLOOKUP($J286&amp;R$14,'Mapping A'!$A$6:$G$1011,7,0)=1,$L286,""),0)</f>
        <v>0</v>
      </c>
      <c r="S286" s="15">
        <f>_xlfn.IFNA(IF(VLOOKUP($J286&amp;S$14,'Mapping A'!$A$6:$G$1011,7,0)=1,$L286,""),0)</f>
        <v>0</v>
      </c>
      <c r="T286" s="15">
        <f>_xlfn.IFNA(IF(VLOOKUP($J286&amp;T$14,'Mapping A'!$A$6:$G$1011,7,0)=1,$L286,""),0)</f>
        <v>41.208300000000001</v>
      </c>
      <c r="U286" s="15">
        <f>_xlfn.IFNA(IF(VLOOKUP($J286&amp;U$14,'Mapping A'!$A$6:$G$1011,7,0)=1,$L286,""),0)</f>
        <v>0</v>
      </c>
      <c r="V286" s="15">
        <f>_xlfn.IFNA(IF(VLOOKUP($J286&amp;V$14,'Mapping A'!$A$6:$G$1011,7,0)=1,$L286,""),0)</f>
        <v>0</v>
      </c>
      <c r="W286" s="15">
        <f>_xlfn.IFNA(IF(VLOOKUP($J286&amp;W$14,'Mapping A'!$A$6:$G$1011,7,0)=1,$L286,""),0)</f>
        <v>0</v>
      </c>
      <c r="X286" s="15">
        <f>_xlfn.IFNA(IF(VLOOKUP($J286&amp;X$14,'Mapping A'!$A$6:$G$1011,7,0)=1,$L286,""),0)</f>
        <v>0</v>
      </c>
      <c r="Y286" s="15">
        <f>_xlfn.IFNA(IF(VLOOKUP($J286&amp;Y$14,'Mapping A'!$A$6:$G$1011,7,0)=1,$L286,""),0)</f>
        <v>0</v>
      </c>
      <c r="Z286" s="15">
        <f>_xlfn.IFNA(IF(VLOOKUP($J286&amp;Z$14,'Mapping A'!$A$6:$G$1011,7,0)=1,$L286,""),0)</f>
        <v>0</v>
      </c>
      <c r="AA286" s="15">
        <f>_xlfn.IFNA(IF(VLOOKUP($J286&amp;AA$14,'Mapping A'!$A$6:$G$1011,7,0)=1,$L286,""),0)</f>
        <v>0</v>
      </c>
      <c r="AF286" s="155" t="str">
        <f t="shared" si="109"/>
        <v>CBG0111Waipa Power</v>
      </c>
      <c r="AG286" s="190" t="s">
        <v>166</v>
      </c>
      <c r="AH286" s="190" t="s">
        <v>38</v>
      </c>
      <c r="AI286" s="190">
        <f t="shared" si="102"/>
        <v>41.208300000000001</v>
      </c>
      <c r="AJ286" s="292" t="s">
        <v>95</v>
      </c>
      <c r="AK286" s="15"/>
      <c r="AL286" s="15">
        <f t="shared" si="97"/>
        <v>0</v>
      </c>
      <c r="AM286" s="15"/>
      <c r="AN286" s="15">
        <f t="shared" ca="1" si="98"/>
        <v>0</v>
      </c>
      <c r="AO286" s="15">
        <f t="shared" si="99"/>
        <v>0</v>
      </c>
      <c r="AP286" s="15">
        <f t="shared" si="100"/>
        <v>0</v>
      </c>
      <c r="AQ286" s="15"/>
      <c r="AR286" s="190">
        <f t="shared" si="103"/>
        <v>0</v>
      </c>
      <c r="AS286" s="15"/>
      <c r="AT286" s="190">
        <f t="shared" si="104"/>
        <v>0</v>
      </c>
      <c r="AU286" s="190">
        <f t="shared" si="105"/>
        <v>0</v>
      </c>
      <c r="AV286" s="190">
        <f t="shared" si="106"/>
        <v>0</v>
      </c>
      <c r="AW286" s="190">
        <f t="shared" si="107"/>
        <v>0</v>
      </c>
      <c r="AX286" s="190">
        <f t="shared" si="108"/>
        <v>0</v>
      </c>
      <c r="BP286" s="190"/>
    </row>
    <row r="287" spans="2:68" x14ac:dyDescent="0.25">
      <c r="B287" s="98" t="s">
        <v>552</v>
      </c>
      <c r="C287" s="98">
        <v>2014</v>
      </c>
      <c r="D287" s="98" t="s">
        <v>154</v>
      </c>
      <c r="E287" s="98" t="s">
        <v>5</v>
      </c>
      <c r="F287" s="98" t="s">
        <v>131</v>
      </c>
      <c r="G287" s="248">
        <v>832.74099999998805</v>
      </c>
      <c r="H287" s="299" t="str">
        <f>VLOOKUP(LEFT('Rev Adequacy'!D287,3),'Mapping B'!$D$2:$E$400,2,0)</f>
        <v>N</v>
      </c>
      <c r="I287" s="190"/>
      <c r="J287" s="15" t="s">
        <v>167</v>
      </c>
      <c r="K287" s="190" t="s">
        <v>25</v>
      </c>
      <c r="L287" s="190">
        <f t="shared" si="101"/>
        <v>0.61529999999999996</v>
      </c>
      <c r="M287" s="15"/>
      <c r="N287" s="15"/>
      <c r="O287" s="15">
        <f>_xlfn.IFNA(IF(VLOOKUP($J287&amp;O$14,'Mapping A'!$A$6:$G$1011,7,0)=1,$L287,""),0)</f>
        <v>0</v>
      </c>
      <c r="P287" s="15">
        <f>_xlfn.IFNA(IF(VLOOKUP($J287&amp;P$14,'Mapping A'!$A$6:$G$1011,7,0)=1,$L287,""),0)</f>
        <v>0</v>
      </c>
      <c r="Q287" s="15">
        <f>_xlfn.IFNA(IF(VLOOKUP($J287&amp;Q$14,'Mapping A'!$A$6:$G$1011,7,0)=1,$L287,""),0)</f>
        <v>0.61529999999999996</v>
      </c>
      <c r="R287" s="15">
        <f>_xlfn.IFNA(IF(VLOOKUP($J287&amp;R$14,'Mapping A'!$A$6:$G$1011,7,0)=1,$L287,""),0)</f>
        <v>0</v>
      </c>
      <c r="S287" s="15">
        <f>_xlfn.IFNA(IF(VLOOKUP($J287&amp;S$14,'Mapping A'!$A$6:$G$1011,7,0)=1,$L287,""),0)</f>
        <v>0</v>
      </c>
      <c r="T287" s="15">
        <f>_xlfn.IFNA(IF(VLOOKUP($J287&amp;T$14,'Mapping A'!$A$6:$G$1011,7,0)=1,$L287,""),0)</f>
        <v>0</v>
      </c>
      <c r="U287" s="15">
        <f>_xlfn.IFNA(IF(VLOOKUP($J287&amp;U$14,'Mapping A'!$A$6:$G$1011,7,0)=1,$L287,""),0)</f>
        <v>0</v>
      </c>
      <c r="V287" s="15">
        <f>_xlfn.IFNA(IF(VLOOKUP($J287&amp;V$14,'Mapping A'!$A$6:$G$1011,7,0)=1,$L287,""),0)</f>
        <v>0</v>
      </c>
      <c r="W287" s="15">
        <f>_xlfn.IFNA(IF(VLOOKUP($J287&amp;W$14,'Mapping A'!$A$6:$G$1011,7,0)=1,$L287,""),0)</f>
        <v>0</v>
      </c>
      <c r="X287" s="15">
        <f>_xlfn.IFNA(IF(VLOOKUP($J287&amp;X$14,'Mapping A'!$A$6:$G$1011,7,0)=1,$L287,""),0)</f>
        <v>0</v>
      </c>
      <c r="Y287" s="15">
        <f>_xlfn.IFNA(IF(VLOOKUP($J287&amp;Y$14,'Mapping A'!$A$6:$G$1011,7,0)=1,$L287,""),0)</f>
        <v>0</v>
      </c>
      <c r="Z287" s="15">
        <f>_xlfn.IFNA(IF(VLOOKUP($J287&amp;Z$14,'Mapping A'!$A$6:$G$1011,7,0)=1,$L287,""),0)</f>
        <v>0</v>
      </c>
      <c r="AA287" s="15">
        <f>_xlfn.IFNA(IF(VLOOKUP($J287&amp;AA$14,'Mapping A'!$A$6:$G$1011,7,0)=1,$L287,""),0)</f>
        <v>0</v>
      </c>
      <c r="AF287" s="155" t="str">
        <f t="shared" si="109"/>
        <v>CLH0111Orion</v>
      </c>
      <c r="AG287" s="190" t="s">
        <v>167</v>
      </c>
      <c r="AH287" s="190" t="s">
        <v>25</v>
      </c>
      <c r="AI287" s="190">
        <f t="shared" si="102"/>
        <v>0.61529999999999996</v>
      </c>
      <c r="AJ287" s="292" t="s">
        <v>96</v>
      </c>
      <c r="AK287" s="15"/>
      <c r="AL287" s="15">
        <f t="shared" si="97"/>
        <v>0</v>
      </c>
      <c r="AM287" s="15"/>
      <c r="AN287" s="15">
        <f t="shared" ca="1" si="98"/>
        <v>0</v>
      </c>
      <c r="AO287" s="15">
        <f t="shared" si="99"/>
        <v>0</v>
      </c>
      <c r="AP287" s="15">
        <f t="shared" si="100"/>
        <v>0</v>
      </c>
      <c r="AQ287" s="15"/>
      <c r="AR287" s="190">
        <f t="shared" si="103"/>
        <v>0</v>
      </c>
      <c r="AS287" s="15"/>
      <c r="AT287" s="190">
        <f t="shared" si="104"/>
        <v>0</v>
      </c>
      <c r="AU287" s="190">
        <f t="shared" si="105"/>
        <v>0</v>
      </c>
      <c r="AV287" s="190">
        <f t="shared" si="106"/>
        <v>0</v>
      </c>
      <c r="AW287" s="190">
        <f t="shared" si="107"/>
        <v>0</v>
      </c>
      <c r="AX287" s="190">
        <f t="shared" si="108"/>
        <v>0</v>
      </c>
      <c r="BP287" s="190"/>
    </row>
    <row r="288" spans="2:68" x14ac:dyDescent="0.25">
      <c r="B288" s="98" t="s">
        <v>552</v>
      </c>
      <c r="C288" s="98">
        <v>2014</v>
      </c>
      <c r="D288" s="98" t="s">
        <v>155</v>
      </c>
      <c r="E288" s="98" t="s">
        <v>5</v>
      </c>
      <c r="F288" s="98" t="s">
        <v>131</v>
      </c>
      <c r="G288" s="248">
        <v>0</v>
      </c>
      <c r="H288" s="299" t="str">
        <f>VLOOKUP(LEFT('Rev Adequacy'!D288,3),'Mapping B'!$D$2:$E$400,2,0)</f>
        <v>N</v>
      </c>
      <c r="I288" s="190"/>
      <c r="J288" s="15" t="s">
        <v>168</v>
      </c>
      <c r="K288" s="190" t="s">
        <v>1</v>
      </c>
      <c r="L288" s="190">
        <f t="shared" si="101"/>
        <v>33.232500000000002</v>
      </c>
      <c r="M288" s="15"/>
      <c r="N288" s="15"/>
      <c r="O288" s="15">
        <f>_xlfn.IFNA(IF(VLOOKUP($J288&amp;O$14,'Mapping A'!$A$6:$G$1011,7,0)=1,$L288,""),0)</f>
        <v>0</v>
      </c>
      <c r="P288" s="15">
        <f>_xlfn.IFNA(IF(VLOOKUP($J288&amp;P$14,'Mapping A'!$A$6:$G$1011,7,0)=1,$L288,""),0)</f>
        <v>0</v>
      </c>
      <c r="Q288" s="15">
        <f>_xlfn.IFNA(IF(VLOOKUP($J288&amp;Q$14,'Mapping A'!$A$6:$G$1011,7,0)=1,$L288,""),0)</f>
        <v>33.232500000000002</v>
      </c>
      <c r="R288" s="15">
        <f>_xlfn.IFNA(IF(VLOOKUP($J288&amp;R$14,'Mapping A'!$A$6:$G$1011,7,0)=1,$L288,""),0)</f>
        <v>0</v>
      </c>
      <c r="S288" s="15">
        <f>_xlfn.IFNA(IF(VLOOKUP($J288&amp;S$14,'Mapping A'!$A$6:$G$1011,7,0)=1,$L288,""),0)</f>
        <v>0</v>
      </c>
      <c r="T288" s="15">
        <f>_xlfn.IFNA(IF(VLOOKUP($J288&amp;T$14,'Mapping A'!$A$6:$G$1011,7,0)=1,$L288,""),0)</f>
        <v>0</v>
      </c>
      <c r="U288" s="15">
        <f>_xlfn.IFNA(IF(VLOOKUP($J288&amp;U$14,'Mapping A'!$A$6:$G$1011,7,0)=1,$L288,""),0)</f>
        <v>0</v>
      </c>
      <c r="V288" s="15">
        <f>_xlfn.IFNA(IF(VLOOKUP($J288&amp;V$14,'Mapping A'!$A$6:$G$1011,7,0)=1,$L288,""),0)</f>
        <v>0</v>
      </c>
      <c r="W288" s="15">
        <f>_xlfn.IFNA(IF(VLOOKUP($J288&amp;W$14,'Mapping A'!$A$6:$G$1011,7,0)=1,$L288,""),0)</f>
        <v>0</v>
      </c>
      <c r="X288" s="15">
        <f>_xlfn.IFNA(IF(VLOOKUP($J288&amp;X$14,'Mapping A'!$A$6:$G$1011,7,0)=1,$L288,""),0)</f>
        <v>0</v>
      </c>
      <c r="Y288" s="15">
        <f>_xlfn.IFNA(IF(VLOOKUP($J288&amp;Y$14,'Mapping A'!$A$6:$G$1011,7,0)=1,$L288,""),0)</f>
        <v>0</v>
      </c>
      <c r="Z288" s="15">
        <f>_xlfn.IFNA(IF(VLOOKUP($J288&amp;Z$14,'Mapping A'!$A$6:$G$1011,7,0)=1,$L288,""),0)</f>
        <v>0</v>
      </c>
      <c r="AA288" s="15">
        <f>_xlfn.IFNA(IF(VLOOKUP($J288&amp;AA$14,'Mapping A'!$A$6:$G$1011,7,0)=1,$L288,""),0)</f>
        <v>0</v>
      </c>
      <c r="AF288" s="155" t="str">
        <f t="shared" si="109"/>
        <v>CML0331Aurora Energy</v>
      </c>
      <c r="AG288" s="190" t="s">
        <v>168</v>
      </c>
      <c r="AH288" s="190" t="s">
        <v>1</v>
      </c>
      <c r="AI288" s="190">
        <f t="shared" si="102"/>
        <v>33.232500000000002</v>
      </c>
      <c r="AJ288" s="292" t="s">
        <v>96</v>
      </c>
      <c r="AK288" s="15"/>
      <c r="AL288" s="15">
        <f t="shared" si="97"/>
        <v>0</v>
      </c>
      <c r="AM288" s="15"/>
      <c r="AN288" s="15">
        <f t="shared" ca="1" si="98"/>
        <v>0</v>
      </c>
      <c r="AO288" s="15">
        <f t="shared" si="99"/>
        <v>0</v>
      </c>
      <c r="AP288" s="15">
        <f t="shared" si="100"/>
        <v>0</v>
      </c>
      <c r="AQ288" s="15"/>
      <c r="AR288" s="190">
        <f t="shared" si="103"/>
        <v>0</v>
      </c>
      <c r="AS288" s="15"/>
      <c r="AT288" s="190">
        <f t="shared" si="104"/>
        <v>0</v>
      </c>
      <c r="AU288" s="190">
        <f t="shared" si="105"/>
        <v>0</v>
      </c>
      <c r="AV288" s="190">
        <f t="shared" si="106"/>
        <v>0</v>
      </c>
      <c r="AW288" s="190">
        <f t="shared" si="107"/>
        <v>0</v>
      </c>
      <c r="AX288" s="190">
        <f t="shared" si="108"/>
        <v>0</v>
      </c>
      <c r="BP288" s="190"/>
    </row>
    <row r="289" spans="2:68" x14ac:dyDescent="0.25">
      <c r="B289" s="98" t="s">
        <v>553</v>
      </c>
      <c r="C289" s="98">
        <v>2014</v>
      </c>
      <c r="D289" s="98" t="s">
        <v>154</v>
      </c>
      <c r="E289" s="98" t="s">
        <v>5</v>
      </c>
      <c r="F289" s="98" t="s">
        <v>131</v>
      </c>
      <c r="G289" s="248">
        <v>45717.877999999902</v>
      </c>
      <c r="H289" s="299" t="str">
        <f>VLOOKUP(LEFT('Rev Adequacy'!D289,3),'Mapping B'!$D$2:$E$400,2,0)</f>
        <v>N</v>
      </c>
      <c r="I289" s="190"/>
      <c r="J289" s="15" t="s">
        <v>934</v>
      </c>
      <c r="K289" s="190" t="s">
        <v>138</v>
      </c>
      <c r="L289" s="190">
        <f t="shared" si="101"/>
        <v>0.12179999999999999</v>
      </c>
      <c r="M289" s="15"/>
      <c r="N289" s="15"/>
      <c r="O289" s="15">
        <f>_xlfn.IFNA(IF(VLOOKUP($J289&amp;O$14,'Mapping A'!$A$6:$G$1011,7,0)=1,$L289,""),0)</f>
        <v>0</v>
      </c>
      <c r="P289" s="15">
        <f>_xlfn.IFNA(IF(VLOOKUP($J289&amp;P$14,'Mapping A'!$A$6:$G$1011,7,0)=1,$L289,""),0)</f>
        <v>0</v>
      </c>
      <c r="Q289" s="15">
        <f>_xlfn.IFNA(IF(VLOOKUP($J289&amp;Q$14,'Mapping A'!$A$6:$G$1011,7,0)=1,$L289,""),0)</f>
        <v>0</v>
      </c>
      <c r="R289" s="15">
        <f>_xlfn.IFNA(IF(VLOOKUP($J289&amp;R$14,'Mapping A'!$A$6:$G$1011,7,0)=1,$L289,""),0)</f>
        <v>0</v>
      </c>
      <c r="S289" s="15">
        <f>_xlfn.IFNA(IF(VLOOKUP($J289&amp;S$14,'Mapping A'!$A$6:$G$1011,7,0)=1,$L289,""),0)</f>
        <v>0</v>
      </c>
      <c r="T289" s="15">
        <f>_xlfn.IFNA(IF(VLOOKUP($J289&amp;T$14,'Mapping A'!$A$6:$G$1011,7,0)=1,$L289,""),0)</f>
        <v>0</v>
      </c>
      <c r="U289" s="15">
        <f>_xlfn.IFNA(IF(VLOOKUP($J289&amp;U$14,'Mapping A'!$A$6:$G$1011,7,0)=1,$L289,""),0)</f>
        <v>0</v>
      </c>
      <c r="V289" s="15">
        <f>_xlfn.IFNA(IF(VLOOKUP($J289&amp;V$14,'Mapping A'!$A$6:$G$1011,7,0)=1,$L289,""),0)</f>
        <v>0</v>
      </c>
      <c r="W289" s="15">
        <f>_xlfn.IFNA(IF(VLOOKUP($J289&amp;W$14,'Mapping A'!$A$6:$G$1011,7,0)=1,$L289,""),0)</f>
        <v>0</v>
      </c>
      <c r="X289" s="15">
        <f>_xlfn.IFNA(IF(VLOOKUP($J289&amp;X$14,'Mapping A'!$A$6:$G$1011,7,0)=1,$L289,""),0)</f>
        <v>0</v>
      </c>
      <c r="Y289" s="15">
        <f>_xlfn.IFNA(IF(VLOOKUP($J289&amp;Y$14,'Mapping A'!$A$6:$G$1011,7,0)=1,$L289,""),0)</f>
        <v>0</v>
      </c>
      <c r="Z289" s="15">
        <f>_xlfn.IFNA(IF(VLOOKUP($J289&amp;Z$14,'Mapping A'!$A$6:$G$1011,7,0)=1,$L289,""),0)</f>
        <v>0</v>
      </c>
      <c r="AA289" s="15">
        <f>_xlfn.IFNA(IF(VLOOKUP($J289&amp;AA$14,'Mapping A'!$A$6:$G$1011,7,0)=1,$L289,""),0)</f>
        <v>0</v>
      </c>
      <c r="AF289" s="155" t="str">
        <f t="shared" si="109"/>
        <v>COB0661TrustPower</v>
      </c>
      <c r="AG289" s="190" t="s">
        <v>934</v>
      </c>
      <c r="AH289" s="190" t="s">
        <v>138</v>
      </c>
      <c r="AI289" s="190">
        <f t="shared" si="102"/>
        <v>0.12179999999999999</v>
      </c>
      <c r="AJ289" s="292" t="s">
        <v>96</v>
      </c>
      <c r="AK289" s="15"/>
      <c r="AL289" s="15">
        <f t="shared" si="97"/>
        <v>0</v>
      </c>
      <c r="AM289" s="15"/>
      <c r="AN289" s="15">
        <f t="shared" ca="1" si="98"/>
        <v>0</v>
      </c>
      <c r="AO289" s="15">
        <f t="shared" si="99"/>
        <v>0</v>
      </c>
      <c r="AP289" s="15">
        <f t="shared" si="100"/>
        <v>0</v>
      </c>
      <c r="AQ289" s="15"/>
      <c r="AR289" s="190">
        <f t="shared" si="103"/>
        <v>0</v>
      </c>
      <c r="AS289" s="15"/>
      <c r="AT289" s="190">
        <f t="shared" si="104"/>
        <v>0</v>
      </c>
      <c r="AU289" s="190">
        <f t="shared" si="105"/>
        <v>0</v>
      </c>
      <c r="AV289" s="190">
        <f t="shared" si="106"/>
        <v>0</v>
      </c>
      <c r="AW289" s="190">
        <f t="shared" si="107"/>
        <v>0</v>
      </c>
      <c r="AX289" s="190">
        <f t="shared" si="108"/>
        <v>0</v>
      </c>
      <c r="BP289" s="190"/>
    </row>
    <row r="290" spans="2:68" x14ac:dyDescent="0.25">
      <c r="B290" s="98" t="s">
        <v>553</v>
      </c>
      <c r="C290" s="98">
        <v>2014</v>
      </c>
      <c r="D290" s="98" t="s">
        <v>155</v>
      </c>
      <c r="E290" s="98" t="s">
        <v>5</v>
      </c>
      <c r="F290" s="98" t="s">
        <v>131</v>
      </c>
      <c r="G290" s="248">
        <v>114917.350000001</v>
      </c>
      <c r="H290" s="299" t="str">
        <f>VLOOKUP(LEFT('Rev Adequacy'!D290,3),'Mapping B'!$D$2:$E$400,2,0)</f>
        <v>N</v>
      </c>
      <c r="I290" s="190"/>
      <c r="J290" s="15" t="s">
        <v>169</v>
      </c>
      <c r="K290" s="190" t="s">
        <v>25</v>
      </c>
      <c r="L290" s="190">
        <f t="shared" si="101"/>
        <v>0.40110000000000001</v>
      </c>
      <c r="M290" s="15"/>
      <c r="N290" s="15"/>
      <c r="O290" s="15">
        <f>_xlfn.IFNA(IF(VLOOKUP($J290&amp;O$14,'Mapping A'!$A$6:$G$1011,7,0)=1,$L290,""),0)</f>
        <v>0</v>
      </c>
      <c r="P290" s="15">
        <f>_xlfn.IFNA(IF(VLOOKUP($J290&amp;P$14,'Mapping A'!$A$6:$G$1011,7,0)=1,$L290,""),0)</f>
        <v>0</v>
      </c>
      <c r="Q290" s="15">
        <f>_xlfn.IFNA(IF(VLOOKUP($J290&amp;Q$14,'Mapping A'!$A$6:$G$1011,7,0)=1,$L290,""),0)</f>
        <v>0.40110000000000001</v>
      </c>
      <c r="R290" s="15">
        <f>_xlfn.IFNA(IF(VLOOKUP($J290&amp;R$14,'Mapping A'!$A$6:$G$1011,7,0)=1,$L290,""),0)</f>
        <v>0</v>
      </c>
      <c r="S290" s="15">
        <f>_xlfn.IFNA(IF(VLOOKUP($J290&amp;S$14,'Mapping A'!$A$6:$G$1011,7,0)=1,$L290,""),0)</f>
        <v>0</v>
      </c>
      <c r="T290" s="15">
        <f>_xlfn.IFNA(IF(VLOOKUP($J290&amp;T$14,'Mapping A'!$A$6:$G$1011,7,0)=1,$L290,""),0)</f>
        <v>0</v>
      </c>
      <c r="U290" s="15">
        <f>_xlfn.IFNA(IF(VLOOKUP($J290&amp;U$14,'Mapping A'!$A$6:$G$1011,7,0)=1,$L290,""),0)</f>
        <v>0</v>
      </c>
      <c r="V290" s="15">
        <f>_xlfn.IFNA(IF(VLOOKUP($J290&amp;V$14,'Mapping A'!$A$6:$G$1011,7,0)=1,$L290,""),0)</f>
        <v>0</v>
      </c>
      <c r="W290" s="15">
        <f>_xlfn.IFNA(IF(VLOOKUP($J290&amp;W$14,'Mapping A'!$A$6:$G$1011,7,0)=1,$L290,""),0)</f>
        <v>0</v>
      </c>
      <c r="X290" s="15">
        <f>_xlfn.IFNA(IF(VLOOKUP($J290&amp;X$14,'Mapping A'!$A$6:$G$1011,7,0)=1,$L290,""),0)</f>
        <v>0</v>
      </c>
      <c r="Y290" s="15">
        <f>_xlfn.IFNA(IF(VLOOKUP($J290&amp;Y$14,'Mapping A'!$A$6:$G$1011,7,0)=1,$L290,""),0)</f>
        <v>0</v>
      </c>
      <c r="Z290" s="15">
        <f>_xlfn.IFNA(IF(VLOOKUP($J290&amp;Z$14,'Mapping A'!$A$6:$G$1011,7,0)=1,$L290,""),0)</f>
        <v>0</v>
      </c>
      <c r="AA290" s="15">
        <f>_xlfn.IFNA(IF(VLOOKUP($J290&amp;AA$14,'Mapping A'!$A$6:$G$1011,7,0)=1,$L290,""),0)</f>
        <v>0</v>
      </c>
      <c r="AF290" s="155" t="str">
        <f t="shared" si="109"/>
        <v>COL0111Orion</v>
      </c>
      <c r="AG290" s="190" t="s">
        <v>169</v>
      </c>
      <c r="AH290" s="190" t="s">
        <v>25</v>
      </c>
      <c r="AI290" s="190">
        <f t="shared" si="102"/>
        <v>0.40110000000000001</v>
      </c>
      <c r="AJ290" s="292" t="s">
        <v>96</v>
      </c>
      <c r="AK290" s="15"/>
      <c r="AL290" s="15">
        <f t="shared" si="97"/>
        <v>0</v>
      </c>
      <c r="AM290" s="15"/>
      <c r="AN290" s="15">
        <f t="shared" ca="1" si="98"/>
        <v>0</v>
      </c>
      <c r="AO290" s="15">
        <f t="shared" si="99"/>
        <v>0</v>
      </c>
      <c r="AP290" s="15">
        <f t="shared" si="100"/>
        <v>0</v>
      </c>
      <c r="AQ290" s="15"/>
      <c r="AR290" s="190">
        <f t="shared" si="103"/>
        <v>0</v>
      </c>
      <c r="AS290" s="15"/>
      <c r="AT290" s="190">
        <f t="shared" si="104"/>
        <v>0</v>
      </c>
      <c r="AU290" s="190">
        <f t="shared" si="105"/>
        <v>0</v>
      </c>
      <c r="AV290" s="190">
        <f t="shared" si="106"/>
        <v>0</v>
      </c>
      <c r="AW290" s="190">
        <f t="shared" si="107"/>
        <v>0</v>
      </c>
      <c r="AX290" s="190">
        <f t="shared" si="108"/>
        <v>0</v>
      </c>
      <c r="BP290" s="190"/>
    </row>
    <row r="291" spans="2:68" x14ac:dyDescent="0.25">
      <c r="B291" s="98" t="s">
        <v>554</v>
      </c>
      <c r="C291" s="98">
        <v>2014</v>
      </c>
      <c r="D291" s="98" t="s">
        <v>154</v>
      </c>
      <c r="E291" s="98" t="s">
        <v>5</v>
      </c>
      <c r="F291" s="98" t="s">
        <v>131</v>
      </c>
      <c r="G291" s="98">
        <v>3163234.5910000098</v>
      </c>
      <c r="H291" s="299" t="str">
        <f>VLOOKUP(LEFT('Rev Adequacy'!D291,3),'Mapping B'!$D$2:$E$400,2,0)</f>
        <v>N</v>
      </c>
      <c r="I291" s="190"/>
      <c r="J291" s="15" t="s">
        <v>170</v>
      </c>
      <c r="K291" s="190" t="s">
        <v>138</v>
      </c>
      <c r="L291" s="190">
        <f t="shared" si="101"/>
        <v>9.6599999999999991E-2</v>
      </c>
      <c r="M291" s="15"/>
      <c r="N291" s="15"/>
      <c r="O291" s="15">
        <f>_xlfn.IFNA(IF(VLOOKUP($J291&amp;O$14,'Mapping A'!$A$6:$G$1011,7,0)=1,$L291,""),0)</f>
        <v>0</v>
      </c>
      <c r="P291" s="15">
        <f>_xlfn.IFNA(IF(VLOOKUP($J291&amp;P$14,'Mapping A'!$A$6:$G$1011,7,0)=1,$L291,""),0)</f>
        <v>0</v>
      </c>
      <c r="Q291" s="15">
        <f>_xlfn.IFNA(IF(VLOOKUP($J291&amp;Q$14,'Mapping A'!$A$6:$G$1011,7,0)=1,$L291,""),0)</f>
        <v>9.6599999999999991E-2</v>
      </c>
      <c r="R291" s="15">
        <f>_xlfn.IFNA(IF(VLOOKUP($J291&amp;R$14,'Mapping A'!$A$6:$G$1011,7,0)=1,$L291,""),0)</f>
        <v>0</v>
      </c>
      <c r="S291" s="15">
        <f>_xlfn.IFNA(IF(VLOOKUP($J291&amp;S$14,'Mapping A'!$A$6:$G$1011,7,0)=1,$L291,""),0)</f>
        <v>0</v>
      </c>
      <c r="T291" s="15">
        <f>_xlfn.IFNA(IF(VLOOKUP($J291&amp;T$14,'Mapping A'!$A$6:$G$1011,7,0)=1,$L291,""),0)</f>
        <v>0</v>
      </c>
      <c r="U291" s="15">
        <f>_xlfn.IFNA(IF(VLOOKUP($J291&amp;U$14,'Mapping A'!$A$6:$G$1011,7,0)=1,$L291,""),0)</f>
        <v>0</v>
      </c>
      <c r="V291" s="15">
        <f>_xlfn.IFNA(IF(VLOOKUP($J291&amp;V$14,'Mapping A'!$A$6:$G$1011,7,0)=1,$L291,""),0)</f>
        <v>0</v>
      </c>
      <c r="W291" s="15">
        <f>_xlfn.IFNA(IF(VLOOKUP($J291&amp;W$14,'Mapping A'!$A$6:$G$1011,7,0)=1,$L291,""),0)</f>
        <v>0</v>
      </c>
      <c r="X291" s="15">
        <f>_xlfn.IFNA(IF(VLOOKUP($J291&amp;X$14,'Mapping A'!$A$6:$G$1011,7,0)=1,$L291,""),0)</f>
        <v>0</v>
      </c>
      <c r="Y291" s="15">
        <f>_xlfn.IFNA(IF(VLOOKUP($J291&amp;Y$14,'Mapping A'!$A$6:$G$1011,7,0)=1,$L291,""),0)</f>
        <v>0</v>
      </c>
      <c r="Z291" s="15">
        <f>_xlfn.IFNA(IF(VLOOKUP($J291&amp;Z$14,'Mapping A'!$A$6:$G$1011,7,0)=1,$L291,""),0)</f>
        <v>0</v>
      </c>
      <c r="AA291" s="15">
        <f>_xlfn.IFNA(IF(VLOOKUP($J291&amp;AA$14,'Mapping A'!$A$6:$G$1011,7,0)=1,$L291,""),0)</f>
        <v>0</v>
      </c>
      <c r="AF291" s="155" t="str">
        <f t="shared" si="109"/>
        <v>COL0661TrustPower</v>
      </c>
      <c r="AG291" s="190" t="s">
        <v>170</v>
      </c>
      <c r="AH291" s="190" t="s">
        <v>138</v>
      </c>
      <c r="AI291" s="190">
        <f t="shared" si="102"/>
        <v>9.6599999999999991E-2</v>
      </c>
      <c r="AJ291" s="292" t="s">
        <v>96</v>
      </c>
      <c r="AK291" s="15"/>
      <c r="AL291" s="15">
        <f t="shared" si="97"/>
        <v>0</v>
      </c>
      <c r="AM291" s="15"/>
      <c r="AN291" s="15">
        <f t="shared" ca="1" si="98"/>
        <v>0</v>
      </c>
      <c r="AO291" s="15">
        <f t="shared" si="99"/>
        <v>0</v>
      </c>
      <c r="AP291" s="15">
        <f t="shared" si="100"/>
        <v>0</v>
      </c>
      <c r="AQ291" s="15"/>
      <c r="AR291" s="190">
        <f t="shared" si="103"/>
        <v>0</v>
      </c>
      <c r="AS291" s="15"/>
      <c r="AT291" s="190">
        <f t="shared" si="104"/>
        <v>0</v>
      </c>
      <c r="AU291" s="190">
        <f t="shared" si="105"/>
        <v>0</v>
      </c>
      <c r="AV291" s="190">
        <f t="shared" si="106"/>
        <v>0</v>
      </c>
      <c r="AW291" s="190">
        <f t="shared" si="107"/>
        <v>0</v>
      </c>
      <c r="AX291" s="190">
        <f t="shared" si="108"/>
        <v>0</v>
      </c>
      <c r="BP291" s="190"/>
    </row>
    <row r="292" spans="2:68" x14ac:dyDescent="0.25">
      <c r="B292" s="98" t="s">
        <v>554</v>
      </c>
      <c r="C292" s="98">
        <v>2014</v>
      </c>
      <c r="D292" s="98" t="s">
        <v>155</v>
      </c>
      <c r="E292" s="98" t="s">
        <v>5</v>
      </c>
      <c r="F292" s="98" t="s">
        <v>131</v>
      </c>
      <c r="G292" s="98">
        <v>8141903.5489999996</v>
      </c>
      <c r="H292" s="299" t="str">
        <f>VLOOKUP(LEFT('Rev Adequacy'!D292,3),'Mapping B'!$D$2:$E$400,2,0)</f>
        <v>N</v>
      </c>
      <c r="I292" s="190"/>
      <c r="J292" s="15" t="s">
        <v>172</v>
      </c>
      <c r="K292" s="190" t="s">
        <v>40</v>
      </c>
      <c r="L292" s="190">
        <f t="shared" si="101"/>
        <v>24.2193</v>
      </c>
      <c r="M292" s="15"/>
      <c r="N292" s="15"/>
      <c r="O292" s="15">
        <f>_xlfn.IFNA(IF(VLOOKUP($J292&amp;O$14,'Mapping A'!$A$6:$G$1011,7,0)=1,$L292,""),0)</f>
        <v>0</v>
      </c>
      <c r="P292" s="15">
        <f>_xlfn.IFNA(IF(VLOOKUP($J292&amp;P$14,'Mapping A'!$A$6:$G$1011,7,0)=1,$L292,""),0)</f>
        <v>0</v>
      </c>
      <c r="Q292" s="15">
        <f>_xlfn.IFNA(IF(VLOOKUP($J292&amp;Q$14,'Mapping A'!$A$6:$G$1011,7,0)=1,$L292,""),0)</f>
        <v>0</v>
      </c>
      <c r="R292" s="15">
        <f>_xlfn.IFNA(IF(VLOOKUP($J292&amp;R$14,'Mapping A'!$A$6:$G$1011,7,0)=1,$L292,""),0)</f>
        <v>0</v>
      </c>
      <c r="S292" s="15">
        <f>_xlfn.IFNA(IF(VLOOKUP($J292&amp;S$14,'Mapping A'!$A$6:$G$1011,7,0)=1,$L292,""),0)</f>
        <v>0</v>
      </c>
      <c r="T292" s="15">
        <f>_xlfn.IFNA(IF(VLOOKUP($J292&amp;T$14,'Mapping A'!$A$6:$G$1011,7,0)=1,$L292,""),0)</f>
        <v>0</v>
      </c>
      <c r="U292" s="15">
        <f>_xlfn.IFNA(IF(VLOOKUP($J292&amp;U$14,'Mapping A'!$A$6:$G$1011,7,0)=1,$L292,""),0)</f>
        <v>0</v>
      </c>
      <c r="V292" s="15">
        <f>_xlfn.IFNA(IF(VLOOKUP($J292&amp;V$14,'Mapping A'!$A$6:$G$1011,7,0)=1,$L292,""),0)</f>
        <v>0</v>
      </c>
      <c r="W292" s="15">
        <f>_xlfn.IFNA(IF(VLOOKUP($J292&amp;W$14,'Mapping A'!$A$6:$G$1011,7,0)=1,$L292,""),0)</f>
        <v>0</v>
      </c>
      <c r="X292" s="15">
        <f>_xlfn.IFNA(IF(VLOOKUP($J292&amp;X$14,'Mapping A'!$A$6:$G$1011,7,0)=1,$L292,""),0)</f>
        <v>0</v>
      </c>
      <c r="Y292" s="15">
        <f>_xlfn.IFNA(IF(VLOOKUP($J292&amp;Y$14,'Mapping A'!$A$6:$G$1011,7,0)=1,$L292,""),0)</f>
        <v>0</v>
      </c>
      <c r="Z292" s="15">
        <f>_xlfn.IFNA(IF(VLOOKUP($J292&amp;Z$14,'Mapping A'!$A$6:$G$1011,7,0)=1,$L292,""),0)</f>
        <v>0</v>
      </c>
      <c r="AA292" s="15">
        <f>_xlfn.IFNA(IF(VLOOKUP($J292&amp;AA$14,'Mapping A'!$A$6:$G$1011,7,0)=1,$L292,""),0)</f>
        <v>0</v>
      </c>
      <c r="AF292" s="155" t="str">
        <f t="shared" si="109"/>
        <v>CPK0111Wellington Electricity</v>
      </c>
      <c r="AG292" s="190" t="s">
        <v>172</v>
      </c>
      <c r="AH292" s="190" t="s">
        <v>40</v>
      </c>
      <c r="AI292" s="190">
        <f t="shared" si="102"/>
        <v>24.2193</v>
      </c>
      <c r="AJ292" s="292" t="s">
        <v>95</v>
      </c>
      <c r="AK292" s="15"/>
      <c r="AL292" s="15">
        <f t="shared" si="97"/>
        <v>0</v>
      </c>
      <c r="AM292" s="15"/>
      <c r="AN292" s="15">
        <f t="shared" ca="1" si="98"/>
        <v>0</v>
      </c>
      <c r="AO292" s="15">
        <f t="shared" si="99"/>
        <v>0</v>
      </c>
      <c r="AP292" s="15">
        <f t="shared" si="100"/>
        <v>0</v>
      </c>
      <c r="AQ292" s="15"/>
      <c r="AR292" s="190">
        <f t="shared" si="103"/>
        <v>0</v>
      </c>
      <c r="AS292" s="15"/>
      <c r="AT292" s="190">
        <f t="shared" si="104"/>
        <v>0</v>
      </c>
      <c r="AU292" s="190">
        <f t="shared" si="105"/>
        <v>0</v>
      </c>
      <c r="AV292" s="190">
        <f t="shared" si="106"/>
        <v>0</v>
      </c>
      <c r="AW292" s="190">
        <f t="shared" si="107"/>
        <v>0</v>
      </c>
      <c r="AX292" s="190">
        <f t="shared" si="108"/>
        <v>0</v>
      </c>
      <c r="BP292" s="190"/>
    </row>
    <row r="293" spans="2:68" x14ac:dyDescent="0.25">
      <c r="B293" s="98" t="s">
        <v>563</v>
      </c>
      <c r="C293" s="98">
        <v>2014</v>
      </c>
      <c r="D293" s="98" t="s">
        <v>154</v>
      </c>
      <c r="E293" s="98" t="s">
        <v>5</v>
      </c>
      <c r="F293" s="98" t="s">
        <v>131</v>
      </c>
      <c r="G293" s="98">
        <v>856302.46999999695</v>
      </c>
      <c r="H293" s="299" t="str">
        <f>VLOOKUP(LEFT('Rev Adequacy'!D293,3),'Mapping B'!$D$2:$E$400,2,0)</f>
        <v>N</v>
      </c>
      <c r="I293" s="190"/>
      <c r="J293" s="15" t="s">
        <v>173</v>
      </c>
      <c r="K293" s="190" t="s">
        <v>40</v>
      </c>
      <c r="L293" s="190">
        <f t="shared" si="101"/>
        <v>165.72149999999999</v>
      </c>
      <c r="M293" s="15"/>
      <c r="N293" s="15"/>
      <c r="O293" s="15">
        <f>_xlfn.IFNA(IF(VLOOKUP($J293&amp;O$14,'Mapping A'!$A$6:$G$1011,7,0)=1,$L293,""),0)</f>
        <v>0</v>
      </c>
      <c r="P293" s="15">
        <f>_xlfn.IFNA(IF(VLOOKUP($J293&amp;P$14,'Mapping A'!$A$6:$G$1011,7,0)=1,$L293,""),0)</f>
        <v>0</v>
      </c>
      <c r="Q293" s="15">
        <f>_xlfn.IFNA(IF(VLOOKUP($J293&amp;Q$14,'Mapping A'!$A$6:$G$1011,7,0)=1,$L293,""),0)</f>
        <v>0</v>
      </c>
      <c r="R293" s="15">
        <f>_xlfn.IFNA(IF(VLOOKUP($J293&amp;R$14,'Mapping A'!$A$6:$G$1011,7,0)=1,$L293,""),0)</f>
        <v>0</v>
      </c>
      <c r="S293" s="15">
        <f>_xlfn.IFNA(IF(VLOOKUP($J293&amp;S$14,'Mapping A'!$A$6:$G$1011,7,0)=1,$L293,""),0)</f>
        <v>0</v>
      </c>
      <c r="T293" s="15">
        <f>_xlfn.IFNA(IF(VLOOKUP($J293&amp;T$14,'Mapping A'!$A$6:$G$1011,7,0)=1,$L293,""),0)</f>
        <v>0</v>
      </c>
      <c r="U293" s="15">
        <f>_xlfn.IFNA(IF(VLOOKUP($J293&amp;U$14,'Mapping A'!$A$6:$G$1011,7,0)=1,$L293,""),0)</f>
        <v>0</v>
      </c>
      <c r="V293" s="15">
        <f>_xlfn.IFNA(IF(VLOOKUP($J293&amp;V$14,'Mapping A'!$A$6:$G$1011,7,0)=1,$L293,""),0)</f>
        <v>0</v>
      </c>
      <c r="W293" s="15">
        <f>_xlfn.IFNA(IF(VLOOKUP($J293&amp;W$14,'Mapping A'!$A$6:$G$1011,7,0)=1,$L293,""),0)</f>
        <v>0</v>
      </c>
      <c r="X293" s="15">
        <f>_xlfn.IFNA(IF(VLOOKUP($J293&amp;X$14,'Mapping A'!$A$6:$G$1011,7,0)=1,$L293,""),0)</f>
        <v>0</v>
      </c>
      <c r="Y293" s="15">
        <f>_xlfn.IFNA(IF(VLOOKUP($J293&amp;Y$14,'Mapping A'!$A$6:$G$1011,7,0)=1,$L293,""),0)</f>
        <v>0</v>
      </c>
      <c r="Z293" s="15">
        <f>_xlfn.IFNA(IF(VLOOKUP($J293&amp;Z$14,'Mapping A'!$A$6:$G$1011,7,0)=1,$L293,""),0)</f>
        <v>0</v>
      </c>
      <c r="AA293" s="15">
        <f>_xlfn.IFNA(IF(VLOOKUP($J293&amp;AA$14,'Mapping A'!$A$6:$G$1011,7,0)=1,$L293,""),0)</f>
        <v>0</v>
      </c>
      <c r="AF293" s="155" t="str">
        <f t="shared" si="109"/>
        <v>CPK0331Wellington Electricity</v>
      </c>
      <c r="AG293" s="190" t="s">
        <v>173</v>
      </c>
      <c r="AH293" s="190" t="s">
        <v>40</v>
      </c>
      <c r="AI293" s="190">
        <f t="shared" si="102"/>
        <v>165.72149999999999</v>
      </c>
      <c r="AJ293" s="292" t="s">
        <v>95</v>
      </c>
      <c r="AK293" s="15"/>
      <c r="AL293" s="15">
        <f t="shared" si="97"/>
        <v>0</v>
      </c>
      <c r="AM293" s="15"/>
      <c r="AN293" s="15">
        <f t="shared" ca="1" si="98"/>
        <v>0</v>
      </c>
      <c r="AO293" s="15">
        <f t="shared" si="99"/>
        <v>0</v>
      </c>
      <c r="AP293" s="15">
        <f t="shared" si="100"/>
        <v>0</v>
      </c>
      <c r="AQ293" s="15"/>
      <c r="AR293" s="190">
        <f t="shared" si="103"/>
        <v>0</v>
      </c>
      <c r="AS293" s="15"/>
      <c r="AT293" s="190">
        <f t="shared" si="104"/>
        <v>0</v>
      </c>
      <c r="AU293" s="190">
        <f t="shared" si="105"/>
        <v>0</v>
      </c>
      <c r="AV293" s="190">
        <f t="shared" si="106"/>
        <v>0</v>
      </c>
      <c r="AW293" s="190">
        <f t="shared" si="107"/>
        <v>0</v>
      </c>
      <c r="AX293" s="190">
        <f t="shared" si="108"/>
        <v>0</v>
      </c>
      <c r="BP293" s="190"/>
    </row>
    <row r="294" spans="2:68" x14ac:dyDescent="0.25">
      <c r="B294" s="98" t="s">
        <v>563</v>
      </c>
      <c r="C294" s="98">
        <v>2014</v>
      </c>
      <c r="D294" s="98" t="s">
        <v>155</v>
      </c>
      <c r="E294" s="98" t="s">
        <v>5</v>
      </c>
      <c r="F294" s="98" t="s">
        <v>131</v>
      </c>
      <c r="G294" s="98">
        <v>2156942.8080000002</v>
      </c>
      <c r="H294" s="299" t="str">
        <f>VLOOKUP(LEFT('Rev Adequacy'!D294,3),'Mapping B'!$D$2:$E$400,2,0)</f>
        <v>N</v>
      </c>
      <c r="I294" s="190"/>
      <c r="J294" s="15" t="s">
        <v>174</v>
      </c>
      <c r="K294" s="190" t="s">
        <v>28</v>
      </c>
      <c r="L294" s="190">
        <f t="shared" si="101"/>
        <v>60.456900000000005</v>
      </c>
      <c r="M294" s="15"/>
      <c r="N294" s="15"/>
      <c r="O294" s="15">
        <f>_xlfn.IFNA(IF(VLOOKUP($J294&amp;O$14,'Mapping A'!$A$6:$G$1011,7,0)=1,$L294,""),0)</f>
        <v>0</v>
      </c>
      <c r="P294" s="15">
        <f>_xlfn.IFNA(IF(VLOOKUP($J294&amp;P$14,'Mapping A'!$A$6:$G$1011,7,0)=1,$L294,""),0)</f>
        <v>0</v>
      </c>
      <c r="Q294" s="15">
        <f>_xlfn.IFNA(IF(VLOOKUP($J294&amp;Q$14,'Mapping A'!$A$6:$G$1011,7,0)=1,$L294,""),0)</f>
        <v>0</v>
      </c>
      <c r="R294" s="15">
        <f>_xlfn.IFNA(IF(VLOOKUP($J294&amp;R$14,'Mapping A'!$A$6:$G$1011,7,0)=1,$L294,""),0)</f>
        <v>0</v>
      </c>
      <c r="S294" s="15">
        <f>_xlfn.IFNA(IF(VLOOKUP($J294&amp;S$14,'Mapping A'!$A$6:$G$1011,7,0)=1,$L294,""),0)</f>
        <v>0</v>
      </c>
      <c r="T294" s="15">
        <f>_xlfn.IFNA(IF(VLOOKUP($J294&amp;T$14,'Mapping A'!$A$6:$G$1011,7,0)=1,$L294,""),0)</f>
        <v>0</v>
      </c>
      <c r="U294" s="15">
        <f>_xlfn.IFNA(IF(VLOOKUP($J294&amp;U$14,'Mapping A'!$A$6:$G$1011,7,0)=1,$L294,""),0)</f>
        <v>0</v>
      </c>
      <c r="V294" s="15">
        <f>_xlfn.IFNA(IF(VLOOKUP($J294&amp;V$14,'Mapping A'!$A$6:$G$1011,7,0)=1,$L294,""),0)</f>
        <v>0</v>
      </c>
      <c r="W294" s="15">
        <f>_xlfn.IFNA(IF(VLOOKUP($J294&amp;W$14,'Mapping A'!$A$6:$G$1011,7,0)=1,$L294,""),0)</f>
        <v>0</v>
      </c>
      <c r="X294" s="15">
        <f>_xlfn.IFNA(IF(VLOOKUP($J294&amp;X$14,'Mapping A'!$A$6:$G$1011,7,0)=1,$L294,""),0)</f>
        <v>0</v>
      </c>
      <c r="Y294" s="15">
        <f>_xlfn.IFNA(IF(VLOOKUP($J294&amp;Y$14,'Mapping A'!$A$6:$G$1011,7,0)=1,$L294,""),0)</f>
        <v>0</v>
      </c>
      <c r="Z294" s="15">
        <f>_xlfn.IFNA(IF(VLOOKUP($J294&amp;Z$14,'Mapping A'!$A$6:$G$1011,7,0)=1,$L294,""),0)</f>
        <v>0</v>
      </c>
      <c r="AA294" s="15">
        <f>_xlfn.IFNA(IF(VLOOKUP($J294&amp;AA$14,'Mapping A'!$A$6:$G$1011,7,0)=1,$L294,""),0)</f>
        <v>0</v>
      </c>
      <c r="AF294" s="155" t="str">
        <f t="shared" si="109"/>
        <v>CST0331Powerco</v>
      </c>
      <c r="AG294" s="190" t="s">
        <v>174</v>
      </c>
      <c r="AH294" s="190" t="s">
        <v>28</v>
      </c>
      <c r="AI294" s="190">
        <f t="shared" si="102"/>
        <v>60.456900000000005</v>
      </c>
      <c r="AJ294" s="292" t="s">
        <v>95</v>
      </c>
      <c r="AK294" s="15"/>
      <c r="AL294" s="15">
        <f t="shared" si="97"/>
        <v>0</v>
      </c>
      <c r="AM294" s="15"/>
      <c r="AN294" s="15">
        <f t="shared" ca="1" si="98"/>
        <v>0</v>
      </c>
      <c r="AO294" s="15">
        <f t="shared" si="99"/>
        <v>0</v>
      </c>
      <c r="AP294" s="15">
        <f t="shared" si="100"/>
        <v>0</v>
      </c>
      <c r="AQ294" s="15"/>
      <c r="AR294" s="190">
        <f t="shared" si="103"/>
        <v>0</v>
      </c>
      <c r="AS294" s="15"/>
      <c r="AT294" s="190">
        <f t="shared" si="104"/>
        <v>0</v>
      </c>
      <c r="AU294" s="190">
        <f t="shared" si="105"/>
        <v>0</v>
      </c>
      <c r="AV294" s="190">
        <f t="shared" si="106"/>
        <v>0</v>
      </c>
      <c r="AW294" s="190">
        <f t="shared" si="107"/>
        <v>0</v>
      </c>
      <c r="AX294" s="190">
        <f t="shared" si="108"/>
        <v>0</v>
      </c>
      <c r="BP294" s="190"/>
    </row>
    <row r="295" spans="2:68" x14ac:dyDescent="0.25">
      <c r="B295" s="98" t="s">
        <v>555</v>
      </c>
      <c r="C295" s="98">
        <v>2014</v>
      </c>
      <c r="D295" s="98" t="s">
        <v>154</v>
      </c>
      <c r="E295" s="98" t="s">
        <v>5</v>
      </c>
      <c r="F295" s="98" t="s">
        <v>131</v>
      </c>
      <c r="G295" s="98">
        <v>186181.940999999</v>
      </c>
      <c r="H295" s="299" t="str">
        <f>VLOOKUP(LEFT('Rev Adequacy'!D295,3),'Mapping B'!$D$2:$E$400,2,0)</f>
        <v>N</v>
      </c>
      <c r="I295" s="190"/>
      <c r="J295" s="15" t="s">
        <v>175</v>
      </c>
      <c r="K295" s="190" t="s">
        <v>12</v>
      </c>
      <c r="L295" s="190">
        <f t="shared" si="101"/>
        <v>21.054599999999997</v>
      </c>
      <c r="M295" s="15"/>
      <c r="N295" s="15"/>
      <c r="O295" s="15">
        <f>_xlfn.IFNA(IF(VLOOKUP($J295&amp;O$14,'Mapping A'!$A$6:$G$1011,7,0)=1,$L295,""),0)</f>
        <v>0</v>
      </c>
      <c r="P295" s="15">
        <f>_xlfn.IFNA(IF(VLOOKUP($J295&amp;P$14,'Mapping A'!$A$6:$G$1011,7,0)=1,$L295,""),0)</f>
        <v>0</v>
      </c>
      <c r="Q295" s="15">
        <f>_xlfn.IFNA(IF(VLOOKUP($J295&amp;Q$14,'Mapping A'!$A$6:$G$1011,7,0)=1,$L295,""),0)</f>
        <v>21.054599999999997</v>
      </c>
      <c r="R295" s="15">
        <f>_xlfn.IFNA(IF(VLOOKUP($J295&amp;R$14,'Mapping A'!$A$6:$G$1011,7,0)=1,$L295,""),0)</f>
        <v>0</v>
      </c>
      <c r="S295" s="15">
        <f>_xlfn.IFNA(IF(VLOOKUP($J295&amp;S$14,'Mapping A'!$A$6:$G$1011,7,0)=1,$L295,""),0)</f>
        <v>0</v>
      </c>
      <c r="T295" s="15">
        <f>_xlfn.IFNA(IF(VLOOKUP($J295&amp;T$14,'Mapping A'!$A$6:$G$1011,7,0)=1,$L295,""),0)</f>
        <v>0</v>
      </c>
      <c r="U295" s="15">
        <f>_xlfn.IFNA(IF(VLOOKUP($J295&amp;U$14,'Mapping A'!$A$6:$G$1011,7,0)=1,$L295,""),0)</f>
        <v>0</v>
      </c>
      <c r="V295" s="15">
        <f>_xlfn.IFNA(IF(VLOOKUP($J295&amp;V$14,'Mapping A'!$A$6:$G$1011,7,0)=1,$L295,""),0)</f>
        <v>0</v>
      </c>
      <c r="W295" s="15">
        <f>_xlfn.IFNA(IF(VLOOKUP($J295&amp;W$14,'Mapping A'!$A$6:$G$1011,7,0)=1,$L295,""),0)</f>
        <v>0</v>
      </c>
      <c r="X295" s="15">
        <f>_xlfn.IFNA(IF(VLOOKUP($J295&amp;X$14,'Mapping A'!$A$6:$G$1011,7,0)=1,$L295,""),0)</f>
        <v>0</v>
      </c>
      <c r="Y295" s="15">
        <f>_xlfn.IFNA(IF(VLOOKUP($J295&amp;Y$14,'Mapping A'!$A$6:$G$1011,7,0)=1,$L295,""),0)</f>
        <v>0</v>
      </c>
      <c r="Z295" s="15">
        <f>_xlfn.IFNA(IF(VLOOKUP($J295&amp;Z$14,'Mapping A'!$A$6:$G$1011,7,0)=1,$L295,""),0)</f>
        <v>0</v>
      </c>
      <c r="AA295" s="15">
        <f>_xlfn.IFNA(IF(VLOOKUP($J295&amp;AA$14,'Mapping A'!$A$6:$G$1011,7,0)=1,$L295,""),0)</f>
        <v>0</v>
      </c>
      <c r="AF295" s="155" t="str">
        <f t="shared" si="109"/>
        <v>CUL0331Mainpower</v>
      </c>
      <c r="AG295" s="190" t="s">
        <v>175</v>
      </c>
      <c r="AH295" s="190" t="s">
        <v>12</v>
      </c>
      <c r="AI295" s="190">
        <f t="shared" si="102"/>
        <v>21.054599999999997</v>
      </c>
      <c r="AJ295" s="292" t="s">
        <v>96</v>
      </c>
      <c r="AK295" s="15"/>
      <c r="AL295" s="15">
        <f t="shared" si="97"/>
        <v>0</v>
      </c>
      <c r="AM295" s="15"/>
      <c r="AN295" s="15">
        <f t="shared" ca="1" si="98"/>
        <v>0</v>
      </c>
      <c r="AO295" s="15">
        <f t="shared" si="99"/>
        <v>0</v>
      </c>
      <c r="AP295" s="15">
        <f t="shared" si="100"/>
        <v>0</v>
      </c>
      <c r="AQ295" s="15"/>
      <c r="AR295" s="190">
        <f t="shared" si="103"/>
        <v>0</v>
      </c>
      <c r="AS295" s="15"/>
      <c r="AT295" s="190">
        <f t="shared" si="104"/>
        <v>0</v>
      </c>
      <c r="AU295" s="190">
        <f t="shared" si="105"/>
        <v>0</v>
      </c>
      <c r="AV295" s="190">
        <f t="shared" si="106"/>
        <v>0</v>
      </c>
      <c r="AW295" s="190">
        <f t="shared" si="107"/>
        <v>0</v>
      </c>
      <c r="AX295" s="190">
        <f t="shared" si="108"/>
        <v>0</v>
      </c>
      <c r="BP295" s="190"/>
    </row>
    <row r="296" spans="2:68" x14ac:dyDescent="0.25">
      <c r="B296" s="98" t="s">
        <v>555</v>
      </c>
      <c r="C296" s="98">
        <v>2014</v>
      </c>
      <c r="D296" s="98" t="s">
        <v>155</v>
      </c>
      <c r="E296" s="98" t="s">
        <v>5</v>
      </c>
      <c r="F296" s="98" t="s">
        <v>131</v>
      </c>
      <c r="G296" s="98">
        <v>479913.92299999902</v>
      </c>
      <c r="H296" s="299" t="str">
        <f>VLOOKUP(LEFT('Rev Adequacy'!D296,3),'Mapping B'!$D$2:$E$400,2,0)</f>
        <v>N</v>
      </c>
      <c r="I296" s="190"/>
      <c r="J296" s="15" t="s">
        <v>176</v>
      </c>
      <c r="K296" s="190" t="s">
        <v>12</v>
      </c>
      <c r="L296" s="190">
        <f t="shared" si="101"/>
        <v>10.357200000000001</v>
      </c>
      <c r="M296" s="15"/>
      <c r="N296" s="15"/>
      <c r="O296" s="15">
        <f>_xlfn.IFNA(IF(VLOOKUP($J296&amp;O$14,'Mapping A'!$A$6:$G$1011,7,0)=1,$L296,""),0)</f>
        <v>0</v>
      </c>
      <c r="P296" s="15">
        <f>_xlfn.IFNA(IF(VLOOKUP($J296&amp;P$14,'Mapping A'!$A$6:$G$1011,7,0)=1,$L296,""),0)</f>
        <v>0</v>
      </c>
      <c r="Q296" s="15">
        <f>_xlfn.IFNA(IF(VLOOKUP($J296&amp;Q$14,'Mapping A'!$A$6:$G$1011,7,0)=1,$L296,""),0)</f>
        <v>10.357200000000001</v>
      </c>
      <c r="R296" s="15">
        <f>_xlfn.IFNA(IF(VLOOKUP($J296&amp;R$14,'Mapping A'!$A$6:$G$1011,7,0)=1,$L296,""),0)</f>
        <v>0</v>
      </c>
      <c r="S296" s="15">
        <f>_xlfn.IFNA(IF(VLOOKUP($J296&amp;S$14,'Mapping A'!$A$6:$G$1011,7,0)=1,$L296,""),0)</f>
        <v>0</v>
      </c>
      <c r="T296" s="15">
        <f>_xlfn.IFNA(IF(VLOOKUP($J296&amp;T$14,'Mapping A'!$A$6:$G$1011,7,0)=1,$L296,""),0)</f>
        <v>0</v>
      </c>
      <c r="U296" s="15">
        <f>_xlfn.IFNA(IF(VLOOKUP($J296&amp;U$14,'Mapping A'!$A$6:$G$1011,7,0)=1,$L296,""),0)</f>
        <v>0</v>
      </c>
      <c r="V296" s="15">
        <f>_xlfn.IFNA(IF(VLOOKUP($J296&amp;V$14,'Mapping A'!$A$6:$G$1011,7,0)=1,$L296,""),0)</f>
        <v>0</v>
      </c>
      <c r="W296" s="15">
        <f>_xlfn.IFNA(IF(VLOOKUP($J296&amp;W$14,'Mapping A'!$A$6:$G$1011,7,0)=1,$L296,""),0)</f>
        <v>0</v>
      </c>
      <c r="X296" s="15">
        <f>_xlfn.IFNA(IF(VLOOKUP($J296&amp;X$14,'Mapping A'!$A$6:$G$1011,7,0)=1,$L296,""),0)</f>
        <v>0</v>
      </c>
      <c r="Y296" s="15">
        <f>_xlfn.IFNA(IF(VLOOKUP($J296&amp;Y$14,'Mapping A'!$A$6:$G$1011,7,0)=1,$L296,""),0)</f>
        <v>0</v>
      </c>
      <c r="Z296" s="15">
        <f>_xlfn.IFNA(IF(VLOOKUP($J296&amp;Z$14,'Mapping A'!$A$6:$G$1011,7,0)=1,$L296,""),0)</f>
        <v>0</v>
      </c>
      <c r="AA296" s="15">
        <f>_xlfn.IFNA(IF(VLOOKUP($J296&amp;AA$14,'Mapping A'!$A$6:$G$1011,7,0)=1,$L296,""),0)</f>
        <v>0</v>
      </c>
      <c r="AF296" s="155" t="str">
        <f t="shared" si="109"/>
        <v>CUL0661Mainpower</v>
      </c>
      <c r="AG296" s="190" t="s">
        <v>176</v>
      </c>
      <c r="AH296" s="190" t="s">
        <v>12</v>
      </c>
      <c r="AI296" s="190">
        <f t="shared" si="102"/>
        <v>10.357200000000001</v>
      </c>
      <c r="AJ296" s="292" t="s">
        <v>96</v>
      </c>
      <c r="AK296" s="15"/>
      <c r="AL296" s="15">
        <f t="shared" si="97"/>
        <v>0</v>
      </c>
      <c r="AM296" s="15"/>
      <c r="AN296" s="15">
        <f t="shared" ca="1" si="98"/>
        <v>0</v>
      </c>
      <c r="AO296" s="15">
        <f t="shared" si="99"/>
        <v>0</v>
      </c>
      <c r="AP296" s="15">
        <f t="shared" si="100"/>
        <v>0</v>
      </c>
      <c r="AQ296" s="15"/>
      <c r="AR296" s="190">
        <f t="shared" si="103"/>
        <v>0</v>
      </c>
      <c r="AS296" s="15"/>
      <c r="AT296" s="190">
        <f t="shared" si="104"/>
        <v>0</v>
      </c>
      <c r="AU296" s="190">
        <f t="shared" si="105"/>
        <v>0</v>
      </c>
      <c r="AV296" s="190">
        <f t="shared" si="106"/>
        <v>0</v>
      </c>
      <c r="AW296" s="190">
        <f t="shared" si="107"/>
        <v>0</v>
      </c>
      <c r="AX296" s="190">
        <f t="shared" si="108"/>
        <v>0</v>
      </c>
      <c r="BP296" s="190"/>
    </row>
    <row r="297" spans="2:68" x14ac:dyDescent="0.25">
      <c r="B297" s="98" t="s">
        <v>112</v>
      </c>
      <c r="C297" s="98">
        <v>2014</v>
      </c>
      <c r="D297" s="98" t="s">
        <v>154</v>
      </c>
      <c r="E297" s="98" t="s">
        <v>5</v>
      </c>
      <c r="F297" s="98" t="s">
        <v>131</v>
      </c>
      <c r="G297" s="98">
        <v>4336324.02700001</v>
      </c>
      <c r="H297" s="299" t="str">
        <f>VLOOKUP(LEFT('Rev Adequacy'!D297,3),'Mapping B'!$D$2:$E$400,2,0)</f>
        <v>N</v>
      </c>
      <c r="I297" s="190"/>
      <c r="J297" s="15" t="s">
        <v>177</v>
      </c>
      <c r="K297" s="190" t="s">
        <v>1</v>
      </c>
      <c r="L297" s="190">
        <f t="shared" si="101"/>
        <v>18.156599999999997</v>
      </c>
      <c r="M297" s="15"/>
      <c r="N297" s="15"/>
      <c r="O297" s="15">
        <f>_xlfn.IFNA(IF(VLOOKUP($J297&amp;O$14,'Mapping A'!$A$6:$G$1011,7,0)=1,$L297,""),0)</f>
        <v>0</v>
      </c>
      <c r="P297" s="15">
        <f>_xlfn.IFNA(IF(VLOOKUP($J297&amp;P$14,'Mapping A'!$A$6:$G$1011,7,0)=1,$L297,""),0)</f>
        <v>18.156599999999997</v>
      </c>
      <c r="Q297" s="15">
        <f>_xlfn.IFNA(IF(VLOOKUP($J297&amp;Q$14,'Mapping A'!$A$6:$G$1011,7,0)=1,$L297,""),0)</f>
        <v>18.156599999999997</v>
      </c>
      <c r="R297" s="15">
        <f>_xlfn.IFNA(IF(VLOOKUP($J297&amp;R$14,'Mapping A'!$A$6:$G$1011,7,0)=1,$L297,""),0)</f>
        <v>0</v>
      </c>
      <c r="S297" s="15">
        <f>_xlfn.IFNA(IF(VLOOKUP($J297&amp;S$14,'Mapping A'!$A$6:$G$1011,7,0)=1,$L297,""),0)</f>
        <v>0</v>
      </c>
      <c r="T297" s="15">
        <f>_xlfn.IFNA(IF(VLOOKUP($J297&amp;T$14,'Mapping A'!$A$6:$G$1011,7,0)=1,$L297,""),0)</f>
        <v>0</v>
      </c>
      <c r="U297" s="15">
        <f>_xlfn.IFNA(IF(VLOOKUP($J297&amp;U$14,'Mapping A'!$A$6:$G$1011,7,0)=1,$L297,""),0)</f>
        <v>0</v>
      </c>
      <c r="V297" s="15">
        <f>_xlfn.IFNA(IF(VLOOKUP($J297&amp;V$14,'Mapping A'!$A$6:$G$1011,7,0)=1,$L297,""),0)</f>
        <v>18.156599999999997</v>
      </c>
      <c r="W297" s="15">
        <f>_xlfn.IFNA(IF(VLOOKUP($J297&amp;W$14,'Mapping A'!$A$6:$G$1011,7,0)=1,$L297,""),0)</f>
        <v>0</v>
      </c>
      <c r="X297" s="15">
        <f>_xlfn.IFNA(IF(VLOOKUP($J297&amp;X$14,'Mapping A'!$A$6:$G$1011,7,0)=1,$L297,""),0)</f>
        <v>0</v>
      </c>
      <c r="Y297" s="15">
        <f>_xlfn.IFNA(IF(VLOOKUP($J297&amp;Y$14,'Mapping A'!$A$6:$G$1011,7,0)=1,$L297,""),0)</f>
        <v>0</v>
      </c>
      <c r="Z297" s="15">
        <f>_xlfn.IFNA(IF(VLOOKUP($J297&amp;Z$14,'Mapping A'!$A$6:$G$1011,7,0)=1,$L297,""),0)</f>
        <v>0</v>
      </c>
      <c r="AA297" s="15">
        <f>_xlfn.IFNA(IF(VLOOKUP($J297&amp;AA$14,'Mapping A'!$A$6:$G$1011,7,0)=1,$L297,""),0)</f>
        <v>0</v>
      </c>
      <c r="AF297" s="155" t="str">
        <f t="shared" si="109"/>
        <v>CYD0331Aurora Energy</v>
      </c>
      <c r="AG297" s="190" t="s">
        <v>177</v>
      </c>
      <c r="AH297" s="190" t="s">
        <v>1</v>
      </c>
      <c r="AI297" s="190">
        <f t="shared" si="102"/>
        <v>18.156599999999997</v>
      </c>
      <c r="AJ297" s="292" t="s">
        <v>96</v>
      </c>
      <c r="AK297" s="15"/>
      <c r="AL297" s="15">
        <f t="shared" si="97"/>
        <v>0</v>
      </c>
      <c r="AM297" s="15"/>
      <c r="AN297" s="15">
        <f t="shared" ca="1" si="98"/>
        <v>0</v>
      </c>
      <c r="AO297" s="15">
        <f t="shared" si="99"/>
        <v>0</v>
      </c>
      <c r="AP297" s="15">
        <f t="shared" si="100"/>
        <v>0</v>
      </c>
      <c r="AQ297" s="15"/>
      <c r="AR297" s="190">
        <f t="shared" si="103"/>
        <v>0</v>
      </c>
      <c r="AS297" s="15"/>
      <c r="AT297" s="190">
        <f t="shared" si="104"/>
        <v>0</v>
      </c>
      <c r="AU297" s="190">
        <f t="shared" si="105"/>
        <v>0</v>
      </c>
      <c r="AV297" s="190">
        <f t="shared" si="106"/>
        <v>0</v>
      </c>
      <c r="AW297" s="190">
        <f t="shared" si="107"/>
        <v>0</v>
      </c>
      <c r="AX297" s="190">
        <f t="shared" si="108"/>
        <v>0</v>
      </c>
      <c r="BP297" s="190"/>
    </row>
    <row r="298" spans="2:68" x14ac:dyDescent="0.25">
      <c r="B298" s="98" t="s">
        <v>112</v>
      </c>
      <c r="C298" s="98">
        <v>2014</v>
      </c>
      <c r="D298" s="98" t="s">
        <v>155</v>
      </c>
      <c r="E298" s="98" t="s">
        <v>5</v>
      </c>
      <c r="F298" s="98" t="s">
        <v>131</v>
      </c>
      <c r="G298" s="98">
        <v>11649661.110999901</v>
      </c>
      <c r="H298" s="299" t="str">
        <f>VLOOKUP(LEFT('Rev Adequacy'!D298,3),'Mapping B'!$D$2:$E$400,2,0)</f>
        <v>N</v>
      </c>
      <c r="I298" s="190"/>
      <c r="J298" s="15" t="s">
        <v>177</v>
      </c>
      <c r="K298" s="190" t="s">
        <v>4</v>
      </c>
      <c r="L298" s="190">
        <f t="shared" si="101"/>
        <v>0.47460000000000002</v>
      </c>
      <c r="M298" s="15"/>
      <c r="N298" s="15"/>
      <c r="O298" s="15">
        <f>_xlfn.IFNA(IF(VLOOKUP($J298&amp;O$14,'Mapping A'!$A$6:$G$1011,7,0)=1,$L298,""),0)</f>
        <v>0</v>
      </c>
      <c r="P298" s="15">
        <f>_xlfn.IFNA(IF(VLOOKUP($J298&amp;P$14,'Mapping A'!$A$6:$G$1011,7,0)=1,$L298,""),0)</f>
        <v>0.47460000000000002</v>
      </c>
      <c r="Q298" s="15">
        <f>_xlfn.IFNA(IF(VLOOKUP($J298&amp;Q$14,'Mapping A'!$A$6:$G$1011,7,0)=1,$L298,""),0)</f>
        <v>0.47460000000000002</v>
      </c>
      <c r="R298" s="15">
        <f>_xlfn.IFNA(IF(VLOOKUP($J298&amp;R$14,'Mapping A'!$A$6:$G$1011,7,0)=1,$L298,""),0)</f>
        <v>0</v>
      </c>
      <c r="S298" s="15">
        <f>_xlfn.IFNA(IF(VLOOKUP($J298&amp;S$14,'Mapping A'!$A$6:$G$1011,7,0)=1,$L298,""),0)</f>
        <v>0</v>
      </c>
      <c r="T298" s="15">
        <f>_xlfn.IFNA(IF(VLOOKUP($J298&amp;T$14,'Mapping A'!$A$6:$G$1011,7,0)=1,$L298,""),0)</f>
        <v>0</v>
      </c>
      <c r="U298" s="15">
        <f>_xlfn.IFNA(IF(VLOOKUP($J298&amp;U$14,'Mapping A'!$A$6:$G$1011,7,0)=1,$L298,""),0)</f>
        <v>0</v>
      </c>
      <c r="V298" s="15">
        <f>_xlfn.IFNA(IF(VLOOKUP($J298&amp;V$14,'Mapping A'!$A$6:$G$1011,7,0)=1,$L298,""),0)</f>
        <v>0.47460000000000002</v>
      </c>
      <c r="W298" s="15">
        <f>_xlfn.IFNA(IF(VLOOKUP($J298&amp;W$14,'Mapping A'!$A$6:$G$1011,7,0)=1,$L298,""),0)</f>
        <v>0</v>
      </c>
      <c r="X298" s="15">
        <f>_xlfn.IFNA(IF(VLOOKUP($J298&amp;X$14,'Mapping A'!$A$6:$G$1011,7,0)=1,$L298,""),0)</f>
        <v>0</v>
      </c>
      <c r="Y298" s="15">
        <f>_xlfn.IFNA(IF(VLOOKUP($J298&amp;Y$14,'Mapping A'!$A$6:$G$1011,7,0)=1,$L298,""),0)</f>
        <v>0</v>
      </c>
      <c r="Z298" s="15">
        <f>_xlfn.IFNA(IF(VLOOKUP($J298&amp;Z$14,'Mapping A'!$A$6:$G$1011,7,0)=1,$L298,""),0)</f>
        <v>0</v>
      </c>
      <c r="AA298" s="15">
        <f>_xlfn.IFNA(IF(VLOOKUP($J298&amp;AA$14,'Mapping A'!$A$6:$G$1011,7,0)=1,$L298,""),0)</f>
        <v>0</v>
      </c>
      <c r="AF298" s="155" t="str">
        <f t="shared" si="109"/>
        <v>CYD0331Contact</v>
      </c>
      <c r="AG298" s="190" t="s">
        <v>177</v>
      </c>
      <c r="AH298" s="190" t="s">
        <v>4</v>
      </c>
      <c r="AI298" s="190">
        <f t="shared" si="102"/>
        <v>0.47460000000000002</v>
      </c>
      <c r="AJ298" s="292" t="s">
        <v>96</v>
      </c>
      <c r="AK298" s="15"/>
      <c r="AL298" s="15">
        <f t="shared" si="97"/>
        <v>0</v>
      </c>
      <c r="AM298" s="15"/>
      <c r="AN298" s="15">
        <f t="shared" ca="1" si="98"/>
        <v>0</v>
      </c>
      <c r="AO298" s="15">
        <f t="shared" si="99"/>
        <v>0</v>
      </c>
      <c r="AP298" s="15">
        <f t="shared" si="100"/>
        <v>0</v>
      </c>
      <c r="AQ298" s="15"/>
      <c r="AR298" s="190">
        <f t="shared" si="103"/>
        <v>0</v>
      </c>
      <c r="AS298" s="15"/>
      <c r="AT298" s="190">
        <f t="shared" si="104"/>
        <v>0</v>
      </c>
      <c r="AU298" s="190">
        <f t="shared" si="105"/>
        <v>0</v>
      </c>
      <c r="AV298" s="190">
        <f t="shared" si="106"/>
        <v>0</v>
      </c>
      <c r="AW298" s="190">
        <f t="shared" si="107"/>
        <v>0</v>
      </c>
      <c r="AX298" s="190">
        <f t="shared" si="108"/>
        <v>0</v>
      </c>
      <c r="BP298" s="190"/>
    </row>
    <row r="299" spans="2:68" x14ac:dyDescent="0.25">
      <c r="B299" s="98" t="s">
        <v>111</v>
      </c>
      <c r="C299" s="98">
        <v>2014</v>
      </c>
      <c r="D299" s="98" t="s">
        <v>154</v>
      </c>
      <c r="E299" s="98" t="s">
        <v>5</v>
      </c>
      <c r="F299" s="98" t="s">
        <v>131</v>
      </c>
      <c r="G299" s="98">
        <v>1135360.5330000001</v>
      </c>
      <c r="H299" s="299" t="str">
        <f>VLOOKUP(LEFT('Rev Adequacy'!D299,3),'Mapping B'!$D$2:$E$400,2,0)</f>
        <v>N</v>
      </c>
      <c r="I299" s="190"/>
      <c r="J299" s="15" t="s">
        <v>178</v>
      </c>
      <c r="K299" s="190" t="s">
        <v>4</v>
      </c>
      <c r="L299" s="190">
        <f t="shared" si="101"/>
        <v>6.51</v>
      </c>
      <c r="M299" s="15"/>
      <c r="N299" s="15"/>
      <c r="O299" s="15">
        <f>_xlfn.IFNA(IF(VLOOKUP($J299&amp;O$14,'Mapping A'!$A$6:$G$1011,7,0)=1,$L299,""),0)</f>
        <v>0</v>
      </c>
      <c r="P299" s="15">
        <f>_xlfn.IFNA(IF(VLOOKUP($J299&amp;P$14,'Mapping A'!$A$6:$G$1011,7,0)=1,$L299,""),0)</f>
        <v>0</v>
      </c>
      <c r="Q299" s="15">
        <f>_xlfn.IFNA(IF(VLOOKUP($J299&amp;Q$14,'Mapping A'!$A$6:$G$1011,7,0)=1,$L299,""),0)</f>
        <v>6.51</v>
      </c>
      <c r="R299" s="15">
        <f>_xlfn.IFNA(IF(VLOOKUP($J299&amp;R$14,'Mapping A'!$A$6:$G$1011,7,0)=1,$L299,""),0)</f>
        <v>0</v>
      </c>
      <c r="S299" s="15">
        <f>_xlfn.IFNA(IF(VLOOKUP($J299&amp;S$14,'Mapping A'!$A$6:$G$1011,7,0)=1,$L299,""),0)</f>
        <v>0</v>
      </c>
      <c r="T299" s="15">
        <f>_xlfn.IFNA(IF(VLOOKUP($J299&amp;T$14,'Mapping A'!$A$6:$G$1011,7,0)=1,$L299,""),0)</f>
        <v>0</v>
      </c>
      <c r="U299" s="15">
        <f>_xlfn.IFNA(IF(VLOOKUP($J299&amp;U$14,'Mapping A'!$A$6:$G$1011,7,0)=1,$L299,""),0)</f>
        <v>0</v>
      </c>
      <c r="V299" s="15">
        <f>_xlfn.IFNA(IF(VLOOKUP($J299&amp;V$14,'Mapping A'!$A$6:$G$1011,7,0)=1,$L299,""),0)</f>
        <v>0</v>
      </c>
      <c r="W299" s="15">
        <f>_xlfn.IFNA(IF(VLOOKUP($J299&amp;W$14,'Mapping A'!$A$6:$G$1011,7,0)=1,$L299,""),0)</f>
        <v>0</v>
      </c>
      <c r="X299" s="15">
        <f>_xlfn.IFNA(IF(VLOOKUP($J299&amp;X$14,'Mapping A'!$A$6:$G$1011,7,0)=1,$L299,""),0)</f>
        <v>0</v>
      </c>
      <c r="Y299" s="15">
        <f>_xlfn.IFNA(IF(VLOOKUP($J299&amp;Y$14,'Mapping A'!$A$6:$G$1011,7,0)=1,$L299,""),0)</f>
        <v>0</v>
      </c>
      <c r="Z299" s="15">
        <f>_xlfn.IFNA(IF(VLOOKUP($J299&amp;Z$14,'Mapping A'!$A$6:$G$1011,7,0)=1,$L299,""),0)</f>
        <v>0</v>
      </c>
      <c r="AA299" s="15">
        <f>_xlfn.IFNA(IF(VLOOKUP($J299&amp;AA$14,'Mapping A'!$A$6:$G$1011,7,0)=1,$L299,""),0)</f>
        <v>0</v>
      </c>
      <c r="AF299" s="155" t="str">
        <f t="shared" si="109"/>
        <v>CYD2201Contact</v>
      </c>
      <c r="AG299" s="190" t="s">
        <v>178</v>
      </c>
      <c r="AH299" s="190" t="s">
        <v>4</v>
      </c>
      <c r="AI299" s="190">
        <f t="shared" si="102"/>
        <v>6.51</v>
      </c>
      <c r="AJ299" s="292" t="s">
        <v>96</v>
      </c>
      <c r="AK299" s="15"/>
      <c r="AL299" s="15">
        <f t="shared" si="97"/>
        <v>0</v>
      </c>
      <c r="AM299" s="15"/>
      <c r="AN299" s="15">
        <f t="shared" ca="1" si="98"/>
        <v>0</v>
      </c>
      <c r="AO299" s="15">
        <f t="shared" si="99"/>
        <v>0</v>
      </c>
      <c r="AP299" s="15">
        <f t="shared" si="100"/>
        <v>0</v>
      </c>
      <c r="AQ299" s="15"/>
      <c r="AR299" s="190">
        <f t="shared" si="103"/>
        <v>0</v>
      </c>
      <c r="AS299" s="15"/>
      <c r="AT299" s="190">
        <f t="shared" si="104"/>
        <v>0</v>
      </c>
      <c r="AU299" s="190">
        <f t="shared" si="105"/>
        <v>0</v>
      </c>
      <c r="AV299" s="190">
        <f t="shared" si="106"/>
        <v>0</v>
      </c>
      <c r="AW299" s="190">
        <f t="shared" si="107"/>
        <v>0</v>
      </c>
      <c r="AX299" s="190">
        <f t="shared" si="108"/>
        <v>0</v>
      </c>
      <c r="BP299" s="190"/>
    </row>
    <row r="300" spans="2:68" x14ac:dyDescent="0.25">
      <c r="B300" s="98" t="s">
        <v>111</v>
      </c>
      <c r="C300" s="98">
        <v>2014</v>
      </c>
      <c r="D300" s="98" t="s">
        <v>155</v>
      </c>
      <c r="E300" s="98" t="s">
        <v>5</v>
      </c>
      <c r="F300" s="98" t="s">
        <v>131</v>
      </c>
      <c r="G300" s="98">
        <v>2641657.1070000101</v>
      </c>
      <c r="H300" s="299" t="str">
        <f>VLOOKUP(LEFT('Rev Adequacy'!D300,3),'Mapping B'!$D$2:$E$400,2,0)</f>
        <v>N</v>
      </c>
      <c r="I300" s="190"/>
      <c r="J300" s="15" t="s">
        <v>180</v>
      </c>
      <c r="K300" s="190" t="s">
        <v>41</v>
      </c>
      <c r="L300" s="190">
        <f t="shared" si="101"/>
        <v>9.767100000000001</v>
      </c>
      <c r="M300" s="15"/>
      <c r="N300" s="15"/>
      <c r="O300" s="15">
        <f>_xlfn.IFNA(IF(VLOOKUP($J300&amp;O$14,'Mapping A'!$A$6:$G$1011,7,0)=1,$L300,""),0)</f>
        <v>0</v>
      </c>
      <c r="P300" s="15">
        <f>_xlfn.IFNA(IF(VLOOKUP($J300&amp;P$14,'Mapping A'!$A$6:$G$1011,7,0)=1,$L300,""),0)</f>
        <v>0</v>
      </c>
      <c r="Q300" s="15">
        <f>_xlfn.IFNA(IF(VLOOKUP($J300&amp;Q$14,'Mapping A'!$A$6:$G$1011,7,0)=1,$L300,""),0)</f>
        <v>9.767100000000001</v>
      </c>
      <c r="R300" s="15">
        <f>_xlfn.IFNA(IF(VLOOKUP($J300&amp;R$14,'Mapping A'!$A$6:$G$1011,7,0)=1,$L300,""),0)</f>
        <v>0</v>
      </c>
      <c r="S300" s="15">
        <f>_xlfn.IFNA(IF(VLOOKUP($J300&amp;S$14,'Mapping A'!$A$6:$G$1011,7,0)=1,$L300,""),0)</f>
        <v>0</v>
      </c>
      <c r="T300" s="15">
        <f>_xlfn.IFNA(IF(VLOOKUP($J300&amp;T$14,'Mapping A'!$A$6:$G$1011,7,0)=1,$L300,""),0)</f>
        <v>0</v>
      </c>
      <c r="U300" s="15">
        <f>_xlfn.IFNA(IF(VLOOKUP($J300&amp;U$14,'Mapping A'!$A$6:$G$1011,7,0)=1,$L300,""),0)</f>
        <v>0</v>
      </c>
      <c r="V300" s="15">
        <f>_xlfn.IFNA(IF(VLOOKUP($J300&amp;V$14,'Mapping A'!$A$6:$G$1011,7,0)=1,$L300,""),0)</f>
        <v>0</v>
      </c>
      <c r="W300" s="15">
        <f>_xlfn.IFNA(IF(VLOOKUP($J300&amp;W$14,'Mapping A'!$A$6:$G$1011,7,0)=1,$L300,""),0)</f>
        <v>0</v>
      </c>
      <c r="X300" s="15">
        <f>_xlfn.IFNA(IF(VLOOKUP($J300&amp;X$14,'Mapping A'!$A$6:$G$1011,7,0)=1,$L300,""),0)</f>
        <v>0</v>
      </c>
      <c r="Y300" s="15">
        <f>_xlfn.IFNA(IF(VLOOKUP($J300&amp;Y$14,'Mapping A'!$A$6:$G$1011,7,0)=1,$L300,""),0)</f>
        <v>0</v>
      </c>
      <c r="Z300" s="15">
        <f>_xlfn.IFNA(IF(VLOOKUP($J300&amp;Z$14,'Mapping A'!$A$6:$G$1011,7,0)=1,$L300,""),0)</f>
        <v>0</v>
      </c>
      <c r="AA300" s="15">
        <f>_xlfn.IFNA(IF(VLOOKUP($J300&amp;AA$14,'Mapping A'!$A$6:$G$1011,7,0)=1,$L300,""),0)</f>
        <v>0</v>
      </c>
      <c r="AF300" s="155" t="str">
        <f t="shared" si="109"/>
        <v>DOB0331Westpower</v>
      </c>
      <c r="AG300" s="190" t="s">
        <v>180</v>
      </c>
      <c r="AH300" s="190" t="s">
        <v>41</v>
      </c>
      <c r="AI300" s="190">
        <f t="shared" si="102"/>
        <v>9.767100000000001</v>
      </c>
      <c r="AJ300" s="292" t="s">
        <v>96</v>
      </c>
      <c r="AK300" s="15"/>
      <c r="AL300" s="15">
        <f t="shared" si="97"/>
        <v>0</v>
      </c>
      <c r="AM300" s="15"/>
      <c r="AN300" s="15">
        <f t="shared" ca="1" si="98"/>
        <v>0</v>
      </c>
      <c r="AO300" s="15">
        <f t="shared" si="99"/>
        <v>0</v>
      </c>
      <c r="AP300" s="15">
        <f t="shared" si="100"/>
        <v>0</v>
      </c>
      <c r="AQ300" s="15"/>
      <c r="AR300" s="190">
        <f t="shared" si="103"/>
        <v>0</v>
      </c>
      <c r="AS300" s="15"/>
      <c r="AT300" s="190">
        <f t="shared" si="104"/>
        <v>0</v>
      </c>
      <c r="AU300" s="190">
        <f t="shared" si="105"/>
        <v>0</v>
      </c>
      <c r="AV300" s="190">
        <f t="shared" si="106"/>
        <v>0</v>
      </c>
      <c r="AW300" s="190">
        <f t="shared" si="107"/>
        <v>0</v>
      </c>
      <c r="AX300" s="190">
        <f t="shared" si="108"/>
        <v>0</v>
      </c>
      <c r="BP300" s="190"/>
    </row>
    <row r="301" spans="2:68" x14ac:dyDescent="0.25">
      <c r="B301" s="98" t="s">
        <v>552</v>
      </c>
      <c r="C301" s="98">
        <v>2014</v>
      </c>
      <c r="D301" s="98" t="s">
        <v>146</v>
      </c>
      <c r="E301" s="98" t="s">
        <v>6</v>
      </c>
      <c r="F301" s="98" t="s">
        <v>131</v>
      </c>
      <c r="G301" s="248">
        <v>7780.5720000002002</v>
      </c>
      <c r="H301" s="299" t="str">
        <f>VLOOKUP(LEFT('Rev Adequacy'!D301,3),'Mapping B'!$D$2:$E$400,2,0)</f>
        <v>S</v>
      </c>
      <c r="I301" s="190"/>
      <c r="J301" s="15" t="s">
        <v>181</v>
      </c>
      <c r="K301" s="190" t="s">
        <v>31</v>
      </c>
      <c r="L301" s="190">
        <f t="shared" si="101"/>
        <v>12.673500000000001</v>
      </c>
      <c r="M301" s="15"/>
      <c r="N301" s="15"/>
      <c r="O301" s="15">
        <f>_xlfn.IFNA(IF(VLOOKUP($J301&amp;O$14,'Mapping A'!$A$6:$G$1011,7,0)=1,$L301,""),0)</f>
        <v>0</v>
      </c>
      <c r="P301" s="15">
        <f>_xlfn.IFNA(IF(VLOOKUP($J301&amp;P$14,'Mapping A'!$A$6:$G$1011,7,0)=1,$L301,""),0)</f>
        <v>0</v>
      </c>
      <c r="Q301" s="15">
        <f>_xlfn.IFNA(IF(VLOOKUP($J301&amp;Q$14,'Mapping A'!$A$6:$G$1011,7,0)=1,$L301,""),0)</f>
        <v>0</v>
      </c>
      <c r="R301" s="15">
        <f>_xlfn.IFNA(IF(VLOOKUP($J301&amp;R$14,'Mapping A'!$A$6:$G$1011,7,0)=1,$L301,""),0)</f>
        <v>0</v>
      </c>
      <c r="S301" s="15">
        <f>_xlfn.IFNA(IF(VLOOKUP($J301&amp;S$14,'Mapping A'!$A$6:$G$1011,7,0)=1,$L301,""),0)</f>
        <v>0</v>
      </c>
      <c r="T301" s="15">
        <f>_xlfn.IFNA(IF(VLOOKUP($J301&amp;T$14,'Mapping A'!$A$6:$G$1011,7,0)=1,$L301,""),0)</f>
        <v>0</v>
      </c>
      <c r="U301" s="15">
        <f>_xlfn.IFNA(IF(VLOOKUP($J301&amp;U$14,'Mapping A'!$A$6:$G$1011,7,0)=1,$L301,""),0)</f>
        <v>0</v>
      </c>
      <c r="V301" s="15">
        <f>_xlfn.IFNA(IF(VLOOKUP($J301&amp;V$14,'Mapping A'!$A$6:$G$1011,7,0)=1,$L301,""),0)</f>
        <v>0</v>
      </c>
      <c r="W301" s="15">
        <f>_xlfn.IFNA(IF(VLOOKUP($J301&amp;W$14,'Mapping A'!$A$6:$G$1011,7,0)=1,$L301,""),0)</f>
        <v>0</v>
      </c>
      <c r="X301" s="15">
        <f>_xlfn.IFNA(IF(VLOOKUP($J301&amp;X$14,'Mapping A'!$A$6:$G$1011,7,0)=1,$L301,""),0)</f>
        <v>0</v>
      </c>
      <c r="Y301" s="15">
        <f>_xlfn.IFNA(IF(VLOOKUP($J301&amp;Y$14,'Mapping A'!$A$6:$G$1011,7,0)=1,$L301,""),0)</f>
        <v>0</v>
      </c>
      <c r="Z301" s="15">
        <f>_xlfn.IFNA(IF(VLOOKUP($J301&amp;Z$14,'Mapping A'!$A$6:$G$1011,7,0)=1,$L301,""),0)</f>
        <v>0</v>
      </c>
      <c r="AA301" s="15">
        <f>_xlfn.IFNA(IF(VLOOKUP($J301&amp;AA$14,'Mapping A'!$A$6:$G$1011,7,0)=1,$L301,""),0)</f>
        <v>0</v>
      </c>
      <c r="AF301" s="155" t="str">
        <f t="shared" si="109"/>
        <v>DVK0111Scanpower</v>
      </c>
      <c r="AG301" s="190" t="s">
        <v>181</v>
      </c>
      <c r="AH301" s="190" t="s">
        <v>31</v>
      </c>
      <c r="AI301" s="190">
        <f t="shared" si="102"/>
        <v>12.673500000000001</v>
      </c>
      <c r="AJ301" s="292" t="s">
        <v>95</v>
      </c>
      <c r="AK301" s="15"/>
      <c r="AL301" s="15">
        <f t="shared" si="97"/>
        <v>0</v>
      </c>
      <c r="AM301" s="15"/>
      <c r="AN301" s="15">
        <f t="shared" ca="1" si="98"/>
        <v>0</v>
      </c>
      <c r="AO301" s="15">
        <f t="shared" si="99"/>
        <v>0</v>
      </c>
      <c r="AP301" s="15">
        <f t="shared" si="100"/>
        <v>0</v>
      </c>
      <c r="AQ301" s="15"/>
      <c r="AR301" s="190">
        <f t="shared" si="103"/>
        <v>0</v>
      </c>
      <c r="AS301" s="15"/>
      <c r="AT301" s="190">
        <f t="shared" si="104"/>
        <v>0</v>
      </c>
      <c r="AU301" s="190">
        <f t="shared" si="105"/>
        <v>0</v>
      </c>
      <c r="AV301" s="190">
        <f t="shared" si="106"/>
        <v>0</v>
      </c>
      <c r="AW301" s="190">
        <f t="shared" si="107"/>
        <v>0</v>
      </c>
      <c r="AX301" s="190">
        <f t="shared" si="108"/>
        <v>0</v>
      </c>
      <c r="BP301" s="190"/>
    </row>
    <row r="302" spans="2:68" x14ac:dyDescent="0.25">
      <c r="B302" s="98" t="s">
        <v>553</v>
      </c>
      <c r="C302" s="98">
        <v>2014</v>
      </c>
      <c r="D302" s="98" t="s">
        <v>146</v>
      </c>
      <c r="E302" s="98" t="s">
        <v>6</v>
      </c>
      <c r="F302" s="98" t="s">
        <v>131</v>
      </c>
      <c r="G302" s="248">
        <v>20112.566999999501</v>
      </c>
      <c r="H302" s="299" t="str">
        <f>VLOOKUP(LEFT('Rev Adequacy'!D302,3),'Mapping B'!$D$2:$E$400,2,0)</f>
        <v>S</v>
      </c>
      <c r="I302" s="190"/>
      <c r="J302" s="15" t="s">
        <v>182</v>
      </c>
      <c r="K302" s="190" t="s">
        <v>11</v>
      </c>
      <c r="L302" s="190">
        <f t="shared" si="101"/>
        <v>64.562399999999997</v>
      </c>
      <c r="M302" s="15"/>
      <c r="N302" s="15"/>
      <c r="O302" s="15">
        <f>_xlfn.IFNA(IF(VLOOKUP($J302&amp;O$14,'Mapping A'!$A$6:$G$1011,7,0)=1,$L302,""),0)</f>
        <v>0</v>
      </c>
      <c r="P302" s="15">
        <f>_xlfn.IFNA(IF(VLOOKUP($J302&amp;P$14,'Mapping A'!$A$6:$G$1011,7,0)=1,$L302,""),0)</f>
        <v>0</v>
      </c>
      <c r="Q302" s="15">
        <f>_xlfn.IFNA(IF(VLOOKUP($J302&amp;Q$14,'Mapping A'!$A$6:$G$1011,7,0)=1,$L302,""),0)</f>
        <v>0</v>
      </c>
      <c r="R302" s="15">
        <f>_xlfn.IFNA(IF(VLOOKUP($J302&amp;R$14,'Mapping A'!$A$6:$G$1011,7,0)=1,$L302,""),0)</f>
        <v>0</v>
      </c>
      <c r="S302" s="15">
        <f>_xlfn.IFNA(IF(VLOOKUP($J302&amp;S$14,'Mapping A'!$A$6:$G$1011,7,0)=1,$L302,""),0)</f>
        <v>0</v>
      </c>
      <c r="T302" s="15">
        <f>_xlfn.IFNA(IF(VLOOKUP($J302&amp;T$14,'Mapping A'!$A$6:$G$1011,7,0)=1,$L302,""),0)</f>
        <v>64.562399999999997</v>
      </c>
      <c r="U302" s="15">
        <f>_xlfn.IFNA(IF(VLOOKUP($J302&amp;U$14,'Mapping A'!$A$6:$G$1011,7,0)=1,$L302,""),0)</f>
        <v>0</v>
      </c>
      <c r="V302" s="15">
        <f>_xlfn.IFNA(IF(VLOOKUP($J302&amp;V$14,'Mapping A'!$A$6:$G$1011,7,0)=1,$L302,""),0)</f>
        <v>0</v>
      </c>
      <c r="W302" s="15">
        <f>_xlfn.IFNA(IF(VLOOKUP($J302&amp;W$14,'Mapping A'!$A$6:$G$1011,7,0)=1,$L302,""),0)</f>
        <v>0</v>
      </c>
      <c r="X302" s="15">
        <f>_xlfn.IFNA(IF(VLOOKUP($J302&amp;X$14,'Mapping A'!$A$6:$G$1011,7,0)=1,$L302,""),0)</f>
        <v>0</v>
      </c>
      <c r="Y302" s="15">
        <f>_xlfn.IFNA(IF(VLOOKUP($J302&amp;Y$14,'Mapping A'!$A$6:$G$1011,7,0)=1,$L302,""),0)</f>
        <v>0</v>
      </c>
      <c r="Z302" s="15">
        <f>_xlfn.IFNA(IF(VLOOKUP($J302&amp;Z$14,'Mapping A'!$A$6:$G$1011,7,0)=1,$L302,""),0)</f>
        <v>0</v>
      </c>
      <c r="AA302" s="15">
        <f>_xlfn.IFNA(IF(VLOOKUP($J302&amp;AA$14,'Mapping A'!$A$6:$G$1011,7,0)=1,$L302,""),0)</f>
        <v>0</v>
      </c>
      <c r="AF302" s="155" t="str">
        <f t="shared" si="109"/>
        <v>EDG0331Horizon</v>
      </c>
      <c r="AG302" s="190" t="s">
        <v>182</v>
      </c>
      <c r="AH302" s="190" t="s">
        <v>11</v>
      </c>
      <c r="AI302" s="190">
        <f t="shared" si="102"/>
        <v>64.562399999999997</v>
      </c>
      <c r="AJ302" s="292" t="s">
        <v>95</v>
      </c>
      <c r="AK302" s="15"/>
      <c r="AL302" s="15">
        <f t="shared" si="97"/>
        <v>0</v>
      </c>
      <c r="AM302" s="15"/>
      <c r="AN302" s="15">
        <f t="shared" ca="1" si="98"/>
        <v>0</v>
      </c>
      <c r="AO302" s="15">
        <f t="shared" si="99"/>
        <v>0</v>
      </c>
      <c r="AP302" s="15">
        <f t="shared" si="100"/>
        <v>0</v>
      </c>
      <c r="AQ302" s="15"/>
      <c r="AR302" s="190">
        <f t="shared" si="103"/>
        <v>0</v>
      </c>
      <c r="AS302" s="15"/>
      <c r="AT302" s="190">
        <f t="shared" si="104"/>
        <v>0</v>
      </c>
      <c r="AU302" s="190">
        <f t="shared" si="105"/>
        <v>0</v>
      </c>
      <c r="AV302" s="190">
        <f t="shared" si="106"/>
        <v>0</v>
      </c>
      <c r="AW302" s="190">
        <f t="shared" si="107"/>
        <v>0</v>
      </c>
      <c r="AX302" s="190">
        <f t="shared" si="108"/>
        <v>0</v>
      </c>
      <c r="BP302" s="190"/>
    </row>
    <row r="303" spans="2:68" x14ac:dyDescent="0.25">
      <c r="B303" s="98" t="s">
        <v>554</v>
      </c>
      <c r="C303" s="98">
        <v>2014</v>
      </c>
      <c r="D303" s="98" t="s">
        <v>146</v>
      </c>
      <c r="E303" s="98" t="s">
        <v>6</v>
      </c>
      <c r="F303" s="98" t="s">
        <v>131</v>
      </c>
      <c r="G303" s="98">
        <v>35465.894</v>
      </c>
      <c r="H303" s="299" t="str">
        <f>VLOOKUP(LEFT('Rev Adequacy'!D303,3),'Mapping B'!$D$2:$E$400,2,0)</f>
        <v>S</v>
      </c>
      <c r="I303" s="190"/>
      <c r="J303" s="15" t="s">
        <v>183</v>
      </c>
      <c r="K303" s="190" t="s">
        <v>105</v>
      </c>
      <c r="L303" s="190">
        <f t="shared" si="101"/>
        <v>28.740599999999997</v>
      </c>
      <c r="M303" s="15"/>
      <c r="N303" s="15"/>
      <c r="O303" s="15">
        <f>_xlfn.IFNA(IF(VLOOKUP($J303&amp;O$14,'Mapping A'!$A$6:$G$1011,7,0)=1,$L303,""),0)</f>
        <v>0</v>
      </c>
      <c r="P303" s="15">
        <f>_xlfn.IFNA(IF(VLOOKUP($J303&amp;P$14,'Mapping A'!$A$6:$G$1011,7,0)=1,$L303,""),0)</f>
        <v>0</v>
      </c>
      <c r="Q303" s="15">
        <f>_xlfn.IFNA(IF(VLOOKUP($J303&amp;Q$14,'Mapping A'!$A$6:$G$1011,7,0)=1,$L303,""),0)</f>
        <v>28.740599999999997</v>
      </c>
      <c r="R303" s="15">
        <f>_xlfn.IFNA(IF(VLOOKUP($J303&amp;R$14,'Mapping A'!$A$6:$G$1011,7,0)=1,$L303,""),0)</f>
        <v>0</v>
      </c>
      <c r="S303" s="15">
        <f>_xlfn.IFNA(IF(VLOOKUP($J303&amp;S$14,'Mapping A'!$A$6:$G$1011,7,0)=1,$L303,""),0)</f>
        <v>0</v>
      </c>
      <c r="T303" s="15">
        <f>_xlfn.IFNA(IF(VLOOKUP($J303&amp;T$14,'Mapping A'!$A$6:$G$1011,7,0)=1,$L303,""),0)</f>
        <v>0</v>
      </c>
      <c r="U303" s="15">
        <f>_xlfn.IFNA(IF(VLOOKUP($J303&amp;U$14,'Mapping A'!$A$6:$G$1011,7,0)=1,$L303,""),0)</f>
        <v>0</v>
      </c>
      <c r="V303" s="15">
        <f>_xlfn.IFNA(IF(VLOOKUP($J303&amp;V$14,'Mapping A'!$A$6:$G$1011,7,0)=1,$L303,""),0)</f>
        <v>0</v>
      </c>
      <c r="W303" s="15">
        <f>_xlfn.IFNA(IF(VLOOKUP($J303&amp;W$14,'Mapping A'!$A$6:$G$1011,7,0)=1,$L303,""),0)</f>
        <v>0</v>
      </c>
      <c r="X303" s="15">
        <f>_xlfn.IFNA(IF(VLOOKUP($J303&amp;X$14,'Mapping A'!$A$6:$G$1011,7,0)=1,$L303,""),0)</f>
        <v>0</v>
      </c>
      <c r="Y303" s="15">
        <f>_xlfn.IFNA(IF(VLOOKUP($J303&amp;Y$14,'Mapping A'!$A$6:$G$1011,7,0)=1,$L303,""),0)</f>
        <v>0</v>
      </c>
      <c r="Z303" s="15">
        <f>_xlfn.IFNA(IF(VLOOKUP($J303&amp;Z$14,'Mapping A'!$A$6:$G$1011,7,0)=1,$L303,""),0)</f>
        <v>0</v>
      </c>
      <c r="AA303" s="15">
        <f>_xlfn.IFNA(IF(VLOOKUP($J303&amp;AA$14,'Mapping A'!$A$6:$G$1011,7,0)=1,$L303,""),0)</f>
        <v>0</v>
      </c>
      <c r="AF303" s="155" t="str">
        <f t="shared" si="109"/>
        <v>EDN0331The Power Company</v>
      </c>
      <c r="AG303" s="190" t="s">
        <v>183</v>
      </c>
      <c r="AH303" s="190" t="s">
        <v>105</v>
      </c>
      <c r="AI303" s="190">
        <f t="shared" si="102"/>
        <v>28.740599999999997</v>
      </c>
      <c r="AJ303" s="292" t="s">
        <v>96</v>
      </c>
      <c r="AK303" s="15"/>
      <c r="AL303" s="15">
        <f t="shared" si="97"/>
        <v>0</v>
      </c>
      <c r="AM303" s="15"/>
      <c r="AN303" s="15">
        <f t="shared" ca="1" si="98"/>
        <v>0</v>
      </c>
      <c r="AO303" s="15">
        <f t="shared" si="99"/>
        <v>0</v>
      </c>
      <c r="AP303" s="15">
        <f t="shared" si="100"/>
        <v>0</v>
      </c>
      <c r="AQ303" s="15"/>
      <c r="AR303" s="190">
        <f t="shared" si="103"/>
        <v>0</v>
      </c>
      <c r="AS303" s="15"/>
      <c r="AT303" s="190">
        <f t="shared" si="104"/>
        <v>0</v>
      </c>
      <c r="AU303" s="190">
        <f t="shared" si="105"/>
        <v>0</v>
      </c>
      <c r="AV303" s="190">
        <f t="shared" si="106"/>
        <v>0</v>
      </c>
      <c r="AW303" s="190">
        <f t="shared" si="107"/>
        <v>0</v>
      </c>
      <c r="AX303" s="190">
        <f t="shared" si="108"/>
        <v>0</v>
      </c>
      <c r="BP303" s="190"/>
    </row>
    <row r="304" spans="2:68" x14ac:dyDescent="0.25">
      <c r="B304" s="98" t="s">
        <v>563</v>
      </c>
      <c r="C304" s="98">
        <v>2014</v>
      </c>
      <c r="D304" s="98" t="s">
        <v>146</v>
      </c>
      <c r="E304" s="98" t="s">
        <v>6</v>
      </c>
      <c r="F304" s="98" t="s">
        <v>131</v>
      </c>
      <c r="G304" s="98">
        <v>125184.696</v>
      </c>
      <c r="H304" s="299" t="str">
        <f>VLOOKUP(LEFT('Rev Adequacy'!D304,3),'Mapping B'!$D$2:$E$400,2,0)</f>
        <v>S</v>
      </c>
      <c r="I304" s="190"/>
      <c r="J304" s="15" t="s">
        <v>184</v>
      </c>
      <c r="K304" s="190" t="s">
        <v>36</v>
      </c>
      <c r="L304" s="190">
        <f t="shared" si="101"/>
        <v>52.592400000000005</v>
      </c>
      <c r="M304" s="15"/>
      <c r="N304" s="15"/>
      <c r="O304" s="15">
        <f>_xlfn.IFNA(IF(VLOOKUP($J304&amp;O$14,'Mapping A'!$A$6:$G$1011,7,0)=1,$L304,""),0)</f>
        <v>0</v>
      </c>
      <c r="P304" s="15">
        <f>_xlfn.IFNA(IF(VLOOKUP($J304&amp;P$14,'Mapping A'!$A$6:$G$1011,7,0)=1,$L304,""),0)</f>
        <v>0</v>
      </c>
      <c r="Q304" s="15">
        <f>_xlfn.IFNA(IF(VLOOKUP($J304&amp;Q$14,'Mapping A'!$A$6:$G$1011,7,0)=1,$L304,""),0)</f>
        <v>0</v>
      </c>
      <c r="R304" s="15">
        <f>_xlfn.IFNA(IF(VLOOKUP($J304&amp;R$14,'Mapping A'!$A$6:$G$1011,7,0)=1,$L304,""),0)</f>
        <v>0</v>
      </c>
      <c r="S304" s="15">
        <f>_xlfn.IFNA(IF(VLOOKUP($J304&amp;S$14,'Mapping A'!$A$6:$G$1011,7,0)=1,$L304,""),0)</f>
        <v>0</v>
      </c>
      <c r="T304" s="15">
        <f>_xlfn.IFNA(IF(VLOOKUP($J304&amp;T$14,'Mapping A'!$A$6:$G$1011,7,0)=1,$L304,""),0)</f>
        <v>52.592400000000005</v>
      </c>
      <c r="U304" s="15">
        <f>_xlfn.IFNA(IF(VLOOKUP($J304&amp;U$14,'Mapping A'!$A$6:$G$1011,7,0)=1,$L304,""),0)</f>
        <v>0</v>
      </c>
      <c r="V304" s="15">
        <f>_xlfn.IFNA(IF(VLOOKUP($J304&amp;V$14,'Mapping A'!$A$6:$G$1011,7,0)=1,$L304,""),0)</f>
        <v>0</v>
      </c>
      <c r="W304" s="15">
        <f>_xlfn.IFNA(IF(VLOOKUP($J304&amp;W$14,'Mapping A'!$A$6:$G$1011,7,0)=1,$L304,""),0)</f>
        <v>0</v>
      </c>
      <c r="X304" s="15">
        <f>_xlfn.IFNA(IF(VLOOKUP($J304&amp;X$14,'Mapping A'!$A$6:$G$1011,7,0)=1,$L304,""),0)</f>
        <v>0</v>
      </c>
      <c r="Y304" s="15">
        <f>_xlfn.IFNA(IF(VLOOKUP($J304&amp;Y$14,'Mapping A'!$A$6:$G$1011,7,0)=1,$L304,""),0)</f>
        <v>0</v>
      </c>
      <c r="Z304" s="15">
        <f>_xlfn.IFNA(IF(VLOOKUP($J304&amp;Z$14,'Mapping A'!$A$6:$G$1011,7,0)=1,$L304,""),0)</f>
        <v>0</v>
      </c>
      <c r="AA304" s="15">
        <f>_xlfn.IFNA(IF(VLOOKUP($J304&amp;AA$14,'Mapping A'!$A$6:$G$1011,7,0)=1,$L304,""),0)</f>
        <v>0</v>
      </c>
      <c r="AF304" s="155" t="str">
        <f t="shared" si="109"/>
        <v>FHL0331Unison</v>
      </c>
      <c r="AG304" s="190" t="s">
        <v>184</v>
      </c>
      <c r="AH304" s="190" t="s">
        <v>36</v>
      </c>
      <c r="AI304" s="190">
        <f t="shared" si="102"/>
        <v>52.592400000000005</v>
      </c>
      <c r="AJ304" s="292" t="s">
        <v>95</v>
      </c>
      <c r="AK304" s="15"/>
      <c r="AL304" s="15">
        <f t="shared" si="97"/>
        <v>0</v>
      </c>
      <c r="AM304" s="15"/>
      <c r="AN304" s="15">
        <f t="shared" ca="1" si="98"/>
        <v>0</v>
      </c>
      <c r="AO304" s="15">
        <f t="shared" si="99"/>
        <v>0</v>
      </c>
      <c r="AP304" s="15">
        <f t="shared" si="100"/>
        <v>0</v>
      </c>
      <c r="AQ304" s="15"/>
      <c r="AR304" s="190">
        <f t="shared" si="103"/>
        <v>0</v>
      </c>
      <c r="AS304" s="15"/>
      <c r="AT304" s="190">
        <f t="shared" si="104"/>
        <v>0</v>
      </c>
      <c r="AU304" s="190">
        <f t="shared" si="105"/>
        <v>0</v>
      </c>
      <c r="AV304" s="190">
        <f t="shared" si="106"/>
        <v>0</v>
      </c>
      <c r="AW304" s="190">
        <f t="shared" si="107"/>
        <v>0</v>
      </c>
      <c r="AX304" s="190">
        <f t="shared" si="108"/>
        <v>0</v>
      </c>
      <c r="BP304" s="190"/>
    </row>
    <row r="305" spans="2:68" x14ac:dyDescent="0.25">
      <c r="B305" s="98" t="s">
        <v>555</v>
      </c>
      <c r="C305" s="98">
        <v>2014</v>
      </c>
      <c r="D305" s="98" t="s">
        <v>146</v>
      </c>
      <c r="E305" s="98" t="s">
        <v>6</v>
      </c>
      <c r="F305" s="98" t="s">
        <v>131</v>
      </c>
      <c r="G305" s="98">
        <v>49597.469000000099</v>
      </c>
      <c r="H305" s="299" t="str">
        <f>VLOOKUP(LEFT('Rev Adequacy'!D305,3),'Mapping B'!$D$2:$E$400,2,0)</f>
        <v>S</v>
      </c>
      <c r="I305" s="190"/>
      <c r="J305" s="15" t="s">
        <v>185</v>
      </c>
      <c r="K305" s="190" t="s">
        <v>1</v>
      </c>
      <c r="L305" s="190">
        <f t="shared" si="101"/>
        <v>56.477400000000003</v>
      </c>
      <c r="M305" s="15"/>
      <c r="N305" s="15"/>
      <c r="O305" s="15">
        <f>_xlfn.IFNA(IF(VLOOKUP($J305&amp;O$14,'Mapping A'!$A$6:$G$1011,7,0)=1,$L305,""),0)</f>
        <v>0</v>
      </c>
      <c r="P305" s="15">
        <f>_xlfn.IFNA(IF(VLOOKUP($J305&amp;P$14,'Mapping A'!$A$6:$G$1011,7,0)=1,$L305,""),0)</f>
        <v>0</v>
      </c>
      <c r="Q305" s="15">
        <f>_xlfn.IFNA(IF(VLOOKUP($J305&amp;Q$14,'Mapping A'!$A$6:$G$1011,7,0)=1,$L305,""),0)</f>
        <v>56.477400000000003</v>
      </c>
      <c r="R305" s="15">
        <f>_xlfn.IFNA(IF(VLOOKUP($J305&amp;R$14,'Mapping A'!$A$6:$G$1011,7,0)=1,$L305,""),0)</f>
        <v>0</v>
      </c>
      <c r="S305" s="15">
        <f>_xlfn.IFNA(IF(VLOOKUP($J305&amp;S$14,'Mapping A'!$A$6:$G$1011,7,0)=1,$L305,""),0)</f>
        <v>0</v>
      </c>
      <c r="T305" s="15">
        <f>_xlfn.IFNA(IF(VLOOKUP($J305&amp;T$14,'Mapping A'!$A$6:$G$1011,7,0)=1,$L305,""),0)</f>
        <v>0</v>
      </c>
      <c r="U305" s="15">
        <f>_xlfn.IFNA(IF(VLOOKUP($J305&amp;U$14,'Mapping A'!$A$6:$G$1011,7,0)=1,$L305,""),0)</f>
        <v>0</v>
      </c>
      <c r="V305" s="15">
        <f>_xlfn.IFNA(IF(VLOOKUP($J305&amp;V$14,'Mapping A'!$A$6:$G$1011,7,0)=1,$L305,""),0)</f>
        <v>0</v>
      </c>
      <c r="W305" s="15">
        <f>_xlfn.IFNA(IF(VLOOKUP($J305&amp;W$14,'Mapping A'!$A$6:$G$1011,7,0)=1,$L305,""),0)</f>
        <v>0</v>
      </c>
      <c r="X305" s="15">
        <f>_xlfn.IFNA(IF(VLOOKUP($J305&amp;X$14,'Mapping A'!$A$6:$G$1011,7,0)=1,$L305,""),0)</f>
        <v>0</v>
      </c>
      <c r="Y305" s="15">
        <f>_xlfn.IFNA(IF(VLOOKUP($J305&amp;Y$14,'Mapping A'!$A$6:$G$1011,7,0)=1,$L305,""),0)</f>
        <v>0</v>
      </c>
      <c r="Z305" s="15">
        <f>_xlfn.IFNA(IF(VLOOKUP($J305&amp;Z$14,'Mapping A'!$A$6:$G$1011,7,0)=1,$L305,""),0)</f>
        <v>0</v>
      </c>
      <c r="AA305" s="15">
        <f>_xlfn.IFNA(IF(VLOOKUP($J305&amp;AA$14,'Mapping A'!$A$6:$G$1011,7,0)=1,$L305,""),0)</f>
        <v>0</v>
      </c>
      <c r="AF305" s="155" t="str">
        <f t="shared" si="109"/>
        <v>FKN0331Aurora Energy</v>
      </c>
      <c r="AG305" s="190" t="s">
        <v>185</v>
      </c>
      <c r="AH305" s="190" t="s">
        <v>1</v>
      </c>
      <c r="AI305" s="190">
        <f t="shared" si="102"/>
        <v>56.477400000000003</v>
      </c>
      <c r="AJ305" s="292" t="s">
        <v>96</v>
      </c>
      <c r="AK305" s="15"/>
      <c r="AL305" s="15">
        <f t="shared" si="97"/>
        <v>0</v>
      </c>
      <c r="AM305" s="15"/>
      <c r="AN305" s="15">
        <f t="shared" ca="1" si="98"/>
        <v>0</v>
      </c>
      <c r="AO305" s="15">
        <f t="shared" si="99"/>
        <v>0</v>
      </c>
      <c r="AP305" s="15">
        <f t="shared" si="100"/>
        <v>0</v>
      </c>
      <c r="AQ305" s="15"/>
      <c r="AR305" s="190">
        <f t="shared" si="103"/>
        <v>0</v>
      </c>
      <c r="AS305" s="15"/>
      <c r="AT305" s="190">
        <f t="shared" si="104"/>
        <v>0</v>
      </c>
      <c r="AU305" s="190">
        <f t="shared" si="105"/>
        <v>0</v>
      </c>
      <c r="AV305" s="190">
        <f t="shared" si="106"/>
        <v>0</v>
      </c>
      <c r="AW305" s="190">
        <f t="shared" si="107"/>
        <v>0</v>
      </c>
      <c r="AX305" s="190">
        <f t="shared" si="108"/>
        <v>0</v>
      </c>
      <c r="BP305" s="190"/>
    </row>
    <row r="306" spans="2:68" x14ac:dyDescent="0.25">
      <c r="B306" s="98" t="s">
        <v>112</v>
      </c>
      <c r="C306" s="98">
        <v>2014</v>
      </c>
      <c r="D306" s="98" t="s">
        <v>146</v>
      </c>
      <c r="E306" s="98" t="s">
        <v>6</v>
      </c>
      <c r="F306" s="98" t="s">
        <v>131</v>
      </c>
      <c r="G306" s="98">
        <v>0</v>
      </c>
      <c r="H306" s="299" t="str">
        <f>VLOOKUP(LEFT('Rev Adequacy'!D306,3),'Mapping B'!$D$2:$E$400,2,0)</f>
        <v>S</v>
      </c>
      <c r="I306" s="190"/>
      <c r="J306" s="15" t="s">
        <v>185</v>
      </c>
      <c r="K306" s="190" t="s">
        <v>102</v>
      </c>
      <c r="L306" s="190">
        <f t="shared" si="101"/>
        <v>2.7845999999999997</v>
      </c>
      <c r="M306" s="15"/>
      <c r="N306" s="15"/>
      <c r="O306" s="15">
        <f>_xlfn.IFNA(IF(VLOOKUP($J306&amp;O$14,'Mapping A'!$A$6:$G$1011,7,0)=1,$L306,""),0)</f>
        <v>0</v>
      </c>
      <c r="P306" s="15">
        <f>_xlfn.IFNA(IF(VLOOKUP($J306&amp;P$14,'Mapping A'!$A$6:$G$1011,7,0)=1,$L306,""),0)</f>
        <v>0</v>
      </c>
      <c r="Q306" s="15">
        <f>_xlfn.IFNA(IF(VLOOKUP($J306&amp;Q$14,'Mapping A'!$A$6:$G$1011,7,0)=1,$L306,""),0)</f>
        <v>2.7845999999999997</v>
      </c>
      <c r="R306" s="15">
        <f>_xlfn.IFNA(IF(VLOOKUP($J306&amp;R$14,'Mapping A'!$A$6:$G$1011,7,0)=1,$L306,""),0)</f>
        <v>0</v>
      </c>
      <c r="S306" s="15">
        <f>_xlfn.IFNA(IF(VLOOKUP($J306&amp;S$14,'Mapping A'!$A$6:$G$1011,7,0)=1,$L306,""),0)</f>
        <v>0</v>
      </c>
      <c r="T306" s="15">
        <f>_xlfn.IFNA(IF(VLOOKUP($J306&amp;T$14,'Mapping A'!$A$6:$G$1011,7,0)=1,$L306,""),0)</f>
        <v>0</v>
      </c>
      <c r="U306" s="15">
        <f>_xlfn.IFNA(IF(VLOOKUP($J306&amp;U$14,'Mapping A'!$A$6:$G$1011,7,0)=1,$L306,""),0)</f>
        <v>0</v>
      </c>
      <c r="V306" s="15">
        <f>_xlfn.IFNA(IF(VLOOKUP($J306&amp;V$14,'Mapping A'!$A$6:$G$1011,7,0)=1,$L306,""),0)</f>
        <v>0</v>
      </c>
      <c r="W306" s="15">
        <f>_xlfn.IFNA(IF(VLOOKUP($J306&amp;W$14,'Mapping A'!$A$6:$G$1011,7,0)=1,$L306,""),0)</f>
        <v>0</v>
      </c>
      <c r="X306" s="15">
        <f>_xlfn.IFNA(IF(VLOOKUP($J306&amp;X$14,'Mapping A'!$A$6:$G$1011,7,0)=1,$L306,""),0)</f>
        <v>0</v>
      </c>
      <c r="Y306" s="15">
        <f>_xlfn.IFNA(IF(VLOOKUP($J306&amp;Y$14,'Mapping A'!$A$6:$G$1011,7,0)=1,$L306,""),0)</f>
        <v>0</v>
      </c>
      <c r="Z306" s="15">
        <f>_xlfn.IFNA(IF(VLOOKUP($J306&amp;Z$14,'Mapping A'!$A$6:$G$1011,7,0)=1,$L306,""),0)</f>
        <v>0</v>
      </c>
      <c r="AA306" s="15">
        <f>_xlfn.IFNA(IF(VLOOKUP($J306&amp;AA$14,'Mapping A'!$A$6:$G$1011,7,0)=1,$L306,""),0)</f>
        <v>0</v>
      </c>
      <c r="AF306" s="155" t="str">
        <f t="shared" si="109"/>
        <v>FKN0331Lakeland Network</v>
      </c>
      <c r="AG306" s="190" t="s">
        <v>185</v>
      </c>
      <c r="AH306" s="190" t="s">
        <v>102</v>
      </c>
      <c r="AI306" s="190">
        <f t="shared" si="102"/>
        <v>2.7845999999999997</v>
      </c>
      <c r="AJ306" s="292" t="s">
        <v>96</v>
      </c>
      <c r="AK306" s="15"/>
      <c r="AL306" s="15">
        <f t="shared" si="97"/>
        <v>0</v>
      </c>
      <c r="AM306" s="15"/>
      <c r="AN306" s="15">
        <f t="shared" ca="1" si="98"/>
        <v>0</v>
      </c>
      <c r="AO306" s="15">
        <f t="shared" si="99"/>
        <v>0</v>
      </c>
      <c r="AP306" s="15">
        <f t="shared" si="100"/>
        <v>0</v>
      </c>
      <c r="AQ306" s="15"/>
      <c r="AR306" s="190">
        <f t="shared" si="103"/>
        <v>0</v>
      </c>
      <c r="AS306" s="15"/>
      <c r="AT306" s="190">
        <f t="shared" si="104"/>
        <v>0</v>
      </c>
      <c r="AU306" s="190">
        <f t="shared" si="105"/>
        <v>0</v>
      </c>
      <c r="AV306" s="190">
        <f t="shared" si="106"/>
        <v>0</v>
      </c>
      <c r="AW306" s="190">
        <f t="shared" si="107"/>
        <v>0</v>
      </c>
      <c r="AX306" s="190">
        <f t="shared" si="108"/>
        <v>0</v>
      </c>
      <c r="BP306" s="190"/>
    </row>
    <row r="307" spans="2:68" x14ac:dyDescent="0.25">
      <c r="B307" s="98" t="s">
        <v>111</v>
      </c>
      <c r="C307" s="98">
        <v>2014</v>
      </c>
      <c r="D307" s="98" t="s">
        <v>146</v>
      </c>
      <c r="E307" s="98" t="s">
        <v>6</v>
      </c>
      <c r="F307" s="98" t="s">
        <v>131</v>
      </c>
      <c r="G307" s="98">
        <v>0</v>
      </c>
      <c r="H307" s="299" t="str">
        <f>VLOOKUP(LEFT('Rev Adequacy'!D307,3),'Mapping B'!$D$2:$E$400,2,0)</f>
        <v>S</v>
      </c>
      <c r="I307" s="190"/>
      <c r="J307" s="15" t="s">
        <v>186</v>
      </c>
      <c r="K307" s="190" t="s">
        <v>40</v>
      </c>
      <c r="L307" s="190">
        <f t="shared" si="101"/>
        <v>62.397300000000001</v>
      </c>
      <c r="M307" s="15"/>
      <c r="N307" s="15"/>
      <c r="O307" s="15">
        <f>_xlfn.IFNA(IF(VLOOKUP($J307&amp;O$14,'Mapping A'!$A$6:$G$1011,7,0)=1,$L307,""),0)</f>
        <v>0</v>
      </c>
      <c r="P307" s="15">
        <f>_xlfn.IFNA(IF(VLOOKUP($J307&amp;P$14,'Mapping A'!$A$6:$G$1011,7,0)=1,$L307,""),0)</f>
        <v>0</v>
      </c>
      <c r="Q307" s="15">
        <f>_xlfn.IFNA(IF(VLOOKUP($J307&amp;Q$14,'Mapping A'!$A$6:$G$1011,7,0)=1,$L307,""),0)</f>
        <v>0</v>
      </c>
      <c r="R307" s="15">
        <f>_xlfn.IFNA(IF(VLOOKUP($J307&amp;R$14,'Mapping A'!$A$6:$G$1011,7,0)=1,$L307,""),0)</f>
        <v>0</v>
      </c>
      <c r="S307" s="15">
        <f>_xlfn.IFNA(IF(VLOOKUP($J307&amp;S$14,'Mapping A'!$A$6:$G$1011,7,0)=1,$L307,""),0)</f>
        <v>0</v>
      </c>
      <c r="T307" s="15">
        <f>_xlfn.IFNA(IF(VLOOKUP($J307&amp;T$14,'Mapping A'!$A$6:$G$1011,7,0)=1,$L307,""),0)</f>
        <v>0</v>
      </c>
      <c r="U307" s="15">
        <f>_xlfn.IFNA(IF(VLOOKUP($J307&amp;U$14,'Mapping A'!$A$6:$G$1011,7,0)=1,$L307,""),0)</f>
        <v>0</v>
      </c>
      <c r="V307" s="15">
        <f>_xlfn.IFNA(IF(VLOOKUP($J307&amp;V$14,'Mapping A'!$A$6:$G$1011,7,0)=1,$L307,""),0)</f>
        <v>0</v>
      </c>
      <c r="W307" s="15">
        <f>_xlfn.IFNA(IF(VLOOKUP($J307&amp;W$14,'Mapping A'!$A$6:$G$1011,7,0)=1,$L307,""),0)</f>
        <v>0</v>
      </c>
      <c r="X307" s="15">
        <f>_xlfn.IFNA(IF(VLOOKUP($J307&amp;X$14,'Mapping A'!$A$6:$G$1011,7,0)=1,$L307,""),0)</f>
        <v>0</v>
      </c>
      <c r="Y307" s="15">
        <f>_xlfn.IFNA(IF(VLOOKUP($J307&amp;Y$14,'Mapping A'!$A$6:$G$1011,7,0)=1,$L307,""),0)</f>
        <v>0</v>
      </c>
      <c r="Z307" s="15">
        <f>_xlfn.IFNA(IF(VLOOKUP($J307&amp;Z$14,'Mapping A'!$A$6:$G$1011,7,0)=1,$L307,""),0)</f>
        <v>0</v>
      </c>
      <c r="AA307" s="15">
        <f>_xlfn.IFNA(IF(VLOOKUP($J307&amp;AA$14,'Mapping A'!$A$6:$G$1011,7,0)=1,$L307,""),0)</f>
        <v>0</v>
      </c>
      <c r="AF307" s="155" t="str">
        <f t="shared" si="109"/>
        <v>GFD0331Wellington Electricity</v>
      </c>
      <c r="AG307" s="190" t="s">
        <v>186</v>
      </c>
      <c r="AH307" s="190" t="s">
        <v>40</v>
      </c>
      <c r="AI307" s="190">
        <f t="shared" si="102"/>
        <v>62.397300000000001</v>
      </c>
      <c r="AJ307" s="292" t="s">
        <v>95</v>
      </c>
      <c r="AK307" s="15"/>
      <c r="AL307" s="15">
        <f t="shared" si="97"/>
        <v>0</v>
      </c>
      <c r="AM307" s="15"/>
      <c r="AN307" s="15">
        <f t="shared" ca="1" si="98"/>
        <v>0</v>
      </c>
      <c r="AO307" s="15">
        <f t="shared" si="99"/>
        <v>0</v>
      </c>
      <c r="AP307" s="15">
        <f t="shared" si="100"/>
        <v>0</v>
      </c>
      <c r="AQ307" s="15"/>
      <c r="AR307" s="190">
        <f t="shared" si="103"/>
        <v>0</v>
      </c>
      <c r="AS307" s="15"/>
      <c r="AT307" s="190">
        <f t="shared" si="104"/>
        <v>0</v>
      </c>
      <c r="AU307" s="190">
        <f t="shared" si="105"/>
        <v>0</v>
      </c>
      <c r="AV307" s="190">
        <f t="shared" si="106"/>
        <v>0</v>
      </c>
      <c r="AW307" s="190">
        <f t="shared" si="107"/>
        <v>0</v>
      </c>
      <c r="AX307" s="190">
        <f t="shared" si="108"/>
        <v>0</v>
      </c>
      <c r="BP307" s="190"/>
    </row>
    <row r="308" spans="2:68" x14ac:dyDescent="0.25">
      <c r="B308" s="98" t="s">
        <v>552</v>
      </c>
      <c r="C308" s="98">
        <v>2014</v>
      </c>
      <c r="D308" s="98" t="s">
        <v>353</v>
      </c>
      <c r="E308" s="98" t="s">
        <v>7</v>
      </c>
      <c r="F308" s="98" t="s">
        <v>131</v>
      </c>
      <c r="G308" s="248">
        <v>1049.8119999999501</v>
      </c>
      <c r="H308" s="299" t="str">
        <f>VLOOKUP(LEFT('Rev Adequacy'!D308,3),'Mapping B'!$D$2:$E$400,2,0)</f>
        <v>N</v>
      </c>
      <c r="I308" s="190"/>
      <c r="J308" s="15" t="s">
        <v>402</v>
      </c>
      <c r="K308" s="190" t="s">
        <v>24</v>
      </c>
      <c r="L308" s="190">
        <f t="shared" si="101"/>
        <v>112.31219999999999</v>
      </c>
      <c r="M308" s="15"/>
      <c r="N308" s="15"/>
      <c r="O308" s="15">
        <f>_xlfn.IFNA(IF(VLOOKUP($J308&amp;O$14,'Mapping A'!$A$6:$G$1011,7,0)=1,$L308,""),0)</f>
        <v>0</v>
      </c>
      <c r="P308" s="15">
        <f>_xlfn.IFNA(IF(VLOOKUP($J308&amp;P$14,'Mapping A'!$A$6:$G$1011,7,0)=1,$L308,""),0)</f>
        <v>0</v>
      </c>
      <c r="Q308" s="15">
        <f>_xlfn.IFNA(IF(VLOOKUP($J308&amp;Q$14,'Mapping A'!$A$6:$G$1011,7,0)=1,$L308,""),0)</f>
        <v>0</v>
      </c>
      <c r="R308" s="15">
        <f>_xlfn.IFNA(IF(VLOOKUP($J308&amp;R$14,'Mapping A'!$A$6:$G$1011,7,0)=1,$L308,""),0)</f>
        <v>0</v>
      </c>
      <c r="S308" s="15">
        <f>_xlfn.IFNA(IF(VLOOKUP($J308&amp;S$14,'Mapping A'!$A$6:$G$1011,7,0)=1,$L308,""),0)</f>
        <v>0</v>
      </c>
      <c r="T308" s="15">
        <f>_xlfn.IFNA(IF(VLOOKUP($J308&amp;T$14,'Mapping A'!$A$6:$G$1011,7,0)=1,$L308,""),0)</f>
        <v>112.31219999999999</v>
      </c>
      <c r="U308" s="15">
        <f>_xlfn.IFNA(IF(VLOOKUP($J308&amp;U$14,'Mapping A'!$A$6:$G$1011,7,0)=1,$L308,""),0)</f>
        <v>0</v>
      </c>
      <c r="V308" s="15">
        <f>_xlfn.IFNA(IF(VLOOKUP($J308&amp;V$14,'Mapping A'!$A$6:$G$1011,7,0)=1,$L308,""),0)</f>
        <v>0</v>
      </c>
      <c r="W308" s="15">
        <f>_xlfn.IFNA(IF(VLOOKUP($J308&amp;W$14,'Mapping A'!$A$6:$G$1011,7,0)=1,$L308,""),0)</f>
        <v>0</v>
      </c>
      <c r="X308" s="15">
        <f>_xlfn.IFNA(IF(VLOOKUP($J308&amp;X$14,'Mapping A'!$A$6:$G$1011,7,0)=1,$L308,""),0)</f>
        <v>0</v>
      </c>
      <c r="Y308" s="15">
        <f>_xlfn.IFNA(IF(VLOOKUP($J308&amp;Y$14,'Mapping A'!$A$6:$G$1011,7,0)=1,$L308,""),0)</f>
        <v>0</v>
      </c>
      <c r="Z308" s="15">
        <f>_xlfn.IFNA(IF(VLOOKUP($J308&amp;Z$14,'Mapping A'!$A$6:$G$1011,7,0)=1,$L308,""),0)</f>
        <v>0</v>
      </c>
      <c r="AA308" s="15">
        <f>_xlfn.IFNA(IF(VLOOKUP($J308&amp;AA$14,'Mapping A'!$A$6:$G$1011,7,0)=1,$L308,""),0)</f>
        <v>0</v>
      </c>
      <c r="AF308" s="155" t="str">
        <f t="shared" si="109"/>
        <v>GLN0331NZ Steel</v>
      </c>
      <c r="AG308" s="190" t="s">
        <v>402</v>
      </c>
      <c r="AH308" s="190" t="s">
        <v>24</v>
      </c>
      <c r="AI308" s="190">
        <f t="shared" si="102"/>
        <v>112.31219999999999</v>
      </c>
      <c r="AJ308" s="292" t="s">
        <v>95</v>
      </c>
      <c r="AK308" s="15"/>
      <c r="AL308" s="15">
        <f t="shared" si="97"/>
        <v>0</v>
      </c>
      <c r="AM308" s="15"/>
      <c r="AN308" s="15">
        <f t="shared" ca="1" si="98"/>
        <v>0</v>
      </c>
      <c r="AO308" s="15">
        <f t="shared" si="99"/>
        <v>0</v>
      </c>
      <c r="AP308" s="15">
        <f t="shared" si="100"/>
        <v>0</v>
      </c>
      <c r="AQ308" s="15"/>
      <c r="AR308" s="190">
        <f t="shared" si="103"/>
        <v>0</v>
      </c>
      <c r="AS308" s="15"/>
      <c r="AT308" s="190">
        <f t="shared" si="104"/>
        <v>0</v>
      </c>
      <c r="AU308" s="190">
        <f t="shared" si="105"/>
        <v>0</v>
      </c>
      <c r="AV308" s="190">
        <f t="shared" si="106"/>
        <v>0</v>
      </c>
      <c r="AW308" s="190">
        <f t="shared" si="107"/>
        <v>0</v>
      </c>
      <c r="AX308" s="190">
        <f t="shared" si="108"/>
        <v>0</v>
      </c>
      <c r="BP308" s="190"/>
    </row>
    <row r="309" spans="2:68" x14ac:dyDescent="0.25">
      <c r="B309" s="98" t="s">
        <v>553</v>
      </c>
      <c r="C309" s="98">
        <v>2014</v>
      </c>
      <c r="D309" s="98" t="s">
        <v>353</v>
      </c>
      <c r="E309" s="98" t="s">
        <v>7</v>
      </c>
      <c r="F309" s="98" t="s">
        <v>131</v>
      </c>
      <c r="G309" s="248">
        <v>105196.060999997</v>
      </c>
      <c r="H309" s="299" t="str">
        <f>VLOOKUP(LEFT('Rev Adequacy'!D309,3),'Mapping B'!$D$2:$E$400,2,0)</f>
        <v>N</v>
      </c>
      <c r="I309" s="190"/>
      <c r="J309" s="15" t="s">
        <v>403</v>
      </c>
      <c r="K309" s="190" t="s">
        <v>5</v>
      </c>
      <c r="L309" s="190">
        <f t="shared" si="101"/>
        <v>38.625300000000003</v>
      </c>
      <c r="M309" s="15"/>
      <c r="N309" s="15"/>
      <c r="O309" s="15">
        <f>_xlfn.IFNA(IF(VLOOKUP($J309&amp;O$14,'Mapping A'!$A$6:$G$1011,7,0)=1,$L309,""),0)</f>
        <v>0</v>
      </c>
      <c r="P309" s="15">
        <f>_xlfn.IFNA(IF(VLOOKUP($J309&amp;P$14,'Mapping A'!$A$6:$G$1011,7,0)=1,$L309,""),0)</f>
        <v>0</v>
      </c>
      <c r="Q309" s="15">
        <f>_xlfn.IFNA(IF(VLOOKUP($J309&amp;Q$14,'Mapping A'!$A$6:$G$1011,7,0)=1,$L309,""),0)</f>
        <v>0</v>
      </c>
      <c r="R309" s="15">
        <f>_xlfn.IFNA(IF(VLOOKUP($J309&amp;R$14,'Mapping A'!$A$6:$G$1011,7,0)=1,$L309,""),0)</f>
        <v>0</v>
      </c>
      <c r="S309" s="15">
        <f>_xlfn.IFNA(IF(VLOOKUP($J309&amp;S$14,'Mapping A'!$A$6:$G$1011,7,0)=1,$L309,""),0)</f>
        <v>0</v>
      </c>
      <c r="T309" s="15">
        <f>_xlfn.IFNA(IF(VLOOKUP($J309&amp;T$14,'Mapping A'!$A$6:$G$1011,7,0)=1,$L309,""),0)</f>
        <v>38.625300000000003</v>
      </c>
      <c r="U309" s="15">
        <f>_xlfn.IFNA(IF(VLOOKUP($J309&amp;U$14,'Mapping A'!$A$6:$G$1011,7,0)=1,$L309,""),0)</f>
        <v>0</v>
      </c>
      <c r="V309" s="15">
        <f>_xlfn.IFNA(IF(VLOOKUP($J309&amp;V$14,'Mapping A'!$A$6:$G$1011,7,0)=1,$L309,""),0)</f>
        <v>0</v>
      </c>
      <c r="W309" s="15">
        <f>_xlfn.IFNA(IF(VLOOKUP($J309&amp;W$14,'Mapping A'!$A$6:$G$1011,7,0)=1,$L309,""),0)</f>
        <v>0</v>
      </c>
      <c r="X309" s="15">
        <f>_xlfn.IFNA(IF(VLOOKUP($J309&amp;X$14,'Mapping A'!$A$6:$G$1011,7,0)=1,$L309,""),0)</f>
        <v>0</v>
      </c>
      <c r="Y309" s="15">
        <f>_xlfn.IFNA(IF(VLOOKUP($J309&amp;Y$14,'Mapping A'!$A$6:$G$1011,7,0)=1,$L309,""),0)</f>
        <v>0</v>
      </c>
      <c r="Z309" s="15">
        <f>_xlfn.IFNA(IF(VLOOKUP($J309&amp;Z$14,'Mapping A'!$A$6:$G$1011,7,0)=1,$L309,""),0)</f>
        <v>0</v>
      </c>
      <c r="AA309" s="15">
        <f>_xlfn.IFNA(IF(VLOOKUP($J309&amp;AA$14,'Mapping A'!$A$6:$G$1011,7,0)=1,$L309,""),0)</f>
        <v>0</v>
      </c>
      <c r="AF309" s="155" t="str">
        <f t="shared" si="109"/>
        <v>GLN0332Counties Power</v>
      </c>
      <c r="AG309" s="190" t="s">
        <v>403</v>
      </c>
      <c r="AH309" s="190" t="s">
        <v>5</v>
      </c>
      <c r="AI309" s="190">
        <f t="shared" si="102"/>
        <v>38.625300000000003</v>
      </c>
      <c r="AJ309" s="292" t="s">
        <v>95</v>
      </c>
      <c r="AK309" s="15"/>
      <c r="AL309" s="15">
        <f t="shared" si="97"/>
        <v>0</v>
      </c>
      <c r="AM309" s="15"/>
      <c r="AN309" s="15">
        <f t="shared" ca="1" si="98"/>
        <v>0</v>
      </c>
      <c r="AO309" s="15">
        <f t="shared" si="99"/>
        <v>0</v>
      </c>
      <c r="AP309" s="15">
        <f t="shared" si="100"/>
        <v>0</v>
      </c>
      <c r="AQ309" s="15"/>
      <c r="AR309" s="190">
        <f t="shared" si="103"/>
        <v>0</v>
      </c>
      <c r="AS309" s="15"/>
      <c r="AT309" s="190">
        <f t="shared" si="104"/>
        <v>0</v>
      </c>
      <c r="AU309" s="190">
        <f t="shared" si="105"/>
        <v>0</v>
      </c>
      <c r="AV309" s="190">
        <f t="shared" si="106"/>
        <v>0</v>
      </c>
      <c r="AW309" s="190">
        <f t="shared" si="107"/>
        <v>0</v>
      </c>
      <c r="AX309" s="190">
        <f t="shared" si="108"/>
        <v>0</v>
      </c>
      <c r="BP309" s="190"/>
    </row>
    <row r="310" spans="2:68" x14ac:dyDescent="0.25">
      <c r="B310" s="98" t="s">
        <v>554</v>
      </c>
      <c r="C310" s="98">
        <v>2014</v>
      </c>
      <c r="D310" s="98" t="s">
        <v>353</v>
      </c>
      <c r="E310" s="98" t="s">
        <v>7</v>
      </c>
      <c r="F310" s="98" t="s">
        <v>131</v>
      </c>
      <c r="G310" s="98">
        <v>0</v>
      </c>
      <c r="H310" s="299" t="str">
        <f>VLOOKUP(LEFT('Rev Adequacy'!D310,3),'Mapping B'!$D$2:$E$400,2,0)</f>
        <v>N</v>
      </c>
      <c r="I310" s="190"/>
      <c r="J310" s="15" t="s">
        <v>403</v>
      </c>
      <c r="K310" s="190" t="s">
        <v>24</v>
      </c>
      <c r="L310" s="190">
        <f t="shared" si="101"/>
        <v>58.123800000000003</v>
      </c>
      <c r="M310" s="15"/>
      <c r="N310" s="15"/>
      <c r="O310" s="15">
        <f>_xlfn.IFNA(IF(VLOOKUP($J310&amp;O$14,'Mapping A'!$A$6:$G$1011,7,0)=1,$L310,""),0)</f>
        <v>0</v>
      </c>
      <c r="P310" s="15">
        <f>_xlfn.IFNA(IF(VLOOKUP($J310&amp;P$14,'Mapping A'!$A$6:$G$1011,7,0)=1,$L310,""),0)</f>
        <v>0</v>
      </c>
      <c r="Q310" s="15">
        <f>_xlfn.IFNA(IF(VLOOKUP($J310&amp;Q$14,'Mapping A'!$A$6:$G$1011,7,0)=1,$L310,""),0)</f>
        <v>0</v>
      </c>
      <c r="R310" s="15">
        <f>_xlfn.IFNA(IF(VLOOKUP($J310&amp;R$14,'Mapping A'!$A$6:$G$1011,7,0)=1,$L310,""),0)</f>
        <v>0</v>
      </c>
      <c r="S310" s="15">
        <f>_xlfn.IFNA(IF(VLOOKUP($J310&amp;S$14,'Mapping A'!$A$6:$G$1011,7,0)=1,$L310,""),0)</f>
        <v>0</v>
      </c>
      <c r="T310" s="15">
        <f>_xlfn.IFNA(IF(VLOOKUP($J310&amp;T$14,'Mapping A'!$A$6:$G$1011,7,0)=1,$L310,""),0)</f>
        <v>58.123800000000003</v>
      </c>
      <c r="U310" s="15">
        <f>_xlfn.IFNA(IF(VLOOKUP($J310&amp;U$14,'Mapping A'!$A$6:$G$1011,7,0)=1,$L310,""),0)</f>
        <v>0</v>
      </c>
      <c r="V310" s="15">
        <f>_xlfn.IFNA(IF(VLOOKUP($J310&amp;V$14,'Mapping A'!$A$6:$G$1011,7,0)=1,$L310,""),0)</f>
        <v>0</v>
      </c>
      <c r="W310" s="15">
        <f>_xlfn.IFNA(IF(VLOOKUP($J310&amp;W$14,'Mapping A'!$A$6:$G$1011,7,0)=1,$L310,""),0)</f>
        <v>0</v>
      </c>
      <c r="X310" s="15">
        <f>_xlfn.IFNA(IF(VLOOKUP($J310&amp;X$14,'Mapping A'!$A$6:$G$1011,7,0)=1,$L310,""),0)</f>
        <v>0</v>
      </c>
      <c r="Y310" s="15">
        <f>_xlfn.IFNA(IF(VLOOKUP($J310&amp;Y$14,'Mapping A'!$A$6:$G$1011,7,0)=1,$L310,""),0)</f>
        <v>0</v>
      </c>
      <c r="Z310" s="15">
        <f>_xlfn.IFNA(IF(VLOOKUP($J310&amp;Z$14,'Mapping A'!$A$6:$G$1011,7,0)=1,$L310,""),0)</f>
        <v>0</v>
      </c>
      <c r="AA310" s="15">
        <f>_xlfn.IFNA(IF(VLOOKUP($J310&amp;AA$14,'Mapping A'!$A$6:$G$1011,7,0)=1,$L310,""),0)</f>
        <v>0</v>
      </c>
      <c r="AF310" s="155" t="str">
        <f t="shared" si="109"/>
        <v>GLN0332NZ Steel</v>
      </c>
      <c r="AG310" s="190" t="s">
        <v>403</v>
      </c>
      <c r="AH310" s="190" t="s">
        <v>24</v>
      </c>
      <c r="AI310" s="190">
        <f t="shared" si="102"/>
        <v>58.123800000000003</v>
      </c>
      <c r="AJ310" s="292" t="s">
        <v>95</v>
      </c>
      <c r="AK310" s="15"/>
      <c r="AL310" s="15">
        <f t="shared" si="97"/>
        <v>0</v>
      </c>
      <c r="AM310" s="15"/>
      <c r="AN310" s="15">
        <f t="shared" ca="1" si="98"/>
        <v>0</v>
      </c>
      <c r="AO310" s="15">
        <f t="shared" si="99"/>
        <v>0</v>
      </c>
      <c r="AP310" s="15">
        <f t="shared" si="100"/>
        <v>0</v>
      </c>
      <c r="AQ310" s="15"/>
      <c r="AR310" s="190">
        <f t="shared" si="103"/>
        <v>0</v>
      </c>
      <c r="AS310" s="15"/>
      <c r="AT310" s="190">
        <f t="shared" si="104"/>
        <v>0</v>
      </c>
      <c r="AU310" s="190">
        <f t="shared" si="105"/>
        <v>0</v>
      </c>
      <c r="AV310" s="190">
        <f t="shared" si="106"/>
        <v>0</v>
      </c>
      <c r="AW310" s="190">
        <f t="shared" si="107"/>
        <v>0</v>
      </c>
      <c r="AX310" s="190">
        <f t="shared" si="108"/>
        <v>0</v>
      </c>
      <c r="BP310" s="190"/>
    </row>
    <row r="311" spans="2:68" x14ac:dyDescent="0.25">
      <c r="B311" s="98" t="s">
        <v>563</v>
      </c>
      <c r="C311" s="98">
        <v>2014</v>
      </c>
      <c r="D311" s="98" t="s">
        <v>353</v>
      </c>
      <c r="E311" s="98" t="s">
        <v>7</v>
      </c>
      <c r="F311" s="98" t="s">
        <v>131</v>
      </c>
      <c r="G311" s="98">
        <v>370957.63199999701</v>
      </c>
      <c r="H311" s="299" t="str">
        <f>VLOOKUP(LEFT('Rev Adequacy'!D311,3),'Mapping B'!$D$2:$E$400,2,0)</f>
        <v>N</v>
      </c>
      <c r="I311" s="190"/>
      <c r="J311" s="15" t="s">
        <v>189</v>
      </c>
      <c r="K311" s="190" t="s">
        <v>105</v>
      </c>
      <c r="L311" s="190">
        <f t="shared" si="101"/>
        <v>29.563800000000001</v>
      </c>
      <c r="M311" s="15"/>
      <c r="N311" s="15"/>
      <c r="O311" s="15">
        <f>_xlfn.IFNA(IF(VLOOKUP($J311&amp;O$14,'Mapping A'!$A$6:$G$1011,7,0)=1,$L311,""),0)</f>
        <v>0</v>
      </c>
      <c r="P311" s="15">
        <f>_xlfn.IFNA(IF(VLOOKUP($J311&amp;P$14,'Mapping A'!$A$6:$G$1011,7,0)=1,$L311,""),0)</f>
        <v>0</v>
      </c>
      <c r="Q311" s="15">
        <f>_xlfn.IFNA(IF(VLOOKUP($J311&amp;Q$14,'Mapping A'!$A$6:$G$1011,7,0)=1,$L311,""),0)</f>
        <v>29.563800000000001</v>
      </c>
      <c r="R311" s="15">
        <f>_xlfn.IFNA(IF(VLOOKUP($J311&amp;R$14,'Mapping A'!$A$6:$G$1011,7,0)=1,$L311,""),0)</f>
        <v>0</v>
      </c>
      <c r="S311" s="15">
        <f>_xlfn.IFNA(IF(VLOOKUP($J311&amp;S$14,'Mapping A'!$A$6:$G$1011,7,0)=1,$L311,""),0)</f>
        <v>0</v>
      </c>
      <c r="T311" s="15">
        <f>_xlfn.IFNA(IF(VLOOKUP($J311&amp;T$14,'Mapping A'!$A$6:$G$1011,7,0)=1,$L311,""),0)</f>
        <v>0</v>
      </c>
      <c r="U311" s="15">
        <f>_xlfn.IFNA(IF(VLOOKUP($J311&amp;U$14,'Mapping A'!$A$6:$G$1011,7,0)=1,$L311,""),0)</f>
        <v>0</v>
      </c>
      <c r="V311" s="15">
        <f>_xlfn.IFNA(IF(VLOOKUP($J311&amp;V$14,'Mapping A'!$A$6:$G$1011,7,0)=1,$L311,""),0)</f>
        <v>0</v>
      </c>
      <c r="W311" s="15">
        <f>_xlfn.IFNA(IF(VLOOKUP($J311&amp;W$14,'Mapping A'!$A$6:$G$1011,7,0)=1,$L311,""),0)</f>
        <v>0</v>
      </c>
      <c r="X311" s="15">
        <f>_xlfn.IFNA(IF(VLOOKUP($J311&amp;X$14,'Mapping A'!$A$6:$G$1011,7,0)=1,$L311,""),0)</f>
        <v>0</v>
      </c>
      <c r="Y311" s="15">
        <f>_xlfn.IFNA(IF(VLOOKUP($J311&amp;Y$14,'Mapping A'!$A$6:$G$1011,7,0)=1,$L311,""),0)</f>
        <v>0</v>
      </c>
      <c r="Z311" s="15">
        <f>_xlfn.IFNA(IF(VLOOKUP($J311&amp;Z$14,'Mapping A'!$A$6:$G$1011,7,0)=1,$L311,""),0)</f>
        <v>0</v>
      </c>
      <c r="AA311" s="15">
        <f>_xlfn.IFNA(IF(VLOOKUP($J311&amp;AA$14,'Mapping A'!$A$6:$G$1011,7,0)=1,$L311,""),0)</f>
        <v>0</v>
      </c>
      <c r="AF311" s="155" t="str">
        <f t="shared" si="109"/>
        <v>GOR0331The Power Company</v>
      </c>
      <c r="AG311" s="190" t="s">
        <v>189</v>
      </c>
      <c r="AH311" s="190" t="s">
        <v>105</v>
      </c>
      <c r="AI311" s="190">
        <f t="shared" si="102"/>
        <v>29.563800000000001</v>
      </c>
      <c r="AJ311" s="292" t="s">
        <v>96</v>
      </c>
      <c r="AK311" s="15"/>
      <c r="AL311" s="15">
        <f t="shared" si="97"/>
        <v>0</v>
      </c>
      <c r="AM311" s="15"/>
      <c r="AN311" s="15">
        <f t="shared" ca="1" si="98"/>
        <v>0</v>
      </c>
      <c r="AO311" s="15">
        <f t="shared" si="99"/>
        <v>0</v>
      </c>
      <c r="AP311" s="15">
        <f t="shared" si="100"/>
        <v>0</v>
      </c>
      <c r="AQ311" s="15"/>
      <c r="AR311" s="190">
        <f t="shared" si="103"/>
        <v>0</v>
      </c>
      <c r="AS311" s="15"/>
      <c r="AT311" s="190">
        <f t="shared" si="104"/>
        <v>0</v>
      </c>
      <c r="AU311" s="190">
        <f t="shared" si="105"/>
        <v>0</v>
      </c>
      <c r="AV311" s="190">
        <f t="shared" si="106"/>
        <v>0</v>
      </c>
      <c r="AW311" s="190">
        <f t="shared" si="107"/>
        <v>0</v>
      </c>
      <c r="AX311" s="190">
        <f t="shared" si="108"/>
        <v>0</v>
      </c>
      <c r="BP311" s="190"/>
    </row>
    <row r="312" spans="2:68" x14ac:dyDescent="0.25">
      <c r="B312" s="98" t="s">
        <v>555</v>
      </c>
      <c r="C312" s="98">
        <v>2014</v>
      </c>
      <c r="D312" s="98" t="s">
        <v>353</v>
      </c>
      <c r="E312" s="98" t="s">
        <v>7</v>
      </c>
      <c r="F312" s="98" t="s">
        <v>131</v>
      </c>
      <c r="G312" s="98">
        <v>0</v>
      </c>
      <c r="H312" s="299" t="str">
        <f>VLOOKUP(LEFT('Rev Adequacy'!D312,3),'Mapping B'!$D$2:$E$400,2,0)</f>
        <v>N</v>
      </c>
      <c r="I312" s="190"/>
      <c r="J312" s="15" t="s">
        <v>190</v>
      </c>
      <c r="K312" s="190" t="s">
        <v>41</v>
      </c>
      <c r="L312" s="190">
        <f t="shared" si="101"/>
        <v>13.6395</v>
      </c>
      <c r="M312" s="15"/>
      <c r="N312" s="15"/>
      <c r="O312" s="15">
        <f>_xlfn.IFNA(IF(VLOOKUP($J312&amp;O$14,'Mapping A'!$A$6:$G$1011,7,0)=1,$L312,""),0)</f>
        <v>0</v>
      </c>
      <c r="P312" s="15">
        <f>_xlfn.IFNA(IF(VLOOKUP($J312&amp;P$14,'Mapping A'!$A$6:$G$1011,7,0)=1,$L312,""),0)</f>
        <v>0</v>
      </c>
      <c r="Q312" s="15">
        <f>_xlfn.IFNA(IF(VLOOKUP($J312&amp;Q$14,'Mapping A'!$A$6:$G$1011,7,0)=1,$L312,""),0)</f>
        <v>13.6395</v>
      </c>
      <c r="R312" s="15">
        <f>_xlfn.IFNA(IF(VLOOKUP($J312&amp;R$14,'Mapping A'!$A$6:$G$1011,7,0)=1,$L312,""),0)</f>
        <v>0</v>
      </c>
      <c r="S312" s="15">
        <f>_xlfn.IFNA(IF(VLOOKUP($J312&amp;S$14,'Mapping A'!$A$6:$G$1011,7,0)=1,$L312,""),0)</f>
        <v>0</v>
      </c>
      <c r="T312" s="15">
        <f>_xlfn.IFNA(IF(VLOOKUP($J312&amp;T$14,'Mapping A'!$A$6:$G$1011,7,0)=1,$L312,""),0)</f>
        <v>0</v>
      </c>
      <c r="U312" s="15">
        <f>_xlfn.IFNA(IF(VLOOKUP($J312&amp;U$14,'Mapping A'!$A$6:$G$1011,7,0)=1,$L312,""),0)</f>
        <v>0</v>
      </c>
      <c r="V312" s="15">
        <f>_xlfn.IFNA(IF(VLOOKUP($J312&amp;V$14,'Mapping A'!$A$6:$G$1011,7,0)=1,$L312,""),0)</f>
        <v>0</v>
      </c>
      <c r="W312" s="15">
        <f>_xlfn.IFNA(IF(VLOOKUP($J312&amp;W$14,'Mapping A'!$A$6:$G$1011,7,0)=1,$L312,""),0)</f>
        <v>0</v>
      </c>
      <c r="X312" s="15">
        <f>_xlfn.IFNA(IF(VLOOKUP($J312&amp;X$14,'Mapping A'!$A$6:$G$1011,7,0)=1,$L312,""),0)</f>
        <v>0</v>
      </c>
      <c r="Y312" s="15">
        <f>_xlfn.IFNA(IF(VLOOKUP($J312&amp;Y$14,'Mapping A'!$A$6:$G$1011,7,0)=1,$L312,""),0)</f>
        <v>0</v>
      </c>
      <c r="Z312" s="15">
        <f>_xlfn.IFNA(IF(VLOOKUP($J312&amp;Z$14,'Mapping A'!$A$6:$G$1011,7,0)=1,$L312,""),0)</f>
        <v>0</v>
      </c>
      <c r="AA312" s="15">
        <f>_xlfn.IFNA(IF(VLOOKUP($J312&amp;AA$14,'Mapping A'!$A$6:$G$1011,7,0)=1,$L312,""),0)</f>
        <v>0</v>
      </c>
      <c r="AF312" s="155" t="str">
        <f t="shared" si="109"/>
        <v>GYM0661Westpower</v>
      </c>
      <c r="AG312" s="190" t="s">
        <v>190</v>
      </c>
      <c r="AH312" s="190" t="s">
        <v>41</v>
      </c>
      <c r="AI312" s="190">
        <f t="shared" si="102"/>
        <v>13.6395</v>
      </c>
      <c r="AJ312" s="292" t="s">
        <v>96</v>
      </c>
      <c r="AK312" s="15"/>
      <c r="AL312" s="15">
        <f t="shared" si="97"/>
        <v>0</v>
      </c>
      <c r="AM312" s="15"/>
      <c r="AN312" s="15">
        <f t="shared" ca="1" si="98"/>
        <v>0</v>
      </c>
      <c r="AO312" s="15">
        <f t="shared" si="99"/>
        <v>0</v>
      </c>
      <c r="AP312" s="15">
        <f t="shared" si="100"/>
        <v>0</v>
      </c>
      <c r="AQ312" s="15"/>
      <c r="AR312" s="190">
        <f t="shared" si="103"/>
        <v>0</v>
      </c>
      <c r="AS312" s="15"/>
      <c r="AT312" s="190">
        <f t="shared" si="104"/>
        <v>0</v>
      </c>
      <c r="AU312" s="190">
        <f t="shared" si="105"/>
        <v>0</v>
      </c>
      <c r="AV312" s="190">
        <f t="shared" si="106"/>
        <v>0</v>
      </c>
      <c r="AW312" s="190">
        <f t="shared" si="107"/>
        <v>0</v>
      </c>
      <c r="AX312" s="190">
        <f t="shared" si="108"/>
        <v>0</v>
      </c>
      <c r="BP312" s="190"/>
    </row>
    <row r="313" spans="2:68" x14ac:dyDescent="0.25">
      <c r="B313" s="98" t="s">
        <v>112</v>
      </c>
      <c r="C313" s="98">
        <v>2014</v>
      </c>
      <c r="D313" s="98" t="s">
        <v>353</v>
      </c>
      <c r="E313" s="98" t="s">
        <v>7</v>
      </c>
      <c r="F313" s="98" t="s">
        <v>131</v>
      </c>
      <c r="G313" s="98">
        <v>10473993.204999899</v>
      </c>
      <c r="H313" s="299" t="str">
        <f>VLOOKUP(LEFT('Rev Adequacy'!D313,3),'Mapping B'!$D$2:$E$400,2,0)</f>
        <v>N</v>
      </c>
      <c r="I313" s="190"/>
      <c r="J313" s="15" t="s">
        <v>191</v>
      </c>
      <c r="K313" s="190" t="s">
        <v>28</v>
      </c>
      <c r="L313" s="190">
        <f t="shared" si="101"/>
        <v>13.2447</v>
      </c>
      <c r="M313" s="15"/>
      <c r="N313" s="15"/>
      <c r="O313" s="15">
        <f>_xlfn.IFNA(IF(VLOOKUP($J313&amp;O$14,'Mapping A'!$A$6:$G$1011,7,0)=1,$L313,""),0)</f>
        <v>0</v>
      </c>
      <c r="P313" s="15">
        <f>_xlfn.IFNA(IF(VLOOKUP($J313&amp;P$14,'Mapping A'!$A$6:$G$1011,7,0)=1,$L313,""),0)</f>
        <v>0</v>
      </c>
      <c r="Q313" s="15">
        <f>_xlfn.IFNA(IF(VLOOKUP($J313&amp;Q$14,'Mapping A'!$A$6:$G$1011,7,0)=1,$L313,""),0)</f>
        <v>0</v>
      </c>
      <c r="R313" s="15">
        <f>_xlfn.IFNA(IF(VLOOKUP($J313&amp;R$14,'Mapping A'!$A$6:$G$1011,7,0)=1,$L313,""),0)</f>
        <v>0</v>
      </c>
      <c r="S313" s="15">
        <f>_xlfn.IFNA(IF(VLOOKUP($J313&amp;S$14,'Mapping A'!$A$6:$G$1011,7,0)=1,$L313,""),0)</f>
        <v>0</v>
      </c>
      <c r="T313" s="15">
        <f>_xlfn.IFNA(IF(VLOOKUP($J313&amp;T$14,'Mapping A'!$A$6:$G$1011,7,0)=1,$L313,""),0)</f>
        <v>0</v>
      </c>
      <c r="U313" s="15">
        <f>_xlfn.IFNA(IF(VLOOKUP($J313&amp;U$14,'Mapping A'!$A$6:$G$1011,7,0)=1,$L313,""),0)</f>
        <v>0</v>
      </c>
      <c r="V313" s="15">
        <f>_xlfn.IFNA(IF(VLOOKUP($J313&amp;V$14,'Mapping A'!$A$6:$G$1011,7,0)=1,$L313,""),0)</f>
        <v>0</v>
      </c>
      <c r="W313" s="15">
        <f>_xlfn.IFNA(IF(VLOOKUP($J313&amp;W$14,'Mapping A'!$A$6:$G$1011,7,0)=1,$L313,""),0)</f>
        <v>0</v>
      </c>
      <c r="X313" s="15">
        <f>_xlfn.IFNA(IF(VLOOKUP($J313&amp;X$14,'Mapping A'!$A$6:$G$1011,7,0)=1,$L313,""),0)</f>
        <v>0</v>
      </c>
      <c r="Y313" s="15">
        <f>_xlfn.IFNA(IF(VLOOKUP($J313&amp;Y$14,'Mapping A'!$A$6:$G$1011,7,0)=1,$L313,""),0)</f>
        <v>0</v>
      </c>
      <c r="Z313" s="15">
        <f>_xlfn.IFNA(IF(VLOOKUP($J313&amp;Z$14,'Mapping A'!$A$6:$G$1011,7,0)=1,$L313,""),0)</f>
        <v>0</v>
      </c>
      <c r="AA313" s="15">
        <f>_xlfn.IFNA(IF(VLOOKUP($J313&amp;AA$14,'Mapping A'!$A$6:$G$1011,7,0)=1,$L313,""),0)</f>
        <v>0</v>
      </c>
      <c r="AF313" s="155" t="str">
        <f t="shared" si="109"/>
        <v>GYT0331Powerco</v>
      </c>
      <c r="AG313" s="190" t="s">
        <v>191</v>
      </c>
      <c r="AH313" s="190" t="s">
        <v>28</v>
      </c>
      <c r="AI313" s="190">
        <f t="shared" si="102"/>
        <v>13.2447</v>
      </c>
      <c r="AJ313" s="292" t="s">
        <v>95</v>
      </c>
      <c r="AK313" s="15"/>
      <c r="AL313" s="15">
        <f t="shared" si="97"/>
        <v>0</v>
      </c>
      <c r="AM313" s="15"/>
      <c r="AN313" s="15">
        <f t="shared" ca="1" si="98"/>
        <v>0</v>
      </c>
      <c r="AO313" s="15">
        <f t="shared" si="99"/>
        <v>0</v>
      </c>
      <c r="AP313" s="15">
        <f t="shared" si="100"/>
        <v>0</v>
      </c>
      <c r="AQ313" s="15"/>
      <c r="AR313" s="190">
        <f t="shared" si="103"/>
        <v>0</v>
      </c>
      <c r="AS313" s="15"/>
      <c r="AT313" s="190">
        <f t="shared" si="104"/>
        <v>0</v>
      </c>
      <c r="AU313" s="190">
        <f t="shared" si="105"/>
        <v>0</v>
      </c>
      <c r="AV313" s="190">
        <f t="shared" si="106"/>
        <v>0</v>
      </c>
      <c r="AW313" s="190">
        <f t="shared" si="107"/>
        <v>0</v>
      </c>
      <c r="AX313" s="190">
        <f t="shared" si="108"/>
        <v>0</v>
      </c>
      <c r="BP313" s="190"/>
    </row>
    <row r="314" spans="2:68" x14ac:dyDescent="0.25">
      <c r="B314" s="98" t="s">
        <v>111</v>
      </c>
      <c r="C314" s="98">
        <v>2014</v>
      </c>
      <c r="D314" s="98" t="s">
        <v>353</v>
      </c>
      <c r="E314" s="98" t="s">
        <v>7</v>
      </c>
      <c r="F314" s="98" t="s">
        <v>131</v>
      </c>
      <c r="G314" s="98">
        <v>2797959.2439999902</v>
      </c>
      <c r="H314" s="299" t="str">
        <f>VLOOKUP(LEFT('Rev Adequacy'!D314,3),'Mapping B'!$D$2:$E$400,2,0)</f>
        <v>N</v>
      </c>
      <c r="I314" s="190"/>
      <c r="J314" s="15" t="s">
        <v>192</v>
      </c>
      <c r="K314" s="190" t="s">
        <v>39</v>
      </c>
      <c r="L314" s="190">
        <f t="shared" si="101"/>
        <v>37.663499999999999</v>
      </c>
      <c r="M314" s="15"/>
      <c r="N314" s="15"/>
      <c r="O314" s="15">
        <f>_xlfn.IFNA(IF(VLOOKUP($J314&amp;O$14,'Mapping A'!$A$6:$G$1011,7,0)=1,$L314,""),0)</f>
        <v>0</v>
      </c>
      <c r="P314" s="15">
        <f>_xlfn.IFNA(IF(VLOOKUP($J314&amp;P$14,'Mapping A'!$A$6:$G$1011,7,0)=1,$L314,""),0)</f>
        <v>0</v>
      </c>
      <c r="Q314" s="15">
        <f>_xlfn.IFNA(IF(VLOOKUP($J314&amp;Q$14,'Mapping A'!$A$6:$G$1011,7,0)=1,$L314,""),0)</f>
        <v>0</v>
      </c>
      <c r="R314" s="15">
        <f>_xlfn.IFNA(IF(VLOOKUP($J314&amp;R$14,'Mapping A'!$A$6:$G$1011,7,0)=1,$L314,""),0)</f>
        <v>0</v>
      </c>
      <c r="S314" s="15">
        <f>_xlfn.IFNA(IF(VLOOKUP($J314&amp;S$14,'Mapping A'!$A$6:$G$1011,7,0)=1,$L314,""),0)</f>
        <v>0</v>
      </c>
      <c r="T314" s="15">
        <f>_xlfn.IFNA(IF(VLOOKUP($J314&amp;T$14,'Mapping A'!$A$6:$G$1011,7,0)=1,$L314,""),0)</f>
        <v>37.663499999999999</v>
      </c>
      <c r="U314" s="15">
        <f>_xlfn.IFNA(IF(VLOOKUP($J314&amp;U$14,'Mapping A'!$A$6:$G$1011,7,0)=1,$L314,""),0)</f>
        <v>0</v>
      </c>
      <c r="V314" s="15">
        <f>_xlfn.IFNA(IF(VLOOKUP($J314&amp;V$14,'Mapping A'!$A$6:$G$1011,7,0)=1,$L314,""),0)</f>
        <v>0</v>
      </c>
      <c r="W314" s="15">
        <f>_xlfn.IFNA(IF(VLOOKUP($J314&amp;W$14,'Mapping A'!$A$6:$G$1011,7,0)=1,$L314,""),0)</f>
        <v>0</v>
      </c>
      <c r="X314" s="15">
        <f>_xlfn.IFNA(IF(VLOOKUP($J314&amp;X$14,'Mapping A'!$A$6:$G$1011,7,0)=1,$L314,""),0)</f>
        <v>0</v>
      </c>
      <c r="Y314" s="15">
        <f>_xlfn.IFNA(IF(VLOOKUP($J314&amp;Y$14,'Mapping A'!$A$6:$G$1011,7,0)=1,$L314,""),0)</f>
        <v>0</v>
      </c>
      <c r="Z314" s="15">
        <f>_xlfn.IFNA(IF(VLOOKUP($J314&amp;Z$14,'Mapping A'!$A$6:$G$1011,7,0)=1,$L314,""),0)</f>
        <v>0</v>
      </c>
      <c r="AA314" s="15">
        <f>_xlfn.IFNA(IF(VLOOKUP($J314&amp;AA$14,'Mapping A'!$A$6:$G$1011,7,0)=1,$L314,""),0)</f>
        <v>0</v>
      </c>
      <c r="AF314" s="155" t="str">
        <f t="shared" si="109"/>
        <v>HAM0111WEL</v>
      </c>
      <c r="AG314" s="190" t="s">
        <v>192</v>
      </c>
      <c r="AH314" s="190" t="s">
        <v>39</v>
      </c>
      <c r="AI314" s="190">
        <f t="shared" si="102"/>
        <v>37.663499999999999</v>
      </c>
      <c r="AJ314" s="292" t="s">
        <v>95</v>
      </c>
      <c r="AK314" s="15"/>
      <c r="AL314" s="15">
        <f t="shared" si="97"/>
        <v>0</v>
      </c>
      <c r="AM314" s="15"/>
      <c r="AN314" s="15">
        <f t="shared" ca="1" si="98"/>
        <v>0</v>
      </c>
      <c r="AO314" s="15">
        <f t="shared" si="99"/>
        <v>0</v>
      </c>
      <c r="AP314" s="15">
        <f t="shared" si="100"/>
        <v>0</v>
      </c>
      <c r="AQ314" s="15"/>
      <c r="AR314" s="190">
        <f t="shared" si="103"/>
        <v>0</v>
      </c>
      <c r="AS314" s="15"/>
      <c r="AT314" s="190">
        <f t="shared" si="104"/>
        <v>0</v>
      </c>
      <c r="AU314" s="190">
        <f t="shared" si="105"/>
        <v>0</v>
      </c>
      <c r="AV314" s="190">
        <f t="shared" si="106"/>
        <v>0</v>
      </c>
      <c r="AW314" s="190">
        <f t="shared" si="107"/>
        <v>0</v>
      </c>
      <c r="AX314" s="190">
        <f t="shared" si="108"/>
        <v>0</v>
      </c>
      <c r="BP314" s="190"/>
    </row>
    <row r="315" spans="2:68" x14ac:dyDescent="0.25">
      <c r="B315" s="98" t="s">
        <v>552</v>
      </c>
      <c r="C315" s="98">
        <v>2014</v>
      </c>
      <c r="D315" s="98" t="s">
        <v>256</v>
      </c>
      <c r="E315" s="98" t="s">
        <v>8</v>
      </c>
      <c r="F315" s="98" t="s">
        <v>131</v>
      </c>
      <c r="G315" s="248">
        <v>0</v>
      </c>
      <c r="H315" s="299" t="str">
        <f>VLOOKUP(LEFT('Rev Adequacy'!D315,3),'Mapping B'!$D$2:$E$400,2,0)</f>
        <v>N</v>
      </c>
      <c r="I315" s="190"/>
      <c r="J315" s="15" t="s">
        <v>193</v>
      </c>
      <c r="K315" s="190" t="s">
        <v>39</v>
      </c>
      <c r="L315" s="190">
        <f t="shared" si="101"/>
        <v>137.0103</v>
      </c>
      <c r="M315" s="15"/>
      <c r="N315" s="15"/>
      <c r="O315" s="15">
        <f>_xlfn.IFNA(IF(VLOOKUP($J315&amp;O$14,'Mapping A'!$A$6:$G$1011,7,0)=1,$L315,""),0)</f>
        <v>0</v>
      </c>
      <c r="P315" s="15">
        <f>_xlfn.IFNA(IF(VLOOKUP($J315&amp;P$14,'Mapping A'!$A$6:$G$1011,7,0)=1,$L315,""),0)</f>
        <v>0</v>
      </c>
      <c r="Q315" s="15">
        <f>_xlfn.IFNA(IF(VLOOKUP($J315&amp;Q$14,'Mapping A'!$A$6:$G$1011,7,0)=1,$L315,""),0)</f>
        <v>0</v>
      </c>
      <c r="R315" s="15">
        <f>_xlfn.IFNA(IF(VLOOKUP($J315&amp;R$14,'Mapping A'!$A$6:$G$1011,7,0)=1,$L315,""),0)</f>
        <v>0</v>
      </c>
      <c r="S315" s="15">
        <f>_xlfn.IFNA(IF(VLOOKUP($J315&amp;S$14,'Mapping A'!$A$6:$G$1011,7,0)=1,$L315,""),0)</f>
        <v>0</v>
      </c>
      <c r="T315" s="15">
        <f>_xlfn.IFNA(IF(VLOOKUP($J315&amp;T$14,'Mapping A'!$A$6:$G$1011,7,0)=1,$L315,""),0)</f>
        <v>137.0103</v>
      </c>
      <c r="U315" s="15">
        <f>_xlfn.IFNA(IF(VLOOKUP($J315&amp;U$14,'Mapping A'!$A$6:$G$1011,7,0)=1,$L315,""),0)</f>
        <v>0</v>
      </c>
      <c r="V315" s="15">
        <f>_xlfn.IFNA(IF(VLOOKUP($J315&amp;V$14,'Mapping A'!$A$6:$G$1011,7,0)=1,$L315,""),0)</f>
        <v>0</v>
      </c>
      <c r="W315" s="15">
        <f>_xlfn.IFNA(IF(VLOOKUP($J315&amp;W$14,'Mapping A'!$A$6:$G$1011,7,0)=1,$L315,""),0)</f>
        <v>0</v>
      </c>
      <c r="X315" s="15">
        <f>_xlfn.IFNA(IF(VLOOKUP($J315&amp;X$14,'Mapping A'!$A$6:$G$1011,7,0)=1,$L315,""),0)</f>
        <v>0</v>
      </c>
      <c r="Y315" s="15">
        <f>_xlfn.IFNA(IF(VLOOKUP($J315&amp;Y$14,'Mapping A'!$A$6:$G$1011,7,0)=1,$L315,""),0)</f>
        <v>0</v>
      </c>
      <c r="Z315" s="15">
        <f>_xlfn.IFNA(IF(VLOOKUP($J315&amp;Z$14,'Mapping A'!$A$6:$G$1011,7,0)=1,$L315,""),0)</f>
        <v>0</v>
      </c>
      <c r="AA315" s="15">
        <f>_xlfn.IFNA(IF(VLOOKUP($J315&amp;AA$14,'Mapping A'!$A$6:$G$1011,7,0)=1,$L315,""),0)</f>
        <v>0</v>
      </c>
      <c r="AF315" s="155" t="str">
        <f t="shared" si="109"/>
        <v>HAM0331WEL</v>
      </c>
      <c r="AG315" s="190" t="s">
        <v>193</v>
      </c>
      <c r="AH315" s="190" t="s">
        <v>39</v>
      </c>
      <c r="AI315" s="190">
        <f t="shared" si="102"/>
        <v>137.0103</v>
      </c>
      <c r="AJ315" s="292" t="s">
        <v>95</v>
      </c>
      <c r="AK315" s="15"/>
      <c r="AL315" s="15">
        <f t="shared" si="97"/>
        <v>0</v>
      </c>
      <c r="AM315" s="15"/>
      <c r="AN315" s="15">
        <f t="shared" ca="1" si="98"/>
        <v>0</v>
      </c>
      <c r="AO315" s="15">
        <f t="shared" si="99"/>
        <v>0</v>
      </c>
      <c r="AP315" s="15">
        <f t="shared" si="100"/>
        <v>0</v>
      </c>
      <c r="AQ315" s="15"/>
      <c r="AR315" s="190">
        <f t="shared" si="103"/>
        <v>0</v>
      </c>
      <c r="AS315" s="15"/>
      <c r="AT315" s="190">
        <f t="shared" si="104"/>
        <v>0</v>
      </c>
      <c r="AU315" s="190">
        <f t="shared" si="105"/>
        <v>0</v>
      </c>
      <c r="AV315" s="190">
        <f t="shared" si="106"/>
        <v>0</v>
      </c>
      <c r="AW315" s="190">
        <f t="shared" si="107"/>
        <v>0</v>
      </c>
      <c r="AX315" s="190">
        <f t="shared" si="108"/>
        <v>0</v>
      </c>
      <c r="BP315" s="190"/>
    </row>
    <row r="316" spans="2:68" x14ac:dyDescent="0.25">
      <c r="B316" s="98" t="s">
        <v>552</v>
      </c>
      <c r="C316" s="98">
        <v>2014</v>
      </c>
      <c r="D316" s="98" t="s">
        <v>305</v>
      </c>
      <c r="E316" s="98" t="s">
        <v>8</v>
      </c>
      <c r="F316" s="98" t="s">
        <v>131</v>
      </c>
      <c r="G316" s="248">
        <v>0</v>
      </c>
      <c r="H316" s="299" t="str">
        <f>VLOOKUP(LEFT('Rev Adequacy'!D316,3),'Mapping B'!$D$2:$E$400,2,0)</f>
        <v>N</v>
      </c>
      <c r="I316" s="190"/>
      <c r="J316" s="15" t="s">
        <v>194</v>
      </c>
      <c r="K316" s="190" t="s">
        <v>51</v>
      </c>
      <c r="L316" s="190">
        <f t="shared" si="101"/>
        <v>6.6464999999999996</v>
      </c>
      <c r="M316" s="15"/>
      <c r="N316" s="15"/>
      <c r="O316" s="15">
        <f>_xlfn.IFNA(IF(VLOOKUP($J316&amp;O$14,'Mapping A'!$A$6:$G$1011,7,0)=1,$L316,""),0)</f>
        <v>0</v>
      </c>
      <c r="P316" s="15">
        <f>_xlfn.IFNA(IF(VLOOKUP($J316&amp;P$14,'Mapping A'!$A$6:$G$1011,7,0)=1,$L316,""),0)</f>
        <v>0</v>
      </c>
      <c r="Q316" s="15">
        <f>_xlfn.IFNA(IF(VLOOKUP($J316&amp;Q$14,'Mapping A'!$A$6:$G$1011,7,0)=1,$L316,""),0)</f>
        <v>0</v>
      </c>
      <c r="R316" s="15">
        <f>_xlfn.IFNA(IF(VLOOKUP($J316&amp;R$14,'Mapping A'!$A$6:$G$1011,7,0)=1,$L316,""),0)</f>
        <v>0</v>
      </c>
      <c r="S316" s="15">
        <f>_xlfn.IFNA(IF(VLOOKUP($J316&amp;S$14,'Mapping A'!$A$6:$G$1011,7,0)=1,$L316,""),0)</f>
        <v>0</v>
      </c>
      <c r="T316" s="15">
        <f>_xlfn.IFNA(IF(VLOOKUP($J316&amp;T$14,'Mapping A'!$A$6:$G$1011,7,0)=1,$L316,""),0)</f>
        <v>6.6464999999999996</v>
      </c>
      <c r="U316" s="15">
        <f>_xlfn.IFNA(IF(VLOOKUP($J316&amp;U$14,'Mapping A'!$A$6:$G$1011,7,0)=1,$L316,""),0)</f>
        <v>0</v>
      </c>
      <c r="V316" s="15">
        <f>_xlfn.IFNA(IF(VLOOKUP($J316&amp;V$14,'Mapping A'!$A$6:$G$1011,7,0)=1,$L316,""),0)</f>
        <v>0</v>
      </c>
      <c r="W316" s="15">
        <f>_xlfn.IFNA(IF(VLOOKUP($J316&amp;W$14,'Mapping A'!$A$6:$G$1011,7,0)=1,$L316,""),0)</f>
        <v>0</v>
      </c>
      <c r="X316" s="15">
        <f>_xlfn.IFNA(IF(VLOOKUP($J316&amp;X$14,'Mapping A'!$A$6:$G$1011,7,0)=1,$L316,""),0)</f>
        <v>0</v>
      </c>
      <c r="Y316" s="15">
        <f>_xlfn.IFNA(IF(VLOOKUP($J316&amp;Y$14,'Mapping A'!$A$6:$G$1011,7,0)=1,$L316,""),0)</f>
        <v>0</v>
      </c>
      <c r="Z316" s="15">
        <f>_xlfn.IFNA(IF(VLOOKUP($J316&amp;Z$14,'Mapping A'!$A$6:$G$1011,7,0)=1,$L316,""),0)</f>
        <v>0</v>
      </c>
      <c r="AA316" s="15">
        <f>_xlfn.IFNA(IF(VLOOKUP($J316&amp;AA$14,'Mapping A'!$A$6:$G$1011,7,0)=1,$L316,""),0)</f>
        <v>0</v>
      </c>
      <c r="AF316" s="155" t="str">
        <f t="shared" si="109"/>
        <v>HAM0551Kiwirail</v>
      </c>
      <c r="AG316" s="190" t="s">
        <v>194</v>
      </c>
      <c r="AH316" s="190" t="s">
        <v>51</v>
      </c>
      <c r="AI316" s="190">
        <f t="shared" si="102"/>
        <v>6.6464999999999996</v>
      </c>
      <c r="AJ316" s="292" t="s">
        <v>95</v>
      </c>
      <c r="AK316" s="15"/>
      <c r="AL316" s="15">
        <f t="shared" si="97"/>
        <v>0</v>
      </c>
      <c r="AM316" s="15"/>
      <c r="AN316" s="15">
        <f t="shared" ca="1" si="98"/>
        <v>0</v>
      </c>
      <c r="AO316" s="15">
        <f t="shared" si="99"/>
        <v>0</v>
      </c>
      <c r="AP316" s="15">
        <f t="shared" si="100"/>
        <v>0</v>
      </c>
      <c r="AQ316" s="15"/>
      <c r="AR316" s="190">
        <f t="shared" si="103"/>
        <v>0</v>
      </c>
      <c r="AS316" s="15"/>
      <c r="AT316" s="190">
        <f t="shared" si="104"/>
        <v>0</v>
      </c>
      <c r="AU316" s="190">
        <f t="shared" si="105"/>
        <v>0</v>
      </c>
      <c r="AV316" s="190">
        <f t="shared" si="106"/>
        <v>0</v>
      </c>
      <c r="AW316" s="190">
        <f t="shared" si="107"/>
        <v>0</v>
      </c>
      <c r="AX316" s="190">
        <f t="shared" si="108"/>
        <v>0</v>
      </c>
      <c r="BP316" s="190"/>
    </row>
    <row r="317" spans="2:68" x14ac:dyDescent="0.25">
      <c r="B317" s="98" t="s">
        <v>553</v>
      </c>
      <c r="C317" s="98">
        <v>2014</v>
      </c>
      <c r="D317" s="98" t="s">
        <v>256</v>
      </c>
      <c r="E317" s="98" t="s">
        <v>8</v>
      </c>
      <c r="F317" s="98" t="s">
        <v>131</v>
      </c>
      <c r="G317" s="248">
        <v>63316.307999999401</v>
      </c>
      <c r="H317" s="299" t="str">
        <f>VLOOKUP(LEFT('Rev Adequacy'!D317,3),'Mapping B'!$D$2:$E$400,2,0)</f>
        <v>N</v>
      </c>
      <c r="I317" s="190"/>
      <c r="J317" s="15" t="s">
        <v>195</v>
      </c>
      <c r="K317" s="190" t="s">
        <v>40</v>
      </c>
      <c r="L317" s="190">
        <f t="shared" si="101"/>
        <v>17.940300000000001</v>
      </c>
      <c r="M317" s="15"/>
      <c r="N317" s="15"/>
      <c r="O317" s="15">
        <f>_xlfn.IFNA(IF(VLOOKUP($J317&amp;O$14,'Mapping A'!$A$6:$G$1011,7,0)=1,$L317,""),0)</f>
        <v>0</v>
      </c>
      <c r="P317" s="15">
        <f>_xlfn.IFNA(IF(VLOOKUP($J317&amp;P$14,'Mapping A'!$A$6:$G$1011,7,0)=1,$L317,""),0)</f>
        <v>0</v>
      </c>
      <c r="Q317" s="15">
        <f>_xlfn.IFNA(IF(VLOOKUP($J317&amp;Q$14,'Mapping A'!$A$6:$G$1011,7,0)=1,$L317,""),0)</f>
        <v>0</v>
      </c>
      <c r="R317" s="15">
        <f>_xlfn.IFNA(IF(VLOOKUP($J317&amp;R$14,'Mapping A'!$A$6:$G$1011,7,0)=1,$L317,""),0)</f>
        <v>0</v>
      </c>
      <c r="S317" s="15">
        <f>_xlfn.IFNA(IF(VLOOKUP($J317&amp;S$14,'Mapping A'!$A$6:$G$1011,7,0)=1,$L317,""),0)</f>
        <v>0</v>
      </c>
      <c r="T317" s="15">
        <f>_xlfn.IFNA(IF(VLOOKUP($J317&amp;T$14,'Mapping A'!$A$6:$G$1011,7,0)=1,$L317,""),0)</f>
        <v>0</v>
      </c>
      <c r="U317" s="15">
        <f>_xlfn.IFNA(IF(VLOOKUP($J317&amp;U$14,'Mapping A'!$A$6:$G$1011,7,0)=1,$L317,""),0)</f>
        <v>0</v>
      </c>
      <c r="V317" s="15">
        <f>_xlfn.IFNA(IF(VLOOKUP($J317&amp;V$14,'Mapping A'!$A$6:$G$1011,7,0)=1,$L317,""),0)</f>
        <v>0</v>
      </c>
      <c r="W317" s="15">
        <f>_xlfn.IFNA(IF(VLOOKUP($J317&amp;W$14,'Mapping A'!$A$6:$G$1011,7,0)=1,$L317,""),0)</f>
        <v>0</v>
      </c>
      <c r="X317" s="15">
        <f>_xlfn.IFNA(IF(VLOOKUP($J317&amp;X$14,'Mapping A'!$A$6:$G$1011,7,0)=1,$L317,""),0)</f>
        <v>0</v>
      </c>
      <c r="Y317" s="15">
        <f>_xlfn.IFNA(IF(VLOOKUP($J317&amp;Y$14,'Mapping A'!$A$6:$G$1011,7,0)=1,$L317,""),0)</f>
        <v>0</v>
      </c>
      <c r="Z317" s="15">
        <f>_xlfn.IFNA(IF(VLOOKUP($J317&amp;Z$14,'Mapping A'!$A$6:$G$1011,7,0)=1,$L317,""),0)</f>
        <v>0</v>
      </c>
      <c r="AA317" s="15">
        <f>_xlfn.IFNA(IF(VLOOKUP($J317&amp;AA$14,'Mapping A'!$A$6:$G$1011,7,0)=1,$L317,""),0)</f>
        <v>0</v>
      </c>
      <c r="AF317" s="155" t="str">
        <f t="shared" si="109"/>
        <v>HAY0111Wellington Electricity</v>
      </c>
      <c r="AG317" s="190" t="s">
        <v>195</v>
      </c>
      <c r="AH317" s="190" t="s">
        <v>40</v>
      </c>
      <c r="AI317" s="190">
        <f t="shared" si="102"/>
        <v>17.940300000000001</v>
      </c>
      <c r="AJ317" s="292" t="s">
        <v>95</v>
      </c>
      <c r="AK317" s="15"/>
      <c r="AL317" s="15">
        <f t="shared" si="97"/>
        <v>0</v>
      </c>
      <c r="AM317" s="15"/>
      <c r="AN317" s="15">
        <f t="shared" ca="1" si="98"/>
        <v>0</v>
      </c>
      <c r="AO317" s="15">
        <f t="shared" si="99"/>
        <v>0</v>
      </c>
      <c r="AP317" s="15">
        <f t="shared" si="100"/>
        <v>0</v>
      </c>
      <c r="AQ317" s="15"/>
      <c r="AR317" s="190">
        <f t="shared" si="103"/>
        <v>0</v>
      </c>
      <c r="AS317" s="15"/>
      <c r="AT317" s="190">
        <f t="shared" si="104"/>
        <v>0</v>
      </c>
      <c r="AU317" s="190">
        <f t="shared" si="105"/>
        <v>0</v>
      </c>
      <c r="AV317" s="190">
        <f t="shared" si="106"/>
        <v>0</v>
      </c>
      <c r="AW317" s="190">
        <f t="shared" si="107"/>
        <v>0</v>
      </c>
      <c r="AX317" s="190">
        <f t="shared" si="108"/>
        <v>0</v>
      </c>
      <c r="BP317" s="190"/>
    </row>
    <row r="318" spans="2:68" x14ac:dyDescent="0.25">
      <c r="B318" s="98" t="s">
        <v>553</v>
      </c>
      <c r="C318" s="98">
        <v>2014</v>
      </c>
      <c r="D318" s="98" t="s">
        <v>305</v>
      </c>
      <c r="E318" s="98" t="s">
        <v>8</v>
      </c>
      <c r="F318" s="98" t="s">
        <v>131</v>
      </c>
      <c r="G318" s="248">
        <v>99892.585000000705</v>
      </c>
      <c r="H318" s="299" t="str">
        <f>VLOOKUP(LEFT('Rev Adequacy'!D318,3),'Mapping B'!$D$2:$E$400,2,0)</f>
        <v>N</v>
      </c>
      <c r="I318" s="190"/>
      <c r="J318" s="15" t="s">
        <v>196</v>
      </c>
      <c r="K318" s="190" t="s">
        <v>40</v>
      </c>
      <c r="L318" s="190">
        <f t="shared" si="101"/>
        <v>19.611900000000002</v>
      </c>
      <c r="M318" s="15"/>
      <c r="N318" s="15"/>
      <c r="O318" s="15">
        <f>_xlfn.IFNA(IF(VLOOKUP($J318&amp;O$14,'Mapping A'!$A$6:$G$1011,7,0)=1,$L318,""),0)</f>
        <v>0</v>
      </c>
      <c r="P318" s="15">
        <f>_xlfn.IFNA(IF(VLOOKUP($J318&amp;P$14,'Mapping A'!$A$6:$G$1011,7,0)=1,$L318,""),0)</f>
        <v>0</v>
      </c>
      <c r="Q318" s="15">
        <f>_xlfn.IFNA(IF(VLOOKUP($J318&amp;Q$14,'Mapping A'!$A$6:$G$1011,7,0)=1,$L318,""),0)</f>
        <v>0</v>
      </c>
      <c r="R318" s="15">
        <f>_xlfn.IFNA(IF(VLOOKUP($J318&amp;R$14,'Mapping A'!$A$6:$G$1011,7,0)=1,$L318,""),0)</f>
        <v>0</v>
      </c>
      <c r="S318" s="15">
        <f>_xlfn.IFNA(IF(VLOOKUP($J318&amp;S$14,'Mapping A'!$A$6:$G$1011,7,0)=1,$L318,""),0)</f>
        <v>0</v>
      </c>
      <c r="T318" s="15">
        <f>_xlfn.IFNA(IF(VLOOKUP($J318&amp;T$14,'Mapping A'!$A$6:$G$1011,7,0)=1,$L318,""),0)</f>
        <v>0</v>
      </c>
      <c r="U318" s="15">
        <f>_xlfn.IFNA(IF(VLOOKUP($J318&amp;U$14,'Mapping A'!$A$6:$G$1011,7,0)=1,$L318,""),0)</f>
        <v>0</v>
      </c>
      <c r="V318" s="15">
        <f>_xlfn.IFNA(IF(VLOOKUP($J318&amp;V$14,'Mapping A'!$A$6:$G$1011,7,0)=1,$L318,""),0)</f>
        <v>0</v>
      </c>
      <c r="W318" s="15">
        <f>_xlfn.IFNA(IF(VLOOKUP($J318&amp;W$14,'Mapping A'!$A$6:$G$1011,7,0)=1,$L318,""),0)</f>
        <v>0</v>
      </c>
      <c r="X318" s="15">
        <f>_xlfn.IFNA(IF(VLOOKUP($J318&amp;X$14,'Mapping A'!$A$6:$G$1011,7,0)=1,$L318,""),0)</f>
        <v>0</v>
      </c>
      <c r="Y318" s="15">
        <f>_xlfn.IFNA(IF(VLOOKUP($J318&amp;Y$14,'Mapping A'!$A$6:$G$1011,7,0)=1,$L318,""),0)</f>
        <v>0</v>
      </c>
      <c r="Z318" s="15">
        <f>_xlfn.IFNA(IF(VLOOKUP($J318&amp;Z$14,'Mapping A'!$A$6:$G$1011,7,0)=1,$L318,""),0)</f>
        <v>0</v>
      </c>
      <c r="AA318" s="15">
        <f>_xlfn.IFNA(IF(VLOOKUP($J318&amp;AA$14,'Mapping A'!$A$6:$G$1011,7,0)=1,$L318,""),0)</f>
        <v>0</v>
      </c>
      <c r="AF318" s="155" t="str">
        <f t="shared" si="109"/>
        <v>HAY0331Wellington Electricity</v>
      </c>
      <c r="AG318" s="190" t="s">
        <v>196</v>
      </c>
      <c r="AH318" s="190" t="s">
        <v>40</v>
      </c>
      <c r="AI318" s="190">
        <f t="shared" si="102"/>
        <v>19.611900000000002</v>
      </c>
      <c r="AJ318" s="292" t="s">
        <v>95</v>
      </c>
      <c r="AK318" s="15"/>
      <c r="AL318" s="15">
        <f t="shared" si="97"/>
        <v>0</v>
      </c>
      <c r="AM318" s="15"/>
      <c r="AN318" s="15">
        <f t="shared" ca="1" si="98"/>
        <v>0</v>
      </c>
      <c r="AO318" s="15">
        <f t="shared" si="99"/>
        <v>0</v>
      </c>
      <c r="AP318" s="15">
        <f t="shared" si="100"/>
        <v>0</v>
      </c>
      <c r="AQ318" s="15"/>
      <c r="AR318" s="190">
        <f t="shared" si="103"/>
        <v>0</v>
      </c>
      <c r="AS318" s="15"/>
      <c r="AT318" s="190">
        <f t="shared" si="104"/>
        <v>0</v>
      </c>
      <c r="AU318" s="190">
        <f t="shared" si="105"/>
        <v>0</v>
      </c>
      <c r="AV318" s="190">
        <f t="shared" si="106"/>
        <v>0</v>
      </c>
      <c r="AW318" s="190">
        <f t="shared" si="107"/>
        <v>0</v>
      </c>
      <c r="AX318" s="190">
        <f t="shared" si="108"/>
        <v>0</v>
      </c>
      <c r="BP318" s="190"/>
    </row>
    <row r="319" spans="2:68" x14ac:dyDescent="0.25">
      <c r="B319" s="98" t="s">
        <v>554</v>
      </c>
      <c r="C319" s="98">
        <v>2014</v>
      </c>
      <c r="D319" s="98" t="s">
        <v>256</v>
      </c>
      <c r="E319" s="98" t="s">
        <v>8</v>
      </c>
      <c r="F319" s="98" t="s">
        <v>131</v>
      </c>
      <c r="G319" s="98">
        <v>21971.503000000299</v>
      </c>
      <c r="H319" s="299" t="str">
        <f>VLOOKUP(LEFT('Rev Adequacy'!D319,3),'Mapping B'!$D$2:$E$400,2,0)</f>
        <v>N</v>
      </c>
      <c r="I319" s="190"/>
      <c r="J319" s="15" t="s">
        <v>197</v>
      </c>
      <c r="K319" s="190" t="s">
        <v>37</v>
      </c>
      <c r="L319" s="190">
        <f t="shared" si="101"/>
        <v>122.8206</v>
      </c>
      <c r="M319" s="15"/>
      <c r="N319" s="15"/>
      <c r="O319" s="15">
        <f>_xlfn.IFNA(IF(VLOOKUP($J319&amp;O$14,'Mapping A'!$A$6:$G$1011,7,0)=1,$L319,""),0)</f>
        <v>0</v>
      </c>
      <c r="P319" s="15">
        <f>_xlfn.IFNA(IF(VLOOKUP($J319&amp;P$14,'Mapping A'!$A$6:$G$1011,7,0)=1,$L319,""),0)</f>
        <v>0</v>
      </c>
      <c r="Q319" s="15">
        <f>_xlfn.IFNA(IF(VLOOKUP($J319&amp;Q$14,'Mapping A'!$A$6:$G$1011,7,0)=1,$L319,""),0)</f>
        <v>0</v>
      </c>
      <c r="R319" s="15">
        <f>_xlfn.IFNA(IF(VLOOKUP($J319&amp;R$14,'Mapping A'!$A$6:$G$1011,7,0)=1,$L319,""),0)</f>
        <v>0</v>
      </c>
      <c r="S319" s="15">
        <f>_xlfn.IFNA(IF(VLOOKUP($J319&amp;S$14,'Mapping A'!$A$6:$G$1011,7,0)=1,$L319,""),0)</f>
        <v>0</v>
      </c>
      <c r="T319" s="15">
        <f>_xlfn.IFNA(IF(VLOOKUP($J319&amp;T$14,'Mapping A'!$A$6:$G$1011,7,0)=1,$L319,""),0)</f>
        <v>122.8206</v>
      </c>
      <c r="U319" s="15">
        <f>_xlfn.IFNA(IF(VLOOKUP($J319&amp;U$14,'Mapping A'!$A$6:$G$1011,7,0)=1,$L319,""),0)</f>
        <v>0</v>
      </c>
      <c r="V319" s="15">
        <f>_xlfn.IFNA(IF(VLOOKUP($J319&amp;V$14,'Mapping A'!$A$6:$G$1011,7,0)=1,$L319,""),0)</f>
        <v>0</v>
      </c>
      <c r="W319" s="15">
        <f>_xlfn.IFNA(IF(VLOOKUP($J319&amp;W$14,'Mapping A'!$A$6:$G$1011,7,0)=1,$L319,""),0)</f>
        <v>0</v>
      </c>
      <c r="X319" s="15">
        <f>_xlfn.IFNA(IF(VLOOKUP($J319&amp;X$14,'Mapping A'!$A$6:$G$1011,7,0)=1,$L319,""),0)</f>
        <v>0</v>
      </c>
      <c r="Y319" s="15">
        <f>_xlfn.IFNA(IF(VLOOKUP($J319&amp;Y$14,'Mapping A'!$A$6:$G$1011,7,0)=1,$L319,""),0)</f>
        <v>0</v>
      </c>
      <c r="Z319" s="15">
        <f>_xlfn.IFNA(IF(VLOOKUP($J319&amp;Z$14,'Mapping A'!$A$6:$G$1011,7,0)=1,$L319,""),0)</f>
        <v>0</v>
      </c>
      <c r="AA319" s="15">
        <f>_xlfn.IFNA(IF(VLOOKUP($J319&amp;AA$14,'Mapping A'!$A$6:$G$1011,7,0)=1,$L319,""),0)</f>
        <v>0</v>
      </c>
      <c r="AF319" s="155" t="str">
        <f t="shared" si="109"/>
        <v>HEN0331Vector</v>
      </c>
      <c r="AG319" s="190" t="s">
        <v>197</v>
      </c>
      <c r="AH319" s="190" t="s">
        <v>37</v>
      </c>
      <c r="AI319" s="190">
        <f t="shared" si="102"/>
        <v>122.8206</v>
      </c>
      <c r="AJ319" s="292" t="s">
        <v>95</v>
      </c>
      <c r="AK319" s="15"/>
      <c r="AL319" s="15">
        <f t="shared" si="97"/>
        <v>0</v>
      </c>
      <c r="AM319" s="15"/>
      <c r="AN319" s="15">
        <f t="shared" ca="1" si="98"/>
        <v>0</v>
      </c>
      <c r="AO319" s="15">
        <f t="shared" si="99"/>
        <v>0</v>
      </c>
      <c r="AP319" s="15">
        <f t="shared" si="100"/>
        <v>0</v>
      </c>
      <c r="AQ319" s="15"/>
      <c r="AR319" s="190">
        <f t="shared" si="103"/>
        <v>0</v>
      </c>
      <c r="AS319" s="15"/>
      <c r="AT319" s="190">
        <f t="shared" si="104"/>
        <v>0</v>
      </c>
      <c r="AU319" s="190">
        <f t="shared" si="105"/>
        <v>0</v>
      </c>
      <c r="AV319" s="190">
        <f t="shared" si="106"/>
        <v>0</v>
      </c>
      <c r="AW319" s="190">
        <f t="shared" si="107"/>
        <v>0</v>
      </c>
      <c r="AX319" s="190">
        <f t="shared" si="108"/>
        <v>0</v>
      </c>
      <c r="BP319" s="190"/>
    </row>
    <row r="320" spans="2:68" x14ac:dyDescent="0.25">
      <c r="B320" s="98" t="s">
        <v>554</v>
      </c>
      <c r="C320" s="98">
        <v>2014</v>
      </c>
      <c r="D320" s="98" t="s">
        <v>305</v>
      </c>
      <c r="E320" s="98" t="s">
        <v>8</v>
      </c>
      <c r="F320" s="98" t="s">
        <v>131</v>
      </c>
      <c r="G320" s="98">
        <v>0</v>
      </c>
      <c r="H320" s="299" t="str">
        <f>VLOOKUP(LEFT('Rev Adequacy'!D320,3),'Mapping B'!$D$2:$E$400,2,0)</f>
        <v>N</v>
      </c>
      <c r="I320" s="190"/>
      <c r="J320" s="15" t="s">
        <v>198</v>
      </c>
      <c r="K320" s="190" t="s">
        <v>37</v>
      </c>
      <c r="L320" s="190">
        <f t="shared" si="101"/>
        <v>149.04329999999999</v>
      </c>
      <c r="M320" s="15"/>
      <c r="N320" s="15"/>
      <c r="O320" s="15">
        <f>_xlfn.IFNA(IF(VLOOKUP($J320&amp;O$14,'Mapping A'!$A$6:$G$1011,7,0)=1,$L320,""),0)</f>
        <v>0</v>
      </c>
      <c r="P320" s="15">
        <f>_xlfn.IFNA(IF(VLOOKUP($J320&amp;P$14,'Mapping A'!$A$6:$G$1011,7,0)=1,$L320,""),0)</f>
        <v>0</v>
      </c>
      <c r="Q320" s="15">
        <f>_xlfn.IFNA(IF(VLOOKUP($J320&amp;Q$14,'Mapping A'!$A$6:$G$1011,7,0)=1,$L320,""),0)</f>
        <v>0</v>
      </c>
      <c r="R320" s="15">
        <f>_xlfn.IFNA(IF(VLOOKUP($J320&amp;R$14,'Mapping A'!$A$6:$G$1011,7,0)=1,$L320,""),0)</f>
        <v>0</v>
      </c>
      <c r="S320" s="15">
        <f>_xlfn.IFNA(IF(VLOOKUP($J320&amp;S$14,'Mapping A'!$A$6:$G$1011,7,0)=1,$L320,""),0)</f>
        <v>0</v>
      </c>
      <c r="T320" s="15">
        <f>_xlfn.IFNA(IF(VLOOKUP($J320&amp;T$14,'Mapping A'!$A$6:$G$1011,7,0)=1,$L320,""),0)</f>
        <v>149.04329999999999</v>
      </c>
      <c r="U320" s="15">
        <f>_xlfn.IFNA(IF(VLOOKUP($J320&amp;U$14,'Mapping A'!$A$6:$G$1011,7,0)=1,$L320,""),0)</f>
        <v>0</v>
      </c>
      <c r="V320" s="15">
        <f>_xlfn.IFNA(IF(VLOOKUP($J320&amp;V$14,'Mapping A'!$A$6:$G$1011,7,0)=1,$L320,""),0)</f>
        <v>0</v>
      </c>
      <c r="W320" s="15">
        <f>_xlfn.IFNA(IF(VLOOKUP($J320&amp;W$14,'Mapping A'!$A$6:$G$1011,7,0)=1,$L320,""),0)</f>
        <v>0</v>
      </c>
      <c r="X320" s="15">
        <f>_xlfn.IFNA(IF(VLOOKUP($J320&amp;X$14,'Mapping A'!$A$6:$G$1011,7,0)=1,$L320,""),0)</f>
        <v>0</v>
      </c>
      <c r="Y320" s="15">
        <f>_xlfn.IFNA(IF(VLOOKUP($J320&amp;Y$14,'Mapping A'!$A$6:$G$1011,7,0)=1,$L320,""),0)</f>
        <v>0</v>
      </c>
      <c r="Z320" s="15">
        <f>_xlfn.IFNA(IF(VLOOKUP($J320&amp;Z$14,'Mapping A'!$A$6:$G$1011,7,0)=1,$L320,""),0)</f>
        <v>0</v>
      </c>
      <c r="AA320" s="15">
        <f>_xlfn.IFNA(IF(VLOOKUP($J320&amp;AA$14,'Mapping A'!$A$6:$G$1011,7,0)=1,$L320,""),0)</f>
        <v>0</v>
      </c>
      <c r="AF320" s="155" t="str">
        <f t="shared" si="109"/>
        <v>HEP0331Vector</v>
      </c>
      <c r="AG320" s="190" t="s">
        <v>198</v>
      </c>
      <c r="AH320" s="190" t="s">
        <v>37</v>
      </c>
      <c r="AI320" s="190">
        <f t="shared" si="102"/>
        <v>149.04329999999999</v>
      </c>
      <c r="AJ320" s="292" t="s">
        <v>95</v>
      </c>
      <c r="AK320" s="15"/>
      <c r="AL320" s="15">
        <f t="shared" ref="AL320:AL383" si="110">IF(O$255=0,0,(O$13*O$7*O320/O$255))</f>
        <v>0</v>
      </c>
      <c r="AM320" s="15"/>
      <c r="AN320" s="15">
        <f t="shared" ref="AN320:AN383" ca="1" si="111">IF(Q$255=0,0,(Q$15*Q$7*Q320/Q$255))</f>
        <v>0</v>
      </c>
      <c r="AO320" s="15">
        <f t="shared" ref="AO320:AO383" si="112">IF(R$255=0,0,(R$13*R$7*R320/R$255))</f>
        <v>0</v>
      </c>
      <c r="AP320" s="15">
        <f t="shared" ref="AP320:AP383" si="113">IF(S$255=0,0,(S$13*S$7*S320/S$255))</f>
        <v>0</v>
      </c>
      <c r="AQ320" s="15"/>
      <c r="AR320" s="190">
        <f t="shared" si="103"/>
        <v>0</v>
      </c>
      <c r="AS320" s="15"/>
      <c r="AT320" s="190">
        <f t="shared" si="104"/>
        <v>0</v>
      </c>
      <c r="AU320" s="190">
        <f t="shared" si="105"/>
        <v>0</v>
      </c>
      <c r="AV320" s="190">
        <f t="shared" si="106"/>
        <v>0</v>
      </c>
      <c r="AW320" s="190">
        <f t="shared" si="107"/>
        <v>0</v>
      </c>
      <c r="AX320" s="190">
        <f t="shared" si="108"/>
        <v>0</v>
      </c>
      <c r="BP320" s="190"/>
    </row>
    <row r="321" spans="2:68" x14ac:dyDescent="0.25">
      <c r="B321" s="98" t="s">
        <v>563</v>
      </c>
      <c r="C321" s="98">
        <v>2014</v>
      </c>
      <c r="D321" s="98" t="s">
        <v>256</v>
      </c>
      <c r="E321" s="98" t="s">
        <v>8</v>
      </c>
      <c r="F321" s="98" t="s">
        <v>131</v>
      </c>
      <c r="G321" s="98">
        <v>348045.49200000003</v>
      </c>
      <c r="H321" s="299" t="str">
        <f>VLOOKUP(LEFT('Rev Adequacy'!D321,3),'Mapping B'!$D$2:$E$400,2,0)</f>
        <v>N</v>
      </c>
      <c r="I321" s="190"/>
      <c r="J321" s="15" t="s">
        <v>199</v>
      </c>
      <c r="K321" s="190" t="s">
        <v>28</v>
      </c>
      <c r="L321" s="190">
        <f t="shared" ref="L321:L384" si="114">BH92</f>
        <v>45.4923</v>
      </c>
      <c r="M321" s="15"/>
      <c r="N321" s="15"/>
      <c r="O321" s="15">
        <f>_xlfn.IFNA(IF(VLOOKUP($J321&amp;O$14,'Mapping A'!$A$6:$G$1011,7,0)=1,$L321,""),0)</f>
        <v>0</v>
      </c>
      <c r="P321" s="15">
        <f>_xlfn.IFNA(IF(VLOOKUP($J321&amp;P$14,'Mapping A'!$A$6:$G$1011,7,0)=1,$L321,""),0)</f>
        <v>0</v>
      </c>
      <c r="Q321" s="15">
        <f>_xlfn.IFNA(IF(VLOOKUP($J321&amp;Q$14,'Mapping A'!$A$6:$G$1011,7,0)=1,$L321,""),0)</f>
        <v>0</v>
      </c>
      <c r="R321" s="15">
        <f>_xlfn.IFNA(IF(VLOOKUP($J321&amp;R$14,'Mapping A'!$A$6:$G$1011,7,0)=1,$L321,""),0)</f>
        <v>0</v>
      </c>
      <c r="S321" s="15">
        <f>_xlfn.IFNA(IF(VLOOKUP($J321&amp;S$14,'Mapping A'!$A$6:$G$1011,7,0)=1,$L321,""),0)</f>
        <v>0</v>
      </c>
      <c r="T321" s="15">
        <f>_xlfn.IFNA(IF(VLOOKUP($J321&amp;T$14,'Mapping A'!$A$6:$G$1011,7,0)=1,$L321,""),0)</f>
        <v>45.4923</v>
      </c>
      <c r="U321" s="15">
        <f>_xlfn.IFNA(IF(VLOOKUP($J321&amp;U$14,'Mapping A'!$A$6:$G$1011,7,0)=1,$L321,""),0)</f>
        <v>0</v>
      </c>
      <c r="V321" s="15">
        <f>_xlfn.IFNA(IF(VLOOKUP($J321&amp;V$14,'Mapping A'!$A$6:$G$1011,7,0)=1,$L321,""),0)</f>
        <v>0</v>
      </c>
      <c r="W321" s="15">
        <f>_xlfn.IFNA(IF(VLOOKUP($J321&amp;W$14,'Mapping A'!$A$6:$G$1011,7,0)=1,$L321,""),0)</f>
        <v>0</v>
      </c>
      <c r="X321" s="15">
        <f>_xlfn.IFNA(IF(VLOOKUP($J321&amp;X$14,'Mapping A'!$A$6:$G$1011,7,0)=1,$L321,""),0)</f>
        <v>0</v>
      </c>
      <c r="Y321" s="15">
        <f>_xlfn.IFNA(IF(VLOOKUP($J321&amp;Y$14,'Mapping A'!$A$6:$G$1011,7,0)=1,$L321,""),0)</f>
        <v>0</v>
      </c>
      <c r="Z321" s="15">
        <f>_xlfn.IFNA(IF(VLOOKUP($J321&amp;Z$14,'Mapping A'!$A$6:$G$1011,7,0)=1,$L321,""),0)</f>
        <v>0</v>
      </c>
      <c r="AA321" s="15">
        <f>_xlfn.IFNA(IF(VLOOKUP($J321&amp;AA$14,'Mapping A'!$A$6:$G$1011,7,0)=1,$L321,""),0)</f>
        <v>0</v>
      </c>
      <c r="AF321" s="155" t="str">
        <f t="shared" si="109"/>
        <v>HIN0331Powerco</v>
      </c>
      <c r="AG321" s="190" t="s">
        <v>199</v>
      </c>
      <c r="AH321" s="190" t="s">
        <v>28</v>
      </c>
      <c r="AI321" s="190">
        <f t="shared" ref="AI321:AI384" si="115">BH92</f>
        <v>45.4923</v>
      </c>
      <c r="AJ321" s="292" t="s">
        <v>95</v>
      </c>
      <c r="AK321" s="15"/>
      <c r="AL321" s="15">
        <f t="shared" si="110"/>
        <v>0</v>
      </c>
      <c r="AM321" s="15"/>
      <c r="AN321" s="15">
        <f t="shared" ca="1" si="111"/>
        <v>0</v>
      </c>
      <c r="AO321" s="15">
        <f t="shared" si="112"/>
        <v>0</v>
      </c>
      <c r="AP321" s="15">
        <f t="shared" si="113"/>
        <v>0</v>
      </c>
      <c r="AQ321" s="15"/>
      <c r="AR321" s="190">
        <f t="shared" ref="AR321:AR384" si="116">IF(U$255=0,0,(U$13*U$7*U321/U$255))</f>
        <v>0</v>
      </c>
      <c r="AS321" s="15"/>
      <c r="AT321" s="190">
        <f t="shared" ref="AT321:AT384" si="117">IF(W$255=0,0,(W$13*W$7*W321/W$255))</f>
        <v>0</v>
      </c>
      <c r="AU321" s="190">
        <f t="shared" ref="AU321:AU384" si="118">IF(X$255=0,0,(X$13*X$7*X321/X$255))</f>
        <v>0</v>
      </c>
      <c r="AV321" s="190">
        <f t="shared" ref="AV321:AV384" si="119">IF(Y$255=0,0,(Y$13*Y$7*Y321/Y$255))</f>
        <v>0</v>
      </c>
      <c r="AW321" s="190">
        <f t="shared" ref="AW321:AW384" si="120">IF(Z$255=0,0,(Z$13*Z$8*Z321/Z$255))</f>
        <v>0</v>
      </c>
      <c r="AX321" s="190">
        <f t="shared" ref="AX321:AX384" si="121">IF(AA$255=0,0,(AA$13*AA$7*AA321/AA$255))</f>
        <v>0</v>
      </c>
      <c r="BP321" s="190"/>
    </row>
    <row r="322" spans="2:68" x14ac:dyDescent="0.25">
      <c r="B322" s="98" t="s">
        <v>563</v>
      </c>
      <c r="C322" s="98">
        <v>2014</v>
      </c>
      <c r="D322" s="98" t="s">
        <v>305</v>
      </c>
      <c r="E322" s="98" t="s">
        <v>8</v>
      </c>
      <c r="F322" s="98" t="s">
        <v>131</v>
      </c>
      <c r="G322" s="98">
        <v>513480.95400000102</v>
      </c>
      <c r="H322" s="299" t="str">
        <f>VLOOKUP(LEFT('Rev Adequacy'!D322,3),'Mapping B'!$D$2:$E$400,2,0)</f>
        <v>N</v>
      </c>
      <c r="I322" s="190"/>
      <c r="J322" s="15" t="s">
        <v>200</v>
      </c>
      <c r="K322" s="190" t="s">
        <v>41</v>
      </c>
      <c r="L322" s="190">
        <f t="shared" si="114"/>
        <v>20.2272</v>
      </c>
      <c r="M322" s="15"/>
      <c r="N322" s="15"/>
      <c r="O322" s="15">
        <f>_xlfn.IFNA(IF(VLOOKUP($J322&amp;O$14,'Mapping A'!$A$6:$G$1011,7,0)=1,$L322,""),0)</f>
        <v>0</v>
      </c>
      <c r="P322" s="15">
        <f>_xlfn.IFNA(IF(VLOOKUP($J322&amp;P$14,'Mapping A'!$A$6:$G$1011,7,0)=1,$L322,""),0)</f>
        <v>0</v>
      </c>
      <c r="Q322" s="15">
        <f>_xlfn.IFNA(IF(VLOOKUP($J322&amp;Q$14,'Mapping A'!$A$6:$G$1011,7,0)=1,$L322,""),0)</f>
        <v>20.2272</v>
      </c>
      <c r="R322" s="15">
        <f>_xlfn.IFNA(IF(VLOOKUP($J322&amp;R$14,'Mapping A'!$A$6:$G$1011,7,0)=1,$L322,""),0)</f>
        <v>0</v>
      </c>
      <c r="S322" s="15">
        <f>_xlfn.IFNA(IF(VLOOKUP($J322&amp;S$14,'Mapping A'!$A$6:$G$1011,7,0)=1,$L322,""),0)</f>
        <v>0</v>
      </c>
      <c r="T322" s="15">
        <f>_xlfn.IFNA(IF(VLOOKUP($J322&amp;T$14,'Mapping A'!$A$6:$G$1011,7,0)=1,$L322,""),0)</f>
        <v>0</v>
      </c>
      <c r="U322" s="15">
        <f>_xlfn.IFNA(IF(VLOOKUP($J322&amp;U$14,'Mapping A'!$A$6:$G$1011,7,0)=1,$L322,""),0)</f>
        <v>0</v>
      </c>
      <c r="V322" s="15">
        <f>_xlfn.IFNA(IF(VLOOKUP($J322&amp;V$14,'Mapping A'!$A$6:$G$1011,7,0)=1,$L322,""),0)</f>
        <v>0</v>
      </c>
      <c r="W322" s="15">
        <f>_xlfn.IFNA(IF(VLOOKUP($J322&amp;W$14,'Mapping A'!$A$6:$G$1011,7,0)=1,$L322,""),0)</f>
        <v>0</v>
      </c>
      <c r="X322" s="15">
        <f>_xlfn.IFNA(IF(VLOOKUP($J322&amp;X$14,'Mapping A'!$A$6:$G$1011,7,0)=1,$L322,""),0)</f>
        <v>0</v>
      </c>
      <c r="Y322" s="15">
        <f>_xlfn.IFNA(IF(VLOOKUP($J322&amp;Y$14,'Mapping A'!$A$6:$G$1011,7,0)=1,$L322,""),0)</f>
        <v>0</v>
      </c>
      <c r="Z322" s="15">
        <f>_xlfn.IFNA(IF(VLOOKUP($J322&amp;Z$14,'Mapping A'!$A$6:$G$1011,7,0)=1,$L322,""),0)</f>
        <v>0</v>
      </c>
      <c r="AA322" s="15">
        <f>_xlfn.IFNA(IF(VLOOKUP($J322&amp;AA$14,'Mapping A'!$A$6:$G$1011,7,0)=1,$L322,""),0)</f>
        <v>0</v>
      </c>
      <c r="AF322" s="155" t="str">
        <f t="shared" si="109"/>
        <v>HKK0661Westpower</v>
      </c>
      <c r="AG322" s="190" t="s">
        <v>200</v>
      </c>
      <c r="AH322" s="190" t="s">
        <v>41</v>
      </c>
      <c r="AI322" s="190">
        <f t="shared" si="115"/>
        <v>20.2272</v>
      </c>
      <c r="AJ322" s="292" t="s">
        <v>96</v>
      </c>
      <c r="AK322" s="15"/>
      <c r="AL322" s="15">
        <f t="shared" si="110"/>
        <v>0</v>
      </c>
      <c r="AM322" s="15"/>
      <c r="AN322" s="15">
        <f t="shared" ca="1" si="111"/>
        <v>0</v>
      </c>
      <c r="AO322" s="15">
        <f t="shared" si="112"/>
        <v>0</v>
      </c>
      <c r="AP322" s="15">
        <f t="shared" si="113"/>
        <v>0</v>
      </c>
      <c r="AQ322" s="15"/>
      <c r="AR322" s="190">
        <f t="shared" si="116"/>
        <v>0</v>
      </c>
      <c r="AS322" s="15"/>
      <c r="AT322" s="190">
        <f t="shared" si="117"/>
        <v>0</v>
      </c>
      <c r="AU322" s="190">
        <f t="shared" si="118"/>
        <v>0</v>
      </c>
      <c r="AV322" s="190">
        <f t="shared" si="119"/>
        <v>0</v>
      </c>
      <c r="AW322" s="190">
        <f t="shared" si="120"/>
        <v>0</v>
      </c>
      <c r="AX322" s="190">
        <f t="shared" si="121"/>
        <v>0</v>
      </c>
      <c r="BP322" s="190"/>
    </row>
    <row r="323" spans="2:68" x14ac:dyDescent="0.25">
      <c r="B323" s="98" t="s">
        <v>555</v>
      </c>
      <c r="C323" s="98">
        <v>2014</v>
      </c>
      <c r="D323" s="98" t="s">
        <v>256</v>
      </c>
      <c r="E323" s="98" t="s">
        <v>8</v>
      </c>
      <c r="F323" s="98" t="s">
        <v>131</v>
      </c>
      <c r="G323" s="98">
        <v>164698.25399999999</v>
      </c>
      <c r="H323" s="299" t="str">
        <f>VLOOKUP(LEFT('Rev Adequacy'!D323,3),'Mapping B'!$D$2:$E$400,2,0)</f>
        <v>N</v>
      </c>
      <c r="I323" s="190"/>
      <c r="J323" s="15" t="s">
        <v>201</v>
      </c>
      <c r="K323" s="190" t="s">
        <v>39</v>
      </c>
      <c r="L323" s="190">
        <f t="shared" si="114"/>
        <v>26.646900000000002</v>
      </c>
      <c r="M323" s="15"/>
      <c r="N323" s="15"/>
      <c r="O323" s="15">
        <f>_xlfn.IFNA(IF(VLOOKUP($J323&amp;O$14,'Mapping A'!$A$6:$G$1011,7,0)=1,$L323,""),0)</f>
        <v>0</v>
      </c>
      <c r="P323" s="15">
        <f>_xlfn.IFNA(IF(VLOOKUP($J323&amp;P$14,'Mapping A'!$A$6:$G$1011,7,0)=1,$L323,""),0)</f>
        <v>0</v>
      </c>
      <c r="Q323" s="15">
        <f>_xlfn.IFNA(IF(VLOOKUP($J323&amp;Q$14,'Mapping A'!$A$6:$G$1011,7,0)=1,$L323,""),0)</f>
        <v>0</v>
      </c>
      <c r="R323" s="15">
        <f>_xlfn.IFNA(IF(VLOOKUP($J323&amp;R$14,'Mapping A'!$A$6:$G$1011,7,0)=1,$L323,""),0)</f>
        <v>0</v>
      </c>
      <c r="S323" s="15">
        <f>_xlfn.IFNA(IF(VLOOKUP($J323&amp;S$14,'Mapping A'!$A$6:$G$1011,7,0)=1,$L323,""),0)</f>
        <v>0</v>
      </c>
      <c r="T323" s="15">
        <f>_xlfn.IFNA(IF(VLOOKUP($J323&amp;T$14,'Mapping A'!$A$6:$G$1011,7,0)=1,$L323,""),0)</f>
        <v>26.646900000000002</v>
      </c>
      <c r="U323" s="15">
        <f>_xlfn.IFNA(IF(VLOOKUP($J323&amp;U$14,'Mapping A'!$A$6:$G$1011,7,0)=1,$L323,""),0)</f>
        <v>0</v>
      </c>
      <c r="V323" s="15">
        <f>_xlfn.IFNA(IF(VLOOKUP($J323&amp;V$14,'Mapping A'!$A$6:$G$1011,7,0)=1,$L323,""),0)</f>
        <v>0</v>
      </c>
      <c r="W323" s="15">
        <f>_xlfn.IFNA(IF(VLOOKUP($J323&amp;W$14,'Mapping A'!$A$6:$G$1011,7,0)=1,$L323,""),0)</f>
        <v>0</v>
      </c>
      <c r="X323" s="15">
        <f>_xlfn.IFNA(IF(VLOOKUP($J323&amp;X$14,'Mapping A'!$A$6:$G$1011,7,0)=1,$L323,""),0)</f>
        <v>0</v>
      </c>
      <c r="Y323" s="15">
        <f>_xlfn.IFNA(IF(VLOOKUP($J323&amp;Y$14,'Mapping A'!$A$6:$G$1011,7,0)=1,$L323,""),0)</f>
        <v>0</v>
      </c>
      <c r="Z323" s="15">
        <f>_xlfn.IFNA(IF(VLOOKUP($J323&amp;Z$14,'Mapping A'!$A$6:$G$1011,7,0)=1,$L323,""),0)</f>
        <v>0</v>
      </c>
      <c r="AA323" s="15">
        <f>_xlfn.IFNA(IF(VLOOKUP($J323&amp;AA$14,'Mapping A'!$A$6:$G$1011,7,0)=1,$L323,""),0)</f>
        <v>0</v>
      </c>
      <c r="AF323" s="155" t="str">
        <f t="shared" si="109"/>
        <v>HLY0331WEL</v>
      </c>
      <c r="AG323" s="190" t="s">
        <v>201</v>
      </c>
      <c r="AH323" s="190" t="s">
        <v>39</v>
      </c>
      <c r="AI323" s="190">
        <f t="shared" si="115"/>
        <v>26.646900000000002</v>
      </c>
      <c r="AJ323" s="292" t="s">
        <v>95</v>
      </c>
      <c r="AK323" s="15"/>
      <c r="AL323" s="15">
        <f t="shared" si="110"/>
        <v>0</v>
      </c>
      <c r="AM323" s="15"/>
      <c r="AN323" s="15">
        <f t="shared" ca="1" si="111"/>
        <v>0</v>
      </c>
      <c r="AO323" s="15">
        <f t="shared" si="112"/>
        <v>0</v>
      </c>
      <c r="AP323" s="15">
        <f t="shared" si="113"/>
        <v>0</v>
      </c>
      <c r="AQ323" s="15"/>
      <c r="AR323" s="190">
        <f t="shared" si="116"/>
        <v>0</v>
      </c>
      <c r="AS323" s="15"/>
      <c r="AT323" s="190">
        <f t="shared" si="117"/>
        <v>0</v>
      </c>
      <c r="AU323" s="190">
        <f t="shared" si="118"/>
        <v>0</v>
      </c>
      <c r="AV323" s="190">
        <f t="shared" si="119"/>
        <v>0</v>
      </c>
      <c r="AW323" s="190">
        <f t="shared" si="120"/>
        <v>0</v>
      </c>
      <c r="AX323" s="190">
        <f t="shared" si="121"/>
        <v>0</v>
      </c>
      <c r="BP323" s="190"/>
    </row>
    <row r="324" spans="2:68" x14ac:dyDescent="0.25">
      <c r="B324" s="98" t="s">
        <v>555</v>
      </c>
      <c r="C324" s="98">
        <v>2014</v>
      </c>
      <c r="D324" s="98" t="s">
        <v>305</v>
      </c>
      <c r="E324" s="98" t="s">
        <v>8</v>
      </c>
      <c r="F324" s="98" t="s">
        <v>131</v>
      </c>
      <c r="G324" s="98">
        <v>234990.30799999999</v>
      </c>
      <c r="H324" s="299" t="str">
        <f>VLOOKUP(LEFT('Rev Adequacy'!D324,3),'Mapping B'!$D$2:$E$400,2,0)</f>
        <v>N</v>
      </c>
      <c r="I324" s="190"/>
      <c r="J324" s="15" t="s">
        <v>918</v>
      </c>
      <c r="K324" s="190" t="s">
        <v>10</v>
      </c>
      <c r="L324" s="190">
        <f t="shared" si="114"/>
        <v>17.944500000000001</v>
      </c>
      <c r="M324" s="15"/>
      <c r="N324" s="15"/>
      <c r="O324" s="15">
        <f>_xlfn.IFNA(IF(VLOOKUP($J324&amp;O$14,'Mapping A'!$A$6:$G$1011,7,0)=1,$L324,""),0)</f>
        <v>0</v>
      </c>
      <c r="P324" s="15">
        <f>_xlfn.IFNA(IF(VLOOKUP($J324&amp;P$14,'Mapping A'!$A$6:$G$1011,7,0)=1,$L324,""),0)</f>
        <v>0</v>
      </c>
      <c r="Q324" s="15">
        <f>_xlfn.IFNA(IF(VLOOKUP($J324&amp;Q$14,'Mapping A'!$A$6:$G$1011,7,0)=1,$L324,""),0)</f>
        <v>0</v>
      </c>
      <c r="R324" s="15">
        <f>_xlfn.IFNA(IF(VLOOKUP($J324&amp;R$14,'Mapping A'!$A$6:$G$1011,7,0)=1,$L324,""),0)</f>
        <v>0</v>
      </c>
      <c r="S324" s="15">
        <f>_xlfn.IFNA(IF(VLOOKUP($J324&amp;S$14,'Mapping A'!$A$6:$G$1011,7,0)=1,$L324,""),0)</f>
        <v>0</v>
      </c>
      <c r="T324" s="15">
        <f>_xlfn.IFNA(IF(VLOOKUP($J324&amp;T$14,'Mapping A'!$A$6:$G$1011,7,0)=1,$L324,""),0)</f>
        <v>0</v>
      </c>
      <c r="U324" s="15">
        <f>_xlfn.IFNA(IF(VLOOKUP($J324&amp;U$14,'Mapping A'!$A$6:$G$1011,7,0)=1,$L324,""),0)</f>
        <v>0</v>
      </c>
      <c r="V324" s="15">
        <f>_xlfn.IFNA(IF(VLOOKUP($J324&amp;V$14,'Mapping A'!$A$6:$G$1011,7,0)=1,$L324,""),0)</f>
        <v>0</v>
      </c>
      <c r="W324" s="15">
        <f>_xlfn.IFNA(IF(VLOOKUP($J324&amp;W$14,'Mapping A'!$A$6:$G$1011,7,0)=1,$L324,""),0)</f>
        <v>0</v>
      </c>
      <c r="X324" s="15">
        <f>_xlfn.IFNA(IF(VLOOKUP($J324&amp;X$14,'Mapping A'!$A$6:$G$1011,7,0)=1,$L324,""),0)</f>
        <v>0</v>
      </c>
      <c r="Y324" s="15">
        <f>_xlfn.IFNA(IF(VLOOKUP($J324&amp;Y$14,'Mapping A'!$A$6:$G$1011,7,0)=1,$L324,""),0)</f>
        <v>0</v>
      </c>
      <c r="Z324" s="15">
        <f>_xlfn.IFNA(IF(VLOOKUP($J324&amp;Z$14,'Mapping A'!$A$6:$G$1011,7,0)=1,$L324,""),0)</f>
        <v>0</v>
      </c>
      <c r="AA324" s="15">
        <f>_xlfn.IFNA(IF(VLOOKUP($J324&amp;AA$14,'Mapping A'!$A$6:$G$1011,7,0)=1,$L324,""),0)</f>
        <v>0</v>
      </c>
      <c r="AF324" s="155" t="str">
        <f t="shared" si="109"/>
        <v>HLY2201Genesis</v>
      </c>
      <c r="AG324" s="190" t="s">
        <v>918</v>
      </c>
      <c r="AH324" s="190" t="s">
        <v>10</v>
      </c>
      <c r="AI324" s="190">
        <f t="shared" si="115"/>
        <v>17.944500000000001</v>
      </c>
      <c r="AJ324" s="292" t="s">
        <v>95</v>
      </c>
      <c r="AK324" s="15"/>
      <c r="AL324" s="15">
        <f t="shared" si="110"/>
        <v>0</v>
      </c>
      <c r="AM324" s="15"/>
      <c r="AN324" s="15">
        <f t="shared" ca="1" si="111"/>
        <v>0</v>
      </c>
      <c r="AO324" s="15">
        <f t="shared" si="112"/>
        <v>0</v>
      </c>
      <c r="AP324" s="15">
        <f t="shared" si="113"/>
        <v>0</v>
      </c>
      <c r="AQ324" s="15"/>
      <c r="AR324" s="190">
        <f t="shared" si="116"/>
        <v>0</v>
      </c>
      <c r="AS324" s="15"/>
      <c r="AT324" s="190">
        <f t="shared" si="117"/>
        <v>0</v>
      </c>
      <c r="AU324" s="190">
        <f t="shared" si="118"/>
        <v>0</v>
      </c>
      <c r="AV324" s="190">
        <f t="shared" si="119"/>
        <v>0</v>
      </c>
      <c r="AW324" s="190">
        <f t="shared" si="120"/>
        <v>0</v>
      </c>
      <c r="AX324" s="190">
        <f t="shared" si="121"/>
        <v>0</v>
      </c>
      <c r="BP324" s="190"/>
    </row>
    <row r="325" spans="2:68" x14ac:dyDescent="0.25">
      <c r="B325" s="98" t="s">
        <v>112</v>
      </c>
      <c r="C325" s="98">
        <v>2014</v>
      </c>
      <c r="D325" s="98" t="s">
        <v>256</v>
      </c>
      <c r="E325" s="98" t="s">
        <v>8</v>
      </c>
      <c r="F325" s="98" t="s">
        <v>131</v>
      </c>
      <c r="G325" s="98">
        <v>7514790.4380000401</v>
      </c>
      <c r="H325" s="299" t="str">
        <f>VLOOKUP(LEFT('Rev Adequacy'!D325,3),'Mapping B'!$D$2:$E$400,2,0)</f>
        <v>N</v>
      </c>
      <c r="I325" s="190"/>
      <c r="J325" s="15" t="s">
        <v>206</v>
      </c>
      <c r="K325" s="190" t="s">
        <v>37</v>
      </c>
      <c r="L325" s="190">
        <f t="shared" si="114"/>
        <v>111.1572</v>
      </c>
      <c r="M325" s="15"/>
      <c r="N325" s="15"/>
      <c r="O325" s="15">
        <f>_xlfn.IFNA(IF(VLOOKUP($J325&amp;O$14,'Mapping A'!$A$6:$G$1011,7,0)=1,$L325,""),0)</f>
        <v>0</v>
      </c>
      <c r="P325" s="15">
        <f>_xlfn.IFNA(IF(VLOOKUP($J325&amp;P$14,'Mapping A'!$A$6:$G$1011,7,0)=1,$L325,""),0)</f>
        <v>0</v>
      </c>
      <c r="Q325" s="15">
        <f>_xlfn.IFNA(IF(VLOOKUP($J325&amp;Q$14,'Mapping A'!$A$6:$G$1011,7,0)=1,$L325,""),0)</f>
        <v>0</v>
      </c>
      <c r="R325" s="15">
        <f>_xlfn.IFNA(IF(VLOOKUP($J325&amp;R$14,'Mapping A'!$A$6:$G$1011,7,0)=1,$L325,""),0)</f>
        <v>0</v>
      </c>
      <c r="S325" s="15">
        <f>_xlfn.IFNA(IF(VLOOKUP($J325&amp;S$14,'Mapping A'!$A$6:$G$1011,7,0)=1,$L325,""),0)</f>
        <v>0</v>
      </c>
      <c r="T325" s="15">
        <f>_xlfn.IFNA(IF(VLOOKUP($J325&amp;T$14,'Mapping A'!$A$6:$G$1011,7,0)=1,$L325,""),0)</f>
        <v>111.1572</v>
      </c>
      <c r="U325" s="15">
        <f>_xlfn.IFNA(IF(VLOOKUP($J325&amp;U$14,'Mapping A'!$A$6:$G$1011,7,0)=1,$L325,""),0)</f>
        <v>0</v>
      </c>
      <c r="V325" s="15">
        <f>_xlfn.IFNA(IF(VLOOKUP($J325&amp;V$14,'Mapping A'!$A$6:$G$1011,7,0)=1,$L325,""),0)</f>
        <v>0</v>
      </c>
      <c r="W325" s="15">
        <f>_xlfn.IFNA(IF(VLOOKUP($J325&amp;W$14,'Mapping A'!$A$6:$G$1011,7,0)=1,$L325,""),0)</f>
        <v>0</v>
      </c>
      <c r="X325" s="15">
        <f>_xlfn.IFNA(IF(VLOOKUP($J325&amp;X$14,'Mapping A'!$A$6:$G$1011,7,0)=1,$L325,""),0)</f>
        <v>0</v>
      </c>
      <c r="Y325" s="15">
        <f>_xlfn.IFNA(IF(VLOOKUP($J325&amp;Y$14,'Mapping A'!$A$6:$G$1011,7,0)=1,$L325,""),0)</f>
        <v>0</v>
      </c>
      <c r="Z325" s="15">
        <f>_xlfn.IFNA(IF(VLOOKUP($J325&amp;Z$14,'Mapping A'!$A$6:$G$1011,7,0)=1,$L325,""),0)</f>
        <v>0</v>
      </c>
      <c r="AA325" s="15">
        <f>_xlfn.IFNA(IF(VLOOKUP($J325&amp;AA$14,'Mapping A'!$A$6:$G$1011,7,0)=1,$L325,""),0)</f>
        <v>0</v>
      </c>
      <c r="AF325" s="155" t="str">
        <f t="shared" si="109"/>
        <v>HOB1101Vector</v>
      </c>
      <c r="AG325" s="190" t="s">
        <v>206</v>
      </c>
      <c r="AH325" s="190" t="s">
        <v>37</v>
      </c>
      <c r="AI325" s="190">
        <f t="shared" si="115"/>
        <v>111.1572</v>
      </c>
      <c r="AJ325" s="292" t="s">
        <v>95</v>
      </c>
      <c r="AK325" s="15"/>
      <c r="AL325" s="15">
        <f t="shared" si="110"/>
        <v>0</v>
      </c>
      <c r="AM325" s="15"/>
      <c r="AN325" s="15">
        <f t="shared" ca="1" si="111"/>
        <v>0</v>
      </c>
      <c r="AO325" s="15">
        <f t="shared" si="112"/>
        <v>0</v>
      </c>
      <c r="AP325" s="15">
        <f t="shared" si="113"/>
        <v>0</v>
      </c>
      <c r="AQ325" s="15"/>
      <c r="AR325" s="190">
        <f t="shared" si="116"/>
        <v>0</v>
      </c>
      <c r="AS325" s="15"/>
      <c r="AT325" s="190">
        <f t="shared" si="117"/>
        <v>0</v>
      </c>
      <c r="AU325" s="190">
        <f t="shared" si="118"/>
        <v>0</v>
      </c>
      <c r="AV325" s="190">
        <f t="shared" si="119"/>
        <v>0</v>
      </c>
      <c r="AW325" s="190">
        <f t="shared" si="120"/>
        <v>0</v>
      </c>
      <c r="AX325" s="190">
        <f t="shared" si="121"/>
        <v>0</v>
      </c>
      <c r="BP325" s="190"/>
    </row>
    <row r="326" spans="2:68" x14ac:dyDescent="0.25">
      <c r="B326" s="98" t="s">
        <v>112</v>
      </c>
      <c r="C326" s="98">
        <v>2014</v>
      </c>
      <c r="D326" s="98" t="s">
        <v>305</v>
      </c>
      <c r="E326" s="98" t="s">
        <v>8</v>
      </c>
      <c r="F326" s="98" t="s">
        <v>131</v>
      </c>
      <c r="G326" s="98">
        <v>27486030.681999899</v>
      </c>
      <c r="H326" s="299" t="str">
        <f>VLOOKUP(LEFT('Rev Adequacy'!D326,3),'Mapping B'!$D$2:$E$400,2,0)</f>
        <v>N</v>
      </c>
      <c r="I326" s="190"/>
      <c r="J326" s="15" t="s">
        <v>207</v>
      </c>
      <c r="K326" s="190" t="s">
        <v>25</v>
      </c>
      <c r="L326" s="190">
        <f t="shared" si="114"/>
        <v>23.776199999999999</v>
      </c>
      <c r="M326" s="15"/>
      <c r="N326" s="15"/>
      <c r="O326" s="15">
        <f>_xlfn.IFNA(IF(VLOOKUP($J326&amp;O$14,'Mapping A'!$A$6:$G$1011,7,0)=1,$L326,""),0)</f>
        <v>0</v>
      </c>
      <c r="P326" s="15">
        <f>_xlfn.IFNA(IF(VLOOKUP($J326&amp;P$14,'Mapping A'!$A$6:$G$1011,7,0)=1,$L326,""),0)</f>
        <v>0</v>
      </c>
      <c r="Q326" s="15">
        <f>_xlfn.IFNA(IF(VLOOKUP($J326&amp;Q$14,'Mapping A'!$A$6:$G$1011,7,0)=1,$L326,""),0)</f>
        <v>23.776199999999999</v>
      </c>
      <c r="R326" s="15">
        <f>_xlfn.IFNA(IF(VLOOKUP($J326&amp;R$14,'Mapping A'!$A$6:$G$1011,7,0)=1,$L326,""),0)</f>
        <v>0</v>
      </c>
      <c r="S326" s="15">
        <f>_xlfn.IFNA(IF(VLOOKUP($J326&amp;S$14,'Mapping A'!$A$6:$G$1011,7,0)=1,$L326,""),0)</f>
        <v>0</v>
      </c>
      <c r="T326" s="15">
        <f>_xlfn.IFNA(IF(VLOOKUP($J326&amp;T$14,'Mapping A'!$A$6:$G$1011,7,0)=1,$L326,""),0)</f>
        <v>0</v>
      </c>
      <c r="U326" s="15">
        <f>_xlfn.IFNA(IF(VLOOKUP($J326&amp;U$14,'Mapping A'!$A$6:$G$1011,7,0)=1,$L326,""),0)</f>
        <v>0</v>
      </c>
      <c r="V326" s="15">
        <f>_xlfn.IFNA(IF(VLOOKUP($J326&amp;V$14,'Mapping A'!$A$6:$G$1011,7,0)=1,$L326,""),0)</f>
        <v>0</v>
      </c>
      <c r="W326" s="15">
        <f>_xlfn.IFNA(IF(VLOOKUP($J326&amp;W$14,'Mapping A'!$A$6:$G$1011,7,0)=1,$L326,""),0)</f>
        <v>0</v>
      </c>
      <c r="X326" s="15">
        <f>_xlfn.IFNA(IF(VLOOKUP($J326&amp;X$14,'Mapping A'!$A$6:$G$1011,7,0)=1,$L326,""),0)</f>
        <v>0</v>
      </c>
      <c r="Y326" s="15">
        <f>_xlfn.IFNA(IF(VLOOKUP($J326&amp;Y$14,'Mapping A'!$A$6:$G$1011,7,0)=1,$L326,""),0)</f>
        <v>0</v>
      </c>
      <c r="Z326" s="15">
        <f>_xlfn.IFNA(IF(VLOOKUP($J326&amp;Z$14,'Mapping A'!$A$6:$G$1011,7,0)=1,$L326,""),0)</f>
        <v>0</v>
      </c>
      <c r="AA326" s="15">
        <f>_xlfn.IFNA(IF(VLOOKUP($J326&amp;AA$14,'Mapping A'!$A$6:$G$1011,7,0)=1,$L326,""),0)</f>
        <v>0</v>
      </c>
      <c r="AF326" s="155" t="str">
        <f t="shared" si="109"/>
        <v>HOR0331Orion</v>
      </c>
      <c r="AG326" s="190" t="s">
        <v>207</v>
      </c>
      <c r="AH326" s="190" t="s">
        <v>25</v>
      </c>
      <c r="AI326" s="190">
        <f t="shared" si="115"/>
        <v>23.776199999999999</v>
      </c>
      <c r="AJ326" s="292" t="s">
        <v>96</v>
      </c>
      <c r="AK326" s="15"/>
      <c r="AL326" s="15">
        <f t="shared" si="110"/>
        <v>0</v>
      </c>
      <c r="AM326" s="15"/>
      <c r="AN326" s="15">
        <f t="shared" ca="1" si="111"/>
        <v>0</v>
      </c>
      <c r="AO326" s="15">
        <f t="shared" si="112"/>
        <v>0</v>
      </c>
      <c r="AP326" s="15">
        <f t="shared" si="113"/>
        <v>0</v>
      </c>
      <c r="AQ326" s="15"/>
      <c r="AR326" s="190">
        <f t="shared" si="116"/>
        <v>0</v>
      </c>
      <c r="AS326" s="15"/>
      <c r="AT326" s="190">
        <f t="shared" si="117"/>
        <v>0</v>
      </c>
      <c r="AU326" s="190">
        <f t="shared" si="118"/>
        <v>0</v>
      </c>
      <c r="AV326" s="190">
        <f t="shared" si="119"/>
        <v>0</v>
      </c>
      <c r="AW326" s="190">
        <f t="shared" si="120"/>
        <v>0</v>
      </c>
      <c r="AX326" s="190">
        <f t="shared" si="121"/>
        <v>0</v>
      </c>
      <c r="BP326" s="190"/>
    </row>
    <row r="327" spans="2:68" x14ac:dyDescent="0.25">
      <c r="B327" s="98" t="s">
        <v>111</v>
      </c>
      <c r="C327" s="98">
        <v>2014</v>
      </c>
      <c r="D327" s="98" t="s">
        <v>256</v>
      </c>
      <c r="E327" s="98" t="s">
        <v>8</v>
      </c>
      <c r="F327" s="98" t="s">
        <v>131</v>
      </c>
      <c r="G327" s="98">
        <v>1880270.4550000001</v>
      </c>
      <c r="H327" s="299" t="str">
        <f>VLOOKUP(LEFT('Rev Adequacy'!D327,3),'Mapping B'!$D$2:$E$400,2,0)</f>
        <v>N</v>
      </c>
      <c r="I327" s="190"/>
      <c r="J327" s="15" t="s">
        <v>208</v>
      </c>
      <c r="K327" s="190" t="s">
        <v>25</v>
      </c>
      <c r="L327" s="190">
        <f t="shared" si="114"/>
        <v>30.5928</v>
      </c>
      <c r="M327" s="15"/>
      <c r="N327" s="15"/>
      <c r="O327" s="15">
        <f>_xlfn.IFNA(IF(VLOOKUP($J327&amp;O$14,'Mapping A'!$A$6:$G$1011,7,0)=1,$L327,""),0)</f>
        <v>0</v>
      </c>
      <c r="P327" s="15">
        <f>_xlfn.IFNA(IF(VLOOKUP($J327&amp;P$14,'Mapping A'!$A$6:$G$1011,7,0)=1,$L327,""),0)</f>
        <v>0</v>
      </c>
      <c r="Q327" s="15">
        <f>_xlfn.IFNA(IF(VLOOKUP($J327&amp;Q$14,'Mapping A'!$A$6:$G$1011,7,0)=1,$L327,""),0)</f>
        <v>30.5928</v>
      </c>
      <c r="R327" s="15">
        <f>_xlfn.IFNA(IF(VLOOKUP($J327&amp;R$14,'Mapping A'!$A$6:$G$1011,7,0)=1,$L327,""),0)</f>
        <v>0</v>
      </c>
      <c r="S327" s="15">
        <f>_xlfn.IFNA(IF(VLOOKUP($J327&amp;S$14,'Mapping A'!$A$6:$G$1011,7,0)=1,$L327,""),0)</f>
        <v>0</v>
      </c>
      <c r="T327" s="15">
        <f>_xlfn.IFNA(IF(VLOOKUP($J327&amp;T$14,'Mapping A'!$A$6:$G$1011,7,0)=1,$L327,""),0)</f>
        <v>0</v>
      </c>
      <c r="U327" s="15">
        <f>_xlfn.IFNA(IF(VLOOKUP($J327&amp;U$14,'Mapping A'!$A$6:$G$1011,7,0)=1,$L327,""),0)</f>
        <v>0</v>
      </c>
      <c r="V327" s="15">
        <f>_xlfn.IFNA(IF(VLOOKUP($J327&amp;V$14,'Mapping A'!$A$6:$G$1011,7,0)=1,$L327,""),0)</f>
        <v>0</v>
      </c>
      <c r="W327" s="15">
        <f>_xlfn.IFNA(IF(VLOOKUP($J327&amp;W$14,'Mapping A'!$A$6:$G$1011,7,0)=1,$L327,""),0)</f>
        <v>0</v>
      </c>
      <c r="X327" s="15">
        <f>_xlfn.IFNA(IF(VLOOKUP($J327&amp;X$14,'Mapping A'!$A$6:$G$1011,7,0)=1,$L327,""),0)</f>
        <v>0</v>
      </c>
      <c r="Y327" s="15">
        <f>_xlfn.IFNA(IF(VLOOKUP($J327&amp;Y$14,'Mapping A'!$A$6:$G$1011,7,0)=1,$L327,""),0)</f>
        <v>0</v>
      </c>
      <c r="Z327" s="15">
        <f>_xlfn.IFNA(IF(VLOOKUP($J327&amp;Z$14,'Mapping A'!$A$6:$G$1011,7,0)=1,$L327,""),0)</f>
        <v>0</v>
      </c>
      <c r="AA327" s="15">
        <f>_xlfn.IFNA(IF(VLOOKUP($J327&amp;AA$14,'Mapping A'!$A$6:$G$1011,7,0)=1,$L327,""),0)</f>
        <v>0</v>
      </c>
      <c r="AF327" s="155" t="str">
        <f t="shared" si="109"/>
        <v>HOR0661Orion</v>
      </c>
      <c r="AG327" s="190" t="s">
        <v>208</v>
      </c>
      <c r="AH327" s="190" t="s">
        <v>25</v>
      </c>
      <c r="AI327" s="190">
        <f t="shared" si="115"/>
        <v>30.5928</v>
      </c>
      <c r="AJ327" s="292" t="s">
        <v>96</v>
      </c>
      <c r="AK327" s="15"/>
      <c r="AL327" s="15">
        <f t="shared" si="110"/>
        <v>0</v>
      </c>
      <c r="AM327" s="15"/>
      <c r="AN327" s="15">
        <f t="shared" ca="1" si="111"/>
        <v>0</v>
      </c>
      <c r="AO327" s="15">
        <f t="shared" si="112"/>
        <v>0</v>
      </c>
      <c r="AP327" s="15">
        <f t="shared" si="113"/>
        <v>0</v>
      </c>
      <c r="AQ327" s="15"/>
      <c r="AR327" s="190">
        <f t="shared" si="116"/>
        <v>0</v>
      </c>
      <c r="AS327" s="15"/>
      <c r="AT327" s="190">
        <f t="shared" si="117"/>
        <v>0</v>
      </c>
      <c r="AU327" s="190">
        <f t="shared" si="118"/>
        <v>0</v>
      </c>
      <c r="AV327" s="190">
        <f t="shared" si="119"/>
        <v>0</v>
      </c>
      <c r="AW327" s="190">
        <f t="shared" si="120"/>
        <v>0</v>
      </c>
      <c r="AX327" s="190">
        <f t="shared" si="121"/>
        <v>0</v>
      </c>
      <c r="BP327" s="190"/>
    </row>
    <row r="328" spans="2:68" x14ac:dyDescent="0.25">
      <c r="B328" s="98" t="s">
        <v>111</v>
      </c>
      <c r="C328" s="98">
        <v>2014</v>
      </c>
      <c r="D328" s="98" t="s">
        <v>305</v>
      </c>
      <c r="E328" s="98" t="s">
        <v>8</v>
      </c>
      <c r="F328" s="98" t="s">
        <v>131</v>
      </c>
      <c r="G328" s="98">
        <v>0</v>
      </c>
      <c r="H328" s="299" t="str">
        <f>VLOOKUP(LEFT('Rev Adequacy'!D328,3),'Mapping B'!$D$2:$E$400,2,0)</f>
        <v>N</v>
      </c>
      <c r="I328" s="190"/>
      <c r="J328" s="15" t="s">
        <v>209</v>
      </c>
      <c r="K328" s="190" t="s">
        <v>32</v>
      </c>
      <c r="L328" s="190">
        <f t="shared" si="114"/>
        <v>35.250599999999999</v>
      </c>
      <c r="M328" s="15"/>
      <c r="N328" s="15"/>
      <c r="O328" s="15">
        <f>_xlfn.IFNA(IF(VLOOKUP($J328&amp;O$14,'Mapping A'!$A$6:$G$1011,7,0)=1,$L328,""),0)</f>
        <v>0</v>
      </c>
      <c r="P328" s="15">
        <f>_xlfn.IFNA(IF(VLOOKUP($J328&amp;P$14,'Mapping A'!$A$6:$G$1011,7,0)=1,$L328,""),0)</f>
        <v>0</v>
      </c>
      <c r="Q328" s="15">
        <f>_xlfn.IFNA(IF(VLOOKUP($J328&amp;Q$14,'Mapping A'!$A$6:$G$1011,7,0)=1,$L328,""),0)</f>
        <v>0</v>
      </c>
      <c r="R328" s="15">
        <f>_xlfn.IFNA(IF(VLOOKUP($J328&amp;R$14,'Mapping A'!$A$6:$G$1011,7,0)=1,$L328,""),0)</f>
        <v>0</v>
      </c>
      <c r="S328" s="15">
        <f>_xlfn.IFNA(IF(VLOOKUP($J328&amp;S$14,'Mapping A'!$A$6:$G$1011,7,0)=1,$L328,""),0)</f>
        <v>0</v>
      </c>
      <c r="T328" s="15">
        <f>_xlfn.IFNA(IF(VLOOKUP($J328&amp;T$14,'Mapping A'!$A$6:$G$1011,7,0)=1,$L328,""),0)</f>
        <v>35.250599999999999</v>
      </c>
      <c r="U328" s="15">
        <f>_xlfn.IFNA(IF(VLOOKUP($J328&amp;U$14,'Mapping A'!$A$6:$G$1011,7,0)=1,$L328,""),0)</f>
        <v>0</v>
      </c>
      <c r="V328" s="15">
        <f>_xlfn.IFNA(IF(VLOOKUP($J328&amp;V$14,'Mapping A'!$A$6:$G$1011,7,0)=1,$L328,""),0)</f>
        <v>0</v>
      </c>
      <c r="W328" s="15">
        <f>_xlfn.IFNA(IF(VLOOKUP($J328&amp;W$14,'Mapping A'!$A$6:$G$1011,7,0)=1,$L328,""),0)</f>
        <v>0</v>
      </c>
      <c r="X328" s="15">
        <f>_xlfn.IFNA(IF(VLOOKUP($J328&amp;X$14,'Mapping A'!$A$6:$G$1011,7,0)=1,$L328,""),0)</f>
        <v>0</v>
      </c>
      <c r="Y328" s="15">
        <f>_xlfn.IFNA(IF(VLOOKUP($J328&amp;Y$14,'Mapping A'!$A$6:$G$1011,7,0)=1,$L328,""),0)</f>
        <v>0</v>
      </c>
      <c r="Z328" s="15">
        <f>_xlfn.IFNA(IF(VLOOKUP($J328&amp;Z$14,'Mapping A'!$A$6:$G$1011,7,0)=1,$L328,""),0)</f>
        <v>0</v>
      </c>
      <c r="AA328" s="15">
        <f>_xlfn.IFNA(IF(VLOOKUP($J328&amp;AA$14,'Mapping A'!$A$6:$G$1011,7,0)=1,$L328,""),0)</f>
        <v>0</v>
      </c>
      <c r="AF328" s="155" t="str">
        <f t="shared" si="109"/>
        <v>HTI0331The Lines Company</v>
      </c>
      <c r="AG328" s="190" t="s">
        <v>209</v>
      </c>
      <c r="AH328" s="190" t="s">
        <v>32</v>
      </c>
      <c r="AI328" s="190">
        <f t="shared" si="115"/>
        <v>35.250599999999999</v>
      </c>
      <c r="AJ328" s="292" t="s">
        <v>95</v>
      </c>
      <c r="AK328" s="15"/>
      <c r="AL328" s="15">
        <f t="shared" si="110"/>
        <v>0</v>
      </c>
      <c r="AM328" s="15"/>
      <c r="AN328" s="15">
        <f t="shared" ca="1" si="111"/>
        <v>0</v>
      </c>
      <c r="AO328" s="15">
        <f t="shared" si="112"/>
        <v>0</v>
      </c>
      <c r="AP328" s="15">
        <f t="shared" si="113"/>
        <v>0</v>
      </c>
      <c r="AQ328" s="15"/>
      <c r="AR328" s="190">
        <f t="shared" si="116"/>
        <v>0</v>
      </c>
      <c r="AS328" s="15"/>
      <c r="AT328" s="190">
        <f t="shared" si="117"/>
        <v>0</v>
      </c>
      <c r="AU328" s="190">
        <f t="shared" si="118"/>
        <v>0</v>
      </c>
      <c r="AV328" s="190">
        <f t="shared" si="119"/>
        <v>0</v>
      </c>
      <c r="AW328" s="190">
        <f t="shared" si="120"/>
        <v>0</v>
      </c>
      <c r="AX328" s="190">
        <f t="shared" si="121"/>
        <v>0</v>
      </c>
      <c r="BP328" s="190"/>
    </row>
    <row r="329" spans="2:68" x14ac:dyDescent="0.25">
      <c r="B329" s="98" t="s">
        <v>552</v>
      </c>
      <c r="C329" s="98">
        <v>2014</v>
      </c>
      <c r="D329" s="98" t="s">
        <v>142</v>
      </c>
      <c r="E329" s="98" t="s">
        <v>9</v>
      </c>
      <c r="F329" s="98" t="s">
        <v>131</v>
      </c>
      <c r="G329" s="248">
        <v>18650.679000000298</v>
      </c>
      <c r="H329" s="299" t="str">
        <f>VLOOKUP(LEFT('Rev Adequacy'!D329,3),'Mapping B'!$D$2:$E$400,2,0)</f>
        <v>S</v>
      </c>
      <c r="I329" s="190"/>
      <c r="J329" s="15" t="s">
        <v>210</v>
      </c>
      <c r="K329" s="190" t="s">
        <v>28</v>
      </c>
      <c r="L329" s="190">
        <f t="shared" si="114"/>
        <v>36.758400000000002</v>
      </c>
      <c r="M329" s="15"/>
      <c r="N329" s="15"/>
      <c r="O329" s="15">
        <f>_xlfn.IFNA(IF(VLOOKUP($J329&amp;O$14,'Mapping A'!$A$6:$G$1011,7,0)=1,$L329,""),0)</f>
        <v>0</v>
      </c>
      <c r="P329" s="15">
        <f>_xlfn.IFNA(IF(VLOOKUP($J329&amp;P$14,'Mapping A'!$A$6:$G$1011,7,0)=1,$L329,""),0)</f>
        <v>0</v>
      </c>
      <c r="Q329" s="15">
        <f>_xlfn.IFNA(IF(VLOOKUP($J329&amp;Q$14,'Mapping A'!$A$6:$G$1011,7,0)=1,$L329,""),0)</f>
        <v>0</v>
      </c>
      <c r="R329" s="15">
        <f>_xlfn.IFNA(IF(VLOOKUP($J329&amp;R$14,'Mapping A'!$A$6:$G$1011,7,0)=1,$L329,""),0)</f>
        <v>0</v>
      </c>
      <c r="S329" s="15">
        <f>_xlfn.IFNA(IF(VLOOKUP($J329&amp;S$14,'Mapping A'!$A$6:$G$1011,7,0)=1,$L329,""),0)</f>
        <v>0</v>
      </c>
      <c r="T329" s="15">
        <f>_xlfn.IFNA(IF(VLOOKUP($J329&amp;T$14,'Mapping A'!$A$6:$G$1011,7,0)=1,$L329,""),0)</f>
        <v>0</v>
      </c>
      <c r="U329" s="15">
        <f>_xlfn.IFNA(IF(VLOOKUP($J329&amp;U$14,'Mapping A'!$A$6:$G$1011,7,0)=1,$L329,""),0)</f>
        <v>0</v>
      </c>
      <c r="V329" s="15">
        <f>_xlfn.IFNA(IF(VLOOKUP($J329&amp;V$14,'Mapping A'!$A$6:$G$1011,7,0)=1,$L329,""),0)</f>
        <v>0</v>
      </c>
      <c r="W329" s="15">
        <f>_xlfn.IFNA(IF(VLOOKUP($J329&amp;W$14,'Mapping A'!$A$6:$G$1011,7,0)=1,$L329,""),0)</f>
        <v>0</v>
      </c>
      <c r="X329" s="15">
        <f>_xlfn.IFNA(IF(VLOOKUP($J329&amp;X$14,'Mapping A'!$A$6:$G$1011,7,0)=1,$L329,""),0)</f>
        <v>0</v>
      </c>
      <c r="Y329" s="15">
        <f>_xlfn.IFNA(IF(VLOOKUP($J329&amp;Y$14,'Mapping A'!$A$6:$G$1011,7,0)=1,$L329,""),0)</f>
        <v>0</v>
      </c>
      <c r="Z329" s="15">
        <f>_xlfn.IFNA(IF(VLOOKUP($J329&amp;Z$14,'Mapping A'!$A$6:$G$1011,7,0)=1,$L329,""),0)</f>
        <v>0</v>
      </c>
      <c r="AA329" s="15">
        <f>_xlfn.IFNA(IF(VLOOKUP($J329&amp;AA$14,'Mapping A'!$A$6:$G$1011,7,0)=1,$L329,""),0)</f>
        <v>0</v>
      </c>
      <c r="AF329" s="155" t="str">
        <f t="shared" si="109"/>
        <v>HUI0331Powerco</v>
      </c>
      <c r="AG329" s="190" t="s">
        <v>210</v>
      </c>
      <c r="AH329" s="190" t="s">
        <v>28</v>
      </c>
      <c r="AI329" s="190">
        <f t="shared" si="115"/>
        <v>36.758400000000002</v>
      </c>
      <c r="AJ329" s="292" t="s">
        <v>95</v>
      </c>
      <c r="AK329" s="15"/>
      <c r="AL329" s="15">
        <f t="shared" si="110"/>
        <v>0</v>
      </c>
      <c r="AM329" s="15"/>
      <c r="AN329" s="15">
        <f t="shared" ca="1" si="111"/>
        <v>0</v>
      </c>
      <c r="AO329" s="15">
        <f t="shared" si="112"/>
        <v>0</v>
      </c>
      <c r="AP329" s="15">
        <f t="shared" si="113"/>
        <v>0</v>
      </c>
      <c r="AQ329" s="15"/>
      <c r="AR329" s="190">
        <f t="shared" si="116"/>
        <v>0</v>
      </c>
      <c r="AS329" s="15"/>
      <c r="AT329" s="190">
        <f t="shared" si="117"/>
        <v>0</v>
      </c>
      <c r="AU329" s="190">
        <f t="shared" si="118"/>
        <v>0</v>
      </c>
      <c r="AV329" s="190">
        <f t="shared" si="119"/>
        <v>0</v>
      </c>
      <c r="AW329" s="190">
        <f t="shared" si="120"/>
        <v>0</v>
      </c>
      <c r="AX329" s="190">
        <f t="shared" si="121"/>
        <v>0</v>
      </c>
      <c r="BP329" s="190"/>
    </row>
    <row r="330" spans="2:68" x14ac:dyDescent="0.25">
      <c r="B330" s="98" t="s">
        <v>552</v>
      </c>
      <c r="C330" s="98">
        <v>2014</v>
      </c>
      <c r="D330" s="98" t="s">
        <v>143</v>
      </c>
      <c r="E330" s="98" t="s">
        <v>9</v>
      </c>
      <c r="F330" s="98" t="s">
        <v>131</v>
      </c>
      <c r="G330" s="248">
        <v>10591.496000000299</v>
      </c>
      <c r="H330" s="299" t="str">
        <f>VLOOKUP(LEFT('Rev Adequacy'!D330,3),'Mapping B'!$D$2:$E$400,2,0)</f>
        <v>S</v>
      </c>
      <c r="I330" s="190"/>
      <c r="J330" s="15" t="s">
        <v>211</v>
      </c>
      <c r="K330" s="190" t="s">
        <v>28</v>
      </c>
      <c r="L330" s="190">
        <f t="shared" si="114"/>
        <v>29.015700000000002</v>
      </c>
      <c r="M330" s="15"/>
      <c r="N330" s="15"/>
      <c r="O330" s="15">
        <f>_xlfn.IFNA(IF(VLOOKUP($J330&amp;O$14,'Mapping A'!$A$6:$G$1011,7,0)=1,$L330,""),0)</f>
        <v>0</v>
      </c>
      <c r="P330" s="15">
        <f>_xlfn.IFNA(IF(VLOOKUP($J330&amp;P$14,'Mapping A'!$A$6:$G$1011,7,0)=1,$L330,""),0)</f>
        <v>0</v>
      </c>
      <c r="Q330" s="15">
        <f>_xlfn.IFNA(IF(VLOOKUP($J330&amp;Q$14,'Mapping A'!$A$6:$G$1011,7,0)=1,$L330,""),0)</f>
        <v>0</v>
      </c>
      <c r="R330" s="15">
        <f>_xlfn.IFNA(IF(VLOOKUP($J330&amp;R$14,'Mapping A'!$A$6:$G$1011,7,0)=1,$L330,""),0)</f>
        <v>0</v>
      </c>
      <c r="S330" s="15">
        <f>_xlfn.IFNA(IF(VLOOKUP($J330&amp;S$14,'Mapping A'!$A$6:$G$1011,7,0)=1,$L330,""),0)</f>
        <v>0</v>
      </c>
      <c r="T330" s="15">
        <f>_xlfn.IFNA(IF(VLOOKUP($J330&amp;T$14,'Mapping A'!$A$6:$G$1011,7,0)=1,$L330,""),0)</f>
        <v>0</v>
      </c>
      <c r="U330" s="15">
        <f>_xlfn.IFNA(IF(VLOOKUP($J330&amp;U$14,'Mapping A'!$A$6:$G$1011,7,0)=1,$L330,""),0)</f>
        <v>0</v>
      </c>
      <c r="V330" s="15">
        <f>_xlfn.IFNA(IF(VLOOKUP($J330&amp;V$14,'Mapping A'!$A$6:$G$1011,7,0)=1,$L330,""),0)</f>
        <v>0</v>
      </c>
      <c r="W330" s="15">
        <f>_xlfn.IFNA(IF(VLOOKUP($J330&amp;W$14,'Mapping A'!$A$6:$G$1011,7,0)=1,$L330,""),0)</f>
        <v>0</v>
      </c>
      <c r="X330" s="15">
        <f>_xlfn.IFNA(IF(VLOOKUP($J330&amp;X$14,'Mapping A'!$A$6:$G$1011,7,0)=1,$L330,""),0)</f>
        <v>0</v>
      </c>
      <c r="Y330" s="15">
        <f>_xlfn.IFNA(IF(VLOOKUP($J330&amp;Y$14,'Mapping A'!$A$6:$G$1011,7,0)=1,$L330,""),0)</f>
        <v>0</v>
      </c>
      <c r="Z330" s="15">
        <f>_xlfn.IFNA(IF(VLOOKUP($J330&amp;Z$14,'Mapping A'!$A$6:$G$1011,7,0)=1,$L330,""),0)</f>
        <v>0</v>
      </c>
      <c r="AA330" s="15">
        <f>_xlfn.IFNA(IF(VLOOKUP($J330&amp;AA$14,'Mapping A'!$A$6:$G$1011,7,0)=1,$L330,""),0)</f>
        <v>0</v>
      </c>
      <c r="AF330" s="155" t="str">
        <f t="shared" si="109"/>
        <v>HWA0331Powerco</v>
      </c>
      <c r="AG330" s="190" t="s">
        <v>211</v>
      </c>
      <c r="AH330" s="190" t="s">
        <v>28</v>
      </c>
      <c r="AI330" s="190">
        <f t="shared" si="115"/>
        <v>29.015700000000002</v>
      </c>
      <c r="AJ330" s="292" t="s">
        <v>95</v>
      </c>
      <c r="AK330" s="15"/>
      <c r="AL330" s="15">
        <f t="shared" si="110"/>
        <v>0</v>
      </c>
      <c r="AM330" s="15"/>
      <c r="AN330" s="15">
        <f t="shared" ca="1" si="111"/>
        <v>0</v>
      </c>
      <c r="AO330" s="15">
        <f t="shared" si="112"/>
        <v>0</v>
      </c>
      <c r="AP330" s="15">
        <f t="shared" si="113"/>
        <v>0</v>
      </c>
      <c r="AQ330" s="15"/>
      <c r="AR330" s="190">
        <f t="shared" si="116"/>
        <v>0</v>
      </c>
      <c r="AS330" s="15"/>
      <c r="AT330" s="190">
        <f t="shared" si="117"/>
        <v>0</v>
      </c>
      <c r="AU330" s="190">
        <f t="shared" si="118"/>
        <v>0</v>
      </c>
      <c r="AV330" s="190">
        <f t="shared" si="119"/>
        <v>0</v>
      </c>
      <c r="AW330" s="190">
        <f t="shared" si="120"/>
        <v>0</v>
      </c>
      <c r="AX330" s="190">
        <f t="shared" si="121"/>
        <v>0</v>
      </c>
      <c r="BP330" s="190"/>
    </row>
    <row r="331" spans="2:68" x14ac:dyDescent="0.25">
      <c r="B331" s="98" t="s">
        <v>553</v>
      </c>
      <c r="C331" s="98">
        <v>2014</v>
      </c>
      <c r="D331" s="98" t="s">
        <v>142</v>
      </c>
      <c r="E331" s="98" t="s">
        <v>9</v>
      </c>
      <c r="F331" s="98" t="s">
        <v>131</v>
      </c>
      <c r="G331" s="248">
        <v>60390.250999999698</v>
      </c>
      <c r="H331" s="299" t="str">
        <f>VLOOKUP(LEFT('Rev Adequacy'!D331,3),'Mapping B'!$D$2:$E$400,2,0)</f>
        <v>S</v>
      </c>
      <c r="I331" s="190"/>
      <c r="J331" s="15" t="s">
        <v>212</v>
      </c>
      <c r="K331" s="190" t="s">
        <v>53</v>
      </c>
      <c r="L331" s="190">
        <f t="shared" si="114"/>
        <v>0</v>
      </c>
      <c r="M331" s="15"/>
      <c r="N331" s="15"/>
      <c r="O331" s="15">
        <f>_xlfn.IFNA(IF(VLOOKUP($J331&amp;O$14,'Mapping A'!$A$6:$G$1011,7,0)=1,$L331,""),0)</f>
        <v>0</v>
      </c>
      <c r="P331" s="15">
        <f>_xlfn.IFNA(IF(VLOOKUP($J331&amp;P$14,'Mapping A'!$A$6:$G$1011,7,0)=1,$L331,""),0)</f>
        <v>0</v>
      </c>
      <c r="Q331" s="15">
        <f>_xlfn.IFNA(IF(VLOOKUP($J331&amp;Q$14,'Mapping A'!$A$6:$G$1011,7,0)=1,$L331,""),0)</f>
        <v>0</v>
      </c>
      <c r="R331" s="15">
        <f>_xlfn.IFNA(IF(VLOOKUP($J331&amp;R$14,'Mapping A'!$A$6:$G$1011,7,0)=1,$L331,""),0)</f>
        <v>0</v>
      </c>
      <c r="S331" s="15">
        <f>_xlfn.IFNA(IF(VLOOKUP($J331&amp;S$14,'Mapping A'!$A$6:$G$1011,7,0)=1,$L331,""),0)</f>
        <v>0</v>
      </c>
      <c r="T331" s="15">
        <f>_xlfn.IFNA(IF(VLOOKUP($J331&amp;T$14,'Mapping A'!$A$6:$G$1011,7,0)=1,$L331,""),0)</f>
        <v>0</v>
      </c>
      <c r="U331" s="15">
        <f>_xlfn.IFNA(IF(VLOOKUP($J331&amp;U$14,'Mapping A'!$A$6:$G$1011,7,0)=1,$L331,""),0)</f>
        <v>0</v>
      </c>
      <c r="V331" s="15">
        <f>_xlfn.IFNA(IF(VLOOKUP($J331&amp;V$14,'Mapping A'!$A$6:$G$1011,7,0)=1,$L331,""),0)</f>
        <v>0</v>
      </c>
      <c r="W331" s="15">
        <f>_xlfn.IFNA(IF(VLOOKUP($J331&amp;W$14,'Mapping A'!$A$6:$G$1011,7,0)=1,$L331,""),0)</f>
        <v>0</v>
      </c>
      <c r="X331" s="15">
        <f>_xlfn.IFNA(IF(VLOOKUP($J331&amp;X$14,'Mapping A'!$A$6:$G$1011,7,0)=1,$L331,""),0)</f>
        <v>0</v>
      </c>
      <c r="Y331" s="15">
        <f>_xlfn.IFNA(IF(VLOOKUP($J331&amp;Y$14,'Mapping A'!$A$6:$G$1011,7,0)=1,$L331,""),0)</f>
        <v>0</v>
      </c>
      <c r="Z331" s="15">
        <f>_xlfn.IFNA(IF(VLOOKUP($J331&amp;Z$14,'Mapping A'!$A$6:$G$1011,7,0)=1,$L331,""),0)</f>
        <v>0</v>
      </c>
      <c r="AA331" s="15">
        <f>_xlfn.IFNA(IF(VLOOKUP($J331&amp;AA$14,'Mapping A'!$A$6:$G$1011,7,0)=1,$L331,""),0)</f>
        <v>0</v>
      </c>
      <c r="AF331" s="155" t="str">
        <f t="shared" si="109"/>
        <v>HWA0332Other</v>
      </c>
      <c r="AG331" s="190" t="s">
        <v>212</v>
      </c>
      <c r="AH331" s="190" t="s">
        <v>53</v>
      </c>
      <c r="AI331" s="190">
        <f t="shared" si="115"/>
        <v>0</v>
      </c>
      <c r="AJ331" s="292" t="s">
        <v>95</v>
      </c>
      <c r="AK331" s="15"/>
      <c r="AL331" s="15">
        <f t="shared" si="110"/>
        <v>0</v>
      </c>
      <c r="AM331" s="15"/>
      <c r="AN331" s="15">
        <f t="shared" ca="1" si="111"/>
        <v>0</v>
      </c>
      <c r="AO331" s="15">
        <f t="shared" si="112"/>
        <v>0</v>
      </c>
      <c r="AP331" s="15">
        <f t="shared" si="113"/>
        <v>0</v>
      </c>
      <c r="AQ331" s="15"/>
      <c r="AR331" s="190">
        <f t="shared" si="116"/>
        <v>0</v>
      </c>
      <c r="AS331" s="15"/>
      <c r="AT331" s="190">
        <f t="shared" si="117"/>
        <v>0</v>
      </c>
      <c r="AU331" s="190">
        <f t="shared" si="118"/>
        <v>0</v>
      </c>
      <c r="AV331" s="190">
        <f t="shared" si="119"/>
        <v>0</v>
      </c>
      <c r="AW331" s="190">
        <f t="shared" si="120"/>
        <v>0</v>
      </c>
      <c r="AX331" s="190">
        <f t="shared" si="121"/>
        <v>0</v>
      </c>
      <c r="BP331" s="190"/>
    </row>
    <row r="332" spans="2:68" x14ac:dyDescent="0.25">
      <c r="B332" s="98" t="s">
        <v>553</v>
      </c>
      <c r="C332" s="98">
        <v>2014</v>
      </c>
      <c r="D332" s="98" t="s">
        <v>143</v>
      </c>
      <c r="E332" s="98" t="s">
        <v>9</v>
      </c>
      <c r="F332" s="98" t="s">
        <v>131</v>
      </c>
      <c r="G332" s="248">
        <v>97045.998999998701</v>
      </c>
      <c r="H332" s="299" t="str">
        <f>VLOOKUP(LEFT('Rev Adequacy'!D332,3),'Mapping B'!$D$2:$E$400,2,0)</f>
        <v>S</v>
      </c>
      <c r="I332" s="190"/>
      <c r="J332" s="15" t="s">
        <v>213</v>
      </c>
      <c r="K332" s="190" t="s">
        <v>138</v>
      </c>
      <c r="L332" s="190">
        <f t="shared" si="114"/>
        <v>2.4780000000000002</v>
      </c>
      <c r="M332" s="15"/>
      <c r="N332" s="15"/>
      <c r="O332" s="15">
        <f>_xlfn.IFNA(IF(VLOOKUP($J332&amp;O$14,'Mapping A'!$A$6:$G$1011,7,0)=1,$L332,""),0)</f>
        <v>0</v>
      </c>
      <c r="P332" s="15">
        <f>_xlfn.IFNA(IF(VLOOKUP($J332&amp;P$14,'Mapping A'!$A$6:$G$1011,7,0)=1,$L332,""),0)</f>
        <v>0</v>
      </c>
      <c r="Q332" s="15">
        <f>_xlfn.IFNA(IF(VLOOKUP($J332&amp;Q$14,'Mapping A'!$A$6:$G$1011,7,0)=1,$L332,""),0)</f>
        <v>0</v>
      </c>
      <c r="R332" s="15">
        <f>_xlfn.IFNA(IF(VLOOKUP($J332&amp;R$14,'Mapping A'!$A$6:$G$1011,7,0)=1,$L332,""),0)</f>
        <v>0</v>
      </c>
      <c r="S332" s="15">
        <f>_xlfn.IFNA(IF(VLOOKUP($J332&amp;S$14,'Mapping A'!$A$6:$G$1011,7,0)=1,$L332,""),0)</f>
        <v>0</v>
      </c>
      <c r="T332" s="15">
        <f>_xlfn.IFNA(IF(VLOOKUP($J332&amp;T$14,'Mapping A'!$A$6:$G$1011,7,0)=1,$L332,""),0)</f>
        <v>0</v>
      </c>
      <c r="U332" s="15">
        <f>_xlfn.IFNA(IF(VLOOKUP($J332&amp;U$14,'Mapping A'!$A$6:$G$1011,7,0)=1,$L332,""),0)</f>
        <v>0</v>
      </c>
      <c r="V332" s="15">
        <f>_xlfn.IFNA(IF(VLOOKUP($J332&amp;V$14,'Mapping A'!$A$6:$G$1011,7,0)=1,$L332,""),0)</f>
        <v>0</v>
      </c>
      <c r="W332" s="15">
        <f>_xlfn.IFNA(IF(VLOOKUP($J332&amp;W$14,'Mapping A'!$A$6:$G$1011,7,0)=1,$L332,""),0)</f>
        <v>0</v>
      </c>
      <c r="X332" s="15">
        <f>_xlfn.IFNA(IF(VLOOKUP($J332&amp;X$14,'Mapping A'!$A$6:$G$1011,7,0)=1,$L332,""),0)</f>
        <v>0</v>
      </c>
      <c r="Y332" s="15">
        <f>_xlfn.IFNA(IF(VLOOKUP($J332&amp;Y$14,'Mapping A'!$A$6:$G$1011,7,0)=1,$L332,""),0)</f>
        <v>0</v>
      </c>
      <c r="Z332" s="15">
        <f>_xlfn.IFNA(IF(VLOOKUP($J332&amp;Z$14,'Mapping A'!$A$6:$G$1011,7,0)=1,$L332,""),0)</f>
        <v>0</v>
      </c>
      <c r="AA332" s="15">
        <f>_xlfn.IFNA(IF(VLOOKUP($J332&amp;AA$14,'Mapping A'!$A$6:$G$1011,7,0)=1,$L332,""),0)</f>
        <v>0</v>
      </c>
      <c r="AF332" s="155" t="str">
        <f t="shared" si="109"/>
        <v>HWA1101TrustPower</v>
      </c>
      <c r="AG332" s="190" t="s">
        <v>213</v>
      </c>
      <c r="AH332" s="190" t="s">
        <v>138</v>
      </c>
      <c r="AI332" s="190">
        <f t="shared" si="115"/>
        <v>2.4780000000000002</v>
      </c>
      <c r="AJ332" s="292" t="s">
        <v>95</v>
      </c>
      <c r="AK332" s="15"/>
      <c r="AL332" s="15">
        <f t="shared" si="110"/>
        <v>0</v>
      </c>
      <c r="AM332" s="15"/>
      <c r="AN332" s="15">
        <f t="shared" ca="1" si="111"/>
        <v>0</v>
      </c>
      <c r="AO332" s="15">
        <f t="shared" si="112"/>
        <v>0</v>
      </c>
      <c r="AP332" s="15">
        <f t="shared" si="113"/>
        <v>0</v>
      </c>
      <c r="AQ332" s="15"/>
      <c r="AR332" s="190">
        <f t="shared" si="116"/>
        <v>0</v>
      </c>
      <c r="AS332" s="15"/>
      <c r="AT332" s="190">
        <f t="shared" si="117"/>
        <v>0</v>
      </c>
      <c r="AU332" s="190">
        <f t="shared" si="118"/>
        <v>0</v>
      </c>
      <c r="AV332" s="190">
        <f t="shared" si="119"/>
        <v>0</v>
      </c>
      <c r="AW332" s="190">
        <f t="shared" si="120"/>
        <v>0</v>
      </c>
      <c r="AX332" s="190">
        <f t="shared" si="121"/>
        <v>0</v>
      </c>
      <c r="BP332" s="190"/>
    </row>
    <row r="333" spans="2:68" x14ac:dyDescent="0.25">
      <c r="B333" s="98" t="s">
        <v>554</v>
      </c>
      <c r="C333" s="98">
        <v>2014</v>
      </c>
      <c r="D333" s="98" t="s">
        <v>142</v>
      </c>
      <c r="E333" s="98" t="s">
        <v>9</v>
      </c>
      <c r="F333" s="98" t="s">
        <v>131</v>
      </c>
      <c r="G333" s="98">
        <v>92664.288999999495</v>
      </c>
      <c r="H333" s="299" t="str">
        <f>VLOOKUP(LEFT('Rev Adequacy'!D333,3),'Mapping B'!$D$2:$E$400,2,0)</f>
        <v>S</v>
      </c>
      <c r="I333" s="190"/>
      <c r="J333" s="15" t="s">
        <v>217</v>
      </c>
      <c r="K333" s="190" t="s">
        <v>14</v>
      </c>
      <c r="L333" s="190">
        <f t="shared" si="114"/>
        <v>8.6226000000000003</v>
      </c>
      <c r="M333" s="15"/>
      <c r="N333" s="15"/>
      <c r="O333" s="15">
        <f>_xlfn.IFNA(IF(VLOOKUP($J333&amp;O$14,'Mapping A'!$A$6:$G$1011,7,0)=1,$L333,""),0)</f>
        <v>0</v>
      </c>
      <c r="P333" s="15">
        <f>_xlfn.IFNA(IF(VLOOKUP($J333&amp;P$14,'Mapping A'!$A$6:$G$1011,7,0)=1,$L333,""),0)</f>
        <v>0</v>
      </c>
      <c r="Q333" s="15">
        <f>_xlfn.IFNA(IF(VLOOKUP($J333&amp;Q$14,'Mapping A'!$A$6:$G$1011,7,0)=1,$L333,""),0)</f>
        <v>0</v>
      </c>
      <c r="R333" s="15">
        <f>_xlfn.IFNA(IF(VLOOKUP($J333&amp;R$14,'Mapping A'!$A$6:$G$1011,7,0)=1,$L333,""),0)</f>
        <v>0</v>
      </c>
      <c r="S333" s="15">
        <f>_xlfn.IFNA(IF(VLOOKUP($J333&amp;S$14,'Mapping A'!$A$6:$G$1011,7,0)=1,$L333,""),0)</f>
        <v>0</v>
      </c>
      <c r="T333" s="15">
        <f>_xlfn.IFNA(IF(VLOOKUP($J333&amp;T$14,'Mapping A'!$A$6:$G$1011,7,0)=1,$L333,""),0)</f>
        <v>0</v>
      </c>
      <c r="U333" s="15">
        <f>_xlfn.IFNA(IF(VLOOKUP($J333&amp;U$14,'Mapping A'!$A$6:$G$1011,7,0)=1,$L333,""),0)</f>
        <v>0</v>
      </c>
      <c r="V333" s="15">
        <f>_xlfn.IFNA(IF(VLOOKUP($J333&amp;V$14,'Mapping A'!$A$6:$G$1011,7,0)=1,$L333,""),0)</f>
        <v>0</v>
      </c>
      <c r="W333" s="15">
        <f>_xlfn.IFNA(IF(VLOOKUP($J333&amp;W$14,'Mapping A'!$A$6:$G$1011,7,0)=1,$L333,""),0)</f>
        <v>0</v>
      </c>
      <c r="X333" s="15">
        <f>_xlfn.IFNA(IF(VLOOKUP($J333&amp;X$14,'Mapping A'!$A$6:$G$1011,7,0)=1,$L333,""),0)</f>
        <v>0</v>
      </c>
      <c r="Y333" s="15">
        <f>_xlfn.IFNA(IF(VLOOKUP($J333&amp;Y$14,'Mapping A'!$A$6:$G$1011,7,0)=1,$L333,""),0)</f>
        <v>0</v>
      </c>
      <c r="Z333" s="15">
        <f>_xlfn.IFNA(IF(VLOOKUP($J333&amp;Z$14,'Mapping A'!$A$6:$G$1011,7,0)=1,$L333,""),0)</f>
        <v>0</v>
      </c>
      <c r="AA333" s="15">
        <f>_xlfn.IFNA(IF(VLOOKUP($J333&amp;AA$14,'Mapping A'!$A$6:$G$1011,7,0)=1,$L333,""),0)</f>
        <v>0</v>
      </c>
      <c r="AF333" s="155" t="str">
        <f t="shared" si="109"/>
        <v>HWA1102Meridian</v>
      </c>
      <c r="AG333" s="190" t="s">
        <v>217</v>
      </c>
      <c r="AH333" s="190" t="s">
        <v>14</v>
      </c>
      <c r="AI333" s="190">
        <f t="shared" si="115"/>
        <v>8.6226000000000003</v>
      </c>
      <c r="AJ333" s="292" t="s">
        <v>95</v>
      </c>
      <c r="AK333" s="15"/>
      <c r="AL333" s="15">
        <f t="shared" si="110"/>
        <v>0</v>
      </c>
      <c r="AM333" s="15"/>
      <c r="AN333" s="15">
        <f t="shared" ca="1" si="111"/>
        <v>0</v>
      </c>
      <c r="AO333" s="15">
        <f t="shared" si="112"/>
        <v>0</v>
      </c>
      <c r="AP333" s="15">
        <f t="shared" si="113"/>
        <v>0</v>
      </c>
      <c r="AQ333" s="15"/>
      <c r="AR333" s="190">
        <f t="shared" si="116"/>
        <v>0</v>
      </c>
      <c r="AS333" s="15"/>
      <c r="AT333" s="190">
        <f t="shared" si="117"/>
        <v>0</v>
      </c>
      <c r="AU333" s="190">
        <f t="shared" si="118"/>
        <v>0</v>
      </c>
      <c r="AV333" s="190">
        <f t="shared" si="119"/>
        <v>0</v>
      </c>
      <c r="AW333" s="190">
        <f t="shared" si="120"/>
        <v>0</v>
      </c>
      <c r="AX333" s="190">
        <f t="shared" si="121"/>
        <v>0</v>
      </c>
      <c r="BP333" s="190"/>
    </row>
    <row r="334" spans="2:68" x14ac:dyDescent="0.25">
      <c r="B334" s="98" t="s">
        <v>554</v>
      </c>
      <c r="C334" s="98">
        <v>2014</v>
      </c>
      <c r="D334" s="98" t="s">
        <v>143</v>
      </c>
      <c r="E334" s="98" t="s">
        <v>9</v>
      </c>
      <c r="F334" s="98" t="s">
        <v>131</v>
      </c>
      <c r="G334" s="98">
        <v>391548.77799999801</v>
      </c>
      <c r="H334" s="299" t="str">
        <f>VLOOKUP(LEFT('Rev Adequacy'!D334,3),'Mapping B'!$D$2:$E$400,2,0)</f>
        <v>S</v>
      </c>
      <c r="I334" s="190"/>
      <c r="J334" s="15" t="s">
        <v>220</v>
      </c>
      <c r="K334" s="190" t="s">
        <v>1</v>
      </c>
      <c r="L334" s="190">
        <f t="shared" si="114"/>
        <v>87.240300000000005</v>
      </c>
      <c r="M334" s="15"/>
      <c r="N334" s="15"/>
      <c r="O334" s="15">
        <f>_xlfn.IFNA(IF(VLOOKUP($J334&amp;O$14,'Mapping A'!$A$6:$G$1011,7,0)=1,$L334,""),0)</f>
        <v>0</v>
      </c>
      <c r="P334" s="15">
        <f>_xlfn.IFNA(IF(VLOOKUP($J334&amp;P$14,'Mapping A'!$A$6:$G$1011,7,0)=1,$L334,""),0)</f>
        <v>0</v>
      </c>
      <c r="Q334" s="15">
        <f>_xlfn.IFNA(IF(VLOOKUP($J334&amp;Q$14,'Mapping A'!$A$6:$G$1011,7,0)=1,$L334,""),0)</f>
        <v>87.240300000000005</v>
      </c>
      <c r="R334" s="15">
        <f>_xlfn.IFNA(IF(VLOOKUP($J334&amp;R$14,'Mapping A'!$A$6:$G$1011,7,0)=1,$L334,""),0)</f>
        <v>0</v>
      </c>
      <c r="S334" s="15">
        <f>_xlfn.IFNA(IF(VLOOKUP($J334&amp;S$14,'Mapping A'!$A$6:$G$1011,7,0)=1,$L334,""),0)</f>
        <v>0</v>
      </c>
      <c r="T334" s="15">
        <f>_xlfn.IFNA(IF(VLOOKUP($J334&amp;T$14,'Mapping A'!$A$6:$G$1011,7,0)=1,$L334,""),0)</f>
        <v>0</v>
      </c>
      <c r="U334" s="15">
        <f>_xlfn.IFNA(IF(VLOOKUP($J334&amp;U$14,'Mapping A'!$A$6:$G$1011,7,0)=1,$L334,""),0)</f>
        <v>0</v>
      </c>
      <c r="V334" s="15">
        <f>_xlfn.IFNA(IF(VLOOKUP($J334&amp;V$14,'Mapping A'!$A$6:$G$1011,7,0)=1,$L334,""),0)</f>
        <v>0</v>
      </c>
      <c r="W334" s="15">
        <f>_xlfn.IFNA(IF(VLOOKUP($J334&amp;W$14,'Mapping A'!$A$6:$G$1011,7,0)=1,$L334,""),0)</f>
        <v>0</v>
      </c>
      <c r="X334" s="15">
        <f>_xlfn.IFNA(IF(VLOOKUP($J334&amp;X$14,'Mapping A'!$A$6:$G$1011,7,0)=1,$L334,""),0)</f>
        <v>0</v>
      </c>
      <c r="Y334" s="15">
        <f>_xlfn.IFNA(IF(VLOOKUP($J334&amp;Y$14,'Mapping A'!$A$6:$G$1011,7,0)=1,$L334,""),0)</f>
        <v>0</v>
      </c>
      <c r="Z334" s="15">
        <f>_xlfn.IFNA(IF(VLOOKUP($J334&amp;Z$14,'Mapping A'!$A$6:$G$1011,7,0)=1,$L334,""),0)</f>
        <v>0</v>
      </c>
      <c r="AA334" s="15">
        <f>_xlfn.IFNA(IF(VLOOKUP($J334&amp;AA$14,'Mapping A'!$A$6:$G$1011,7,0)=1,$L334,""),0)</f>
        <v>0</v>
      </c>
      <c r="AF334" s="155" t="str">
        <f t="shared" si="109"/>
        <v>HWB0331Aurora Energy</v>
      </c>
      <c r="AG334" s="190" t="s">
        <v>220</v>
      </c>
      <c r="AH334" s="190" t="s">
        <v>1</v>
      </c>
      <c r="AI334" s="190">
        <f t="shared" si="115"/>
        <v>87.240300000000005</v>
      </c>
      <c r="AJ334" s="292" t="s">
        <v>96</v>
      </c>
      <c r="AK334" s="15"/>
      <c r="AL334" s="15">
        <f t="shared" si="110"/>
        <v>0</v>
      </c>
      <c r="AM334" s="15"/>
      <c r="AN334" s="15">
        <f t="shared" ca="1" si="111"/>
        <v>0</v>
      </c>
      <c r="AO334" s="15">
        <f t="shared" si="112"/>
        <v>0</v>
      </c>
      <c r="AP334" s="15">
        <f t="shared" si="113"/>
        <v>0</v>
      </c>
      <c r="AQ334" s="15"/>
      <c r="AR334" s="190">
        <f t="shared" si="116"/>
        <v>0</v>
      </c>
      <c r="AS334" s="15"/>
      <c r="AT334" s="190">
        <f t="shared" si="117"/>
        <v>0</v>
      </c>
      <c r="AU334" s="190">
        <f t="shared" si="118"/>
        <v>0</v>
      </c>
      <c r="AV334" s="190">
        <f t="shared" si="119"/>
        <v>0</v>
      </c>
      <c r="AW334" s="190">
        <f t="shared" si="120"/>
        <v>0</v>
      </c>
      <c r="AX334" s="190">
        <f t="shared" si="121"/>
        <v>0</v>
      </c>
      <c r="BP334" s="190"/>
    </row>
    <row r="335" spans="2:68" x14ac:dyDescent="0.25">
      <c r="B335" s="98" t="s">
        <v>563</v>
      </c>
      <c r="C335" s="98">
        <v>2014</v>
      </c>
      <c r="D335" s="98" t="s">
        <v>142</v>
      </c>
      <c r="E335" s="98" t="s">
        <v>9</v>
      </c>
      <c r="F335" s="98" t="s">
        <v>131</v>
      </c>
      <c r="G335" s="98">
        <v>364765.397</v>
      </c>
      <c r="H335" s="299" t="str">
        <f>VLOOKUP(LEFT('Rev Adequacy'!D335,3),'Mapping B'!$D$2:$E$400,2,0)</f>
        <v>S</v>
      </c>
      <c r="I335" s="190"/>
      <c r="J335" s="15" t="s">
        <v>220</v>
      </c>
      <c r="K335" s="190" t="s">
        <v>103</v>
      </c>
      <c r="L335" s="190">
        <f t="shared" si="114"/>
        <v>4.8048000000000002</v>
      </c>
      <c r="M335" s="15"/>
      <c r="N335" s="15"/>
      <c r="O335" s="15">
        <f>_xlfn.IFNA(IF(VLOOKUP($J335&amp;O$14,'Mapping A'!$A$6:$G$1011,7,0)=1,$L335,""),0)</f>
        <v>0</v>
      </c>
      <c r="P335" s="15">
        <f>_xlfn.IFNA(IF(VLOOKUP($J335&amp;P$14,'Mapping A'!$A$6:$G$1011,7,0)=1,$L335,""),0)</f>
        <v>0</v>
      </c>
      <c r="Q335" s="15">
        <f>_xlfn.IFNA(IF(VLOOKUP($J335&amp;Q$14,'Mapping A'!$A$6:$G$1011,7,0)=1,$L335,""),0)</f>
        <v>4.8048000000000002</v>
      </c>
      <c r="R335" s="15">
        <f>_xlfn.IFNA(IF(VLOOKUP($J335&amp;R$14,'Mapping A'!$A$6:$G$1011,7,0)=1,$L335,""),0)</f>
        <v>0</v>
      </c>
      <c r="S335" s="15">
        <f>_xlfn.IFNA(IF(VLOOKUP($J335&amp;S$14,'Mapping A'!$A$6:$G$1011,7,0)=1,$L335,""),0)</f>
        <v>0</v>
      </c>
      <c r="T335" s="15">
        <f>_xlfn.IFNA(IF(VLOOKUP($J335&amp;T$14,'Mapping A'!$A$6:$G$1011,7,0)=1,$L335,""),0)</f>
        <v>0</v>
      </c>
      <c r="U335" s="15">
        <f>_xlfn.IFNA(IF(VLOOKUP($J335&amp;U$14,'Mapping A'!$A$6:$G$1011,7,0)=1,$L335,""),0)</f>
        <v>0</v>
      </c>
      <c r="V335" s="15">
        <f>_xlfn.IFNA(IF(VLOOKUP($J335&amp;V$14,'Mapping A'!$A$6:$G$1011,7,0)=1,$L335,""),0)</f>
        <v>0</v>
      </c>
      <c r="W335" s="15">
        <f>_xlfn.IFNA(IF(VLOOKUP($J335&amp;W$14,'Mapping A'!$A$6:$G$1011,7,0)=1,$L335,""),0)</f>
        <v>0</v>
      </c>
      <c r="X335" s="15">
        <f>_xlfn.IFNA(IF(VLOOKUP($J335&amp;X$14,'Mapping A'!$A$6:$G$1011,7,0)=1,$L335,""),0)</f>
        <v>0</v>
      </c>
      <c r="Y335" s="15">
        <f>_xlfn.IFNA(IF(VLOOKUP($J335&amp;Y$14,'Mapping A'!$A$6:$G$1011,7,0)=1,$L335,""),0)</f>
        <v>0</v>
      </c>
      <c r="Z335" s="15">
        <f>_xlfn.IFNA(IF(VLOOKUP($J335&amp;Z$14,'Mapping A'!$A$6:$G$1011,7,0)=1,$L335,""),0)</f>
        <v>0</v>
      </c>
      <c r="AA335" s="15">
        <f>_xlfn.IFNA(IF(VLOOKUP($J335&amp;AA$14,'Mapping A'!$A$6:$G$1011,7,0)=1,$L335,""),0)</f>
        <v>0</v>
      </c>
      <c r="AF335" s="155" t="str">
        <f t="shared" si="109"/>
        <v>HWB0331OtagoNet JV</v>
      </c>
      <c r="AG335" s="190" t="s">
        <v>220</v>
      </c>
      <c r="AH335" s="190" t="s">
        <v>103</v>
      </c>
      <c r="AI335" s="190">
        <f t="shared" si="115"/>
        <v>4.8048000000000002</v>
      </c>
      <c r="AJ335" s="292" t="s">
        <v>96</v>
      </c>
      <c r="AK335" s="15"/>
      <c r="AL335" s="15">
        <f t="shared" si="110"/>
        <v>0</v>
      </c>
      <c r="AM335" s="15"/>
      <c r="AN335" s="15">
        <f t="shared" ca="1" si="111"/>
        <v>0</v>
      </c>
      <c r="AO335" s="15">
        <f t="shared" si="112"/>
        <v>0</v>
      </c>
      <c r="AP335" s="15">
        <f t="shared" si="113"/>
        <v>0</v>
      </c>
      <c r="AQ335" s="15"/>
      <c r="AR335" s="190">
        <f t="shared" si="116"/>
        <v>0</v>
      </c>
      <c r="AS335" s="15"/>
      <c r="AT335" s="190">
        <f t="shared" si="117"/>
        <v>0</v>
      </c>
      <c r="AU335" s="190">
        <f t="shared" si="118"/>
        <v>0</v>
      </c>
      <c r="AV335" s="190">
        <f t="shared" si="119"/>
        <v>0</v>
      </c>
      <c r="AW335" s="190">
        <f t="shared" si="120"/>
        <v>0</v>
      </c>
      <c r="AX335" s="190">
        <f t="shared" si="121"/>
        <v>0</v>
      </c>
      <c r="BP335" s="190"/>
    </row>
    <row r="336" spans="2:68" x14ac:dyDescent="0.25">
      <c r="B336" s="98" t="s">
        <v>563</v>
      </c>
      <c r="C336" s="98">
        <v>2014</v>
      </c>
      <c r="D336" s="98" t="s">
        <v>143</v>
      </c>
      <c r="E336" s="98" t="s">
        <v>9</v>
      </c>
      <c r="F336" s="98" t="s">
        <v>131</v>
      </c>
      <c r="G336" s="98">
        <v>700954.11999999895</v>
      </c>
      <c r="H336" s="299" t="str">
        <f>VLOOKUP(LEFT('Rev Adequacy'!D336,3),'Mapping B'!$D$2:$E$400,2,0)</f>
        <v>S</v>
      </c>
      <c r="I336" s="190"/>
      <c r="J336" s="15" t="s">
        <v>222</v>
      </c>
      <c r="K336" s="190" t="s">
        <v>1</v>
      </c>
      <c r="L336" s="190">
        <f t="shared" si="114"/>
        <v>49.578900000000004</v>
      </c>
      <c r="M336" s="15"/>
      <c r="N336" s="15"/>
      <c r="O336" s="15">
        <f>_xlfn.IFNA(IF(VLOOKUP($J336&amp;O$14,'Mapping A'!$A$6:$G$1011,7,0)=1,$L336,""),0)</f>
        <v>0</v>
      </c>
      <c r="P336" s="15">
        <f>_xlfn.IFNA(IF(VLOOKUP($J336&amp;P$14,'Mapping A'!$A$6:$G$1011,7,0)=1,$L336,""),0)</f>
        <v>0</v>
      </c>
      <c r="Q336" s="15">
        <f>_xlfn.IFNA(IF(VLOOKUP($J336&amp;Q$14,'Mapping A'!$A$6:$G$1011,7,0)=1,$L336,""),0)</f>
        <v>49.578900000000004</v>
      </c>
      <c r="R336" s="15">
        <f>_xlfn.IFNA(IF(VLOOKUP($J336&amp;R$14,'Mapping A'!$A$6:$G$1011,7,0)=1,$L336,""),0)</f>
        <v>0</v>
      </c>
      <c r="S336" s="15">
        <f>_xlfn.IFNA(IF(VLOOKUP($J336&amp;S$14,'Mapping A'!$A$6:$G$1011,7,0)=1,$L336,""),0)</f>
        <v>0</v>
      </c>
      <c r="T336" s="15">
        <f>_xlfn.IFNA(IF(VLOOKUP($J336&amp;T$14,'Mapping A'!$A$6:$G$1011,7,0)=1,$L336,""),0)</f>
        <v>0</v>
      </c>
      <c r="U336" s="15">
        <f>_xlfn.IFNA(IF(VLOOKUP($J336&amp;U$14,'Mapping A'!$A$6:$G$1011,7,0)=1,$L336,""),0)</f>
        <v>0</v>
      </c>
      <c r="V336" s="15">
        <f>_xlfn.IFNA(IF(VLOOKUP($J336&amp;V$14,'Mapping A'!$A$6:$G$1011,7,0)=1,$L336,""),0)</f>
        <v>0</v>
      </c>
      <c r="W336" s="15">
        <f>_xlfn.IFNA(IF(VLOOKUP($J336&amp;W$14,'Mapping A'!$A$6:$G$1011,7,0)=1,$L336,""),0)</f>
        <v>0</v>
      </c>
      <c r="X336" s="15">
        <f>_xlfn.IFNA(IF(VLOOKUP($J336&amp;X$14,'Mapping A'!$A$6:$G$1011,7,0)=1,$L336,""),0)</f>
        <v>0</v>
      </c>
      <c r="Y336" s="15">
        <f>_xlfn.IFNA(IF(VLOOKUP($J336&amp;Y$14,'Mapping A'!$A$6:$G$1011,7,0)=1,$L336,""),0)</f>
        <v>0</v>
      </c>
      <c r="Z336" s="15">
        <f>_xlfn.IFNA(IF(VLOOKUP($J336&amp;Z$14,'Mapping A'!$A$6:$G$1011,7,0)=1,$L336,""),0)</f>
        <v>0</v>
      </c>
      <c r="AA336" s="15">
        <f>_xlfn.IFNA(IF(VLOOKUP($J336&amp;AA$14,'Mapping A'!$A$6:$G$1011,7,0)=1,$L336,""),0)</f>
        <v>0</v>
      </c>
      <c r="AF336" s="155" t="str">
        <f t="shared" si="109"/>
        <v>HWB0332Aurora Energy</v>
      </c>
      <c r="AG336" s="190" t="s">
        <v>222</v>
      </c>
      <c r="AH336" s="190" t="s">
        <v>1</v>
      </c>
      <c r="AI336" s="190">
        <f t="shared" si="115"/>
        <v>49.578900000000004</v>
      </c>
      <c r="AJ336" s="292" t="s">
        <v>96</v>
      </c>
      <c r="AK336" s="15"/>
      <c r="AL336" s="15">
        <f t="shared" si="110"/>
        <v>0</v>
      </c>
      <c r="AM336" s="15"/>
      <c r="AN336" s="15">
        <f t="shared" ca="1" si="111"/>
        <v>0</v>
      </c>
      <c r="AO336" s="15">
        <f t="shared" si="112"/>
        <v>0</v>
      </c>
      <c r="AP336" s="15">
        <f t="shared" si="113"/>
        <v>0</v>
      </c>
      <c r="AQ336" s="15"/>
      <c r="AR336" s="190">
        <f t="shared" si="116"/>
        <v>0</v>
      </c>
      <c r="AS336" s="15"/>
      <c r="AT336" s="190">
        <f t="shared" si="117"/>
        <v>0</v>
      </c>
      <c r="AU336" s="190">
        <f t="shared" si="118"/>
        <v>0</v>
      </c>
      <c r="AV336" s="190">
        <f t="shared" si="119"/>
        <v>0</v>
      </c>
      <c r="AW336" s="190">
        <f t="shared" si="120"/>
        <v>0</v>
      </c>
      <c r="AX336" s="190">
        <f t="shared" si="121"/>
        <v>0</v>
      </c>
      <c r="BP336" s="190"/>
    </row>
    <row r="337" spans="2:68" x14ac:dyDescent="0.25">
      <c r="B337" s="98" t="s">
        <v>555</v>
      </c>
      <c r="C337" s="98">
        <v>2014</v>
      </c>
      <c r="D337" s="98" t="s">
        <v>142</v>
      </c>
      <c r="E337" s="98" t="s">
        <v>9</v>
      </c>
      <c r="F337" s="98" t="s">
        <v>131</v>
      </c>
      <c r="G337" s="98">
        <v>127062.629</v>
      </c>
      <c r="H337" s="299" t="str">
        <f>VLOOKUP(LEFT('Rev Adequacy'!D337,3),'Mapping B'!$D$2:$E$400,2,0)</f>
        <v>S</v>
      </c>
      <c r="I337" s="190"/>
      <c r="J337" s="15" t="s">
        <v>223</v>
      </c>
      <c r="K337" s="190" t="s">
        <v>103</v>
      </c>
      <c r="L337" s="190">
        <f t="shared" si="114"/>
        <v>5.9619</v>
      </c>
      <c r="M337" s="15"/>
      <c r="N337" s="15"/>
      <c r="O337" s="15">
        <f>_xlfn.IFNA(IF(VLOOKUP($J337&amp;O$14,'Mapping A'!$A$6:$G$1011,7,0)=1,$L337,""),0)</f>
        <v>0</v>
      </c>
      <c r="P337" s="15">
        <f>_xlfn.IFNA(IF(VLOOKUP($J337&amp;P$14,'Mapping A'!$A$6:$G$1011,7,0)=1,$L337,""),0)</f>
        <v>0</v>
      </c>
      <c r="Q337" s="15">
        <f>_xlfn.IFNA(IF(VLOOKUP($J337&amp;Q$14,'Mapping A'!$A$6:$G$1011,7,0)=1,$L337,""),0)</f>
        <v>5.9619</v>
      </c>
      <c r="R337" s="15">
        <f>_xlfn.IFNA(IF(VLOOKUP($J337&amp;R$14,'Mapping A'!$A$6:$G$1011,7,0)=1,$L337,""),0)</f>
        <v>0</v>
      </c>
      <c r="S337" s="15">
        <f>_xlfn.IFNA(IF(VLOOKUP($J337&amp;S$14,'Mapping A'!$A$6:$G$1011,7,0)=1,$L337,""),0)</f>
        <v>0</v>
      </c>
      <c r="T337" s="15">
        <f>_xlfn.IFNA(IF(VLOOKUP($J337&amp;T$14,'Mapping A'!$A$6:$G$1011,7,0)=1,$L337,""),0)</f>
        <v>0</v>
      </c>
      <c r="U337" s="15">
        <f>_xlfn.IFNA(IF(VLOOKUP($J337&amp;U$14,'Mapping A'!$A$6:$G$1011,7,0)=1,$L337,""),0)</f>
        <v>0</v>
      </c>
      <c r="V337" s="15">
        <f>_xlfn.IFNA(IF(VLOOKUP($J337&amp;V$14,'Mapping A'!$A$6:$G$1011,7,0)=1,$L337,""),0)</f>
        <v>0</v>
      </c>
      <c r="W337" s="15">
        <f>_xlfn.IFNA(IF(VLOOKUP($J337&amp;W$14,'Mapping A'!$A$6:$G$1011,7,0)=1,$L337,""),0)</f>
        <v>0</v>
      </c>
      <c r="X337" s="15">
        <f>_xlfn.IFNA(IF(VLOOKUP($J337&amp;X$14,'Mapping A'!$A$6:$G$1011,7,0)=1,$L337,""),0)</f>
        <v>0</v>
      </c>
      <c r="Y337" s="15">
        <f>_xlfn.IFNA(IF(VLOOKUP($J337&amp;Y$14,'Mapping A'!$A$6:$G$1011,7,0)=1,$L337,""),0)</f>
        <v>0</v>
      </c>
      <c r="Z337" s="15">
        <f>_xlfn.IFNA(IF(VLOOKUP($J337&amp;Z$14,'Mapping A'!$A$6:$G$1011,7,0)=1,$L337,""),0)</f>
        <v>0</v>
      </c>
      <c r="AA337" s="15">
        <f>_xlfn.IFNA(IF(VLOOKUP($J337&amp;AA$14,'Mapping A'!$A$6:$G$1011,7,0)=1,$L337,""),0)</f>
        <v>0</v>
      </c>
      <c r="AF337" s="155" t="str">
        <f t="shared" si="109"/>
        <v>HWB1101OtagoNet JV</v>
      </c>
      <c r="AG337" s="190" t="s">
        <v>223</v>
      </c>
      <c r="AH337" s="190" t="s">
        <v>103</v>
      </c>
      <c r="AI337" s="190">
        <f t="shared" si="115"/>
        <v>5.9619</v>
      </c>
      <c r="AJ337" s="292" t="s">
        <v>96</v>
      </c>
      <c r="AK337" s="15"/>
      <c r="AL337" s="15">
        <f t="shared" si="110"/>
        <v>0</v>
      </c>
      <c r="AM337" s="15"/>
      <c r="AN337" s="15">
        <f t="shared" ca="1" si="111"/>
        <v>0</v>
      </c>
      <c r="AO337" s="15">
        <f t="shared" si="112"/>
        <v>0</v>
      </c>
      <c r="AP337" s="15">
        <f t="shared" si="113"/>
        <v>0</v>
      </c>
      <c r="AQ337" s="15"/>
      <c r="AR337" s="190">
        <f t="shared" si="116"/>
        <v>0</v>
      </c>
      <c r="AS337" s="15"/>
      <c r="AT337" s="190">
        <f t="shared" si="117"/>
        <v>0</v>
      </c>
      <c r="AU337" s="190">
        <f t="shared" si="118"/>
        <v>0</v>
      </c>
      <c r="AV337" s="190">
        <f t="shared" si="119"/>
        <v>0</v>
      </c>
      <c r="AW337" s="190">
        <f t="shared" si="120"/>
        <v>0</v>
      </c>
      <c r="AX337" s="190">
        <f t="shared" si="121"/>
        <v>0</v>
      </c>
      <c r="BP337" s="190"/>
    </row>
    <row r="338" spans="2:68" x14ac:dyDescent="0.25">
      <c r="B338" s="98" t="s">
        <v>555</v>
      </c>
      <c r="C338" s="98">
        <v>2014</v>
      </c>
      <c r="D338" s="98" t="s">
        <v>143</v>
      </c>
      <c r="E338" s="98" t="s">
        <v>9</v>
      </c>
      <c r="F338" s="98" t="s">
        <v>131</v>
      </c>
      <c r="G338" s="98">
        <v>402429.07900000003</v>
      </c>
      <c r="H338" s="299" t="str">
        <f>VLOOKUP(LEFT('Rev Adequacy'!D338,3),'Mapping B'!$D$2:$E$400,2,0)</f>
        <v>S</v>
      </c>
      <c r="I338" s="190"/>
      <c r="J338" s="15" t="s">
        <v>224</v>
      </c>
      <c r="K338" s="190" t="s">
        <v>101</v>
      </c>
      <c r="L338" s="190">
        <f t="shared" si="114"/>
        <v>55.567199999999993</v>
      </c>
      <c r="M338" s="15"/>
      <c r="N338" s="15"/>
      <c r="O338" s="15">
        <f>_xlfn.IFNA(IF(VLOOKUP($J338&amp;O$14,'Mapping A'!$A$6:$G$1011,7,0)=1,$L338,""),0)</f>
        <v>0</v>
      </c>
      <c r="P338" s="15">
        <f>_xlfn.IFNA(IF(VLOOKUP($J338&amp;P$14,'Mapping A'!$A$6:$G$1011,7,0)=1,$L338,""),0)</f>
        <v>0</v>
      </c>
      <c r="Q338" s="15">
        <f>_xlfn.IFNA(IF(VLOOKUP($J338&amp;Q$14,'Mapping A'!$A$6:$G$1011,7,0)=1,$L338,""),0)</f>
        <v>55.567199999999993</v>
      </c>
      <c r="R338" s="15">
        <f>_xlfn.IFNA(IF(VLOOKUP($J338&amp;R$14,'Mapping A'!$A$6:$G$1011,7,0)=1,$L338,""),0)</f>
        <v>0</v>
      </c>
      <c r="S338" s="15">
        <f>_xlfn.IFNA(IF(VLOOKUP($J338&amp;S$14,'Mapping A'!$A$6:$G$1011,7,0)=1,$L338,""),0)</f>
        <v>0</v>
      </c>
      <c r="T338" s="15">
        <f>_xlfn.IFNA(IF(VLOOKUP($J338&amp;T$14,'Mapping A'!$A$6:$G$1011,7,0)=1,$L338,""),0)</f>
        <v>0</v>
      </c>
      <c r="U338" s="15">
        <f>_xlfn.IFNA(IF(VLOOKUP($J338&amp;U$14,'Mapping A'!$A$6:$G$1011,7,0)=1,$L338,""),0)</f>
        <v>0</v>
      </c>
      <c r="V338" s="15">
        <f>_xlfn.IFNA(IF(VLOOKUP($J338&amp;V$14,'Mapping A'!$A$6:$G$1011,7,0)=1,$L338,""),0)</f>
        <v>0</v>
      </c>
      <c r="W338" s="15">
        <f>_xlfn.IFNA(IF(VLOOKUP($J338&amp;W$14,'Mapping A'!$A$6:$G$1011,7,0)=1,$L338,""),0)</f>
        <v>0</v>
      </c>
      <c r="X338" s="15">
        <f>_xlfn.IFNA(IF(VLOOKUP($J338&amp;X$14,'Mapping A'!$A$6:$G$1011,7,0)=1,$L338,""),0)</f>
        <v>0</v>
      </c>
      <c r="Y338" s="15">
        <f>_xlfn.IFNA(IF(VLOOKUP($J338&amp;Y$14,'Mapping A'!$A$6:$G$1011,7,0)=1,$L338,""),0)</f>
        <v>0</v>
      </c>
      <c r="Z338" s="15">
        <f>_xlfn.IFNA(IF(VLOOKUP($J338&amp;Z$14,'Mapping A'!$A$6:$G$1011,7,0)=1,$L338,""),0)</f>
        <v>0</v>
      </c>
      <c r="AA338" s="15">
        <f>_xlfn.IFNA(IF(VLOOKUP($J338&amp;AA$14,'Mapping A'!$A$6:$G$1011,7,0)=1,$L338,""),0)</f>
        <v>0</v>
      </c>
      <c r="AF338" s="155" t="str">
        <f t="shared" si="109"/>
        <v>INV0331Electricity Invercargill</v>
      </c>
      <c r="AG338" s="190" t="s">
        <v>224</v>
      </c>
      <c r="AH338" s="190" t="s">
        <v>101</v>
      </c>
      <c r="AI338" s="190">
        <f t="shared" si="115"/>
        <v>55.567199999999993</v>
      </c>
      <c r="AJ338" s="292" t="s">
        <v>96</v>
      </c>
      <c r="AK338" s="15"/>
      <c r="AL338" s="15">
        <f t="shared" si="110"/>
        <v>0</v>
      </c>
      <c r="AM338" s="15"/>
      <c r="AN338" s="15">
        <f t="shared" ca="1" si="111"/>
        <v>0</v>
      </c>
      <c r="AO338" s="15">
        <f t="shared" si="112"/>
        <v>0</v>
      </c>
      <c r="AP338" s="15">
        <f t="shared" si="113"/>
        <v>0</v>
      </c>
      <c r="AQ338" s="15"/>
      <c r="AR338" s="190">
        <f t="shared" si="116"/>
        <v>0</v>
      </c>
      <c r="AS338" s="15"/>
      <c r="AT338" s="190">
        <f t="shared" si="117"/>
        <v>0</v>
      </c>
      <c r="AU338" s="190">
        <f t="shared" si="118"/>
        <v>0</v>
      </c>
      <c r="AV338" s="190">
        <f t="shared" si="119"/>
        <v>0</v>
      </c>
      <c r="AW338" s="190">
        <f t="shared" si="120"/>
        <v>0</v>
      </c>
      <c r="AX338" s="190">
        <f t="shared" si="121"/>
        <v>0</v>
      </c>
      <c r="BP338" s="190"/>
    </row>
    <row r="339" spans="2:68" x14ac:dyDescent="0.25">
      <c r="B339" s="98" t="s">
        <v>112</v>
      </c>
      <c r="C339" s="98">
        <v>2014</v>
      </c>
      <c r="D339" s="98" t="s">
        <v>142</v>
      </c>
      <c r="E339" s="98" t="s">
        <v>9</v>
      </c>
      <c r="F339" s="98" t="s">
        <v>131</v>
      </c>
      <c r="G339" s="98">
        <v>0</v>
      </c>
      <c r="H339" s="299" t="str">
        <f>VLOOKUP(LEFT('Rev Adequacy'!D339,3),'Mapping B'!$D$2:$E$400,2,0)</f>
        <v>S</v>
      </c>
      <c r="I339" s="190"/>
      <c r="J339" s="15" t="s">
        <v>224</v>
      </c>
      <c r="K339" s="190" t="s">
        <v>105</v>
      </c>
      <c r="L339" s="190">
        <f t="shared" si="114"/>
        <v>37.044800000000002</v>
      </c>
      <c r="M339" s="15"/>
      <c r="N339" s="15"/>
      <c r="O339" s="15">
        <f>_xlfn.IFNA(IF(VLOOKUP($J339&amp;O$14,'Mapping A'!$A$6:$G$1011,7,0)=1,$L339,""),0)</f>
        <v>0</v>
      </c>
      <c r="P339" s="15">
        <f>_xlfn.IFNA(IF(VLOOKUP($J339&amp;P$14,'Mapping A'!$A$6:$G$1011,7,0)=1,$L339,""),0)</f>
        <v>0</v>
      </c>
      <c r="Q339" s="15">
        <f>_xlfn.IFNA(IF(VLOOKUP($J339&amp;Q$14,'Mapping A'!$A$6:$G$1011,7,0)=1,$L339,""),0)</f>
        <v>37.044800000000002</v>
      </c>
      <c r="R339" s="15">
        <f>_xlfn.IFNA(IF(VLOOKUP($J339&amp;R$14,'Mapping A'!$A$6:$G$1011,7,0)=1,$L339,""),0)</f>
        <v>0</v>
      </c>
      <c r="S339" s="15">
        <f>_xlfn.IFNA(IF(VLOOKUP($J339&amp;S$14,'Mapping A'!$A$6:$G$1011,7,0)=1,$L339,""),0)</f>
        <v>0</v>
      </c>
      <c r="T339" s="15">
        <f>_xlfn.IFNA(IF(VLOOKUP($J339&amp;T$14,'Mapping A'!$A$6:$G$1011,7,0)=1,$L339,""),0)</f>
        <v>0</v>
      </c>
      <c r="U339" s="15">
        <f>_xlfn.IFNA(IF(VLOOKUP($J339&amp;U$14,'Mapping A'!$A$6:$G$1011,7,0)=1,$L339,""),0)</f>
        <v>0</v>
      </c>
      <c r="V339" s="15">
        <f>_xlfn.IFNA(IF(VLOOKUP($J339&amp;V$14,'Mapping A'!$A$6:$G$1011,7,0)=1,$L339,""),0)</f>
        <v>0</v>
      </c>
      <c r="W339" s="15">
        <f>_xlfn.IFNA(IF(VLOOKUP($J339&amp;W$14,'Mapping A'!$A$6:$G$1011,7,0)=1,$L339,""),0)</f>
        <v>0</v>
      </c>
      <c r="X339" s="15">
        <f>_xlfn.IFNA(IF(VLOOKUP($J339&amp;X$14,'Mapping A'!$A$6:$G$1011,7,0)=1,$L339,""),0)</f>
        <v>0</v>
      </c>
      <c r="Y339" s="15">
        <f>_xlfn.IFNA(IF(VLOOKUP($J339&amp;Y$14,'Mapping A'!$A$6:$G$1011,7,0)=1,$L339,""),0)</f>
        <v>0</v>
      </c>
      <c r="Z339" s="15">
        <f>_xlfn.IFNA(IF(VLOOKUP($J339&amp;Z$14,'Mapping A'!$A$6:$G$1011,7,0)=1,$L339,""),0)</f>
        <v>0</v>
      </c>
      <c r="AA339" s="15">
        <f>_xlfn.IFNA(IF(VLOOKUP($J339&amp;AA$14,'Mapping A'!$A$6:$G$1011,7,0)=1,$L339,""),0)</f>
        <v>0</v>
      </c>
      <c r="AF339" s="155" t="str">
        <f t="shared" si="109"/>
        <v>INV0331The Power Company</v>
      </c>
      <c r="AG339" s="190" t="s">
        <v>224</v>
      </c>
      <c r="AH339" s="190" t="s">
        <v>105</v>
      </c>
      <c r="AI339" s="190">
        <f t="shared" si="115"/>
        <v>37.044800000000002</v>
      </c>
      <c r="AJ339" s="292" t="s">
        <v>96</v>
      </c>
      <c r="AK339" s="15"/>
      <c r="AL339" s="15">
        <f t="shared" si="110"/>
        <v>0</v>
      </c>
      <c r="AM339" s="15"/>
      <c r="AN339" s="15">
        <f t="shared" ca="1" si="111"/>
        <v>0</v>
      </c>
      <c r="AO339" s="15">
        <f t="shared" si="112"/>
        <v>0</v>
      </c>
      <c r="AP339" s="15">
        <f t="shared" si="113"/>
        <v>0</v>
      </c>
      <c r="AQ339" s="15"/>
      <c r="AR339" s="190">
        <f t="shared" si="116"/>
        <v>0</v>
      </c>
      <c r="AS339" s="15"/>
      <c r="AT339" s="190">
        <f t="shared" si="117"/>
        <v>0</v>
      </c>
      <c r="AU339" s="190">
        <f t="shared" si="118"/>
        <v>0</v>
      </c>
      <c r="AV339" s="190">
        <f t="shared" si="119"/>
        <v>0</v>
      </c>
      <c r="AW339" s="190">
        <f t="shared" si="120"/>
        <v>0</v>
      </c>
      <c r="AX339" s="190">
        <f t="shared" si="121"/>
        <v>0</v>
      </c>
      <c r="BP339" s="190"/>
    </row>
    <row r="340" spans="2:68" x14ac:dyDescent="0.25">
      <c r="B340" s="98" t="s">
        <v>112</v>
      </c>
      <c r="C340" s="98">
        <v>2014</v>
      </c>
      <c r="D340" s="98" t="s">
        <v>143</v>
      </c>
      <c r="E340" s="98" t="s">
        <v>9</v>
      </c>
      <c r="F340" s="98" t="s">
        <v>131</v>
      </c>
      <c r="G340" s="98">
        <v>0</v>
      </c>
      <c r="H340" s="299" t="str">
        <f>VLOOKUP(LEFT('Rev Adequacy'!D340,3),'Mapping B'!$D$2:$E$400,2,0)</f>
        <v>S</v>
      </c>
      <c r="I340" s="190"/>
      <c r="J340" s="15" t="s">
        <v>225</v>
      </c>
      <c r="K340" s="190" t="s">
        <v>25</v>
      </c>
      <c r="L340" s="190">
        <f t="shared" si="114"/>
        <v>76.406399999999991</v>
      </c>
      <c r="M340" s="15"/>
      <c r="N340" s="15"/>
      <c r="O340" s="15">
        <f>_xlfn.IFNA(IF(VLOOKUP($J340&amp;O$14,'Mapping A'!$A$6:$G$1011,7,0)=1,$L340,""),0)</f>
        <v>0</v>
      </c>
      <c r="P340" s="15">
        <f>_xlfn.IFNA(IF(VLOOKUP($J340&amp;P$14,'Mapping A'!$A$6:$G$1011,7,0)=1,$L340,""),0)</f>
        <v>0</v>
      </c>
      <c r="Q340" s="15">
        <f>_xlfn.IFNA(IF(VLOOKUP($J340&amp;Q$14,'Mapping A'!$A$6:$G$1011,7,0)=1,$L340,""),0)</f>
        <v>76.406399999999991</v>
      </c>
      <c r="R340" s="15">
        <f>_xlfn.IFNA(IF(VLOOKUP($J340&amp;R$14,'Mapping A'!$A$6:$G$1011,7,0)=1,$L340,""),0)</f>
        <v>0</v>
      </c>
      <c r="S340" s="15">
        <f>_xlfn.IFNA(IF(VLOOKUP($J340&amp;S$14,'Mapping A'!$A$6:$G$1011,7,0)=1,$L340,""),0)</f>
        <v>0</v>
      </c>
      <c r="T340" s="15">
        <f>_xlfn.IFNA(IF(VLOOKUP($J340&amp;T$14,'Mapping A'!$A$6:$G$1011,7,0)=1,$L340,""),0)</f>
        <v>0</v>
      </c>
      <c r="U340" s="15">
        <f>_xlfn.IFNA(IF(VLOOKUP($J340&amp;U$14,'Mapping A'!$A$6:$G$1011,7,0)=1,$L340,""),0)</f>
        <v>0</v>
      </c>
      <c r="V340" s="15">
        <f>_xlfn.IFNA(IF(VLOOKUP($J340&amp;V$14,'Mapping A'!$A$6:$G$1011,7,0)=1,$L340,""),0)</f>
        <v>0</v>
      </c>
      <c r="W340" s="15">
        <f>_xlfn.IFNA(IF(VLOOKUP($J340&amp;W$14,'Mapping A'!$A$6:$G$1011,7,0)=1,$L340,""),0)</f>
        <v>0</v>
      </c>
      <c r="X340" s="15">
        <f>_xlfn.IFNA(IF(VLOOKUP($J340&amp;X$14,'Mapping A'!$A$6:$G$1011,7,0)=1,$L340,""),0)</f>
        <v>0</v>
      </c>
      <c r="Y340" s="15">
        <f>_xlfn.IFNA(IF(VLOOKUP($J340&amp;Y$14,'Mapping A'!$A$6:$G$1011,7,0)=1,$L340,""),0)</f>
        <v>0</v>
      </c>
      <c r="Z340" s="15">
        <f>_xlfn.IFNA(IF(VLOOKUP($J340&amp;Z$14,'Mapping A'!$A$6:$G$1011,7,0)=1,$L340,""),0)</f>
        <v>0</v>
      </c>
      <c r="AA340" s="15">
        <f>_xlfn.IFNA(IF(VLOOKUP($J340&amp;AA$14,'Mapping A'!$A$6:$G$1011,7,0)=1,$L340,""),0)</f>
        <v>0</v>
      </c>
      <c r="AF340" s="155" t="str">
        <f t="shared" si="109"/>
        <v>ISL0331Orion</v>
      </c>
      <c r="AG340" s="190" t="s">
        <v>225</v>
      </c>
      <c r="AH340" s="190" t="s">
        <v>25</v>
      </c>
      <c r="AI340" s="190">
        <f t="shared" si="115"/>
        <v>76.406399999999991</v>
      </c>
      <c r="AJ340" s="292" t="s">
        <v>96</v>
      </c>
      <c r="AK340" s="15"/>
      <c r="AL340" s="15">
        <f t="shared" si="110"/>
        <v>0</v>
      </c>
      <c r="AM340" s="15"/>
      <c r="AN340" s="15">
        <f t="shared" ca="1" si="111"/>
        <v>0</v>
      </c>
      <c r="AO340" s="15">
        <f t="shared" si="112"/>
        <v>0</v>
      </c>
      <c r="AP340" s="15">
        <f t="shared" si="113"/>
        <v>0</v>
      </c>
      <c r="AQ340" s="15"/>
      <c r="AR340" s="190">
        <f t="shared" si="116"/>
        <v>0</v>
      </c>
      <c r="AS340" s="15"/>
      <c r="AT340" s="190">
        <f t="shared" si="117"/>
        <v>0</v>
      </c>
      <c r="AU340" s="190">
        <f t="shared" si="118"/>
        <v>0</v>
      </c>
      <c r="AV340" s="190">
        <f t="shared" si="119"/>
        <v>0</v>
      </c>
      <c r="AW340" s="190">
        <f t="shared" si="120"/>
        <v>0</v>
      </c>
      <c r="AX340" s="190">
        <f t="shared" si="121"/>
        <v>0</v>
      </c>
      <c r="BP340" s="190"/>
    </row>
    <row r="341" spans="2:68" x14ac:dyDescent="0.25">
      <c r="B341" s="98" t="s">
        <v>111</v>
      </c>
      <c r="C341" s="98">
        <v>2014</v>
      </c>
      <c r="D341" s="98" t="s">
        <v>142</v>
      </c>
      <c r="E341" s="98" t="s">
        <v>9</v>
      </c>
      <c r="F341" s="98" t="s">
        <v>131</v>
      </c>
      <c r="G341" s="98">
        <v>0</v>
      </c>
      <c r="H341" s="299" t="str">
        <f>VLOOKUP(LEFT('Rev Adequacy'!D341,3),'Mapping B'!$D$2:$E$400,2,0)</f>
        <v>S</v>
      </c>
      <c r="I341" s="190"/>
      <c r="J341" s="15" t="s">
        <v>226</v>
      </c>
      <c r="K341" s="190" t="s">
        <v>25</v>
      </c>
      <c r="L341" s="190">
        <f t="shared" si="114"/>
        <v>401.96520000000004</v>
      </c>
      <c r="M341" s="15"/>
      <c r="N341" s="15"/>
      <c r="O341" s="15">
        <f>_xlfn.IFNA(IF(VLOOKUP($J341&amp;O$14,'Mapping A'!$A$6:$G$1011,7,0)=1,$L341,""),0)</f>
        <v>0</v>
      </c>
      <c r="P341" s="15">
        <f>_xlfn.IFNA(IF(VLOOKUP($J341&amp;P$14,'Mapping A'!$A$6:$G$1011,7,0)=1,$L341,""),0)</f>
        <v>0</v>
      </c>
      <c r="Q341" s="15">
        <f>_xlfn.IFNA(IF(VLOOKUP($J341&amp;Q$14,'Mapping A'!$A$6:$G$1011,7,0)=1,$L341,""),0)</f>
        <v>401.96520000000004</v>
      </c>
      <c r="R341" s="15">
        <f>_xlfn.IFNA(IF(VLOOKUP($J341&amp;R$14,'Mapping A'!$A$6:$G$1011,7,0)=1,$L341,""),0)</f>
        <v>0</v>
      </c>
      <c r="S341" s="15">
        <f>_xlfn.IFNA(IF(VLOOKUP($J341&amp;S$14,'Mapping A'!$A$6:$G$1011,7,0)=1,$L341,""),0)</f>
        <v>0</v>
      </c>
      <c r="T341" s="15">
        <f>_xlfn.IFNA(IF(VLOOKUP($J341&amp;T$14,'Mapping A'!$A$6:$G$1011,7,0)=1,$L341,""),0)</f>
        <v>0</v>
      </c>
      <c r="U341" s="15">
        <f>_xlfn.IFNA(IF(VLOOKUP($J341&amp;U$14,'Mapping A'!$A$6:$G$1011,7,0)=1,$L341,""),0)</f>
        <v>0</v>
      </c>
      <c r="V341" s="15">
        <f>_xlfn.IFNA(IF(VLOOKUP($J341&amp;V$14,'Mapping A'!$A$6:$G$1011,7,0)=1,$L341,""),0)</f>
        <v>0</v>
      </c>
      <c r="W341" s="15">
        <f>_xlfn.IFNA(IF(VLOOKUP($J341&amp;W$14,'Mapping A'!$A$6:$G$1011,7,0)=1,$L341,""),0)</f>
        <v>0</v>
      </c>
      <c r="X341" s="15">
        <f>_xlfn.IFNA(IF(VLOOKUP($J341&amp;X$14,'Mapping A'!$A$6:$G$1011,7,0)=1,$L341,""),0)</f>
        <v>0</v>
      </c>
      <c r="Y341" s="15">
        <f>_xlfn.IFNA(IF(VLOOKUP($J341&amp;Y$14,'Mapping A'!$A$6:$G$1011,7,0)=1,$L341,""),0)</f>
        <v>0</v>
      </c>
      <c r="Z341" s="15">
        <f>_xlfn.IFNA(IF(VLOOKUP($J341&amp;Z$14,'Mapping A'!$A$6:$G$1011,7,0)=1,$L341,""),0)</f>
        <v>0</v>
      </c>
      <c r="AA341" s="15">
        <f>_xlfn.IFNA(IF(VLOOKUP($J341&amp;AA$14,'Mapping A'!$A$6:$G$1011,7,0)=1,$L341,""),0)</f>
        <v>0</v>
      </c>
      <c r="AF341" s="155" t="str">
        <f t="shared" si="109"/>
        <v>ISL0661Orion</v>
      </c>
      <c r="AG341" s="190" t="s">
        <v>226</v>
      </c>
      <c r="AH341" s="190" t="s">
        <v>25</v>
      </c>
      <c r="AI341" s="190">
        <f t="shared" si="115"/>
        <v>401.96520000000004</v>
      </c>
      <c r="AJ341" s="292" t="s">
        <v>96</v>
      </c>
      <c r="AK341" s="15"/>
      <c r="AL341" s="15">
        <f t="shared" si="110"/>
        <v>0</v>
      </c>
      <c r="AM341" s="15"/>
      <c r="AN341" s="15">
        <f t="shared" ca="1" si="111"/>
        <v>0</v>
      </c>
      <c r="AO341" s="15">
        <f t="shared" si="112"/>
        <v>0</v>
      </c>
      <c r="AP341" s="15">
        <f t="shared" si="113"/>
        <v>0</v>
      </c>
      <c r="AQ341" s="15"/>
      <c r="AR341" s="190">
        <f t="shared" si="116"/>
        <v>0</v>
      </c>
      <c r="AS341" s="15"/>
      <c r="AT341" s="190">
        <f t="shared" si="117"/>
        <v>0</v>
      </c>
      <c r="AU341" s="190">
        <f t="shared" si="118"/>
        <v>0</v>
      </c>
      <c r="AV341" s="190">
        <f t="shared" si="119"/>
        <v>0</v>
      </c>
      <c r="AW341" s="190">
        <f t="shared" si="120"/>
        <v>0</v>
      </c>
      <c r="AX341" s="190">
        <f t="shared" si="121"/>
        <v>0</v>
      </c>
      <c r="BP341" s="190"/>
    </row>
    <row r="342" spans="2:68" x14ac:dyDescent="0.25">
      <c r="B342" s="98" t="s">
        <v>111</v>
      </c>
      <c r="C342" s="98">
        <v>2014</v>
      </c>
      <c r="D342" s="98" t="s">
        <v>143</v>
      </c>
      <c r="E342" s="98" t="s">
        <v>9</v>
      </c>
      <c r="F342" s="98" t="s">
        <v>131</v>
      </c>
      <c r="G342" s="98">
        <v>0</v>
      </c>
      <c r="H342" s="299" t="str">
        <f>VLOOKUP(LEFT('Rev Adequacy'!D342,3),'Mapping B'!$D$2:$E$400,2,0)</f>
        <v>S</v>
      </c>
      <c r="I342" s="190"/>
      <c r="J342" s="15" t="s">
        <v>227</v>
      </c>
      <c r="K342" s="190" t="s">
        <v>12</v>
      </c>
      <c r="L342" s="190">
        <f t="shared" si="114"/>
        <v>28.961099999999998</v>
      </c>
      <c r="M342" s="15"/>
      <c r="N342" s="15"/>
      <c r="O342" s="15">
        <f>_xlfn.IFNA(IF(VLOOKUP($J342&amp;O$14,'Mapping A'!$A$6:$G$1011,7,0)=1,$L342,""),0)</f>
        <v>0</v>
      </c>
      <c r="P342" s="15">
        <f>_xlfn.IFNA(IF(VLOOKUP($J342&amp;P$14,'Mapping A'!$A$6:$G$1011,7,0)=1,$L342,""),0)</f>
        <v>0</v>
      </c>
      <c r="Q342" s="15">
        <f>_xlfn.IFNA(IF(VLOOKUP($J342&amp;Q$14,'Mapping A'!$A$6:$G$1011,7,0)=1,$L342,""),0)</f>
        <v>28.961099999999998</v>
      </c>
      <c r="R342" s="15">
        <f>_xlfn.IFNA(IF(VLOOKUP($J342&amp;R$14,'Mapping A'!$A$6:$G$1011,7,0)=1,$L342,""),0)</f>
        <v>0</v>
      </c>
      <c r="S342" s="15">
        <f>_xlfn.IFNA(IF(VLOOKUP($J342&amp;S$14,'Mapping A'!$A$6:$G$1011,7,0)=1,$L342,""),0)</f>
        <v>0</v>
      </c>
      <c r="T342" s="15">
        <f>_xlfn.IFNA(IF(VLOOKUP($J342&amp;T$14,'Mapping A'!$A$6:$G$1011,7,0)=1,$L342,""),0)</f>
        <v>0</v>
      </c>
      <c r="U342" s="15">
        <f>_xlfn.IFNA(IF(VLOOKUP($J342&amp;U$14,'Mapping A'!$A$6:$G$1011,7,0)=1,$L342,""),0)</f>
        <v>0</v>
      </c>
      <c r="V342" s="15">
        <f>_xlfn.IFNA(IF(VLOOKUP($J342&amp;V$14,'Mapping A'!$A$6:$G$1011,7,0)=1,$L342,""),0)</f>
        <v>0</v>
      </c>
      <c r="W342" s="15">
        <f>_xlfn.IFNA(IF(VLOOKUP($J342&amp;W$14,'Mapping A'!$A$6:$G$1011,7,0)=1,$L342,""),0)</f>
        <v>0</v>
      </c>
      <c r="X342" s="15">
        <f>_xlfn.IFNA(IF(VLOOKUP($J342&amp;X$14,'Mapping A'!$A$6:$G$1011,7,0)=1,$L342,""),0)</f>
        <v>0</v>
      </c>
      <c r="Y342" s="15">
        <f>_xlfn.IFNA(IF(VLOOKUP($J342&amp;Y$14,'Mapping A'!$A$6:$G$1011,7,0)=1,$L342,""),0)</f>
        <v>0</v>
      </c>
      <c r="Z342" s="15">
        <f>_xlfn.IFNA(IF(VLOOKUP($J342&amp;Z$14,'Mapping A'!$A$6:$G$1011,7,0)=1,$L342,""),0)</f>
        <v>0</v>
      </c>
      <c r="AA342" s="15">
        <f>_xlfn.IFNA(IF(VLOOKUP($J342&amp;AA$14,'Mapping A'!$A$6:$G$1011,7,0)=1,$L342,""),0)</f>
        <v>0</v>
      </c>
      <c r="AF342" s="155" t="str">
        <f t="shared" si="109"/>
        <v>KAI0111Mainpower</v>
      </c>
      <c r="AG342" s="190" t="s">
        <v>227</v>
      </c>
      <c r="AH342" s="190" t="s">
        <v>12</v>
      </c>
      <c r="AI342" s="190">
        <f t="shared" si="115"/>
        <v>28.961099999999998</v>
      </c>
      <c r="AJ342" s="292" t="s">
        <v>96</v>
      </c>
      <c r="AK342" s="15"/>
      <c r="AL342" s="15">
        <f t="shared" si="110"/>
        <v>0</v>
      </c>
      <c r="AM342" s="15"/>
      <c r="AN342" s="15">
        <f t="shared" ca="1" si="111"/>
        <v>0</v>
      </c>
      <c r="AO342" s="15">
        <f t="shared" si="112"/>
        <v>0</v>
      </c>
      <c r="AP342" s="15">
        <f t="shared" si="113"/>
        <v>0</v>
      </c>
      <c r="AQ342" s="15"/>
      <c r="AR342" s="190">
        <f t="shared" si="116"/>
        <v>0</v>
      </c>
      <c r="AS342" s="15"/>
      <c r="AT342" s="190">
        <f t="shared" si="117"/>
        <v>0</v>
      </c>
      <c r="AU342" s="190">
        <f t="shared" si="118"/>
        <v>0</v>
      </c>
      <c r="AV342" s="190">
        <f t="shared" si="119"/>
        <v>0</v>
      </c>
      <c r="AW342" s="190">
        <f t="shared" si="120"/>
        <v>0</v>
      </c>
      <c r="AX342" s="190">
        <f t="shared" si="121"/>
        <v>0</v>
      </c>
      <c r="BP342" s="190"/>
    </row>
    <row r="343" spans="2:68" x14ac:dyDescent="0.25">
      <c r="B343" s="98" t="s">
        <v>552</v>
      </c>
      <c r="C343" s="98">
        <v>2014</v>
      </c>
      <c r="D343" s="98" t="s">
        <v>224</v>
      </c>
      <c r="E343" s="98" t="s">
        <v>101</v>
      </c>
      <c r="F343" s="98" t="s">
        <v>131</v>
      </c>
      <c r="G343" s="248">
        <v>97690.835466109595</v>
      </c>
      <c r="H343" s="299" t="str">
        <f>VLOOKUP(LEFT('Rev Adequacy'!D343,3),'Mapping B'!$D$2:$E$400,2,0)</f>
        <v>S</v>
      </c>
      <c r="I343" s="190"/>
      <c r="J343" s="15" t="s">
        <v>229</v>
      </c>
      <c r="K343" s="190" t="s">
        <v>11</v>
      </c>
      <c r="L343" s="190">
        <f t="shared" si="114"/>
        <v>18.704699999999999</v>
      </c>
      <c r="M343" s="15"/>
      <c r="N343" s="15"/>
      <c r="O343" s="15">
        <f>_xlfn.IFNA(IF(VLOOKUP($J343&amp;O$14,'Mapping A'!$A$6:$G$1011,7,0)=1,$L343,""),0)</f>
        <v>0</v>
      </c>
      <c r="P343" s="15">
        <f>_xlfn.IFNA(IF(VLOOKUP($J343&amp;P$14,'Mapping A'!$A$6:$G$1011,7,0)=1,$L343,""),0)</f>
        <v>0</v>
      </c>
      <c r="Q343" s="15">
        <f>_xlfn.IFNA(IF(VLOOKUP($J343&amp;Q$14,'Mapping A'!$A$6:$G$1011,7,0)=1,$L343,""),0)</f>
        <v>0</v>
      </c>
      <c r="R343" s="15">
        <f>_xlfn.IFNA(IF(VLOOKUP($J343&amp;R$14,'Mapping A'!$A$6:$G$1011,7,0)=1,$L343,""),0)</f>
        <v>0</v>
      </c>
      <c r="S343" s="15">
        <f>_xlfn.IFNA(IF(VLOOKUP($J343&amp;S$14,'Mapping A'!$A$6:$G$1011,7,0)=1,$L343,""),0)</f>
        <v>0</v>
      </c>
      <c r="T343" s="15">
        <f>_xlfn.IFNA(IF(VLOOKUP($J343&amp;T$14,'Mapping A'!$A$6:$G$1011,7,0)=1,$L343,""),0)</f>
        <v>18.704699999999999</v>
      </c>
      <c r="U343" s="15">
        <f>_xlfn.IFNA(IF(VLOOKUP($J343&amp;U$14,'Mapping A'!$A$6:$G$1011,7,0)=1,$L343,""),0)</f>
        <v>0</v>
      </c>
      <c r="V343" s="15">
        <f>_xlfn.IFNA(IF(VLOOKUP($J343&amp;V$14,'Mapping A'!$A$6:$G$1011,7,0)=1,$L343,""),0)</f>
        <v>0</v>
      </c>
      <c r="W343" s="15">
        <f>_xlfn.IFNA(IF(VLOOKUP($J343&amp;W$14,'Mapping A'!$A$6:$G$1011,7,0)=1,$L343,""),0)</f>
        <v>0</v>
      </c>
      <c r="X343" s="15">
        <f>_xlfn.IFNA(IF(VLOOKUP($J343&amp;X$14,'Mapping A'!$A$6:$G$1011,7,0)=1,$L343,""),0)</f>
        <v>0</v>
      </c>
      <c r="Y343" s="15">
        <f>_xlfn.IFNA(IF(VLOOKUP($J343&amp;Y$14,'Mapping A'!$A$6:$G$1011,7,0)=1,$L343,""),0)</f>
        <v>0</v>
      </c>
      <c r="Z343" s="15">
        <f>_xlfn.IFNA(IF(VLOOKUP($J343&amp;Z$14,'Mapping A'!$A$6:$G$1011,7,0)=1,$L343,""),0)</f>
        <v>0</v>
      </c>
      <c r="AA343" s="15">
        <f>_xlfn.IFNA(IF(VLOOKUP($J343&amp;AA$14,'Mapping A'!$A$6:$G$1011,7,0)=1,$L343,""),0)</f>
        <v>0</v>
      </c>
      <c r="AF343" s="155" t="str">
        <f t="shared" si="109"/>
        <v>KAW0111Horizon</v>
      </c>
      <c r="AG343" s="190" t="s">
        <v>229</v>
      </c>
      <c r="AH343" s="190" t="s">
        <v>11</v>
      </c>
      <c r="AI343" s="190">
        <f t="shared" si="115"/>
        <v>18.704699999999999</v>
      </c>
      <c r="AJ343" s="292" t="s">
        <v>95</v>
      </c>
      <c r="AK343" s="15"/>
      <c r="AL343" s="15">
        <f t="shared" si="110"/>
        <v>0</v>
      </c>
      <c r="AM343" s="15"/>
      <c r="AN343" s="15">
        <f t="shared" ca="1" si="111"/>
        <v>0</v>
      </c>
      <c r="AO343" s="15">
        <f t="shared" si="112"/>
        <v>0</v>
      </c>
      <c r="AP343" s="15">
        <f t="shared" si="113"/>
        <v>0</v>
      </c>
      <c r="AQ343" s="15"/>
      <c r="AR343" s="190">
        <f t="shared" si="116"/>
        <v>0</v>
      </c>
      <c r="AS343" s="15"/>
      <c r="AT343" s="190">
        <f t="shared" si="117"/>
        <v>0</v>
      </c>
      <c r="AU343" s="190">
        <f t="shared" si="118"/>
        <v>0</v>
      </c>
      <c r="AV343" s="190">
        <f t="shared" si="119"/>
        <v>0</v>
      </c>
      <c r="AW343" s="190">
        <f t="shared" si="120"/>
        <v>0</v>
      </c>
      <c r="AX343" s="190">
        <f t="shared" si="121"/>
        <v>0</v>
      </c>
      <c r="BP343" s="190"/>
    </row>
    <row r="344" spans="2:68" x14ac:dyDescent="0.25">
      <c r="B344" s="98" t="s">
        <v>553</v>
      </c>
      <c r="C344" s="98">
        <v>2014</v>
      </c>
      <c r="D344" s="98" t="s">
        <v>224</v>
      </c>
      <c r="E344" s="98" t="s">
        <v>101</v>
      </c>
      <c r="F344" s="98" t="s">
        <v>131</v>
      </c>
      <c r="G344" s="248">
        <v>82771.778127167301</v>
      </c>
      <c r="H344" s="299" t="str">
        <f>VLOOKUP(LEFT('Rev Adequacy'!D344,3),'Mapping B'!$D$2:$E$400,2,0)</f>
        <v>S</v>
      </c>
      <c r="I344" s="190"/>
      <c r="J344" s="15" t="s">
        <v>404</v>
      </c>
      <c r="K344" s="190" t="s">
        <v>22</v>
      </c>
      <c r="L344" s="190">
        <f t="shared" si="114"/>
        <v>36.357999999999997</v>
      </c>
      <c r="M344" s="15"/>
      <c r="N344" s="15"/>
      <c r="O344" s="15">
        <f>_xlfn.IFNA(IF(VLOOKUP($J344&amp;O$14,'Mapping A'!$A$6:$G$1011,7,0)=1,$L344,""),0)</f>
        <v>0</v>
      </c>
      <c r="P344" s="15">
        <f>_xlfn.IFNA(IF(VLOOKUP($J344&amp;P$14,'Mapping A'!$A$6:$G$1011,7,0)=1,$L344,""),0)</f>
        <v>0</v>
      </c>
      <c r="Q344" s="15">
        <f>_xlfn.IFNA(IF(VLOOKUP($J344&amp;Q$14,'Mapping A'!$A$6:$G$1011,7,0)=1,$L344,""),0)</f>
        <v>0</v>
      </c>
      <c r="R344" s="15">
        <f>_xlfn.IFNA(IF(VLOOKUP($J344&amp;R$14,'Mapping A'!$A$6:$G$1011,7,0)=1,$L344,""),0)</f>
        <v>0</v>
      </c>
      <c r="S344" s="15">
        <f>_xlfn.IFNA(IF(VLOOKUP($J344&amp;S$14,'Mapping A'!$A$6:$G$1011,7,0)=1,$L344,""),0)</f>
        <v>0</v>
      </c>
      <c r="T344" s="15">
        <f>_xlfn.IFNA(IF(VLOOKUP($J344&amp;T$14,'Mapping A'!$A$6:$G$1011,7,0)=1,$L344,""),0)</f>
        <v>36.357999999999997</v>
      </c>
      <c r="U344" s="15">
        <f>_xlfn.IFNA(IF(VLOOKUP($J344&amp;U$14,'Mapping A'!$A$6:$G$1011,7,0)=1,$L344,""),0)</f>
        <v>0</v>
      </c>
      <c r="V344" s="15">
        <f>_xlfn.IFNA(IF(VLOOKUP($J344&amp;V$14,'Mapping A'!$A$6:$G$1011,7,0)=1,$L344,""),0)</f>
        <v>0</v>
      </c>
      <c r="W344" s="15">
        <f>_xlfn.IFNA(IF(VLOOKUP($J344&amp;W$14,'Mapping A'!$A$6:$G$1011,7,0)=1,$L344,""),0)</f>
        <v>0</v>
      </c>
      <c r="X344" s="15">
        <f>_xlfn.IFNA(IF(VLOOKUP($J344&amp;X$14,'Mapping A'!$A$6:$G$1011,7,0)=1,$L344,""),0)</f>
        <v>0</v>
      </c>
      <c r="Y344" s="15">
        <f>_xlfn.IFNA(IF(VLOOKUP($J344&amp;Y$14,'Mapping A'!$A$6:$G$1011,7,0)=1,$L344,""),0)</f>
        <v>0</v>
      </c>
      <c r="Z344" s="15">
        <f>_xlfn.IFNA(IF(VLOOKUP($J344&amp;Z$14,'Mapping A'!$A$6:$G$1011,7,0)=1,$L344,""),0)</f>
        <v>0</v>
      </c>
      <c r="AA344" s="15">
        <f>_xlfn.IFNA(IF(VLOOKUP($J344&amp;AA$14,'Mapping A'!$A$6:$G$1011,7,0)=1,$L344,""),0)</f>
        <v>0</v>
      </c>
      <c r="AF344" s="155" t="str">
        <f t="shared" si="109"/>
        <v>KAW0112Norske Skog</v>
      </c>
      <c r="AG344" s="190" t="s">
        <v>404</v>
      </c>
      <c r="AH344" s="190" t="s">
        <v>22</v>
      </c>
      <c r="AI344" s="190">
        <f t="shared" si="115"/>
        <v>36.357999999999997</v>
      </c>
      <c r="AJ344" s="292" t="s">
        <v>95</v>
      </c>
      <c r="AK344" s="15"/>
      <c r="AL344" s="15">
        <f t="shared" si="110"/>
        <v>0</v>
      </c>
      <c r="AM344" s="15"/>
      <c r="AN344" s="15">
        <f t="shared" ca="1" si="111"/>
        <v>0</v>
      </c>
      <c r="AO344" s="15">
        <f t="shared" si="112"/>
        <v>0</v>
      </c>
      <c r="AP344" s="15">
        <f t="shared" si="113"/>
        <v>0</v>
      </c>
      <c r="AQ344" s="15"/>
      <c r="AR344" s="190">
        <f t="shared" si="116"/>
        <v>0</v>
      </c>
      <c r="AS344" s="15"/>
      <c r="AT344" s="190">
        <f t="shared" si="117"/>
        <v>0</v>
      </c>
      <c r="AU344" s="190">
        <f t="shared" si="118"/>
        <v>0</v>
      </c>
      <c r="AV344" s="190">
        <f t="shared" si="119"/>
        <v>0</v>
      </c>
      <c r="AW344" s="190">
        <f t="shared" si="120"/>
        <v>0</v>
      </c>
      <c r="AX344" s="190">
        <f t="shared" si="121"/>
        <v>0</v>
      </c>
      <c r="BP344" s="190"/>
    </row>
    <row r="345" spans="2:68" x14ac:dyDescent="0.25">
      <c r="B345" s="98" t="s">
        <v>554</v>
      </c>
      <c r="C345" s="98">
        <v>2014</v>
      </c>
      <c r="D345" s="98" t="s">
        <v>224</v>
      </c>
      <c r="E345" s="98" t="s">
        <v>101</v>
      </c>
      <c r="F345" s="98" t="s">
        <v>131</v>
      </c>
      <c r="G345" s="98">
        <v>29895.879887864201</v>
      </c>
      <c r="H345" s="299" t="str">
        <f>VLOOKUP(LEFT('Rev Adequacy'!D345,3),'Mapping B'!$D$2:$E$400,2,0)</f>
        <v>S</v>
      </c>
      <c r="I345" s="190"/>
      <c r="J345" s="15" t="s">
        <v>405</v>
      </c>
      <c r="K345" s="190" t="s">
        <v>22</v>
      </c>
      <c r="L345" s="190">
        <f t="shared" si="114"/>
        <v>77.611999999999995</v>
      </c>
      <c r="M345" s="15"/>
      <c r="N345" s="15"/>
      <c r="O345" s="15">
        <f>_xlfn.IFNA(IF(VLOOKUP($J345&amp;O$14,'Mapping A'!$A$6:$G$1011,7,0)=1,$L345,""),0)</f>
        <v>0</v>
      </c>
      <c r="P345" s="15">
        <f>_xlfn.IFNA(IF(VLOOKUP($J345&amp;P$14,'Mapping A'!$A$6:$G$1011,7,0)=1,$L345,""),0)</f>
        <v>0</v>
      </c>
      <c r="Q345" s="15">
        <f>_xlfn.IFNA(IF(VLOOKUP($J345&amp;Q$14,'Mapping A'!$A$6:$G$1011,7,0)=1,$L345,""),0)</f>
        <v>0</v>
      </c>
      <c r="R345" s="15">
        <f>_xlfn.IFNA(IF(VLOOKUP($J345&amp;R$14,'Mapping A'!$A$6:$G$1011,7,0)=1,$L345,""),0)</f>
        <v>0</v>
      </c>
      <c r="S345" s="15">
        <f>_xlfn.IFNA(IF(VLOOKUP($J345&amp;S$14,'Mapping A'!$A$6:$G$1011,7,0)=1,$L345,""),0)</f>
        <v>0</v>
      </c>
      <c r="T345" s="15">
        <f>_xlfn.IFNA(IF(VLOOKUP($J345&amp;T$14,'Mapping A'!$A$6:$G$1011,7,0)=1,$L345,""),0)</f>
        <v>77.611999999999995</v>
      </c>
      <c r="U345" s="15">
        <f>_xlfn.IFNA(IF(VLOOKUP($J345&amp;U$14,'Mapping A'!$A$6:$G$1011,7,0)=1,$L345,""),0)</f>
        <v>0</v>
      </c>
      <c r="V345" s="15">
        <f>_xlfn.IFNA(IF(VLOOKUP($J345&amp;V$14,'Mapping A'!$A$6:$G$1011,7,0)=1,$L345,""),0)</f>
        <v>0</v>
      </c>
      <c r="W345" s="15">
        <f>_xlfn.IFNA(IF(VLOOKUP($J345&amp;W$14,'Mapping A'!$A$6:$G$1011,7,0)=1,$L345,""),0)</f>
        <v>0</v>
      </c>
      <c r="X345" s="15">
        <f>_xlfn.IFNA(IF(VLOOKUP($J345&amp;X$14,'Mapping A'!$A$6:$G$1011,7,0)=1,$L345,""),0)</f>
        <v>0</v>
      </c>
      <c r="Y345" s="15">
        <f>_xlfn.IFNA(IF(VLOOKUP($J345&amp;Y$14,'Mapping A'!$A$6:$G$1011,7,0)=1,$L345,""),0)</f>
        <v>0</v>
      </c>
      <c r="Z345" s="15">
        <f>_xlfn.IFNA(IF(VLOOKUP($J345&amp;Z$14,'Mapping A'!$A$6:$G$1011,7,0)=1,$L345,""),0)</f>
        <v>0</v>
      </c>
      <c r="AA345" s="15">
        <f>_xlfn.IFNA(IF(VLOOKUP($J345&amp;AA$14,'Mapping A'!$A$6:$G$1011,7,0)=1,$L345,""),0)</f>
        <v>0</v>
      </c>
      <c r="AF345" s="155" t="str">
        <f t="shared" si="109"/>
        <v>KAW0113Norske Skog</v>
      </c>
      <c r="AG345" s="190" t="s">
        <v>405</v>
      </c>
      <c r="AH345" s="190" t="s">
        <v>22</v>
      </c>
      <c r="AI345" s="190">
        <f t="shared" si="115"/>
        <v>77.611999999999995</v>
      </c>
      <c r="AJ345" s="292" t="s">
        <v>95</v>
      </c>
      <c r="AK345" s="15"/>
      <c r="AL345" s="15">
        <f t="shared" si="110"/>
        <v>0</v>
      </c>
      <c r="AM345" s="15"/>
      <c r="AN345" s="15">
        <f t="shared" ca="1" si="111"/>
        <v>0</v>
      </c>
      <c r="AO345" s="15">
        <f t="shared" si="112"/>
        <v>0</v>
      </c>
      <c r="AP345" s="15">
        <f t="shared" si="113"/>
        <v>0</v>
      </c>
      <c r="AQ345" s="15"/>
      <c r="AR345" s="190">
        <f t="shared" si="116"/>
        <v>0</v>
      </c>
      <c r="AS345" s="15"/>
      <c r="AT345" s="190">
        <f t="shared" si="117"/>
        <v>0</v>
      </c>
      <c r="AU345" s="190">
        <f t="shared" si="118"/>
        <v>0</v>
      </c>
      <c r="AV345" s="190">
        <f t="shared" si="119"/>
        <v>0</v>
      </c>
      <c r="AW345" s="190">
        <f t="shared" si="120"/>
        <v>0</v>
      </c>
      <c r="AX345" s="190">
        <f t="shared" si="121"/>
        <v>0</v>
      </c>
      <c r="BP345" s="190"/>
    </row>
    <row r="346" spans="2:68" x14ac:dyDescent="0.25">
      <c r="B346" s="98" t="s">
        <v>563</v>
      </c>
      <c r="C346" s="98">
        <v>2014</v>
      </c>
      <c r="D346" s="98" t="s">
        <v>224</v>
      </c>
      <c r="E346" s="98" t="s">
        <v>101</v>
      </c>
      <c r="F346" s="98" t="s">
        <v>131</v>
      </c>
      <c r="G346" s="98">
        <v>441719.08877922699</v>
      </c>
      <c r="H346" s="299" t="str">
        <f>VLOOKUP(LEFT('Rev Adequacy'!D346,3),'Mapping B'!$D$2:$E$400,2,0)</f>
        <v>S</v>
      </c>
      <c r="I346" s="190"/>
      <c r="J346" s="15" t="s">
        <v>406</v>
      </c>
      <c r="K346" s="190" t="s">
        <v>53</v>
      </c>
      <c r="L346" s="190">
        <f t="shared" si="114"/>
        <v>0</v>
      </c>
      <c r="M346" s="15"/>
      <c r="N346" s="15"/>
      <c r="O346" s="15">
        <f>_xlfn.IFNA(IF(VLOOKUP($J346&amp;O$14,'Mapping A'!$A$6:$G$1011,7,0)=1,$L346,""),0)</f>
        <v>0</v>
      </c>
      <c r="P346" s="15">
        <f>_xlfn.IFNA(IF(VLOOKUP($J346&amp;P$14,'Mapping A'!$A$6:$G$1011,7,0)=1,$L346,""),0)</f>
        <v>0</v>
      </c>
      <c r="Q346" s="15">
        <f>_xlfn.IFNA(IF(VLOOKUP($J346&amp;Q$14,'Mapping A'!$A$6:$G$1011,7,0)=1,$L346,""),0)</f>
        <v>0</v>
      </c>
      <c r="R346" s="15">
        <f>_xlfn.IFNA(IF(VLOOKUP($J346&amp;R$14,'Mapping A'!$A$6:$G$1011,7,0)=1,$L346,""),0)</f>
        <v>0</v>
      </c>
      <c r="S346" s="15">
        <f>_xlfn.IFNA(IF(VLOOKUP($J346&amp;S$14,'Mapping A'!$A$6:$G$1011,7,0)=1,$L346,""),0)</f>
        <v>0</v>
      </c>
      <c r="T346" s="15">
        <f>_xlfn.IFNA(IF(VLOOKUP($J346&amp;T$14,'Mapping A'!$A$6:$G$1011,7,0)=1,$L346,""),0)</f>
        <v>0</v>
      </c>
      <c r="U346" s="15">
        <f>_xlfn.IFNA(IF(VLOOKUP($J346&amp;U$14,'Mapping A'!$A$6:$G$1011,7,0)=1,$L346,""),0)</f>
        <v>0</v>
      </c>
      <c r="V346" s="15">
        <f>_xlfn.IFNA(IF(VLOOKUP($J346&amp;V$14,'Mapping A'!$A$6:$G$1011,7,0)=1,$L346,""),0)</f>
        <v>0</v>
      </c>
      <c r="W346" s="15">
        <f>_xlfn.IFNA(IF(VLOOKUP($J346&amp;W$14,'Mapping A'!$A$6:$G$1011,7,0)=1,$L346,""),0)</f>
        <v>0</v>
      </c>
      <c r="X346" s="15">
        <f>_xlfn.IFNA(IF(VLOOKUP($J346&amp;X$14,'Mapping A'!$A$6:$G$1011,7,0)=1,$L346,""),0)</f>
        <v>0</v>
      </c>
      <c r="Y346" s="15">
        <f>_xlfn.IFNA(IF(VLOOKUP($J346&amp;Y$14,'Mapping A'!$A$6:$G$1011,7,0)=1,$L346,""),0)</f>
        <v>0</v>
      </c>
      <c r="Z346" s="15">
        <f>_xlfn.IFNA(IF(VLOOKUP($J346&amp;Z$14,'Mapping A'!$A$6:$G$1011,7,0)=1,$L346,""),0)</f>
        <v>0</v>
      </c>
      <c r="AA346" s="15">
        <f>_xlfn.IFNA(IF(VLOOKUP($J346&amp;AA$14,'Mapping A'!$A$6:$G$1011,7,0)=1,$L346,""),0)</f>
        <v>0</v>
      </c>
      <c r="AF346" s="155" t="str">
        <f t="shared" si="109"/>
        <v>KAW1101Other</v>
      </c>
      <c r="AG346" s="190" t="s">
        <v>406</v>
      </c>
      <c r="AH346" s="190" t="s">
        <v>53</v>
      </c>
      <c r="AI346" s="190">
        <f t="shared" si="115"/>
        <v>0</v>
      </c>
      <c r="AJ346" s="292" t="s">
        <v>95</v>
      </c>
      <c r="AK346" s="15"/>
      <c r="AL346" s="15">
        <f t="shared" si="110"/>
        <v>0</v>
      </c>
      <c r="AM346" s="15"/>
      <c r="AN346" s="15">
        <f t="shared" ca="1" si="111"/>
        <v>0</v>
      </c>
      <c r="AO346" s="15">
        <f t="shared" si="112"/>
        <v>0</v>
      </c>
      <c r="AP346" s="15">
        <f t="shared" si="113"/>
        <v>0</v>
      </c>
      <c r="AQ346" s="15"/>
      <c r="AR346" s="190">
        <f t="shared" si="116"/>
        <v>0</v>
      </c>
      <c r="AS346" s="15"/>
      <c r="AT346" s="190">
        <f t="shared" si="117"/>
        <v>0</v>
      </c>
      <c r="AU346" s="190">
        <f t="shared" si="118"/>
        <v>0</v>
      </c>
      <c r="AV346" s="190">
        <f t="shared" si="119"/>
        <v>0</v>
      </c>
      <c r="AW346" s="190">
        <f t="shared" si="120"/>
        <v>0</v>
      </c>
      <c r="AX346" s="190">
        <f t="shared" si="121"/>
        <v>0</v>
      </c>
      <c r="BP346" s="190"/>
    </row>
    <row r="347" spans="2:68" x14ac:dyDescent="0.25">
      <c r="B347" s="98" t="s">
        <v>555</v>
      </c>
      <c r="C347" s="98">
        <v>2014</v>
      </c>
      <c r="D347" s="98" t="s">
        <v>224</v>
      </c>
      <c r="E347" s="98" t="s">
        <v>101</v>
      </c>
      <c r="F347" s="98" t="s">
        <v>131</v>
      </c>
      <c r="G347" s="98">
        <v>198488.014366224</v>
      </c>
      <c r="H347" s="299" t="str">
        <f>VLOOKUP(LEFT('Rev Adequacy'!D347,3),'Mapping B'!$D$2:$E$400,2,0)</f>
        <v>S</v>
      </c>
      <c r="I347" s="190"/>
      <c r="J347" s="15" t="s">
        <v>230</v>
      </c>
      <c r="K347" s="190" t="s">
        <v>25</v>
      </c>
      <c r="L347" s="190">
        <f t="shared" si="114"/>
        <v>12.940200000000001</v>
      </c>
      <c r="M347" s="15"/>
      <c r="N347" s="15"/>
      <c r="O347" s="15">
        <f>_xlfn.IFNA(IF(VLOOKUP($J347&amp;O$14,'Mapping A'!$A$6:$G$1011,7,0)=1,$L347,""),0)</f>
        <v>0</v>
      </c>
      <c r="P347" s="15">
        <f>_xlfn.IFNA(IF(VLOOKUP($J347&amp;P$14,'Mapping A'!$A$6:$G$1011,7,0)=1,$L347,""),0)</f>
        <v>0</v>
      </c>
      <c r="Q347" s="15">
        <f>_xlfn.IFNA(IF(VLOOKUP($J347&amp;Q$14,'Mapping A'!$A$6:$G$1011,7,0)=1,$L347,""),0)</f>
        <v>12.940200000000001</v>
      </c>
      <c r="R347" s="15">
        <f>_xlfn.IFNA(IF(VLOOKUP($J347&amp;R$14,'Mapping A'!$A$6:$G$1011,7,0)=1,$L347,""),0)</f>
        <v>0</v>
      </c>
      <c r="S347" s="15">
        <f>_xlfn.IFNA(IF(VLOOKUP($J347&amp;S$14,'Mapping A'!$A$6:$G$1011,7,0)=1,$L347,""),0)</f>
        <v>0</v>
      </c>
      <c r="T347" s="15">
        <f>_xlfn.IFNA(IF(VLOOKUP($J347&amp;T$14,'Mapping A'!$A$6:$G$1011,7,0)=1,$L347,""),0)</f>
        <v>0</v>
      </c>
      <c r="U347" s="15">
        <f>_xlfn.IFNA(IF(VLOOKUP($J347&amp;U$14,'Mapping A'!$A$6:$G$1011,7,0)=1,$L347,""),0)</f>
        <v>0</v>
      </c>
      <c r="V347" s="15">
        <f>_xlfn.IFNA(IF(VLOOKUP($J347&amp;V$14,'Mapping A'!$A$6:$G$1011,7,0)=1,$L347,""),0)</f>
        <v>0</v>
      </c>
      <c r="W347" s="15">
        <f>_xlfn.IFNA(IF(VLOOKUP($J347&amp;W$14,'Mapping A'!$A$6:$G$1011,7,0)=1,$L347,""),0)</f>
        <v>0</v>
      </c>
      <c r="X347" s="15">
        <f>_xlfn.IFNA(IF(VLOOKUP($J347&amp;X$14,'Mapping A'!$A$6:$G$1011,7,0)=1,$L347,""),0)</f>
        <v>0</v>
      </c>
      <c r="Y347" s="15">
        <f>_xlfn.IFNA(IF(VLOOKUP($J347&amp;Y$14,'Mapping A'!$A$6:$G$1011,7,0)=1,$L347,""),0)</f>
        <v>0</v>
      </c>
      <c r="Z347" s="15">
        <f>_xlfn.IFNA(IF(VLOOKUP($J347&amp;Z$14,'Mapping A'!$A$6:$G$1011,7,0)=1,$L347,""),0)</f>
        <v>0</v>
      </c>
      <c r="AA347" s="15">
        <f>_xlfn.IFNA(IF(VLOOKUP($J347&amp;AA$14,'Mapping A'!$A$6:$G$1011,7,0)=1,$L347,""),0)</f>
        <v>0</v>
      </c>
      <c r="AF347" s="155" t="str">
        <f t="shared" si="109"/>
        <v>KBY0661Orion</v>
      </c>
      <c r="AG347" s="190" t="s">
        <v>230</v>
      </c>
      <c r="AH347" s="190" t="s">
        <v>25</v>
      </c>
      <c r="AI347" s="190">
        <f t="shared" si="115"/>
        <v>12.940200000000001</v>
      </c>
      <c r="AJ347" s="292" t="s">
        <v>96</v>
      </c>
      <c r="AK347" s="15"/>
      <c r="AL347" s="15">
        <f t="shared" si="110"/>
        <v>0</v>
      </c>
      <c r="AM347" s="15"/>
      <c r="AN347" s="15">
        <f t="shared" ca="1" si="111"/>
        <v>0</v>
      </c>
      <c r="AO347" s="15">
        <f t="shared" si="112"/>
        <v>0</v>
      </c>
      <c r="AP347" s="15">
        <f t="shared" si="113"/>
        <v>0</v>
      </c>
      <c r="AQ347" s="15"/>
      <c r="AR347" s="190">
        <f t="shared" si="116"/>
        <v>0</v>
      </c>
      <c r="AS347" s="15"/>
      <c r="AT347" s="190">
        <f t="shared" si="117"/>
        <v>0</v>
      </c>
      <c r="AU347" s="190">
        <f t="shared" si="118"/>
        <v>0</v>
      </c>
      <c r="AV347" s="190">
        <f t="shared" si="119"/>
        <v>0</v>
      </c>
      <c r="AW347" s="190">
        <f t="shared" si="120"/>
        <v>0</v>
      </c>
      <c r="AX347" s="190">
        <f t="shared" si="121"/>
        <v>0</v>
      </c>
      <c r="BP347" s="190"/>
    </row>
    <row r="348" spans="2:68" x14ac:dyDescent="0.25">
      <c r="B348" s="98" t="s">
        <v>112</v>
      </c>
      <c r="C348" s="98">
        <v>2014</v>
      </c>
      <c r="D348" s="98" t="s">
        <v>224</v>
      </c>
      <c r="E348" s="98" t="s">
        <v>101</v>
      </c>
      <c r="F348" s="98" t="s">
        <v>131</v>
      </c>
      <c r="G348" s="98">
        <v>0</v>
      </c>
      <c r="H348" s="299" t="str">
        <f>VLOOKUP(LEFT('Rev Adequacy'!D348,3),'Mapping B'!$D$2:$E$400,2,0)</f>
        <v>S</v>
      </c>
      <c r="I348" s="190"/>
      <c r="J348" s="15" t="s">
        <v>231</v>
      </c>
      <c r="K348" s="190" t="s">
        <v>25</v>
      </c>
      <c r="L348" s="190">
        <f t="shared" si="114"/>
        <v>7.4823000000000004</v>
      </c>
      <c r="M348" s="15"/>
      <c r="N348" s="15"/>
      <c r="O348" s="15">
        <f>_xlfn.IFNA(IF(VLOOKUP($J348&amp;O$14,'Mapping A'!$A$6:$G$1011,7,0)=1,$L348,""),0)</f>
        <v>0</v>
      </c>
      <c r="P348" s="15">
        <f>_xlfn.IFNA(IF(VLOOKUP($J348&amp;P$14,'Mapping A'!$A$6:$G$1011,7,0)=1,$L348,""),0)</f>
        <v>0</v>
      </c>
      <c r="Q348" s="15">
        <f>_xlfn.IFNA(IF(VLOOKUP($J348&amp;Q$14,'Mapping A'!$A$6:$G$1011,7,0)=1,$L348,""),0)</f>
        <v>7.4823000000000004</v>
      </c>
      <c r="R348" s="15">
        <f>_xlfn.IFNA(IF(VLOOKUP($J348&amp;R$14,'Mapping A'!$A$6:$G$1011,7,0)=1,$L348,""),0)</f>
        <v>0</v>
      </c>
      <c r="S348" s="15">
        <f>_xlfn.IFNA(IF(VLOOKUP($J348&amp;S$14,'Mapping A'!$A$6:$G$1011,7,0)=1,$L348,""),0)</f>
        <v>0</v>
      </c>
      <c r="T348" s="15">
        <f>_xlfn.IFNA(IF(VLOOKUP($J348&amp;T$14,'Mapping A'!$A$6:$G$1011,7,0)=1,$L348,""),0)</f>
        <v>0</v>
      </c>
      <c r="U348" s="15">
        <f>_xlfn.IFNA(IF(VLOOKUP($J348&amp;U$14,'Mapping A'!$A$6:$G$1011,7,0)=1,$L348,""),0)</f>
        <v>0</v>
      </c>
      <c r="V348" s="15">
        <f>_xlfn.IFNA(IF(VLOOKUP($J348&amp;V$14,'Mapping A'!$A$6:$G$1011,7,0)=1,$L348,""),0)</f>
        <v>0</v>
      </c>
      <c r="W348" s="15">
        <f>_xlfn.IFNA(IF(VLOOKUP($J348&amp;W$14,'Mapping A'!$A$6:$G$1011,7,0)=1,$L348,""),0)</f>
        <v>0</v>
      </c>
      <c r="X348" s="15">
        <f>_xlfn.IFNA(IF(VLOOKUP($J348&amp;X$14,'Mapping A'!$A$6:$G$1011,7,0)=1,$L348,""),0)</f>
        <v>0</v>
      </c>
      <c r="Y348" s="15">
        <f>_xlfn.IFNA(IF(VLOOKUP($J348&amp;Y$14,'Mapping A'!$A$6:$G$1011,7,0)=1,$L348,""),0)</f>
        <v>0</v>
      </c>
      <c r="Z348" s="15">
        <f>_xlfn.IFNA(IF(VLOOKUP($J348&amp;Z$14,'Mapping A'!$A$6:$G$1011,7,0)=1,$L348,""),0)</f>
        <v>0</v>
      </c>
      <c r="AA348" s="15">
        <f>_xlfn.IFNA(IF(VLOOKUP($J348&amp;AA$14,'Mapping A'!$A$6:$G$1011,7,0)=1,$L348,""),0)</f>
        <v>0</v>
      </c>
      <c r="AF348" s="155" t="str">
        <f t="shared" si="109"/>
        <v>KBY0662Orion</v>
      </c>
      <c r="AG348" s="190" t="s">
        <v>231</v>
      </c>
      <c r="AH348" s="190" t="s">
        <v>25</v>
      </c>
      <c r="AI348" s="190">
        <f t="shared" si="115"/>
        <v>7.4823000000000004</v>
      </c>
      <c r="AJ348" s="292" t="s">
        <v>96</v>
      </c>
      <c r="AK348" s="15"/>
      <c r="AL348" s="15">
        <f t="shared" si="110"/>
        <v>0</v>
      </c>
      <c r="AM348" s="15"/>
      <c r="AN348" s="15">
        <f t="shared" ca="1" si="111"/>
        <v>0</v>
      </c>
      <c r="AO348" s="15">
        <f t="shared" si="112"/>
        <v>0</v>
      </c>
      <c r="AP348" s="15">
        <f t="shared" si="113"/>
        <v>0</v>
      </c>
      <c r="AQ348" s="15"/>
      <c r="AR348" s="190">
        <f t="shared" si="116"/>
        <v>0</v>
      </c>
      <c r="AS348" s="15"/>
      <c r="AT348" s="190">
        <f t="shared" si="117"/>
        <v>0</v>
      </c>
      <c r="AU348" s="190">
        <f t="shared" si="118"/>
        <v>0</v>
      </c>
      <c r="AV348" s="190">
        <f t="shared" si="119"/>
        <v>0</v>
      </c>
      <c r="AW348" s="190">
        <f t="shared" si="120"/>
        <v>0</v>
      </c>
      <c r="AX348" s="190">
        <f t="shared" si="121"/>
        <v>0</v>
      </c>
      <c r="BP348" s="190"/>
    </row>
    <row r="349" spans="2:68" x14ac:dyDescent="0.25">
      <c r="B349" s="98" t="s">
        <v>111</v>
      </c>
      <c r="C349" s="98">
        <v>2014</v>
      </c>
      <c r="D349" s="98" t="s">
        <v>224</v>
      </c>
      <c r="E349" s="98" t="s">
        <v>101</v>
      </c>
      <c r="F349" s="98" t="s">
        <v>131</v>
      </c>
      <c r="G349" s="98">
        <v>0</v>
      </c>
      <c r="H349" s="299" t="str">
        <f>VLOOKUP(LEFT('Rev Adequacy'!D349,3),'Mapping B'!$D$2:$E$400,2,0)</f>
        <v>S</v>
      </c>
      <c r="I349" s="190"/>
      <c r="J349" s="15" t="s">
        <v>232</v>
      </c>
      <c r="K349" s="190" t="s">
        <v>19</v>
      </c>
      <c r="L349" s="190">
        <f t="shared" si="114"/>
        <v>3.2885999999999997</v>
      </c>
      <c r="M349" s="15"/>
      <c r="N349" s="15"/>
      <c r="O349" s="15">
        <f>_xlfn.IFNA(IF(VLOOKUP($J349&amp;O$14,'Mapping A'!$A$6:$G$1011,7,0)=1,$L349,""),0)</f>
        <v>0</v>
      </c>
      <c r="P349" s="15">
        <f>_xlfn.IFNA(IF(VLOOKUP($J349&amp;P$14,'Mapping A'!$A$6:$G$1011,7,0)=1,$L349,""),0)</f>
        <v>0</v>
      </c>
      <c r="Q349" s="15">
        <f>_xlfn.IFNA(IF(VLOOKUP($J349&amp;Q$14,'Mapping A'!$A$6:$G$1011,7,0)=1,$L349,""),0)</f>
        <v>3.2885999999999997</v>
      </c>
      <c r="R349" s="15">
        <f>_xlfn.IFNA(IF(VLOOKUP($J349&amp;R$14,'Mapping A'!$A$6:$G$1011,7,0)=1,$L349,""),0)</f>
        <v>0</v>
      </c>
      <c r="S349" s="15">
        <f>_xlfn.IFNA(IF(VLOOKUP($J349&amp;S$14,'Mapping A'!$A$6:$G$1011,7,0)=1,$L349,""),0)</f>
        <v>0</v>
      </c>
      <c r="T349" s="15">
        <f>_xlfn.IFNA(IF(VLOOKUP($J349&amp;T$14,'Mapping A'!$A$6:$G$1011,7,0)=1,$L349,""),0)</f>
        <v>0</v>
      </c>
      <c r="U349" s="15">
        <f>_xlfn.IFNA(IF(VLOOKUP($J349&amp;U$14,'Mapping A'!$A$6:$G$1011,7,0)=1,$L349,""),0)</f>
        <v>0</v>
      </c>
      <c r="V349" s="15">
        <f>_xlfn.IFNA(IF(VLOOKUP($J349&amp;V$14,'Mapping A'!$A$6:$G$1011,7,0)=1,$L349,""),0)</f>
        <v>0</v>
      </c>
      <c r="W349" s="15">
        <f>_xlfn.IFNA(IF(VLOOKUP($J349&amp;W$14,'Mapping A'!$A$6:$G$1011,7,0)=1,$L349,""),0)</f>
        <v>0</v>
      </c>
      <c r="X349" s="15">
        <f>_xlfn.IFNA(IF(VLOOKUP($J349&amp;X$14,'Mapping A'!$A$6:$G$1011,7,0)=1,$L349,""),0)</f>
        <v>0</v>
      </c>
      <c r="Y349" s="15">
        <f>_xlfn.IFNA(IF(VLOOKUP($J349&amp;Y$14,'Mapping A'!$A$6:$G$1011,7,0)=1,$L349,""),0)</f>
        <v>0</v>
      </c>
      <c r="Z349" s="15">
        <f>_xlfn.IFNA(IF(VLOOKUP($J349&amp;Z$14,'Mapping A'!$A$6:$G$1011,7,0)=1,$L349,""),0)</f>
        <v>0</v>
      </c>
      <c r="AA349" s="15">
        <f>_xlfn.IFNA(IF(VLOOKUP($J349&amp;AA$14,'Mapping A'!$A$6:$G$1011,7,0)=1,$L349,""),0)</f>
        <v>0</v>
      </c>
      <c r="AF349" s="155" t="str">
        <f t="shared" ref="AF349:AF412" si="122">AG349&amp;AH349</f>
        <v>KIK0111Network Tasman</v>
      </c>
      <c r="AG349" s="190" t="s">
        <v>232</v>
      </c>
      <c r="AH349" s="190" t="s">
        <v>19</v>
      </c>
      <c r="AI349" s="190">
        <f t="shared" si="115"/>
        <v>3.2885999999999997</v>
      </c>
      <c r="AJ349" s="292" t="s">
        <v>96</v>
      </c>
      <c r="AK349" s="15"/>
      <c r="AL349" s="15">
        <f t="shared" si="110"/>
        <v>0</v>
      </c>
      <c r="AM349" s="15"/>
      <c r="AN349" s="15">
        <f t="shared" ca="1" si="111"/>
        <v>0</v>
      </c>
      <c r="AO349" s="15">
        <f t="shared" si="112"/>
        <v>0</v>
      </c>
      <c r="AP349" s="15">
        <f t="shared" si="113"/>
        <v>0</v>
      </c>
      <c r="AQ349" s="15"/>
      <c r="AR349" s="190">
        <f t="shared" si="116"/>
        <v>0</v>
      </c>
      <c r="AS349" s="15"/>
      <c r="AT349" s="190">
        <f t="shared" si="117"/>
        <v>0</v>
      </c>
      <c r="AU349" s="190">
        <f t="shared" si="118"/>
        <v>0</v>
      </c>
      <c r="AV349" s="190">
        <f t="shared" si="119"/>
        <v>0</v>
      </c>
      <c r="AW349" s="190">
        <f t="shared" si="120"/>
        <v>0</v>
      </c>
      <c r="AX349" s="190">
        <f t="shared" si="121"/>
        <v>0</v>
      </c>
      <c r="BP349" s="190"/>
    </row>
    <row r="350" spans="2:68" x14ac:dyDescent="0.25">
      <c r="B350" s="98" t="s">
        <v>552</v>
      </c>
      <c r="C350" s="98">
        <v>2014</v>
      </c>
      <c r="D350" s="98" t="s">
        <v>218</v>
      </c>
      <c r="E350" s="98" t="s">
        <v>49</v>
      </c>
      <c r="F350" s="98" t="s">
        <v>136</v>
      </c>
      <c r="G350" s="248">
        <v>0</v>
      </c>
      <c r="H350" s="299" t="str">
        <f>VLOOKUP(LEFT('Rev Adequacy'!D350,3),'Mapping B'!$D$2:$E$400,2,0)</f>
        <v>N</v>
      </c>
      <c r="I350" s="190"/>
      <c r="J350" s="15" t="s">
        <v>408</v>
      </c>
      <c r="K350" s="190" t="s">
        <v>3</v>
      </c>
      <c r="L350" s="190">
        <f t="shared" si="114"/>
        <v>49.295400000000001</v>
      </c>
      <c r="M350" s="15"/>
      <c r="N350" s="15"/>
      <c r="O350" s="15">
        <f>_xlfn.IFNA(IF(VLOOKUP($J350&amp;O$14,'Mapping A'!$A$6:$G$1011,7,0)=1,$L350,""),0)</f>
        <v>0</v>
      </c>
      <c r="P350" s="15">
        <f>_xlfn.IFNA(IF(VLOOKUP($J350&amp;P$14,'Mapping A'!$A$6:$G$1011,7,0)=1,$L350,""),0)</f>
        <v>0</v>
      </c>
      <c r="Q350" s="15">
        <f>_xlfn.IFNA(IF(VLOOKUP($J350&amp;Q$14,'Mapping A'!$A$6:$G$1011,7,0)=1,$L350,""),0)</f>
        <v>0</v>
      </c>
      <c r="R350" s="15">
        <f>_xlfn.IFNA(IF(VLOOKUP($J350&amp;R$14,'Mapping A'!$A$6:$G$1011,7,0)=1,$L350,""),0)</f>
        <v>0</v>
      </c>
      <c r="S350" s="15">
        <f>_xlfn.IFNA(IF(VLOOKUP($J350&amp;S$14,'Mapping A'!$A$6:$G$1011,7,0)=1,$L350,""),0)</f>
        <v>0</v>
      </c>
      <c r="T350" s="15">
        <f>_xlfn.IFNA(IF(VLOOKUP($J350&amp;T$14,'Mapping A'!$A$6:$G$1011,7,0)=1,$L350,""),0)</f>
        <v>49.295400000000001</v>
      </c>
      <c r="U350" s="15">
        <f>_xlfn.IFNA(IF(VLOOKUP($J350&amp;U$14,'Mapping A'!$A$6:$G$1011,7,0)=1,$L350,""),0)</f>
        <v>0</v>
      </c>
      <c r="V350" s="15">
        <f>_xlfn.IFNA(IF(VLOOKUP($J350&amp;V$14,'Mapping A'!$A$6:$G$1011,7,0)=1,$L350,""),0)</f>
        <v>0</v>
      </c>
      <c r="W350" s="15">
        <f>_xlfn.IFNA(IF(VLOOKUP($J350&amp;W$14,'Mapping A'!$A$6:$G$1011,7,0)=1,$L350,""),0)</f>
        <v>0</v>
      </c>
      <c r="X350" s="15">
        <f>_xlfn.IFNA(IF(VLOOKUP($J350&amp;X$14,'Mapping A'!$A$6:$G$1011,7,0)=1,$L350,""),0)</f>
        <v>0</v>
      </c>
      <c r="Y350" s="15">
        <f>_xlfn.IFNA(IF(VLOOKUP($J350&amp;Y$14,'Mapping A'!$A$6:$G$1011,7,0)=1,$L350,""),0)</f>
        <v>0</v>
      </c>
      <c r="Z350" s="15">
        <f>_xlfn.IFNA(IF(VLOOKUP($J350&amp;Z$14,'Mapping A'!$A$6:$G$1011,7,0)=1,$L350,""),0)</f>
        <v>0</v>
      </c>
      <c r="AA350" s="15">
        <f>_xlfn.IFNA(IF(VLOOKUP($J350&amp;AA$14,'Mapping A'!$A$6:$G$1011,7,0)=1,$L350,""),0)</f>
        <v>0</v>
      </c>
      <c r="AF350" s="155" t="str">
        <f t="shared" si="122"/>
        <v>KIN0111CHH</v>
      </c>
      <c r="AG350" s="190" t="s">
        <v>408</v>
      </c>
      <c r="AH350" s="190" t="s">
        <v>3</v>
      </c>
      <c r="AI350" s="190">
        <f t="shared" si="115"/>
        <v>49.295400000000001</v>
      </c>
      <c r="AJ350" s="292" t="s">
        <v>95</v>
      </c>
      <c r="AK350" s="15"/>
      <c r="AL350" s="15">
        <f t="shared" si="110"/>
        <v>0</v>
      </c>
      <c r="AM350" s="15"/>
      <c r="AN350" s="15">
        <f t="shared" ca="1" si="111"/>
        <v>0</v>
      </c>
      <c r="AO350" s="15">
        <f t="shared" si="112"/>
        <v>0</v>
      </c>
      <c r="AP350" s="15">
        <f t="shared" si="113"/>
        <v>0</v>
      </c>
      <c r="AQ350" s="15"/>
      <c r="AR350" s="190">
        <f t="shared" si="116"/>
        <v>0</v>
      </c>
      <c r="AS350" s="15"/>
      <c r="AT350" s="190">
        <f t="shared" si="117"/>
        <v>0</v>
      </c>
      <c r="AU350" s="190">
        <f t="shared" si="118"/>
        <v>0</v>
      </c>
      <c r="AV350" s="190">
        <f t="shared" si="119"/>
        <v>0</v>
      </c>
      <c r="AW350" s="190">
        <f t="shared" si="120"/>
        <v>0</v>
      </c>
      <c r="AX350" s="190">
        <f t="shared" si="121"/>
        <v>0</v>
      </c>
      <c r="BP350" s="190"/>
    </row>
    <row r="351" spans="2:68" x14ac:dyDescent="0.25">
      <c r="B351" s="98" t="s">
        <v>552</v>
      </c>
      <c r="C351" s="98">
        <v>2014</v>
      </c>
      <c r="D351" s="98" t="s">
        <v>219</v>
      </c>
      <c r="E351" s="98" t="s">
        <v>49</v>
      </c>
      <c r="F351" s="98" t="s">
        <v>136</v>
      </c>
      <c r="G351" s="248">
        <v>0</v>
      </c>
      <c r="H351" s="299" t="str">
        <f>VLOOKUP(LEFT('Rev Adequacy'!D351,3),'Mapping B'!$D$2:$E$400,2,0)</f>
        <v>N</v>
      </c>
      <c r="I351" s="190"/>
      <c r="J351" s="15" t="s">
        <v>409</v>
      </c>
      <c r="K351" s="190" t="s">
        <v>3</v>
      </c>
      <c r="L351" s="190">
        <f t="shared" si="114"/>
        <v>19.436000823974599</v>
      </c>
      <c r="M351" s="15"/>
      <c r="N351" s="15"/>
      <c r="O351" s="15">
        <f>_xlfn.IFNA(IF(VLOOKUP($J351&amp;O$14,'Mapping A'!$A$6:$G$1011,7,0)=1,$L351,""),0)</f>
        <v>0</v>
      </c>
      <c r="P351" s="15">
        <f>_xlfn.IFNA(IF(VLOOKUP($J351&amp;P$14,'Mapping A'!$A$6:$G$1011,7,0)=1,$L351,""),0)</f>
        <v>0</v>
      </c>
      <c r="Q351" s="15">
        <f>_xlfn.IFNA(IF(VLOOKUP($J351&amp;Q$14,'Mapping A'!$A$6:$G$1011,7,0)=1,$L351,""),0)</f>
        <v>0</v>
      </c>
      <c r="R351" s="15">
        <f>_xlfn.IFNA(IF(VLOOKUP($J351&amp;R$14,'Mapping A'!$A$6:$G$1011,7,0)=1,$L351,""),0)</f>
        <v>0</v>
      </c>
      <c r="S351" s="15">
        <f>_xlfn.IFNA(IF(VLOOKUP($J351&amp;S$14,'Mapping A'!$A$6:$G$1011,7,0)=1,$L351,""),0)</f>
        <v>0</v>
      </c>
      <c r="T351" s="15">
        <f>_xlfn.IFNA(IF(VLOOKUP($J351&amp;T$14,'Mapping A'!$A$6:$G$1011,7,0)=1,$L351,""),0)</f>
        <v>19.436000823974599</v>
      </c>
      <c r="U351" s="15">
        <f>_xlfn.IFNA(IF(VLOOKUP($J351&amp;U$14,'Mapping A'!$A$6:$G$1011,7,0)=1,$L351,""),0)</f>
        <v>0</v>
      </c>
      <c r="V351" s="15">
        <f>_xlfn.IFNA(IF(VLOOKUP($J351&amp;V$14,'Mapping A'!$A$6:$G$1011,7,0)=1,$L351,""),0)</f>
        <v>0</v>
      </c>
      <c r="W351" s="15">
        <f>_xlfn.IFNA(IF(VLOOKUP($J351&amp;W$14,'Mapping A'!$A$6:$G$1011,7,0)=1,$L351,""),0)</f>
        <v>0</v>
      </c>
      <c r="X351" s="15">
        <f>_xlfn.IFNA(IF(VLOOKUP($J351&amp;X$14,'Mapping A'!$A$6:$G$1011,7,0)=1,$L351,""),0)</f>
        <v>0</v>
      </c>
      <c r="Y351" s="15">
        <f>_xlfn.IFNA(IF(VLOOKUP($J351&amp;Y$14,'Mapping A'!$A$6:$G$1011,7,0)=1,$L351,""),0)</f>
        <v>0</v>
      </c>
      <c r="Z351" s="15">
        <f>_xlfn.IFNA(IF(VLOOKUP($J351&amp;Z$14,'Mapping A'!$A$6:$G$1011,7,0)=1,$L351,""),0)</f>
        <v>0</v>
      </c>
      <c r="AA351" s="15">
        <f>_xlfn.IFNA(IF(VLOOKUP($J351&amp;AA$14,'Mapping A'!$A$6:$G$1011,7,0)=1,$L351,""),0)</f>
        <v>0</v>
      </c>
      <c r="AF351" s="155" t="str">
        <f t="shared" si="122"/>
        <v>KIN0112CHH</v>
      </c>
      <c r="AG351" s="190" t="s">
        <v>409</v>
      </c>
      <c r="AH351" s="190" t="s">
        <v>3</v>
      </c>
      <c r="AI351" s="190">
        <f t="shared" si="115"/>
        <v>19.436000823974599</v>
      </c>
      <c r="AJ351" s="292" t="s">
        <v>95</v>
      </c>
      <c r="AK351" s="15"/>
      <c r="AL351" s="15">
        <f t="shared" si="110"/>
        <v>0</v>
      </c>
      <c r="AM351" s="15"/>
      <c r="AN351" s="15">
        <f t="shared" ca="1" si="111"/>
        <v>0</v>
      </c>
      <c r="AO351" s="15">
        <f t="shared" si="112"/>
        <v>0</v>
      </c>
      <c r="AP351" s="15">
        <f t="shared" si="113"/>
        <v>0</v>
      </c>
      <c r="AQ351" s="15"/>
      <c r="AR351" s="190">
        <f t="shared" si="116"/>
        <v>0</v>
      </c>
      <c r="AS351" s="15"/>
      <c r="AT351" s="190">
        <f t="shared" si="117"/>
        <v>0</v>
      </c>
      <c r="AU351" s="190">
        <f t="shared" si="118"/>
        <v>0</v>
      </c>
      <c r="AV351" s="190">
        <f t="shared" si="119"/>
        <v>0</v>
      </c>
      <c r="AW351" s="190">
        <f t="shared" si="120"/>
        <v>0</v>
      </c>
      <c r="AX351" s="190">
        <f t="shared" si="121"/>
        <v>0</v>
      </c>
      <c r="BP351" s="190"/>
    </row>
    <row r="352" spans="2:68" x14ac:dyDescent="0.25">
      <c r="B352" s="98" t="s">
        <v>552</v>
      </c>
      <c r="C352" s="98">
        <v>2014</v>
      </c>
      <c r="D352" s="98" t="s">
        <v>244</v>
      </c>
      <c r="E352" s="98" t="s">
        <v>49</v>
      </c>
      <c r="F352" s="98" t="s">
        <v>131</v>
      </c>
      <c r="G352" s="248">
        <v>562.50499999999704</v>
      </c>
      <c r="H352" s="299" t="str">
        <f>VLOOKUP(LEFT('Rev Adequacy'!D352,3),'Mapping B'!$D$2:$E$400,2,0)</f>
        <v>N</v>
      </c>
      <c r="I352" s="190"/>
      <c r="J352" s="15" t="s">
        <v>410</v>
      </c>
      <c r="K352" s="190" t="s">
        <v>3</v>
      </c>
      <c r="L352" s="190">
        <f t="shared" si="114"/>
        <v>20.233499999999999</v>
      </c>
      <c r="M352" s="15"/>
      <c r="N352" s="15"/>
      <c r="O352" s="15">
        <f>_xlfn.IFNA(IF(VLOOKUP($J352&amp;O$14,'Mapping A'!$A$6:$G$1011,7,0)=1,$L352,""),0)</f>
        <v>0</v>
      </c>
      <c r="P352" s="15">
        <f>_xlfn.IFNA(IF(VLOOKUP($J352&amp;P$14,'Mapping A'!$A$6:$G$1011,7,0)=1,$L352,""),0)</f>
        <v>0</v>
      </c>
      <c r="Q352" s="15">
        <f>_xlfn.IFNA(IF(VLOOKUP($J352&amp;Q$14,'Mapping A'!$A$6:$G$1011,7,0)=1,$L352,""),0)</f>
        <v>0</v>
      </c>
      <c r="R352" s="15">
        <f>_xlfn.IFNA(IF(VLOOKUP($J352&amp;R$14,'Mapping A'!$A$6:$G$1011,7,0)=1,$L352,""),0)</f>
        <v>0</v>
      </c>
      <c r="S352" s="15">
        <f>_xlfn.IFNA(IF(VLOOKUP($J352&amp;S$14,'Mapping A'!$A$6:$G$1011,7,0)=1,$L352,""),0)</f>
        <v>0</v>
      </c>
      <c r="T352" s="15">
        <f>_xlfn.IFNA(IF(VLOOKUP($J352&amp;T$14,'Mapping A'!$A$6:$G$1011,7,0)=1,$L352,""),0)</f>
        <v>20.233499999999999</v>
      </c>
      <c r="U352" s="15">
        <f>_xlfn.IFNA(IF(VLOOKUP($J352&amp;U$14,'Mapping A'!$A$6:$G$1011,7,0)=1,$L352,""),0)</f>
        <v>0</v>
      </c>
      <c r="V352" s="15">
        <f>_xlfn.IFNA(IF(VLOOKUP($J352&amp;V$14,'Mapping A'!$A$6:$G$1011,7,0)=1,$L352,""),0)</f>
        <v>0</v>
      </c>
      <c r="W352" s="15">
        <f>_xlfn.IFNA(IF(VLOOKUP($J352&amp;W$14,'Mapping A'!$A$6:$G$1011,7,0)=1,$L352,""),0)</f>
        <v>0</v>
      </c>
      <c r="X352" s="15">
        <f>_xlfn.IFNA(IF(VLOOKUP($J352&amp;X$14,'Mapping A'!$A$6:$G$1011,7,0)=1,$L352,""),0)</f>
        <v>0</v>
      </c>
      <c r="Y352" s="15">
        <f>_xlfn.IFNA(IF(VLOOKUP($J352&amp;Y$14,'Mapping A'!$A$6:$G$1011,7,0)=1,$L352,""),0)</f>
        <v>0</v>
      </c>
      <c r="Z352" s="15">
        <f>_xlfn.IFNA(IF(VLOOKUP($J352&amp;Z$14,'Mapping A'!$A$6:$G$1011,7,0)=1,$L352,""),0)</f>
        <v>0</v>
      </c>
      <c r="AA352" s="15">
        <f>_xlfn.IFNA(IF(VLOOKUP($J352&amp;AA$14,'Mapping A'!$A$6:$G$1011,7,0)=1,$L352,""),0)</f>
        <v>0</v>
      </c>
      <c r="AF352" s="155" t="str">
        <f t="shared" si="122"/>
        <v>KIN0113CHH</v>
      </c>
      <c r="AG352" s="190" t="s">
        <v>410</v>
      </c>
      <c r="AH352" s="190" t="s">
        <v>3</v>
      </c>
      <c r="AI352" s="190">
        <f t="shared" si="115"/>
        <v>20.233499999999999</v>
      </c>
      <c r="AJ352" s="292" t="s">
        <v>95</v>
      </c>
      <c r="AK352" s="15"/>
      <c r="AL352" s="15">
        <f t="shared" si="110"/>
        <v>0</v>
      </c>
      <c r="AM352" s="15"/>
      <c r="AN352" s="15">
        <f t="shared" ca="1" si="111"/>
        <v>0</v>
      </c>
      <c r="AO352" s="15">
        <f t="shared" si="112"/>
        <v>0</v>
      </c>
      <c r="AP352" s="15">
        <f t="shared" si="113"/>
        <v>0</v>
      </c>
      <c r="AQ352" s="15"/>
      <c r="AR352" s="190">
        <f t="shared" si="116"/>
        <v>0</v>
      </c>
      <c r="AS352" s="15"/>
      <c r="AT352" s="190">
        <f t="shared" si="117"/>
        <v>0</v>
      </c>
      <c r="AU352" s="190">
        <f t="shared" si="118"/>
        <v>0</v>
      </c>
      <c r="AV352" s="190">
        <f t="shared" si="119"/>
        <v>0</v>
      </c>
      <c r="AW352" s="190">
        <f t="shared" si="120"/>
        <v>0</v>
      </c>
      <c r="AX352" s="190">
        <f t="shared" si="121"/>
        <v>0</v>
      </c>
      <c r="BP352" s="190"/>
    </row>
    <row r="353" spans="2:68" x14ac:dyDescent="0.25">
      <c r="B353" s="98" t="s">
        <v>552</v>
      </c>
      <c r="C353" s="98">
        <v>2014</v>
      </c>
      <c r="D353" s="98" t="s">
        <v>245</v>
      </c>
      <c r="E353" s="98" t="s">
        <v>49</v>
      </c>
      <c r="F353" s="98" t="s">
        <v>131</v>
      </c>
      <c r="G353" s="248">
        <v>309.84800000000098</v>
      </c>
      <c r="H353" s="299" t="str">
        <f>VLOOKUP(LEFT('Rev Adequacy'!D353,3),'Mapping B'!$D$2:$E$400,2,0)</f>
        <v>N</v>
      </c>
      <c r="I353" s="190"/>
      <c r="J353" s="15" t="s">
        <v>234</v>
      </c>
      <c r="K353" s="190" t="s">
        <v>28</v>
      </c>
      <c r="L353" s="190">
        <f t="shared" si="114"/>
        <v>18.417000000000002</v>
      </c>
      <c r="M353" s="15"/>
      <c r="N353" s="15"/>
      <c r="O353" s="15">
        <f>_xlfn.IFNA(IF(VLOOKUP($J353&amp;O$14,'Mapping A'!$A$6:$G$1011,7,0)=1,$L353,""),0)</f>
        <v>0</v>
      </c>
      <c r="P353" s="15">
        <f>_xlfn.IFNA(IF(VLOOKUP($J353&amp;P$14,'Mapping A'!$A$6:$G$1011,7,0)=1,$L353,""),0)</f>
        <v>0</v>
      </c>
      <c r="Q353" s="15">
        <f>_xlfn.IFNA(IF(VLOOKUP($J353&amp;Q$14,'Mapping A'!$A$6:$G$1011,7,0)=1,$L353,""),0)</f>
        <v>0</v>
      </c>
      <c r="R353" s="15">
        <f>_xlfn.IFNA(IF(VLOOKUP($J353&amp;R$14,'Mapping A'!$A$6:$G$1011,7,0)=1,$L353,""),0)</f>
        <v>0</v>
      </c>
      <c r="S353" s="15">
        <f>_xlfn.IFNA(IF(VLOOKUP($J353&amp;S$14,'Mapping A'!$A$6:$G$1011,7,0)=1,$L353,""),0)</f>
        <v>0</v>
      </c>
      <c r="T353" s="15">
        <f>_xlfn.IFNA(IF(VLOOKUP($J353&amp;T$14,'Mapping A'!$A$6:$G$1011,7,0)=1,$L353,""),0)</f>
        <v>18.417000000000002</v>
      </c>
      <c r="U353" s="15">
        <f>_xlfn.IFNA(IF(VLOOKUP($J353&amp;U$14,'Mapping A'!$A$6:$G$1011,7,0)=1,$L353,""),0)</f>
        <v>0</v>
      </c>
      <c r="V353" s="15">
        <f>_xlfn.IFNA(IF(VLOOKUP($J353&amp;V$14,'Mapping A'!$A$6:$G$1011,7,0)=1,$L353,""),0)</f>
        <v>0</v>
      </c>
      <c r="W353" s="15">
        <f>_xlfn.IFNA(IF(VLOOKUP($J353&amp;W$14,'Mapping A'!$A$6:$G$1011,7,0)=1,$L353,""),0)</f>
        <v>0</v>
      </c>
      <c r="X353" s="15">
        <f>_xlfn.IFNA(IF(VLOOKUP($J353&amp;X$14,'Mapping A'!$A$6:$G$1011,7,0)=1,$L353,""),0)</f>
        <v>0</v>
      </c>
      <c r="Y353" s="15">
        <f>_xlfn.IFNA(IF(VLOOKUP($J353&amp;Y$14,'Mapping A'!$A$6:$G$1011,7,0)=1,$L353,""),0)</f>
        <v>0</v>
      </c>
      <c r="Z353" s="15">
        <f>_xlfn.IFNA(IF(VLOOKUP($J353&amp;Z$14,'Mapping A'!$A$6:$G$1011,7,0)=1,$L353,""),0)</f>
        <v>0</v>
      </c>
      <c r="AA353" s="15">
        <f>_xlfn.IFNA(IF(VLOOKUP($J353&amp;AA$14,'Mapping A'!$A$6:$G$1011,7,0)=1,$L353,""),0)</f>
        <v>0</v>
      </c>
      <c r="AF353" s="155" t="str">
        <f t="shared" si="122"/>
        <v>KIN0331Powerco</v>
      </c>
      <c r="AG353" s="190" t="s">
        <v>234</v>
      </c>
      <c r="AH353" s="190" t="s">
        <v>28</v>
      </c>
      <c r="AI353" s="190">
        <f t="shared" si="115"/>
        <v>18.417000000000002</v>
      </c>
      <c r="AJ353" s="292" t="s">
        <v>95</v>
      </c>
      <c r="AK353" s="15"/>
      <c r="AL353" s="15">
        <f t="shared" si="110"/>
        <v>0</v>
      </c>
      <c r="AM353" s="15"/>
      <c r="AN353" s="15">
        <f t="shared" ca="1" si="111"/>
        <v>0</v>
      </c>
      <c r="AO353" s="15">
        <f t="shared" si="112"/>
        <v>0</v>
      </c>
      <c r="AP353" s="15">
        <f t="shared" si="113"/>
        <v>0</v>
      </c>
      <c r="AQ353" s="15"/>
      <c r="AR353" s="190">
        <f t="shared" si="116"/>
        <v>0</v>
      </c>
      <c r="AS353" s="15"/>
      <c r="AT353" s="190">
        <f t="shared" si="117"/>
        <v>0</v>
      </c>
      <c r="AU353" s="190">
        <f t="shared" si="118"/>
        <v>0</v>
      </c>
      <c r="AV353" s="190">
        <f t="shared" si="119"/>
        <v>0</v>
      </c>
      <c r="AW353" s="190">
        <f t="shared" si="120"/>
        <v>0</v>
      </c>
      <c r="AX353" s="190">
        <f t="shared" si="121"/>
        <v>0</v>
      </c>
      <c r="BP353" s="190"/>
    </row>
    <row r="354" spans="2:68" x14ac:dyDescent="0.25">
      <c r="B354" s="98" t="s">
        <v>553</v>
      </c>
      <c r="C354" s="98">
        <v>2014</v>
      </c>
      <c r="D354" s="98" t="s">
        <v>218</v>
      </c>
      <c r="E354" s="98" t="s">
        <v>49</v>
      </c>
      <c r="F354" s="98" t="s">
        <v>136</v>
      </c>
      <c r="G354" s="248">
        <v>0</v>
      </c>
      <c r="H354" s="299" t="str">
        <f>VLOOKUP(LEFT('Rev Adequacy'!D354,3),'Mapping B'!$D$2:$E$400,2,0)</f>
        <v>N</v>
      </c>
      <c r="I354" s="190"/>
      <c r="J354" s="15" t="s">
        <v>235</v>
      </c>
      <c r="K354" s="190" t="s">
        <v>28</v>
      </c>
      <c r="L354" s="190">
        <f t="shared" si="114"/>
        <v>21.186900000000001</v>
      </c>
      <c r="M354" s="15"/>
      <c r="N354" s="15"/>
      <c r="O354" s="15">
        <f>_xlfn.IFNA(IF(VLOOKUP($J354&amp;O$14,'Mapping A'!$A$6:$G$1011,7,0)=1,$L354,""),0)</f>
        <v>0</v>
      </c>
      <c r="P354" s="15">
        <f>_xlfn.IFNA(IF(VLOOKUP($J354&amp;P$14,'Mapping A'!$A$6:$G$1011,7,0)=1,$L354,""),0)</f>
        <v>0</v>
      </c>
      <c r="Q354" s="15">
        <f>_xlfn.IFNA(IF(VLOOKUP($J354&amp;Q$14,'Mapping A'!$A$6:$G$1011,7,0)=1,$L354,""),0)</f>
        <v>0</v>
      </c>
      <c r="R354" s="15">
        <f>_xlfn.IFNA(IF(VLOOKUP($J354&amp;R$14,'Mapping A'!$A$6:$G$1011,7,0)=1,$L354,""),0)</f>
        <v>0</v>
      </c>
      <c r="S354" s="15">
        <f>_xlfn.IFNA(IF(VLOOKUP($J354&amp;S$14,'Mapping A'!$A$6:$G$1011,7,0)=1,$L354,""),0)</f>
        <v>0</v>
      </c>
      <c r="T354" s="15">
        <f>_xlfn.IFNA(IF(VLOOKUP($J354&amp;T$14,'Mapping A'!$A$6:$G$1011,7,0)=1,$L354,""),0)</f>
        <v>21.186900000000001</v>
      </c>
      <c r="U354" s="15">
        <f>_xlfn.IFNA(IF(VLOOKUP($J354&amp;U$14,'Mapping A'!$A$6:$G$1011,7,0)=1,$L354,""),0)</f>
        <v>0</v>
      </c>
      <c r="V354" s="15">
        <f>_xlfn.IFNA(IF(VLOOKUP($J354&amp;V$14,'Mapping A'!$A$6:$G$1011,7,0)=1,$L354,""),0)</f>
        <v>0</v>
      </c>
      <c r="W354" s="15">
        <f>_xlfn.IFNA(IF(VLOOKUP($J354&amp;W$14,'Mapping A'!$A$6:$G$1011,7,0)=1,$L354,""),0)</f>
        <v>0</v>
      </c>
      <c r="X354" s="15">
        <f>_xlfn.IFNA(IF(VLOOKUP($J354&amp;X$14,'Mapping A'!$A$6:$G$1011,7,0)=1,$L354,""),0)</f>
        <v>0</v>
      </c>
      <c r="Y354" s="15">
        <f>_xlfn.IFNA(IF(VLOOKUP($J354&amp;Y$14,'Mapping A'!$A$6:$G$1011,7,0)=1,$L354,""),0)</f>
        <v>0</v>
      </c>
      <c r="Z354" s="15">
        <f>_xlfn.IFNA(IF(VLOOKUP($J354&amp;Z$14,'Mapping A'!$A$6:$G$1011,7,0)=1,$L354,""),0)</f>
        <v>0</v>
      </c>
      <c r="AA354" s="15">
        <f>_xlfn.IFNA(IF(VLOOKUP($J354&amp;AA$14,'Mapping A'!$A$6:$G$1011,7,0)=1,$L354,""),0)</f>
        <v>0</v>
      </c>
      <c r="AF354" s="155" t="str">
        <f t="shared" si="122"/>
        <v>KMO0331Powerco</v>
      </c>
      <c r="AG354" s="190" t="s">
        <v>235</v>
      </c>
      <c r="AH354" s="190" t="s">
        <v>28</v>
      </c>
      <c r="AI354" s="190">
        <f t="shared" si="115"/>
        <v>21.186900000000001</v>
      </c>
      <c r="AJ354" s="292" t="s">
        <v>95</v>
      </c>
      <c r="AK354" s="15"/>
      <c r="AL354" s="15">
        <f t="shared" si="110"/>
        <v>0</v>
      </c>
      <c r="AM354" s="15"/>
      <c r="AN354" s="15">
        <f t="shared" ca="1" si="111"/>
        <v>0</v>
      </c>
      <c r="AO354" s="15">
        <f t="shared" si="112"/>
        <v>0</v>
      </c>
      <c r="AP354" s="15">
        <f t="shared" si="113"/>
        <v>0</v>
      </c>
      <c r="AQ354" s="15"/>
      <c r="AR354" s="190">
        <f t="shared" si="116"/>
        <v>0</v>
      </c>
      <c r="AS354" s="15"/>
      <c r="AT354" s="190">
        <f t="shared" si="117"/>
        <v>0</v>
      </c>
      <c r="AU354" s="190">
        <f t="shared" si="118"/>
        <v>0</v>
      </c>
      <c r="AV354" s="190">
        <f t="shared" si="119"/>
        <v>0</v>
      </c>
      <c r="AW354" s="190">
        <f t="shared" si="120"/>
        <v>0</v>
      </c>
      <c r="AX354" s="190">
        <f t="shared" si="121"/>
        <v>0</v>
      </c>
      <c r="BP354" s="190"/>
    </row>
    <row r="355" spans="2:68" x14ac:dyDescent="0.25">
      <c r="B355" s="98" t="s">
        <v>553</v>
      </c>
      <c r="C355" s="98">
        <v>2014</v>
      </c>
      <c r="D355" s="98" t="s">
        <v>219</v>
      </c>
      <c r="E355" s="98" t="s">
        <v>49</v>
      </c>
      <c r="F355" s="98" t="s">
        <v>136</v>
      </c>
      <c r="G355" s="248">
        <v>0</v>
      </c>
      <c r="H355" s="299" t="str">
        <f>VLOOKUP(LEFT('Rev Adequacy'!D355,3),'Mapping B'!$D$2:$E$400,2,0)</f>
        <v>N</v>
      </c>
      <c r="I355" s="190"/>
      <c r="J355" s="15" t="s">
        <v>236</v>
      </c>
      <c r="K355" s="190" t="s">
        <v>34</v>
      </c>
      <c r="L355" s="190">
        <f t="shared" si="114"/>
        <v>72.2988</v>
      </c>
      <c r="M355" s="15"/>
      <c r="N355" s="15"/>
      <c r="O355" s="15">
        <f>_xlfn.IFNA(IF(VLOOKUP($J355&amp;O$14,'Mapping A'!$A$6:$G$1011,7,0)=1,$L355,""),0)</f>
        <v>0</v>
      </c>
      <c r="P355" s="15">
        <f>_xlfn.IFNA(IF(VLOOKUP($J355&amp;P$14,'Mapping A'!$A$6:$G$1011,7,0)=1,$L355,""),0)</f>
        <v>0</v>
      </c>
      <c r="Q355" s="15">
        <f>_xlfn.IFNA(IF(VLOOKUP($J355&amp;Q$14,'Mapping A'!$A$6:$G$1011,7,0)=1,$L355,""),0)</f>
        <v>0</v>
      </c>
      <c r="R355" s="15">
        <f>_xlfn.IFNA(IF(VLOOKUP($J355&amp;R$14,'Mapping A'!$A$6:$G$1011,7,0)=1,$L355,""),0)</f>
        <v>0</v>
      </c>
      <c r="S355" s="15">
        <f>_xlfn.IFNA(IF(VLOOKUP($J355&amp;S$14,'Mapping A'!$A$6:$G$1011,7,0)=1,$L355,""),0)</f>
        <v>0</v>
      </c>
      <c r="T355" s="15">
        <f>_xlfn.IFNA(IF(VLOOKUP($J355&amp;T$14,'Mapping A'!$A$6:$G$1011,7,0)=1,$L355,""),0)</f>
        <v>72.2988</v>
      </c>
      <c r="U355" s="15">
        <f>_xlfn.IFNA(IF(VLOOKUP($J355&amp;U$14,'Mapping A'!$A$6:$G$1011,7,0)=1,$L355,""),0)</f>
        <v>0</v>
      </c>
      <c r="V355" s="15">
        <f>_xlfn.IFNA(IF(VLOOKUP($J355&amp;V$14,'Mapping A'!$A$6:$G$1011,7,0)=1,$L355,""),0)</f>
        <v>0</v>
      </c>
      <c r="W355" s="15">
        <f>_xlfn.IFNA(IF(VLOOKUP($J355&amp;W$14,'Mapping A'!$A$6:$G$1011,7,0)=1,$L355,""),0)</f>
        <v>0</v>
      </c>
      <c r="X355" s="15">
        <f>_xlfn.IFNA(IF(VLOOKUP($J355&amp;X$14,'Mapping A'!$A$6:$G$1011,7,0)=1,$L355,""),0)</f>
        <v>0</v>
      </c>
      <c r="Y355" s="15">
        <f>_xlfn.IFNA(IF(VLOOKUP($J355&amp;Y$14,'Mapping A'!$A$6:$G$1011,7,0)=1,$L355,""),0)</f>
        <v>0</v>
      </c>
      <c r="Z355" s="15">
        <f>_xlfn.IFNA(IF(VLOOKUP($J355&amp;Z$14,'Mapping A'!$A$6:$G$1011,7,0)=1,$L355,""),0)</f>
        <v>0</v>
      </c>
      <c r="AA355" s="15">
        <f>_xlfn.IFNA(IF(VLOOKUP($J355&amp;AA$14,'Mapping A'!$A$6:$G$1011,7,0)=1,$L355,""),0)</f>
        <v>0</v>
      </c>
      <c r="AF355" s="155" t="str">
        <f t="shared" si="122"/>
        <v>KOE1101Top Energy</v>
      </c>
      <c r="AG355" s="190" t="s">
        <v>236</v>
      </c>
      <c r="AH355" s="190" t="s">
        <v>34</v>
      </c>
      <c r="AI355" s="190">
        <f t="shared" si="115"/>
        <v>72.2988</v>
      </c>
      <c r="AJ355" s="292" t="s">
        <v>95</v>
      </c>
      <c r="AK355" s="15"/>
      <c r="AL355" s="15">
        <f t="shared" si="110"/>
        <v>0</v>
      </c>
      <c r="AM355" s="15"/>
      <c r="AN355" s="15">
        <f t="shared" ca="1" si="111"/>
        <v>0</v>
      </c>
      <c r="AO355" s="15">
        <f t="shared" si="112"/>
        <v>0</v>
      </c>
      <c r="AP355" s="15">
        <f t="shared" si="113"/>
        <v>0</v>
      </c>
      <c r="AQ355" s="15"/>
      <c r="AR355" s="190">
        <f t="shared" si="116"/>
        <v>0</v>
      </c>
      <c r="AS355" s="15"/>
      <c r="AT355" s="190">
        <f t="shared" si="117"/>
        <v>0</v>
      </c>
      <c r="AU355" s="190">
        <f t="shared" si="118"/>
        <v>0</v>
      </c>
      <c r="AV355" s="190">
        <f t="shared" si="119"/>
        <v>0</v>
      </c>
      <c r="AW355" s="190">
        <f t="shared" si="120"/>
        <v>0</v>
      </c>
      <c r="AX355" s="190">
        <f t="shared" si="121"/>
        <v>0</v>
      </c>
      <c r="BP355" s="190"/>
    </row>
    <row r="356" spans="2:68" x14ac:dyDescent="0.25">
      <c r="B356" s="98" t="s">
        <v>553</v>
      </c>
      <c r="C356" s="98">
        <v>2014</v>
      </c>
      <c r="D356" s="98" t="s">
        <v>244</v>
      </c>
      <c r="E356" s="98" t="s">
        <v>49</v>
      </c>
      <c r="F356" s="98" t="s">
        <v>131</v>
      </c>
      <c r="G356" s="248">
        <v>5307.0019999999704</v>
      </c>
      <c r="H356" s="299" t="str">
        <f>VLOOKUP(LEFT('Rev Adequacy'!D356,3),'Mapping B'!$D$2:$E$400,2,0)</f>
        <v>N</v>
      </c>
      <c r="I356" s="190"/>
      <c r="J356" s="15" t="s">
        <v>240</v>
      </c>
      <c r="K356" s="190" t="s">
        <v>28</v>
      </c>
      <c r="L356" s="190">
        <f t="shared" si="114"/>
        <v>51.069900000000004</v>
      </c>
      <c r="M356" s="15"/>
      <c r="N356" s="15"/>
      <c r="O356" s="15">
        <f>_xlfn.IFNA(IF(VLOOKUP($J356&amp;O$14,'Mapping A'!$A$6:$G$1011,7,0)=1,$L356,""),0)</f>
        <v>0</v>
      </c>
      <c r="P356" s="15">
        <f>_xlfn.IFNA(IF(VLOOKUP($J356&amp;P$14,'Mapping A'!$A$6:$G$1011,7,0)=1,$L356,""),0)</f>
        <v>0</v>
      </c>
      <c r="Q356" s="15">
        <f>_xlfn.IFNA(IF(VLOOKUP($J356&amp;Q$14,'Mapping A'!$A$6:$G$1011,7,0)=1,$L356,""),0)</f>
        <v>0</v>
      </c>
      <c r="R356" s="15">
        <f>_xlfn.IFNA(IF(VLOOKUP($J356&amp;R$14,'Mapping A'!$A$6:$G$1011,7,0)=1,$L356,""),0)</f>
        <v>0</v>
      </c>
      <c r="S356" s="15">
        <f>_xlfn.IFNA(IF(VLOOKUP($J356&amp;S$14,'Mapping A'!$A$6:$G$1011,7,0)=1,$L356,""),0)</f>
        <v>0</v>
      </c>
      <c r="T356" s="15">
        <f>_xlfn.IFNA(IF(VLOOKUP($J356&amp;T$14,'Mapping A'!$A$6:$G$1011,7,0)=1,$L356,""),0)</f>
        <v>51.069900000000004</v>
      </c>
      <c r="U356" s="15">
        <f>_xlfn.IFNA(IF(VLOOKUP($J356&amp;U$14,'Mapping A'!$A$6:$G$1011,7,0)=1,$L356,""),0)</f>
        <v>0</v>
      </c>
      <c r="V356" s="15">
        <f>_xlfn.IFNA(IF(VLOOKUP($J356&amp;V$14,'Mapping A'!$A$6:$G$1011,7,0)=1,$L356,""),0)</f>
        <v>0</v>
      </c>
      <c r="W356" s="15">
        <f>_xlfn.IFNA(IF(VLOOKUP($J356&amp;W$14,'Mapping A'!$A$6:$G$1011,7,0)=1,$L356,""),0)</f>
        <v>0</v>
      </c>
      <c r="X356" s="15">
        <f>_xlfn.IFNA(IF(VLOOKUP($J356&amp;X$14,'Mapping A'!$A$6:$G$1011,7,0)=1,$L356,""),0)</f>
        <v>0</v>
      </c>
      <c r="Y356" s="15">
        <f>_xlfn.IFNA(IF(VLOOKUP($J356&amp;Y$14,'Mapping A'!$A$6:$G$1011,7,0)=1,$L356,""),0)</f>
        <v>0</v>
      </c>
      <c r="Z356" s="15">
        <f>_xlfn.IFNA(IF(VLOOKUP($J356&amp;Z$14,'Mapping A'!$A$6:$G$1011,7,0)=1,$L356,""),0)</f>
        <v>0</v>
      </c>
      <c r="AA356" s="15">
        <f>_xlfn.IFNA(IF(VLOOKUP($J356&amp;AA$14,'Mapping A'!$A$6:$G$1011,7,0)=1,$L356,""),0)</f>
        <v>0</v>
      </c>
      <c r="AF356" s="155" t="str">
        <f t="shared" si="122"/>
        <v>KPU0661Powerco</v>
      </c>
      <c r="AG356" s="190" t="s">
        <v>240</v>
      </c>
      <c r="AH356" s="190" t="s">
        <v>28</v>
      </c>
      <c r="AI356" s="190">
        <f t="shared" si="115"/>
        <v>51.069900000000004</v>
      </c>
      <c r="AJ356" s="292" t="s">
        <v>95</v>
      </c>
      <c r="AK356" s="15"/>
      <c r="AL356" s="15">
        <f t="shared" si="110"/>
        <v>0</v>
      </c>
      <c r="AM356" s="15"/>
      <c r="AN356" s="15">
        <f t="shared" ca="1" si="111"/>
        <v>0</v>
      </c>
      <c r="AO356" s="15">
        <f t="shared" si="112"/>
        <v>0</v>
      </c>
      <c r="AP356" s="15">
        <f t="shared" si="113"/>
        <v>0</v>
      </c>
      <c r="AQ356" s="15"/>
      <c r="AR356" s="190">
        <f t="shared" si="116"/>
        <v>0</v>
      </c>
      <c r="AS356" s="15"/>
      <c r="AT356" s="190">
        <f t="shared" si="117"/>
        <v>0</v>
      </c>
      <c r="AU356" s="190">
        <f t="shared" si="118"/>
        <v>0</v>
      </c>
      <c r="AV356" s="190">
        <f t="shared" si="119"/>
        <v>0</v>
      </c>
      <c r="AW356" s="190">
        <f t="shared" si="120"/>
        <v>0</v>
      </c>
      <c r="AX356" s="190">
        <f t="shared" si="121"/>
        <v>0</v>
      </c>
      <c r="BP356" s="190"/>
    </row>
    <row r="357" spans="2:68" x14ac:dyDescent="0.25">
      <c r="B357" s="98" t="s">
        <v>553</v>
      </c>
      <c r="C357" s="98">
        <v>2014</v>
      </c>
      <c r="D357" s="98" t="s">
        <v>245</v>
      </c>
      <c r="E357" s="98" t="s">
        <v>49</v>
      </c>
      <c r="F357" s="98" t="s">
        <v>131</v>
      </c>
      <c r="G357" s="248">
        <v>4783.4179999999396</v>
      </c>
      <c r="H357" s="299" t="str">
        <f>VLOOKUP(LEFT('Rev Adequacy'!D357,3),'Mapping B'!$D$2:$E$400,2,0)</f>
        <v>N</v>
      </c>
      <c r="I357" s="190"/>
      <c r="J357" s="15" t="s">
        <v>241</v>
      </c>
      <c r="K357" s="190" t="s">
        <v>41</v>
      </c>
      <c r="L357" s="190">
        <f t="shared" si="114"/>
        <v>9.66</v>
      </c>
      <c r="M357" s="15"/>
      <c r="N357" s="15"/>
      <c r="O357" s="15">
        <f>_xlfn.IFNA(IF(VLOOKUP($J357&amp;O$14,'Mapping A'!$A$6:$G$1011,7,0)=1,$L357,""),0)</f>
        <v>0</v>
      </c>
      <c r="P357" s="15">
        <f>_xlfn.IFNA(IF(VLOOKUP($J357&amp;P$14,'Mapping A'!$A$6:$G$1011,7,0)=1,$L357,""),0)</f>
        <v>9.66</v>
      </c>
      <c r="Q357" s="15">
        <f>_xlfn.IFNA(IF(VLOOKUP($J357&amp;Q$14,'Mapping A'!$A$6:$G$1011,7,0)=1,$L357,""),0)</f>
        <v>9.66</v>
      </c>
      <c r="R357" s="15">
        <f>_xlfn.IFNA(IF(VLOOKUP($J357&amp;R$14,'Mapping A'!$A$6:$G$1011,7,0)=1,$L357,""),0)</f>
        <v>0</v>
      </c>
      <c r="S357" s="15">
        <f>_xlfn.IFNA(IF(VLOOKUP($J357&amp;S$14,'Mapping A'!$A$6:$G$1011,7,0)=1,$L357,""),0)</f>
        <v>0</v>
      </c>
      <c r="T357" s="15">
        <f>_xlfn.IFNA(IF(VLOOKUP($J357&amp;T$14,'Mapping A'!$A$6:$G$1011,7,0)=1,$L357,""),0)</f>
        <v>0</v>
      </c>
      <c r="U357" s="15">
        <f>_xlfn.IFNA(IF(VLOOKUP($J357&amp;U$14,'Mapping A'!$A$6:$G$1011,7,0)=1,$L357,""),0)</f>
        <v>0</v>
      </c>
      <c r="V357" s="15">
        <f>_xlfn.IFNA(IF(VLOOKUP($J357&amp;V$14,'Mapping A'!$A$6:$G$1011,7,0)=1,$L357,""),0)</f>
        <v>9.66</v>
      </c>
      <c r="W357" s="15">
        <f>_xlfn.IFNA(IF(VLOOKUP($J357&amp;W$14,'Mapping A'!$A$6:$G$1011,7,0)=1,$L357,""),0)</f>
        <v>0</v>
      </c>
      <c r="X357" s="15">
        <f>_xlfn.IFNA(IF(VLOOKUP($J357&amp;X$14,'Mapping A'!$A$6:$G$1011,7,0)=1,$L357,""),0)</f>
        <v>0</v>
      </c>
      <c r="Y357" s="15">
        <f>_xlfn.IFNA(IF(VLOOKUP($J357&amp;Y$14,'Mapping A'!$A$6:$G$1011,7,0)=1,$L357,""),0)</f>
        <v>0</v>
      </c>
      <c r="Z357" s="15">
        <f>_xlfn.IFNA(IF(VLOOKUP($J357&amp;Z$14,'Mapping A'!$A$6:$G$1011,7,0)=1,$L357,""),0)</f>
        <v>0</v>
      </c>
      <c r="AA357" s="15">
        <f>_xlfn.IFNA(IF(VLOOKUP($J357&amp;AA$14,'Mapping A'!$A$6:$G$1011,7,0)=1,$L357,""),0)</f>
        <v>0</v>
      </c>
      <c r="AF357" s="155" t="str">
        <f t="shared" si="122"/>
        <v>KUM0661Westpower</v>
      </c>
      <c r="AG357" s="190" t="s">
        <v>241</v>
      </c>
      <c r="AH357" s="190" t="s">
        <v>41</v>
      </c>
      <c r="AI357" s="190">
        <f t="shared" si="115"/>
        <v>9.66</v>
      </c>
      <c r="AJ357" s="292" t="s">
        <v>96</v>
      </c>
      <c r="AK357" s="15"/>
      <c r="AL357" s="15">
        <f t="shared" si="110"/>
        <v>0</v>
      </c>
      <c r="AM357" s="15"/>
      <c r="AN357" s="15">
        <f t="shared" ca="1" si="111"/>
        <v>0</v>
      </c>
      <c r="AO357" s="15">
        <f t="shared" si="112"/>
        <v>0</v>
      </c>
      <c r="AP357" s="15">
        <f t="shared" si="113"/>
        <v>0</v>
      </c>
      <c r="AQ357" s="15"/>
      <c r="AR357" s="190">
        <f t="shared" si="116"/>
        <v>0</v>
      </c>
      <c r="AS357" s="15"/>
      <c r="AT357" s="190">
        <f t="shared" si="117"/>
        <v>0</v>
      </c>
      <c r="AU357" s="190">
        <f t="shared" si="118"/>
        <v>0</v>
      </c>
      <c r="AV357" s="190">
        <f t="shared" si="119"/>
        <v>0</v>
      </c>
      <c r="AW357" s="190">
        <f t="shared" si="120"/>
        <v>0</v>
      </c>
      <c r="AX357" s="190">
        <f t="shared" si="121"/>
        <v>0</v>
      </c>
      <c r="BP357" s="190"/>
    </row>
    <row r="358" spans="2:68" x14ac:dyDescent="0.25">
      <c r="B358" s="98" t="s">
        <v>554</v>
      </c>
      <c r="C358" s="98">
        <v>2014</v>
      </c>
      <c r="D358" s="98" t="s">
        <v>218</v>
      </c>
      <c r="E358" s="98" t="s">
        <v>49</v>
      </c>
      <c r="F358" s="98" t="s">
        <v>136</v>
      </c>
      <c r="G358" s="98">
        <v>0</v>
      </c>
      <c r="H358" s="299" t="str">
        <f>VLOOKUP(LEFT('Rev Adequacy'!D358,3),'Mapping B'!$D$2:$E$400,2,0)</f>
        <v>N</v>
      </c>
      <c r="I358" s="190"/>
      <c r="J358" s="15" t="s">
        <v>243</v>
      </c>
      <c r="K358" s="190" t="s">
        <v>40</v>
      </c>
      <c r="L358" s="190">
        <f t="shared" si="114"/>
        <v>34.360199999999999</v>
      </c>
      <c r="M358" s="15"/>
      <c r="N358" s="15"/>
      <c r="O358" s="15">
        <f>_xlfn.IFNA(IF(VLOOKUP($J358&amp;O$14,'Mapping A'!$A$6:$G$1011,7,0)=1,$L358,""),0)</f>
        <v>0</v>
      </c>
      <c r="P358" s="15">
        <f>_xlfn.IFNA(IF(VLOOKUP($J358&amp;P$14,'Mapping A'!$A$6:$G$1011,7,0)=1,$L358,""),0)</f>
        <v>0</v>
      </c>
      <c r="Q358" s="15">
        <f>_xlfn.IFNA(IF(VLOOKUP($J358&amp;Q$14,'Mapping A'!$A$6:$G$1011,7,0)=1,$L358,""),0)</f>
        <v>0</v>
      </c>
      <c r="R358" s="15">
        <f>_xlfn.IFNA(IF(VLOOKUP($J358&amp;R$14,'Mapping A'!$A$6:$G$1011,7,0)=1,$L358,""),0)</f>
        <v>0</v>
      </c>
      <c r="S358" s="15">
        <f>_xlfn.IFNA(IF(VLOOKUP($J358&amp;S$14,'Mapping A'!$A$6:$G$1011,7,0)=1,$L358,""),0)</f>
        <v>0</v>
      </c>
      <c r="T358" s="15">
        <f>_xlfn.IFNA(IF(VLOOKUP($J358&amp;T$14,'Mapping A'!$A$6:$G$1011,7,0)=1,$L358,""),0)</f>
        <v>0</v>
      </c>
      <c r="U358" s="15">
        <f>_xlfn.IFNA(IF(VLOOKUP($J358&amp;U$14,'Mapping A'!$A$6:$G$1011,7,0)=1,$L358,""),0)</f>
        <v>0</v>
      </c>
      <c r="V358" s="15">
        <f>_xlfn.IFNA(IF(VLOOKUP($J358&amp;V$14,'Mapping A'!$A$6:$G$1011,7,0)=1,$L358,""),0)</f>
        <v>0</v>
      </c>
      <c r="W358" s="15">
        <f>_xlfn.IFNA(IF(VLOOKUP($J358&amp;W$14,'Mapping A'!$A$6:$G$1011,7,0)=1,$L358,""),0)</f>
        <v>0</v>
      </c>
      <c r="X358" s="15">
        <f>_xlfn.IFNA(IF(VLOOKUP($J358&amp;X$14,'Mapping A'!$A$6:$G$1011,7,0)=1,$L358,""),0)</f>
        <v>0</v>
      </c>
      <c r="Y358" s="15">
        <f>_xlfn.IFNA(IF(VLOOKUP($J358&amp;Y$14,'Mapping A'!$A$6:$G$1011,7,0)=1,$L358,""),0)</f>
        <v>0</v>
      </c>
      <c r="Z358" s="15">
        <f>_xlfn.IFNA(IF(VLOOKUP($J358&amp;Z$14,'Mapping A'!$A$6:$G$1011,7,0)=1,$L358,""),0)</f>
        <v>0</v>
      </c>
      <c r="AA358" s="15">
        <f>_xlfn.IFNA(IF(VLOOKUP($J358&amp;AA$14,'Mapping A'!$A$6:$G$1011,7,0)=1,$L358,""),0)</f>
        <v>0</v>
      </c>
      <c r="AF358" s="155" t="str">
        <f t="shared" si="122"/>
        <v>KWA0111Wellington Electricity</v>
      </c>
      <c r="AG358" s="190" t="s">
        <v>243</v>
      </c>
      <c r="AH358" s="190" t="s">
        <v>40</v>
      </c>
      <c r="AI358" s="190">
        <f t="shared" si="115"/>
        <v>34.360199999999999</v>
      </c>
      <c r="AJ358" s="292" t="s">
        <v>95</v>
      </c>
      <c r="AK358" s="15"/>
      <c r="AL358" s="15">
        <f t="shared" si="110"/>
        <v>0</v>
      </c>
      <c r="AM358" s="15"/>
      <c r="AN358" s="15">
        <f t="shared" ca="1" si="111"/>
        <v>0</v>
      </c>
      <c r="AO358" s="15">
        <f t="shared" si="112"/>
        <v>0</v>
      </c>
      <c r="AP358" s="15">
        <f t="shared" si="113"/>
        <v>0</v>
      </c>
      <c r="AQ358" s="15"/>
      <c r="AR358" s="190">
        <f t="shared" si="116"/>
        <v>0</v>
      </c>
      <c r="AS358" s="15"/>
      <c r="AT358" s="190">
        <f t="shared" si="117"/>
        <v>0</v>
      </c>
      <c r="AU358" s="190">
        <f t="shared" si="118"/>
        <v>0</v>
      </c>
      <c r="AV358" s="190">
        <f t="shared" si="119"/>
        <v>0</v>
      </c>
      <c r="AW358" s="190">
        <f t="shared" si="120"/>
        <v>0</v>
      </c>
      <c r="AX358" s="190">
        <f t="shared" si="121"/>
        <v>0</v>
      </c>
      <c r="BP358" s="190"/>
    </row>
    <row r="359" spans="2:68" x14ac:dyDescent="0.25">
      <c r="B359" s="98" t="s">
        <v>554</v>
      </c>
      <c r="C359" s="98">
        <v>2014</v>
      </c>
      <c r="D359" s="98" t="s">
        <v>219</v>
      </c>
      <c r="E359" s="98" t="s">
        <v>49</v>
      </c>
      <c r="F359" s="98" t="s">
        <v>136</v>
      </c>
      <c r="G359" s="98">
        <v>0</v>
      </c>
      <c r="H359" s="299" t="str">
        <f>VLOOKUP(LEFT('Rev Adequacy'!D359,3),'Mapping B'!$D$2:$E$400,2,0)</f>
        <v>N</v>
      </c>
      <c r="I359" s="190"/>
      <c r="J359" s="15" t="s">
        <v>244</v>
      </c>
      <c r="K359" s="190" t="s">
        <v>49</v>
      </c>
      <c r="L359" s="190">
        <f t="shared" si="114"/>
        <v>7.8855000000000004</v>
      </c>
      <c r="M359" s="15"/>
      <c r="N359" s="15"/>
      <c r="O359" s="15">
        <f>_xlfn.IFNA(IF(VLOOKUP($J359&amp;O$14,'Mapping A'!$A$6:$G$1011,7,0)=1,$L359,""),0)</f>
        <v>0</v>
      </c>
      <c r="P359" s="15">
        <f>_xlfn.IFNA(IF(VLOOKUP($J359&amp;P$14,'Mapping A'!$A$6:$G$1011,7,0)=1,$L359,""),0)</f>
        <v>0</v>
      </c>
      <c r="Q359" s="15">
        <f>_xlfn.IFNA(IF(VLOOKUP($J359&amp;Q$14,'Mapping A'!$A$6:$G$1011,7,0)=1,$L359,""),0)</f>
        <v>0</v>
      </c>
      <c r="R359" s="15">
        <f>_xlfn.IFNA(IF(VLOOKUP($J359&amp;R$14,'Mapping A'!$A$6:$G$1011,7,0)=1,$L359,""),0)</f>
        <v>0</v>
      </c>
      <c r="S359" s="15">
        <f>_xlfn.IFNA(IF(VLOOKUP($J359&amp;S$14,'Mapping A'!$A$6:$G$1011,7,0)=1,$L359,""),0)</f>
        <v>0</v>
      </c>
      <c r="T359" s="15">
        <f>_xlfn.IFNA(IF(VLOOKUP($J359&amp;T$14,'Mapping A'!$A$6:$G$1011,7,0)=1,$L359,""),0)</f>
        <v>7.8855000000000004</v>
      </c>
      <c r="U359" s="15">
        <f>_xlfn.IFNA(IF(VLOOKUP($J359&amp;U$14,'Mapping A'!$A$6:$G$1011,7,0)=1,$L359,""),0)</f>
        <v>0</v>
      </c>
      <c r="V359" s="15">
        <f>_xlfn.IFNA(IF(VLOOKUP($J359&amp;V$14,'Mapping A'!$A$6:$G$1011,7,0)=1,$L359,""),0)</f>
        <v>0</v>
      </c>
      <c r="W359" s="15">
        <f>_xlfn.IFNA(IF(VLOOKUP($J359&amp;W$14,'Mapping A'!$A$6:$G$1011,7,0)=1,$L359,""),0)</f>
        <v>0</v>
      </c>
      <c r="X359" s="15">
        <f>_xlfn.IFNA(IF(VLOOKUP($J359&amp;X$14,'Mapping A'!$A$6:$G$1011,7,0)=1,$L359,""),0)</f>
        <v>0</v>
      </c>
      <c r="Y359" s="15">
        <f>_xlfn.IFNA(IF(VLOOKUP($J359&amp;Y$14,'Mapping A'!$A$6:$G$1011,7,0)=1,$L359,""),0)</f>
        <v>0</v>
      </c>
      <c r="Z359" s="15">
        <f>_xlfn.IFNA(IF(VLOOKUP($J359&amp;Z$14,'Mapping A'!$A$6:$G$1011,7,0)=1,$L359,""),0)</f>
        <v>0</v>
      </c>
      <c r="AA359" s="15">
        <f>_xlfn.IFNA(IF(VLOOKUP($J359&amp;AA$14,'Mapping A'!$A$6:$G$1011,7,0)=1,$L359,""),0)</f>
        <v>0</v>
      </c>
      <c r="AF359" s="155" t="str">
        <f t="shared" si="122"/>
        <v>LFD1101Fonterra</v>
      </c>
      <c r="AG359" s="190" t="s">
        <v>244</v>
      </c>
      <c r="AH359" s="190" t="s">
        <v>49</v>
      </c>
      <c r="AI359" s="190">
        <f t="shared" si="115"/>
        <v>7.8855000000000004</v>
      </c>
      <c r="AJ359" s="292" t="s">
        <v>95</v>
      </c>
      <c r="AK359" s="15"/>
      <c r="AL359" s="15">
        <f t="shared" si="110"/>
        <v>0</v>
      </c>
      <c r="AM359" s="15"/>
      <c r="AN359" s="15">
        <f t="shared" ca="1" si="111"/>
        <v>0</v>
      </c>
      <c r="AO359" s="15">
        <f t="shared" si="112"/>
        <v>0</v>
      </c>
      <c r="AP359" s="15">
        <f t="shared" si="113"/>
        <v>0</v>
      </c>
      <c r="AQ359" s="15"/>
      <c r="AR359" s="190">
        <f t="shared" si="116"/>
        <v>0</v>
      </c>
      <c r="AS359" s="15"/>
      <c r="AT359" s="190">
        <f t="shared" si="117"/>
        <v>0</v>
      </c>
      <c r="AU359" s="190">
        <f t="shared" si="118"/>
        <v>0</v>
      </c>
      <c r="AV359" s="190">
        <f t="shared" si="119"/>
        <v>0</v>
      </c>
      <c r="AW359" s="190">
        <f t="shared" si="120"/>
        <v>0</v>
      </c>
      <c r="AX359" s="190">
        <f t="shared" si="121"/>
        <v>0</v>
      </c>
      <c r="BP359" s="190"/>
    </row>
    <row r="360" spans="2:68" x14ac:dyDescent="0.25">
      <c r="B360" s="98" t="s">
        <v>554</v>
      </c>
      <c r="C360" s="98">
        <v>2014</v>
      </c>
      <c r="D360" s="98" t="s">
        <v>244</v>
      </c>
      <c r="E360" s="98" t="s">
        <v>49</v>
      </c>
      <c r="F360" s="98" t="s">
        <v>131</v>
      </c>
      <c r="G360" s="98">
        <v>24884.678000000102</v>
      </c>
      <c r="H360" s="299" t="str">
        <f>VLOOKUP(LEFT('Rev Adequacy'!D360,3),'Mapping B'!$D$2:$E$400,2,0)</f>
        <v>N</v>
      </c>
      <c r="I360" s="190"/>
      <c r="J360" s="15" t="s">
        <v>245</v>
      </c>
      <c r="K360" s="190" t="s">
        <v>49</v>
      </c>
      <c r="L360" s="190">
        <f t="shared" si="114"/>
        <v>5.4032999999999998</v>
      </c>
      <c r="M360" s="15"/>
      <c r="N360" s="15"/>
      <c r="O360" s="15">
        <f>_xlfn.IFNA(IF(VLOOKUP($J360&amp;O$14,'Mapping A'!$A$6:$G$1011,7,0)=1,$L360,""),0)</f>
        <v>0</v>
      </c>
      <c r="P360" s="15">
        <f>_xlfn.IFNA(IF(VLOOKUP($J360&amp;P$14,'Mapping A'!$A$6:$G$1011,7,0)=1,$L360,""),0)</f>
        <v>0</v>
      </c>
      <c r="Q360" s="15">
        <f>_xlfn.IFNA(IF(VLOOKUP($J360&amp;Q$14,'Mapping A'!$A$6:$G$1011,7,0)=1,$L360,""),0)</f>
        <v>0</v>
      </c>
      <c r="R360" s="15">
        <f>_xlfn.IFNA(IF(VLOOKUP($J360&amp;R$14,'Mapping A'!$A$6:$G$1011,7,0)=1,$L360,""),0)</f>
        <v>0</v>
      </c>
      <c r="S360" s="15">
        <f>_xlfn.IFNA(IF(VLOOKUP($J360&amp;S$14,'Mapping A'!$A$6:$G$1011,7,0)=1,$L360,""),0)</f>
        <v>0</v>
      </c>
      <c r="T360" s="15">
        <f>_xlfn.IFNA(IF(VLOOKUP($J360&amp;T$14,'Mapping A'!$A$6:$G$1011,7,0)=1,$L360,""),0)</f>
        <v>5.4032999999999998</v>
      </c>
      <c r="U360" s="15">
        <f>_xlfn.IFNA(IF(VLOOKUP($J360&amp;U$14,'Mapping A'!$A$6:$G$1011,7,0)=1,$L360,""),0)</f>
        <v>0</v>
      </c>
      <c r="V360" s="15">
        <f>_xlfn.IFNA(IF(VLOOKUP($J360&amp;V$14,'Mapping A'!$A$6:$G$1011,7,0)=1,$L360,""),0)</f>
        <v>0</v>
      </c>
      <c r="W360" s="15">
        <f>_xlfn.IFNA(IF(VLOOKUP($J360&amp;W$14,'Mapping A'!$A$6:$G$1011,7,0)=1,$L360,""),0)</f>
        <v>0</v>
      </c>
      <c r="X360" s="15">
        <f>_xlfn.IFNA(IF(VLOOKUP($J360&amp;X$14,'Mapping A'!$A$6:$G$1011,7,0)=1,$L360,""),0)</f>
        <v>0</v>
      </c>
      <c r="Y360" s="15">
        <f>_xlfn.IFNA(IF(VLOOKUP($J360&amp;Y$14,'Mapping A'!$A$6:$G$1011,7,0)=1,$L360,""),0)</f>
        <v>0</v>
      </c>
      <c r="Z360" s="15">
        <f>_xlfn.IFNA(IF(VLOOKUP($J360&amp;Z$14,'Mapping A'!$A$6:$G$1011,7,0)=1,$L360,""),0)</f>
        <v>0</v>
      </c>
      <c r="AA360" s="15">
        <f>_xlfn.IFNA(IF(VLOOKUP($J360&amp;AA$14,'Mapping A'!$A$6:$G$1011,7,0)=1,$L360,""),0)</f>
        <v>0</v>
      </c>
      <c r="AF360" s="155" t="str">
        <f t="shared" si="122"/>
        <v>LFD1102Fonterra</v>
      </c>
      <c r="AG360" s="190" t="s">
        <v>245</v>
      </c>
      <c r="AH360" s="190" t="s">
        <v>49</v>
      </c>
      <c r="AI360" s="190">
        <f t="shared" si="115"/>
        <v>5.4032999999999998</v>
      </c>
      <c r="AJ360" s="292" t="s">
        <v>95</v>
      </c>
      <c r="AK360" s="15"/>
      <c r="AL360" s="15">
        <f t="shared" si="110"/>
        <v>0</v>
      </c>
      <c r="AM360" s="15"/>
      <c r="AN360" s="15">
        <f t="shared" ca="1" si="111"/>
        <v>0</v>
      </c>
      <c r="AO360" s="15">
        <f t="shared" si="112"/>
        <v>0</v>
      </c>
      <c r="AP360" s="15">
        <f t="shared" si="113"/>
        <v>0</v>
      </c>
      <c r="AQ360" s="15"/>
      <c r="AR360" s="190">
        <f t="shared" si="116"/>
        <v>0</v>
      </c>
      <c r="AS360" s="15"/>
      <c r="AT360" s="190">
        <f t="shared" si="117"/>
        <v>0</v>
      </c>
      <c r="AU360" s="190">
        <f t="shared" si="118"/>
        <v>0</v>
      </c>
      <c r="AV360" s="190">
        <f t="shared" si="119"/>
        <v>0</v>
      </c>
      <c r="AW360" s="190">
        <f t="shared" si="120"/>
        <v>0</v>
      </c>
      <c r="AX360" s="190">
        <f t="shared" si="121"/>
        <v>0</v>
      </c>
      <c r="BP360" s="190"/>
    </row>
    <row r="361" spans="2:68" x14ac:dyDescent="0.25">
      <c r="B361" s="98" t="s">
        <v>554</v>
      </c>
      <c r="C361" s="98">
        <v>2014</v>
      </c>
      <c r="D361" s="98" t="s">
        <v>245</v>
      </c>
      <c r="E361" s="98" t="s">
        <v>49</v>
      </c>
      <c r="F361" s="98" t="s">
        <v>131</v>
      </c>
      <c r="G361" s="98">
        <v>22872.596000000001</v>
      </c>
      <c r="H361" s="299" t="str">
        <f>VLOOKUP(LEFT('Rev Adequacy'!D361,3),'Mapping B'!$D$2:$E$400,2,0)</f>
        <v>N</v>
      </c>
      <c r="I361" s="190"/>
      <c r="J361" s="15" t="s">
        <v>246</v>
      </c>
      <c r="K361" s="190" t="s">
        <v>28</v>
      </c>
      <c r="L361" s="190">
        <f t="shared" si="114"/>
        <v>60.731999999999999</v>
      </c>
      <c r="M361" s="15"/>
      <c r="N361" s="15"/>
      <c r="O361" s="15">
        <f>_xlfn.IFNA(IF(VLOOKUP($J361&amp;O$14,'Mapping A'!$A$6:$G$1011,7,0)=1,$L361,""),0)</f>
        <v>0</v>
      </c>
      <c r="P361" s="15">
        <f>_xlfn.IFNA(IF(VLOOKUP($J361&amp;P$14,'Mapping A'!$A$6:$G$1011,7,0)=1,$L361,""),0)</f>
        <v>0</v>
      </c>
      <c r="Q361" s="15">
        <f>_xlfn.IFNA(IF(VLOOKUP($J361&amp;Q$14,'Mapping A'!$A$6:$G$1011,7,0)=1,$L361,""),0)</f>
        <v>0</v>
      </c>
      <c r="R361" s="15">
        <f>_xlfn.IFNA(IF(VLOOKUP($J361&amp;R$14,'Mapping A'!$A$6:$G$1011,7,0)=1,$L361,""),0)</f>
        <v>0</v>
      </c>
      <c r="S361" s="15">
        <f>_xlfn.IFNA(IF(VLOOKUP($J361&amp;S$14,'Mapping A'!$A$6:$G$1011,7,0)=1,$L361,""),0)</f>
        <v>0</v>
      </c>
      <c r="T361" s="15">
        <f>_xlfn.IFNA(IF(VLOOKUP($J361&amp;T$14,'Mapping A'!$A$6:$G$1011,7,0)=1,$L361,""),0)</f>
        <v>0</v>
      </c>
      <c r="U361" s="15">
        <f>_xlfn.IFNA(IF(VLOOKUP($J361&amp;U$14,'Mapping A'!$A$6:$G$1011,7,0)=1,$L361,""),0)</f>
        <v>0</v>
      </c>
      <c r="V361" s="15">
        <f>_xlfn.IFNA(IF(VLOOKUP($J361&amp;V$14,'Mapping A'!$A$6:$G$1011,7,0)=1,$L361,""),0)</f>
        <v>0</v>
      </c>
      <c r="W361" s="15">
        <f>_xlfn.IFNA(IF(VLOOKUP($J361&amp;W$14,'Mapping A'!$A$6:$G$1011,7,0)=1,$L361,""),0)</f>
        <v>0</v>
      </c>
      <c r="X361" s="15">
        <f>_xlfn.IFNA(IF(VLOOKUP($J361&amp;X$14,'Mapping A'!$A$6:$G$1011,7,0)=1,$L361,""),0)</f>
        <v>0</v>
      </c>
      <c r="Y361" s="15">
        <f>_xlfn.IFNA(IF(VLOOKUP($J361&amp;Y$14,'Mapping A'!$A$6:$G$1011,7,0)=1,$L361,""),0)</f>
        <v>0</v>
      </c>
      <c r="Z361" s="15">
        <f>_xlfn.IFNA(IF(VLOOKUP($J361&amp;Z$14,'Mapping A'!$A$6:$G$1011,7,0)=1,$L361,""),0)</f>
        <v>0</v>
      </c>
      <c r="AA361" s="15">
        <f>_xlfn.IFNA(IF(VLOOKUP($J361&amp;AA$14,'Mapping A'!$A$6:$G$1011,7,0)=1,$L361,""),0)</f>
        <v>0</v>
      </c>
      <c r="AF361" s="155" t="str">
        <f t="shared" si="122"/>
        <v>LTN0331Powerco</v>
      </c>
      <c r="AG361" s="190" t="s">
        <v>246</v>
      </c>
      <c r="AH361" s="190" t="s">
        <v>28</v>
      </c>
      <c r="AI361" s="190">
        <f t="shared" si="115"/>
        <v>60.731999999999999</v>
      </c>
      <c r="AJ361" s="292" t="s">
        <v>95</v>
      </c>
      <c r="AK361" s="15"/>
      <c r="AL361" s="15">
        <f t="shared" si="110"/>
        <v>0</v>
      </c>
      <c r="AM361" s="15"/>
      <c r="AN361" s="15">
        <f t="shared" ca="1" si="111"/>
        <v>0</v>
      </c>
      <c r="AO361" s="15">
        <f t="shared" si="112"/>
        <v>0</v>
      </c>
      <c r="AP361" s="15">
        <f t="shared" si="113"/>
        <v>0</v>
      </c>
      <c r="AQ361" s="15"/>
      <c r="AR361" s="190">
        <f t="shared" si="116"/>
        <v>0</v>
      </c>
      <c r="AS361" s="15"/>
      <c r="AT361" s="190">
        <f t="shared" si="117"/>
        <v>0</v>
      </c>
      <c r="AU361" s="190">
        <f t="shared" si="118"/>
        <v>0</v>
      </c>
      <c r="AV361" s="190">
        <f t="shared" si="119"/>
        <v>0</v>
      </c>
      <c r="AW361" s="190">
        <f t="shared" si="120"/>
        <v>0</v>
      </c>
      <c r="AX361" s="190">
        <f t="shared" si="121"/>
        <v>0</v>
      </c>
      <c r="BP361" s="190"/>
    </row>
    <row r="362" spans="2:68" x14ac:dyDescent="0.25">
      <c r="B362" s="98" t="s">
        <v>563</v>
      </c>
      <c r="C362" s="98">
        <v>2014</v>
      </c>
      <c r="D362" s="98" t="s">
        <v>218</v>
      </c>
      <c r="E362" s="98" t="s">
        <v>49</v>
      </c>
      <c r="F362" s="98" t="s">
        <v>136</v>
      </c>
      <c r="G362" s="98">
        <v>0</v>
      </c>
      <c r="H362" s="299" t="str">
        <f>VLOOKUP(LEFT('Rev Adequacy'!D362,3),'Mapping B'!$D$2:$E$400,2,0)</f>
        <v>N</v>
      </c>
      <c r="I362" s="190"/>
      <c r="J362" s="15" t="s">
        <v>249</v>
      </c>
      <c r="K362" s="190" t="s">
        <v>138</v>
      </c>
      <c r="L362" s="190">
        <f t="shared" si="114"/>
        <v>3.1415999999999999</v>
      </c>
      <c r="M362" s="15"/>
      <c r="N362" s="15"/>
      <c r="O362" s="15">
        <f>_xlfn.IFNA(IF(VLOOKUP($J362&amp;O$14,'Mapping A'!$A$6:$G$1011,7,0)=1,$L362,""),0)</f>
        <v>0</v>
      </c>
      <c r="P362" s="15">
        <f>_xlfn.IFNA(IF(VLOOKUP($J362&amp;P$14,'Mapping A'!$A$6:$G$1011,7,0)=1,$L362,""),0)</f>
        <v>0</v>
      </c>
      <c r="Q362" s="15">
        <f>_xlfn.IFNA(IF(VLOOKUP($J362&amp;Q$14,'Mapping A'!$A$6:$G$1011,7,0)=1,$L362,""),0)</f>
        <v>0</v>
      </c>
      <c r="R362" s="15">
        <f>_xlfn.IFNA(IF(VLOOKUP($J362&amp;R$14,'Mapping A'!$A$6:$G$1011,7,0)=1,$L362,""),0)</f>
        <v>0</v>
      </c>
      <c r="S362" s="15">
        <f>_xlfn.IFNA(IF(VLOOKUP($J362&amp;S$14,'Mapping A'!$A$6:$G$1011,7,0)=1,$L362,""),0)</f>
        <v>0</v>
      </c>
      <c r="T362" s="15">
        <f>_xlfn.IFNA(IF(VLOOKUP($J362&amp;T$14,'Mapping A'!$A$6:$G$1011,7,0)=1,$L362,""),0)</f>
        <v>3.1415999999999999</v>
      </c>
      <c r="U362" s="15">
        <f>_xlfn.IFNA(IF(VLOOKUP($J362&amp;U$14,'Mapping A'!$A$6:$G$1011,7,0)=1,$L362,""),0)</f>
        <v>0</v>
      </c>
      <c r="V362" s="15">
        <f>_xlfn.IFNA(IF(VLOOKUP($J362&amp;V$14,'Mapping A'!$A$6:$G$1011,7,0)=1,$L362,""),0)</f>
        <v>0</v>
      </c>
      <c r="W362" s="15">
        <f>_xlfn.IFNA(IF(VLOOKUP($J362&amp;W$14,'Mapping A'!$A$6:$G$1011,7,0)=1,$L362,""),0)</f>
        <v>0</v>
      </c>
      <c r="X362" s="15">
        <f>_xlfn.IFNA(IF(VLOOKUP($J362&amp;X$14,'Mapping A'!$A$6:$G$1011,7,0)=1,$L362,""),0)</f>
        <v>0</v>
      </c>
      <c r="Y362" s="15">
        <f>_xlfn.IFNA(IF(VLOOKUP($J362&amp;Y$14,'Mapping A'!$A$6:$G$1011,7,0)=1,$L362,""),0)</f>
        <v>0</v>
      </c>
      <c r="Z362" s="15">
        <f>_xlfn.IFNA(IF(VLOOKUP($J362&amp;Z$14,'Mapping A'!$A$6:$G$1011,7,0)=1,$L362,""),0)</f>
        <v>0</v>
      </c>
      <c r="AA362" s="15">
        <f>_xlfn.IFNA(IF(VLOOKUP($J362&amp;AA$14,'Mapping A'!$A$6:$G$1011,7,0)=1,$L362,""),0)</f>
        <v>0</v>
      </c>
      <c r="AF362" s="155" t="str">
        <f t="shared" si="122"/>
        <v>MAT1101TrustPower</v>
      </c>
      <c r="AG362" s="190" t="s">
        <v>249</v>
      </c>
      <c r="AH362" s="190" t="s">
        <v>138</v>
      </c>
      <c r="AI362" s="190">
        <f t="shared" si="115"/>
        <v>3.1415999999999999</v>
      </c>
      <c r="AJ362" s="292" t="s">
        <v>95</v>
      </c>
      <c r="AK362" s="15"/>
      <c r="AL362" s="15">
        <f t="shared" si="110"/>
        <v>0</v>
      </c>
      <c r="AM362" s="15"/>
      <c r="AN362" s="15">
        <f t="shared" ca="1" si="111"/>
        <v>0</v>
      </c>
      <c r="AO362" s="15">
        <f t="shared" si="112"/>
        <v>0</v>
      </c>
      <c r="AP362" s="15">
        <f t="shared" si="113"/>
        <v>0</v>
      </c>
      <c r="AQ362" s="15"/>
      <c r="AR362" s="190">
        <f t="shared" si="116"/>
        <v>0</v>
      </c>
      <c r="AS362" s="15"/>
      <c r="AT362" s="190">
        <f t="shared" si="117"/>
        <v>0</v>
      </c>
      <c r="AU362" s="190">
        <f t="shared" si="118"/>
        <v>0</v>
      </c>
      <c r="AV362" s="190">
        <f t="shared" si="119"/>
        <v>0</v>
      </c>
      <c r="AW362" s="190">
        <f t="shared" si="120"/>
        <v>0</v>
      </c>
      <c r="AX362" s="190">
        <f t="shared" si="121"/>
        <v>0</v>
      </c>
      <c r="BP362" s="190"/>
    </row>
    <row r="363" spans="2:68" x14ac:dyDescent="0.25">
      <c r="B363" s="98" t="s">
        <v>563</v>
      </c>
      <c r="C363" s="98">
        <v>2014</v>
      </c>
      <c r="D363" s="98" t="s">
        <v>219</v>
      </c>
      <c r="E363" s="98" t="s">
        <v>49</v>
      </c>
      <c r="F363" s="98" t="s">
        <v>136</v>
      </c>
      <c r="G363" s="98">
        <v>0</v>
      </c>
      <c r="H363" s="299" t="str">
        <f>VLOOKUP(LEFT('Rev Adequacy'!D363,3),'Mapping B'!$D$2:$E$400,2,0)</f>
        <v>N</v>
      </c>
      <c r="I363" s="190"/>
      <c r="J363" s="15" t="s">
        <v>935</v>
      </c>
      <c r="K363" s="190" t="s">
        <v>138</v>
      </c>
      <c r="L363" s="190">
        <f t="shared" si="114"/>
        <v>0.99539999999999995</v>
      </c>
      <c r="M363" s="15"/>
      <c r="N363" s="15"/>
      <c r="O363" s="15">
        <f>_xlfn.IFNA(IF(VLOOKUP($J363&amp;O$14,'Mapping A'!$A$6:$G$1011,7,0)=1,$L363,""),0)</f>
        <v>0</v>
      </c>
      <c r="P363" s="15">
        <f>_xlfn.IFNA(IF(VLOOKUP($J363&amp;P$14,'Mapping A'!$A$6:$G$1011,7,0)=1,$L363,""),0)</f>
        <v>0</v>
      </c>
      <c r="Q363" s="15">
        <f>_xlfn.IFNA(IF(VLOOKUP($J363&amp;Q$14,'Mapping A'!$A$6:$G$1011,7,0)=1,$L363,""),0)</f>
        <v>0</v>
      </c>
      <c r="R363" s="15">
        <f>_xlfn.IFNA(IF(VLOOKUP($J363&amp;R$14,'Mapping A'!$A$6:$G$1011,7,0)=1,$L363,""),0)</f>
        <v>0</v>
      </c>
      <c r="S363" s="15">
        <f>_xlfn.IFNA(IF(VLOOKUP($J363&amp;S$14,'Mapping A'!$A$6:$G$1011,7,0)=1,$L363,""),0)</f>
        <v>0</v>
      </c>
      <c r="T363" s="15">
        <f>_xlfn.IFNA(IF(VLOOKUP($J363&amp;T$14,'Mapping A'!$A$6:$G$1011,7,0)=1,$L363,""),0)</f>
        <v>0</v>
      </c>
      <c r="U363" s="15">
        <f>_xlfn.IFNA(IF(VLOOKUP($J363&amp;U$14,'Mapping A'!$A$6:$G$1011,7,0)=1,$L363,""),0)</f>
        <v>0</v>
      </c>
      <c r="V363" s="15">
        <f>_xlfn.IFNA(IF(VLOOKUP($J363&amp;V$14,'Mapping A'!$A$6:$G$1011,7,0)=1,$L363,""),0)</f>
        <v>0</v>
      </c>
      <c r="W363" s="15">
        <f>_xlfn.IFNA(IF(VLOOKUP($J363&amp;W$14,'Mapping A'!$A$6:$G$1011,7,0)=1,$L363,""),0)</f>
        <v>0</v>
      </c>
      <c r="X363" s="15">
        <f>_xlfn.IFNA(IF(VLOOKUP($J363&amp;X$14,'Mapping A'!$A$6:$G$1011,7,0)=1,$L363,""),0)</f>
        <v>0</v>
      </c>
      <c r="Y363" s="15">
        <f>_xlfn.IFNA(IF(VLOOKUP($J363&amp;Y$14,'Mapping A'!$A$6:$G$1011,7,0)=1,$L363,""),0)</f>
        <v>0</v>
      </c>
      <c r="Z363" s="15">
        <f>_xlfn.IFNA(IF(VLOOKUP($J363&amp;Z$14,'Mapping A'!$A$6:$G$1011,7,0)=1,$L363,""),0)</f>
        <v>0</v>
      </c>
      <c r="AA363" s="15">
        <f>_xlfn.IFNA(IF(VLOOKUP($J363&amp;AA$14,'Mapping A'!$A$6:$G$1011,7,0)=1,$L363,""),0)</f>
        <v>0</v>
      </c>
      <c r="AF363" s="155" t="str">
        <f t="shared" si="122"/>
        <v>MAT1102TrustPower</v>
      </c>
      <c r="AG363" s="190" t="s">
        <v>935</v>
      </c>
      <c r="AH363" s="190" t="s">
        <v>138</v>
      </c>
      <c r="AI363" s="190">
        <f t="shared" si="115"/>
        <v>0.99539999999999995</v>
      </c>
      <c r="AJ363" s="292" t="s">
        <v>95</v>
      </c>
      <c r="AK363" s="15"/>
      <c r="AL363" s="15">
        <f t="shared" si="110"/>
        <v>0</v>
      </c>
      <c r="AM363" s="15"/>
      <c r="AN363" s="15">
        <f t="shared" ca="1" si="111"/>
        <v>0</v>
      </c>
      <c r="AO363" s="15">
        <f t="shared" si="112"/>
        <v>0</v>
      </c>
      <c r="AP363" s="15">
        <f t="shared" si="113"/>
        <v>0</v>
      </c>
      <c r="AQ363" s="15"/>
      <c r="AR363" s="190">
        <f t="shared" si="116"/>
        <v>0</v>
      </c>
      <c r="AS363" s="15"/>
      <c r="AT363" s="190">
        <f t="shared" si="117"/>
        <v>0</v>
      </c>
      <c r="AU363" s="190">
        <f t="shared" si="118"/>
        <v>0</v>
      </c>
      <c r="AV363" s="190">
        <f t="shared" si="119"/>
        <v>0</v>
      </c>
      <c r="AW363" s="190">
        <f t="shared" si="120"/>
        <v>0</v>
      </c>
      <c r="AX363" s="190">
        <f t="shared" si="121"/>
        <v>0</v>
      </c>
      <c r="BP363" s="190"/>
    </row>
    <row r="364" spans="2:68" x14ac:dyDescent="0.25">
      <c r="B364" s="98" t="s">
        <v>563</v>
      </c>
      <c r="C364" s="98">
        <v>2014</v>
      </c>
      <c r="D364" s="98" t="s">
        <v>244</v>
      </c>
      <c r="E364" s="98" t="s">
        <v>49</v>
      </c>
      <c r="F364" s="98" t="s">
        <v>131</v>
      </c>
      <c r="G364" s="98">
        <v>38714.594000000099</v>
      </c>
      <c r="H364" s="299" t="str">
        <f>VLOOKUP(LEFT('Rev Adequacy'!D364,3),'Mapping B'!$D$2:$E$400,2,0)</f>
        <v>N</v>
      </c>
      <c r="I364" s="190"/>
      <c r="J364" s="15" t="s">
        <v>253</v>
      </c>
      <c r="K364" s="190" t="s">
        <v>19</v>
      </c>
      <c r="L364" s="190">
        <f t="shared" si="114"/>
        <v>2.7699000000000003</v>
      </c>
      <c r="M364" s="15"/>
      <c r="N364" s="15"/>
      <c r="O364" s="15">
        <f>_xlfn.IFNA(IF(VLOOKUP($J364&amp;O$14,'Mapping A'!$A$6:$G$1011,7,0)=1,$L364,""),0)</f>
        <v>0</v>
      </c>
      <c r="P364" s="15">
        <f>_xlfn.IFNA(IF(VLOOKUP($J364&amp;P$14,'Mapping A'!$A$6:$G$1011,7,0)=1,$L364,""),0)</f>
        <v>0</v>
      </c>
      <c r="Q364" s="15">
        <f>_xlfn.IFNA(IF(VLOOKUP($J364&amp;Q$14,'Mapping A'!$A$6:$G$1011,7,0)=1,$L364,""),0)</f>
        <v>2.7699000000000003</v>
      </c>
      <c r="R364" s="15">
        <f>_xlfn.IFNA(IF(VLOOKUP($J364&amp;R$14,'Mapping A'!$A$6:$G$1011,7,0)=1,$L364,""),0)</f>
        <v>0</v>
      </c>
      <c r="S364" s="15">
        <f>_xlfn.IFNA(IF(VLOOKUP($J364&amp;S$14,'Mapping A'!$A$6:$G$1011,7,0)=1,$L364,""),0)</f>
        <v>0</v>
      </c>
      <c r="T364" s="15">
        <f>_xlfn.IFNA(IF(VLOOKUP($J364&amp;T$14,'Mapping A'!$A$6:$G$1011,7,0)=1,$L364,""),0)</f>
        <v>0</v>
      </c>
      <c r="U364" s="15">
        <f>_xlfn.IFNA(IF(VLOOKUP($J364&amp;U$14,'Mapping A'!$A$6:$G$1011,7,0)=1,$L364,""),0)</f>
        <v>0</v>
      </c>
      <c r="V364" s="15">
        <f>_xlfn.IFNA(IF(VLOOKUP($J364&amp;V$14,'Mapping A'!$A$6:$G$1011,7,0)=1,$L364,""),0)</f>
        <v>0</v>
      </c>
      <c r="W364" s="15">
        <f>_xlfn.IFNA(IF(VLOOKUP($J364&amp;W$14,'Mapping A'!$A$6:$G$1011,7,0)=1,$L364,""),0)</f>
        <v>0</v>
      </c>
      <c r="X364" s="15">
        <f>_xlfn.IFNA(IF(VLOOKUP($J364&amp;X$14,'Mapping A'!$A$6:$G$1011,7,0)=1,$L364,""),0)</f>
        <v>0</v>
      </c>
      <c r="Y364" s="15">
        <f>_xlfn.IFNA(IF(VLOOKUP($J364&amp;Y$14,'Mapping A'!$A$6:$G$1011,7,0)=1,$L364,""),0)</f>
        <v>0</v>
      </c>
      <c r="Z364" s="15">
        <f>_xlfn.IFNA(IF(VLOOKUP($J364&amp;Z$14,'Mapping A'!$A$6:$G$1011,7,0)=1,$L364,""),0)</f>
        <v>0</v>
      </c>
      <c r="AA364" s="15">
        <f>_xlfn.IFNA(IF(VLOOKUP($J364&amp;AA$14,'Mapping A'!$A$6:$G$1011,7,0)=1,$L364,""),0)</f>
        <v>0</v>
      </c>
      <c r="AF364" s="155" t="str">
        <f t="shared" si="122"/>
        <v>MCH0111Network Tasman</v>
      </c>
      <c r="AG364" s="190" t="s">
        <v>253</v>
      </c>
      <c r="AH364" s="190" t="s">
        <v>19</v>
      </c>
      <c r="AI364" s="190">
        <f t="shared" si="115"/>
        <v>2.7699000000000003</v>
      </c>
      <c r="AJ364" s="292" t="s">
        <v>96</v>
      </c>
      <c r="AK364" s="15"/>
      <c r="AL364" s="15">
        <f t="shared" si="110"/>
        <v>0</v>
      </c>
      <c r="AM364" s="15"/>
      <c r="AN364" s="15">
        <f t="shared" ca="1" si="111"/>
        <v>0</v>
      </c>
      <c r="AO364" s="15">
        <f t="shared" si="112"/>
        <v>0</v>
      </c>
      <c r="AP364" s="15">
        <f t="shared" si="113"/>
        <v>0</v>
      </c>
      <c r="AQ364" s="15"/>
      <c r="AR364" s="190">
        <f t="shared" si="116"/>
        <v>0</v>
      </c>
      <c r="AS364" s="15"/>
      <c r="AT364" s="190">
        <f t="shared" si="117"/>
        <v>0</v>
      </c>
      <c r="AU364" s="190">
        <f t="shared" si="118"/>
        <v>0</v>
      </c>
      <c r="AV364" s="190">
        <f t="shared" si="119"/>
        <v>0</v>
      </c>
      <c r="AW364" s="190">
        <f t="shared" si="120"/>
        <v>0</v>
      </c>
      <c r="AX364" s="190">
        <f t="shared" si="121"/>
        <v>0</v>
      </c>
      <c r="BP364" s="190"/>
    </row>
    <row r="365" spans="2:68" x14ac:dyDescent="0.25">
      <c r="B365" s="98" t="s">
        <v>563</v>
      </c>
      <c r="C365" s="98">
        <v>2014</v>
      </c>
      <c r="D365" s="98" t="s">
        <v>245</v>
      </c>
      <c r="E365" s="98" t="s">
        <v>49</v>
      </c>
      <c r="F365" s="98" t="s">
        <v>131</v>
      </c>
      <c r="G365" s="98">
        <v>35568.657000000101</v>
      </c>
      <c r="H365" s="299" t="str">
        <f>VLOOKUP(LEFT('Rev Adequacy'!D365,3),'Mapping B'!$D$2:$E$400,2,0)</f>
        <v>N</v>
      </c>
      <c r="I365" s="190"/>
      <c r="J365" s="15" t="s">
        <v>254</v>
      </c>
      <c r="K365" s="190" t="s">
        <v>39</v>
      </c>
      <c r="L365" s="190">
        <f t="shared" si="114"/>
        <v>8.4000000000000012E-3</v>
      </c>
      <c r="M365" s="15"/>
      <c r="N365" s="15"/>
      <c r="O365" s="15">
        <f>_xlfn.IFNA(IF(VLOOKUP($J365&amp;O$14,'Mapping A'!$A$6:$G$1011,7,0)=1,$L365,""),0)</f>
        <v>0</v>
      </c>
      <c r="P365" s="15">
        <f>_xlfn.IFNA(IF(VLOOKUP($J365&amp;P$14,'Mapping A'!$A$6:$G$1011,7,0)=1,$L365,""),0)</f>
        <v>0</v>
      </c>
      <c r="Q365" s="15">
        <f>_xlfn.IFNA(IF(VLOOKUP($J365&amp;Q$14,'Mapping A'!$A$6:$G$1011,7,0)=1,$L365,""),0)</f>
        <v>0</v>
      </c>
      <c r="R365" s="15">
        <f>_xlfn.IFNA(IF(VLOOKUP($J365&amp;R$14,'Mapping A'!$A$6:$G$1011,7,0)=1,$L365,""),0)</f>
        <v>0</v>
      </c>
      <c r="S365" s="15">
        <f>_xlfn.IFNA(IF(VLOOKUP($J365&amp;S$14,'Mapping A'!$A$6:$G$1011,7,0)=1,$L365,""),0)</f>
        <v>0</v>
      </c>
      <c r="T365" s="15">
        <f>_xlfn.IFNA(IF(VLOOKUP($J365&amp;T$14,'Mapping A'!$A$6:$G$1011,7,0)=1,$L365,""),0)</f>
        <v>8.4000000000000012E-3</v>
      </c>
      <c r="U365" s="15">
        <f>_xlfn.IFNA(IF(VLOOKUP($J365&amp;U$14,'Mapping A'!$A$6:$G$1011,7,0)=1,$L365,""),0)</f>
        <v>0</v>
      </c>
      <c r="V365" s="15">
        <f>_xlfn.IFNA(IF(VLOOKUP($J365&amp;V$14,'Mapping A'!$A$6:$G$1011,7,0)=1,$L365,""),0)</f>
        <v>0</v>
      </c>
      <c r="W365" s="15">
        <f>_xlfn.IFNA(IF(VLOOKUP($J365&amp;W$14,'Mapping A'!$A$6:$G$1011,7,0)=1,$L365,""),0)</f>
        <v>0</v>
      </c>
      <c r="X365" s="15">
        <f>_xlfn.IFNA(IF(VLOOKUP($J365&amp;X$14,'Mapping A'!$A$6:$G$1011,7,0)=1,$L365,""),0)</f>
        <v>0</v>
      </c>
      <c r="Y365" s="15">
        <f>_xlfn.IFNA(IF(VLOOKUP($J365&amp;Y$14,'Mapping A'!$A$6:$G$1011,7,0)=1,$L365,""),0)</f>
        <v>0</v>
      </c>
      <c r="Z365" s="15">
        <f>_xlfn.IFNA(IF(VLOOKUP($J365&amp;Z$14,'Mapping A'!$A$6:$G$1011,7,0)=1,$L365,""),0)</f>
        <v>0</v>
      </c>
      <c r="AA365" s="15">
        <f>_xlfn.IFNA(IF(VLOOKUP($J365&amp;AA$14,'Mapping A'!$A$6:$G$1011,7,0)=1,$L365,""),0)</f>
        <v>0</v>
      </c>
      <c r="AF365" s="155" t="str">
        <f t="shared" si="122"/>
        <v>MER0331WEL</v>
      </c>
      <c r="AG365" s="190" t="s">
        <v>254</v>
      </c>
      <c r="AH365" s="190" t="s">
        <v>39</v>
      </c>
      <c r="AI365" s="190">
        <f t="shared" si="115"/>
        <v>8.4000000000000012E-3</v>
      </c>
      <c r="AJ365" s="292" t="s">
        <v>95</v>
      </c>
      <c r="AK365" s="15"/>
      <c r="AL365" s="15">
        <f t="shared" si="110"/>
        <v>0</v>
      </c>
      <c r="AM365" s="15"/>
      <c r="AN365" s="15">
        <f t="shared" ca="1" si="111"/>
        <v>0</v>
      </c>
      <c r="AO365" s="15">
        <f t="shared" si="112"/>
        <v>0</v>
      </c>
      <c r="AP365" s="15">
        <f t="shared" si="113"/>
        <v>0</v>
      </c>
      <c r="AQ365" s="15"/>
      <c r="AR365" s="190">
        <f t="shared" si="116"/>
        <v>0</v>
      </c>
      <c r="AS365" s="15"/>
      <c r="AT365" s="190">
        <f t="shared" si="117"/>
        <v>0</v>
      </c>
      <c r="AU365" s="190">
        <f t="shared" si="118"/>
        <v>0</v>
      </c>
      <c r="AV365" s="190">
        <f t="shared" si="119"/>
        <v>0</v>
      </c>
      <c r="AW365" s="190">
        <f t="shared" si="120"/>
        <v>0</v>
      </c>
      <c r="AX365" s="190">
        <f t="shared" si="121"/>
        <v>0</v>
      </c>
      <c r="BP365" s="190"/>
    </row>
    <row r="366" spans="2:68" x14ac:dyDescent="0.25">
      <c r="B366" s="98" t="s">
        <v>555</v>
      </c>
      <c r="C366" s="98">
        <v>2014</v>
      </c>
      <c r="D366" s="98" t="s">
        <v>218</v>
      </c>
      <c r="E366" s="98" t="s">
        <v>49</v>
      </c>
      <c r="F366" s="98" t="s">
        <v>136</v>
      </c>
      <c r="G366" s="98">
        <v>0</v>
      </c>
      <c r="H366" s="299" t="str">
        <f>VLOOKUP(LEFT('Rev Adequacy'!D366,3),'Mapping B'!$D$2:$E$400,2,0)</f>
        <v>N</v>
      </c>
      <c r="I366" s="190"/>
      <c r="J366" s="15" t="s">
        <v>255</v>
      </c>
      <c r="K366" s="190" t="s">
        <v>28</v>
      </c>
      <c r="L366" s="190">
        <f t="shared" si="114"/>
        <v>11.894399999999999</v>
      </c>
      <c r="M366" s="15"/>
      <c r="N366" s="15"/>
      <c r="O366" s="15">
        <f>_xlfn.IFNA(IF(VLOOKUP($J366&amp;O$14,'Mapping A'!$A$6:$G$1011,7,0)=1,$L366,""),0)</f>
        <v>0</v>
      </c>
      <c r="P366" s="15">
        <f>_xlfn.IFNA(IF(VLOOKUP($J366&amp;P$14,'Mapping A'!$A$6:$G$1011,7,0)=1,$L366,""),0)</f>
        <v>0</v>
      </c>
      <c r="Q366" s="15">
        <f>_xlfn.IFNA(IF(VLOOKUP($J366&amp;Q$14,'Mapping A'!$A$6:$G$1011,7,0)=1,$L366,""),0)</f>
        <v>0</v>
      </c>
      <c r="R366" s="15">
        <f>_xlfn.IFNA(IF(VLOOKUP($J366&amp;R$14,'Mapping A'!$A$6:$G$1011,7,0)=1,$L366,""),0)</f>
        <v>0</v>
      </c>
      <c r="S366" s="15">
        <f>_xlfn.IFNA(IF(VLOOKUP($J366&amp;S$14,'Mapping A'!$A$6:$G$1011,7,0)=1,$L366,""),0)</f>
        <v>0</v>
      </c>
      <c r="T366" s="15">
        <f>_xlfn.IFNA(IF(VLOOKUP($J366&amp;T$14,'Mapping A'!$A$6:$G$1011,7,0)=1,$L366,""),0)</f>
        <v>0</v>
      </c>
      <c r="U366" s="15">
        <f>_xlfn.IFNA(IF(VLOOKUP($J366&amp;U$14,'Mapping A'!$A$6:$G$1011,7,0)=1,$L366,""),0)</f>
        <v>0</v>
      </c>
      <c r="V366" s="15">
        <f>_xlfn.IFNA(IF(VLOOKUP($J366&amp;V$14,'Mapping A'!$A$6:$G$1011,7,0)=1,$L366,""),0)</f>
        <v>0</v>
      </c>
      <c r="W366" s="15">
        <f>_xlfn.IFNA(IF(VLOOKUP($J366&amp;W$14,'Mapping A'!$A$6:$G$1011,7,0)=1,$L366,""),0)</f>
        <v>0</v>
      </c>
      <c r="X366" s="15">
        <f>_xlfn.IFNA(IF(VLOOKUP($J366&amp;X$14,'Mapping A'!$A$6:$G$1011,7,0)=1,$L366,""),0)</f>
        <v>0</v>
      </c>
      <c r="Y366" s="15">
        <f>_xlfn.IFNA(IF(VLOOKUP($J366&amp;Y$14,'Mapping A'!$A$6:$G$1011,7,0)=1,$L366,""),0)</f>
        <v>0</v>
      </c>
      <c r="Z366" s="15">
        <f>_xlfn.IFNA(IF(VLOOKUP($J366&amp;Z$14,'Mapping A'!$A$6:$G$1011,7,0)=1,$L366,""),0)</f>
        <v>0</v>
      </c>
      <c r="AA366" s="15">
        <f>_xlfn.IFNA(IF(VLOOKUP($J366&amp;AA$14,'Mapping A'!$A$6:$G$1011,7,0)=1,$L366,""),0)</f>
        <v>0</v>
      </c>
      <c r="AF366" s="155" t="str">
        <f t="shared" si="122"/>
        <v>MGM0331Powerco</v>
      </c>
      <c r="AG366" s="190" t="s">
        <v>255</v>
      </c>
      <c r="AH366" s="190" t="s">
        <v>28</v>
      </c>
      <c r="AI366" s="190">
        <f t="shared" si="115"/>
        <v>11.894399999999999</v>
      </c>
      <c r="AJ366" s="292" t="s">
        <v>95</v>
      </c>
      <c r="AK366" s="15"/>
      <c r="AL366" s="15">
        <f t="shared" si="110"/>
        <v>0</v>
      </c>
      <c r="AM366" s="15"/>
      <c r="AN366" s="15">
        <f t="shared" ca="1" si="111"/>
        <v>0</v>
      </c>
      <c r="AO366" s="15">
        <f t="shared" si="112"/>
        <v>0</v>
      </c>
      <c r="AP366" s="15">
        <f t="shared" si="113"/>
        <v>0</v>
      </c>
      <c r="AQ366" s="15"/>
      <c r="AR366" s="190">
        <f t="shared" si="116"/>
        <v>0</v>
      </c>
      <c r="AS366" s="15"/>
      <c r="AT366" s="190">
        <f t="shared" si="117"/>
        <v>0</v>
      </c>
      <c r="AU366" s="190">
        <f t="shared" si="118"/>
        <v>0</v>
      </c>
      <c r="AV366" s="190">
        <f t="shared" si="119"/>
        <v>0</v>
      </c>
      <c r="AW366" s="190">
        <f t="shared" si="120"/>
        <v>0</v>
      </c>
      <c r="AX366" s="190">
        <f t="shared" si="121"/>
        <v>0</v>
      </c>
      <c r="BP366" s="190"/>
    </row>
    <row r="367" spans="2:68" x14ac:dyDescent="0.25">
      <c r="B367" s="98" t="s">
        <v>555</v>
      </c>
      <c r="C367" s="98">
        <v>2014</v>
      </c>
      <c r="D367" s="98" t="s">
        <v>219</v>
      </c>
      <c r="E367" s="98" t="s">
        <v>49</v>
      </c>
      <c r="F367" s="98" t="s">
        <v>136</v>
      </c>
      <c r="G367" s="98">
        <v>0</v>
      </c>
      <c r="H367" s="299" t="str">
        <f>VLOOKUP(LEFT('Rev Adequacy'!D367,3),'Mapping B'!$D$2:$E$400,2,0)</f>
        <v>N</v>
      </c>
      <c r="I367" s="190"/>
      <c r="J367" s="15" t="s">
        <v>256</v>
      </c>
      <c r="K367" s="190" t="s">
        <v>8</v>
      </c>
      <c r="L367" s="190">
        <f t="shared" si="114"/>
        <v>37.193100000000001</v>
      </c>
      <c r="M367" s="15"/>
      <c r="N367" s="15"/>
      <c r="O367" s="15">
        <f>_xlfn.IFNA(IF(VLOOKUP($J367&amp;O$14,'Mapping A'!$A$6:$G$1011,7,0)=1,$L367,""),0)</f>
        <v>0</v>
      </c>
      <c r="P367" s="15">
        <f>_xlfn.IFNA(IF(VLOOKUP($J367&amp;P$14,'Mapping A'!$A$6:$G$1011,7,0)=1,$L367,""),0)</f>
        <v>0</v>
      </c>
      <c r="Q367" s="15">
        <f>_xlfn.IFNA(IF(VLOOKUP($J367&amp;Q$14,'Mapping A'!$A$6:$G$1011,7,0)=1,$L367,""),0)</f>
        <v>0</v>
      </c>
      <c r="R367" s="15">
        <f>_xlfn.IFNA(IF(VLOOKUP($J367&amp;R$14,'Mapping A'!$A$6:$G$1011,7,0)=1,$L367,""),0)</f>
        <v>0</v>
      </c>
      <c r="S367" s="15">
        <f>_xlfn.IFNA(IF(VLOOKUP($J367&amp;S$14,'Mapping A'!$A$6:$G$1011,7,0)=1,$L367,""),0)</f>
        <v>0</v>
      </c>
      <c r="T367" s="15">
        <f>_xlfn.IFNA(IF(VLOOKUP($J367&amp;T$14,'Mapping A'!$A$6:$G$1011,7,0)=1,$L367,""),0)</f>
        <v>0</v>
      </c>
      <c r="U367" s="15">
        <f>_xlfn.IFNA(IF(VLOOKUP($J367&amp;U$14,'Mapping A'!$A$6:$G$1011,7,0)=1,$L367,""),0)</f>
        <v>0</v>
      </c>
      <c r="V367" s="15">
        <f>_xlfn.IFNA(IF(VLOOKUP($J367&amp;V$14,'Mapping A'!$A$6:$G$1011,7,0)=1,$L367,""),0)</f>
        <v>0</v>
      </c>
      <c r="W367" s="15">
        <f>_xlfn.IFNA(IF(VLOOKUP($J367&amp;W$14,'Mapping A'!$A$6:$G$1011,7,0)=1,$L367,""),0)</f>
        <v>0</v>
      </c>
      <c r="X367" s="15">
        <f>_xlfn.IFNA(IF(VLOOKUP($J367&amp;X$14,'Mapping A'!$A$6:$G$1011,7,0)=1,$L367,""),0)</f>
        <v>0</v>
      </c>
      <c r="Y367" s="15">
        <f>_xlfn.IFNA(IF(VLOOKUP($J367&amp;Y$14,'Mapping A'!$A$6:$G$1011,7,0)=1,$L367,""),0)</f>
        <v>0</v>
      </c>
      <c r="Z367" s="15">
        <f>_xlfn.IFNA(IF(VLOOKUP($J367&amp;Z$14,'Mapping A'!$A$6:$G$1011,7,0)=1,$L367,""),0)</f>
        <v>0</v>
      </c>
      <c r="AA367" s="15">
        <f>_xlfn.IFNA(IF(VLOOKUP($J367&amp;AA$14,'Mapping A'!$A$6:$G$1011,7,0)=1,$L367,""),0)</f>
        <v>0</v>
      </c>
      <c r="AF367" s="155" t="str">
        <f t="shared" si="122"/>
        <v>MHO0331Electra</v>
      </c>
      <c r="AG367" s="190" t="s">
        <v>256</v>
      </c>
      <c r="AH367" s="190" t="s">
        <v>8</v>
      </c>
      <c r="AI367" s="190">
        <f t="shared" si="115"/>
        <v>37.193100000000001</v>
      </c>
      <c r="AJ367" s="292" t="s">
        <v>95</v>
      </c>
      <c r="AK367" s="15"/>
      <c r="AL367" s="15">
        <f t="shared" si="110"/>
        <v>0</v>
      </c>
      <c r="AM367" s="15"/>
      <c r="AN367" s="15">
        <f t="shared" ca="1" si="111"/>
        <v>0</v>
      </c>
      <c r="AO367" s="15">
        <f t="shared" si="112"/>
        <v>0</v>
      </c>
      <c r="AP367" s="15">
        <f t="shared" si="113"/>
        <v>0</v>
      </c>
      <c r="AQ367" s="15"/>
      <c r="AR367" s="190">
        <f t="shared" si="116"/>
        <v>0</v>
      </c>
      <c r="AS367" s="15"/>
      <c r="AT367" s="190">
        <f t="shared" si="117"/>
        <v>0</v>
      </c>
      <c r="AU367" s="190">
        <f t="shared" si="118"/>
        <v>0</v>
      </c>
      <c r="AV367" s="190">
        <f t="shared" si="119"/>
        <v>0</v>
      </c>
      <c r="AW367" s="190">
        <f t="shared" si="120"/>
        <v>0</v>
      </c>
      <c r="AX367" s="190">
        <f t="shared" si="121"/>
        <v>0</v>
      </c>
      <c r="BP367" s="190"/>
    </row>
    <row r="368" spans="2:68" x14ac:dyDescent="0.25">
      <c r="B368" s="98" t="s">
        <v>555</v>
      </c>
      <c r="C368" s="98">
        <v>2014</v>
      </c>
      <c r="D368" s="98" t="s">
        <v>244</v>
      </c>
      <c r="E368" s="98" t="s">
        <v>49</v>
      </c>
      <c r="F368" s="98" t="s">
        <v>131</v>
      </c>
      <c r="G368" s="98">
        <v>26911.272000000001</v>
      </c>
      <c r="H368" s="299" t="str">
        <f>VLOOKUP(LEFT('Rev Adequacy'!D368,3),'Mapping B'!$D$2:$E$400,2,0)</f>
        <v>N</v>
      </c>
      <c r="I368" s="190"/>
      <c r="J368" s="15" t="s">
        <v>258</v>
      </c>
      <c r="K368" s="190" t="s">
        <v>33</v>
      </c>
      <c r="L368" s="190">
        <f t="shared" si="114"/>
        <v>0.86939999999999995</v>
      </c>
      <c r="M368" s="15"/>
      <c r="N368" s="15"/>
      <c r="O368" s="15">
        <f>_xlfn.IFNA(IF(VLOOKUP($J368&amp;O$14,'Mapping A'!$A$6:$G$1011,7,0)=1,$L368,""),0)</f>
        <v>0</v>
      </c>
      <c r="P368" s="15">
        <f>_xlfn.IFNA(IF(VLOOKUP($J368&amp;P$14,'Mapping A'!$A$6:$G$1011,7,0)=1,$L368,""),0)</f>
        <v>0</v>
      </c>
      <c r="Q368" s="15">
        <f>_xlfn.IFNA(IF(VLOOKUP($J368&amp;Q$14,'Mapping A'!$A$6:$G$1011,7,0)=1,$L368,""),0)</f>
        <v>0</v>
      </c>
      <c r="R368" s="15">
        <f>_xlfn.IFNA(IF(VLOOKUP($J368&amp;R$14,'Mapping A'!$A$6:$G$1011,7,0)=1,$L368,""),0)</f>
        <v>0</v>
      </c>
      <c r="S368" s="15">
        <f>_xlfn.IFNA(IF(VLOOKUP($J368&amp;S$14,'Mapping A'!$A$6:$G$1011,7,0)=1,$L368,""),0)</f>
        <v>0</v>
      </c>
      <c r="T368" s="15">
        <f>_xlfn.IFNA(IF(VLOOKUP($J368&amp;T$14,'Mapping A'!$A$6:$G$1011,7,0)=1,$L368,""),0)</f>
        <v>0</v>
      </c>
      <c r="U368" s="15">
        <f>_xlfn.IFNA(IF(VLOOKUP($J368&amp;U$14,'Mapping A'!$A$6:$G$1011,7,0)=1,$L368,""),0)</f>
        <v>0</v>
      </c>
      <c r="V368" s="15">
        <f>_xlfn.IFNA(IF(VLOOKUP($J368&amp;V$14,'Mapping A'!$A$6:$G$1011,7,0)=1,$L368,""),0)</f>
        <v>0</v>
      </c>
      <c r="W368" s="15">
        <f>_xlfn.IFNA(IF(VLOOKUP($J368&amp;W$14,'Mapping A'!$A$6:$G$1011,7,0)=1,$L368,""),0)</f>
        <v>0</v>
      </c>
      <c r="X368" s="15">
        <f>_xlfn.IFNA(IF(VLOOKUP($J368&amp;X$14,'Mapping A'!$A$6:$G$1011,7,0)=1,$L368,""),0)</f>
        <v>0</v>
      </c>
      <c r="Y368" s="15">
        <f>_xlfn.IFNA(IF(VLOOKUP($J368&amp;Y$14,'Mapping A'!$A$6:$G$1011,7,0)=1,$L368,""),0)</f>
        <v>0</v>
      </c>
      <c r="Z368" s="15">
        <f>_xlfn.IFNA(IF(VLOOKUP($J368&amp;Z$14,'Mapping A'!$A$6:$G$1011,7,0)=1,$L368,""),0)</f>
        <v>0</v>
      </c>
      <c r="AA368" s="15">
        <f>_xlfn.IFNA(IF(VLOOKUP($J368&amp;AA$14,'Mapping A'!$A$6:$G$1011,7,0)=1,$L368,""),0)</f>
        <v>0</v>
      </c>
      <c r="AF368" s="155" t="str">
        <f t="shared" si="122"/>
        <v>MKE1101Todd</v>
      </c>
      <c r="AG368" s="190" t="s">
        <v>258</v>
      </c>
      <c r="AH368" s="190" t="s">
        <v>33</v>
      </c>
      <c r="AI368" s="190">
        <f t="shared" si="115"/>
        <v>0.86939999999999995</v>
      </c>
      <c r="AJ368" s="292" t="s">
        <v>95</v>
      </c>
      <c r="AK368" s="15"/>
      <c r="AL368" s="15">
        <f t="shared" si="110"/>
        <v>0</v>
      </c>
      <c r="AM368" s="15"/>
      <c r="AN368" s="15">
        <f t="shared" ca="1" si="111"/>
        <v>0</v>
      </c>
      <c r="AO368" s="15">
        <f t="shared" si="112"/>
        <v>0</v>
      </c>
      <c r="AP368" s="15">
        <f t="shared" si="113"/>
        <v>0</v>
      </c>
      <c r="AQ368" s="15"/>
      <c r="AR368" s="190">
        <f t="shared" si="116"/>
        <v>0</v>
      </c>
      <c r="AS368" s="15"/>
      <c r="AT368" s="190">
        <f t="shared" si="117"/>
        <v>0</v>
      </c>
      <c r="AU368" s="190">
        <f t="shared" si="118"/>
        <v>0</v>
      </c>
      <c r="AV368" s="190">
        <f t="shared" si="119"/>
        <v>0</v>
      </c>
      <c r="AW368" s="190">
        <f t="shared" si="120"/>
        <v>0</v>
      </c>
      <c r="AX368" s="190">
        <f t="shared" si="121"/>
        <v>0</v>
      </c>
      <c r="BP368" s="190"/>
    </row>
    <row r="369" spans="2:68" x14ac:dyDescent="0.25">
      <c r="B369" s="98" t="s">
        <v>555</v>
      </c>
      <c r="C369" s="98">
        <v>2014</v>
      </c>
      <c r="D369" s="98" t="s">
        <v>245</v>
      </c>
      <c r="E369" s="98" t="s">
        <v>49</v>
      </c>
      <c r="F369" s="98" t="s">
        <v>131</v>
      </c>
      <c r="G369" s="98">
        <v>25943.211999999901</v>
      </c>
      <c r="H369" s="299" t="str">
        <f>VLOOKUP(LEFT('Rev Adequacy'!D369,3),'Mapping B'!$D$2:$E$400,2,0)</f>
        <v>N</v>
      </c>
      <c r="I369" s="190"/>
      <c r="J369" s="15" t="s">
        <v>260</v>
      </c>
      <c r="K369" s="190" t="s">
        <v>40</v>
      </c>
      <c r="L369" s="190">
        <f t="shared" si="114"/>
        <v>27.388200000000001</v>
      </c>
      <c r="M369" s="15"/>
      <c r="N369" s="15"/>
      <c r="O369" s="15">
        <f>_xlfn.IFNA(IF(VLOOKUP($J369&amp;O$14,'Mapping A'!$A$6:$G$1011,7,0)=1,$L369,""),0)</f>
        <v>0</v>
      </c>
      <c r="P369" s="15">
        <f>_xlfn.IFNA(IF(VLOOKUP($J369&amp;P$14,'Mapping A'!$A$6:$G$1011,7,0)=1,$L369,""),0)</f>
        <v>0</v>
      </c>
      <c r="Q369" s="15">
        <f>_xlfn.IFNA(IF(VLOOKUP($J369&amp;Q$14,'Mapping A'!$A$6:$G$1011,7,0)=1,$L369,""),0)</f>
        <v>0</v>
      </c>
      <c r="R369" s="15">
        <f>_xlfn.IFNA(IF(VLOOKUP($J369&amp;R$14,'Mapping A'!$A$6:$G$1011,7,0)=1,$L369,""),0)</f>
        <v>0</v>
      </c>
      <c r="S369" s="15">
        <f>_xlfn.IFNA(IF(VLOOKUP($J369&amp;S$14,'Mapping A'!$A$6:$G$1011,7,0)=1,$L369,""),0)</f>
        <v>0</v>
      </c>
      <c r="T369" s="15">
        <f>_xlfn.IFNA(IF(VLOOKUP($J369&amp;T$14,'Mapping A'!$A$6:$G$1011,7,0)=1,$L369,""),0)</f>
        <v>0</v>
      </c>
      <c r="U369" s="15">
        <f>_xlfn.IFNA(IF(VLOOKUP($J369&amp;U$14,'Mapping A'!$A$6:$G$1011,7,0)=1,$L369,""),0)</f>
        <v>0</v>
      </c>
      <c r="V369" s="15">
        <f>_xlfn.IFNA(IF(VLOOKUP($J369&amp;V$14,'Mapping A'!$A$6:$G$1011,7,0)=1,$L369,""),0)</f>
        <v>0</v>
      </c>
      <c r="W369" s="15">
        <f>_xlfn.IFNA(IF(VLOOKUP($J369&amp;W$14,'Mapping A'!$A$6:$G$1011,7,0)=1,$L369,""),0)</f>
        <v>0</v>
      </c>
      <c r="X369" s="15">
        <f>_xlfn.IFNA(IF(VLOOKUP($J369&amp;X$14,'Mapping A'!$A$6:$G$1011,7,0)=1,$L369,""),0)</f>
        <v>0</v>
      </c>
      <c r="Y369" s="15">
        <f>_xlfn.IFNA(IF(VLOOKUP($J369&amp;Y$14,'Mapping A'!$A$6:$G$1011,7,0)=1,$L369,""),0)</f>
        <v>0</v>
      </c>
      <c r="Z369" s="15">
        <f>_xlfn.IFNA(IF(VLOOKUP($J369&amp;Z$14,'Mapping A'!$A$6:$G$1011,7,0)=1,$L369,""),0)</f>
        <v>0</v>
      </c>
      <c r="AA369" s="15">
        <f>_xlfn.IFNA(IF(VLOOKUP($J369&amp;AA$14,'Mapping A'!$A$6:$G$1011,7,0)=1,$L369,""),0)</f>
        <v>0</v>
      </c>
      <c r="AF369" s="155" t="str">
        <f t="shared" si="122"/>
        <v>MLG0111Wellington Electricity</v>
      </c>
      <c r="AG369" s="190" t="s">
        <v>260</v>
      </c>
      <c r="AH369" s="190" t="s">
        <v>40</v>
      </c>
      <c r="AI369" s="190">
        <f t="shared" si="115"/>
        <v>27.388200000000001</v>
      </c>
      <c r="AJ369" s="292" t="s">
        <v>95</v>
      </c>
      <c r="AK369" s="15"/>
      <c r="AL369" s="15">
        <f t="shared" si="110"/>
        <v>0</v>
      </c>
      <c r="AM369" s="15"/>
      <c r="AN369" s="15">
        <f t="shared" ca="1" si="111"/>
        <v>0</v>
      </c>
      <c r="AO369" s="15">
        <f t="shared" si="112"/>
        <v>0</v>
      </c>
      <c r="AP369" s="15">
        <f t="shared" si="113"/>
        <v>0</v>
      </c>
      <c r="AQ369" s="15"/>
      <c r="AR369" s="190">
        <f t="shared" si="116"/>
        <v>0</v>
      </c>
      <c r="AS369" s="15"/>
      <c r="AT369" s="190">
        <f t="shared" si="117"/>
        <v>0</v>
      </c>
      <c r="AU369" s="190">
        <f t="shared" si="118"/>
        <v>0</v>
      </c>
      <c r="AV369" s="190">
        <f t="shared" si="119"/>
        <v>0</v>
      </c>
      <c r="AW369" s="190">
        <f t="shared" si="120"/>
        <v>0</v>
      </c>
      <c r="AX369" s="190">
        <f t="shared" si="121"/>
        <v>0</v>
      </c>
      <c r="BP369" s="190"/>
    </row>
    <row r="370" spans="2:68" x14ac:dyDescent="0.25">
      <c r="B370" s="98" t="s">
        <v>112</v>
      </c>
      <c r="C370" s="98">
        <v>2014</v>
      </c>
      <c r="D370" s="98" t="s">
        <v>218</v>
      </c>
      <c r="E370" s="98" t="s">
        <v>49</v>
      </c>
      <c r="F370" s="98" t="s">
        <v>136</v>
      </c>
      <c r="G370" s="98">
        <v>0</v>
      </c>
      <c r="H370" s="299" t="str">
        <f>VLOOKUP(LEFT('Rev Adequacy'!D370,3),'Mapping B'!$D$2:$E$400,2,0)</f>
        <v>N</v>
      </c>
      <c r="I370" s="190"/>
      <c r="J370" s="15" t="s">
        <v>261</v>
      </c>
      <c r="K370" s="190" t="s">
        <v>40</v>
      </c>
      <c r="L370" s="190">
        <f t="shared" si="114"/>
        <v>37.232999999999997</v>
      </c>
      <c r="M370" s="15"/>
      <c r="N370" s="15"/>
      <c r="O370" s="15">
        <f>_xlfn.IFNA(IF(VLOOKUP($J370&amp;O$14,'Mapping A'!$A$6:$G$1011,7,0)=1,$L370,""),0)</f>
        <v>0</v>
      </c>
      <c r="P370" s="15">
        <f>_xlfn.IFNA(IF(VLOOKUP($J370&amp;P$14,'Mapping A'!$A$6:$G$1011,7,0)=1,$L370,""),0)</f>
        <v>0</v>
      </c>
      <c r="Q370" s="15">
        <f>_xlfn.IFNA(IF(VLOOKUP($J370&amp;Q$14,'Mapping A'!$A$6:$G$1011,7,0)=1,$L370,""),0)</f>
        <v>0</v>
      </c>
      <c r="R370" s="15">
        <f>_xlfn.IFNA(IF(VLOOKUP($J370&amp;R$14,'Mapping A'!$A$6:$G$1011,7,0)=1,$L370,""),0)</f>
        <v>0</v>
      </c>
      <c r="S370" s="15">
        <f>_xlfn.IFNA(IF(VLOOKUP($J370&amp;S$14,'Mapping A'!$A$6:$G$1011,7,0)=1,$L370,""),0)</f>
        <v>0</v>
      </c>
      <c r="T370" s="15">
        <f>_xlfn.IFNA(IF(VLOOKUP($J370&amp;T$14,'Mapping A'!$A$6:$G$1011,7,0)=1,$L370,""),0)</f>
        <v>0</v>
      </c>
      <c r="U370" s="15">
        <f>_xlfn.IFNA(IF(VLOOKUP($J370&amp;U$14,'Mapping A'!$A$6:$G$1011,7,0)=1,$L370,""),0)</f>
        <v>0</v>
      </c>
      <c r="V370" s="15">
        <f>_xlfn.IFNA(IF(VLOOKUP($J370&amp;V$14,'Mapping A'!$A$6:$G$1011,7,0)=1,$L370,""),0)</f>
        <v>0</v>
      </c>
      <c r="W370" s="15">
        <f>_xlfn.IFNA(IF(VLOOKUP($J370&amp;W$14,'Mapping A'!$A$6:$G$1011,7,0)=1,$L370,""),0)</f>
        <v>0</v>
      </c>
      <c r="X370" s="15">
        <f>_xlfn.IFNA(IF(VLOOKUP($J370&amp;X$14,'Mapping A'!$A$6:$G$1011,7,0)=1,$L370,""),0)</f>
        <v>0</v>
      </c>
      <c r="Y370" s="15">
        <f>_xlfn.IFNA(IF(VLOOKUP($J370&amp;Y$14,'Mapping A'!$A$6:$G$1011,7,0)=1,$L370,""),0)</f>
        <v>0</v>
      </c>
      <c r="Z370" s="15">
        <f>_xlfn.IFNA(IF(VLOOKUP($J370&amp;Z$14,'Mapping A'!$A$6:$G$1011,7,0)=1,$L370,""),0)</f>
        <v>0</v>
      </c>
      <c r="AA370" s="15">
        <f>_xlfn.IFNA(IF(VLOOKUP($J370&amp;AA$14,'Mapping A'!$A$6:$G$1011,7,0)=1,$L370,""),0)</f>
        <v>0</v>
      </c>
      <c r="AF370" s="155" t="str">
        <f t="shared" si="122"/>
        <v>MLG0331Wellington Electricity</v>
      </c>
      <c r="AG370" s="190" t="s">
        <v>261</v>
      </c>
      <c r="AH370" s="190" t="s">
        <v>40</v>
      </c>
      <c r="AI370" s="190">
        <f t="shared" si="115"/>
        <v>37.232999999999997</v>
      </c>
      <c r="AJ370" s="292" t="s">
        <v>95</v>
      </c>
      <c r="AK370" s="15"/>
      <c r="AL370" s="15">
        <f t="shared" si="110"/>
        <v>0</v>
      </c>
      <c r="AM370" s="15"/>
      <c r="AN370" s="15">
        <f t="shared" ca="1" si="111"/>
        <v>0</v>
      </c>
      <c r="AO370" s="15">
        <f t="shared" si="112"/>
        <v>0</v>
      </c>
      <c r="AP370" s="15">
        <f t="shared" si="113"/>
        <v>0</v>
      </c>
      <c r="AQ370" s="15"/>
      <c r="AR370" s="190">
        <f t="shared" si="116"/>
        <v>0</v>
      </c>
      <c r="AS370" s="15"/>
      <c r="AT370" s="190">
        <f t="shared" si="117"/>
        <v>0</v>
      </c>
      <c r="AU370" s="190">
        <f t="shared" si="118"/>
        <v>0</v>
      </c>
      <c r="AV370" s="190">
        <f t="shared" si="119"/>
        <v>0</v>
      </c>
      <c r="AW370" s="190">
        <f t="shared" si="120"/>
        <v>0</v>
      </c>
      <c r="AX370" s="190">
        <f t="shared" si="121"/>
        <v>0</v>
      </c>
      <c r="BP370" s="190"/>
    </row>
    <row r="371" spans="2:68" x14ac:dyDescent="0.25">
      <c r="B371" s="98" t="s">
        <v>112</v>
      </c>
      <c r="C371" s="98">
        <v>2014</v>
      </c>
      <c r="D371" s="98" t="s">
        <v>219</v>
      </c>
      <c r="E371" s="98" t="s">
        <v>49</v>
      </c>
      <c r="F371" s="98" t="s">
        <v>136</v>
      </c>
      <c r="G371" s="98">
        <v>0</v>
      </c>
      <c r="H371" s="299" t="str">
        <f>VLOOKUP(LEFT('Rev Adequacy'!D371,3),'Mapping B'!$D$2:$E$400,2,0)</f>
        <v>N</v>
      </c>
      <c r="I371" s="190"/>
      <c r="J371" s="15" t="s">
        <v>262</v>
      </c>
      <c r="K371" s="190" t="s">
        <v>37</v>
      </c>
      <c r="L371" s="190">
        <f t="shared" si="114"/>
        <v>100.89660000000001</v>
      </c>
      <c r="M371" s="15"/>
      <c r="N371" s="15"/>
      <c r="O371" s="15">
        <f>_xlfn.IFNA(IF(VLOOKUP($J371&amp;O$14,'Mapping A'!$A$6:$G$1011,7,0)=1,$L371,""),0)</f>
        <v>0</v>
      </c>
      <c r="P371" s="15">
        <f>_xlfn.IFNA(IF(VLOOKUP($J371&amp;P$14,'Mapping A'!$A$6:$G$1011,7,0)=1,$L371,""),0)</f>
        <v>0</v>
      </c>
      <c r="Q371" s="15">
        <f>_xlfn.IFNA(IF(VLOOKUP($J371&amp;Q$14,'Mapping A'!$A$6:$G$1011,7,0)=1,$L371,""),0)</f>
        <v>0</v>
      </c>
      <c r="R371" s="15">
        <f>_xlfn.IFNA(IF(VLOOKUP($J371&amp;R$14,'Mapping A'!$A$6:$G$1011,7,0)=1,$L371,""),0)</f>
        <v>0</v>
      </c>
      <c r="S371" s="15">
        <f>_xlfn.IFNA(IF(VLOOKUP($J371&amp;S$14,'Mapping A'!$A$6:$G$1011,7,0)=1,$L371,""),0)</f>
        <v>0</v>
      </c>
      <c r="T371" s="15">
        <f>_xlfn.IFNA(IF(VLOOKUP($J371&amp;T$14,'Mapping A'!$A$6:$G$1011,7,0)=1,$L371,""),0)</f>
        <v>100.89660000000001</v>
      </c>
      <c r="U371" s="15">
        <f>_xlfn.IFNA(IF(VLOOKUP($J371&amp;U$14,'Mapping A'!$A$6:$G$1011,7,0)=1,$L371,""),0)</f>
        <v>0</v>
      </c>
      <c r="V371" s="15">
        <f>_xlfn.IFNA(IF(VLOOKUP($J371&amp;V$14,'Mapping A'!$A$6:$G$1011,7,0)=1,$L371,""),0)</f>
        <v>0</v>
      </c>
      <c r="W371" s="15">
        <f>_xlfn.IFNA(IF(VLOOKUP($J371&amp;W$14,'Mapping A'!$A$6:$G$1011,7,0)=1,$L371,""),0)</f>
        <v>0</v>
      </c>
      <c r="X371" s="15">
        <f>_xlfn.IFNA(IF(VLOOKUP($J371&amp;X$14,'Mapping A'!$A$6:$G$1011,7,0)=1,$L371,""),0)</f>
        <v>0</v>
      </c>
      <c r="Y371" s="15">
        <f>_xlfn.IFNA(IF(VLOOKUP($J371&amp;Y$14,'Mapping A'!$A$6:$G$1011,7,0)=1,$L371,""),0)</f>
        <v>0</v>
      </c>
      <c r="Z371" s="15">
        <f>_xlfn.IFNA(IF(VLOOKUP($J371&amp;Z$14,'Mapping A'!$A$6:$G$1011,7,0)=1,$L371,""),0)</f>
        <v>0</v>
      </c>
      <c r="AA371" s="15">
        <f>_xlfn.IFNA(IF(VLOOKUP($J371&amp;AA$14,'Mapping A'!$A$6:$G$1011,7,0)=1,$L371,""),0)</f>
        <v>0</v>
      </c>
      <c r="AF371" s="155" t="str">
        <f t="shared" si="122"/>
        <v>MNG0331Vector</v>
      </c>
      <c r="AG371" s="190" t="s">
        <v>262</v>
      </c>
      <c r="AH371" s="190" t="s">
        <v>37</v>
      </c>
      <c r="AI371" s="190">
        <f t="shared" si="115"/>
        <v>100.89660000000001</v>
      </c>
      <c r="AJ371" s="292" t="s">
        <v>95</v>
      </c>
      <c r="AK371" s="15"/>
      <c r="AL371" s="15">
        <f t="shared" si="110"/>
        <v>0</v>
      </c>
      <c r="AM371" s="15"/>
      <c r="AN371" s="15">
        <f t="shared" ca="1" si="111"/>
        <v>0</v>
      </c>
      <c r="AO371" s="15">
        <f t="shared" si="112"/>
        <v>0</v>
      </c>
      <c r="AP371" s="15">
        <f t="shared" si="113"/>
        <v>0</v>
      </c>
      <c r="AQ371" s="15"/>
      <c r="AR371" s="190">
        <f t="shared" si="116"/>
        <v>0</v>
      </c>
      <c r="AS371" s="15"/>
      <c r="AT371" s="190">
        <f t="shared" si="117"/>
        <v>0</v>
      </c>
      <c r="AU371" s="190">
        <f t="shared" si="118"/>
        <v>0</v>
      </c>
      <c r="AV371" s="190">
        <f t="shared" si="119"/>
        <v>0</v>
      </c>
      <c r="AW371" s="190">
        <f t="shared" si="120"/>
        <v>0</v>
      </c>
      <c r="AX371" s="190">
        <f t="shared" si="121"/>
        <v>0</v>
      </c>
      <c r="BP371" s="190"/>
    </row>
    <row r="372" spans="2:68" x14ac:dyDescent="0.25">
      <c r="B372" s="98" t="s">
        <v>112</v>
      </c>
      <c r="C372" s="98">
        <v>2014</v>
      </c>
      <c r="D372" s="98" t="s">
        <v>244</v>
      </c>
      <c r="E372" s="98" t="s">
        <v>49</v>
      </c>
      <c r="F372" s="98" t="s">
        <v>131</v>
      </c>
      <c r="G372" s="98">
        <v>629519.78999999899</v>
      </c>
      <c r="H372" s="299" t="str">
        <f>VLOOKUP(LEFT('Rev Adequacy'!D372,3),'Mapping B'!$D$2:$E$400,2,0)</f>
        <v>N</v>
      </c>
      <c r="I372" s="190"/>
      <c r="J372" s="15" t="s">
        <v>263</v>
      </c>
      <c r="K372" s="190" t="s">
        <v>50</v>
      </c>
      <c r="L372" s="190">
        <f t="shared" si="114"/>
        <v>0</v>
      </c>
      <c r="M372" s="15"/>
      <c r="N372" s="15"/>
      <c r="O372" s="15">
        <f>_xlfn.IFNA(IF(VLOOKUP($J372&amp;O$14,'Mapping A'!$A$6:$G$1011,7,0)=1,$L372,""),0)</f>
        <v>0</v>
      </c>
      <c r="P372" s="15">
        <f>_xlfn.IFNA(IF(VLOOKUP($J372&amp;P$14,'Mapping A'!$A$6:$G$1011,7,0)=1,$L372,""),0)</f>
        <v>0</v>
      </c>
      <c r="Q372" s="15">
        <f>_xlfn.IFNA(IF(VLOOKUP($J372&amp;Q$14,'Mapping A'!$A$6:$G$1011,7,0)=1,$L372,""),0)</f>
        <v>0</v>
      </c>
      <c r="R372" s="15">
        <f>_xlfn.IFNA(IF(VLOOKUP($J372&amp;R$14,'Mapping A'!$A$6:$G$1011,7,0)=1,$L372,""),0)</f>
        <v>0</v>
      </c>
      <c r="S372" s="15">
        <f>_xlfn.IFNA(IF(VLOOKUP($J372&amp;S$14,'Mapping A'!$A$6:$G$1011,7,0)=1,$L372,""),0)</f>
        <v>0</v>
      </c>
      <c r="T372" s="15">
        <f>_xlfn.IFNA(IF(VLOOKUP($J372&amp;T$14,'Mapping A'!$A$6:$G$1011,7,0)=1,$L372,""),0)</f>
        <v>0</v>
      </c>
      <c r="U372" s="15">
        <f>_xlfn.IFNA(IF(VLOOKUP($J372&amp;U$14,'Mapping A'!$A$6:$G$1011,7,0)=1,$L372,""),0)</f>
        <v>0</v>
      </c>
      <c r="V372" s="15">
        <f>_xlfn.IFNA(IF(VLOOKUP($J372&amp;V$14,'Mapping A'!$A$6:$G$1011,7,0)=1,$L372,""),0)</f>
        <v>0</v>
      </c>
      <c r="W372" s="15">
        <f>_xlfn.IFNA(IF(VLOOKUP($J372&amp;W$14,'Mapping A'!$A$6:$G$1011,7,0)=1,$L372,""),0)</f>
        <v>0</v>
      </c>
      <c r="X372" s="15">
        <f>_xlfn.IFNA(IF(VLOOKUP($J372&amp;X$14,'Mapping A'!$A$6:$G$1011,7,0)=1,$L372,""),0)</f>
        <v>0</v>
      </c>
      <c r="Y372" s="15">
        <f>_xlfn.IFNA(IF(VLOOKUP($J372&amp;Y$14,'Mapping A'!$A$6:$G$1011,7,0)=1,$L372,""),0)</f>
        <v>0</v>
      </c>
      <c r="Z372" s="15">
        <f>_xlfn.IFNA(IF(VLOOKUP($J372&amp;Z$14,'Mapping A'!$A$6:$G$1011,7,0)=1,$L372,""),0)</f>
        <v>0</v>
      </c>
      <c r="AA372" s="15">
        <f>_xlfn.IFNA(IF(VLOOKUP($J372&amp;AA$14,'Mapping A'!$A$6:$G$1011,7,0)=1,$L372,""),0)</f>
        <v>0</v>
      </c>
      <c r="AF372" s="155" t="str">
        <f t="shared" si="122"/>
        <v>MNG1101Pacific Steel</v>
      </c>
      <c r="AG372" s="190" t="s">
        <v>263</v>
      </c>
      <c r="AH372" s="190" t="s">
        <v>50</v>
      </c>
      <c r="AI372" s="190">
        <f t="shared" si="115"/>
        <v>0</v>
      </c>
      <c r="AJ372" s="292" t="s">
        <v>95</v>
      </c>
      <c r="AK372" s="15"/>
      <c r="AL372" s="15">
        <f t="shared" si="110"/>
        <v>0</v>
      </c>
      <c r="AM372" s="15"/>
      <c r="AN372" s="15">
        <f t="shared" ca="1" si="111"/>
        <v>0</v>
      </c>
      <c r="AO372" s="15">
        <f t="shared" si="112"/>
        <v>0</v>
      </c>
      <c r="AP372" s="15">
        <f t="shared" si="113"/>
        <v>0</v>
      </c>
      <c r="AQ372" s="15"/>
      <c r="AR372" s="190">
        <f t="shared" si="116"/>
        <v>0</v>
      </c>
      <c r="AS372" s="15"/>
      <c r="AT372" s="190">
        <f t="shared" si="117"/>
        <v>0</v>
      </c>
      <c r="AU372" s="190">
        <f t="shared" si="118"/>
        <v>0</v>
      </c>
      <c r="AV372" s="190">
        <f t="shared" si="119"/>
        <v>0</v>
      </c>
      <c r="AW372" s="190">
        <f t="shared" si="120"/>
        <v>0</v>
      </c>
      <c r="AX372" s="190">
        <f t="shared" si="121"/>
        <v>0</v>
      </c>
      <c r="BP372" s="190"/>
    </row>
    <row r="373" spans="2:68" x14ac:dyDescent="0.25">
      <c r="B373" s="98" t="s">
        <v>112</v>
      </c>
      <c r="C373" s="98">
        <v>2014</v>
      </c>
      <c r="D373" s="98" t="s">
        <v>245</v>
      </c>
      <c r="E373" s="98" t="s">
        <v>49</v>
      </c>
      <c r="F373" s="98" t="s">
        <v>131</v>
      </c>
      <c r="G373" s="98">
        <v>634177.96499999997</v>
      </c>
      <c r="H373" s="299" t="str">
        <f>VLOOKUP(LEFT('Rev Adequacy'!D373,3),'Mapping B'!$D$2:$E$400,2,0)</f>
        <v>N</v>
      </c>
      <c r="I373" s="190"/>
      <c r="J373" s="15" t="s">
        <v>264</v>
      </c>
      <c r="K373" s="190" t="s">
        <v>15</v>
      </c>
      <c r="L373" s="190">
        <f t="shared" si="114"/>
        <v>9.5024999999999995</v>
      </c>
      <c r="M373" s="15"/>
      <c r="N373" s="15"/>
      <c r="O373" s="15">
        <f>_xlfn.IFNA(IF(VLOOKUP($J373&amp;O$14,'Mapping A'!$A$6:$G$1011,7,0)=1,$L373,""),0)</f>
        <v>0</v>
      </c>
      <c r="P373" s="15">
        <f>_xlfn.IFNA(IF(VLOOKUP($J373&amp;P$14,'Mapping A'!$A$6:$G$1011,7,0)=1,$L373,""),0)</f>
        <v>0</v>
      </c>
      <c r="Q373" s="15">
        <f>_xlfn.IFNA(IF(VLOOKUP($J373&amp;Q$14,'Mapping A'!$A$6:$G$1011,7,0)=1,$L373,""),0)</f>
        <v>0</v>
      </c>
      <c r="R373" s="15">
        <f>_xlfn.IFNA(IF(VLOOKUP($J373&amp;R$14,'Mapping A'!$A$6:$G$1011,7,0)=1,$L373,""),0)</f>
        <v>0</v>
      </c>
      <c r="S373" s="15">
        <f>_xlfn.IFNA(IF(VLOOKUP($J373&amp;S$14,'Mapping A'!$A$6:$G$1011,7,0)=1,$L373,""),0)</f>
        <v>0</v>
      </c>
      <c r="T373" s="15">
        <f>_xlfn.IFNA(IF(VLOOKUP($J373&amp;T$14,'Mapping A'!$A$6:$G$1011,7,0)=1,$L373,""),0)</f>
        <v>0</v>
      </c>
      <c r="U373" s="15">
        <f>_xlfn.IFNA(IF(VLOOKUP($J373&amp;U$14,'Mapping A'!$A$6:$G$1011,7,0)=1,$L373,""),0)</f>
        <v>0</v>
      </c>
      <c r="V373" s="15">
        <f>_xlfn.IFNA(IF(VLOOKUP($J373&amp;V$14,'Mapping A'!$A$6:$G$1011,7,0)=1,$L373,""),0)</f>
        <v>0</v>
      </c>
      <c r="W373" s="15">
        <f>_xlfn.IFNA(IF(VLOOKUP($J373&amp;W$14,'Mapping A'!$A$6:$G$1011,7,0)=1,$L373,""),0)</f>
        <v>0</v>
      </c>
      <c r="X373" s="15">
        <f>_xlfn.IFNA(IF(VLOOKUP($J373&amp;X$14,'Mapping A'!$A$6:$G$1011,7,0)=1,$L373,""),0)</f>
        <v>0</v>
      </c>
      <c r="Y373" s="15">
        <f>_xlfn.IFNA(IF(VLOOKUP($J373&amp;Y$14,'Mapping A'!$A$6:$G$1011,7,0)=1,$L373,""),0)</f>
        <v>0</v>
      </c>
      <c r="Z373" s="15">
        <f>_xlfn.IFNA(IF(VLOOKUP($J373&amp;Z$14,'Mapping A'!$A$6:$G$1011,7,0)=1,$L373,""),0)</f>
        <v>0</v>
      </c>
      <c r="AA373" s="15">
        <f>_xlfn.IFNA(IF(VLOOKUP($J373&amp;AA$14,'Mapping A'!$A$6:$G$1011,7,0)=1,$L373,""),0)</f>
        <v>0</v>
      </c>
      <c r="AF373" s="155" t="str">
        <f t="shared" si="122"/>
        <v>MNI0111Methanex</v>
      </c>
      <c r="AG373" s="190" t="s">
        <v>264</v>
      </c>
      <c r="AH373" s="190" t="s">
        <v>15</v>
      </c>
      <c r="AI373" s="190">
        <f t="shared" si="115"/>
        <v>9.5024999999999995</v>
      </c>
      <c r="AJ373" s="292" t="s">
        <v>95</v>
      </c>
      <c r="AK373" s="15"/>
      <c r="AL373" s="15">
        <f t="shared" si="110"/>
        <v>0</v>
      </c>
      <c r="AM373" s="15"/>
      <c r="AN373" s="15">
        <f t="shared" ca="1" si="111"/>
        <v>0</v>
      </c>
      <c r="AO373" s="15">
        <f t="shared" si="112"/>
        <v>0</v>
      </c>
      <c r="AP373" s="15">
        <f t="shared" si="113"/>
        <v>0</v>
      </c>
      <c r="AQ373" s="15"/>
      <c r="AR373" s="190">
        <f t="shared" si="116"/>
        <v>0</v>
      </c>
      <c r="AS373" s="15"/>
      <c r="AT373" s="190">
        <f t="shared" si="117"/>
        <v>0</v>
      </c>
      <c r="AU373" s="190">
        <f t="shared" si="118"/>
        <v>0</v>
      </c>
      <c r="AV373" s="190">
        <f t="shared" si="119"/>
        <v>0</v>
      </c>
      <c r="AW373" s="190">
        <f t="shared" si="120"/>
        <v>0</v>
      </c>
      <c r="AX373" s="190">
        <f t="shared" si="121"/>
        <v>0</v>
      </c>
      <c r="BP373" s="190"/>
    </row>
    <row r="374" spans="2:68" x14ac:dyDescent="0.25">
      <c r="B374" s="98" t="s">
        <v>111</v>
      </c>
      <c r="C374" s="98">
        <v>2014</v>
      </c>
      <c r="D374" s="98" t="s">
        <v>218</v>
      </c>
      <c r="E374" s="98" t="s">
        <v>49</v>
      </c>
      <c r="F374" s="98" t="s">
        <v>136</v>
      </c>
      <c r="G374" s="98">
        <v>0</v>
      </c>
      <c r="H374" s="299" t="str">
        <f>VLOOKUP(LEFT('Rev Adequacy'!D374,3),'Mapping B'!$D$2:$E$400,2,0)</f>
        <v>N</v>
      </c>
      <c r="I374" s="190"/>
      <c r="J374" s="15" t="s">
        <v>265</v>
      </c>
      <c r="K374" s="190" t="s">
        <v>23</v>
      </c>
      <c r="L374" s="190">
        <f t="shared" si="114"/>
        <v>106.74299999999999</v>
      </c>
      <c r="M374" s="15"/>
      <c r="N374" s="15"/>
      <c r="O374" s="15">
        <f>_xlfn.IFNA(IF(VLOOKUP($J374&amp;O$14,'Mapping A'!$A$6:$G$1011,7,0)=1,$L374,""),0)</f>
        <v>0</v>
      </c>
      <c r="P374" s="15">
        <f>_xlfn.IFNA(IF(VLOOKUP($J374&amp;P$14,'Mapping A'!$A$6:$G$1011,7,0)=1,$L374,""),0)</f>
        <v>0</v>
      </c>
      <c r="Q374" s="15">
        <f>_xlfn.IFNA(IF(VLOOKUP($J374&amp;Q$14,'Mapping A'!$A$6:$G$1011,7,0)=1,$L374,""),0)</f>
        <v>0</v>
      </c>
      <c r="R374" s="15">
        <f>_xlfn.IFNA(IF(VLOOKUP($J374&amp;R$14,'Mapping A'!$A$6:$G$1011,7,0)=1,$L374,""),0)</f>
        <v>0</v>
      </c>
      <c r="S374" s="15">
        <f>_xlfn.IFNA(IF(VLOOKUP($J374&amp;S$14,'Mapping A'!$A$6:$G$1011,7,0)=1,$L374,""),0)</f>
        <v>0</v>
      </c>
      <c r="T374" s="15">
        <f>_xlfn.IFNA(IF(VLOOKUP($J374&amp;T$14,'Mapping A'!$A$6:$G$1011,7,0)=1,$L374,""),0)</f>
        <v>106.74299999999999</v>
      </c>
      <c r="U374" s="15">
        <f>_xlfn.IFNA(IF(VLOOKUP($J374&amp;U$14,'Mapping A'!$A$6:$G$1011,7,0)=1,$L374,""),0)</f>
        <v>0</v>
      </c>
      <c r="V374" s="15">
        <f>_xlfn.IFNA(IF(VLOOKUP($J374&amp;V$14,'Mapping A'!$A$6:$G$1011,7,0)=1,$L374,""),0)</f>
        <v>0</v>
      </c>
      <c r="W374" s="15">
        <f>_xlfn.IFNA(IF(VLOOKUP($J374&amp;W$14,'Mapping A'!$A$6:$G$1011,7,0)=1,$L374,""),0)</f>
        <v>0</v>
      </c>
      <c r="X374" s="15">
        <f>_xlfn.IFNA(IF(VLOOKUP($J374&amp;X$14,'Mapping A'!$A$6:$G$1011,7,0)=1,$L374,""),0)</f>
        <v>0</v>
      </c>
      <c r="Y374" s="15">
        <f>_xlfn.IFNA(IF(VLOOKUP($J374&amp;Y$14,'Mapping A'!$A$6:$G$1011,7,0)=1,$L374,""),0)</f>
        <v>0</v>
      </c>
      <c r="Z374" s="15">
        <f>_xlfn.IFNA(IF(VLOOKUP($J374&amp;Z$14,'Mapping A'!$A$6:$G$1011,7,0)=1,$L374,""),0)</f>
        <v>0</v>
      </c>
      <c r="AA374" s="15">
        <f>_xlfn.IFNA(IF(VLOOKUP($J374&amp;AA$14,'Mapping A'!$A$6:$G$1011,7,0)=1,$L374,""),0)</f>
        <v>0</v>
      </c>
      <c r="AF374" s="155" t="str">
        <f t="shared" si="122"/>
        <v>MPE1101Northpower</v>
      </c>
      <c r="AG374" s="190" t="s">
        <v>265</v>
      </c>
      <c r="AH374" s="190" t="s">
        <v>23</v>
      </c>
      <c r="AI374" s="190">
        <f t="shared" si="115"/>
        <v>106.74299999999999</v>
      </c>
      <c r="AJ374" s="292" t="s">
        <v>95</v>
      </c>
      <c r="AK374" s="15"/>
      <c r="AL374" s="15">
        <f t="shared" si="110"/>
        <v>0</v>
      </c>
      <c r="AM374" s="15"/>
      <c r="AN374" s="15">
        <f t="shared" ca="1" si="111"/>
        <v>0</v>
      </c>
      <c r="AO374" s="15">
        <f t="shared" si="112"/>
        <v>0</v>
      </c>
      <c r="AP374" s="15">
        <f t="shared" si="113"/>
        <v>0</v>
      </c>
      <c r="AQ374" s="15"/>
      <c r="AR374" s="190">
        <f t="shared" si="116"/>
        <v>0</v>
      </c>
      <c r="AS374" s="15"/>
      <c r="AT374" s="190">
        <f t="shared" si="117"/>
        <v>0</v>
      </c>
      <c r="AU374" s="190">
        <f t="shared" si="118"/>
        <v>0</v>
      </c>
      <c r="AV374" s="190">
        <f t="shared" si="119"/>
        <v>0</v>
      </c>
      <c r="AW374" s="190">
        <f t="shared" si="120"/>
        <v>0</v>
      </c>
      <c r="AX374" s="190">
        <f t="shared" si="121"/>
        <v>0</v>
      </c>
      <c r="BP374" s="190"/>
    </row>
    <row r="375" spans="2:68" x14ac:dyDescent="0.25">
      <c r="B375" s="98" t="s">
        <v>111</v>
      </c>
      <c r="C375" s="98">
        <v>2014</v>
      </c>
      <c r="D375" s="98" t="s">
        <v>219</v>
      </c>
      <c r="E375" s="98" t="s">
        <v>49</v>
      </c>
      <c r="F375" s="98" t="s">
        <v>136</v>
      </c>
      <c r="G375" s="98">
        <v>0</v>
      </c>
      <c r="H375" s="299" t="str">
        <f>VLOOKUP(LEFT('Rev Adequacy'!D375,3),'Mapping B'!$D$2:$E$400,2,0)</f>
        <v>N</v>
      </c>
      <c r="I375" s="190"/>
      <c r="J375" s="15" t="s">
        <v>266</v>
      </c>
      <c r="K375" s="190" t="s">
        <v>28</v>
      </c>
      <c r="L375" s="190">
        <f t="shared" si="114"/>
        <v>45.011400000000002</v>
      </c>
      <c r="M375" s="15"/>
      <c r="N375" s="15"/>
      <c r="O375" s="15">
        <f>_xlfn.IFNA(IF(VLOOKUP($J375&amp;O$14,'Mapping A'!$A$6:$G$1011,7,0)=1,$L375,""),0)</f>
        <v>0</v>
      </c>
      <c r="P375" s="15">
        <f>_xlfn.IFNA(IF(VLOOKUP($J375&amp;P$14,'Mapping A'!$A$6:$G$1011,7,0)=1,$L375,""),0)</f>
        <v>0</v>
      </c>
      <c r="Q375" s="15">
        <f>_xlfn.IFNA(IF(VLOOKUP($J375&amp;Q$14,'Mapping A'!$A$6:$G$1011,7,0)=1,$L375,""),0)</f>
        <v>0</v>
      </c>
      <c r="R375" s="15">
        <f>_xlfn.IFNA(IF(VLOOKUP($J375&amp;R$14,'Mapping A'!$A$6:$G$1011,7,0)=1,$L375,""),0)</f>
        <v>0</v>
      </c>
      <c r="S375" s="15">
        <f>_xlfn.IFNA(IF(VLOOKUP($J375&amp;S$14,'Mapping A'!$A$6:$G$1011,7,0)=1,$L375,""),0)</f>
        <v>0</v>
      </c>
      <c r="T375" s="15">
        <f>_xlfn.IFNA(IF(VLOOKUP($J375&amp;T$14,'Mapping A'!$A$6:$G$1011,7,0)=1,$L375,""),0)</f>
        <v>0</v>
      </c>
      <c r="U375" s="15">
        <f>_xlfn.IFNA(IF(VLOOKUP($J375&amp;U$14,'Mapping A'!$A$6:$G$1011,7,0)=1,$L375,""),0)</f>
        <v>0</v>
      </c>
      <c r="V375" s="15">
        <f>_xlfn.IFNA(IF(VLOOKUP($J375&amp;V$14,'Mapping A'!$A$6:$G$1011,7,0)=1,$L375,""),0)</f>
        <v>0</v>
      </c>
      <c r="W375" s="15">
        <f>_xlfn.IFNA(IF(VLOOKUP($J375&amp;W$14,'Mapping A'!$A$6:$G$1011,7,0)=1,$L375,""),0)</f>
        <v>0</v>
      </c>
      <c r="X375" s="15">
        <f>_xlfn.IFNA(IF(VLOOKUP($J375&amp;X$14,'Mapping A'!$A$6:$G$1011,7,0)=1,$L375,""),0)</f>
        <v>0</v>
      </c>
      <c r="Y375" s="15">
        <f>_xlfn.IFNA(IF(VLOOKUP($J375&amp;Y$14,'Mapping A'!$A$6:$G$1011,7,0)=1,$L375,""),0)</f>
        <v>0</v>
      </c>
      <c r="Z375" s="15">
        <f>_xlfn.IFNA(IF(VLOOKUP($J375&amp;Z$14,'Mapping A'!$A$6:$G$1011,7,0)=1,$L375,""),0)</f>
        <v>0</v>
      </c>
      <c r="AA375" s="15">
        <f>_xlfn.IFNA(IF(VLOOKUP($J375&amp;AA$14,'Mapping A'!$A$6:$G$1011,7,0)=1,$L375,""),0)</f>
        <v>0</v>
      </c>
      <c r="AF375" s="155" t="str">
        <f t="shared" si="122"/>
        <v>MST0331Powerco</v>
      </c>
      <c r="AG375" s="190" t="s">
        <v>266</v>
      </c>
      <c r="AH375" s="190" t="s">
        <v>28</v>
      </c>
      <c r="AI375" s="190">
        <f t="shared" si="115"/>
        <v>45.011400000000002</v>
      </c>
      <c r="AJ375" s="292" t="s">
        <v>95</v>
      </c>
      <c r="AK375" s="15"/>
      <c r="AL375" s="15">
        <f t="shared" si="110"/>
        <v>0</v>
      </c>
      <c r="AM375" s="15"/>
      <c r="AN375" s="15">
        <f t="shared" ca="1" si="111"/>
        <v>0</v>
      </c>
      <c r="AO375" s="15">
        <f t="shared" si="112"/>
        <v>0</v>
      </c>
      <c r="AP375" s="15">
        <f t="shared" si="113"/>
        <v>0</v>
      </c>
      <c r="AQ375" s="15"/>
      <c r="AR375" s="190">
        <f t="shared" si="116"/>
        <v>0</v>
      </c>
      <c r="AS375" s="15"/>
      <c r="AT375" s="190">
        <f t="shared" si="117"/>
        <v>0</v>
      </c>
      <c r="AU375" s="190">
        <f t="shared" si="118"/>
        <v>0</v>
      </c>
      <c r="AV375" s="190">
        <f t="shared" si="119"/>
        <v>0</v>
      </c>
      <c r="AW375" s="190">
        <f t="shared" si="120"/>
        <v>0</v>
      </c>
      <c r="AX375" s="190">
        <f t="shared" si="121"/>
        <v>0</v>
      </c>
      <c r="BP375" s="190"/>
    </row>
    <row r="376" spans="2:68" x14ac:dyDescent="0.25">
      <c r="B376" s="98" t="s">
        <v>111</v>
      </c>
      <c r="C376" s="98">
        <v>2014</v>
      </c>
      <c r="D376" s="98" t="s">
        <v>244</v>
      </c>
      <c r="E376" s="98" t="s">
        <v>49</v>
      </c>
      <c r="F376" s="98" t="s">
        <v>131</v>
      </c>
      <c r="G376" s="98">
        <v>137521.64599999899</v>
      </c>
      <c r="H376" s="299" t="str">
        <f>VLOOKUP(LEFT('Rev Adequacy'!D376,3),'Mapping B'!$D$2:$E$400,2,0)</f>
        <v>N</v>
      </c>
      <c r="I376" s="190"/>
      <c r="J376" s="15" t="s">
        <v>931</v>
      </c>
      <c r="K376" s="190" t="s">
        <v>17</v>
      </c>
      <c r="L376" s="190">
        <f t="shared" si="114"/>
        <v>4.9139999999999997</v>
      </c>
      <c r="M376" s="15"/>
      <c r="N376" s="15"/>
      <c r="O376" s="15">
        <f>_xlfn.IFNA(IF(VLOOKUP($J376&amp;O$14,'Mapping A'!$A$6:$G$1011,7,0)=1,$L376,""),0)</f>
        <v>0</v>
      </c>
      <c r="P376" s="15">
        <f>_xlfn.IFNA(IF(VLOOKUP($J376&amp;P$14,'Mapping A'!$A$6:$G$1011,7,0)=1,$L376,""),0)</f>
        <v>0</v>
      </c>
      <c r="Q376" s="15">
        <f>_xlfn.IFNA(IF(VLOOKUP($J376&amp;Q$14,'Mapping A'!$A$6:$G$1011,7,0)=1,$L376,""),0)</f>
        <v>0</v>
      </c>
      <c r="R376" s="15">
        <f>_xlfn.IFNA(IF(VLOOKUP($J376&amp;R$14,'Mapping A'!$A$6:$G$1011,7,0)=1,$L376,""),0)</f>
        <v>0</v>
      </c>
      <c r="S376" s="15">
        <f>_xlfn.IFNA(IF(VLOOKUP($J376&amp;S$14,'Mapping A'!$A$6:$G$1011,7,0)=1,$L376,""),0)</f>
        <v>0</v>
      </c>
      <c r="T376" s="15">
        <f>_xlfn.IFNA(IF(VLOOKUP($J376&amp;T$14,'Mapping A'!$A$6:$G$1011,7,0)=1,$L376,""),0)</f>
        <v>0</v>
      </c>
      <c r="U376" s="15">
        <f>_xlfn.IFNA(IF(VLOOKUP($J376&amp;U$14,'Mapping A'!$A$6:$G$1011,7,0)=1,$L376,""),0)</f>
        <v>0</v>
      </c>
      <c r="V376" s="15">
        <f>_xlfn.IFNA(IF(VLOOKUP($J376&amp;V$14,'Mapping A'!$A$6:$G$1011,7,0)=1,$L376,""),0)</f>
        <v>0</v>
      </c>
      <c r="W376" s="15">
        <f>_xlfn.IFNA(IF(VLOOKUP($J376&amp;W$14,'Mapping A'!$A$6:$G$1011,7,0)=1,$L376,""),0)</f>
        <v>0</v>
      </c>
      <c r="X376" s="15">
        <f>_xlfn.IFNA(IF(VLOOKUP($J376&amp;X$14,'Mapping A'!$A$6:$G$1011,7,0)=1,$L376,""),0)</f>
        <v>0</v>
      </c>
      <c r="Y376" s="15">
        <f>_xlfn.IFNA(IF(VLOOKUP($J376&amp;Y$14,'Mapping A'!$A$6:$G$1011,7,0)=1,$L376,""),0)</f>
        <v>0</v>
      </c>
      <c r="Z376" s="15">
        <f>_xlfn.IFNA(IF(VLOOKUP($J376&amp;Z$14,'Mapping A'!$A$6:$G$1011,7,0)=1,$L376,""),0)</f>
        <v>0</v>
      </c>
      <c r="AA376" s="15">
        <f>_xlfn.IFNA(IF(VLOOKUP($J376&amp;AA$14,'Mapping A'!$A$6:$G$1011,7,0)=1,$L376,""),0)</f>
        <v>0</v>
      </c>
      <c r="AF376" s="155" t="str">
        <f t="shared" si="122"/>
        <v>MTI2201MRP</v>
      </c>
      <c r="AG376" s="190" t="s">
        <v>931</v>
      </c>
      <c r="AH376" s="190" t="s">
        <v>17</v>
      </c>
      <c r="AI376" s="190">
        <f t="shared" si="115"/>
        <v>4.9139999999999997</v>
      </c>
      <c r="AJ376" s="292" t="s">
        <v>95</v>
      </c>
      <c r="AK376" s="15"/>
      <c r="AL376" s="15">
        <f t="shared" si="110"/>
        <v>0</v>
      </c>
      <c r="AM376" s="15"/>
      <c r="AN376" s="15">
        <f t="shared" ca="1" si="111"/>
        <v>0</v>
      </c>
      <c r="AO376" s="15">
        <f t="shared" si="112"/>
        <v>0</v>
      </c>
      <c r="AP376" s="15">
        <f t="shared" si="113"/>
        <v>0</v>
      </c>
      <c r="AQ376" s="15"/>
      <c r="AR376" s="190">
        <f t="shared" si="116"/>
        <v>0</v>
      </c>
      <c r="AS376" s="15"/>
      <c r="AT376" s="190">
        <f t="shared" si="117"/>
        <v>0</v>
      </c>
      <c r="AU376" s="190">
        <f t="shared" si="118"/>
        <v>0</v>
      </c>
      <c r="AV376" s="190">
        <f t="shared" si="119"/>
        <v>0</v>
      </c>
      <c r="AW376" s="190">
        <f t="shared" si="120"/>
        <v>0</v>
      </c>
      <c r="AX376" s="190">
        <f t="shared" si="121"/>
        <v>0</v>
      </c>
      <c r="BP376" s="190"/>
    </row>
    <row r="377" spans="2:68" x14ac:dyDescent="0.25">
      <c r="B377" s="98" t="s">
        <v>111</v>
      </c>
      <c r="C377" s="98">
        <v>2014</v>
      </c>
      <c r="D377" s="98" t="s">
        <v>245</v>
      </c>
      <c r="E377" s="98" t="s">
        <v>49</v>
      </c>
      <c r="F377" s="98" t="s">
        <v>131</v>
      </c>
      <c r="G377" s="98">
        <v>142109.071</v>
      </c>
      <c r="H377" s="299" t="str">
        <f>VLOOKUP(LEFT('Rev Adequacy'!D377,3),'Mapping B'!$D$2:$E$400,2,0)</f>
        <v>N</v>
      </c>
      <c r="I377" s="190"/>
      <c r="J377" s="15" t="s">
        <v>268</v>
      </c>
      <c r="K377" s="190" t="s">
        <v>28</v>
      </c>
      <c r="L377" s="190">
        <f t="shared" si="114"/>
        <v>65.438099999999991</v>
      </c>
      <c r="M377" s="15"/>
      <c r="N377" s="15"/>
      <c r="O377" s="15">
        <f>_xlfn.IFNA(IF(VLOOKUP($J377&amp;O$14,'Mapping A'!$A$6:$G$1011,7,0)=1,$L377,""),0)</f>
        <v>0</v>
      </c>
      <c r="P377" s="15">
        <f>_xlfn.IFNA(IF(VLOOKUP($J377&amp;P$14,'Mapping A'!$A$6:$G$1011,7,0)=1,$L377,""),0)</f>
        <v>0</v>
      </c>
      <c r="Q377" s="15">
        <f>_xlfn.IFNA(IF(VLOOKUP($J377&amp;Q$14,'Mapping A'!$A$6:$G$1011,7,0)=1,$L377,""),0)</f>
        <v>0</v>
      </c>
      <c r="R377" s="15">
        <f>_xlfn.IFNA(IF(VLOOKUP($J377&amp;R$14,'Mapping A'!$A$6:$G$1011,7,0)=1,$L377,""),0)</f>
        <v>0</v>
      </c>
      <c r="S377" s="15">
        <f>_xlfn.IFNA(IF(VLOOKUP($J377&amp;S$14,'Mapping A'!$A$6:$G$1011,7,0)=1,$L377,""),0)</f>
        <v>0</v>
      </c>
      <c r="T377" s="15">
        <f>_xlfn.IFNA(IF(VLOOKUP($J377&amp;T$14,'Mapping A'!$A$6:$G$1011,7,0)=1,$L377,""),0)</f>
        <v>65.438099999999991</v>
      </c>
      <c r="U377" s="15">
        <f>_xlfn.IFNA(IF(VLOOKUP($J377&amp;U$14,'Mapping A'!$A$6:$G$1011,7,0)=1,$L377,""),0)</f>
        <v>0</v>
      </c>
      <c r="V377" s="15">
        <f>_xlfn.IFNA(IF(VLOOKUP($J377&amp;V$14,'Mapping A'!$A$6:$G$1011,7,0)=1,$L377,""),0)</f>
        <v>0</v>
      </c>
      <c r="W377" s="15">
        <f>_xlfn.IFNA(IF(VLOOKUP($J377&amp;W$14,'Mapping A'!$A$6:$G$1011,7,0)=1,$L377,""),0)</f>
        <v>0</v>
      </c>
      <c r="X377" s="15">
        <f>_xlfn.IFNA(IF(VLOOKUP($J377&amp;X$14,'Mapping A'!$A$6:$G$1011,7,0)=1,$L377,""),0)</f>
        <v>0</v>
      </c>
      <c r="Y377" s="15">
        <f>_xlfn.IFNA(IF(VLOOKUP($J377&amp;Y$14,'Mapping A'!$A$6:$G$1011,7,0)=1,$L377,""),0)</f>
        <v>0</v>
      </c>
      <c r="Z377" s="15">
        <f>_xlfn.IFNA(IF(VLOOKUP($J377&amp;Z$14,'Mapping A'!$A$6:$G$1011,7,0)=1,$L377,""),0)</f>
        <v>0</v>
      </c>
      <c r="AA377" s="15">
        <f>_xlfn.IFNA(IF(VLOOKUP($J377&amp;AA$14,'Mapping A'!$A$6:$G$1011,7,0)=1,$L377,""),0)</f>
        <v>0</v>
      </c>
      <c r="AF377" s="155" t="str">
        <f t="shared" si="122"/>
        <v>MTM0331Powerco</v>
      </c>
      <c r="AG377" s="190" t="s">
        <v>268</v>
      </c>
      <c r="AH377" s="190" t="s">
        <v>28</v>
      </c>
      <c r="AI377" s="190">
        <f t="shared" si="115"/>
        <v>65.438099999999991</v>
      </c>
      <c r="AJ377" s="292" t="s">
        <v>95</v>
      </c>
      <c r="AK377" s="15"/>
      <c r="AL377" s="15">
        <f t="shared" si="110"/>
        <v>0</v>
      </c>
      <c r="AM377" s="15"/>
      <c r="AN377" s="15">
        <f t="shared" ca="1" si="111"/>
        <v>0</v>
      </c>
      <c r="AO377" s="15">
        <f t="shared" si="112"/>
        <v>0</v>
      </c>
      <c r="AP377" s="15">
        <f t="shared" si="113"/>
        <v>0</v>
      </c>
      <c r="AQ377" s="15"/>
      <c r="AR377" s="190">
        <f t="shared" si="116"/>
        <v>0</v>
      </c>
      <c r="AS377" s="15"/>
      <c r="AT377" s="190">
        <f t="shared" si="117"/>
        <v>0</v>
      </c>
      <c r="AU377" s="190">
        <f t="shared" si="118"/>
        <v>0</v>
      </c>
      <c r="AV377" s="190">
        <f t="shared" si="119"/>
        <v>0</v>
      </c>
      <c r="AW377" s="190">
        <f t="shared" si="120"/>
        <v>0</v>
      </c>
      <c r="AX377" s="190">
        <f t="shared" si="121"/>
        <v>0</v>
      </c>
      <c r="BP377" s="190"/>
    </row>
    <row r="378" spans="2:68" x14ac:dyDescent="0.25">
      <c r="B378" s="98" t="s">
        <v>552</v>
      </c>
      <c r="C378" s="98">
        <v>2014</v>
      </c>
      <c r="D378" s="98" t="s">
        <v>202</v>
      </c>
      <c r="E378" s="98" t="s">
        <v>10</v>
      </c>
      <c r="F378" s="98" t="s">
        <v>136</v>
      </c>
      <c r="G378" s="248">
        <v>0</v>
      </c>
      <c r="H378" s="299" t="str">
        <f>VLOOKUP(LEFT('Rev Adequacy'!D378,3),'Mapping B'!$D$2:$E$400,2,0)</f>
        <v>N</v>
      </c>
      <c r="I378" s="190"/>
      <c r="J378" s="15" t="s">
        <v>269</v>
      </c>
      <c r="K378" s="190" t="s">
        <v>28</v>
      </c>
      <c r="L378" s="190">
        <f t="shared" si="114"/>
        <v>16.697099999999999</v>
      </c>
      <c r="M378" s="15"/>
      <c r="N378" s="15"/>
      <c r="O378" s="15">
        <f>_xlfn.IFNA(IF(VLOOKUP($J378&amp;O$14,'Mapping A'!$A$6:$G$1011,7,0)=1,$L378,""),0)</f>
        <v>0</v>
      </c>
      <c r="P378" s="15">
        <f>_xlfn.IFNA(IF(VLOOKUP($J378&amp;P$14,'Mapping A'!$A$6:$G$1011,7,0)=1,$L378,""),0)</f>
        <v>0</v>
      </c>
      <c r="Q378" s="15">
        <f>_xlfn.IFNA(IF(VLOOKUP($J378&amp;Q$14,'Mapping A'!$A$6:$G$1011,7,0)=1,$L378,""),0)</f>
        <v>0</v>
      </c>
      <c r="R378" s="15">
        <f>_xlfn.IFNA(IF(VLOOKUP($J378&amp;R$14,'Mapping A'!$A$6:$G$1011,7,0)=1,$L378,""),0)</f>
        <v>0</v>
      </c>
      <c r="S378" s="15">
        <f>_xlfn.IFNA(IF(VLOOKUP($J378&amp;S$14,'Mapping A'!$A$6:$G$1011,7,0)=1,$L378,""),0)</f>
        <v>0</v>
      </c>
      <c r="T378" s="15">
        <f>_xlfn.IFNA(IF(VLOOKUP($J378&amp;T$14,'Mapping A'!$A$6:$G$1011,7,0)=1,$L378,""),0)</f>
        <v>0</v>
      </c>
      <c r="U378" s="15">
        <f>_xlfn.IFNA(IF(VLOOKUP($J378&amp;U$14,'Mapping A'!$A$6:$G$1011,7,0)=1,$L378,""),0)</f>
        <v>0</v>
      </c>
      <c r="V378" s="15">
        <f>_xlfn.IFNA(IF(VLOOKUP($J378&amp;V$14,'Mapping A'!$A$6:$G$1011,7,0)=1,$L378,""),0)</f>
        <v>0</v>
      </c>
      <c r="W378" s="15">
        <f>_xlfn.IFNA(IF(VLOOKUP($J378&amp;W$14,'Mapping A'!$A$6:$G$1011,7,0)=1,$L378,""),0)</f>
        <v>0</v>
      </c>
      <c r="X378" s="15">
        <f>_xlfn.IFNA(IF(VLOOKUP($J378&amp;X$14,'Mapping A'!$A$6:$G$1011,7,0)=1,$L378,""),0)</f>
        <v>0</v>
      </c>
      <c r="Y378" s="15">
        <f>_xlfn.IFNA(IF(VLOOKUP($J378&amp;Y$14,'Mapping A'!$A$6:$G$1011,7,0)=1,$L378,""),0)</f>
        <v>0</v>
      </c>
      <c r="Z378" s="15">
        <f>_xlfn.IFNA(IF(VLOOKUP($J378&amp;Z$14,'Mapping A'!$A$6:$G$1011,7,0)=1,$L378,""),0)</f>
        <v>0</v>
      </c>
      <c r="AA378" s="15">
        <f>_xlfn.IFNA(IF(VLOOKUP($J378&amp;AA$14,'Mapping A'!$A$6:$G$1011,7,0)=1,$L378,""),0)</f>
        <v>0</v>
      </c>
      <c r="AF378" s="155" t="str">
        <f t="shared" si="122"/>
        <v>MTN0331Powerco</v>
      </c>
      <c r="AG378" s="190" t="s">
        <v>269</v>
      </c>
      <c r="AH378" s="190" t="s">
        <v>28</v>
      </c>
      <c r="AI378" s="190">
        <f t="shared" si="115"/>
        <v>16.697099999999999</v>
      </c>
      <c r="AJ378" s="292" t="s">
        <v>95</v>
      </c>
      <c r="AK378" s="15"/>
      <c r="AL378" s="15">
        <f t="shared" si="110"/>
        <v>0</v>
      </c>
      <c r="AM378" s="15"/>
      <c r="AN378" s="15">
        <f t="shared" ca="1" si="111"/>
        <v>0</v>
      </c>
      <c r="AO378" s="15">
        <f t="shared" si="112"/>
        <v>0</v>
      </c>
      <c r="AP378" s="15">
        <f t="shared" si="113"/>
        <v>0</v>
      </c>
      <c r="AQ378" s="15"/>
      <c r="AR378" s="190">
        <f t="shared" si="116"/>
        <v>0</v>
      </c>
      <c r="AS378" s="15"/>
      <c r="AT378" s="190">
        <f t="shared" si="117"/>
        <v>0</v>
      </c>
      <c r="AU378" s="190">
        <f t="shared" si="118"/>
        <v>0</v>
      </c>
      <c r="AV378" s="190">
        <f t="shared" si="119"/>
        <v>0</v>
      </c>
      <c r="AW378" s="190">
        <f t="shared" si="120"/>
        <v>0</v>
      </c>
      <c r="AX378" s="190">
        <f t="shared" si="121"/>
        <v>0</v>
      </c>
      <c r="BP378" s="190"/>
    </row>
    <row r="379" spans="2:68" x14ac:dyDescent="0.25">
      <c r="B379" s="98" t="s">
        <v>552</v>
      </c>
      <c r="C379" s="98">
        <v>2014</v>
      </c>
      <c r="D379" s="98" t="s">
        <v>203</v>
      </c>
      <c r="E379" s="98" t="s">
        <v>10</v>
      </c>
      <c r="F379" s="98" t="s">
        <v>136</v>
      </c>
      <c r="G379" s="248">
        <v>0</v>
      </c>
      <c r="H379" s="299" t="str">
        <f>VLOOKUP(LEFT('Rev Adequacy'!D379,3),'Mapping B'!$D$2:$E$400,2,0)</f>
        <v>N</v>
      </c>
      <c r="I379" s="190"/>
      <c r="J379" s="15" t="s">
        <v>270</v>
      </c>
      <c r="K379" s="190" t="s">
        <v>23</v>
      </c>
      <c r="L379" s="190">
        <f t="shared" si="114"/>
        <v>17.9298</v>
      </c>
      <c r="M379" s="15"/>
      <c r="N379" s="15"/>
      <c r="O379" s="15">
        <f>_xlfn.IFNA(IF(VLOOKUP($J379&amp;O$14,'Mapping A'!$A$6:$G$1011,7,0)=1,$L379,""),0)</f>
        <v>0</v>
      </c>
      <c r="P379" s="15">
        <f>_xlfn.IFNA(IF(VLOOKUP($J379&amp;P$14,'Mapping A'!$A$6:$G$1011,7,0)=1,$L379,""),0)</f>
        <v>0</v>
      </c>
      <c r="Q379" s="15">
        <f>_xlfn.IFNA(IF(VLOOKUP($J379&amp;Q$14,'Mapping A'!$A$6:$G$1011,7,0)=1,$L379,""),0)</f>
        <v>0</v>
      </c>
      <c r="R379" s="15">
        <f>_xlfn.IFNA(IF(VLOOKUP($J379&amp;R$14,'Mapping A'!$A$6:$G$1011,7,0)=1,$L379,""),0)</f>
        <v>0</v>
      </c>
      <c r="S379" s="15">
        <f>_xlfn.IFNA(IF(VLOOKUP($J379&amp;S$14,'Mapping A'!$A$6:$G$1011,7,0)=1,$L379,""),0)</f>
        <v>0</v>
      </c>
      <c r="T379" s="15">
        <f>_xlfn.IFNA(IF(VLOOKUP($J379&amp;T$14,'Mapping A'!$A$6:$G$1011,7,0)=1,$L379,""),0)</f>
        <v>17.9298</v>
      </c>
      <c r="U379" s="15">
        <f>_xlfn.IFNA(IF(VLOOKUP($J379&amp;U$14,'Mapping A'!$A$6:$G$1011,7,0)=1,$L379,""),0)</f>
        <v>0</v>
      </c>
      <c r="V379" s="15">
        <f>_xlfn.IFNA(IF(VLOOKUP($J379&amp;V$14,'Mapping A'!$A$6:$G$1011,7,0)=1,$L379,""),0)</f>
        <v>0</v>
      </c>
      <c r="W379" s="15">
        <f>_xlfn.IFNA(IF(VLOOKUP($J379&amp;W$14,'Mapping A'!$A$6:$G$1011,7,0)=1,$L379,""),0)</f>
        <v>0</v>
      </c>
      <c r="X379" s="15">
        <f>_xlfn.IFNA(IF(VLOOKUP($J379&amp;X$14,'Mapping A'!$A$6:$G$1011,7,0)=1,$L379,""),0)</f>
        <v>0</v>
      </c>
      <c r="Y379" s="15">
        <f>_xlfn.IFNA(IF(VLOOKUP($J379&amp;Y$14,'Mapping A'!$A$6:$G$1011,7,0)=1,$L379,""),0)</f>
        <v>0</v>
      </c>
      <c r="Z379" s="15">
        <f>_xlfn.IFNA(IF(VLOOKUP($J379&amp;Z$14,'Mapping A'!$A$6:$G$1011,7,0)=1,$L379,""),0)</f>
        <v>0</v>
      </c>
      <c r="AA379" s="15">
        <f>_xlfn.IFNA(IF(VLOOKUP($J379&amp;AA$14,'Mapping A'!$A$6:$G$1011,7,0)=1,$L379,""),0)</f>
        <v>0</v>
      </c>
      <c r="AF379" s="155" t="str">
        <f t="shared" si="122"/>
        <v>MTO0331Northpower</v>
      </c>
      <c r="AG379" s="190" t="s">
        <v>270</v>
      </c>
      <c r="AH379" s="190" t="s">
        <v>23</v>
      </c>
      <c r="AI379" s="190">
        <f t="shared" si="115"/>
        <v>17.9298</v>
      </c>
      <c r="AJ379" s="292" t="s">
        <v>95</v>
      </c>
      <c r="AK379" s="15"/>
      <c r="AL379" s="15">
        <f t="shared" si="110"/>
        <v>0</v>
      </c>
      <c r="AM379" s="15"/>
      <c r="AN379" s="15">
        <f t="shared" ca="1" si="111"/>
        <v>0</v>
      </c>
      <c r="AO379" s="15">
        <f t="shared" si="112"/>
        <v>0</v>
      </c>
      <c r="AP379" s="15">
        <f t="shared" si="113"/>
        <v>0</v>
      </c>
      <c r="AQ379" s="15"/>
      <c r="AR379" s="190">
        <f t="shared" si="116"/>
        <v>0</v>
      </c>
      <c r="AS379" s="15"/>
      <c r="AT379" s="190">
        <f t="shared" si="117"/>
        <v>0</v>
      </c>
      <c r="AU379" s="190">
        <f t="shared" si="118"/>
        <v>0</v>
      </c>
      <c r="AV379" s="190">
        <f t="shared" si="119"/>
        <v>0</v>
      </c>
      <c r="AW379" s="190">
        <f t="shared" si="120"/>
        <v>0</v>
      </c>
      <c r="AX379" s="190">
        <f t="shared" si="121"/>
        <v>0</v>
      </c>
      <c r="BP379" s="190"/>
    </row>
    <row r="380" spans="2:68" x14ac:dyDescent="0.25">
      <c r="B380" s="98" t="s">
        <v>552</v>
      </c>
      <c r="C380" s="98">
        <v>2014</v>
      </c>
      <c r="D380" s="98" t="s">
        <v>204</v>
      </c>
      <c r="E380" s="98" t="s">
        <v>10</v>
      </c>
      <c r="F380" s="98" t="s">
        <v>136</v>
      </c>
      <c r="G380" s="248">
        <v>0</v>
      </c>
      <c r="H380" s="299" t="str">
        <f>VLOOKUP(LEFT('Rev Adequacy'!D380,3),'Mapping B'!$D$2:$E$400,2,0)</f>
        <v>N</v>
      </c>
      <c r="I380" s="190"/>
      <c r="J380" s="15" t="s">
        <v>271</v>
      </c>
      <c r="K380" s="190" t="s">
        <v>28</v>
      </c>
      <c r="L380" s="190">
        <f t="shared" si="114"/>
        <v>7.1168999999999993</v>
      </c>
      <c r="M380" s="15"/>
      <c r="N380" s="15"/>
      <c r="O380" s="15">
        <f>_xlfn.IFNA(IF(VLOOKUP($J380&amp;O$14,'Mapping A'!$A$6:$G$1011,7,0)=1,$L380,""),0)</f>
        <v>0</v>
      </c>
      <c r="P380" s="15">
        <f>_xlfn.IFNA(IF(VLOOKUP($J380&amp;P$14,'Mapping A'!$A$6:$G$1011,7,0)=1,$L380,""),0)</f>
        <v>0</v>
      </c>
      <c r="Q380" s="15">
        <f>_xlfn.IFNA(IF(VLOOKUP($J380&amp;Q$14,'Mapping A'!$A$6:$G$1011,7,0)=1,$L380,""),0)</f>
        <v>0</v>
      </c>
      <c r="R380" s="15">
        <f>_xlfn.IFNA(IF(VLOOKUP($J380&amp;R$14,'Mapping A'!$A$6:$G$1011,7,0)=1,$L380,""),0)</f>
        <v>0</v>
      </c>
      <c r="S380" s="15">
        <f>_xlfn.IFNA(IF(VLOOKUP($J380&amp;S$14,'Mapping A'!$A$6:$G$1011,7,0)=1,$L380,""),0)</f>
        <v>0</v>
      </c>
      <c r="T380" s="15">
        <f>_xlfn.IFNA(IF(VLOOKUP($J380&amp;T$14,'Mapping A'!$A$6:$G$1011,7,0)=1,$L380,""),0)</f>
        <v>0</v>
      </c>
      <c r="U380" s="15">
        <f>_xlfn.IFNA(IF(VLOOKUP($J380&amp;U$14,'Mapping A'!$A$6:$G$1011,7,0)=1,$L380,""),0)</f>
        <v>0</v>
      </c>
      <c r="V380" s="15">
        <f>_xlfn.IFNA(IF(VLOOKUP($J380&amp;V$14,'Mapping A'!$A$6:$G$1011,7,0)=1,$L380,""),0)</f>
        <v>0</v>
      </c>
      <c r="W380" s="15">
        <f>_xlfn.IFNA(IF(VLOOKUP($J380&amp;W$14,'Mapping A'!$A$6:$G$1011,7,0)=1,$L380,""),0)</f>
        <v>0</v>
      </c>
      <c r="X380" s="15">
        <f>_xlfn.IFNA(IF(VLOOKUP($J380&amp;X$14,'Mapping A'!$A$6:$G$1011,7,0)=1,$L380,""),0)</f>
        <v>0</v>
      </c>
      <c r="Y380" s="15">
        <f>_xlfn.IFNA(IF(VLOOKUP($J380&amp;Y$14,'Mapping A'!$A$6:$G$1011,7,0)=1,$L380,""),0)</f>
        <v>0</v>
      </c>
      <c r="Z380" s="15">
        <f>_xlfn.IFNA(IF(VLOOKUP($J380&amp;Z$14,'Mapping A'!$A$6:$G$1011,7,0)=1,$L380,""),0)</f>
        <v>0</v>
      </c>
      <c r="AA380" s="15">
        <f>_xlfn.IFNA(IF(VLOOKUP($J380&amp;AA$14,'Mapping A'!$A$6:$G$1011,7,0)=1,$L380,""),0)</f>
        <v>0</v>
      </c>
      <c r="AF380" s="155" t="str">
        <f t="shared" si="122"/>
        <v>MTR0331Powerco</v>
      </c>
      <c r="AG380" s="190" t="s">
        <v>271</v>
      </c>
      <c r="AH380" s="190" t="s">
        <v>28</v>
      </c>
      <c r="AI380" s="190">
        <f t="shared" si="115"/>
        <v>7.1168999999999993</v>
      </c>
      <c r="AJ380" s="292" t="s">
        <v>95</v>
      </c>
      <c r="AK380" s="15"/>
      <c r="AL380" s="15">
        <f t="shared" si="110"/>
        <v>0</v>
      </c>
      <c r="AM380" s="15"/>
      <c r="AN380" s="15">
        <f t="shared" ca="1" si="111"/>
        <v>0</v>
      </c>
      <c r="AO380" s="15">
        <f t="shared" si="112"/>
        <v>0</v>
      </c>
      <c r="AP380" s="15">
        <f t="shared" si="113"/>
        <v>0</v>
      </c>
      <c r="AQ380" s="15"/>
      <c r="AR380" s="190">
        <f t="shared" si="116"/>
        <v>0</v>
      </c>
      <c r="AS380" s="15"/>
      <c r="AT380" s="190">
        <f t="shared" si="117"/>
        <v>0</v>
      </c>
      <c r="AU380" s="190">
        <f t="shared" si="118"/>
        <v>0</v>
      </c>
      <c r="AV380" s="190">
        <f t="shared" si="119"/>
        <v>0</v>
      </c>
      <c r="AW380" s="190">
        <f t="shared" si="120"/>
        <v>0</v>
      </c>
      <c r="AX380" s="190">
        <f t="shared" si="121"/>
        <v>0</v>
      </c>
      <c r="BP380" s="190"/>
    </row>
    <row r="381" spans="2:68" x14ac:dyDescent="0.25">
      <c r="B381" s="98" t="s">
        <v>552</v>
      </c>
      <c r="C381" s="98">
        <v>2014</v>
      </c>
      <c r="D381" s="98" t="s">
        <v>205</v>
      </c>
      <c r="E381" s="98" t="s">
        <v>10</v>
      </c>
      <c r="F381" s="98" t="s">
        <v>136</v>
      </c>
      <c r="G381" s="248">
        <v>0</v>
      </c>
      <c r="H381" s="299" t="str">
        <f>VLOOKUP(LEFT('Rev Adequacy'!D381,3),'Mapping B'!$D$2:$E$400,2,0)</f>
        <v>N</v>
      </c>
      <c r="I381" s="190"/>
      <c r="J381" s="15" t="s">
        <v>272</v>
      </c>
      <c r="K381" s="190" t="s">
        <v>53</v>
      </c>
      <c r="L381" s="190">
        <f t="shared" si="114"/>
        <v>0</v>
      </c>
      <c r="M381" s="15"/>
      <c r="N381" s="15"/>
      <c r="O381" s="15">
        <f>_xlfn.IFNA(IF(VLOOKUP($J381&amp;O$14,'Mapping A'!$A$6:$G$1011,7,0)=1,$L381,""),0)</f>
        <v>0</v>
      </c>
      <c r="P381" s="15">
        <f>_xlfn.IFNA(IF(VLOOKUP($J381&amp;P$14,'Mapping A'!$A$6:$G$1011,7,0)=1,$L381,""),0)</f>
        <v>0</v>
      </c>
      <c r="Q381" s="15">
        <f>_xlfn.IFNA(IF(VLOOKUP($J381&amp;Q$14,'Mapping A'!$A$6:$G$1011,7,0)=1,$L381,""),0)</f>
        <v>0</v>
      </c>
      <c r="R381" s="15">
        <f>_xlfn.IFNA(IF(VLOOKUP($J381&amp;R$14,'Mapping A'!$A$6:$G$1011,7,0)=1,$L381,""),0)</f>
        <v>0</v>
      </c>
      <c r="S381" s="15">
        <f>_xlfn.IFNA(IF(VLOOKUP($J381&amp;S$14,'Mapping A'!$A$6:$G$1011,7,0)=1,$L381,""),0)</f>
        <v>0</v>
      </c>
      <c r="T381" s="15">
        <f>_xlfn.IFNA(IF(VLOOKUP($J381&amp;T$14,'Mapping A'!$A$6:$G$1011,7,0)=1,$L381,""),0)</f>
        <v>0</v>
      </c>
      <c r="U381" s="15">
        <f>_xlfn.IFNA(IF(VLOOKUP($J381&amp;U$14,'Mapping A'!$A$6:$G$1011,7,0)=1,$L381,""),0)</f>
        <v>0</v>
      </c>
      <c r="V381" s="15">
        <f>_xlfn.IFNA(IF(VLOOKUP($J381&amp;V$14,'Mapping A'!$A$6:$G$1011,7,0)=1,$L381,""),0)</f>
        <v>0</v>
      </c>
      <c r="W381" s="15">
        <f>_xlfn.IFNA(IF(VLOOKUP($J381&amp;W$14,'Mapping A'!$A$6:$G$1011,7,0)=1,$L381,""),0)</f>
        <v>0</v>
      </c>
      <c r="X381" s="15">
        <f>_xlfn.IFNA(IF(VLOOKUP($J381&amp;X$14,'Mapping A'!$A$6:$G$1011,7,0)=1,$L381,""),0)</f>
        <v>0</v>
      </c>
      <c r="Y381" s="15">
        <f>_xlfn.IFNA(IF(VLOOKUP($J381&amp;Y$14,'Mapping A'!$A$6:$G$1011,7,0)=1,$L381,""),0)</f>
        <v>0</v>
      </c>
      <c r="Z381" s="15">
        <f>_xlfn.IFNA(IF(VLOOKUP($J381&amp;Z$14,'Mapping A'!$A$6:$G$1011,7,0)=1,$L381,""),0)</f>
        <v>0</v>
      </c>
      <c r="AA381" s="15">
        <f>_xlfn.IFNA(IF(VLOOKUP($J381&amp;AA$14,'Mapping A'!$A$6:$G$1011,7,0)=1,$L381,""),0)</f>
        <v>0</v>
      </c>
      <c r="AF381" s="155" t="str">
        <f t="shared" si="122"/>
        <v>NAP2201Other</v>
      </c>
      <c r="AG381" s="190" t="s">
        <v>272</v>
      </c>
      <c r="AH381" s="190" t="s">
        <v>53</v>
      </c>
      <c r="AI381" s="190">
        <f t="shared" si="115"/>
        <v>0</v>
      </c>
      <c r="AJ381" s="292" t="s">
        <v>95</v>
      </c>
      <c r="AK381" s="15"/>
      <c r="AL381" s="15">
        <f t="shared" si="110"/>
        <v>0</v>
      </c>
      <c r="AM381" s="15"/>
      <c r="AN381" s="15">
        <f t="shared" ca="1" si="111"/>
        <v>0</v>
      </c>
      <c r="AO381" s="15">
        <f t="shared" si="112"/>
        <v>0</v>
      </c>
      <c r="AP381" s="15">
        <f t="shared" si="113"/>
        <v>0</v>
      </c>
      <c r="AQ381" s="15"/>
      <c r="AR381" s="190">
        <f t="shared" si="116"/>
        <v>0</v>
      </c>
      <c r="AS381" s="15"/>
      <c r="AT381" s="190">
        <f t="shared" si="117"/>
        <v>0</v>
      </c>
      <c r="AU381" s="190">
        <f t="shared" si="118"/>
        <v>0</v>
      </c>
      <c r="AV381" s="190">
        <f t="shared" si="119"/>
        <v>0</v>
      </c>
      <c r="AW381" s="190">
        <f t="shared" si="120"/>
        <v>0</v>
      </c>
      <c r="AX381" s="190">
        <f t="shared" si="121"/>
        <v>0</v>
      </c>
      <c r="BP381" s="190"/>
    </row>
    <row r="382" spans="2:68" x14ac:dyDescent="0.25">
      <c r="B382" s="98" t="s">
        <v>552</v>
      </c>
      <c r="C382" s="98">
        <v>2014</v>
      </c>
      <c r="D382" s="98" t="s">
        <v>317</v>
      </c>
      <c r="E382" s="98" t="s">
        <v>10</v>
      </c>
      <c r="F382" s="98" t="s">
        <v>136</v>
      </c>
      <c r="G382" s="248">
        <v>9068.6780000000108</v>
      </c>
      <c r="H382" s="299" t="str">
        <f>VLOOKUP(LEFT('Rev Adequacy'!D382,3),'Mapping B'!$D$2:$E$400,2,0)</f>
        <v>N</v>
      </c>
      <c r="I382" s="190"/>
      <c r="J382" s="15" t="s">
        <v>274</v>
      </c>
      <c r="K382" s="190" t="s">
        <v>17</v>
      </c>
      <c r="L382" s="190">
        <f t="shared" si="114"/>
        <v>14.464799999999999</v>
      </c>
      <c r="M382" s="15"/>
      <c r="N382" s="15"/>
      <c r="O382" s="15">
        <f>_xlfn.IFNA(IF(VLOOKUP($J382&amp;O$14,'Mapping A'!$A$6:$G$1011,7,0)=1,$L382,""),0)</f>
        <v>0</v>
      </c>
      <c r="P382" s="15">
        <f>_xlfn.IFNA(IF(VLOOKUP($J382&amp;P$14,'Mapping A'!$A$6:$G$1011,7,0)=1,$L382,""),0)</f>
        <v>0</v>
      </c>
      <c r="Q382" s="15">
        <f>_xlfn.IFNA(IF(VLOOKUP($J382&amp;Q$14,'Mapping A'!$A$6:$G$1011,7,0)=1,$L382,""),0)</f>
        <v>0</v>
      </c>
      <c r="R382" s="15">
        <f>_xlfn.IFNA(IF(VLOOKUP($J382&amp;R$14,'Mapping A'!$A$6:$G$1011,7,0)=1,$L382,""),0)</f>
        <v>0</v>
      </c>
      <c r="S382" s="15">
        <f>_xlfn.IFNA(IF(VLOOKUP($J382&amp;S$14,'Mapping A'!$A$6:$G$1011,7,0)=1,$L382,""),0)</f>
        <v>0</v>
      </c>
      <c r="T382" s="15">
        <f>_xlfn.IFNA(IF(VLOOKUP($J382&amp;T$14,'Mapping A'!$A$6:$G$1011,7,0)=1,$L382,""),0)</f>
        <v>0</v>
      </c>
      <c r="U382" s="15">
        <f>_xlfn.IFNA(IF(VLOOKUP($J382&amp;U$14,'Mapping A'!$A$6:$G$1011,7,0)=1,$L382,""),0)</f>
        <v>0</v>
      </c>
      <c r="V382" s="15">
        <f>_xlfn.IFNA(IF(VLOOKUP($J382&amp;V$14,'Mapping A'!$A$6:$G$1011,7,0)=1,$L382,""),0)</f>
        <v>0</v>
      </c>
      <c r="W382" s="15">
        <f>_xlfn.IFNA(IF(VLOOKUP($J382&amp;W$14,'Mapping A'!$A$6:$G$1011,7,0)=1,$L382,""),0)</f>
        <v>0</v>
      </c>
      <c r="X382" s="15">
        <f>_xlfn.IFNA(IF(VLOOKUP($J382&amp;X$14,'Mapping A'!$A$6:$G$1011,7,0)=1,$L382,""),0)</f>
        <v>0</v>
      </c>
      <c r="Y382" s="15">
        <f>_xlfn.IFNA(IF(VLOOKUP($J382&amp;Y$14,'Mapping A'!$A$6:$G$1011,7,0)=1,$L382,""),0)</f>
        <v>0</v>
      </c>
      <c r="Z382" s="15">
        <f>_xlfn.IFNA(IF(VLOOKUP($J382&amp;Z$14,'Mapping A'!$A$6:$G$1011,7,0)=1,$L382,""),0)</f>
        <v>0</v>
      </c>
      <c r="AA382" s="15">
        <f>_xlfn.IFNA(IF(VLOOKUP($J382&amp;AA$14,'Mapping A'!$A$6:$G$1011,7,0)=1,$L382,""),0)</f>
        <v>0</v>
      </c>
      <c r="AF382" s="155" t="str">
        <f t="shared" si="122"/>
        <v>NAP2202MRP</v>
      </c>
      <c r="AG382" s="190" t="s">
        <v>274</v>
      </c>
      <c r="AH382" s="190" t="s">
        <v>17</v>
      </c>
      <c r="AI382" s="190">
        <f t="shared" si="115"/>
        <v>14.464799999999999</v>
      </c>
      <c r="AJ382" s="292" t="s">
        <v>95</v>
      </c>
      <c r="AK382" s="15"/>
      <c r="AL382" s="15">
        <f t="shared" si="110"/>
        <v>0</v>
      </c>
      <c r="AM382" s="15"/>
      <c r="AN382" s="15">
        <f t="shared" ca="1" si="111"/>
        <v>0</v>
      </c>
      <c r="AO382" s="15">
        <f t="shared" si="112"/>
        <v>0</v>
      </c>
      <c r="AP382" s="15">
        <f t="shared" si="113"/>
        <v>0</v>
      </c>
      <c r="AQ382" s="15"/>
      <c r="AR382" s="190">
        <f t="shared" si="116"/>
        <v>0</v>
      </c>
      <c r="AS382" s="15"/>
      <c r="AT382" s="190">
        <f t="shared" si="117"/>
        <v>0</v>
      </c>
      <c r="AU382" s="190">
        <f t="shared" si="118"/>
        <v>0</v>
      </c>
      <c r="AV382" s="190">
        <f t="shared" si="119"/>
        <v>0</v>
      </c>
      <c r="AW382" s="190">
        <f t="shared" si="120"/>
        <v>0</v>
      </c>
      <c r="AX382" s="190">
        <f t="shared" si="121"/>
        <v>0</v>
      </c>
      <c r="BP382" s="190"/>
    </row>
    <row r="383" spans="2:68" x14ac:dyDescent="0.25">
      <c r="B383" s="98" t="s">
        <v>552</v>
      </c>
      <c r="C383" s="98">
        <v>2014</v>
      </c>
      <c r="D383" s="98" t="s">
        <v>340</v>
      </c>
      <c r="E383" s="98" t="s">
        <v>10</v>
      </c>
      <c r="F383" s="98" t="s">
        <v>136</v>
      </c>
      <c r="G383" s="248">
        <v>3918.6869999999899</v>
      </c>
      <c r="H383" s="299" t="str">
        <f>VLOOKUP(LEFT('Rev Adequacy'!D383,3),'Mapping B'!$D$2:$E$400,2,0)</f>
        <v>S</v>
      </c>
      <c r="I383" s="190"/>
      <c r="J383" s="15" t="s">
        <v>276</v>
      </c>
      <c r="K383" s="190" t="s">
        <v>105</v>
      </c>
      <c r="L383" s="190">
        <f t="shared" si="114"/>
        <v>60.620699999999999</v>
      </c>
      <c r="M383" s="15"/>
      <c r="N383" s="15"/>
      <c r="O383" s="15">
        <f>_xlfn.IFNA(IF(VLOOKUP($J383&amp;O$14,'Mapping A'!$A$6:$G$1011,7,0)=1,$L383,""),0)</f>
        <v>0</v>
      </c>
      <c r="P383" s="15">
        <f>_xlfn.IFNA(IF(VLOOKUP($J383&amp;P$14,'Mapping A'!$A$6:$G$1011,7,0)=1,$L383,""),0)</f>
        <v>60.620699999999999</v>
      </c>
      <c r="Q383" s="15">
        <f>_xlfn.IFNA(IF(VLOOKUP($J383&amp;Q$14,'Mapping A'!$A$6:$G$1011,7,0)=1,$L383,""),0)</f>
        <v>60.620699999999999</v>
      </c>
      <c r="R383" s="15">
        <f>_xlfn.IFNA(IF(VLOOKUP($J383&amp;R$14,'Mapping A'!$A$6:$G$1011,7,0)=1,$L383,""),0)</f>
        <v>0</v>
      </c>
      <c r="S383" s="15">
        <f>_xlfn.IFNA(IF(VLOOKUP($J383&amp;S$14,'Mapping A'!$A$6:$G$1011,7,0)=1,$L383,""),0)</f>
        <v>0</v>
      </c>
      <c r="T383" s="15">
        <f>_xlfn.IFNA(IF(VLOOKUP($J383&amp;T$14,'Mapping A'!$A$6:$G$1011,7,0)=1,$L383,""),0)</f>
        <v>0</v>
      </c>
      <c r="U383" s="15">
        <f>_xlfn.IFNA(IF(VLOOKUP($J383&amp;U$14,'Mapping A'!$A$6:$G$1011,7,0)=1,$L383,""),0)</f>
        <v>0</v>
      </c>
      <c r="V383" s="15">
        <f>_xlfn.IFNA(IF(VLOOKUP($J383&amp;V$14,'Mapping A'!$A$6:$G$1011,7,0)=1,$L383,""),0)</f>
        <v>60.620699999999999</v>
      </c>
      <c r="W383" s="15">
        <f>_xlfn.IFNA(IF(VLOOKUP($J383&amp;W$14,'Mapping A'!$A$6:$G$1011,7,0)=1,$L383,""),0)</f>
        <v>0</v>
      </c>
      <c r="X383" s="15">
        <f>_xlfn.IFNA(IF(VLOOKUP($J383&amp;X$14,'Mapping A'!$A$6:$G$1011,7,0)=1,$L383,""),0)</f>
        <v>0</v>
      </c>
      <c r="Y383" s="15">
        <f>_xlfn.IFNA(IF(VLOOKUP($J383&amp;Y$14,'Mapping A'!$A$6:$G$1011,7,0)=1,$L383,""),0)</f>
        <v>0</v>
      </c>
      <c r="Z383" s="15">
        <f>_xlfn.IFNA(IF(VLOOKUP($J383&amp;Z$14,'Mapping A'!$A$6:$G$1011,7,0)=1,$L383,""),0)</f>
        <v>0</v>
      </c>
      <c r="AA383" s="15">
        <f>_xlfn.IFNA(IF(VLOOKUP($J383&amp;AA$14,'Mapping A'!$A$6:$G$1011,7,0)=1,$L383,""),0)</f>
        <v>0</v>
      </c>
      <c r="AF383" s="155" t="str">
        <f t="shared" si="122"/>
        <v>NMA0331The Power Company</v>
      </c>
      <c r="AG383" s="190" t="s">
        <v>276</v>
      </c>
      <c r="AH383" s="190" t="s">
        <v>105</v>
      </c>
      <c r="AI383" s="190">
        <f t="shared" si="115"/>
        <v>60.620699999999999</v>
      </c>
      <c r="AJ383" s="292" t="s">
        <v>96</v>
      </c>
      <c r="AK383" s="15"/>
      <c r="AL383" s="15">
        <f t="shared" si="110"/>
        <v>0</v>
      </c>
      <c r="AM383" s="15"/>
      <c r="AN383" s="15">
        <f t="shared" ca="1" si="111"/>
        <v>0</v>
      </c>
      <c r="AO383" s="15">
        <f t="shared" si="112"/>
        <v>0</v>
      </c>
      <c r="AP383" s="15">
        <f t="shared" si="113"/>
        <v>0</v>
      </c>
      <c r="AQ383" s="15"/>
      <c r="AR383" s="190">
        <f t="shared" si="116"/>
        <v>0</v>
      </c>
      <c r="AS383" s="15"/>
      <c r="AT383" s="190">
        <f t="shared" si="117"/>
        <v>0</v>
      </c>
      <c r="AU383" s="190">
        <f t="shared" si="118"/>
        <v>0</v>
      </c>
      <c r="AV383" s="190">
        <f t="shared" si="119"/>
        <v>0</v>
      </c>
      <c r="AW383" s="190">
        <f t="shared" si="120"/>
        <v>0</v>
      </c>
      <c r="AX383" s="190">
        <f t="shared" si="121"/>
        <v>0</v>
      </c>
      <c r="BP383" s="190"/>
    </row>
    <row r="384" spans="2:68" x14ac:dyDescent="0.25">
      <c r="B384" s="98" t="s">
        <v>552</v>
      </c>
      <c r="C384" s="98">
        <v>2014</v>
      </c>
      <c r="D384" s="98" t="s">
        <v>341</v>
      </c>
      <c r="E384" s="98" t="s">
        <v>10</v>
      </c>
      <c r="F384" s="98" t="s">
        <v>136</v>
      </c>
      <c r="G384" s="248">
        <v>0</v>
      </c>
      <c r="H384" s="299" t="str">
        <f>VLOOKUP(LEFT('Rev Adequacy'!D384,3),'Mapping B'!$D$2:$E$400,2,0)</f>
        <v>S</v>
      </c>
      <c r="I384" s="190"/>
      <c r="J384" s="15" t="s">
        <v>278</v>
      </c>
      <c r="K384" s="190" t="s">
        <v>32</v>
      </c>
      <c r="L384" s="190">
        <f t="shared" si="114"/>
        <v>6.7116000000000007</v>
      </c>
      <c r="M384" s="15"/>
      <c r="N384" s="15"/>
      <c r="O384" s="15">
        <f>_xlfn.IFNA(IF(VLOOKUP($J384&amp;O$14,'Mapping A'!$A$6:$G$1011,7,0)=1,$L384,""),0)</f>
        <v>0</v>
      </c>
      <c r="P384" s="15">
        <f>_xlfn.IFNA(IF(VLOOKUP($J384&amp;P$14,'Mapping A'!$A$6:$G$1011,7,0)=1,$L384,""),0)</f>
        <v>0</v>
      </c>
      <c r="Q384" s="15">
        <f>_xlfn.IFNA(IF(VLOOKUP($J384&amp;Q$14,'Mapping A'!$A$6:$G$1011,7,0)=1,$L384,""),0)</f>
        <v>0</v>
      </c>
      <c r="R384" s="15">
        <f>_xlfn.IFNA(IF(VLOOKUP($J384&amp;R$14,'Mapping A'!$A$6:$G$1011,7,0)=1,$L384,""),0)</f>
        <v>0</v>
      </c>
      <c r="S384" s="15">
        <f>_xlfn.IFNA(IF(VLOOKUP($J384&amp;S$14,'Mapping A'!$A$6:$G$1011,7,0)=1,$L384,""),0)</f>
        <v>0</v>
      </c>
      <c r="T384" s="15">
        <f>_xlfn.IFNA(IF(VLOOKUP($J384&amp;T$14,'Mapping A'!$A$6:$G$1011,7,0)=1,$L384,""),0)</f>
        <v>0</v>
      </c>
      <c r="U384" s="15">
        <f>_xlfn.IFNA(IF(VLOOKUP($J384&amp;U$14,'Mapping A'!$A$6:$G$1011,7,0)=1,$L384,""),0)</f>
        <v>0</v>
      </c>
      <c r="V384" s="15">
        <f>_xlfn.IFNA(IF(VLOOKUP($J384&amp;V$14,'Mapping A'!$A$6:$G$1011,7,0)=1,$L384,""),0)</f>
        <v>0</v>
      </c>
      <c r="W384" s="15">
        <f>_xlfn.IFNA(IF(VLOOKUP($J384&amp;W$14,'Mapping A'!$A$6:$G$1011,7,0)=1,$L384,""),0)</f>
        <v>0</v>
      </c>
      <c r="X384" s="15">
        <f>_xlfn.IFNA(IF(VLOOKUP($J384&amp;X$14,'Mapping A'!$A$6:$G$1011,7,0)=1,$L384,""),0)</f>
        <v>0</v>
      </c>
      <c r="Y384" s="15">
        <f>_xlfn.IFNA(IF(VLOOKUP($J384&amp;Y$14,'Mapping A'!$A$6:$G$1011,7,0)=1,$L384,""),0)</f>
        <v>0</v>
      </c>
      <c r="Z384" s="15">
        <f>_xlfn.IFNA(IF(VLOOKUP($J384&amp;Z$14,'Mapping A'!$A$6:$G$1011,7,0)=1,$L384,""),0)</f>
        <v>0</v>
      </c>
      <c r="AA384" s="15">
        <f>_xlfn.IFNA(IF(VLOOKUP($J384&amp;AA$14,'Mapping A'!$A$6:$G$1011,7,0)=1,$L384,""),0)</f>
        <v>0</v>
      </c>
      <c r="AF384" s="155" t="str">
        <f t="shared" si="122"/>
        <v>NPK0331The Lines Company</v>
      </c>
      <c r="AG384" s="190" t="s">
        <v>278</v>
      </c>
      <c r="AH384" s="190" t="s">
        <v>32</v>
      </c>
      <c r="AI384" s="190">
        <f t="shared" si="115"/>
        <v>6.7116000000000007</v>
      </c>
      <c r="AJ384" s="292" t="s">
        <v>95</v>
      </c>
      <c r="AK384" s="15"/>
      <c r="AL384" s="15">
        <f t="shared" ref="AL384:AL447" si="123">IF(O$255=0,0,(O$13*O$7*O384/O$255))</f>
        <v>0</v>
      </c>
      <c r="AM384" s="15"/>
      <c r="AN384" s="15">
        <f t="shared" ref="AN384:AN447" ca="1" si="124">IF(Q$255=0,0,(Q$15*Q$7*Q384/Q$255))</f>
        <v>0</v>
      </c>
      <c r="AO384" s="15">
        <f t="shared" ref="AO384:AO447" si="125">IF(R$255=0,0,(R$13*R$7*R384/R$255))</f>
        <v>0</v>
      </c>
      <c r="AP384" s="15">
        <f t="shared" ref="AP384:AP447" si="126">IF(S$255=0,0,(S$13*S$7*S384/S$255))</f>
        <v>0</v>
      </c>
      <c r="AQ384" s="15"/>
      <c r="AR384" s="190">
        <f t="shared" si="116"/>
        <v>0</v>
      </c>
      <c r="AS384" s="15"/>
      <c r="AT384" s="190">
        <f t="shared" si="117"/>
        <v>0</v>
      </c>
      <c r="AU384" s="190">
        <f t="shared" si="118"/>
        <v>0</v>
      </c>
      <c r="AV384" s="190">
        <f t="shared" si="119"/>
        <v>0</v>
      </c>
      <c r="AW384" s="190">
        <f t="shared" si="120"/>
        <v>0</v>
      </c>
      <c r="AX384" s="190">
        <f t="shared" si="121"/>
        <v>0</v>
      </c>
      <c r="BP384" s="190"/>
    </row>
    <row r="385" spans="2:68" x14ac:dyDescent="0.25">
      <c r="B385" s="98" t="s">
        <v>552</v>
      </c>
      <c r="C385" s="98">
        <v>2014</v>
      </c>
      <c r="D385" s="98" t="s">
        <v>344</v>
      </c>
      <c r="E385" s="98" t="s">
        <v>10</v>
      </c>
      <c r="F385" s="98" t="s">
        <v>131</v>
      </c>
      <c r="G385" s="248">
        <v>14.704592274677999</v>
      </c>
      <c r="H385" s="299" t="str">
        <f>VLOOKUP(LEFT('Rev Adequacy'!D385,3),'Mapping B'!$D$2:$E$400,2,0)</f>
        <v>N</v>
      </c>
      <c r="I385" s="190"/>
      <c r="J385" s="15" t="s">
        <v>279</v>
      </c>
      <c r="K385" s="190" t="s">
        <v>53</v>
      </c>
      <c r="L385" s="190">
        <f t="shared" ref="L385:L448" si="127">BH156</f>
        <v>0</v>
      </c>
      <c r="M385" s="15"/>
      <c r="N385" s="15"/>
      <c r="O385" s="15">
        <f>_xlfn.IFNA(IF(VLOOKUP($J385&amp;O$14,'Mapping A'!$A$6:$G$1011,7,0)=1,$L385,""),0)</f>
        <v>0</v>
      </c>
      <c r="P385" s="15">
        <f>_xlfn.IFNA(IF(VLOOKUP($J385&amp;P$14,'Mapping A'!$A$6:$G$1011,7,0)=1,$L385,""),0)</f>
        <v>0</v>
      </c>
      <c r="Q385" s="15">
        <f>_xlfn.IFNA(IF(VLOOKUP($J385&amp;Q$14,'Mapping A'!$A$6:$G$1011,7,0)=1,$L385,""),0)</f>
        <v>0</v>
      </c>
      <c r="R385" s="15">
        <f>_xlfn.IFNA(IF(VLOOKUP($J385&amp;R$14,'Mapping A'!$A$6:$G$1011,7,0)=1,$L385,""),0)</f>
        <v>0</v>
      </c>
      <c r="S385" s="15">
        <f>_xlfn.IFNA(IF(VLOOKUP($J385&amp;S$14,'Mapping A'!$A$6:$G$1011,7,0)=1,$L385,""),0)</f>
        <v>0</v>
      </c>
      <c r="T385" s="15">
        <f>_xlfn.IFNA(IF(VLOOKUP($J385&amp;T$14,'Mapping A'!$A$6:$G$1011,7,0)=1,$L385,""),0)</f>
        <v>0</v>
      </c>
      <c r="U385" s="15">
        <f>_xlfn.IFNA(IF(VLOOKUP($J385&amp;U$14,'Mapping A'!$A$6:$G$1011,7,0)=1,$L385,""),0)</f>
        <v>0</v>
      </c>
      <c r="V385" s="15">
        <f>_xlfn.IFNA(IF(VLOOKUP($J385&amp;V$14,'Mapping A'!$A$6:$G$1011,7,0)=1,$L385,""),0)</f>
        <v>0</v>
      </c>
      <c r="W385" s="15">
        <f>_xlfn.IFNA(IF(VLOOKUP($J385&amp;W$14,'Mapping A'!$A$6:$G$1011,7,0)=1,$L385,""),0)</f>
        <v>0</v>
      </c>
      <c r="X385" s="15">
        <f>_xlfn.IFNA(IF(VLOOKUP($J385&amp;X$14,'Mapping A'!$A$6:$G$1011,7,0)=1,$L385,""),0)</f>
        <v>0</v>
      </c>
      <c r="Y385" s="15">
        <f>_xlfn.IFNA(IF(VLOOKUP($J385&amp;Y$14,'Mapping A'!$A$6:$G$1011,7,0)=1,$L385,""),0)</f>
        <v>0</v>
      </c>
      <c r="Z385" s="15">
        <f>_xlfn.IFNA(IF(VLOOKUP($J385&amp;Z$14,'Mapping A'!$A$6:$G$1011,7,0)=1,$L385,""),0)</f>
        <v>0</v>
      </c>
      <c r="AA385" s="15">
        <f>_xlfn.IFNA(IF(VLOOKUP($J385&amp;AA$14,'Mapping A'!$A$6:$G$1011,7,0)=1,$L385,""),0)</f>
        <v>0</v>
      </c>
      <c r="AF385" s="155" t="str">
        <f t="shared" si="122"/>
        <v>NPL0331Other</v>
      </c>
      <c r="AG385" s="190" t="s">
        <v>279</v>
      </c>
      <c r="AH385" s="190" t="s">
        <v>53</v>
      </c>
      <c r="AI385" s="190">
        <f t="shared" ref="AI385:AI448" si="128">BH156</f>
        <v>0</v>
      </c>
      <c r="AJ385" s="292" t="s">
        <v>95</v>
      </c>
      <c r="AK385" s="15"/>
      <c r="AL385" s="15">
        <f t="shared" si="123"/>
        <v>0</v>
      </c>
      <c r="AM385" s="15"/>
      <c r="AN385" s="15">
        <f t="shared" ca="1" si="124"/>
        <v>0</v>
      </c>
      <c r="AO385" s="15">
        <f t="shared" si="125"/>
        <v>0</v>
      </c>
      <c r="AP385" s="15">
        <f t="shared" si="126"/>
        <v>0</v>
      </c>
      <c r="AQ385" s="15"/>
      <c r="AR385" s="190">
        <f t="shared" ref="AR385:AR448" si="129">IF(U$255=0,0,(U$13*U$7*U385/U$255))</f>
        <v>0</v>
      </c>
      <c r="AS385" s="15"/>
      <c r="AT385" s="190">
        <f t="shared" ref="AT385:AT448" si="130">IF(W$255=0,0,(W$13*W$7*W385/W$255))</f>
        <v>0</v>
      </c>
      <c r="AU385" s="190">
        <f t="shared" ref="AU385:AU448" si="131">IF(X$255=0,0,(X$13*X$7*X385/X$255))</f>
        <v>0</v>
      </c>
      <c r="AV385" s="190">
        <f t="shared" ref="AV385:AV448" si="132">IF(Y$255=0,0,(Y$13*Y$7*Y385/Y$255))</f>
        <v>0</v>
      </c>
      <c r="AW385" s="190">
        <f t="shared" ref="AW385:AW448" si="133">IF(Z$255=0,0,(Z$13*Z$8*Z385/Z$255))</f>
        <v>0</v>
      </c>
      <c r="AX385" s="190">
        <f t="shared" ref="AX385:AX448" si="134">IF(AA$255=0,0,(AA$13*AA$7*AA385/AA$255))</f>
        <v>0</v>
      </c>
      <c r="BP385" s="190"/>
    </row>
    <row r="386" spans="2:68" x14ac:dyDescent="0.25">
      <c r="B386" s="98" t="s">
        <v>552</v>
      </c>
      <c r="C386" s="98">
        <v>2014</v>
      </c>
      <c r="D386" s="98" t="s">
        <v>345</v>
      </c>
      <c r="E386" s="98" t="s">
        <v>10</v>
      </c>
      <c r="F386" s="98" t="s">
        <v>136</v>
      </c>
      <c r="G386" s="248">
        <v>32816.084000000003</v>
      </c>
      <c r="H386" s="299" t="str">
        <f>VLOOKUP(LEFT('Rev Adequacy'!D386,3),'Mapping B'!$D$2:$E$400,2,0)</f>
        <v>N</v>
      </c>
      <c r="I386" s="190"/>
      <c r="J386" s="15" t="s">
        <v>279</v>
      </c>
      <c r="K386" s="190" t="s">
        <v>28</v>
      </c>
      <c r="L386" s="190">
        <f t="shared" si="127"/>
        <v>20.411999999999999</v>
      </c>
      <c r="M386" s="15"/>
      <c r="N386" s="15"/>
      <c r="O386" s="15">
        <f>_xlfn.IFNA(IF(VLOOKUP($J386&amp;O$14,'Mapping A'!$A$6:$G$1011,7,0)=1,$L386,""),0)</f>
        <v>0</v>
      </c>
      <c r="P386" s="15">
        <f>_xlfn.IFNA(IF(VLOOKUP($J386&amp;P$14,'Mapping A'!$A$6:$G$1011,7,0)=1,$L386,""),0)</f>
        <v>0</v>
      </c>
      <c r="Q386" s="15">
        <f>_xlfn.IFNA(IF(VLOOKUP($J386&amp;Q$14,'Mapping A'!$A$6:$G$1011,7,0)=1,$L386,""),0)</f>
        <v>0</v>
      </c>
      <c r="R386" s="15">
        <f>_xlfn.IFNA(IF(VLOOKUP($J386&amp;R$14,'Mapping A'!$A$6:$G$1011,7,0)=1,$L386,""),0)</f>
        <v>0</v>
      </c>
      <c r="S386" s="15">
        <f>_xlfn.IFNA(IF(VLOOKUP($J386&amp;S$14,'Mapping A'!$A$6:$G$1011,7,0)=1,$L386,""),0)</f>
        <v>0</v>
      </c>
      <c r="T386" s="15">
        <f>_xlfn.IFNA(IF(VLOOKUP($J386&amp;T$14,'Mapping A'!$A$6:$G$1011,7,0)=1,$L386,""),0)</f>
        <v>0</v>
      </c>
      <c r="U386" s="15">
        <f>_xlfn.IFNA(IF(VLOOKUP($J386&amp;U$14,'Mapping A'!$A$6:$G$1011,7,0)=1,$L386,""),0)</f>
        <v>0</v>
      </c>
      <c r="V386" s="15">
        <f>_xlfn.IFNA(IF(VLOOKUP($J386&amp;V$14,'Mapping A'!$A$6:$G$1011,7,0)=1,$L386,""),0)</f>
        <v>0</v>
      </c>
      <c r="W386" s="15">
        <f>_xlfn.IFNA(IF(VLOOKUP($J386&amp;W$14,'Mapping A'!$A$6:$G$1011,7,0)=1,$L386,""),0)</f>
        <v>0</v>
      </c>
      <c r="X386" s="15">
        <f>_xlfn.IFNA(IF(VLOOKUP($J386&amp;X$14,'Mapping A'!$A$6:$G$1011,7,0)=1,$L386,""),0)</f>
        <v>0</v>
      </c>
      <c r="Y386" s="15">
        <f>_xlfn.IFNA(IF(VLOOKUP($J386&amp;Y$14,'Mapping A'!$A$6:$G$1011,7,0)=1,$L386,""),0)</f>
        <v>0</v>
      </c>
      <c r="Z386" s="15">
        <f>_xlfn.IFNA(IF(VLOOKUP($J386&amp;Z$14,'Mapping A'!$A$6:$G$1011,7,0)=1,$L386,""),0)</f>
        <v>0</v>
      </c>
      <c r="AA386" s="15">
        <f>_xlfn.IFNA(IF(VLOOKUP($J386&amp;AA$14,'Mapping A'!$A$6:$G$1011,7,0)=1,$L386,""),0)</f>
        <v>0</v>
      </c>
      <c r="AF386" s="155" t="str">
        <f t="shared" si="122"/>
        <v>NPL0331Powerco</v>
      </c>
      <c r="AG386" s="190" t="s">
        <v>279</v>
      </c>
      <c r="AH386" s="190" t="s">
        <v>28</v>
      </c>
      <c r="AI386" s="190">
        <f t="shared" si="128"/>
        <v>20.411999999999999</v>
      </c>
      <c r="AJ386" s="292" t="s">
        <v>95</v>
      </c>
      <c r="AK386" s="15"/>
      <c r="AL386" s="15">
        <f t="shared" si="123"/>
        <v>0</v>
      </c>
      <c r="AM386" s="15"/>
      <c r="AN386" s="15">
        <f t="shared" ca="1" si="124"/>
        <v>0</v>
      </c>
      <c r="AO386" s="15">
        <f t="shared" si="125"/>
        <v>0</v>
      </c>
      <c r="AP386" s="15">
        <f t="shared" si="126"/>
        <v>0</v>
      </c>
      <c r="AQ386" s="15"/>
      <c r="AR386" s="190">
        <f t="shared" si="129"/>
        <v>0</v>
      </c>
      <c r="AS386" s="15"/>
      <c r="AT386" s="190">
        <f t="shared" si="130"/>
        <v>0</v>
      </c>
      <c r="AU386" s="190">
        <f t="shared" si="131"/>
        <v>0</v>
      </c>
      <c r="AV386" s="190">
        <f t="shared" si="132"/>
        <v>0</v>
      </c>
      <c r="AW386" s="190">
        <f t="shared" si="133"/>
        <v>0</v>
      </c>
      <c r="AX386" s="190">
        <f t="shared" si="134"/>
        <v>0</v>
      </c>
      <c r="BP386" s="190"/>
    </row>
    <row r="387" spans="2:68" x14ac:dyDescent="0.25">
      <c r="B387" s="98" t="s">
        <v>552</v>
      </c>
      <c r="C387" s="98">
        <v>2014</v>
      </c>
      <c r="D387" s="98" t="s">
        <v>353</v>
      </c>
      <c r="E387" s="98" t="s">
        <v>10</v>
      </c>
      <c r="F387" s="98" t="s">
        <v>131</v>
      </c>
      <c r="G387" s="248">
        <v>0</v>
      </c>
      <c r="H387" s="299" t="str">
        <f>VLOOKUP(LEFT('Rev Adequacy'!D387,3),'Mapping B'!$D$2:$E$400,2,0)</f>
        <v>N</v>
      </c>
      <c r="I387" s="190"/>
      <c r="J387" s="15" t="s">
        <v>280</v>
      </c>
      <c r="K387" s="190" t="s">
        <v>103</v>
      </c>
      <c r="L387" s="190">
        <f t="shared" si="127"/>
        <v>33.429900000000004</v>
      </c>
      <c r="M387" s="15"/>
      <c r="N387" s="15"/>
      <c r="O387" s="15">
        <f>_xlfn.IFNA(IF(VLOOKUP($J387&amp;O$14,'Mapping A'!$A$6:$G$1011,7,0)=1,$L387,""),0)</f>
        <v>0</v>
      </c>
      <c r="P387" s="15">
        <f>_xlfn.IFNA(IF(VLOOKUP($J387&amp;P$14,'Mapping A'!$A$6:$G$1011,7,0)=1,$L387,""),0)</f>
        <v>0</v>
      </c>
      <c r="Q387" s="15">
        <f>_xlfn.IFNA(IF(VLOOKUP($J387&amp;Q$14,'Mapping A'!$A$6:$G$1011,7,0)=1,$L387,""),0)</f>
        <v>33.429900000000004</v>
      </c>
      <c r="R387" s="15">
        <f>_xlfn.IFNA(IF(VLOOKUP($J387&amp;R$14,'Mapping A'!$A$6:$G$1011,7,0)=1,$L387,""),0)</f>
        <v>0</v>
      </c>
      <c r="S387" s="15">
        <f>_xlfn.IFNA(IF(VLOOKUP($J387&amp;S$14,'Mapping A'!$A$6:$G$1011,7,0)=1,$L387,""),0)</f>
        <v>0</v>
      </c>
      <c r="T387" s="15">
        <f>_xlfn.IFNA(IF(VLOOKUP($J387&amp;T$14,'Mapping A'!$A$6:$G$1011,7,0)=1,$L387,""),0)</f>
        <v>0</v>
      </c>
      <c r="U387" s="15">
        <f>_xlfn.IFNA(IF(VLOOKUP($J387&amp;U$14,'Mapping A'!$A$6:$G$1011,7,0)=1,$L387,""),0)</f>
        <v>0</v>
      </c>
      <c r="V387" s="15">
        <f>_xlfn.IFNA(IF(VLOOKUP($J387&amp;V$14,'Mapping A'!$A$6:$G$1011,7,0)=1,$L387,""),0)</f>
        <v>0</v>
      </c>
      <c r="W387" s="15">
        <f>_xlfn.IFNA(IF(VLOOKUP($J387&amp;W$14,'Mapping A'!$A$6:$G$1011,7,0)=1,$L387,""),0)</f>
        <v>0</v>
      </c>
      <c r="X387" s="15">
        <f>_xlfn.IFNA(IF(VLOOKUP($J387&amp;X$14,'Mapping A'!$A$6:$G$1011,7,0)=1,$L387,""),0)</f>
        <v>0</v>
      </c>
      <c r="Y387" s="15">
        <f>_xlfn.IFNA(IF(VLOOKUP($J387&amp;Y$14,'Mapping A'!$A$6:$G$1011,7,0)=1,$L387,""),0)</f>
        <v>0</v>
      </c>
      <c r="Z387" s="15">
        <f>_xlfn.IFNA(IF(VLOOKUP($J387&amp;Z$14,'Mapping A'!$A$6:$G$1011,7,0)=1,$L387,""),0)</f>
        <v>0</v>
      </c>
      <c r="AA387" s="15">
        <f>_xlfn.IFNA(IF(VLOOKUP($J387&amp;AA$14,'Mapping A'!$A$6:$G$1011,7,0)=1,$L387,""),0)</f>
        <v>0</v>
      </c>
      <c r="AF387" s="155" t="str">
        <f t="shared" si="122"/>
        <v>NSY0331OtagoNet JV</v>
      </c>
      <c r="AG387" s="190" t="s">
        <v>280</v>
      </c>
      <c r="AH387" s="190" t="s">
        <v>103</v>
      </c>
      <c r="AI387" s="190">
        <f t="shared" si="128"/>
        <v>33.429900000000004</v>
      </c>
      <c r="AJ387" s="292" t="s">
        <v>96</v>
      </c>
      <c r="AK387" s="15"/>
      <c r="AL387" s="15">
        <f t="shared" si="123"/>
        <v>0</v>
      </c>
      <c r="AM387" s="15"/>
      <c r="AN387" s="15">
        <f t="shared" ca="1" si="124"/>
        <v>0</v>
      </c>
      <c r="AO387" s="15">
        <f t="shared" si="125"/>
        <v>0</v>
      </c>
      <c r="AP387" s="15">
        <f t="shared" si="126"/>
        <v>0</v>
      </c>
      <c r="AQ387" s="15"/>
      <c r="AR387" s="190">
        <f t="shared" si="129"/>
        <v>0</v>
      </c>
      <c r="AS387" s="15"/>
      <c r="AT387" s="190">
        <f t="shared" si="130"/>
        <v>0</v>
      </c>
      <c r="AU387" s="190">
        <f t="shared" si="131"/>
        <v>0</v>
      </c>
      <c r="AV387" s="190">
        <f t="shared" si="132"/>
        <v>0</v>
      </c>
      <c r="AW387" s="190">
        <f t="shared" si="133"/>
        <v>0</v>
      </c>
      <c r="AX387" s="190">
        <f t="shared" si="134"/>
        <v>0</v>
      </c>
      <c r="BP387" s="190"/>
    </row>
    <row r="388" spans="2:68" x14ac:dyDescent="0.25">
      <c r="B388" s="98" t="s">
        <v>552</v>
      </c>
      <c r="C388" s="98">
        <v>2014</v>
      </c>
      <c r="D388" s="98" t="s">
        <v>354</v>
      </c>
      <c r="E388" s="98" t="s">
        <v>10</v>
      </c>
      <c r="F388" s="98" t="s">
        <v>136</v>
      </c>
      <c r="G388" s="248">
        <v>0</v>
      </c>
      <c r="H388" s="299" t="str">
        <f>VLOOKUP(LEFT('Rev Adequacy'!D388,3),'Mapping B'!$D$2:$E$400,2,0)</f>
        <v>N</v>
      </c>
      <c r="I388" s="190"/>
      <c r="J388" s="15" t="s">
        <v>282</v>
      </c>
      <c r="K388" s="190" t="s">
        <v>20</v>
      </c>
      <c r="L388" s="190">
        <f t="shared" si="127"/>
        <v>43.243199999999995</v>
      </c>
      <c r="M388" s="15"/>
      <c r="N388" s="15"/>
      <c r="O388" s="15">
        <f>_xlfn.IFNA(IF(VLOOKUP($J388&amp;O$14,'Mapping A'!$A$6:$G$1011,7,0)=1,$L388,""),0)</f>
        <v>0</v>
      </c>
      <c r="P388" s="15">
        <f>_xlfn.IFNA(IF(VLOOKUP($J388&amp;P$14,'Mapping A'!$A$6:$G$1011,7,0)=1,$L388,""),0)</f>
        <v>0</v>
      </c>
      <c r="Q388" s="15">
        <f>_xlfn.IFNA(IF(VLOOKUP($J388&amp;Q$14,'Mapping A'!$A$6:$G$1011,7,0)=1,$L388,""),0)</f>
        <v>43.243199999999995</v>
      </c>
      <c r="R388" s="15">
        <f>_xlfn.IFNA(IF(VLOOKUP($J388&amp;R$14,'Mapping A'!$A$6:$G$1011,7,0)=1,$L388,""),0)</f>
        <v>0</v>
      </c>
      <c r="S388" s="15">
        <f>_xlfn.IFNA(IF(VLOOKUP($J388&amp;S$14,'Mapping A'!$A$6:$G$1011,7,0)=1,$L388,""),0)</f>
        <v>0</v>
      </c>
      <c r="T388" s="15">
        <f>_xlfn.IFNA(IF(VLOOKUP($J388&amp;T$14,'Mapping A'!$A$6:$G$1011,7,0)=1,$L388,""),0)</f>
        <v>0</v>
      </c>
      <c r="U388" s="15">
        <f>_xlfn.IFNA(IF(VLOOKUP($J388&amp;U$14,'Mapping A'!$A$6:$G$1011,7,0)=1,$L388,""),0)</f>
        <v>0</v>
      </c>
      <c r="V388" s="15">
        <f>_xlfn.IFNA(IF(VLOOKUP($J388&amp;V$14,'Mapping A'!$A$6:$G$1011,7,0)=1,$L388,""),0)</f>
        <v>0</v>
      </c>
      <c r="W388" s="15">
        <f>_xlfn.IFNA(IF(VLOOKUP($J388&amp;W$14,'Mapping A'!$A$6:$G$1011,7,0)=1,$L388,""),0)</f>
        <v>0</v>
      </c>
      <c r="X388" s="15">
        <f>_xlfn.IFNA(IF(VLOOKUP($J388&amp;X$14,'Mapping A'!$A$6:$G$1011,7,0)=1,$L388,""),0)</f>
        <v>0</v>
      </c>
      <c r="Y388" s="15">
        <f>_xlfn.IFNA(IF(VLOOKUP($J388&amp;Y$14,'Mapping A'!$A$6:$G$1011,7,0)=1,$L388,""),0)</f>
        <v>0</v>
      </c>
      <c r="Z388" s="15">
        <f>_xlfn.IFNA(IF(VLOOKUP($J388&amp;Z$14,'Mapping A'!$A$6:$G$1011,7,0)=1,$L388,""),0)</f>
        <v>0</v>
      </c>
      <c r="AA388" s="15">
        <f>_xlfn.IFNA(IF(VLOOKUP($J388&amp;AA$14,'Mapping A'!$A$6:$G$1011,7,0)=1,$L388,""),0)</f>
        <v>0</v>
      </c>
      <c r="AF388" s="155" t="str">
        <f t="shared" si="122"/>
        <v>OAM0331Network Waitaki</v>
      </c>
      <c r="AG388" s="190" t="s">
        <v>282</v>
      </c>
      <c r="AH388" s="190" t="s">
        <v>20</v>
      </c>
      <c r="AI388" s="190">
        <f t="shared" si="128"/>
        <v>43.243199999999995</v>
      </c>
      <c r="AJ388" s="292" t="s">
        <v>96</v>
      </c>
      <c r="AK388" s="15"/>
      <c r="AL388" s="15">
        <f t="shared" si="123"/>
        <v>0</v>
      </c>
      <c r="AM388" s="15"/>
      <c r="AN388" s="15">
        <f t="shared" ca="1" si="124"/>
        <v>0</v>
      </c>
      <c r="AO388" s="15">
        <f t="shared" si="125"/>
        <v>0</v>
      </c>
      <c r="AP388" s="15">
        <f t="shared" si="126"/>
        <v>0</v>
      </c>
      <c r="AQ388" s="15"/>
      <c r="AR388" s="190">
        <f t="shared" si="129"/>
        <v>0</v>
      </c>
      <c r="AS388" s="15"/>
      <c r="AT388" s="190">
        <f t="shared" si="130"/>
        <v>0</v>
      </c>
      <c r="AU388" s="190">
        <f t="shared" si="131"/>
        <v>0</v>
      </c>
      <c r="AV388" s="190">
        <f t="shared" si="132"/>
        <v>0</v>
      </c>
      <c r="AW388" s="190">
        <f t="shared" si="133"/>
        <v>0</v>
      </c>
      <c r="AX388" s="190">
        <f t="shared" si="134"/>
        <v>0</v>
      </c>
      <c r="BP388" s="190"/>
    </row>
    <row r="389" spans="2:68" x14ac:dyDescent="0.25">
      <c r="B389" s="98" t="s">
        <v>552</v>
      </c>
      <c r="C389" s="98">
        <v>2014</v>
      </c>
      <c r="D389" s="98" t="s">
        <v>355</v>
      </c>
      <c r="E389" s="98" t="s">
        <v>10</v>
      </c>
      <c r="F389" s="98" t="s">
        <v>136</v>
      </c>
      <c r="G389" s="248">
        <v>3851.05599999998</v>
      </c>
      <c r="H389" s="299" t="str">
        <f>VLOOKUP(LEFT('Rev Adequacy'!D389,3),'Mapping B'!$D$2:$E$400,2,0)</f>
        <v>N</v>
      </c>
      <c r="I389" s="190"/>
      <c r="J389" s="15" t="s">
        <v>924</v>
      </c>
      <c r="K389" s="190" t="s">
        <v>14</v>
      </c>
      <c r="L389" s="190">
        <f t="shared" si="127"/>
        <v>4.7166000000000006</v>
      </c>
      <c r="M389" s="15"/>
      <c r="N389" s="15"/>
      <c r="O389" s="15">
        <f>_xlfn.IFNA(IF(VLOOKUP($J389&amp;O$14,'Mapping A'!$A$6:$G$1011,7,0)=1,$L389,""),0)</f>
        <v>0</v>
      </c>
      <c r="P389" s="15">
        <f>_xlfn.IFNA(IF(VLOOKUP($J389&amp;P$14,'Mapping A'!$A$6:$G$1011,7,0)=1,$L389,""),0)</f>
        <v>0</v>
      </c>
      <c r="Q389" s="15">
        <f>_xlfn.IFNA(IF(VLOOKUP($J389&amp;Q$14,'Mapping A'!$A$6:$G$1011,7,0)=1,$L389,""),0)</f>
        <v>0</v>
      </c>
      <c r="R389" s="15">
        <f>_xlfn.IFNA(IF(VLOOKUP($J389&amp;R$14,'Mapping A'!$A$6:$G$1011,7,0)=1,$L389,""),0)</f>
        <v>0</v>
      </c>
      <c r="S389" s="15">
        <f>_xlfn.IFNA(IF(VLOOKUP($J389&amp;S$14,'Mapping A'!$A$6:$G$1011,7,0)=1,$L389,""),0)</f>
        <v>0</v>
      </c>
      <c r="T389" s="15">
        <f>_xlfn.IFNA(IF(VLOOKUP($J389&amp;T$14,'Mapping A'!$A$6:$G$1011,7,0)=1,$L389,""),0)</f>
        <v>0</v>
      </c>
      <c r="U389" s="15">
        <f>_xlfn.IFNA(IF(VLOOKUP($J389&amp;U$14,'Mapping A'!$A$6:$G$1011,7,0)=1,$L389,""),0)</f>
        <v>0</v>
      </c>
      <c r="V389" s="15">
        <f>_xlfn.IFNA(IF(VLOOKUP($J389&amp;V$14,'Mapping A'!$A$6:$G$1011,7,0)=1,$L389,""),0)</f>
        <v>0</v>
      </c>
      <c r="W389" s="15">
        <f>_xlfn.IFNA(IF(VLOOKUP($J389&amp;W$14,'Mapping A'!$A$6:$G$1011,7,0)=1,$L389,""),0)</f>
        <v>0</v>
      </c>
      <c r="X389" s="15">
        <f>_xlfn.IFNA(IF(VLOOKUP($J389&amp;X$14,'Mapping A'!$A$6:$G$1011,7,0)=1,$L389,""),0)</f>
        <v>0</v>
      </c>
      <c r="Y389" s="15">
        <f>_xlfn.IFNA(IF(VLOOKUP($J389&amp;Y$14,'Mapping A'!$A$6:$G$1011,7,0)=1,$L389,""),0)</f>
        <v>0</v>
      </c>
      <c r="Z389" s="15">
        <f>_xlfn.IFNA(IF(VLOOKUP($J389&amp;Z$14,'Mapping A'!$A$6:$G$1011,7,0)=1,$L389,""),0)</f>
        <v>0</v>
      </c>
      <c r="AA389" s="15">
        <f>_xlfn.IFNA(IF(VLOOKUP($J389&amp;AA$14,'Mapping A'!$A$6:$G$1011,7,0)=1,$L389,""),0)</f>
        <v>0</v>
      </c>
      <c r="AF389" s="155" t="str">
        <f t="shared" si="122"/>
        <v>OHA2201Meridian</v>
      </c>
      <c r="AG389" s="190" t="s">
        <v>924</v>
      </c>
      <c r="AH389" s="190" t="s">
        <v>14</v>
      </c>
      <c r="AI389" s="190">
        <f t="shared" si="128"/>
        <v>4.7166000000000006</v>
      </c>
      <c r="AJ389" s="292" t="s">
        <v>96</v>
      </c>
      <c r="AK389" s="15"/>
      <c r="AL389" s="15">
        <f t="shared" si="123"/>
        <v>0</v>
      </c>
      <c r="AM389" s="15"/>
      <c r="AN389" s="15">
        <f t="shared" ca="1" si="124"/>
        <v>0</v>
      </c>
      <c r="AO389" s="15">
        <f t="shared" si="125"/>
        <v>0</v>
      </c>
      <c r="AP389" s="15">
        <f t="shared" si="126"/>
        <v>0</v>
      </c>
      <c r="AQ389" s="15"/>
      <c r="AR389" s="190">
        <f t="shared" si="129"/>
        <v>0</v>
      </c>
      <c r="AS389" s="15"/>
      <c r="AT389" s="190">
        <f t="shared" si="130"/>
        <v>0</v>
      </c>
      <c r="AU389" s="190">
        <f t="shared" si="131"/>
        <v>0</v>
      </c>
      <c r="AV389" s="190">
        <f t="shared" si="132"/>
        <v>0</v>
      </c>
      <c r="AW389" s="190">
        <f t="shared" si="133"/>
        <v>0</v>
      </c>
      <c r="AX389" s="190">
        <f t="shared" si="134"/>
        <v>0</v>
      </c>
      <c r="BP389" s="190"/>
    </row>
    <row r="390" spans="2:68" x14ac:dyDescent="0.25">
      <c r="B390" s="98" t="s">
        <v>552</v>
      </c>
      <c r="C390" s="98">
        <v>2014</v>
      </c>
      <c r="D390" s="98" t="s">
        <v>356</v>
      </c>
      <c r="E390" s="98" t="s">
        <v>10</v>
      </c>
      <c r="F390" s="98" t="s">
        <v>136</v>
      </c>
      <c r="G390" s="248">
        <v>4503.8149999999596</v>
      </c>
      <c r="H390" s="299" t="str">
        <f>VLOOKUP(LEFT('Rev Adequacy'!D390,3),'Mapping B'!$D$2:$E$400,2,0)</f>
        <v>N</v>
      </c>
      <c r="I390" s="190"/>
      <c r="J390" s="15" t="s">
        <v>925</v>
      </c>
      <c r="K390" s="190" t="s">
        <v>14</v>
      </c>
      <c r="L390" s="190">
        <f t="shared" si="127"/>
        <v>4.1601000000000008</v>
      </c>
      <c r="M390" s="15"/>
      <c r="N390" s="15"/>
      <c r="O390" s="15">
        <f>_xlfn.IFNA(IF(VLOOKUP($J390&amp;O$14,'Mapping A'!$A$6:$G$1011,7,0)=1,$L390,""),0)</f>
        <v>0</v>
      </c>
      <c r="P390" s="15">
        <f>_xlfn.IFNA(IF(VLOOKUP($J390&amp;P$14,'Mapping A'!$A$6:$G$1011,7,0)=1,$L390,""),0)</f>
        <v>0</v>
      </c>
      <c r="Q390" s="15">
        <f>_xlfn.IFNA(IF(VLOOKUP($J390&amp;Q$14,'Mapping A'!$A$6:$G$1011,7,0)=1,$L390,""),0)</f>
        <v>0</v>
      </c>
      <c r="R390" s="15">
        <f>_xlfn.IFNA(IF(VLOOKUP($J390&amp;R$14,'Mapping A'!$A$6:$G$1011,7,0)=1,$L390,""),0)</f>
        <v>0</v>
      </c>
      <c r="S390" s="15">
        <f>_xlfn.IFNA(IF(VLOOKUP($J390&amp;S$14,'Mapping A'!$A$6:$G$1011,7,0)=1,$L390,""),0)</f>
        <v>0</v>
      </c>
      <c r="T390" s="15">
        <f>_xlfn.IFNA(IF(VLOOKUP($J390&amp;T$14,'Mapping A'!$A$6:$G$1011,7,0)=1,$L390,""),0)</f>
        <v>0</v>
      </c>
      <c r="U390" s="15">
        <f>_xlfn.IFNA(IF(VLOOKUP($J390&amp;U$14,'Mapping A'!$A$6:$G$1011,7,0)=1,$L390,""),0)</f>
        <v>0</v>
      </c>
      <c r="V390" s="15">
        <f>_xlfn.IFNA(IF(VLOOKUP($J390&amp;V$14,'Mapping A'!$A$6:$G$1011,7,0)=1,$L390,""),0)</f>
        <v>0</v>
      </c>
      <c r="W390" s="15">
        <f>_xlfn.IFNA(IF(VLOOKUP($J390&amp;W$14,'Mapping A'!$A$6:$G$1011,7,0)=1,$L390,""),0)</f>
        <v>0</v>
      </c>
      <c r="X390" s="15">
        <f>_xlfn.IFNA(IF(VLOOKUP($J390&amp;X$14,'Mapping A'!$A$6:$G$1011,7,0)=1,$L390,""),0)</f>
        <v>0</v>
      </c>
      <c r="Y390" s="15">
        <f>_xlfn.IFNA(IF(VLOOKUP($J390&amp;Y$14,'Mapping A'!$A$6:$G$1011,7,0)=1,$L390,""),0)</f>
        <v>0</v>
      </c>
      <c r="Z390" s="15">
        <f>_xlfn.IFNA(IF(VLOOKUP($J390&amp;Z$14,'Mapping A'!$A$6:$G$1011,7,0)=1,$L390,""),0)</f>
        <v>0</v>
      </c>
      <c r="AA390" s="15">
        <f>_xlfn.IFNA(IF(VLOOKUP($J390&amp;AA$14,'Mapping A'!$A$6:$G$1011,7,0)=1,$L390,""),0)</f>
        <v>0</v>
      </c>
      <c r="AF390" s="155" t="str">
        <f t="shared" si="122"/>
        <v>OHB2201Meridian</v>
      </c>
      <c r="AG390" s="190" t="s">
        <v>925</v>
      </c>
      <c r="AH390" s="190" t="s">
        <v>14</v>
      </c>
      <c r="AI390" s="190">
        <f t="shared" si="128"/>
        <v>4.1601000000000008</v>
      </c>
      <c r="AJ390" s="292" t="s">
        <v>96</v>
      </c>
      <c r="AK390" s="15"/>
      <c r="AL390" s="15">
        <f t="shared" si="123"/>
        <v>0</v>
      </c>
      <c r="AM390" s="15"/>
      <c r="AN390" s="15">
        <f t="shared" ca="1" si="124"/>
        <v>0</v>
      </c>
      <c r="AO390" s="15">
        <f t="shared" si="125"/>
        <v>0</v>
      </c>
      <c r="AP390" s="15">
        <f t="shared" si="126"/>
        <v>0</v>
      </c>
      <c r="AQ390" s="15"/>
      <c r="AR390" s="190">
        <f t="shared" si="129"/>
        <v>0</v>
      </c>
      <c r="AS390" s="15"/>
      <c r="AT390" s="190">
        <f t="shared" si="130"/>
        <v>0</v>
      </c>
      <c r="AU390" s="190">
        <f t="shared" si="131"/>
        <v>0</v>
      </c>
      <c r="AV390" s="190">
        <f t="shared" si="132"/>
        <v>0</v>
      </c>
      <c r="AW390" s="190">
        <f t="shared" si="133"/>
        <v>0</v>
      </c>
      <c r="AX390" s="190">
        <f t="shared" si="134"/>
        <v>0</v>
      </c>
      <c r="BP390" s="190"/>
    </row>
    <row r="391" spans="2:68" x14ac:dyDescent="0.25">
      <c r="B391" s="98" t="s">
        <v>553</v>
      </c>
      <c r="C391" s="98">
        <v>2014</v>
      </c>
      <c r="D391" s="98" t="s">
        <v>202</v>
      </c>
      <c r="E391" s="98" t="s">
        <v>10</v>
      </c>
      <c r="F391" s="98" t="s">
        <v>136</v>
      </c>
      <c r="G391" s="248">
        <v>0</v>
      </c>
      <c r="H391" s="299" t="str">
        <f>VLOOKUP(LEFT('Rev Adequacy'!D391,3),'Mapping B'!$D$2:$E$400,2,0)</f>
        <v>N</v>
      </c>
      <c r="I391" s="190"/>
      <c r="J391" s="15" t="s">
        <v>926</v>
      </c>
      <c r="K391" s="190" t="s">
        <v>14</v>
      </c>
      <c r="L391" s="190">
        <f t="shared" si="127"/>
        <v>3.9774000000000003</v>
      </c>
      <c r="M391" s="15"/>
      <c r="N391" s="15"/>
      <c r="O391" s="15">
        <f>_xlfn.IFNA(IF(VLOOKUP($J391&amp;O$14,'Mapping A'!$A$6:$G$1011,7,0)=1,$L391,""),0)</f>
        <v>0</v>
      </c>
      <c r="P391" s="15">
        <f>_xlfn.IFNA(IF(VLOOKUP($J391&amp;P$14,'Mapping A'!$A$6:$G$1011,7,0)=1,$L391,""),0)</f>
        <v>0</v>
      </c>
      <c r="Q391" s="15">
        <f>_xlfn.IFNA(IF(VLOOKUP($J391&amp;Q$14,'Mapping A'!$A$6:$G$1011,7,0)=1,$L391,""),0)</f>
        <v>0</v>
      </c>
      <c r="R391" s="15">
        <f>_xlfn.IFNA(IF(VLOOKUP($J391&amp;R$14,'Mapping A'!$A$6:$G$1011,7,0)=1,$L391,""),0)</f>
        <v>0</v>
      </c>
      <c r="S391" s="15">
        <f>_xlfn.IFNA(IF(VLOOKUP($J391&amp;S$14,'Mapping A'!$A$6:$G$1011,7,0)=1,$L391,""),0)</f>
        <v>0</v>
      </c>
      <c r="T391" s="15">
        <f>_xlfn.IFNA(IF(VLOOKUP($J391&amp;T$14,'Mapping A'!$A$6:$G$1011,7,0)=1,$L391,""),0)</f>
        <v>0</v>
      </c>
      <c r="U391" s="15">
        <f>_xlfn.IFNA(IF(VLOOKUP($J391&amp;U$14,'Mapping A'!$A$6:$G$1011,7,0)=1,$L391,""),0)</f>
        <v>0</v>
      </c>
      <c r="V391" s="15">
        <f>_xlfn.IFNA(IF(VLOOKUP($J391&amp;V$14,'Mapping A'!$A$6:$G$1011,7,0)=1,$L391,""),0)</f>
        <v>0</v>
      </c>
      <c r="W391" s="15">
        <f>_xlfn.IFNA(IF(VLOOKUP($J391&amp;W$14,'Mapping A'!$A$6:$G$1011,7,0)=1,$L391,""),0)</f>
        <v>0</v>
      </c>
      <c r="X391" s="15">
        <f>_xlfn.IFNA(IF(VLOOKUP($J391&amp;X$14,'Mapping A'!$A$6:$G$1011,7,0)=1,$L391,""),0)</f>
        <v>0</v>
      </c>
      <c r="Y391" s="15">
        <f>_xlfn.IFNA(IF(VLOOKUP($J391&amp;Y$14,'Mapping A'!$A$6:$G$1011,7,0)=1,$L391,""),0)</f>
        <v>0</v>
      </c>
      <c r="Z391" s="15">
        <f>_xlfn.IFNA(IF(VLOOKUP($J391&amp;Z$14,'Mapping A'!$A$6:$G$1011,7,0)=1,$L391,""),0)</f>
        <v>0</v>
      </c>
      <c r="AA391" s="15">
        <f>_xlfn.IFNA(IF(VLOOKUP($J391&amp;AA$14,'Mapping A'!$A$6:$G$1011,7,0)=1,$L391,""),0)</f>
        <v>0</v>
      </c>
      <c r="AF391" s="155" t="str">
        <f t="shared" si="122"/>
        <v>OHC2201Meridian</v>
      </c>
      <c r="AG391" s="190" t="s">
        <v>926</v>
      </c>
      <c r="AH391" s="190" t="s">
        <v>14</v>
      </c>
      <c r="AI391" s="190">
        <f t="shared" si="128"/>
        <v>3.9774000000000003</v>
      </c>
      <c r="AJ391" s="292" t="s">
        <v>96</v>
      </c>
      <c r="AK391" s="15"/>
      <c r="AL391" s="15">
        <f t="shared" si="123"/>
        <v>0</v>
      </c>
      <c r="AM391" s="15"/>
      <c r="AN391" s="15">
        <f t="shared" ca="1" si="124"/>
        <v>0</v>
      </c>
      <c r="AO391" s="15">
        <f t="shared" si="125"/>
        <v>0</v>
      </c>
      <c r="AP391" s="15">
        <f t="shared" si="126"/>
        <v>0</v>
      </c>
      <c r="AQ391" s="15"/>
      <c r="AR391" s="190">
        <f t="shared" si="129"/>
        <v>0</v>
      </c>
      <c r="AS391" s="15"/>
      <c r="AT391" s="190">
        <f t="shared" si="130"/>
        <v>0</v>
      </c>
      <c r="AU391" s="190">
        <f t="shared" si="131"/>
        <v>0</v>
      </c>
      <c r="AV391" s="190">
        <f t="shared" si="132"/>
        <v>0</v>
      </c>
      <c r="AW391" s="190">
        <f t="shared" si="133"/>
        <v>0</v>
      </c>
      <c r="AX391" s="190">
        <f t="shared" si="134"/>
        <v>0</v>
      </c>
      <c r="BP391" s="190"/>
    </row>
    <row r="392" spans="2:68" x14ac:dyDescent="0.25">
      <c r="B392" s="98" t="s">
        <v>553</v>
      </c>
      <c r="C392" s="98">
        <v>2014</v>
      </c>
      <c r="D392" s="98" t="s">
        <v>203</v>
      </c>
      <c r="E392" s="98" t="s">
        <v>10</v>
      </c>
      <c r="F392" s="98" t="s">
        <v>136</v>
      </c>
      <c r="G392" s="248">
        <v>0</v>
      </c>
      <c r="H392" s="299" t="str">
        <f>VLOOKUP(LEFT('Rev Adequacy'!D392,3),'Mapping B'!$D$2:$E$400,2,0)</f>
        <v>N</v>
      </c>
      <c r="I392" s="190"/>
      <c r="J392" s="15" t="s">
        <v>932</v>
      </c>
      <c r="K392" s="190" t="s">
        <v>17</v>
      </c>
      <c r="L392" s="190">
        <f t="shared" si="127"/>
        <v>5.6909999999999998</v>
      </c>
      <c r="M392" s="15"/>
      <c r="N392" s="15"/>
      <c r="O392" s="15">
        <f>_xlfn.IFNA(IF(VLOOKUP($J392&amp;O$14,'Mapping A'!$A$6:$G$1011,7,0)=1,$L392,""),0)</f>
        <v>0</v>
      </c>
      <c r="P392" s="15">
        <f>_xlfn.IFNA(IF(VLOOKUP($J392&amp;P$14,'Mapping A'!$A$6:$G$1011,7,0)=1,$L392,""),0)</f>
        <v>0</v>
      </c>
      <c r="Q392" s="15">
        <f>_xlfn.IFNA(IF(VLOOKUP($J392&amp;Q$14,'Mapping A'!$A$6:$G$1011,7,0)=1,$L392,""),0)</f>
        <v>0</v>
      </c>
      <c r="R392" s="15">
        <f>_xlfn.IFNA(IF(VLOOKUP($J392&amp;R$14,'Mapping A'!$A$6:$G$1011,7,0)=1,$L392,""),0)</f>
        <v>0</v>
      </c>
      <c r="S392" s="15">
        <f>_xlfn.IFNA(IF(VLOOKUP($J392&amp;S$14,'Mapping A'!$A$6:$G$1011,7,0)=1,$L392,""),0)</f>
        <v>0</v>
      </c>
      <c r="T392" s="15">
        <f>_xlfn.IFNA(IF(VLOOKUP($J392&amp;T$14,'Mapping A'!$A$6:$G$1011,7,0)=1,$L392,""),0)</f>
        <v>0</v>
      </c>
      <c r="U392" s="15">
        <f>_xlfn.IFNA(IF(VLOOKUP($J392&amp;U$14,'Mapping A'!$A$6:$G$1011,7,0)=1,$L392,""),0)</f>
        <v>0</v>
      </c>
      <c r="V392" s="15">
        <f>_xlfn.IFNA(IF(VLOOKUP($J392&amp;V$14,'Mapping A'!$A$6:$G$1011,7,0)=1,$L392,""),0)</f>
        <v>0</v>
      </c>
      <c r="W392" s="15">
        <f>_xlfn.IFNA(IF(VLOOKUP($J392&amp;W$14,'Mapping A'!$A$6:$G$1011,7,0)=1,$L392,""),0)</f>
        <v>0</v>
      </c>
      <c r="X392" s="15">
        <f>_xlfn.IFNA(IF(VLOOKUP($J392&amp;X$14,'Mapping A'!$A$6:$G$1011,7,0)=1,$L392,""),0)</f>
        <v>0</v>
      </c>
      <c r="Y392" s="15">
        <f>_xlfn.IFNA(IF(VLOOKUP($J392&amp;Y$14,'Mapping A'!$A$6:$G$1011,7,0)=1,$L392,""),0)</f>
        <v>0</v>
      </c>
      <c r="Z392" s="15">
        <f>_xlfn.IFNA(IF(VLOOKUP($J392&amp;Z$14,'Mapping A'!$A$6:$G$1011,7,0)=1,$L392,""),0)</f>
        <v>0</v>
      </c>
      <c r="AA392" s="15">
        <f>_xlfn.IFNA(IF(VLOOKUP($J392&amp;AA$14,'Mapping A'!$A$6:$G$1011,7,0)=1,$L392,""),0)</f>
        <v>0</v>
      </c>
      <c r="AF392" s="155" t="str">
        <f t="shared" si="122"/>
        <v>OHK2201MRP</v>
      </c>
      <c r="AG392" s="190" t="s">
        <v>932</v>
      </c>
      <c r="AH392" s="190" t="s">
        <v>17</v>
      </c>
      <c r="AI392" s="190">
        <f t="shared" si="128"/>
        <v>5.6909999999999998</v>
      </c>
      <c r="AJ392" s="292" t="s">
        <v>95</v>
      </c>
      <c r="AK392" s="15"/>
      <c r="AL392" s="15">
        <f t="shared" si="123"/>
        <v>0</v>
      </c>
      <c r="AM392" s="15"/>
      <c r="AN392" s="15">
        <f t="shared" ca="1" si="124"/>
        <v>0</v>
      </c>
      <c r="AO392" s="15">
        <f t="shared" si="125"/>
        <v>0</v>
      </c>
      <c r="AP392" s="15">
        <f t="shared" si="126"/>
        <v>0</v>
      </c>
      <c r="AQ392" s="15"/>
      <c r="AR392" s="190">
        <f t="shared" si="129"/>
        <v>0</v>
      </c>
      <c r="AS392" s="15"/>
      <c r="AT392" s="190">
        <f t="shared" si="130"/>
        <v>0</v>
      </c>
      <c r="AU392" s="190">
        <f t="shared" si="131"/>
        <v>0</v>
      </c>
      <c r="AV392" s="190">
        <f t="shared" si="132"/>
        <v>0</v>
      </c>
      <c r="AW392" s="190">
        <f t="shared" si="133"/>
        <v>0</v>
      </c>
      <c r="AX392" s="190">
        <f t="shared" si="134"/>
        <v>0</v>
      </c>
      <c r="BP392" s="190"/>
    </row>
    <row r="393" spans="2:68" x14ac:dyDescent="0.25">
      <c r="B393" s="98" t="s">
        <v>553</v>
      </c>
      <c r="C393" s="98">
        <v>2014</v>
      </c>
      <c r="D393" s="98" t="s">
        <v>204</v>
      </c>
      <c r="E393" s="98" t="s">
        <v>10</v>
      </c>
      <c r="F393" s="98" t="s">
        <v>136</v>
      </c>
      <c r="G393" s="248">
        <v>0</v>
      </c>
      <c r="H393" s="299" t="str">
        <f>VLOOKUP(LEFT('Rev Adequacy'!D393,3),'Mapping B'!$D$2:$E$400,2,0)</f>
        <v>N</v>
      </c>
      <c r="I393" s="190"/>
      <c r="J393" s="15" t="s">
        <v>916</v>
      </c>
      <c r="K393" s="190" t="s">
        <v>4</v>
      </c>
      <c r="L393" s="190">
        <f t="shared" si="127"/>
        <v>3.9689999999999999</v>
      </c>
      <c r="M393" s="15"/>
      <c r="N393" s="15"/>
      <c r="O393" s="15">
        <f>_xlfn.IFNA(IF(VLOOKUP($J393&amp;O$14,'Mapping A'!$A$6:$G$1011,7,0)=1,$L393,""),0)</f>
        <v>0</v>
      </c>
      <c r="P393" s="15">
        <f>_xlfn.IFNA(IF(VLOOKUP($J393&amp;P$14,'Mapping A'!$A$6:$G$1011,7,0)=1,$L393,""),0)</f>
        <v>0</v>
      </c>
      <c r="Q393" s="15">
        <f>_xlfn.IFNA(IF(VLOOKUP($J393&amp;Q$14,'Mapping A'!$A$6:$G$1011,7,0)=1,$L393,""),0)</f>
        <v>0</v>
      </c>
      <c r="R393" s="15">
        <f>_xlfn.IFNA(IF(VLOOKUP($J393&amp;R$14,'Mapping A'!$A$6:$G$1011,7,0)=1,$L393,""),0)</f>
        <v>0</v>
      </c>
      <c r="S393" s="15">
        <f>_xlfn.IFNA(IF(VLOOKUP($J393&amp;S$14,'Mapping A'!$A$6:$G$1011,7,0)=1,$L393,""),0)</f>
        <v>0</v>
      </c>
      <c r="T393" s="15">
        <f>_xlfn.IFNA(IF(VLOOKUP($J393&amp;T$14,'Mapping A'!$A$6:$G$1011,7,0)=1,$L393,""),0)</f>
        <v>0</v>
      </c>
      <c r="U393" s="15">
        <f>_xlfn.IFNA(IF(VLOOKUP($J393&amp;U$14,'Mapping A'!$A$6:$G$1011,7,0)=1,$L393,""),0)</f>
        <v>0</v>
      </c>
      <c r="V393" s="15">
        <f>_xlfn.IFNA(IF(VLOOKUP($J393&amp;V$14,'Mapping A'!$A$6:$G$1011,7,0)=1,$L393,""),0)</f>
        <v>0</v>
      </c>
      <c r="W393" s="15">
        <f>_xlfn.IFNA(IF(VLOOKUP($J393&amp;W$14,'Mapping A'!$A$6:$G$1011,7,0)=1,$L393,""),0)</f>
        <v>0</v>
      </c>
      <c r="X393" s="15">
        <f>_xlfn.IFNA(IF(VLOOKUP($J393&amp;X$14,'Mapping A'!$A$6:$G$1011,7,0)=1,$L393,""),0)</f>
        <v>0</v>
      </c>
      <c r="Y393" s="15">
        <f>_xlfn.IFNA(IF(VLOOKUP($J393&amp;Y$14,'Mapping A'!$A$6:$G$1011,7,0)=1,$L393,""),0)</f>
        <v>0</v>
      </c>
      <c r="Z393" s="15">
        <f>_xlfn.IFNA(IF(VLOOKUP($J393&amp;Z$14,'Mapping A'!$A$6:$G$1011,7,0)=1,$L393,""),0)</f>
        <v>0</v>
      </c>
      <c r="AA393" s="15">
        <f>_xlfn.IFNA(IF(VLOOKUP($J393&amp;AA$14,'Mapping A'!$A$6:$G$1011,7,0)=1,$L393,""),0)</f>
        <v>0</v>
      </c>
      <c r="AF393" s="155" t="str">
        <f t="shared" si="122"/>
        <v>OKI2201Contact</v>
      </c>
      <c r="AG393" s="190" t="s">
        <v>916</v>
      </c>
      <c r="AH393" s="190" t="s">
        <v>4</v>
      </c>
      <c r="AI393" s="190">
        <f t="shared" si="128"/>
        <v>3.9689999999999999</v>
      </c>
      <c r="AJ393" s="292" t="s">
        <v>95</v>
      </c>
      <c r="AK393" s="15"/>
      <c r="AL393" s="15">
        <f t="shared" si="123"/>
        <v>0</v>
      </c>
      <c r="AM393" s="15"/>
      <c r="AN393" s="15">
        <f t="shared" ca="1" si="124"/>
        <v>0</v>
      </c>
      <c r="AO393" s="15">
        <f t="shared" si="125"/>
        <v>0</v>
      </c>
      <c r="AP393" s="15">
        <f t="shared" si="126"/>
        <v>0</v>
      </c>
      <c r="AQ393" s="15"/>
      <c r="AR393" s="190">
        <f t="shared" si="129"/>
        <v>0</v>
      </c>
      <c r="AS393" s="15"/>
      <c r="AT393" s="190">
        <f t="shared" si="130"/>
        <v>0</v>
      </c>
      <c r="AU393" s="190">
        <f t="shared" si="131"/>
        <v>0</v>
      </c>
      <c r="AV393" s="190">
        <f t="shared" si="132"/>
        <v>0</v>
      </c>
      <c r="AW393" s="190">
        <f t="shared" si="133"/>
        <v>0</v>
      </c>
      <c r="AX393" s="190">
        <f t="shared" si="134"/>
        <v>0</v>
      </c>
      <c r="BP393" s="190"/>
    </row>
    <row r="394" spans="2:68" x14ac:dyDescent="0.25">
      <c r="B394" s="98" t="s">
        <v>553</v>
      </c>
      <c r="C394" s="98">
        <v>2014</v>
      </c>
      <c r="D394" s="98" t="s">
        <v>205</v>
      </c>
      <c r="E394" s="98" t="s">
        <v>10</v>
      </c>
      <c r="F394" s="98" t="s">
        <v>136</v>
      </c>
      <c r="G394" s="248">
        <v>0</v>
      </c>
      <c r="H394" s="299" t="str">
        <f>VLOOKUP(LEFT('Rev Adequacy'!D394,3),'Mapping B'!$D$2:$E$400,2,0)</f>
        <v>N</v>
      </c>
      <c r="I394" s="190"/>
      <c r="J394" s="15" t="s">
        <v>288</v>
      </c>
      <c r="K394" s="190" t="s">
        <v>28</v>
      </c>
      <c r="L394" s="190">
        <f t="shared" si="127"/>
        <v>2.3456999999999999</v>
      </c>
      <c r="M394" s="15"/>
      <c r="N394" s="15"/>
      <c r="O394" s="15">
        <f>_xlfn.IFNA(IF(VLOOKUP($J394&amp;O$14,'Mapping A'!$A$6:$G$1011,7,0)=1,$L394,""),0)</f>
        <v>0</v>
      </c>
      <c r="P394" s="15">
        <f>_xlfn.IFNA(IF(VLOOKUP($J394&amp;P$14,'Mapping A'!$A$6:$G$1011,7,0)=1,$L394,""),0)</f>
        <v>0</v>
      </c>
      <c r="Q394" s="15">
        <f>_xlfn.IFNA(IF(VLOOKUP($J394&amp;Q$14,'Mapping A'!$A$6:$G$1011,7,0)=1,$L394,""),0)</f>
        <v>0</v>
      </c>
      <c r="R394" s="15">
        <f>_xlfn.IFNA(IF(VLOOKUP($J394&amp;R$14,'Mapping A'!$A$6:$G$1011,7,0)=1,$L394,""),0)</f>
        <v>0</v>
      </c>
      <c r="S394" s="15">
        <f>_xlfn.IFNA(IF(VLOOKUP($J394&amp;S$14,'Mapping A'!$A$6:$G$1011,7,0)=1,$L394,""),0)</f>
        <v>0</v>
      </c>
      <c r="T394" s="15">
        <f>_xlfn.IFNA(IF(VLOOKUP($J394&amp;T$14,'Mapping A'!$A$6:$G$1011,7,0)=1,$L394,""),0)</f>
        <v>0</v>
      </c>
      <c r="U394" s="15">
        <f>_xlfn.IFNA(IF(VLOOKUP($J394&amp;U$14,'Mapping A'!$A$6:$G$1011,7,0)=1,$L394,""),0)</f>
        <v>0</v>
      </c>
      <c r="V394" s="15">
        <f>_xlfn.IFNA(IF(VLOOKUP($J394&amp;V$14,'Mapping A'!$A$6:$G$1011,7,0)=1,$L394,""),0)</f>
        <v>0</v>
      </c>
      <c r="W394" s="15">
        <f>_xlfn.IFNA(IF(VLOOKUP($J394&amp;W$14,'Mapping A'!$A$6:$G$1011,7,0)=1,$L394,""),0)</f>
        <v>0</v>
      </c>
      <c r="X394" s="15">
        <f>_xlfn.IFNA(IF(VLOOKUP($J394&amp;X$14,'Mapping A'!$A$6:$G$1011,7,0)=1,$L394,""),0)</f>
        <v>0</v>
      </c>
      <c r="Y394" s="15">
        <f>_xlfn.IFNA(IF(VLOOKUP($J394&amp;Y$14,'Mapping A'!$A$6:$G$1011,7,0)=1,$L394,""),0)</f>
        <v>0</v>
      </c>
      <c r="Z394" s="15">
        <f>_xlfn.IFNA(IF(VLOOKUP($J394&amp;Z$14,'Mapping A'!$A$6:$G$1011,7,0)=1,$L394,""),0)</f>
        <v>0</v>
      </c>
      <c r="AA394" s="15">
        <f>_xlfn.IFNA(IF(VLOOKUP($J394&amp;AA$14,'Mapping A'!$A$6:$G$1011,7,0)=1,$L394,""),0)</f>
        <v>0</v>
      </c>
      <c r="AF394" s="155" t="str">
        <f t="shared" si="122"/>
        <v>OKN0111Powerco</v>
      </c>
      <c r="AG394" s="190" t="s">
        <v>288</v>
      </c>
      <c r="AH394" s="190" t="s">
        <v>28</v>
      </c>
      <c r="AI394" s="190">
        <f t="shared" si="128"/>
        <v>2.3456999999999999</v>
      </c>
      <c r="AJ394" s="292" t="s">
        <v>95</v>
      </c>
      <c r="AK394" s="15"/>
      <c r="AL394" s="15">
        <f t="shared" si="123"/>
        <v>0</v>
      </c>
      <c r="AM394" s="15"/>
      <c r="AN394" s="15">
        <f t="shared" ca="1" si="124"/>
        <v>0</v>
      </c>
      <c r="AO394" s="15">
        <f t="shared" si="125"/>
        <v>0</v>
      </c>
      <c r="AP394" s="15">
        <f t="shared" si="126"/>
        <v>0</v>
      </c>
      <c r="AQ394" s="15"/>
      <c r="AR394" s="190">
        <f t="shared" si="129"/>
        <v>0</v>
      </c>
      <c r="AS394" s="15"/>
      <c r="AT394" s="190">
        <f t="shared" si="130"/>
        <v>0</v>
      </c>
      <c r="AU394" s="190">
        <f t="shared" si="131"/>
        <v>0</v>
      </c>
      <c r="AV394" s="190">
        <f t="shared" si="132"/>
        <v>0</v>
      </c>
      <c r="AW394" s="190">
        <f t="shared" si="133"/>
        <v>0</v>
      </c>
      <c r="AX394" s="190">
        <f t="shared" si="134"/>
        <v>0</v>
      </c>
      <c r="BP394" s="190"/>
    </row>
    <row r="395" spans="2:68" x14ac:dyDescent="0.25">
      <c r="B395" s="98" t="s">
        <v>553</v>
      </c>
      <c r="C395" s="98">
        <v>2014</v>
      </c>
      <c r="D395" s="98" t="s">
        <v>317</v>
      </c>
      <c r="E395" s="98" t="s">
        <v>10</v>
      </c>
      <c r="F395" s="98" t="s">
        <v>136</v>
      </c>
      <c r="G395" s="248">
        <v>0</v>
      </c>
      <c r="H395" s="299" t="str">
        <f>VLOOKUP(LEFT('Rev Adequacy'!D395,3),'Mapping B'!$D$2:$E$400,2,0)</f>
        <v>N</v>
      </c>
      <c r="I395" s="190"/>
      <c r="J395" s="15" t="s">
        <v>288</v>
      </c>
      <c r="K395" s="190" t="s">
        <v>32</v>
      </c>
      <c r="L395" s="190">
        <f t="shared" si="127"/>
        <v>7.5348000000000006</v>
      </c>
      <c r="M395" s="15"/>
      <c r="N395" s="15"/>
      <c r="O395" s="15">
        <f>_xlfn.IFNA(IF(VLOOKUP($J395&amp;O$14,'Mapping A'!$A$6:$G$1011,7,0)=1,$L395,""),0)</f>
        <v>0</v>
      </c>
      <c r="P395" s="15">
        <f>_xlfn.IFNA(IF(VLOOKUP($J395&amp;P$14,'Mapping A'!$A$6:$G$1011,7,0)=1,$L395,""),0)</f>
        <v>0</v>
      </c>
      <c r="Q395" s="15">
        <f>_xlfn.IFNA(IF(VLOOKUP($J395&amp;Q$14,'Mapping A'!$A$6:$G$1011,7,0)=1,$L395,""),0)</f>
        <v>0</v>
      </c>
      <c r="R395" s="15">
        <f>_xlfn.IFNA(IF(VLOOKUP($J395&amp;R$14,'Mapping A'!$A$6:$G$1011,7,0)=1,$L395,""),0)</f>
        <v>0</v>
      </c>
      <c r="S395" s="15">
        <f>_xlfn.IFNA(IF(VLOOKUP($J395&amp;S$14,'Mapping A'!$A$6:$G$1011,7,0)=1,$L395,""),0)</f>
        <v>0</v>
      </c>
      <c r="T395" s="15">
        <f>_xlfn.IFNA(IF(VLOOKUP($J395&amp;T$14,'Mapping A'!$A$6:$G$1011,7,0)=1,$L395,""),0)</f>
        <v>0</v>
      </c>
      <c r="U395" s="15">
        <f>_xlfn.IFNA(IF(VLOOKUP($J395&amp;U$14,'Mapping A'!$A$6:$G$1011,7,0)=1,$L395,""),0)</f>
        <v>0</v>
      </c>
      <c r="V395" s="15">
        <f>_xlfn.IFNA(IF(VLOOKUP($J395&amp;V$14,'Mapping A'!$A$6:$G$1011,7,0)=1,$L395,""),0)</f>
        <v>0</v>
      </c>
      <c r="W395" s="15">
        <f>_xlfn.IFNA(IF(VLOOKUP($J395&amp;W$14,'Mapping A'!$A$6:$G$1011,7,0)=1,$L395,""),0)</f>
        <v>0</v>
      </c>
      <c r="X395" s="15">
        <f>_xlfn.IFNA(IF(VLOOKUP($J395&amp;X$14,'Mapping A'!$A$6:$G$1011,7,0)=1,$L395,""),0)</f>
        <v>0</v>
      </c>
      <c r="Y395" s="15">
        <f>_xlfn.IFNA(IF(VLOOKUP($J395&amp;Y$14,'Mapping A'!$A$6:$G$1011,7,0)=1,$L395,""),0)</f>
        <v>0</v>
      </c>
      <c r="Z395" s="15">
        <f>_xlfn.IFNA(IF(VLOOKUP($J395&amp;Z$14,'Mapping A'!$A$6:$G$1011,7,0)=1,$L395,""),0)</f>
        <v>0</v>
      </c>
      <c r="AA395" s="15">
        <f>_xlfn.IFNA(IF(VLOOKUP($J395&amp;AA$14,'Mapping A'!$A$6:$G$1011,7,0)=1,$L395,""),0)</f>
        <v>0</v>
      </c>
      <c r="AF395" s="155" t="str">
        <f t="shared" si="122"/>
        <v>OKN0111The Lines Company</v>
      </c>
      <c r="AG395" s="190" t="s">
        <v>288</v>
      </c>
      <c r="AH395" s="190" t="s">
        <v>32</v>
      </c>
      <c r="AI395" s="190">
        <f t="shared" si="128"/>
        <v>7.5348000000000006</v>
      </c>
      <c r="AJ395" s="292" t="s">
        <v>95</v>
      </c>
      <c r="AK395" s="15"/>
      <c r="AL395" s="15">
        <f t="shared" si="123"/>
        <v>0</v>
      </c>
      <c r="AM395" s="15"/>
      <c r="AN395" s="15">
        <f t="shared" ca="1" si="124"/>
        <v>0</v>
      </c>
      <c r="AO395" s="15">
        <f t="shared" si="125"/>
        <v>0</v>
      </c>
      <c r="AP395" s="15">
        <f t="shared" si="126"/>
        <v>0</v>
      </c>
      <c r="AQ395" s="15"/>
      <c r="AR395" s="190">
        <f t="shared" si="129"/>
        <v>0</v>
      </c>
      <c r="AS395" s="15"/>
      <c r="AT395" s="190">
        <f t="shared" si="130"/>
        <v>0</v>
      </c>
      <c r="AU395" s="190">
        <f t="shared" si="131"/>
        <v>0</v>
      </c>
      <c r="AV395" s="190">
        <f t="shared" si="132"/>
        <v>0</v>
      </c>
      <c r="AW395" s="190">
        <f t="shared" si="133"/>
        <v>0</v>
      </c>
      <c r="AX395" s="190">
        <f t="shared" si="134"/>
        <v>0</v>
      </c>
      <c r="BP395" s="190"/>
    </row>
    <row r="396" spans="2:68" x14ac:dyDescent="0.25">
      <c r="B396" s="98" t="s">
        <v>553</v>
      </c>
      <c r="C396" s="98">
        <v>2014</v>
      </c>
      <c r="D396" s="98" t="s">
        <v>340</v>
      </c>
      <c r="E396" s="98" t="s">
        <v>10</v>
      </c>
      <c r="F396" s="98" t="s">
        <v>136</v>
      </c>
      <c r="G396" s="248">
        <v>0</v>
      </c>
      <c r="H396" s="299" t="str">
        <f>VLOOKUP(LEFT('Rev Adequacy'!D396,3),'Mapping B'!$D$2:$E$400,2,0)</f>
        <v>S</v>
      </c>
      <c r="I396" s="190"/>
      <c r="J396" s="15" t="s">
        <v>289</v>
      </c>
      <c r="K396" s="190" t="s">
        <v>32</v>
      </c>
      <c r="L396" s="190">
        <f t="shared" si="127"/>
        <v>14.450100000000001</v>
      </c>
      <c r="M396" s="15"/>
      <c r="N396" s="15"/>
      <c r="O396" s="15">
        <f>_xlfn.IFNA(IF(VLOOKUP($J396&amp;O$14,'Mapping A'!$A$6:$G$1011,7,0)=1,$L396,""),0)</f>
        <v>0</v>
      </c>
      <c r="P396" s="15">
        <f>_xlfn.IFNA(IF(VLOOKUP($J396&amp;P$14,'Mapping A'!$A$6:$G$1011,7,0)=1,$L396,""),0)</f>
        <v>0</v>
      </c>
      <c r="Q396" s="15">
        <f>_xlfn.IFNA(IF(VLOOKUP($J396&amp;Q$14,'Mapping A'!$A$6:$G$1011,7,0)=1,$L396,""),0)</f>
        <v>0</v>
      </c>
      <c r="R396" s="15">
        <f>_xlfn.IFNA(IF(VLOOKUP($J396&amp;R$14,'Mapping A'!$A$6:$G$1011,7,0)=1,$L396,""),0)</f>
        <v>0</v>
      </c>
      <c r="S396" s="15">
        <f>_xlfn.IFNA(IF(VLOOKUP($J396&amp;S$14,'Mapping A'!$A$6:$G$1011,7,0)=1,$L396,""),0)</f>
        <v>0</v>
      </c>
      <c r="T396" s="15">
        <f>_xlfn.IFNA(IF(VLOOKUP($J396&amp;T$14,'Mapping A'!$A$6:$G$1011,7,0)=1,$L396,""),0)</f>
        <v>0</v>
      </c>
      <c r="U396" s="15">
        <f>_xlfn.IFNA(IF(VLOOKUP($J396&amp;U$14,'Mapping A'!$A$6:$G$1011,7,0)=1,$L396,""),0)</f>
        <v>0</v>
      </c>
      <c r="V396" s="15">
        <f>_xlfn.IFNA(IF(VLOOKUP($J396&amp;V$14,'Mapping A'!$A$6:$G$1011,7,0)=1,$L396,""),0)</f>
        <v>0</v>
      </c>
      <c r="W396" s="15">
        <f>_xlfn.IFNA(IF(VLOOKUP($J396&amp;W$14,'Mapping A'!$A$6:$G$1011,7,0)=1,$L396,""),0)</f>
        <v>0</v>
      </c>
      <c r="X396" s="15">
        <f>_xlfn.IFNA(IF(VLOOKUP($J396&amp;X$14,'Mapping A'!$A$6:$G$1011,7,0)=1,$L396,""),0)</f>
        <v>0</v>
      </c>
      <c r="Y396" s="15">
        <f>_xlfn.IFNA(IF(VLOOKUP($J396&amp;Y$14,'Mapping A'!$A$6:$G$1011,7,0)=1,$L396,""),0)</f>
        <v>0</v>
      </c>
      <c r="Z396" s="15">
        <f>_xlfn.IFNA(IF(VLOOKUP($J396&amp;Z$14,'Mapping A'!$A$6:$G$1011,7,0)=1,$L396,""),0)</f>
        <v>0</v>
      </c>
      <c r="AA396" s="15">
        <f>_xlfn.IFNA(IF(VLOOKUP($J396&amp;AA$14,'Mapping A'!$A$6:$G$1011,7,0)=1,$L396,""),0)</f>
        <v>0</v>
      </c>
      <c r="AF396" s="155" t="str">
        <f t="shared" si="122"/>
        <v>ONG0331The Lines Company</v>
      </c>
      <c r="AG396" s="190" t="s">
        <v>289</v>
      </c>
      <c r="AH396" s="190" t="s">
        <v>32</v>
      </c>
      <c r="AI396" s="190">
        <f t="shared" si="128"/>
        <v>14.450100000000001</v>
      </c>
      <c r="AJ396" s="292" t="s">
        <v>95</v>
      </c>
      <c r="AK396" s="15"/>
      <c r="AL396" s="15">
        <f t="shared" si="123"/>
        <v>0</v>
      </c>
      <c r="AM396" s="15"/>
      <c r="AN396" s="15">
        <f t="shared" ca="1" si="124"/>
        <v>0</v>
      </c>
      <c r="AO396" s="15">
        <f t="shared" si="125"/>
        <v>0</v>
      </c>
      <c r="AP396" s="15">
        <f t="shared" si="126"/>
        <v>0</v>
      </c>
      <c r="AQ396" s="15"/>
      <c r="AR396" s="190">
        <f t="shared" si="129"/>
        <v>0</v>
      </c>
      <c r="AS396" s="15"/>
      <c r="AT396" s="190">
        <f t="shared" si="130"/>
        <v>0</v>
      </c>
      <c r="AU396" s="190">
        <f t="shared" si="131"/>
        <v>0</v>
      </c>
      <c r="AV396" s="190">
        <f t="shared" si="132"/>
        <v>0</v>
      </c>
      <c r="AW396" s="190">
        <f t="shared" si="133"/>
        <v>0</v>
      </c>
      <c r="AX396" s="190">
        <f t="shared" si="134"/>
        <v>0</v>
      </c>
      <c r="BP396" s="190"/>
    </row>
    <row r="397" spans="2:68" x14ac:dyDescent="0.25">
      <c r="B397" s="98" t="s">
        <v>553</v>
      </c>
      <c r="C397" s="98">
        <v>2014</v>
      </c>
      <c r="D397" s="98" t="s">
        <v>341</v>
      </c>
      <c r="E397" s="98" t="s">
        <v>10</v>
      </c>
      <c r="F397" s="98" t="s">
        <v>136</v>
      </c>
      <c r="G397" s="248">
        <v>0</v>
      </c>
      <c r="H397" s="299" t="str">
        <f>VLOOKUP(LEFT('Rev Adequacy'!D397,3),'Mapping B'!$D$2:$E$400,2,0)</f>
        <v>S</v>
      </c>
      <c r="I397" s="190"/>
      <c r="J397" s="15" t="s">
        <v>290</v>
      </c>
      <c r="K397" s="190" t="s">
        <v>28</v>
      </c>
      <c r="L397" s="190">
        <f t="shared" si="127"/>
        <v>12.068700000000002</v>
      </c>
      <c r="M397" s="15"/>
      <c r="N397" s="15"/>
      <c r="O397" s="15">
        <f>_xlfn.IFNA(IF(VLOOKUP($J397&amp;O$14,'Mapping A'!$A$6:$G$1011,7,0)=1,$L397,""),0)</f>
        <v>0</v>
      </c>
      <c r="P397" s="15">
        <f>_xlfn.IFNA(IF(VLOOKUP($J397&amp;P$14,'Mapping A'!$A$6:$G$1011,7,0)=1,$L397,""),0)</f>
        <v>0</v>
      </c>
      <c r="Q397" s="15">
        <f>_xlfn.IFNA(IF(VLOOKUP($J397&amp;Q$14,'Mapping A'!$A$6:$G$1011,7,0)=1,$L397,""),0)</f>
        <v>0</v>
      </c>
      <c r="R397" s="15">
        <f>_xlfn.IFNA(IF(VLOOKUP($J397&amp;R$14,'Mapping A'!$A$6:$G$1011,7,0)=1,$L397,""),0)</f>
        <v>0</v>
      </c>
      <c r="S397" s="15">
        <f>_xlfn.IFNA(IF(VLOOKUP($J397&amp;S$14,'Mapping A'!$A$6:$G$1011,7,0)=1,$L397,""),0)</f>
        <v>0</v>
      </c>
      <c r="T397" s="15">
        <f>_xlfn.IFNA(IF(VLOOKUP($J397&amp;T$14,'Mapping A'!$A$6:$G$1011,7,0)=1,$L397,""),0)</f>
        <v>0</v>
      </c>
      <c r="U397" s="15">
        <f>_xlfn.IFNA(IF(VLOOKUP($J397&amp;U$14,'Mapping A'!$A$6:$G$1011,7,0)=1,$L397,""),0)</f>
        <v>0</v>
      </c>
      <c r="V397" s="15">
        <f>_xlfn.IFNA(IF(VLOOKUP($J397&amp;V$14,'Mapping A'!$A$6:$G$1011,7,0)=1,$L397,""),0)</f>
        <v>0</v>
      </c>
      <c r="W397" s="15">
        <f>_xlfn.IFNA(IF(VLOOKUP($J397&amp;W$14,'Mapping A'!$A$6:$G$1011,7,0)=1,$L397,""),0)</f>
        <v>0</v>
      </c>
      <c r="X397" s="15">
        <f>_xlfn.IFNA(IF(VLOOKUP($J397&amp;X$14,'Mapping A'!$A$6:$G$1011,7,0)=1,$L397,""),0)</f>
        <v>0</v>
      </c>
      <c r="Y397" s="15">
        <f>_xlfn.IFNA(IF(VLOOKUP($J397&amp;Y$14,'Mapping A'!$A$6:$G$1011,7,0)=1,$L397,""),0)</f>
        <v>0</v>
      </c>
      <c r="Z397" s="15">
        <f>_xlfn.IFNA(IF(VLOOKUP($J397&amp;Z$14,'Mapping A'!$A$6:$G$1011,7,0)=1,$L397,""),0)</f>
        <v>0</v>
      </c>
      <c r="AA397" s="15">
        <f>_xlfn.IFNA(IF(VLOOKUP($J397&amp;AA$14,'Mapping A'!$A$6:$G$1011,7,0)=1,$L397,""),0)</f>
        <v>0</v>
      </c>
      <c r="AF397" s="155" t="str">
        <f t="shared" si="122"/>
        <v>OPK0331Powerco</v>
      </c>
      <c r="AG397" s="190" t="s">
        <v>290</v>
      </c>
      <c r="AH397" s="190" t="s">
        <v>28</v>
      </c>
      <c r="AI397" s="190">
        <f t="shared" si="128"/>
        <v>12.068700000000002</v>
      </c>
      <c r="AJ397" s="292" t="s">
        <v>95</v>
      </c>
      <c r="AK397" s="15"/>
      <c r="AL397" s="15">
        <f t="shared" si="123"/>
        <v>0</v>
      </c>
      <c r="AM397" s="15"/>
      <c r="AN397" s="15">
        <f t="shared" ca="1" si="124"/>
        <v>0</v>
      </c>
      <c r="AO397" s="15">
        <f t="shared" si="125"/>
        <v>0</v>
      </c>
      <c r="AP397" s="15">
        <f t="shared" si="126"/>
        <v>0</v>
      </c>
      <c r="AQ397" s="15"/>
      <c r="AR397" s="190">
        <f t="shared" si="129"/>
        <v>0</v>
      </c>
      <c r="AS397" s="15"/>
      <c r="AT397" s="190">
        <f t="shared" si="130"/>
        <v>0</v>
      </c>
      <c r="AU397" s="190">
        <f t="shared" si="131"/>
        <v>0</v>
      </c>
      <c r="AV397" s="190">
        <f t="shared" si="132"/>
        <v>0</v>
      </c>
      <c r="AW397" s="190">
        <f t="shared" si="133"/>
        <v>0</v>
      </c>
      <c r="AX397" s="190">
        <f t="shared" si="134"/>
        <v>0</v>
      </c>
      <c r="BP397" s="190"/>
    </row>
    <row r="398" spans="2:68" x14ac:dyDescent="0.25">
      <c r="B398" s="98" t="s">
        <v>553</v>
      </c>
      <c r="C398" s="98">
        <v>2014</v>
      </c>
      <c r="D398" s="98" t="s">
        <v>344</v>
      </c>
      <c r="E398" s="98" t="s">
        <v>10</v>
      </c>
      <c r="F398" s="98" t="s">
        <v>131</v>
      </c>
      <c r="G398" s="248">
        <v>118.51267304445599</v>
      </c>
      <c r="H398" s="299" t="str">
        <f>VLOOKUP(LEFT('Rev Adequacy'!D398,3),'Mapping B'!$D$2:$E$400,2,0)</f>
        <v>N</v>
      </c>
      <c r="I398" s="190"/>
      <c r="J398" s="15" t="s">
        <v>291</v>
      </c>
      <c r="K398" s="190" t="s">
        <v>2</v>
      </c>
      <c r="L398" s="190">
        <f t="shared" si="127"/>
        <v>9.3617999999999988</v>
      </c>
      <c r="M398" s="15"/>
      <c r="N398" s="15"/>
      <c r="O398" s="15">
        <f>_xlfn.IFNA(IF(VLOOKUP($J398&amp;O$14,'Mapping A'!$A$6:$G$1011,7,0)=1,$L398,""),0)</f>
        <v>0</v>
      </c>
      <c r="P398" s="15">
        <f>_xlfn.IFNA(IF(VLOOKUP($J398&amp;P$14,'Mapping A'!$A$6:$G$1011,7,0)=1,$L398,""),0)</f>
        <v>0</v>
      </c>
      <c r="Q398" s="15">
        <f>_xlfn.IFNA(IF(VLOOKUP($J398&amp;Q$14,'Mapping A'!$A$6:$G$1011,7,0)=1,$L398,""),0)</f>
        <v>9.3617999999999988</v>
      </c>
      <c r="R398" s="15">
        <f>_xlfn.IFNA(IF(VLOOKUP($J398&amp;R$14,'Mapping A'!$A$6:$G$1011,7,0)=1,$L398,""),0)</f>
        <v>0</v>
      </c>
      <c r="S398" s="15">
        <f>_xlfn.IFNA(IF(VLOOKUP($J398&amp;S$14,'Mapping A'!$A$6:$G$1011,7,0)=1,$L398,""),0)</f>
        <v>0</v>
      </c>
      <c r="T398" s="15">
        <f>_xlfn.IFNA(IF(VLOOKUP($J398&amp;T$14,'Mapping A'!$A$6:$G$1011,7,0)=1,$L398,""),0)</f>
        <v>0</v>
      </c>
      <c r="U398" s="15">
        <f>_xlfn.IFNA(IF(VLOOKUP($J398&amp;U$14,'Mapping A'!$A$6:$G$1011,7,0)=1,$L398,""),0)</f>
        <v>0</v>
      </c>
      <c r="V398" s="15">
        <f>_xlfn.IFNA(IF(VLOOKUP($J398&amp;V$14,'Mapping A'!$A$6:$G$1011,7,0)=1,$L398,""),0)</f>
        <v>0</v>
      </c>
      <c r="W398" s="15">
        <f>_xlfn.IFNA(IF(VLOOKUP($J398&amp;W$14,'Mapping A'!$A$6:$G$1011,7,0)=1,$L398,""),0)</f>
        <v>0</v>
      </c>
      <c r="X398" s="15">
        <f>_xlfn.IFNA(IF(VLOOKUP($J398&amp;X$14,'Mapping A'!$A$6:$G$1011,7,0)=1,$L398,""),0)</f>
        <v>0</v>
      </c>
      <c r="Y398" s="15">
        <f>_xlfn.IFNA(IF(VLOOKUP($J398&amp;Y$14,'Mapping A'!$A$6:$G$1011,7,0)=1,$L398,""),0)</f>
        <v>0</v>
      </c>
      <c r="Z398" s="15">
        <f>_xlfn.IFNA(IF(VLOOKUP($J398&amp;Z$14,'Mapping A'!$A$6:$G$1011,7,0)=1,$L398,""),0)</f>
        <v>0</v>
      </c>
      <c r="AA398" s="15">
        <f>_xlfn.IFNA(IF(VLOOKUP($J398&amp;AA$14,'Mapping A'!$A$6:$G$1011,7,0)=1,$L398,""),0)</f>
        <v>0</v>
      </c>
      <c r="AF398" s="155" t="str">
        <f t="shared" si="122"/>
        <v>ORO1101Buller Electricity</v>
      </c>
      <c r="AG398" s="190" t="s">
        <v>291</v>
      </c>
      <c r="AH398" s="190" t="s">
        <v>2</v>
      </c>
      <c r="AI398" s="190">
        <f t="shared" si="128"/>
        <v>9.3617999999999988</v>
      </c>
      <c r="AJ398" s="292" t="s">
        <v>96</v>
      </c>
      <c r="AK398" s="15"/>
      <c r="AL398" s="15">
        <f t="shared" si="123"/>
        <v>0</v>
      </c>
      <c r="AM398" s="15"/>
      <c r="AN398" s="15">
        <f t="shared" ca="1" si="124"/>
        <v>0</v>
      </c>
      <c r="AO398" s="15">
        <f t="shared" si="125"/>
        <v>0</v>
      </c>
      <c r="AP398" s="15">
        <f t="shared" si="126"/>
        <v>0</v>
      </c>
      <c r="AQ398" s="15"/>
      <c r="AR398" s="190">
        <f t="shared" si="129"/>
        <v>0</v>
      </c>
      <c r="AS398" s="15"/>
      <c r="AT398" s="190">
        <f t="shared" si="130"/>
        <v>0</v>
      </c>
      <c r="AU398" s="190">
        <f t="shared" si="131"/>
        <v>0</v>
      </c>
      <c r="AV398" s="190">
        <f t="shared" si="132"/>
        <v>0</v>
      </c>
      <c r="AW398" s="190">
        <f t="shared" si="133"/>
        <v>0</v>
      </c>
      <c r="AX398" s="190">
        <f t="shared" si="134"/>
        <v>0</v>
      </c>
      <c r="BP398" s="190"/>
    </row>
    <row r="399" spans="2:68" x14ac:dyDescent="0.25">
      <c r="B399" s="98" t="s">
        <v>553</v>
      </c>
      <c r="C399" s="98">
        <v>2014</v>
      </c>
      <c r="D399" s="98" t="s">
        <v>345</v>
      </c>
      <c r="E399" s="98" t="s">
        <v>10</v>
      </c>
      <c r="F399" s="98" t="s">
        <v>136</v>
      </c>
      <c r="G399" s="248">
        <v>0</v>
      </c>
      <c r="H399" s="299" t="str">
        <f>VLOOKUP(LEFT('Rev Adequacy'!D399,3),'Mapping B'!$D$2:$E$400,2,0)</f>
        <v>N</v>
      </c>
      <c r="I399" s="190"/>
      <c r="J399" s="15" t="s">
        <v>292</v>
      </c>
      <c r="K399" s="190" t="s">
        <v>2</v>
      </c>
      <c r="L399" s="190">
        <f t="shared" si="127"/>
        <v>9.6452999999999989</v>
      </c>
      <c r="M399" s="15"/>
      <c r="N399" s="15"/>
      <c r="O399" s="15">
        <f>_xlfn.IFNA(IF(VLOOKUP($J399&amp;O$14,'Mapping A'!$A$6:$G$1011,7,0)=1,$L399,""),0)</f>
        <v>0</v>
      </c>
      <c r="P399" s="15">
        <f>_xlfn.IFNA(IF(VLOOKUP($J399&amp;P$14,'Mapping A'!$A$6:$G$1011,7,0)=1,$L399,""),0)</f>
        <v>0</v>
      </c>
      <c r="Q399" s="15">
        <f>_xlfn.IFNA(IF(VLOOKUP($J399&amp;Q$14,'Mapping A'!$A$6:$G$1011,7,0)=1,$L399,""),0)</f>
        <v>9.6452999999999989</v>
      </c>
      <c r="R399" s="15">
        <f>_xlfn.IFNA(IF(VLOOKUP($J399&amp;R$14,'Mapping A'!$A$6:$G$1011,7,0)=1,$L399,""),0)</f>
        <v>0</v>
      </c>
      <c r="S399" s="15">
        <f>_xlfn.IFNA(IF(VLOOKUP($J399&amp;S$14,'Mapping A'!$A$6:$G$1011,7,0)=1,$L399,""),0)</f>
        <v>0</v>
      </c>
      <c r="T399" s="15">
        <f>_xlfn.IFNA(IF(VLOOKUP($J399&amp;T$14,'Mapping A'!$A$6:$G$1011,7,0)=1,$L399,""),0)</f>
        <v>0</v>
      </c>
      <c r="U399" s="15">
        <f>_xlfn.IFNA(IF(VLOOKUP($J399&amp;U$14,'Mapping A'!$A$6:$G$1011,7,0)=1,$L399,""),0)</f>
        <v>0</v>
      </c>
      <c r="V399" s="15">
        <f>_xlfn.IFNA(IF(VLOOKUP($J399&amp;V$14,'Mapping A'!$A$6:$G$1011,7,0)=1,$L399,""),0)</f>
        <v>0</v>
      </c>
      <c r="W399" s="15">
        <f>_xlfn.IFNA(IF(VLOOKUP($J399&amp;W$14,'Mapping A'!$A$6:$G$1011,7,0)=1,$L399,""),0)</f>
        <v>0</v>
      </c>
      <c r="X399" s="15">
        <f>_xlfn.IFNA(IF(VLOOKUP($J399&amp;X$14,'Mapping A'!$A$6:$G$1011,7,0)=1,$L399,""),0)</f>
        <v>0</v>
      </c>
      <c r="Y399" s="15">
        <f>_xlfn.IFNA(IF(VLOOKUP($J399&amp;Y$14,'Mapping A'!$A$6:$G$1011,7,0)=1,$L399,""),0)</f>
        <v>0</v>
      </c>
      <c r="Z399" s="15">
        <f>_xlfn.IFNA(IF(VLOOKUP($J399&amp;Z$14,'Mapping A'!$A$6:$G$1011,7,0)=1,$L399,""),0)</f>
        <v>0</v>
      </c>
      <c r="AA399" s="15">
        <f>_xlfn.IFNA(IF(VLOOKUP($J399&amp;AA$14,'Mapping A'!$A$6:$G$1011,7,0)=1,$L399,""),0)</f>
        <v>0</v>
      </c>
      <c r="AF399" s="155" t="str">
        <f t="shared" si="122"/>
        <v>ORO1102Buller Electricity</v>
      </c>
      <c r="AG399" s="190" t="s">
        <v>292</v>
      </c>
      <c r="AH399" s="190" t="s">
        <v>2</v>
      </c>
      <c r="AI399" s="190">
        <f t="shared" si="128"/>
        <v>9.6452999999999989</v>
      </c>
      <c r="AJ399" s="292" t="s">
        <v>96</v>
      </c>
      <c r="AK399" s="15"/>
      <c r="AL399" s="15">
        <f t="shared" si="123"/>
        <v>0</v>
      </c>
      <c r="AM399" s="15"/>
      <c r="AN399" s="15">
        <f t="shared" ca="1" si="124"/>
        <v>0</v>
      </c>
      <c r="AO399" s="15">
        <f t="shared" si="125"/>
        <v>0</v>
      </c>
      <c r="AP399" s="15">
        <f t="shared" si="126"/>
        <v>0</v>
      </c>
      <c r="AQ399" s="15"/>
      <c r="AR399" s="190">
        <f t="shared" si="129"/>
        <v>0</v>
      </c>
      <c r="AS399" s="15"/>
      <c r="AT399" s="190">
        <f t="shared" si="130"/>
        <v>0</v>
      </c>
      <c r="AU399" s="190">
        <f t="shared" si="131"/>
        <v>0</v>
      </c>
      <c r="AV399" s="190">
        <f t="shared" si="132"/>
        <v>0</v>
      </c>
      <c r="AW399" s="190">
        <f t="shared" si="133"/>
        <v>0</v>
      </c>
      <c r="AX399" s="190">
        <f t="shared" si="134"/>
        <v>0</v>
      </c>
      <c r="BP399" s="190"/>
    </row>
    <row r="400" spans="2:68" x14ac:dyDescent="0.25">
      <c r="B400" s="98" t="s">
        <v>553</v>
      </c>
      <c r="C400" s="98">
        <v>2014</v>
      </c>
      <c r="D400" s="98" t="s">
        <v>353</v>
      </c>
      <c r="E400" s="98" t="s">
        <v>10</v>
      </c>
      <c r="F400" s="98" t="s">
        <v>131</v>
      </c>
      <c r="G400" s="248">
        <v>4.7540648809991301E-3</v>
      </c>
      <c r="H400" s="299" t="str">
        <f>VLOOKUP(LEFT('Rev Adequacy'!D400,3),'Mapping B'!$D$2:$E$400,2,0)</f>
        <v>N</v>
      </c>
      <c r="I400" s="190"/>
      <c r="J400" s="15" t="s">
        <v>293</v>
      </c>
      <c r="K400" s="190" t="s">
        <v>4</v>
      </c>
      <c r="L400" s="190">
        <f t="shared" si="127"/>
        <v>6.0522</v>
      </c>
      <c r="M400" s="15"/>
      <c r="N400" s="15"/>
      <c r="O400" s="15">
        <f>_xlfn.IFNA(IF(VLOOKUP($J400&amp;O$14,'Mapping A'!$A$6:$G$1011,7,0)=1,$L400,""),0)</f>
        <v>0</v>
      </c>
      <c r="P400" s="15">
        <f>_xlfn.IFNA(IF(VLOOKUP($J400&amp;P$14,'Mapping A'!$A$6:$G$1011,7,0)=1,$L400,""),0)</f>
        <v>0</v>
      </c>
      <c r="Q400" s="15">
        <f>_xlfn.IFNA(IF(VLOOKUP($J400&amp;Q$14,'Mapping A'!$A$6:$G$1011,7,0)=1,$L400,""),0)</f>
        <v>0</v>
      </c>
      <c r="R400" s="15">
        <f>_xlfn.IFNA(IF(VLOOKUP($J400&amp;R$14,'Mapping A'!$A$6:$G$1011,7,0)=1,$L400,""),0)</f>
        <v>0</v>
      </c>
      <c r="S400" s="15">
        <f>_xlfn.IFNA(IF(VLOOKUP($J400&amp;S$14,'Mapping A'!$A$6:$G$1011,7,0)=1,$L400,""),0)</f>
        <v>0</v>
      </c>
      <c r="T400" s="15">
        <f>_xlfn.IFNA(IF(VLOOKUP($J400&amp;T$14,'Mapping A'!$A$6:$G$1011,7,0)=1,$L400,""),0)</f>
        <v>6.0522</v>
      </c>
      <c r="U400" s="15">
        <f>_xlfn.IFNA(IF(VLOOKUP($J400&amp;U$14,'Mapping A'!$A$6:$G$1011,7,0)=1,$L400,""),0)</f>
        <v>0</v>
      </c>
      <c r="V400" s="15">
        <f>_xlfn.IFNA(IF(VLOOKUP($J400&amp;V$14,'Mapping A'!$A$6:$G$1011,7,0)=1,$L400,""),0)</f>
        <v>0</v>
      </c>
      <c r="W400" s="15">
        <f>_xlfn.IFNA(IF(VLOOKUP($J400&amp;W$14,'Mapping A'!$A$6:$G$1011,7,0)=1,$L400,""),0)</f>
        <v>0</v>
      </c>
      <c r="X400" s="15">
        <f>_xlfn.IFNA(IF(VLOOKUP($J400&amp;X$14,'Mapping A'!$A$6:$G$1011,7,0)=1,$L400,""),0)</f>
        <v>0</v>
      </c>
      <c r="Y400" s="15">
        <f>_xlfn.IFNA(IF(VLOOKUP($J400&amp;Y$14,'Mapping A'!$A$6:$G$1011,7,0)=1,$L400,""),0)</f>
        <v>0</v>
      </c>
      <c r="Z400" s="15">
        <f>_xlfn.IFNA(IF(VLOOKUP($J400&amp;Z$14,'Mapping A'!$A$6:$G$1011,7,0)=1,$L400,""),0)</f>
        <v>0</v>
      </c>
      <c r="AA400" s="15">
        <f>_xlfn.IFNA(IF(VLOOKUP($J400&amp;AA$14,'Mapping A'!$A$6:$G$1011,7,0)=1,$L400,""),0)</f>
        <v>0</v>
      </c>
      <c r="AF400" s="155" t="str">
        <f t="shared" si="122"/>
        <v>OTA0221Contact</v>
      </c>
      <c r="AG400" s="190" t="s">
        <v>293</v>
      </c>
      <c r="AH400" s="190" t="s">
        <v>4</v>
      </c>
      <c r="AI400" s="190">
        <f t="shared" si="128"/>
        <v>6.0522</v>
      </c>
      <c r="AJ400" s="292" t="s">
        <v>95</v>
      </c>
      <c r="AK400" s="15"/>
      <c r="AL400" s="15">
        <f t="shared" si="123"/>
        <v>0</v>
      </c>
      <c r="AM400" s="15"/>
      <c r="AN400" s="15">
        <f t="shared" ca="1" si="124"/>
        <v>0</v>
      </c>
      <c r="AO400" s="15">
        <f t="shared" si="125"/>
        <v>0</v>
      </c>
      <c r="AP400" s="15">
        <f t="shared" si="126"/>
        <v>0</v>
      </c>
      <c r="AQ400" s="15"/>
      <c r="AR400" s="190">
        <f t="shared" si="129"/>
        <v>0</v>
      </c>
      <c r="AS400" s="15"/>
      <c r="AT400" s="190">
        <f t="shared" si="130"/>
        <v>0</v>
      </c>
      <c r="AU400" s="190">
        <f t="shared" si="131"/>
        <v>0</v>
      </c>
      <c r="AV400" s="190">
        <f t="shared" si="132"/>
        <v>0</v>
      </c>
      <c r="AW400" s="190">
        <f t="shared" si="133"/>
        <v>0</v>
      </c>
      <c r="AX400" s="190">
        <f t="shared" si="134"/>
        <v>0</v>
      </c>
      <c r="BP400" s="190"/>
    </row>
    <row r="401" spans="2:68" x14ac:dyDescent="0.25">
      <c r="B401" s="98" t="s">
        <v>553</v>
      </c>
      <c r="C401" s="98">
        <v>2014</v>
      </c>
      <c r="D401" s="98" t="s">
        <v>354</v>
      </c>
      <c r="E401" s="98" t="s">
        <v>10</v>
      </c>
      <c r="F401" s="98" t="s">
        <v>136</v>
      </c>
      <c r="G401" s="248">
        <v>0</v>
      </c>
      <c r="H401" s="299" t="str">
        <f>VLOOKUP(LEFT('Rev Adequacy'!D401,3),'Mapping B'!$D$2:$E$400,2,0)</f>
        <v>N</v>
      </c>
      <c r="I401" s="190"/>
      <c r="J401" s="15" t="s">
        <v>293</v>
      </c>
      <c r="K401" s="190" t="s">
        <v>37</v>
      </c>
      <c r="L401" s="190">
        <f t="shared" si="127"/>
        <v>63.088200000000001</v>
      </c>
      <c r="M401" s="15"/>
      <c r="N401" s="15"/>
      <c r="O401" s="15">
        <f>_xlfn.IFNA(IF(VLOOKUP($J401&amp;O$14,'Mapping A'!$A$6:$G$1011,7,0)=1,$L401,""),0)</f>
        <v>0</v>
      </c>
      <c r="P401" s="15">
        <f>_xlfn.IFNA(IF(VLOOKUP($J401&amp;P$14,'Mapping A'!$A$6:$G$1011,7,0)=1,$L401,""),0)</f>
        <v>0</v>
      </c>
      <c r="Q401" s="15">
        <f>_xlfn.IFNA(IF(VLOOKUP($J401&amp;Q$14,'Mapping A'!$A$6:$G$1011,7,0)=1,$L401,""),0)</f>
        <v>0</v>
      </c>
      <c r="R401" s="15">
        <f>_xlfn.IFNA(IF(VLOOKUP($J401&amp;R$14,'Mapping A'!$A$6:$G$1011,7,0)=1,$L401,""),0)</f>
        <v>0</v>
      </c>
      <c r="S401" s="15">
        <f>_xlfn.IFNA(IF(VLOOKUP($J401&amp;S$14,'Mapping A'!$A$6:$G$1011,7,0)=1,$L401,""),0)</f>
        <v>0</v>
      </c>
      <c r="T401" s="15">
        <f>_xlfn.IFNA(IF(VLOOKUP($J401&amp;T$14,'Mapping A'!$A$6:$G$1011,7,0)=1,$L401,""),0)</f>
        <v>63.088200000000001</v>
      </c>
      <c r="U401" s="15">
        <f>_xlfn.IFNA(IF(VLOOKUP($J401&amp;U$14,'Mapping A'!$A$6:$G$1011,7,0)=1,$L401,""),0)</f>
        <v>0</v>
      </c>
      <c r="V401" s="15">
        <f>_xlfn.IFNA(IF(VLOOKUP($J401&amp;V$14,'Mapping A'!$A$6:$G$1011,7,0)=1,$L401,""),0)</f>
        <v>0</v>
      </c>
      <c r="W401" s="15">
        <f>_xlfn.IFNA(IF(VLOOKUP($J401&amp;W$14,'Mapping A'!$A$6:$G$1011,7,0)=1,$L401,""),0)</f>
        <v>0</v>
      </c>
      <c r="X401" s="15">
        <f>_xlfn.IFNA(IF(VLOOKUP($J401&amp;X$14,'Mapping A'!$A$6:$G$1011,7,0)=1,$L401,""),0)</f>
        <v>0</v>
      </c>
      <c r="Y401" s="15">
        <f>_xlfn.IFNA(IF(VLOOKUP($J401&amp;Y$14,'Mapping A'!$A$6:$G$1011,7,0)=1,$L401,""),0)</f>
        <v>0</v>
      </c>
      <c r="Z401" s="15">
        <f>_xlfn.IFNA(IF(VLOOKUP($J401&amp;Z$14,'Mapping A'!$A$6:$G$1011,7,0)=1,$L401,""),0)</f>
        <v>0</v>
      </c>
      <c r="AA401" s="15">
        <f>_xlfn.IFNA(IF(VLOOKUP($J401&amp;AA$14,'Mapping A'!$A$6:$G$1011,7,0)=1,$L401,""),0)</f>
        <v>0</v>
      </c>
      <c r="AF401" s="155" t="str">
        <f t="shared" si="122"/>
        <v>OTA0221Vector</v>
      </c>
      <c r="AG401" s="190" t="s">
        <v>293</v>
      </c>
      <c r="AH401" s="190" t="s">
        <v>37</v>
      </c>
      <c r="AI401" s="190">
        <f t="shared" si="128"/>
        <v>63.088200000000001</v>
      </c>
      <c r="AJ401" s="292" t="s">
        <v>95</v>
      </c>
      <c r="AK401" s="15"/>
      <c r="AL401" s="15">
        <f t="shared" si="123"/>
        <v>0</v>
      </c>
      <c r="AM401" s="15"/>
      <c r="AN401" s="15">
        <f t="shared" ca="1" si="124"/>
        <v>0</v>
      </c>
      <c r="AO401" s="15">
        <f t="shared" si="125"/>
        <v>0</v>
      </c>
      <c r="AP401" s="15">
        <f t="shared" si="126"/>
        <v>0</v>
      </c>
      <c r="AQ401" s="15"/>
      <c r="AR401" s="190">
        <f t="shared" si="129"/>
        <v>0</v>
      </c>
      <c r="AS401" s="15"/>
      <c r="AT401" s="190">
        <f t="shared" si="130"/>
        <v>0</v>
      </c>
      <c r="AU401" s="190">
        <f t="shared" si="131"/>
        <v>0</v>
      </c>
      <c r="AV401" s="190">
        <f t="shared" si="132"/>
        <v>0</v>
      </c>
      <c r="AW401" s="190">
        <f t="shared" si="133"/>
        <v>0</v>
      </c>
      <c r="AX401" s="190">
        <f t="shared" si="134"/>
        <v>0</v>
      </c>
      <c r="BP401" s="190"/>
    </row>
    <row r="402" spans="2:68" x14ac:dyDescent="0.25">
      <c r="B402" s="98" t="s">
        <v>553</v>
      </c>
      <c r="C402" s="98">
        <v>2014</v>
      </c>
      <c r="D402" s="98" t="s">
        <v>355</v>
      </c>
      <c r="E402" s="98" t="s">
        <v>10</v>
      </c>
      <c r="F402" s="98" t="s">
        <v>136</v>
      </c>
      <c r="G402" s="248">
        <v>0</v>
      </c>
      <c r="H402" s="299" t="str">
        <f>VLOOKUP(LEFT('Rev Adequacy'!D402,3),'Mapping B'!$D$2:$E$400,2,0)</f>
        <v>N</v>
      </c>
      <c r="I402" s="190"/>
      <c r="J402" s="15" t="s">
        <v>294</v>
      </c>
      <c r="K402" s="190" t="s">
        <v>41</v>
      </c>
      <c r="L402" s="190">
        <f t="shared" si="127"/>
        <v>0.61950000000000005</v>
      </c>
      <c r="M402" s="15"/>
      <c r="N402" s="15"/>
      <c r="O402" s="15">
        <f>_xlfn.IFNA(IF(VLOOKUP($J402&amp;O$14,'Mapping A'!$A$6:$G$1011,7,0)=1,$L402,""),0)</f>
        <v>0</v>
      </c>
      <c r="P402" s="15">
        <f>_xlfn.IFNA(IF(VLOOKUP($J402&amp;P$14,'Mapping A'!$A$6:$G$1011,7,0)=1,$L402,""),0)</f>
        <v>0</v>
      </c>
      <c r="Q402" s="15">
        <f>_xlfn.IFNA(IF(VLOOKUP($J402&amp;Q$14,'Mapping A'!$A$6:$G$1011,7,0)=1,$L402,""),0)</f>
        <v>0.61950000000000005</v>
      </c>
      <c r="R402" s="15">
        <f>_xlfn.IFNA(IF(VLOOKUP($J402&amp;R$14,'Mapping A'!$A$6:$G$1011,7,0)=1,$L402,""),0)</f>
        <v>0</v>
      </c>
      <c r="S402" s="15">
        <f>_xlfn.IFNA(IF(VLOOKUP($J402&amp;S$14,'Mapping A'!$A$6:$G$1011,7,0)=1,$L402,""),0)</f>
        <v>0</v>
      </c>
      <c r="T402" s="15">
        <f>_xlfn.IFNA(IF(VLOOKUP($J402&amp;T$14,'Mapping A'!$A$6:$G$1011,7,0)=1,$L402,""),0)</f>
        <v>0</v>
      </c>
      <c r="U402" s="15">
        <f>_xlfn.IFNA(IF(VLOOKUP($J402&amp;U$14,'Mapping A'!$A$6:$G$1011,7,0)=1,$L402,""),0)</f>
        <v>0</v>
      </c>
      <c r="V402" s="15">
        <f>_xlfn.IFNA(IF(VLOOKUP($J402&amp;V$14,'Mapping A'!$A$6:$G$1011,7,0)=1,$L402,""),0)</f>
        <v>0</v>
      </c>
      <c r="W402" s="15">
        <f>_xlfn.IFNA(IF(VLOOKUP($J402&amp;W$14,'Mapping A'!$A$6:$G$1011,7,0)=1,$L402,""),0)</f>
        <v>0</v>
      </c>
      <c r="X402" s="15">
        <f>_xlfn.IFNA(IF(VLOOKUP($J402&amp;X$14,'Mapping A'!$A$6:$G$1011,7,0)=1,$L402,""),0)</f>
        <v>0</v>
      </c>
      <c r="Y402" s="15">
        <f>_xlfn.IFNA(IF(VLOOKUP($J402&amp;Y$14,'Mapping A'!$A$6:$G$1011,7,0)=1,$L402,""),0)</f>
        <v>0</v>
      </c>
      <c r="Z402" s="15">
        <f>_xlfn.IFNA(IF(VLOOKUP($J402&amp;Z$14,'Mapping A'!$A$6:$G$1011,7,0)=1,$L402,""),0)</f>
        <v>0</v>
      </c>
      <c r="AA402" s="15">
        <f>_xlfn.IFNA(IF(VLOOKUP($J402&amp;AA$14,'Mapping A'!$A$6:$G$1011,7,0)=1,$L402,""),0)</f>
        <v>0</v>
      </c>
      <c r="AF402" s="155" t="str">
        <f t="shared" si="122"/>
        <v>OTI0111Westpower</v>
      </c>
      <c r="AG402" s="190" t="s">
        <v>294</v>
      </c>
      <c r="AH402" s="190" t="s">
        <v>41</v>
      </c>
      <c r="AI402" s="190">
        <f t="shared" si="128"/>
        <v>0.61950000000000005</v>
      </c>
      <c r="AJ402" s="292" t="s">
        <v>96</v>
      </c>
      <c r="AK402" s="15"/>
      <c r="AL402" s="15">
        <f t="shared" si="123"/>
        <v>0</v>
      </c>
      <c r="AM402" s="15"/>
      <c r="AN402" s="15">
        <f t="shared" ca="1" si="124"/>
        <v>0</v>
      </c>
      <c r="AO402" s="15">
        <f t="shared" si="125"/>
        <v>0</v>
      </c>
      <c r="AP402" s="15">
        <f t="shared" si="126"/>
        <v>0</v>
      </c>
      <c r="AQ402" s="15"/>
      <c r="AR402" s="190">
        <f t="shared" si="129"/>
        <v>0</v>
      </c>
      <c r="AS402" s="15"/>
      <c r="AT402" s="190">
        <f t="shared" si="130"/>
        <v>0</v>
      </c>
      <c r="AU402" s="190">
        <f t="shared" si="131"/>
        <v>0</v>
      </c>
      <c r="AV402" s="190">
        <f t="shared" si="132"/>
        <v>0</v>
      </c>
      <c r="AW402" s="190">
        <f t="shared" si="133"/>
        <v>0</v>
      </c>
      <c r="AX402" s="190">
        <f t="shared" si="134"/>
        <v>0</v>
      </c>
      <c r="BP402" s="190"/>
    </row>
    <row r="403" spans="2:68" x14ac:dyDescent="0.25">
      <c r="B403" s="98" t="s">
        <v>553</v>
      </c>
      <c r="C403" s="98">
        <v>2014</v>
      </c>
      <c r="D403" s="98" t="s">
        <v>356</v>
      </c>
      <c r="E403" s="98" t="s">
        <v>10</v>
      </c>
      <c r="F403" s="98" t="s">
        <v>136</v>
      </c>
      <c r="G403" s="248">
        <v>0</v>
      </c>
      <c r="H403" s="299" t="str">
        <f>VLOOKUP(LEFT('Rev Adequacy'!D403,3),'Mapping B'!$D$2:$E$400,2,0)</f>
        <v>N</v>
      </c>
      <c r="I403" s="190"/>
      <c r="J403" s="15" t="s">
        <v>295</v>
      </c>
      <c r="K403" s="190" t="s">
        <v>36</v>
      </c>
      <c r="L403" s="190">
        <f t="shared" si="127"/>
        <v>13.490399999999999</v>
      </c>
      <c r="M403" s="15"/>
      <c r="N403" s="15"/>
      <c r="O403" s="15">
        <f>_xlfn.IFNA(IF(VLOOKUP($J403&amp;O$14,'Mapping A'!$A$6:$G$1011,7,0)=1,$L403,""),0)</f>
        <v>0</v>
      </c>
      <c r="P403" s="15">
        <f>_xlfn.IFNA(IF(VLOOKUP($J403&amp;P$14,'Mapping A'!$A$6:$G$1011,7,0)=1,$L403,""),0)</f>
        <v>0</v>
      </c>
      <c r="Q403" s="15">
        <f>_xlfn.IFNA(IF(VLOOKUP($J403&amp;Q$14,'Mapping A'!$A$6:$G$1011,7,0)=1,$L403,""),0)</f>
        <v>0</v>
      </c>
      <c r="R403" s="15">
        <f>_xlfn.IFNA(IF(VLOOKUP($J403&amp;R$14,'Mapping A'!$A$6:$G$1011,7,0)=1,$L403,""),0)</f>
        <v>0</v>
      </c>
      <c r="S403" s="15">
        <f>_xlfn.IFNA(IF(VLOOKUP($J403&amp;S$14,'Mapping A'!$A$6:$G$1011,7,0)=1,$L403,""),0)</f>
        <v>0</v>
      </c>
      <c r="T403" s="15">
        <f>_xlfn.IFNA(IF(VLOOKUP($J403&amp;T$14,'Mapping A'!$A$6:$G$1011,7,0)=1,$L403,""),0)</f>
        <v>13.490399999999999</v>
      </c>
      <c r="U403" s="15">
        <f>_xlfn.IFNA(IF(VLOOKUP($J403&amp;U$14,'Mapping A'!$A$6:$G$1011,7,0)=1,$L403,""),0)</f>
        <v>0</v>
      </c>
      <c r="V403" s="15">
        <f>_xlfn.IFNA(IF(VLOOKUP($J403&amp;V$14,'Mapping A'!$A$6:$G$1011,7,0)=1,$L403,""),0)</f>
        <v>0</v>
      </c>
      <c r="W403" s="15">
        <f>_xlfn.IFNA(IF(VLOOKUP($J403&amp;W$14,'Mapping A'!$A$6:$G$1011,7,0)=1,$L403,""),0)</f>
        <v>0</v>
      </c>
      <c r="X403" s="15">
        <f>_xlfn.IFNA(IF(VLOOKUP($J403&amp;X$14,'Mapping A'!$A$6:$G$1011,7,0)=1,$L403,""),0)</f>
        <v>0</v>
      </c>
      <c r="Y403" s="15">
        <f>_xlfn.IFNA(IF(VLOOKUP($J403&amp;Y$14,'Mapping A'!$A$6:$G$1011,7,0)=1,$L403,""),0)</f>
        <v>0</v>
      </c>
      <c r="Z403" s="15">
        <f>_xlfn.IFNA(IF(VLOOKUP($J403&amp;Z$14,'Mapping A'!$A$6:$G$1011,7,0)=1,$L403,""),0)</f>
        <v>0</v>
      </c>
      <c r="AA403" s="15">
        <f>_xlfn.IFNA(IF(VLOOKUP($J403&amp;AA$14,'Mapping A'!$A$6:$G$1011,7,0)=1,$L403,""),0)</f>
        <v>0</v>
      </c>
      <c r="AF403" s="155" t="str">
        <f t="shared" si="122"/>
        <v>OWH0111Unison</v>
      </c>
      <c r="AG403" s="190" t="s">
        <v>295</v>
      </c>
      <c r="AH403" s="190" t="s">
        <v>36</v>
      </c>
      <c r="AI403" s="190">
        <f t="shared" si="128"/>
        <v>13.490399999999999</v>
      </c>
      <c r="AJ403" s="292" t="s">
        <v>95</v>
      </c>
      <c r="AK403" s="15"/>
      <c r="AL403" s="15">
        <f t="shared" si="123"/>
        <v>0</v>
      </c>
      <c r="AM403" s="15"/>
      <c r="AN403" s="15">
        <f t="shared" ca="1" si="124"/>
        <v>0</v>
      </c>
      <c r="AO403" s="15">
        <f t="shared" si="125"/>
        <v>0</v>
      </c>
      <c r="AP403" s="15">
        <f t="shared" si="126"/>
        <v>0</v>
      </c>
      <c r="AQ403" s="15"/>
      <c r="AR403" s="190">
        <f t="shared" si="129"/>
        <v>0</v>
      </c>
      <c r="AS403" s="15"/>
      <c r="AT403" s="190">
        <f t="shared" si="130"/>
        <v>0</v>
      </c>
      <c r="AU403" s="190">
        <f t="shared" si="131"/>
        <v>0</v>
      </c>
      <c r="AV403" s="190">
        <f t="shared" si="132"/>
        <v>0</v>
      </c>
      <c r="AW403" s="190">
        <f t="shared" si="133"/>
        <v>0</v>
      </c>
      <c r="AX403" s="190">
        <f t="shared" si="134"/>
        <v>0</v>
      </c>
      <c r="BP403" s="190"/>
    </row>
    <row r="404" spans="2:68" x14ac:dyDescent="0.25">
      <c r="B404" s="98" t="s">
        <v>554</v>
      </c>
      <c r="C404" s="98">
        <v>2014</v>
      </c>
      <c r="D404" s="98" t="s">
        <v>202</v>
      </c>
      <c r="E404" s="98" t="s">
        <v>10</v>
      </c>
      <c r="F404" s="98" t="s">
        <v>136</v>
      </c>
      <c r="G404" s="98">
        <v>0</v>
      </c>
      <c r="H404" s="299" t="str">
        <f>VLOOKUP(LEFT('Rev Adequacy'!D404,3),'Mapping B'!$D$2:$E$400,2,0)</f>
        <v>N</v>
      </c>
      <c r="I404" s="190"/>
      <c r="J404" s="15" t="s">
        <v>296</v>
      </c>
      <c r="K404" s="190" t="s">
        <v>37</v>
      </c>
      <c r="L404" s="190">
        <f t="shared" si="127"/>
        <v>138.15479999999999</v>
      </c>
      <c r="M404" s="15"/>
      <c r="N404" s="15"/>
      <c r="O404" s="15">
        <f>_xlfn.IFNA(IF(VLOOKUP($J404&amp;O$14,'Mapping A'!$A$6:$G$1011,7,0)=1,$L404,""),0)</f>
        <v>0</v>
      </c>
      <c r="P404" s="15">
        <f>_xlfn.IFNA(IF(VLOOKUP($J404&amp;P$14,'Mapping A'!$A$6:$G$1011,7,0)=1,$L404,""),0)</f>
        <v>0</v>
      </c>
      <c r="Q404" s="15">
        <f>_xlfn.IFNA(IF(VLOOKUP($J404&amp;Q$14,'Mapping A'!$A$6:$G$1011,7,0)=1,$L404,""),0)</f>
        <v>0</v>
      </c>
      <c r="R404" s="15">
        <f>_xlfn.IFNA(IF(VLOOKUP($J404&amp;R$14,'Mapping A'!$A$6:$G$1011,7,0)=1,$L404,""),0)</f>
        <v>0</v>
      </c>
      <c r="S404" s="15">
        <f>_xlfn.IFNA(IF(VLOOKUP($J404&amp;S$14,'Mapping A'!$A$6:$G$1011,7,0)=1,$L404,""),0)</f>
        <v>0</v>
      </c>
      <c r="T404" s="15">
        <f>_xlfn.IFNA(IF(VLOOKUP($J404&amp;T$14,'Mapping A'!$A$6:$G$1011,7,0)=1,$L404,""),0)</f>
        <v>138.15479999999999</v>
      </c>
      <c r="U404" s="15">
        <f>_xlfn.IFNA(IF(VLOOKUP($J404&amp;U$14,'Mapping A'!$A$6:$G$1011,7,0)=1,$L404,""),0)</f>
        <v>0</v>
      </c>
      <c r="V404" s="15">
        <f>_xlfn.IFNA(IF(VLOOKUP($J404&amp;V$14,'Mapping A'!$A$6:$G$1011,7,0)=1,$L404,""),0)</f>
        <v>0</v>
      </c>
      <c r="W404" s="15">
        <f>_xlfn.IFNA(IF(VLOOKUP($J404&amp;W$14,'Mapping A'!$A$6:$G$1011,7,0)=1,$L404,""),0)</f>
        <v>0</v>
      </c>
      <c r="X404" s="15">
        <f>_xlfn.IFNA(IF(VLOOKUP($J404&amp;X$14,'Mapping A'!$A$6:$G$1011,7,0)=1,$L404,""),0)</f>
        <v>0</v>
      </c>
      <c r="Y404" s="15">
        <f>_xlfn.IFNA(IF(VLOOKUP($J404&amp;Y$14,'Mapping A'!$A$6:$G$1011,7,0)=1,$L404,""),0)</f>
        <v>0</v>
      </c>
      <c r="Z404" s="15">
        <f>_xlfn.IFNA(IF(VLOOKUP($J404&amp;Z$14,'Mapping A'!$A$6:$G$1011,7,0)=1,$L404,""),0)</f>
        <v>0</v>
      </c>
      <c r="AA404" s="15">
        <f>_xlfn.IFNA(IF(VLOOKUP($J404&amp;AA$14,'Mapping A'!$A$6:$G$1011,7,0)=1,$L404,""),0)</f>
        <v>0</v>
      </c>
      <c r="AF404" s="155" t="str">
        <f t="shared" si="122"/>
        <v>PAK0331Vector</v>
      </c>
      <c r="AG404" s="190" t="s">
        <v>296</v>
      </c>
      <c r="AH404" s="190" t="s">
        <v>37</v>
      </c>
      <c r="AI404" s="190">
        <f t="shared" si="128"/>
        <v>138.15479999999999</v>
      </c>
      <c r="AJ404" s="292" t="s">
        <v>95</v>
      </c>
      <c r="AK404" s="15"/>
      <c r="AL404" s="15">
        <f t="shared" si="123"/>
        <v>0</v>
      </c>
      <c r="AM404" s="15"/>
      <c r="AN404" s="15">
        <f t="shared" ca="1" si="124"/>
        <v>0</v>
      </c>
      <c r="AO404" s="15">
        <f t="shared" si="125"/>
        <v>0</v>
      </c>
      <c r="AP404" s="15">
        <f t="shared" si="126"/>
        <v>0</v>
      </c>
      <c r="AQ404" s="15"/>
      <c r="AR404" s="190">
        <f t="shared" si="129"/>
        <v>0</v>
      </c>
      <c r="AS404" s="15"/>
      <c r="AT404" s="190">
        <f t="shared" si="130"/>
        <v>0</v>
      </c>
      <c r="AU404" s="190">
        <f t="shared" si="131"/>
        <v>0</v>
      </c>
      <c r="AV404" s="190">
        <f t="shared" si="132"/>
        <v>0</v>
      </c>
      <c r="AW404" s="190">
        <f t="shared" si="133"/>
        <v>0</v>
      </c>
      <c r="AX404" s="190">
        <f t="shared" si="134"/>
        <v>0</v>
      </c>
      <c r="BP404" s="190"/>
    </row>
    <row r="405" spans="2:68" x14ac:dyDescent="0.25">
      <c r="B405" s="98" t="s">
        <v>554</v>
      </c>
      <c r="C405" s="98">
        <v>2014</v>
      </c>
      <c r="D405" s="98" t="s">
        <v>203</v>
      </c>
      <c r="E405" s="98" t="s">
        <v>10</v>
      </c>
      <c r="F405" s="98" t="s">
        <v>136</v>
      </c>
      <c r="G405" s="98">
        <v>0</v>
      </c>
      <c r="H405" s="299" t="str">
        <f>VLOOKUP(LEFT('Rev Adequacy'!D405,3),'Mapping B'!$D$2:$E$400,2,0)</f>
        <v>N</v>
      </c>
      <c r="I405" s="190"/>
      <c r="J405" s="15" t="s">
        <v>297</v>
      </c>
      <c r="K405" s="190" t="s">
        <v>28</v>
      </c>
      <c r="L405" s="190">
        <f t="shared" si="127"/>
        <v>33.198900000000002</v>
      </c>
      <c r="M405" s="15"/>
      <c r="N405" s="15"/>
      <c r="O405" s="15">
        <f>_xlfn.IFNA(IF(VLOOKUP($J405&amp;O$14,'Mapping A'!$A$6:$G$1011,7,0)=1,$L405,""),0)</f>
        <v>0</v>
      </c>
      <c r="P405" s="15">
        <f>_xlfn.IFNA(IF(VLOOKUP($J405&amp;P$14,'Mapping A'!$A$6:$G$1011,7,0)=1,$L405,""),0)</f>
        <v>0</v>
      </c>
      <c r="Q405" s="15">
        <f>_xlfn.IFNA(IF(VLOOKUP($J405&amp;Q$14,'Mapping A'!$A$6:$G$1011,7,0)=1,$L405,""),0)</f>
        <v>0</v>
      </c>
      <c r="R405" s="15">
        <f>_xlfn.IFNA(IF(VLOOKUP($J405&amp;R$14,'Mapping A'!$A$6:$G$1011,7,0)=1,$L405,""),0)</f>
        <v>0</v>
      </c>
      <c r="S405" s="15">
        <f>_xlfn.IFNA(IF(VLOOKUP($J405&amp;S$14,'Mapping A'!$A$6:$G$1011,7,0)=1,$L405,""),0)</f>
        <v>0</v>
      </c>
      <c r="T405" s="15">
        <f>_xlfn.IFNA(IF(VLOOKUP($J405&amp;T$14,'Mapping A'!$A$6:$G$1011,7,0)=1,$L405,""),0)</f>
        <v>0</v>
      </c>
      <c r="U405" s="15">
        <f>_xlfn.IFNA(IF(VLOOKUP($J405&amp;U$14,'Mapping A'!$A$6:$G$1011,7,0)=1,$L405,""),0)</f>
        <v>0</v>
      </c>
      <c r="V405" s="15">
        <f>_xlfn.IFNA(IF(VLOOKUP($J405&amp;V$14,'Mapping A'!$A$6:$G$1011,7,0)=1,$L405,""),0)</f>
        <v>0</v>
      </c>
      <c r="W405" s="15">
        <f>_xlfn.IFNA(IF(VLOOKUP($J405&amp;W$14,'Mapping A'!$A$6:$G$1011,7,0)=1,$L405,""),0)</f>
        <v>0</v>
      </c>
      <c r="X405" s="15">
        <f>_xlfn.IFNA(IF(VLOOKUP($J405&amp;X$14,'Mapping A'!$A$6:$G$1011,7,0)=1,$L405,""),0)</f>
        <v>0</v>
      </c>
      <c r="Y405" s="15">
        <f>_xlfn.IFNA(IF(VLOOKUP($J405&amp;Y$14,'Mapping A'!$A$6:$G$1011,7,0)=1,$L405,""),0)</f>
        <v>0</v>
      </c>
      <c r="Z405" s="15">
        <f>_xlfn.IFNA(IF(VLOOKUP($J405&amp;Z$14,'Mapping A'!$A$6:$G$1011,7,0)=1,$L405,""),0)</f>
        <v>0</v>
      </c>
      <c r="AA405" s="15">
        <f>_xlfn.IFNA(IF(VLOOKUP($J405&amp;AA$14,'Mapping A'!$A$6:$G$1011,7,0)=1,$L405,""),0)</f>
        <v>0</v>
      </c>
      <c r="AF405" s="155" t="str">
        <f t="shared" si="122"/>
        <v>PAO1101Powerco</v>
      </c>
      <c r="AG405" s="190" t="s">
        <v>297</v>
      </c>
      <c r="AH405" s="190" t="s">
        <v>28</v>
      </c>
      <c r="AI405" s="190">
        <f t="shared" si="128"/>
        <v>33.198900000000002</v>
      </c>
      <c r="AJ405" s="292" t="s">
        <v>95</v>
      </c>
      <c r="AK405" s="15"/>
      <c r="AL405" s="15">
        <f t="shared" si="123"/>
        <v>0</v>
      </c>
      <c r="AM405" s="15"/>
      <c r="AN405" s="15">
        <f t="shared" ca="1" si="124"/>
        <v>0</v>
      </c>
      <c r="AO405" s="15">
        <f t="shared" si="125"/>
        <v>0</v>
      </c>
      <c r="AP405" s="15">
        <f t="shared" si="126"/>
        <v>0</v>
      </c>
      <c r="AQ405" s="15"/>
      <c r="AR405" s="190">
        <f t="shared" si="129"/>
        <v>0</v>
      </c>
      <c r="AS405" s="15"/>
      <c r="AT405" s="190">
        <f t="shared" si="130"/>
        <v>0</v>
      </c>
      <c r="AU405" s="190">
        <f t="shared" si="131"/>
        <v>0</v>
      </c>
      <c r="AV405" s="190">
        <f t="shared" si="132"/>
        <v>0</v>
      </c>
      <c r="AW405" s="190">
        <f t="shared" si="133"/>
        <v>0</v>
      </c>
      <c r="AX405" s="190">
        <f t="shared" si="134"/>
        <v>0</v>
      </c>
      <c r="BP405" s="190"/>
    </row>
    <row r="406" spans="2:68" x14ac:dyDescent="0.25">
      <c r="B406" s="98" t="s">
        <v>554</v>
      </c>
      <c r="C406" s="98">
        <v>2014</v>
      </c>
      <c r="D406" s="98" t="s">
        <v>204</v>
      </c>
      <c r="E406" s="98" t="s">
        <v>10</v>
      </c>
      <c r="F406" s="98" t="s">
        <v>136</v>
      </c>
      <c r="G406" s="98">
        <v>0</v>
      </c>
      <c r="H406" s="299" t="str">
        <f>VLOOKUP(LEFT('Rev Adequacy'!D406,3),'Mapping B'!$D$2:$E$400,2,0)</f>
        <v>N</v>
      </c>
      <c r="I406" s="190"/>
      <c r="J406" s="15" t="s">
        <v>298</v>
      </c>
      <c r="K406" s="190" t="s">
        <v>37</v>
      </c>
      <c r="L406" s="190">
        <f t="shared" si="127"/>
        <v>55.412699999999994</v>
      </c>
      <c r="M406" s="15"/>
      <c r="N406" s="15"/>
      <c r="O406" s="15">
        <f>_xlfn.IFNA(IF(VLOOKUP($J406&amp;O$14,'Mapping A'!$A$6:$G$1011,7,0)=1,$L406,""),0)</f>
        <v>0</v>
      </c>
      <c r="P406" s="15">
        <f>_xlfn.IFNA(IF(VLOOKUP($J406&amp;P$14,'Mapping A'!$A$6:$G$1011,7,0)=1,$L406,""),0)</f>
        <v>0</v>
      </c>
      <c r="Q406" s="15">
        <f>_xlfn.IFNA(IF(VLOOKUP($J406&amp;Q$14,'Mapping A'!$A$6:$G$1011,7,0)=1,$L406,""),0)</f>
        <v>0</v>
      </c>
      <c r="R406" s="15">
        <f>_xlfn.IFNA(IF(VLOOKUP($J406&amp;R$14,'Mapping A'!$A$6:$G$1011,7,0)=1,$L406,""),0)</f>
        <v>0</v>
      </c>
      <c r="S406" s="15">
        <f>_xlfn.IFNA(IF(VLOOKUP($J406&amp;S$14,'Mapping A'!$A$6:$G$1011,7,0)=1,$L406,""),0)</f>
        <v>0</v>
      </c>
      <c r="T406" s="15">
        <f>_xlfn.IFNA(IF(VLOOKUP($J406&amp;T$14,'Mapping A'!$A$6:$G$1011,7,0)=1,$L406,""),0)</f>
        <v>55.412699999999994</v>
      </c>
      <c r="U406" s="15">
        <f>_xlfn.IFNA(IF(VLOOKUP($J406&amp;U$14,'Mapping A'!$A$6:$G$1011,7,0)=1,$L406,""),0)</f>
        <v>0</v>
      </c>
      <c r="V406" s="15">
        <f>_xlfn.IFNA(IF(VLOOKUP($J406&amp;V$14,'Mapping A'!$A$6:$G$1011,7,0)=1,$L406,""),0)</f>
        <v>0</v>
      </c>
      <c r="W406" s="15">
        <f>_xlfn.IFNA(IF(VLOOKUP($J406&amp;W$14,'Mapping A'!$A$6:$G$1011,7,0)=1,$L406,""),0)</f>
        <v>0</v>
      </c>
      <c r="X406" s="15">
        <f>_xlfn.IFNA(IF(VLOOKUP($J406&amp;X$14,'Mapping A'!$A$6:$G$1011,7,0)=1,$L406,""),0)</f>
        <v>0</v>
      </c>
      <c r="Y406" s="15">
        <f>_xlfn.IFNA(IF(VLOOKUP($J406&amp;Y$14,'Mapping A'!$A$6:$G$1011,7,0)=1,$L406,""),0)</f>
        <v>0</v>
      </c>
      <c r="Z406" s="15">
        <f>_xlfn.IFNA(IF(VLOOKUP($J406&amp;Z$14,'Mapping A'!$A$6:$G$1011,7,0)=1,$L406,""),0)</f>
        <v>0</v>
      </c>
      <c r="AA406" s="15">
        <f>_xlfn.IFNA(IF(VLOOKUP($J406&amp;AA$14,'Mapping A'!$A$6:$G$1011,7,0)=1,$L406,""),0)</f>
        <v>0</v>
      </c>
      <c r="AF406" s="155" t="str">
        <f t="shared" si="122"/>
        <v>PEN0221Vector</v>
      </c>
      <c r="AG406" s="190" t="s">
        <v>298</v>
      </c>
      <c r="AH406" s="190" t="s">
        <v>37</v>
      </c>
      <c r="AI406" s="190">
        <f t="shared" si="128"/>
        <v>55.412699999999994</v>
      </c>
      <c r="AJ406" s="292" t="s">
        <v>95</v>
      </c>
      <c r="AK406" s="15"/>
      <c r="AL406" s="15">
        <f t="shared" si="123"/>
        <v>0</v>
      </c>
      <c r="AM406" s="15"/>
      <c r="AN406" s="15">
        <f t="shared" ca="1" si="124"/>
        <v>0</v>
      </c>
      <c r="AO406" s="15">
        <f t="shared" si="125"/>
        <v>0</v>
      </c>
      <c r="AP406" s="15">
        <f t="shared" si="126"/>
        <v>0</v>
      </c>
      <c r="AQ406" s="15"/>
      <c r="AR406" s="190">
        <f t="shared" si="129"/>
        <v>0</v>
      </c>
      <c r="AS406" s="15"/>
      <c r="AT406" s="190">
        <f t="shared" si="130"/>
        <v>0</v>
      </c>
      <c r="AU406" s="190">
        <f t="shared" si="131"/>
        <v>0</v>
      </c>
      <c r="AV406" s="190">
        <f t="shared" si="132"/>
        <v>0</v>
      </c>
      <c r="AW406" s="190">
        <f t="shared" si="133"/>
        <v>0</v>
      </c>
      <c r="AX406" s="190">
        <f t="shared" si="134"/>
        <v>0</v>
      </c>
      <c r="BP406" s="190"/>
    </row>
    <row r="407" spans="2:68" x14ac:dyDescent="0.25">
      <c r="B407" s="98" t="s">
        <v>554</v>
      </c>
      <c r="C407" s="98">
        <v>2014</v>
      </c>
      <c r="D407" s="98" t="s">
        <v>205</v>
      </c>
      <c r="E407" s="98" t="s">
        <v>10</v>
      </c>
      <c r="F407" s="98" t="s">
        <v>136</v>
      </c>
      <c r="G407" s="98">
        <v>32814.233999999997</v>
      </c>
      <c r="H407" s="299" t="str">
        <f>VLOOKUP(LEFT('Rev Adequacy'!D407,3),'Mapping B'!$D$2:$E$400,2,0)</f>
        <v>N</v>
      </c>
      <c r="I407" s="190"/>
      <c r="J407" s="15" t="s">
        <v>299</v>
      </c>
      <c r="K407" s="190" t="s">
        <v>51</v>
      </c>
      <c r="L407" s="190">
        <f t="shared" si="127"/>
        <v>1.5266999999999999</v>
      </c>
      <c r="M407" s="15"/>
      <c r="N407" s="15"/>
      <c r="O407" s="15">
        <f>_xlfn.IFNA(IF(VLOOKUP($J407&amp;O$14,'Mapping A'!$A$6:$G$1011,7,0)=1,$L407,""),0)</f>
        <v>0</v>
      </c>
      <c r="P407" s="15">
        <f>_xlfn.IFNA(IF(VLOOKUP($J407&amp;P$14,'Mapping A'!$A$6:$G$1011,7,0)=1,$L407,""),0)</f>
        <v>0</v>
      </c>
      <c r="Q407" s="15">
        <f>_xlfn.IFNA(IF(VLOOKUP($J407&amp;Q$14,'Mapping A'!$A$6:$G$1011,7,0)=1,$L407,""),0)</f>
        <v>0</v>
      </c>
      <c r="R407" s="15">
        <f>_xlfn.IFNA(IF(VLOOKUP($J407&amp;R$14,'Mapping A'!$A$6:$G$1011,7,0)=1,$L407,""),0)</f>
        <v>0</v>
      </c>
      <c r="S407" s="15">
        <f>_xlfn.IFNA(IF(VLOOKUP($J407&amp;S$14,'Mapping A'!$A$6:$G$1011,7,0)=1,$L407,""),0)</f>
        <v>0</v>
      </c>
      <c r="T407" s="15">
        <f>_xlfn.IFNA(IF(VLOOKUP($J407&amp;T$14,'Mapping A'!$A$6:$G$1011,7,0)=1,$L407,""),0)</f>
        <v>0</v>
      </c>
      <c r="U407" s="15">
        <f>_xlfn.IFNA(IF(VLOOKUP($J407&amp;U$14,'Mapping A'!$A$6:$G$1011,7,0)=1,$L407,""),0)</f>
        <v>0</v>
      </c>
      <c r="V407" s="15">
        <f>_xlfn.IFNA(IF(VLOOKUP($J407&amp;V$14,'Mapping A'!$A$6:$G$1011,7,0)=1,$L407,""),0)</f>
        <v>0</v>
      </c>
      <c r="W407" s="15">
        <f>_xlfn.IFNA(IF(VLOOKUP($J407&amp;W$14,'Mapping A'!$A$6:$G$1011,7,0)=1,$L407,""),0)</f>
        <v>0</v>
      </c>
      <c r="X407" s="15">
        <f>_xlfn.IFNA(IF(VLOOKUP($J407&amp;X$14,'Mapping A'!$A$6:$G$1011,7,0)=1,$L407,""),0)</f>
        <v>0</v>
      </c>
      <c r="Y407" s="15">
        <f>_xlfn.IFNA(IF(VLOOKUP($J407&amp;Y$14,'Mapping A'!$A$6:$G$1011,7,0)=1,$L407,""),0)</f>
        <v>0</v>
      </c>
      <c r="Z407" s="15">
        <f>_xlfn.IFNA(IF(VLOOKUP($J407&amp;Z$14,'Mapping A'!$A$6:$G$1011,7,0)=1,$L407,""),0)</f>
        <v>0</v>
      </c>
      <c r="AA407" s="15">
        <f>_xlfn.IFNA(IF(VLOOKUP($J407&amp;AA$14,'Mapping A'!$A$6:$G$1011,7,0)=1,$L407,""),0)</f>
        <v>0</v>
      </c>
      <c r="AF407" s="155" t="str">
        <f t="shared" si="122"/>
        <v>PEN0251Kiwirail</v>
      </c>
      <c r="AG407" s="190" t="s">
        <v>299</v>
      </c>
      <c r="AH407" s="190" t="s">
        <v>51</v>
      </c>
      <c r="AI407" s="190">
        <f t="shared" si="128"/>
        <v>1.5266999999999999</v>
      </c>
      <c r="AJ407" s="292" t="s">
        <v>95</v>
      </c>
      <c r="AK407" s="15"/>
      <c r="AL407" s="15">
        <f t="shared" si="123"/>
        <v>0</v>
      </c>
      <c r="AM407" s="15"/>
      <c r="AN407" s="15">
        <f t="shared" ca="1" si="124"/>
        <v>0</v>
      </c>
      <c r="AO407" s="15">
        <f t="shared" si="125"/>
        <v>0</v>
      </c>
      <c r="AP407" s="15">
        <f t="shared" si="126"/>
        <v>0</v>
      </c>
      <c r="AQ407" s="15"/>
      <c r="AR407" s="190">
        <f t="shared" si="129"/>
        <v>0</v>
      </c>
      <c r="AS407" s="15"/>
      <c r="AT407" s="190">
        <f t="shared" si="130"/>
        <v>0</v>
      </c>
      <c r="AU407" s="190">
        <f t="shared" si="131"/>
        <v>0</v>
      </c>
      <c r="AV407" s="190">
        <f t="shared" si="132"/>
        <v>0</v>
      </c>
      <c r="AW407" s="190">
        <f t="shared" si="133"/>
        <v>0</v>
      </c>
      <c r="AX407" s="190">
        <f t="shared" si="134"/>
        <v>0</v>
      </c>
      <c r="BP407" s="190"/>
    </row>
    <row r="408" spans="2:68" x14ac:dyDescent="0.25">
      <c r="B408" s="98" t="s">
        <v>554</v>
      </c>
      <c r="C408" s="98">
        <v>2014</v>
      </c>
      <c r="D408" s="98" t="s">
        <v>317</v>
      </c>
      <c r="E408" s="98" t="s">
        <v>10</v>
      </c>
      <c r="F408" s="98" t="s">
        <v>136</v>
      </c>
      <c r="G408" s="98">
        <v>206550.00500000099</v>
      </c>
      <c r="H408" s="299" t="str">
        <f>VLOOKUP(LEFT('Rev Adequacy'!D408,3),'Mapping B'!$D$2:$E$400,2,0)</f>
        <v>N</v>
      </c>
      <c r="I408" s="190"/>
      <c r="J408" s="15" t="s">
        <v>300</v>
      </c>
      <c r="K408" s="190" t="s">
        <v>53</v>
      </c>
      <c r="L408" s="190">
        <f t="shared" si="127"/>
        <v>0</v>
      </c>
      <c r="M408" s="15"/>
      <c r="N408" s="15"/>
      <c r="O408" s="15">
        <f>_xlfn.IFNA(IF(VLOOKUP($J408&amp;O$14,'Mapping A'!$A$6:$G$1011,7,0)=1,$L408,""),0)</f>
        <v>0</v>
      </c>
      <c r="P408" s="15">
        <f>_xlfn.IFNA(IF(VLOOKUP($J408&amp;P$14,'Mapping A'!$A$6:$G$1011,7,0)=1,$L408,""),0)</f>
        <v>0</v>
      </c>
      <c r="Q408" s="15">
        <f>_xlfn.IFNA(IF(VLOOKUP($J408&amp;Q$14,'Mapping A'!$A$6:$G$1011,7,0)=1,$L408,""),0)</f>
        <v>0</v>
      </c>
      <c r="R408" s="15">
        <f>_xlfn.IFNA(IF(VLOOKUP($J408&amp;R$14,'Mapping A'!$A$6:$G$1011,7,0)=1,$L408,""),0)</f>
        <v>0</v>
      </c>
      <c r="S408" s="15">
        <f>_xlfn.IFNA(IF(VLOOKUP($J408&amp;S$14,'Mapping A'!$A$6:$G$1011,7,0)=1,$L408,""),0)</f>
        <v>0</v>
      </c>
      <c r="T408" s="15">
        <f>_xlfn.IFNA(IF(VLOOKUP($J408&amp;T$14,'Mapping A'!$A$6:$G$1011,7,0)=1,$L408,""),0)</f>
        <v>0</v>
      </c>
      <c r="U408" s="15">
        <f>_xlfn.IFNA(IF(VLOOKUP($J408&amp;U$14,'Mapping A'!$A$6:$G$1011,7,0)=1,$L408,""),0)</f>
        <v>0</v>
      </c>
      <c r="V408" s="15">
        <f>_xlfn.IFNA(IF(VLOOKUP($J408&amp;V$14,'Mapping A'!$A$6:$G$1011,7,0)=1,$L408,""),0)</f>
        <v>0</v>
      </c>
      <c r="W408" s="15">
        <f>_xlfn.IFNA(IF(VLOOKUP($J408&amp;W$14,'Mapping A'!$A$6:$G$1011,7,0)=1,$L408,""),0)</f>
        <v>0</v>
      </c>
      <c r="X408" s="15">
        <f>_xlfn.IFNA(IF(VLOOKUP($J408&amp;X$14,'Mapping A'!$A$6:$G$1011,7,0)=1,$L408,""),0)</f>
        <v>0</v>
      </c>
      <c r="Y408" s="15">
        <f>_xlfn.IFNA(IF(VLOOKUP($J408&amp;Y$14,'Mapping A'!$A$6:$G$1011,7,0)=1,$L408,""),0)</f>
        <v>0</v>
      </c>
      <c r="Z408" s="15">
        <f>_xlfn.IFNA(IF(VLOOKUP($J408&amp;Z$14,'Mapping A'!$A$6:$G$1011,7,0)=1,$L408,""),0)</f>
        <v>0</v>
      </c>
      <c r="AA408" s="15">
        <f>_xlfn.IFNA(IF(VLOOKUP($J408&amp;AA$14,'Mapping A'!$A$6:$G$1011,7,0)=1,$L408,""),0)</f>
        <v>0</v>
      </c>
      <c r="AF408" s="155" t="str">
        <f t="shared" si="122"/>
        <v>PEN0331Other</v>
      </c>
      <c r="AG408" s="190" t="s">
        <v>300</v>
      </c>
      <c r="AH408" s="190" t="s">
        <v>53</v>
      </c>
      <c r="AI408" s="190">
        <f t="shared" si="128"/>
        <v>0</v>
      </c>
      <c r="AJ408" s="292" t="s">
        <v>95</v>
      </c>
      <c r="AK408" s="15"/>
      <c r="AL408" s="15">
        <f t="shared" si="123"/>
        <v>0</v>
      </c>
      <c r="AM408" s="15"/>
      <c r="AN408" s="15">
        <f t="shared" ca="1" si="124"/>
        <v>0</v>
      </c>
      <c r="AO408" s="15">
        <f t="shared" si="125"/>
        <v>0</v>
      </c>
      <c r="AP408" s="15">
        <f t="shared" si="126"/>
        <v>0</v>
      </c>
      <c r="AQ408" s="15"/>
      <c r="AR408" s="190">
        <f t="shared" si="129"/>
        <v>0</v>
      </c>
      <c r="AS408" s="15"/>
      <c r="AT408" s="190">
        <f t="shared" si="130"/>
        <v>0</v>
      </c>
      <c r="AU408" s="190">
        <f t="shared" si="131"/>
        <v>0</v>
      </c>
      <c r="AV408" s="190">
        <f t="shared" si="132"/>
        <v>0</v>
      </c>
      <c r="AW408" s="190">
        <f t="shared" si="133"/>
        <v>0</v>
      </c>
      <c r="AX408" s="190">
        <f t="shared" si="134"/>
        <v>0</v>
      </c>
      <c r="BP408" s="190"/>
    </row>
    <row r="409" spans="2:68" x14ac:dyDescent="0.25">
      <c r="B409" s="98" t="s">
        <v>554</v>
      </c>
      <c r="C409" s="98">
        <v>2014</v>
      </c>
      <c r="D409" s="98" t="s">
        <v>340</v>
      </c>
      <c r="E409" s="98" t="s">
        <v>10</v>
      </c>
      <c r="F409" s="98" t="s">
        <v>136</v>
      </c>
      <c r="G409" s="98">
        <v>76264.232000000397</v>
      </c>
      <c r="H409" s="299" t="str">
        <f>VLOOKUP(LEFT('Rev Adequacy'!D409,3),'Mapping B'!$D$2:$E$400,2,0)</f>
        <v>S</v>
      </c>
      <c r="I409" s="190"/>
      <c r="J409" s="15" t="s">
        <v>300</v>
      </c>
      <c r="K409" s="190" t="s">
        <v>37</v>
      </c>
      <c r="L409" s="190">
        <f t="shared" si="127"/>
        <v>267.10740000000004</v>
      </c>
      <c r="M409" s="15"/>
      <c r="N409" s="15"/>
      <c r="O409" s="15">
        <f>_xlfn.IFNA(IF(VLOOKUP($J409&amp;O$14,'Mapping A'!$A$6:$G$1011,7,0)=1,$L409,""),0)</f>
        <v>0</v>
      </c>
      <c r="P409" s="15">
        <f>_xlfn.IFNA(IF(VLOOKUP($J409&amp;P$14,'Mapping A'!$A$6:$G$1011,7,0)=1,$L409,""),0)</f>
        <v>0</v>
      </c>
      <c r="Q409" s="15">
        <f>_xlfn.IFNA(IF(VLOOKUP($J409&amp;Q$14,'Mapping A'!$A$6:$G$1011,7,0)=1,$L409,""),0)</f>
        <v>0</v>
      </c>
      <c r="R409" s="15">
        <f>_xlfn.IFNA(IF(VLOOKUP($J409&amp;R$14,'Mapping A'!$A$6:$G$1011,7,0)=1,$L409,""),0)</f>
        <v>0</v>
      </c>
      <c r="S409" s="15">
        <f>_xlfn.IFNA(IF(VLOOKUP($J409&amp;S$14,'Mapping A'!$A$6:$G$1011,7,0)=1,$L409,""),0)</f>
        <v>0</v>
      </c>
      <c r="T409" s="15">
        <f>_xlfn.IFNA(IF(VLOOKUP($J409&amp;T$14,'Mapping A'!$A$6:$G$1011,7,0)=1,$L409,""),0)</f>
        <v>267.10740000000004</v>
      </c>
      <c r="U409" s="15">
        <f>_xlfn.IFNA(IF(VLOOKUP($J409&amp;U$14,'Mapping A'!$A$6:$G$1011,7,0)=1,$L409,""),0)</f>
        <v>0</v>
      </c>
      <c r="V409" s="15">
        <f>_xlfn.IFNA(IF(VLOOKUP($J409&amp;V$14,'Mapping A'!$A$6:$G$1011,7,0)=1,$L409,""),0)</f>
        <v>0</v>
      </c>
      <c r="W409" s="15">
        <f>_xlfn.IFNA(IF(VLOOKUP($J409&amp;W$14,'Mapping A'!$A$6:$G$1011,7,0)=1,$L409,""),0)</f>
        <v>0</v>
      </c>
      <c r="X409" s="15">
        <f>_xlfn.IFNA(IF(VLOOKUP($J409&amp;X$14,'Mapping A'!$A$6:$G$1011,7,0)=1,$L409,""),0)</f>
        <v>0</v>
      </c>
      <c r="Y409" s="15">
        <f>_xlfn.IFNA(IF(VLOOKUP($J409&amp;Y$14,'Mapping A'!$A$6:$G$1011,7,0)=1,$L409,""),0)</f>
        <v>0</v>
      </c>
      <c r="Z409" s="15">
        <f>_xlfn.IFNA(IF(VLOOKUP($J409&amp;Z$14,'Mapping A'!$A$6:$G$1011,7,0)=1,$L409,""),0)</f>
        <v>0</v>
      </c>
      <c r="AA409" s="15">
        <f>_xlfn.IFNA(IF(VLOOKUP($J409&amp;AA$14,'Mapping A'!$A$6:$G$1011,7,0)=1,$L409,""),0)</f>
        <v>0</v>
      </c>
      <c r="AF409" s="155" t="str">
        <f t="shared" si="122"/>
        <v>PEN0331Vector</v>
      </c>
      <c r="AG409" s="190" t="s">
        <v>300</v>
      </c>
      <c r="AH409" s="190" t="s">
        <v>37</v>
      </c>
      <c r="AI409" s="190">
        <f t="shared" si="128"/>
        <v>267.10740000000004</v>
      </c>
      <c r="AJ409" s="292" t="s">
        <v>95</v>
      </c>
      <c r="AK409" s="15"/>
      <c r="AL409" s="15">
        <f t="shared" si="123"/>
        <v>0</v>
      </c>
      <c r="AM409" s="15"/>
      <c r="AN409" s="15">
        <f t="shared" ca="1" si="124"/>
        <v>0</v>
      </c>
      <c r="AO409" s="15">
        <f t="shared" si="125"/>
        <v>0</v>
      </c>
      <c r="AP409" s="15">
        <f t="shared" si="126"/>
        <v>0</v>
      </c>
      <c r="AQ409" s="15"/>
      <c r="AR409" s="190">
        <f t="shared" si="129"/>
        <v>0</v>
      </c>
      <c r="AS409" s="15"/>
      <c r="AT409" s="190">
        <f t="shared" si="130"/>
        <v>0</v>
      </c>
      <c r="AU409" s="190">
        <f t="shared" si="131"/>
        <v>0</v>
      </c>
      <c r="AV409" s="190">
        <f t="shared" si="132"/>
        <v>0</v>
      </c>
      <c r="AW409" s="190">
        <f t="shared" si="133"/>
        <v>0</v>
      </c>
      <c r="AX409" s="190">
        <f t="shared" si="134"/>
        <v>0</v>
      </c>
      <c r="BP409" s="190"/>
    </row>
    <row r="410" spans="2:68" x14ac:dyDescent="0.25">
      <c r="B410" s="98" t="s">
        <v>554</v>
      </c>
      <c r="C410" s="98">
        <v>2014</v>
      </c>
      <c r="D410" s="98" t="s">
        <v>341</v>
      </c>
      <c r="E410" s="98" t="s">
        <v>10</v>
      </c>
      <c r="F410" s="98" t="s">
        <v>136</v>
      </c>
      <c r="G410" s="98">
        <v>0</v>
      </c>
      <c r="H410" s="299" t="str">
        <f>VLOOKUP(LEFT('Rev Adequacy'!D410,3),'Mapping B'!$D$2:$E$400,2,0)</f>
        <v>S</v>
      </c>
      <c r="I410" s="190"/>
      <c r="J410" s="15" t="s">
        <v>301</v>
      </c>
      <c r="K410" s="190" t="s">
        <v>37</v>
      </c>
      <c r="L410" s="190">
        <f t="shared" si="127"/>
        <v>200.09010000000001</v>
      </c>
      <c r="M410" s="15"/>
      <c r="N410" s="15"/>
      <c r="O410" s="15">
        <f>_xlfn.IFNA(IF(VLOOKUP($J410&amp;O$14,'Mapping A'!$A$6:$G$1011,7,0)=1,$L410,""),0)</f>
        <v>0</v>
      </c>
      <c r="P410" s="15">
        <f>_xlfn.IFNA(IF(VLOOKUP($J410&amp;P$14,'Mapping A'!$A$6:$G$1011,7,0)=1,$L410,""),0)</f>
        <v>0</v>
      </c>
      <c r="Q410" s="15">
        <f>_xlfn.IFNA(IF(VLOOKUP($J410&amp;Q$14,'Mapping A'!$A$6:$G$1011,7,0)=1,$L410,""),0)</f>
        <v>0</v>
      </c>
      <c r="R410" s="15">
        <f>_xlfn.IFNA(IF(VLOOKUP($J410&amp;R$14,'Mapping A'!$A$6:$G$1011,7,0)=1,$L410,""),0)</f>
        <v>0</v>
      </c>
      <c r="S410" s="15">
        <f>_xlfn.IFNA(IF(VLOOKUP($J410&amp;S$14,'Mapping A'!$A$6:$G$1011,7,0)=1,$L410,""),0)</f>
        <v>0</v>
      </c>
      <c r="T410" s="15">
        <f>_xlfn.IFNA(IF(VLOOKUP($J410&amp;T$14,'Mapping A'!$A$6:$G$1011,7,0)=1,$L410,""),0)</f>
        <v>200.09010000000001</v>
      </c>
      <c r="U410" s="15">
        <f>_xlfn.IFNA(IF(VLOOKUP($J410&amp;U$14,'Mapping A'!$A$6:$G$1011,7,0)=1,$L410,""),0)</f>
        <v>0</v>
      </c>
      <c r="V410" s="15">
        <f>_xlfn.IFNA(IF(VLOOKUP($J410&amp;V$14,'Mapping A'!$A$6:$G$1011,7,0)=1,$L410,""),0)</f>
        <v>0</v>
      </c>
      <c r="W410" s="15">
        <f>_xlfn.IFNA(IF(VLOOKUP($J410&amp;W$14,'Mapping A'!$A$6:$G$1011,7,0)=1,$L410,""),0)</f>
        <v>0</v>
      </c>
      <c r="X410" s="15">
        <f>_xlfn.IFNA(IF(VLOOKUP($J410&amp;X$14,'Mapping A'!$A$6:$G$1011,7,0)=1,$L410,""),0)</f>
        <v>0</v>
      </c>
      <c r="Y410" s="15">
        <f>_xlfn.IFNA(IF(VLOOKUP($J410&amp;Y$14,'Mapping A'!$A$6:$G$1011,7,0)=1,$L410,""),0)</f>
        <v>0</v>
      </c>
      <c r="Z410" s="15">
        <f>_xlfn.IFNA(IF(VLOOKUP($J410&amp;Z$14,'Mapping A'!$A$6:$G$1011,7,0)=1,$L410,""),0)</f>
        <v>0</v>
      </c>
      <c r="AA410" s="15">
        <f>_xlfn.IFNA(IF(VLOOKUP($J410&amp;AA$14,'Mapping A'!$A$6:$G$1011,7,0)=1,$L410,""),0)</f>
        <v>0</v>
      </c>
      <c r="AF410" s="155" t="str">
        <f t="shared" si="122"/>
        <v>PEN1101Vector</v>
      </c>
      <c r="AG410" s="190" t="s">
        <v>301</v>
      </c>
      <c r="AH410" s="190" t="s">
        <v>37</v>
      </c>
      <c r="AI410" s="190">
        <f t="shared" si="128"/>
        <v>200.09010000000001</v>
      </c>
      <c r="AJ410" s="292" t="s">
        <v>95</v>
      </c>
      <c r="AK410" s="15"/>
      <c r="AL410" s="15">
        <f t="shared" si="123"/>
        <v>0</v>
      </c>
      <c r="AM410" s="15"/>
      <c r="AN410" s="15">
        <f t="shared" ca="1" si="124"/>
        <v>0</v>
      </c>
      <c r="AO410" s="15">
        <f t="shared" si="125"/>
        <v>0</v>
      </c>
      <c r="AP410" s="15">
        <f t="shared" si="126"/>
        <v>0</v>
      </c>
      <c r="AQ410" s="15"/>
      <c r="AR410" s="190">
        <f t="shared" si="129"/>
        <v>0</v>
      </c>
      <c r="AS410" s="15"/>
      <c r="AT410" s="190">
        <f t="shared" si="130"/>
        <v>0</v>
      </c>
      <c r="AU410" s="190">
        <f t="shared" si="131"/>
        <v>0</v>
      </c>
      <c r="AV410" s="190">
        <f t="shared" si="132"/>
        <v>0</v>
      </c>
      <c r="AW410" s="190">
        <f t="shared" si="133"/>
        <v>0</v>
      </c>
      <c r="AX410" s="190">
        <f t="shared" si="134"/>
        <v>0</v>
      </c>
      <c r="BP410" s="190"/>
    </row>
    <row r="411" spans="2:68" x14ac:dyDescent="0.25">
      <c r="B411" s="98" t="s">
        <v>554</v>
      </c>
      <c r="C411" s="98">
        <v>2014</v>
      </c>
      <c r="D411" s="98" t="s">
        <v>344</v>
      </c>
      <c r="E411" s="98" t="s">
        <v>10</v>
      </c>
      <c r="F411" s="98" t="s">
        <v>131</v>
      </c>
      <c r="G411" s="98">
        <v>1237.59670243204</v>
      </c>
      <c r="H411" s="299" t="str">
        <f>VLOOKUP(LEFT('Rev Adequacy'!D411,3),'Mapping B'!$D$2:$E$400,2,0)</f>
        <v>N</v>
      </c>
      <c r="I411" s="190"/>
      <c r="J411" s="15" t="s">
        <v>302</v>
      </c>
      <c r="K411" s="190" t="s">
        <v>40</v>
      </c>
      <c r="L411" s="190">
        <f t="shared" si="127"/>
        <v>20.357400000000002</v>
      </c>
      <c r="M411" s="15"/>
      <c r="N411" s="15"/>
      <c r="O411" s="15">
        <f>_xlfn.IFNA(IF(VLOOKUP($J411&amp;O$14,'Mapping A'!$A$6:$G$1011,7,0)=1,$L411,""),0)</f>
        <v>0</v>
      </c>
      <c r="P411" s="15">
        <f>_xlfn.IFNA(IF(VLOOKUP($J411&amp;P$14,'Mapping A'!$A$6:$G$1011,7,0)=1,$L411,""),0)</f>
        <v>0</v>
      </c>
      <c r="Q411" s="15">
        <f>_xlfn.IFNA(IF(VLOOKUP($J411&amp;Q$14,'Mapping A'!$A$6:$G$1011,7,0)=1,$L411,""),0)</f>
        <v>0</v>
      </c>
      <c r="R411" s="15">
        <f>_xlfn.IFNA(IF(VLOOKUP($J411&amp;R$14,'Mapping A'!$A$6:$G$1011,7,0)=1,$L411,""),0)</f>
        <v>0</v>
      </c>
      <c r="S411" s="15">
        <f>_xlfn.IFNA(IF(VLOOKUP($J411&amp;S$14,'Mapping A'!$A$6:$G$1011,7,0)=1,$L411,""),0)</f>
        <v>0</v>
      </c>
      <c r="T411" s="15">
        <f>_xlfn.IFNA(IF(VLOOKUP($J411&amp;T$14,'Mapping A'!$A$6:$G$1011,7,0)=1,$L411,""),0)</f>
        <v>0</v>
      </c>
      <c r="U411" s="15">
        <f>_xlfn.IFNA(IF(VLOOKUP($J411&amp;U$14,'Mapping A'!$A$6:$G$1011,7,0)=1,$L411,""),0)</f>
        <v>0</v>
      </c>
      <c r="V411" s="15">
        <f>_xlfn.IFNA(IF(VLOOKUP($J411&amp;V$14,'Mapping A'!$A$6:$G$1011,7,0)=1,$L411,""),0)</f>
        <v>0</v>
      </c>
      <c r="W411" s="15">
        <f>_xlfn.IFNA(IF(VLOOKUP($J411&amp;W$14,'Mapping A'!$A$6:$G$1011,7,0)=1,$L411,""),0)</f>
        <v>0</v>
      </c>
      <c r="X411" s="15">
        <f>_xlfn.IFNA(IF(VLOOKUP($J411&amp;X$14,'Mapping A'!$A$6:$G$1011,7,0)=1,$L411,""),0)</f>
        <v>0</v>
      </c>
      <c r="Y411" s="15">
        <f>_xlfn.IFNA(IF(VLOOKUP($J411&amp;Y$14,'Mapping A'!$A$6:$G$1011,7,0)=1,$L411,""),0)</f>
        <v>0</v>
      </c>
      <c r="Z411" s="15">
        <f>_xlfn.IFNA(IF(VLOOKUP($J411&amp;Z$14,'Mapping A'!$A$6:$G$1011,7,0)=1,$L411,""),0)</f>
        <v>0</v>
      </c>
      <c r="AA411" s="15">
        <f>_xlfn.IFNA(IF(VLOOKUP($J411&amp;AA$14,'Mapping A'!$A$6:$G$1011,7,0)=1,$L411,""),0)</f>
        <v>0</v>
      </c>
      <c r="AF411" s="155" t="str">
        <f t="shared" si="122"/>
        <v>PNI0331Wellington Electricity</v>
      </c>
      <c r="AG411" s="190" t="s">
        <v>302</v>
      </c>
      <c r="AH411" s="190" t="s">
        <v>40</v>
      </c>
      <c r="AI411" s="190">
        <f t="shared" si="128"/>
        <v>20.357400000000002</v>
      </c>
      <c r="AJ411" s="292" t="s">
        <v>95</v>
      </c>
      <c r="AK411" s="15"/>
      <c r="AL411" s="15">
        <f t="shared" si="123"/>
        <v>0</v>
      </c>
      <c r="AM411" s="15"/>
      <c r="AN411" s="15">
        <f t="shared" ca="1" si="124"/>
        <v>0</v>
      </c>
      <c r="AO411" s="15">
        <f t="shared" si="125"/>
        <v>0</v>
      </c>
      <c r="AP411" s="15">
        <f t="shared" si="126"/>
        <v>0</v>
      </c>
      <c r="AQ411" s="15"/>
      <c r="AR411" s="190">
        <f t="shared" si="129"/>
        <v>0</v>
      </c>
      <c r="AS411" s="15"/>
      <c r="AT411" s="190">
        <f t="shared" si="130"/>
        <v>0</v>
      </c>
      <c r="AU411" s="190">
        <f t="shared" si="131"/>
        <v>0</v>
      </c>
      <c r="AV411" s="190">
        <f t="shared" si="132"/>
        <v>0</v>
      </c>
      <c r="AW411" s="190">
        <f t="shared" si="133"/>
        <v>0</v>
      </c>
      <c r="AX411" s="190">
        <f t="shared" si="134"/>
        <v>0</v>
      </c>
      <c r="BP411" s="190"/>
    </row>
    <row r="412" spans="2:68" x14ac:dyDescent="0.25">
      <c r="B412" s="98" t="s">
        <v>554</v>
      </c>
      <c r="C412" s="98">
        <v>2014</v>
      </c>
      <c r="D412" s="98" t="s">
        <v>345</v>
      </c>
      <c r="E412" s="98" t="s">
        <v>10</v>
      </c>
      <c r="F412" s="98" t="s">
        <v>136</v>
      </c>
      <c r="G412" s="98">
        <v>1320134.686</v>
      </c>
      <c r="H412" s="299" t="str">
        <f>VLOOKUP(LEFT('Rev Adequacy'!D412,3),'Mapping B'!$D$2:$E$400,2,0)</f>
        <v>N</v>
      </c>
      <c r="I412" s="190"/>
      <c r="J412" s="15" t="s">
        <v>303</v>
      </c>
      <c r="K412" s="190" t="s">
        <v>4</v>
      </c>
      <c r="L412" s="190">
        <f t="shared" si="127"/>
        <v>2.8140000000000001</v>
      </c>
      <c r="M412" s="15"/>
      <c r="N412" s="15"/>
      <c r="O412" s="15">
        <f>_xlfn.IFNA(IF(VLOOKUP($J412&amp;O$14,'Mapping A'!$A$6:$G$1011,7,0)=1,$L412,""),0)</f>
        <v>0</v>
      </c>
      <c r="P412" s="15">
        <f>_xlfn.IFNA(IF(VLOOKUP($J412&amp;P$14,'Mapping A'!$A$6:$G$1011,7,0)=1,$L412,""),0)</f>
        <v>0</v>
      </c>
      <c r="Q412" s="15">
        <f>_xlfn.IFNA(IF(VLOOKUP($J412&amp;Q$14,'Mapping A'!$A$6:$G$1011,7,0)=1,$L412,""),0)</f>
        <v>0</v>
      </c>
      <c r="R412" s="15">
        <f>_xlfn.IFNA(IF(VLOOKUP($J412&amp;R$14,'Mapping A'!$A$6:$G$1011,7,0)=1,$L412,""),0)</f>
        <v>0</v>
      </c>
      <c r="S412" s="15">
        <f>_xlfn.IFNA(IF(VLOOKUP($J412&amp;S$14,'Mapping A'!$A$6:$G$1011,7,0)=1,$L412,""),0)</f>
        <v>0</v>
      </c>
      <c r="T412" s="15">
        <f>_xlfn.IFNA(IF(VLOOKUP($J412&amp;T$14,'Mapping A'!$A$6:$G$1011,7,0)=1,$L412,""),0)</f>
        <v>2.8140000000000001</v>
      </c>
      <c r="U412" s="15">
        <f>_xlfn.IFNA(IF(VLOOKUP($J412&amp;U$14,'Mapping A'!$A$6:$G$1011,7,0)=1,$L412,""),0)</f>
        <v>0</v>
      </c>
      <c r="V412" s="15">
        <f>_xlfn.IFNA(IF(VLOOKUP($J412&amp;V$14,'Mapping A'!$A$6:$G$1011,7,0)=1,$L412,""),0)</f>
        <v>0</v>
      </c>
      <c r="W412" s="15">
        <f>_xlfn.IFNA(IF(VLOOKUP($J412&amp;W$14,'Mapping A'!$A$6:$G$1011,7,0)=1,$L412,""),0)</f>
        <v>0</v>
      </c>
      <c r="X412" s="15">
        <f>_xlfn.IFNA(IF(VLOOKUP($J412&amp;X$14,'Mapping A'!$A$6:$G$1011,7,0)=1,$L412,""),0)</f>
        <v>0</v>
      </c>
      <c r="Y412" s="15">
        <f>_xlfn.IFNA(IF(VLOOKUP($J412&amp;Y$14,'Mapping A'!$A$6:$G$1011,7,0)=1,$L412,""),0)</f>
        <v>0</v>
      </c>
      <c r="Z412" s="15">
        <f>_xlfn.IFNA(IF(VLOOKUP($J412&amp;Z$14,'Mapping A'!$A$6:$G$1011,7,0)=1,$L412,""),0)</f>
        <v>0</v>
      </c>
      <c r="AA412" s="15">
        <f>_xlfn.IFNA(IF(VLOOKUP($J412&amp;AA$14,'Mapping A'!$A$6:$G$1011,7,0)=1,$L412,""),0)</f>
        <v>0</v>
      </c>
      <c r="AF412" s="155" t="str">
        <f t="shared" si="122"/>
        <v>PPI2201Contact</v>
      </c>
      <c r="AG412" s="190" t="s">
        <v>303</v>
      </c>
      <c r="AH412" s="190" t="s">
        <v>4</v>
      </c>
      <c r="AI412" s="190">
        <f t="shared" si="128"/>
        <v>2.8140000000000001</v>
      </c>
      <c r="AJ412" s="292" t="s">
        <v>95</v>
      </c>
      <c r="AK412" s="15"/>
      <c r="AL412" s="15">
        <f t="shared" si="123"/>
        <v>0</v>
      </c>
      <c r="AM412" s="15"/>
      <c r="AN412" s="15">
        <f t="shared" ca="1" si="124"/>
        <v>0</v>
      </c>
      <c r="AO412" s="15">
        <f t="shared" si="125"/>
        <v>0</v>
      </c>
      <c r="AP412" s="15">
        <f t="shared" si="126"/>
        <v>0</v>
      </c>
      <c r="AQ412" s="15"/>
      <c r="AR412" s="190">
        <f t="shared" si="129"/>
        <v>0</v>
      </c>
      <c r="AS412" s="15"/>
      <c r="AT412" s="190">
        <f t="shared" si="130"/>
        <v>0</v>
      </c>
      <c r="AU412" s="190">
        <f t="shared" si="131"/>
        <v>0</v>
      </c>
      <c r="AV412" s="190">
        <f t="shared" si="132"/>
        <v>0</v>
      </c>
      <c r="AW412" s="190">
        <f t="shared" si="133"/>
        <v>0</v>
      </c>
      <c r="AX412" s="190">
        <f t="shared" si="134"/>
        <v>0</v>
      </c>
      <c r="BP412" s="190"/>
    </row>
    <row r="413" spans="2:68" x14ac:dyDescent="0.25">
      <c r="B413" s="98" t="s">
        <v>554</v>
      </c>
      <c r="C413" s="98">
        <v>2014</v>
      </c>
      <c r="D413" s="98" t="s">
        <v>353</v>
      </c>
      <c r="E413" s="98" t="s">
        <v>10</v>
      </c>
      <c r="F413" s="98" t="s">
        <v>131</v>
      </c>
      <c r="G413" s="98">
        <v>7.6104469405388397E-2</v>
      </c>
      <c r="H413" s="299" t="str">
        <f>VLOOKUP(LEFT('Rev Adequacy'!D413,3),'Mapping B'!$D$2:$E$400,2,0)</f>
        <v>N</v>
      </c>
      <c r="I413" s="190"/>
      <c r="J413" s="15" t="s">
        <v>305</v>
      </c>
      <c r="K413" s="190" t="s">
        <v>8</v>
      </c>
      <c r="L413" s="190">
        <f t="shared" si="127"/>
        <v>59.570699999999995</v>
      </c>
      <c r="M413" s="15"/>
      <c r="N413" s="15"/>
      <c r="O413" s="15">
        <f>_xlfn.IFNA(IF(VLOOKUP($J413&amp;O$14,'Mapping A'!$A$6:$G$1011,7,0)=1,$L413,""),0)</f>
        <v>0</v>
      </c>
      <c r="P413" s="15">
        <f>_xlfn.IFNA(IF(VLOOKUP($J413&amp;P$14,'Mapping A'!$A$6:$G$1011,7,0)=1,$L413,""),0)</f>
        <v>0</v>
      </c>
      <c r="Q413" s="15">
        <f>_xlfn.IFNA(IF(VLOOKUP($J413&amp;Q$14,'Mapping A'!$A$6:$G$1011,7,0)=1,$L413,""),0)</f>
        <v>0</v>
      </c>
      <c r="R413" s="15">
        <f>_xlfn.IFNA(IF(VLOOKUP($J413&amp;R$14,'Mapping A'!$A$6:$G$1011,7,0)=1,$L413,""),0)</f>
        <v>0</v>
      </c>
      <c r="S413" s="15">
        <f>_xlfn.IFNA(IF(VLOOKUP($J413&amp;S$14,'Mapping A'!$A$6:$G$1011,7,0)=1,$L413,""),0)</f>
        <v>0</v>
      </c>
      <c r="T413" s="15">
        <f>_xlfn.IFNA(IF(VLOOKUP($J413&amp;T$14,'Mapping A'!$A$6:$G$1011,7,0)=1,$L413,""),0)</f>
        <v>0</v>
      </c>
      <c r="U413" s="15">
        <f>_xlfn.IFNA(IF(VLOOKUP($J413&amp;U$14,'Mapping A'!$A$6:$G$1011,7,0)=1,$L413,""),0)</f>
        <v>0</v>
      </c>
      <c r="V413" s="15">
        <f>_xlfn.IFNA(IF(VLOOKUP($J413&amp;V$14,'Mapping A'!$A$6:$G$1011,7,0)=1,$L413,""),0)</f>
        <v>0</v>
      </c>
      <c r="W413" s="15">
        <f>_xlfn.IFNA(IF(VLOOKUP($J413&amp;W$14,'Mapping A'!$A$6:$G$1011,7,0)=1,$L413,""),0)</f>
        <v>0</v>
      </c>
      <c r="X413" s="15">
        <f>_xlfn.IFNA(IF(VLOOKUP($J413&amp;X$14,'Mapping A'!$A$6:$G$1011,7,0)=1,$L413,""),0)</f>
        <v>0</v>
      </c>
      <c r="Y413" s="15">
        <f>_xlfn.IFNA(IF(VLOOKUP($J413&amp;Y$14,'Mapping A'!$A$6:$G$1011,7,0)=1,$L413,""),0)</f>
        <v>0</v>
      </c>
      <c r="Z413" s="15">
        <f>_xlfn.IFNA(IF(VLOOKUP($J413&amp;Z$14,'Mapping A'!$A$6:$G$1011,7,0)=1,$L413,""),0)</f>
        <v>0</v>
      </c>
      <c r="AA413" s="15">
        <f>_xlfn.IFNA(IF(VLOOKUP($J413&amp;AA$14,'Mapping A'!$A$6:$G$1011,7,0)=1,$L413,""),0)</f>
        <v>0</v>
      </c>
      <c r="AF413" s="155" t="str">
        <f t="shared" ref="AF413:AF476" si="135">AG413&amp;AH413</f>
        <v>PRM0331Electra</v>
      </c>
      <c r="AG413" s="190" t="s">
        <v>305</v>
      </c>
      <c r="AH413" s="190" t="s">
        <v>8</v>
      </c>
      <c r="AI413" s="190">
        <f t="shared" si="128"/>
        <v>59.570699999999995</v>
      </c>
      <c r="AJ413" s="292" t="s">
        <v>95</v>
      </c>
      <c r="AK413" s="15"/>
      <c r="AL413" s="15">
        <f t="shared" si="123"/>
        <v>0</v>
      </c>
      <c r="AM413" s="15"/>
      <c r="AN413" s="15">
        <f t="shared" ca="1" si="124"/>
        <v>0</v>
      </c>
      <c r="AO413" s="15">
        <f t="shared" si="125"/>
        <v>0</v>
      </c>
      <c r="AP413" s="15">
        <f t="shared" si="126"/>
        <v>0</v>
      </c>
      <c r="AQ413" s="15"/>
      <c r="AR413" s="190">
        <f t="shared" si="129"/>
        <v>0</v>
      </c>
      <c r="AS413" s="15"/>
      <c r="AT413" s="190">
        <f t="shared" si="130"/>
        <v>0</v>
      </c>
      <c r="AU413" s="190">
        <f t="shared" si="131"/>
        <v>0</v>
      </c>
      <c r="AV413" s="190">
        <f t="shared" si="132"/>
        <v>0</v>
      </c>
      <c r="AW413" s="190">
        <f t="shared" si="133"/>
        <v>0</v>
      </c>
      <c r="AX413" s="190">
        <f t="shared" si="134"/>
        <v>0</v>
      </c>
      <c r="BP413" s="190"/>
    </row>
    <row r="414" spans="2:68" x14ac:dyDescent="0.25">
      <c r="B414" s="98" t="s">
        <v>554</v>
      </c>
      <c r="C414" s="98">
        <v>2014</v>
      </c>
      <c r="D414" s="98" t="s">
        <v>354</v>
      </c>
      <c r="E414" s="98" t="s">
        <v>10</v>
      </c>
      <c r="F414" s="98" t="s">
        <v>136</v>
      </c>
      <c r="G414" s="98">
        <v>131816.761999999</v>
      </c>
      <c r="H414" s="299" t="str">
        <f>VLOOKUP(LEFT('Rev Adequacy'!D414,3),'Mapping B'!$D$2:$E$400,2,0)</f>
        <v>N</v>
      </c>
      <c r="I414" s="190"/>
      <c r="J414" s="15" t="s">
        <v>306</v>
      </c>
      <c r="K414" s="190" t="s">
        <v>36</v>
      </c>
      <c r="L414" s="190">
        <f t="shared" si="127"/>
        <v>64.010099999999994</v>
      </c>
      <c r="M414" s="15"/>
      <c r="N414" s="15"/>
      <c r="O414" s="15">
        <f>_xlfn.IFNA(IF(VLOOKUP($J414&amp;O$14,'Mapping A'!$A$6:$G$1011,7,0)=1,$L414,""),0)</f>
        <v>0</v>
      </c>
      <c r="P414" s="15">
        <f>_xlfn.IFNA(IF(VLOOKUP($J414&amp;P$14,'Mapping A'!$A$6:$G$1011,7,0)=1,$L414,""),0)</f>
        <v>0</v>
      </c>
      <c r="Q414" s="15">
        <f>_xlfn.IFNA(IF(VLOOKUP($J414&amp;Q$14,'Mapping A'!$A$6:$G$1011,7,0)=1,$L414,""),0)</f>
        <v>0</v>
      </c>
      <c r="R414" s="15">
        <f>_xlfn.IFNA(IF(VLOOKUP($J414&amp;R$14,'Mapping A'!$A$6:$G$1011,7,0)=1,$L414,""),0)</f>
        <v>0</v>
      </c>
      <c r="S414" s="15">
        <f>_xlfn.IFNA(IF(VLOOKUP($J414&amp;S$14,'Mapping A'!$A$6:$G$1011,7,0)=1,$L414,""),0)</f>
        <v>0</v>
      </c>
      <c r="T414" s="15">
        <f>_xlfn.IFNA(IF(VLOOKUP($J414&amp;T$14,'Mapping A'!$A$6:$G$1011,7,0)=1,$L414,""),0)</f>
        <v>64.010099999999994</v>
      </c>
      <c r="U414" s="15">
        <f>_xlfn.IFNA(IF(VLOOKUP($J414&amp;U$14,'Mapping A'!$A$6:$G$1011,7,0)=1,$L414,""),0)</f>
        <v>0</v>
      </c>
      <c r="V414" s="15">
        <f>_xlfn.IFNA(IF(VLOOKUP($J414&amp;V$14,'Mapping A'!$A$6:$G$1011,7,0)=1,$L414,""),0)</f>
        <v>0</v>
      </c>
      <c r="W414" s="15">
        <f>_xlfn.IFNA(IF(VLOOKUP($J414&amp;W$14,'Mapping A'!$A$6:$G$1011,7,0)=1,$L414,""),0)</f>
        <v>0</v>
      </c>
      <c r="X414" s="15">
        <f>_xlfn.IFNA(IF(VLOOKUP($J414&amp;X$14,'Mapping A'!$A$6:$G$1011,7,0)=1,$L414,""),0)</f>
        <v>0</v>
      </c>
      <c r="Y414" s="15">
        <f>_xlfn.IFNA(IF(VLOOKUP($J414&amp;Y$14,'Mapping A'!$A$6:$G$1011,7,0)=1,$L414,""),0)</f>
        <v>0</v>
      </c>
      <c r="Z414" s="15">
        <f>_xlfn.IFNA(IF(VLOOKUP($J414&amp;Z$14,'Mapping A'!$A$6:$G$1011,7,0)=1,$L414,""),0)</f>
        <v>0</v>
      </c>
      <c r="AA414" s="15">
        <f>_xlfn.IFNA(IF(VLOOKUP($J414&amp;AA$14,'Mapping A'!$A$6:$G$1011,7,0)=1,$L414,""),0)</f>
        <v>0</v>
      </c>
      <c r="AF414" s="155" t="str">
        <f t="shared" si="135"/>
        <v>RDF0331Unison</v>
      </c>
      <c r="AG414" s="190" t="s">
        <v>306</v>
      </c>
      <c r="AH414" s="190" t="s">
        <v>36</v>
      </c>
      <c r="AI414" s="190">
        <f t="shared" si="128"/>
        <v>64.010099999999994</v>
      </c>
      <c r="AJ414" s="292" t="s">
        <v>95</v>
      </c>
      <c r="AK414" s="15"/>
      <c r="AL414" s="15">
        <f t="shared" si="123"/>
        <v>0</v>
      </c>
      <c r="AM414" s="15"/>
      <c r="AN414" s="15">
        <f t="shared" ca="1" si="124"/>
        <v>0</v>
      </c>
      <c r="AO414" s="15">
        <f t="shared" si="125"/>
        <v>0</v>
      </c>
      <c r="AP414" s="15">
        <f t="shared" si="126"/>
        <v>0</v>
      </c>
      <c r="AQ414" s="15"/>
      <c r="AR414" s="190">
        <f t="shared" si="129"/>
        <v>0</v>
      </c>
      <c r="AS414" s="15"/>
      <c r="AT414" s="190">
        <f t="shared" si="130"/>
        <v>0</v>
      </c>
      <c r="AU414" s="190">
        <f t="shared" si="131"/>
        <v>0</v>
      </c>
      <c r="AV414" s="190">
        <f t="shared" si="132"/>
        <v>0</v>
      </c>
      <c r="AW414" s="190">
        <f t="shared" si="133"/>
        <v>0</v>
      </c>
      <c r="AX414" s="190">
        <f t="shared" si="134"/>
        <v>0</v>
      </c>
      <c r="BP414" s="190"/>
    </row>
    <row r="415" spans="2:68" x14ac:dyDescent="0.25">
      <c r="B415" s="98" t="s">
        <v>554</v>
      </c>
      <c r="C415" s="98">
        <v>2014</v>
      </c>
      <c r="D415" s="98" t="s">
        <v>355</v>
      </c>
      <c r="E415" s="98" t="s">
        <v>10</v>
      </c>
      <c r="F415" s="98" t="s">
        <v>136</v>
      </c>
      <c r="G415" s="98">
        <v>175011.41699999999</v>
      </c>
      <c r="H415" s="299" t="str">
        <f>VLOOKUP(LEFT('Rev Adequacy'!D415,3),'Mapping B'!$D$2:$E$400,2,0)</f>
        <v>N</v>
      </c>
      <c r="I415" s="190"/>
      <c r="J415" s="15" t="s">
        <v>307</v>
      </c>
      <c r="K415" s="190" t="s">
        <v>41</v>
      </c>
      <c r="L415" s="190">
        <f t="shared" si="127"/>
        <v>9.1392000000000007</v>
      </c>
      <c r="M415" s="15"/>
      <c r="N415" s="15"/>
      <c r="O415" s="15">
        <f>_xlfn.IFNA(IF(VLOOKUP($J415&amp;O$14,'Mapping A'!$A$6:$G$1011,7,0)=1,$L415,""),0)</f>
        <v>0</v>
      </c>
      <c r="P415" s="15">
        <f>_xlfn.IFNA(IF(VLOOKUP($J415&amp;P$14,'Mapping A'!$A$6:$G$1011,7,0)=1,$L415,""),0)</f>
        <v>0</v>
      </c>
      <c r="Q415" s="15">
        <f>_xlfn.IFNA(IF(VLOOKUP($J415&amp;Q$14,'Mapping A'!$A$6:$G$1011,7,0)=1,$L415,""),0)</f>
        <v>9.1392000000000007</v>
      </c>
      <c r="R415" s="15">
        <f>_xlfn.IFNA(IF(VLOOKUP($J415&amp;R$14,'Mapping A'!$A$6:$G$1011,7,0)=1,$L415,""),0)</f>
        <v>0</v>
      </c>
      <c r="S415" s="15">
        <f>_xlfn.IFNA(IF(VLOOKUP($J415&amp;S$14,'Mapping A'!$A$6:$G$1011,7,0)=1,$L415,""),0)</f>
        <v>0</v>
      </c>
      <c r="T415" s="15">
        <f>_xlfn.IFNA(IF(VLOOKUP($J415&amp;T$14,'Mapping A'!$A$6:$G$1011,7,0)=1,$L415,""),0)</f>
        <v>0</v>
      </c>
      <c r="U415" s="15">
        <f>_xlfn.IFNA(IF(VLOOKUP($J415&amp;U$14,'Mapping A'!$A$6:$G$1011,7,0)=1,$L415,""),0)</f>
        <v>0</v>
      </c>
      <c r="V415" s="15">
        <f>_xlfn.IFNA(IF(VLOOKUP($J415&amp;V$14,'Mapping A'!$A$6:$G$1011,7,0)=1,$L415,""),0)</f>
        <v>0</v>
      </c>
      <c r="W415" s="15">
        <f>_xlfn.IFNA(IF(VLOOKUP($J415&amp;W$14,'Mapping A'!$A$6:$G$1011,7,0)=1,$L415,""),0)</f>
        <v>0</v>
      </c>
      <c r="X415" s="15">
        <f>_xlfn.IFNA(IF(VLOOKUP($J415&amp;X$14,'Mapping A'!$A$6:$G$1011,7,0)=1,$L415,""),0)</f>
        <v>0</v>
      </c>
      <c r="Y415" s="15">
        <f>_xlfn.IFNA(IF(VLOOKUP($J415&amp;Y$14,'Mapping A'!$A$6:$G$1011,7,0)=1,$L415,""),0)</f>
        <v>0</v>
      </c>
      <c r="Z415" s="15">
        <f>_xlfn.IFNA(IF(VLOOKUP($J415&amp;Z$14,'Mapping A'!$A$6:$G$1011,7,0)=1,$L415,""),0)</f>
        <v>0</v>
      </c>
      <c r="AA415" s="15">
        <f>_xlfn.IFNA(IF(VLOOKUP($J415&amp;AA$14,'Mapping A'!$A$6:$G$1011,7,0)=1,$L415,""),0)</f>
        <v>0</v>
      </c>
      <c r="AF415" s="155" t="str">
        <f t="shared" si="135"/>
        <v>RFN1101Westpower</v>
      </c>
      <c r="AG415" s="190" t="s">
        <v>307</v>
      </c>
      <c r="AH415" s="190" t="s">
        <v>41</v>
      </c>
      <c r="AI415" s="190">
        <f t="shared" si="128"/>
        <v>9.1392000000000007</v>
      </c>
      <c r="AJ415" s="292" t="s">
        <v>96</v>
      </c>
      <c r="AK415" s="15"/>
      <c r="AL415" s="15">
        <f t="shared" si="123"/>
        <v>0</v>
      </c>
      <c r="AM415" s="15"/>
      <c r="AN415" s="15">
        <f t="shared" ca="1" si="124"/>
        <v>0</v>
      </c>
      <c r="AO415" s="15">
        <f t="shared" si="125"/>
        <v>0</v>
      </c>
      <c r="AP415" s="15">
        <f t="shared" si="126"/>
        <v>0</v>
      </c>
      <c r="AQ415" s="15"/>
      <c r="AR415" s="190">
        <f t="shared" si="129"/>
        <v>0</v>
      </c>
      <c r="AS415" s="15"/>
      <c r="AT415" s="190">
        <f t="shared" si="130"/>
        <v>0</v>
      </c>
      <c r="AU415" s="190">
        <f t="shared" si="131"/>
        <v>0</v>
      </c>
      <c r="AV415" s="190">
        <f t="shared" si="132"/>
        <v>0</v>
      </c>
      <c r="AW415" s="190">
        <f t="shared" si="133"/>
        <v>0</v>
      </c>
      <c r="AX415" s="190">
        <f t="shared" si="134"/>
        <v>0</v>
      </c>
      <c r="BP415" s="190"/>
    </row>
    <row r="416" spans="2:68" x14ac:dyDescent="0.25">
      <c r="B416" s="98" t="s">
        <v>554</v>
      </c>
      <c r="C416" s="98">
        <v>2014</v>
      </c>
      <c r="D416" s="98" t="s">
        <v>356</v>
      </c>
      <c r="E416" s="98" t="s">
        <v>10</v>
      </c>
      <c r="F416" s="98" t="s">
        <v>136</v>
      </c>
      <c r="G416" s="98">
        <v>184072.13699999999</v>
      </c>
      <c r="H416" s="299" t="str">
        <f>VLOOKUP(LEFT('Rev Adequacy'!D416,3),'Mapping B'!$D$2:$E$400,2,0)</f>
        <v>N</v>
      </c>
      <c r="I416" s="190"/>
      <c r="J416" s="15" t="s">
        <v>308</v>
      </c>
      <c r="K416" s="190" t="s">
        <v>41</v>
      </c>
      <c r="L416" s="190">
        <f t="shared" si="127"/>
        <v>10.2354</v>
      </c>
      <c r="M416" s="15"/>
      <c r="N416" s="15"/>
      <c r="O416" s="15">
        <f>_xlfn.IFNA(IF(VLOOKUP($J416&amp;O$14,'Mapping A'!$A$6:$G$1011,7,0)=1,$L416,""),0)</f>
        <v>0</v>
      </c>
      <c r="P416" s="15">
        <f>_xlfn.IFNA(IF(VLOOKUP($J416&amp;P$14,'Mapping A'!$A$6:$G$1011,7,0)=1,$L416,""),0)</f>
        <v>0</v>
      </c>
      <c r="Q416" s="15">
        <f>_xlfn.IFNA(IF(VLOOKUP($J416&amp;Q$14,'Mapping A'!$A$6:$G$1011,7,0)=1,$L416,""),0)</f>
        <v>10.2354</v>
      </c>
      <c r="R416" s="15">
        <f>_xlfn.IFNA(IF(VLOOKUP($J416&amp;R$14,'Mapping A'!$A$6:$G$1011,7,0)=1,$L416,""),0)</f>
        <v>0</v>
      </c>
      <c r="S416" s="15">
        <f>_xlfn.IFNA(IF(VLOOKUP($J416&amp;S$14,'Mapping A'!$A$6:$G$1011,7,0)=1,$L416,""),0)</f>
        <v>0</v>
      </c>
      <c r="T416" s="15">
        <f>_xlfn.IFNA(IF(VLOOKUP($J416&amp;T$14,'Mapping A'!$A$6:$G$1011,7,0)=1,$L416,""),0)</f>
        <v>0</v>
      </c>
      <c r="U416" s="15">
        <f>_xlfn.IFNA(IF(VLOOKUP($J416&amp;U$14,'Mapping A'!$A$6:$G$1011,7,0)=1,$L416,""),0)</f>
        <v>0</v>
      </c>
      <c r="V416" s="15">
        <f>_xlfn.IFNA(IF(VLOOKUP($J416&amp;V$14,'Mapping A'!$A$6:$G$1011,7,0)=1,$L416,""),0)</f>
        <v>0</v>
      </c>
      <c r="W416" s="15">
        <f>_xlfn.IFNA(IF(VLOOKUP($J416&amp;W$14,'Mapping A'!$A$6:$G$1011,7,0)=1,$L416,""),0)</f>
        <v>0</v>
      </c>
      <c r="X416" s="15">
        <f>_xlfn.IFNA(IF(VLOOKUP($J416&amp;X$14,'Mapping A'!$A$6:$G$1011,7,0)=1,$L416,""),0)</f>
        <v>0</v>
      </c>
      <c r="Y416" s="15">
        <f>_xlfn.IFNA(IF(VLOOKUP($J416&amp;Y$14,'Mapping A'!$A$6:$G$1011,7,0)=1,$L416,""),0)</f>
        <v>0</v>
      </c>
      <c r="Z416" s="15">
        <f>_xlfn.IFNA(IF(VLOOKUP($J416&amp;Z$14,'Mapping A'!$A$6:$G$1011,7,0)=1,$L416,""),0)</f>
        <v>0</v>
      </c>
      <c r="AA416" s="15">
        <f>_xlfn.IFNA(IF(VLOOKUP($J416&amp;AA$14,'Mapping A'!$A$6:$G$1011,7,0)=1,$L416,""),0)</f>
        <v>0</v>
      </c>
      <c r="AF416" s="155" t="str">
        <f t="shared" si="135"/>
        <v>RFN1102Westpower</v>
      </c>
      <c r="AG416" s="190" t="s">
        <v>308</v>
      </c>
      <c r="AH416" s="190" t="s">
        <v>41</v>
      </c>
      <c r="AI416" s="190">
        <f t="shared" si="128"/>
        <v>10.2354</v>
      </c>
      <c r="AJ416" s="292" t="s">
        <v>96</v>
      </c>
      <c r="AK416" s="15"/>
      <c r="AL416" s="15">
        <f t="shared" si="123"/>
        <v>0</v>
      </c>
      <c r="AM416" s="15"/>
      <c r="AN416" s="15">
        <f t="shared" ca="1" si="124"/>
        <v>0</v>
      </c>
      <c r="AO416" s="15">
        <f t="shared" si="125"/>
        <v>0</v>
      </c>
      <c r="AP416" s="15">
        <f t="shared" si="126"/>
        <v>0</v>
      </c>
      <c r="AQ416" s="15"/>
      <c r="AR416" s="190">
        <f t="shared" si="129"/>
        <v>0</v>
      </c>
      <c r="AS416" s="15"/>
      <c r="AT416" s="190">
        <f t="shared" si="130"/>
        <v>0</v>
      </c>
      <c r="AU416" s="190">
        <f t="shared" si="131"/>
        <v>0</v>
      </c>
      <c r="AV416" s="190">
        <f t="shared" si="132"/>
        <v>0</v>
      </c>
      <c r="AW416" s="190">
        <f t="shared" si="133"/>
        <v>0</v>
      </c>
      <c r="AX416" s="190">
        <f t="shared" si="134"/>
        <v>0</v>
      </c>
      <c r="BP416" s="190"/>
    </row>
    <row r="417" spans="2:68" x14ac:dyDescent="0.25">
      <c r="B417" s="98" t="s">
        <v>563</v>
      </c>
      <c r="C417" s="98">
        <v>2014</v>
      </c>
      <c r="D417" s="98" t="s">
        <v>202</v>
      </c>
      <c r="E417" s="98" t="s">
        <v>10</v>
      </c>
      <c r="F417" s="98" t="s">
        <v>136</v>
      </c>
      <c r="G417" s="98">
        <v>0</v>
      </c>
      <c r="H417" s="299" t="str">
        <f>VLOOKUP(LEFT('Rev Adequacy'!D417,3),'Mapping B'!$D$2:$E$400,2,0)</f>
        <v>N</v>
      </c>
      <c r="I417" s="190"/>
      <c r="J417" s="15" t="s">
        <v>309</v>
      </c>
      <c r="K417" s="190" t="s">
        <v>37</v>
      </c>
      <c r="L417" s="190">
        <f t="shared" si="127"/>
        <v>127.68210000000001</v>
      </c>
      <c r="M417" s="15"/>
      <c r="N417" s="15"/>
      <c r="O417" s="15">
        <f>_xlfn.IFNA(IF(VLOOKUP($J417&amp;O$14,'Mapping A'!$A$6:$G$1011,7,0)=1,$L417,""),0)</f>
        <v>0</v>
      </c>
      <c r="P417" s="15">
        <f>_xlfn.IFNA(IF(VLOOKUP($J417&amp;P$14,'Mapping A'!$A$6:$G$1011,7,0)=1,$L417,""),0)</f>
        <v>0</v>
      </c>
      <c r="Q417" s="15">
        <f>_xlfn.IFNA(IF(VLOOKUP($J417&amp;Q$14,'Mapping A'!$A$6:$G$1011,7,0)=1,$L417,""),0)</f>
        <v>0</v>
      </c>
      <c r="R417" s="15">
        <f>_xlfn.IFNA(IF(VLOOKUP($J417&amp;R$14,'Mapping A'!$A$6:$G$1011,7,0)=1,$L417,""),0)</f>
        <v>0</v>
      </c>
      <c r="S417" s="15">
        <f>_xlfn.IFNA(IF(VLOOKUP($J417&amp;S$14,'Mapping A'!$A$6:$G$1011,7,0)=1,$L417,""),0)</f>
        <v>0</v>
      </c>
      <c r="T417" s="15">
        <f>_xlfn.IFNA(IF(VLOOKUP($J417&amp;T$14,'Mapping A'!$A$6:$G$1011,7,0)=1,$L417,""),0)</f>
        <v>127.68210000000001</v>
      </c>
      <c r="U417" s="15">
        <f>_xlfn.IFNA(IF(VLOOKUP($J417&amp;U$14,'Mapping A'!$A$6:$G$1011,7,0)=1,$L417,""),0)</f>
        <v>0</v>
      </c>
      <c r="V417" s="15">
        <f>_xlfn.IFNA(IF(VLOOKUP($J417&amp;V$14,'Mapping A'!$A$6:$G$1011,7,0)=1,$L417,""),0)</f>
        <v>0</v>
      </c>
      <c r="W417" s="15">
        <f>_xlfn.IFNA(IF(VLOOKUP($J417&amp;W$14,'Mapping A'!$A$6:$G$1011,7,0)=1,$L417,""),0)</f>
        <v>0</v>
      </c>
      <c r="X417" s="15">
        <f>_xlfn.IFNA(IF(VLOOKUP($J417&amp;X$14,'Mapping A'!$A$6:$G$1011,7,0)=1,$L417,""),0)</f>
        <v>0</v>
      </c>
      <c r="Y417" s="15">
        <f>_xlfn.IFNA(IF(VLOOKUP($J417&amp;Y$14,'Mapping A'!$A$6:$G$1011,7,0)=1,$L417,""),0)</f>
        <v>0</v>
      </c>
      <c r="Z417" s="15">
        <f>_xlfn.IFNA(IF(VLOOKUP($J417&amp;Z$14,'Mapping A'!$A$6:$G$1011,7,0)=1,$L417,""),0)</f>
        <v>0</v>
      </c>
      <c r="AA417" s="15">
        <f>_xlfn.IFNA(IF(VLOOKUP($J417&amp;AA$14,'Mapping A'!$A$6:$G$1011,7,0)=1,$L417,""),0)</f>
        <v>0</v>
      </c>
      <c r="AF417" s="155" t="str">
        <f t="shared" si="135"/>
        <v>ROS0221Vector</v>
      </c>
      <c r="AG417" s="190" t="s">
        <v>309</v>
      </c>
      <c r="AH417" s="190" t="s">
        <v>37</v>
      </c>
      <c r="AI417" s="190">
        <f t="shared" si="128"/>
        <v>127.68210000000001</v>
      </c>
      <c r="AJ417" s="292" t="s">
        <v>95</v>
      </c>
      <c r="AK417" s="15"/>
      <c r="AL417" s="15">
        <f t="shared" si="123"/>
        <v>0</v>
      </c>
      <c r="AM417" s="15"/>
      <c r="AN417" s="15">
        <f t="shared" ca="1" si="124"/>
        <v>0</v>
      </c>
      <c r="AO417" s="15">
        <f t="shared" si="125"/>
        <v>0</v>
      </c>
      <c r="AP417" s="15">
        <f t="shared" si="126"/>
        <v>0</v>
      </c>
      <c r="AQ417" s="15"/>
      <c r="AR417" s="190">
        <f t="shared" si="129"/>
        <v>0</v>
      </c>
      <c r="AS417" s="15"/>
      <c r="AT417" s="190">
        <f t="shared" si="130"/>
        <v>0</v>
      </c>
      <c r="AU417" s="190">
        <f t="shared" si="131"/>
        <v>0</v>
      </c>
      <c r="AV417" s="190">
        <f t="shared" si="132"/>
        <v>0</v>
      </c>
      <c r="AW417" s="190">
        <f t="shared" si="133"/>
        <v>0</v>
      </c>
      <c r="AX417" s="190">
        <f t="shared" si="134"/>
        <v>0</v>
      </c>
      <c r="BP417" s="190"/>
    </row>
    <row r="418" spans="2:68" x14ac:dyDescent="0.25">
      <c r="B418" s="98" t="s">
        <v>563</v>
      </c>
      <c r="C418" s="98">
        <v>2014</v>
      </c>
      <c r="D418" s="98" t="s">
        <v>203</v>
      </c>
      <c r="E418" s="98" t="s">
        <v>10</v>
      </c>
      <c r="F418" s="98" t="s">
        <v>136</v>
      </c>
      <c r="G418" s="98">
        <v>0</v>
      </c>
      <c r="H418" s="299" t="str">
        <f>VLOOKUP(LEFT('Rev Adequacy'!D418,3),'Mapping B'!$D$2:$E$400,2,0)</f>
        <v>N</v>
      </c>
      <c r="I418" s="190"/>
      <c r="J418" s="15" t="s">
        <v>310</v>
      </c>
      <c r="K418" s="190" t="s">
        <v>37</v>
      </c>
      <c r="L418" s="190">
        <f t="shared" si="127"/>
        <v>149.40450000000001</v>
      </c>
      <c r="M418" s="15"/>
      <c r="N418" s="15"/>
      <c r="O418" s="15">
        <f>_xlfn.IFNA(IF(VLOOKUP($J418&amp;O$14,'Mapping A'!$A$6:$G$1011,7,0)=1,$L418,""),0)</f>
        <v>0</v>
      </c>
      <c r="P418" s="15">
        <f>_xlfn.IFNA(IF(VLOOKUP($J418&amp;P$14,'Mapping A'!$A$6:$G$1011,7,0)=1,$L418,""),0)</f>
        <v>0</v>
      </c>
      <c r="Q418" s="15">
        <f>_xlfn.IFNA(IF(VLOOKUP($J418&amp;Q$14,'Mapping A'!$A$6:$G$1011,7,0)=1,$L418,""),0)</f>
        <v>0</v>
      </c>
      <c r="R418" s="15">
        <f>_xlfn.IFNA(IF(VLOOKUP($J418&amp;R$14,'Mapping A'!$A$6:$G$1011,7,0)=1,$L418,""),0)</f>
        <v>0</v>
      </c>
      <c r="S418" s="15">
        <f>_xlfn.IFNA(IF(VLOOKUP($J418&amp;S$14,'Mapping A'!$A$6:$G$1011,7,0)=1,$L418,""),0)</f>
        <v>0</v>
      </c>
      <c r="T418" s="15">
        <f>_xlfn.IFNA(IF(VLOOKUP($J418&amp;T$14,'Mapping A'!$A$6:$G$1011,7,0)=1,$L418,""),0)</f>
        <v>149.40450000000001</v>
      </c>
      <c r="U418" s="15">
        <f>_xlfn.IFNA(IF(VLOOKUP($J418&amp;U$14,'Mapping A'!$A$6:$G$1011,7,0)=1,$L418,""),0)</f>
        <v>0</v>
      </c>
      <c r="V418" s="15">
        <f>_xlfn.IFNA(IF(VLOOKUP($J418&amp;V$14,'Mapping A'!$A$6:$G$1011,7,0)=1,$L418,""),0)</f>
        <v>0</v>
      </c>
      <c r="W418" s="15">
        <f>_xlfn.IFNA(IF(VLOOKUP($J418&amp;W$14,'Mapping A'!$A$6:$G$1011,7,0)=1,$L418,""),0)</f>
        <v>0</v>
      </c>
      <c r="X418" s="15">
        <f>_xlfn.IFNA(IF(VLOOKUP($J418&amp;X$14,'Mapping A'!$A$6:$G$1011,7,0)=1,$L418,""),0)</f>
        <v>0</v>
      </c>
      <c r="Y418" s="15">
        <f>_xlfn.IFNA(IF(VLOOKUP($J418&amp;Y$14,'Mapping A'!$A$6:$G$1011,7,0)=1,$L418,""),0)</f>
        <v>0</v>
      </c>
      <c r="Z418" s="15">
        <f>_xlfn.IFNA(IF(VLOOKUP($J418&amp;Z$14,'Mapping A'!$A$6:$G$1011,7,0)=1,$L418,""),0)</f>
        <v>0</v>
      </c>
      <c r="AA418" s="15">
        <f>_xlfn.IFNA(IF(VLOOKUP($J418&amp;AA$14,'Mapping A'!$A$6:$G$1011,7,0)=1,$L418,""),0)</f>
        <v>0</v>
      </c>
      <c r="AF418" s="155" t="str">
        <f t="shared" si="135"/>
        <v>ROS1101Vector</v>
      </c>
      <c r="AG418" s="190" t="s">
        <v>310</v>
      </c>
      <c r="AH418" s="190" t="s">
        <v>37</v>
      </c>
      <c r="AI418" s="190">
        <f t="shared" si="128"/>
        <v>149.40450000000001</v>
      </c>
      <c r="AJ418" s="292" t="s">
        <v>95</v>
      </c>
      <c r="AK418" s="15"/>
      <c r="AL418" s="15">
        <f t="shared" si="123"/>
        <v>0</v>
      </c>
      <c r="AM418" s="15"/>
      <c r="AN418" s="15">
        <f t="shared" ca="1" si="124"/>
        <v>0</v>
      </c>
      <c r="AO418" s="15">
        <f t="shared" si="125"/>
        <v>0</v>
      </c>
      <c r="AP418" s="15">
        <f t="shared" si="126"/>
        <v>0</v>
      </c>
      <c r="AQ418" s="15"/>
      <c r="AR418" s="190">
        <f t="shared" si="129"/>
        <v>0</v>
      </c>
      <c r="AS418" s="15"/>
      <c r="AT418" s="190">
        <f t="shared" si="130"/>
        <v>0</v>
      </c>
      <c r="AU418" s="190">
        <f t="shared" si="131"/>
        <v>0</v>
      </c>
      <c r="AV418" s="190">
        <f t="shared" si="132"/>
        <v>0</v>
      </c>
      <c r="AW418" s="190">
        <f t="shared" si="133"/>
        <v>0</v>
      </c>
      <c r="AX418" s="190">
        <f t="shared" si="134"/>
        <v>0</v>
      </c>
      <c r="BP418" s="190"/>
    </row>
    <row r="419" spans="2:68" x14ac:dyDescent="0.25">
      <c r="B419" s="98" t="s">
        <v>563</v>
      </c>
      <c r="C419" s="98">
        <v>2014</v>
      </c>
      <c r="D419" s="98" t="s">
        <v>204</v>
      </c>
      <c r="E419" s="98" t="s">
        <v>10</v>
      </c>
      <c r="F419" s="98" t="s">
        <v>136</v>
      </c>
      <c r="G419" s="98">
        <v>0</v>
      </c>
      <c r="H419" s="299" t="str">
        <f>VLOOKUP(LEFT('Rev Adequacy'!D419,3),'Mapping B'!$D$2:$E$400,2,0)</f>
        <v>N</v>
      </c>
      <c r="I419" s="190"/>
      <c r="J419" s="15" t="s">
        <v>311</v>
      </c>
      <c r="K419" s="190" t="s">
        <v>36</v>
      </c>
      <c r="L419" s="190">
        <f t="shared" si="127"/>
        <v>29.420999999999999</v>
      </c>
      <c r="M419" s="15"/>
      <c r="N419" s="15"/>
      <c r="O419" s="15">
        <f>_xlfn.IFNA(IF(VLOOKUP($J419&amp;O$14,'Mapping A'!$A$6:$G$1011,7,0)=1,$L419,""),0)</f>
        <v>0</v>
      </c>
      <c r="P419" s="15">
        <f>_xlfn.IFNA(IF(VLOOKUP($J419&amp;P$14,'Mapping A'!$A$6:$G$1011,7,0)=1,$L419,""),0)</f>
        <v>0</v>
      </c>
      <c r="Q419" s="15">
        <f>_xlfn.IFNA(IF(VLOOKUP($J419&amp;Q$14,'Mapping A'!$A$6:$G$1011,7,0)=1,$L419,""),0)</f>
        <v>0</v>
      </c>
      <c r="R419" s="15">
        <f>_xlfn.IFNA(IF(VLOOKUP($J419&amp;R$14,'Mapping A'!$A$6:$G$1011,7,0)=1,$L419,""),0)</f>
        <v>0</v>
      </c>
      <c r="S419" s="15">
        <f>_xlfn.IFNA(IF(VLOOKUP($J419&amp;S$14,'Mapping A'!$A$6:$G$1011,7,0)=1,$L419,""),0)</f>
        <v>0</v>
      </c>
      <c r="T419" s="15">
        <f>_xlfn.IFNA(IF(VLOOKUP($J419&amp;T$14,'Mapping A'!$A$6:$G$1011,7,0)=1,$L419,""),0)</f>
        <v>29.420999999999999</v>
      </c>
      <c r="U419" s="15">
        <f>_xlfn.IFNA(IF(VLOOKUP($J419&amp;U$14,'Mapping A'!$A$6:$G$1011,7,0)=1,$L419,""),0)</f>
        <v>0</v>
      </c>
      <c r="V419" s="15">
        <f>_xlfn.IFNA(IF(VLOOKUP($J419&amp;V$14,'Mapping A'!$A$6:$G$1011,7,0)=1,$L419,""),0)</f>
        <v>0</v>
      </c>
      <c r="W419" s="15">
        <f>_xlfn.IFNA(IF(VLOOKUP($J419&amp;W$14,'Mapping A'!$A$6:$G$1011,7,0)=1,$L419,""),0)</f>
        <v>0</v>
      </c>
      <c r="X419" s="15">
        <f>_xlfn.IFNA(IF(VLOOKUP($J419&amp;X$14,'Mapping A'!$A$6:$G$1011,7,0)=1,$L419,""),0)</f>
        <v>0</v>
      </c>
      <c r="Y419" s="15">
        <f>_xlfn.IFNA(IF(VLOOKUP($J419&amp;Y$14,'Mapping A'!$A$6:$G$1011,7,0)=1,$L419,""),0)</f>
        <v>0</v>
      </c>
      <c r="Z419" s="15">
        <f>_xlfn.IFNA(IF(VLOOKUP($J419&amp;Z$14,'Mapping A'!$A$6:$G$1011,7,0)=1,$L419,""),0)</f>
        <v>0</v>
      </c>
      <c r="AA419" s="15">
        <f>_xlfn.IFNA(IF(VLOOKUP($J419&amp;AA$14,'Mapping A'!$A$6:$G$1011,7,0)=1,$L419,""),0)</f>
        <v>0</v>
      </c>
      <c r="AF419" s="155" t="str">
        <f t="shared" si="135"/>
        <v>ROT0111Unison</v>
      </c>
      <c r="AG419" s="190" t="s">
        <v>311</v>
      </c>
      <c r="AH419" s="190" t="s">
        <v>36</v>
      </c>
      <c r="AI419" s="190">
        <f t="shared" si="128"/>
        <v>29.420999999999999</v>
      </c>
      <c r="AJ419" s="292" t="s">
        <v>95</v>
      </c>
      <c r="AK419" s="15"/>
      <c r="AL419" s="15">
        <f t="shared" si="123"/>
        <v>0</v>
      </c>
      <c r="AM419" s="15"/>
      <c r="AN419" s="15">
        <f t="shared" ca="1" si="124"/>
        <v>0</v>
      </c>
      <c r="AO419" s="15">
        <f t="shared" si="125"/>
        <v>0</v>
      </c>
      <c r="AP419" s="15">
        <f t="shared" si="126"/>
        <v>0</v>
      </c>
      <c r="AQ419" s="15"/>
      <c r="AR419" s="190">
        <f t="shared" si="129"/>
        <v>0</v>
      </c>
      <c r="AS419" s="15"/>
      <c r="AT419" s="190">
        <f t="shared" si="130"/>
        <v>0</v>
      </c>
      <c r="AU419" s="190">
        <f t="shared" si="131"/>
        <v>0</v>
      </c>
      <c r="AV419" s="190">
        <f t="shared" si="132"/>
        <v>0</v>
      </c>
      <c r="AW419" s="190">
        <f t="shared" si="133"/>
        <v>0</v>
      </c>
      <c r="AX419" s="190">
        <f t="shared" si="134"/>
        <v>0</v>
      </c>
      <c r="BP419" s="190"/>
    </row>
    <row r="420" spans="2:68" x14ac:dyDescent="0.25">
      <c r="B420" s="98" t="s">
        <v>563</v>
      </c>
      <c r="C420" s="98">
        <v>2014</v>
      </c>
      <c r="D420" s="98" t="s">
        <v>205</v>
      </c>
      <c r="E420" s="98" t="s">
        <v>10</v>
      </c>
      <c r="F420" s="98" t="s">
        <v>136</v>
      </c>
      <c r="G420" s="98">
        <v>0</v>
      </c>
      <c r="H420" s="299" t="str">
        <f>VLOOKUP(LEFT('Rev Adequacy'!D420,3),'Mapping B'!$D$2:$E$400,2,0)</f>
        <v>N</v>
      </c>
      <c r="I420" s="190"/>
      <c r="J420" s="15" t="s">
        <v>312</v>
      </c>
      <c r="K420" s="190" t="s">
        <v>36</v>
      </c>
      <c r="L420" s="190">
        <f t="shared" si="127"/>
        <v>44.011800000000001</v>
      </c>
      <c r="M420" s="15"/>
      <c r="N420" s="15"/>
      <c r="O420" s="15">
        <f>_xlfn.IFNA(IF(VLOOKUP($J420&amp;O$14,'Mapping A'!$A$6:$G$1011,7,0)=1,$L420,""),0)</f>
        <v>0</v>
      </c>
      <c r="P420" s="15">
        <f>_xlfn.IFNA(IF(VLOOKUP($J420&amp;P$14,'Mapping A'!$A$6:$G$1011,7,0)=1,$L420,""),0)</f>
        <v>0</v>
      </c>
      <c r="Q420" s="15">
        <f>_xlfn.IFNA(IF(VLOOKUP($J420&amp;Q$14,'Mapping A'!$A$6:$G$1011,7,0)=1,$L420,""),0)</f>
        <v>0</v>
      </c>
      <c r="R420" s="15">
        <f>_xlfn.IFNA(IF(VLOOKUP($J420&amp;R$14,'Mapping A'!$A$6:$G$1011,7,0)=1,$L420,""),0)</f>
        <v>0</v>
      </c>
      <c r="S420" s="15">
        <f>_xlfn.IFNA(IF(VLOOKUP($J420&amp;S$14,'Mapping A'!$A$6:$G$1011,7,0)=1,$L420,""),0)</f>
        <v>0</v>
      </c>
      <c r="T420" s="15">
        <f>_xlfn.IFNA(IF(VLOOKUP($J420&amp;T$14,'Mapping A'!$A$6:$G$1011,7,0)=1,$L420,""),0)</f>
        <v>44.011800000000001</v>
      </c>
      <c r="U420" s="15">
        <f>_xlfn.IFNA(IF(VLOOKUP($J420&amp;U$14,'Mapping A'!$A$6:$G$1011,7,0)=1,$L420,""),0)</f>
        <v>0</v>
      </c>
      <c r="V420" s="15">
        <f>_xlfn.IFNA(IF(VLOOKUP($J420&amp;V$14,'Mapping A'!$A$6:$G$1011,7,0)=1,$L420,""),0)</f>
        <v>0</v>
      </c>
      <c r="W420" s="15">
        <f>_xlfn.IFNA(IF(VLOOKUP($J420&amp;W$14,'Mapping A'!$A$6:$G$1011,7,0)=1,$L420,""),0)</f>
        <v>0</v>
      </c>
      <c r="X420" s="15">
        <f>_xlfn.IFNA(IF(VLOOKUP($J420&amp;X$14,'Mapping A'!$A$6:$G$1011,7,0)=1,$L420,""),0)</f>
        <v>0</v>
      </c>
      <c r="Y420" s="15">
        <f>_xlfn.IFNA(IF(VLOOKUP($J420&amp;Y$14,'Mapping A'!$A$6:$G$1011,7,0)=1,$L420,""),0)</f>
        <v>0</v>
      </c>
      <c r="Z420" s="15">
        <f>_xlfn.IFNA(IF(VLOOKUP($J420&amp;Z$14,'Mapping A'!$A$6:$G$1011,7,0)=1,$L420,""),0)</f>
        <v>0</v>
      </c>
      <c r="AA420" s="15">
        <f>_xlfn.IFNA(IF(VLOOKUP($J420&amp;AA$14,'Mapping A'!$A$6:$G$1011,7,0)=1,$L420,""),0)</f>
        <v>0</v>
      </c>
      <c r="AF420" s="155" t="str">
        <f t="shared" si="135"/>
        <v>ROT0331Unison</v>
      </c>
      <c r="AG420" s="190" t="s">
        <v>312</v>
      </c>
      <c r="AH420" s="190" t="s">
        <v>36</v>
      </c>
      <c r="AI420" s="190">
        <f t="shared" si="128"/>
        <v>44.011800000000001</v>
      </c>
      <c r="AJ420" s="292" t="s">
        <v>95</v>
      </c>
      <c r="AK420" s="15"/>
      <c r="AL420" s="15">
        <f t="shared" si="123"/>
        <v>0</v>
      </c>
      <c r="AM420" s="15"/>
      <c r="AN420" s="15">
        <f t="shared" ca="1" si="124"/>
        <v>0</v>
      </c>
      <c r="AO420" s="15">
        <f t="shared" si="125"/>
        <v>0</v>
      </c>
      <c r="AP420" s="15">
        <f t="shared" si="126"/>
        <v>0</v>
      </c>
      <c r="AQ420" s="15"/>
      <c r="AR420" s="190">
        <f t="shared" si="129"/>
        <v>0</v>
      </c>
      <c r="AS420" s="15"/>
      <c r="AT420" s="190">
        <f t="shared" si="130"/>
        <v>0</v>
      </c>
      <c r="AU420" s="190">
        <f t="shared" si="131"/>
        <v>0</v>
      </c>
      <c r="AV420" s="190">
        <f t="shared" si="132"/>
        <v>0</v>
      </c>
      <c r="AW420" s="190">
        <f t="shared" si="133"/>
        <v>0</v>
      </c>
      <c r="AX420" s="190">
        <f t="shared" si="134"/>
        <v>0</v>
      </c>
      <c r="BP420" s="190"/>
    </row>
    <row r="421" spans="2:68" x14ac:dyDescent="0.25">
      <c r="B421" s="98" t="s">
        <v>563</v>
      </c>
      <c r="C421" s="98">
        <v>2014</v>
      </c>
      <c r="D421" s="98" t="s">
        <v>317</v>
      </c>
      <c r="E421" s="98" t="s">
        <v>10</v>
      </c>
      <c r="F421" s="98" t="s">
        <v>136</v>
      </c>
      <c r="G421" s="98">
        <v>0</v>
      </c>
      <c r="H421" s="299" t="str">
        <f>VLOOKUP(LEFT('Rev Adequacy'!D421,3),'Mapping B'!$D$2:$E$400,2,0)</f>
        <v>N</v>
      </c>
      <c r="I421" s="190"/>
      <c r="J421" s="15" t="s">
        <v>313</v>
      </c>
      <c r="K421" s="190" t="s">
        <v>138</v>
      </c>
      <c r="L421" s="190">
        <f t="shared" si="127"/>
        <v>7.3499999999999996E-2</v>
      </c>
      <c r="M421" s="15"/>
      <c r="N421" s="15"/>
      <c r="O421" s="15">
        <f>_xlfn.IFNA(IF(VLOOKUP($J421&amp;O$14,'Mapping A'!$A$6:$G$1011,7,0)=1,$L421,""),0)</f>
        <v>0</v>
      </c>
      <c r="P421" s="15">
        <f>_xlfn.IFNA(IF(VLOOKUP($J421&amp;P$14,'Mapping A'!$A$6:$G$1011,7,0)=1,$L421,""),0)</f>
        <v>0</v>
      </c>
      <c r="Q421" s="15">
        <f>_xlfn.IFNA(IF(VLOOKUP($J421&amp;Q$14,'Mapping A'!$A$6:$G$1011,7,0)=1,$L421,""),0)</f>
        <v>0</v>
      </c>
      <c r="R421" s="15">
        <f>_xlfn.IFNA(IF(VLOOKUP($J421&amp;R$14,'Mapping A'!$A$6:$G$1011,7,0)=1,$L421,""),0)</f>
        <v>0</v>
      </c>
      <c r="S421" s="15">
        <f>_xlfn.IFNA(IF(VLOOKUP($J421&amp;S$14,'Mapping A'!$A$6:$G$1011,7,0)=1,$L421,""),0)</f>
        <v>0</v>
      </c>
      <c r="T421" s="15">
        <f>_xlfn.IFNA(IF(VLOOKUP($J421&amp;T$14,'Mapping A'!$A$6:$G$1011,7,0)=1,$L421,""),0)</f>
        <v>7.3499999999999996E-2</v>
      </c>
      <c r="U421" s="15">
        <f>_xlfn.IFNA(IF(VLOOKUP($J421&amp;U$14,'Mapping A'!$A$6:$G$1011,7,0)=1,$L421,""),0)</f>
        <v>0</v>
      </c>
      <c r="V421" s="15">
        <f>_xlfn.IFNA(IF(VLOOKUP($J421&amp;V$14,'Mapping A'!$A$6:$G$1011,7,0)=1,$L421,""),0)</f>
        <v>0</v>
      </c>
      <c r="W421" s="15">
        <f>_xlfn.IFNA(IF(VLOOKUP($J421&amp;W$14,'Mapping A'!$A$6:$G$1011,7,0)=1,$L421,""),0)</f>
        <v>0</v>
      </c>
      <c r="X421" s="15">
        <f>_xlfn.IFNA(IF(VLOOKUP($J421&amp;X$14,'Mapping A'!$A$6:$G$1011,7,0)=1,$L421,""),0)</f>
        <v>0</v>
      </c>
      <c r="Y421" s="15">
        <f>_xlfn.IFNA(IF(VLOOKUP($J421&amp;Y$14,'Mapping A'!$A$6:$G$1011,7,0)=1,$L421,""),0)</f>
        <v>0</v>
      </c>
      <c r="Z421" s="15">
        <f>_xlfn.IFNA(IF(VLOOKUP($J421&amp;Z$14,'Mapping A'!$A$6:$G$1011,7,0)=1,$L421,""),0)</f>
        <v>0</v>
      </c>
      <c r="AA421" s="15">
        <f>_xlfn.IFNA(IF(VLOOKUP($J421&amp;AA$14,'Mapping A'!$A$6:$G$1011,7,0)=1,$L421,""),0)</f>
        <v>0</v>
      </c>
      <c r="AF421" s="155" t="str">
        <f t="shared" si="135"/>
        <v>ROT1101TrustPower</v>
      </c>
      <c r="AG421" s="190" t="s">
        <v>313</v>
      </c>
      <c r="AH421" s="190" t="s">
        <v>138</v>
      </c>
      <c r="AI421" s="190">
        <f t="shared" si="128"/>
        <v>7.3499999999999996E-2</v>
      </c>
      <c r="AJ421" s="292" t="s">
        <v>95</v>
      </c>
      <c r="AK421" s="15"/>
      <c r="AL421" s="15">
        <f t="shared" si="123"/>
        <v>0</v>
      </c>
      <c r="AM421" s="15"/>
      <c r="AN421" s="15">
        <f t="shared" ca="1" si="124"/>
        <v>0</v>
      </c>
      <c r="AO421" s="15">
        <f t="shared" si="125"/>
        <v>0</v>
      </c>
      <c r="AP421" s="15">
        <f t="shared" si="126"/>
        <v>0</v>
      </c>
      <c r="AQ421" s="15"/>
      <c r="AR421" s="190">
        <f t="shared" si="129"/>
        <v>0</v>
      </c>
      <c r="AS421" s="15"/>
      <c r="AT421" s="190">
        <f t="shared" si="130"/>
        <v>0</v>
      </c>
      <c r="AU421" s="190">
        <f t="shared" si="131"/>
        <v>0</v>
      </c>
      <c r="AV421" s="190">
        <f t="shared" si="132"/>
        <v>0</v>
      </c>
      <c r="AW421" s="190">
        <f t="shared" si="133"/>
        <v>0</v>
      </c>
      <c r="AX421" s="190">
        <f t="shared" si="134"/>
        <v>0</v>
      </c>
      <c r="BP421" s="190"/>
    </row>
    <row r="422" spans="2:68" x14ac:dyDescent="0.25">
      <c r="B422" s="98" t="s">
        <v>563</v>
      </c>
      <c r="C422" s="98">
        <v>2014</v>
      </c>
      <c r="D422" s="98" t="s">
        <v>340</v>
      </c>
      <c r="E422" s="98" t="s">
        <v>10</v>
      </c>
      <c r="F422" s="98" t="s">
        <v>136</v>
      </c>
      <c r="G422" s="98">
        <v>0</v>
      </c>
      <c r="H422" s="299" t="str">
        <f>VLOOKUP(LEFT('Rev Adequacy'!D422,3),'Mapping B'!$D$2:$E$400,2,0)</f>
        <v>S</v>
      </c>
      <c r="I422" s="190"/>
      <c r="J422" s="15" t="s">
        <v>318</v>
      </c>
      <c r="K422" s="190" t="s">
        <v>12</v>
      </c>
      <c r="L422" s="190">
        <f t="shared" si="127"/>
        <v>43.917300000000004</v>
      </c>
      <c r="M422" s="15"/>
      <c r="N422" s="15"/>
      <c r="O422" s="15">
        <f>_xlfn.IFNA(IF(VLOOKUP($J422&amp;O$14,'Mapping A'!$A$6:$G$1011,7,0)=1,$L422,""),0)</f>
        <v>0</v>
      </c>
      <c r="P422" s="15">
        <f>_xlfn.IFNA(IF(VLOOKUP($J422&amp;P$14,'Mapping A'!$A$6:$G$1011,7,0)=1,$L422,""),0)</f>
        <v>0</v>
      </c>
      <c r="Q422" s="15">
        <f>_xlfn.IFNA(IF(VLOOKUP($J422&amp;Q$14,'Mapping A'!$A$6:$G$1011,7,0)=1,$L422,""),0)</f>
        <v>43.917300000000004</v>
      </c>
      <c r="R422" s="15">
        <f>_xlfn.IFNA(IF(VLOOKUP($J422&amp;R$14,'Mapping A'!$A$6:$G$1011,7,0)=1,$L422,""),0)</f>
        <v>0</v>
      </c>
      <c r="S422" s="15">
        <f>_xlfn.IFNA(IF(VLOOKUP($J422&amp;S$14,'Mapping A'!$A$6:$G$1011,7,0)=1,$L422,""),0)</f>
        <v>0</v>
      </c>
      <c r="T422" s="15">
        <f>_xlfn.IFNA(IF(VLOOKUP($J422&amp;T$14,'Mapping A'!$A$6:$G$1011,7,0)=1,$L422,""),0)</f>
        <v>0</v>
      </c>
      <c r="U422" s="15">
        <f>_xlfn.IFNA(IF(VLOOKUP($J422&amp;U$14,'Mapping A'!$A$6:$G$1011,7,0)=1,$L422,""),0)</f>
        <v>0</v>
      </c>
      <c r="V422" s="15">
        <f>_xlfn.IFNA(IF(VLOOKUP($J422&amp;V$14,'Mapping A'!$A$6:$G$1011,7,0)=1,$L422,""),0)</f>
        <v>0</v>
      </c>
      <c r="W422" s="15">
        <f>_xlfn.IFNA(IF(VLOOKUP($J422&amp;W$14,'Mapping A'!$A$6:$G$1011,7,0)=1,$L422,""),0)</f>
        <v>0</v>
      </c>
      <c r="X422" s="15">
        <f>_xlfn.IFNA(IF(VLOOKUP($J422&amp;X$14,'Mapping A'!$A$6:$G$1011,7,0)=1,$L422,""),0)</f>
        <v>0</v>
      </c>
      <c r="Y422" s="15">
        <f>_xlfn.IFNA(IF(VLOOKUP($J422&amp;Y$14,'Mapping A'!$A$6:$G$1011,7,0)=1,$L422,""),0)</f>
        <v>0</v>
      </c>
      <c r="Z422" s="15">
        <f>_xlfn.IFNA(IF(VLOOKUP($J422&amp;Z$14,'Mapping A'!$A$6:$G$1011,7,0)=1,$L422,""),0)</f>
        <v>0</v>
      </c>
      <c r="AA422" s="15">
        <f>_xlfn.IFNA(IF(VLOOKUP($J422&amp;AA$14,'Mapping A'!$A$6:$G$1011,7,0)=1,$L422,""),0)</f>
        <v>0</v>
      </c>
      <c r="AF422" s="155" t="str">
        <f t="shared" si="135"/>
        <v>SBK0331Mainpower</v>
      </c>
      <c r="AG422" s="190" t="s">
        <v>318</v>
      </c>
      <c r="AH422" s="190" t="s">
        <v>12</v>
      </c>
      <c r="AI422" s="190">
        <f t="shared" si="128"/>
        <v>43.917300000000004</v>
      </c>
      <c r="AJ422" s="292" t="s">
        <v>96</v>
      </c>
      <c r="AK422" s="15"/>
      <c r="AL422" s="15">
        <f t="shared" si="123"/>
        <v>0</v>
      </c>
      <c r="AM422" s="15"/>
      <c r="AN422" s="15">
        <f t="shared" ca="1" si="124"/>
        <v>0</v>
      </c>
      <c r="AO422" s="15">
        <f t="shared" si="125"/>
        <v>0</v>
      </c>
      <c r="AP422" s="15">
        <f t="shared" si="126"/>
        <v>0</v>
      </c>
      <c r="AQ422" s="15"/>
      <c r="AR422" s="190">
        <f t="shared" si="129"/>
        <v>0</v>
      </c>
      <c r="AS422" s="15"/>
      <c r="AT422" s="190">
        <f t="shared" si="130"/>
        <v>0</v>
      </c>
      <c r="AU422" s="190">
        <f t="shared" si="131"/>
        <v>0</v>
      </c>
      <c r="AV422" s="190">
        <f t="shared" si="132"/>
        <v>0</v>
      </c>
      <c r="AW422" s="190">
        <f t="shared" si="133"/>
        <v>0</v>
      </c>
      <c r="AX422" s="190">
        <f t="shared" si="134"/>
        <v>0</v>
      </c>
      <c r="BP422" s="190"/>
    </row>
    <row r="423" spans="2:68" x14ac:dyDescent="0.25">
      <c r="B423" s="98" t="s">
        <v>563</v>
      </c>
      <c r="C423" s="98">
        <v>2014</v>
      </c>
      <c r="D423" s="98" t="s">
        <v>341</v>
      </c>
      <c r="E423" s="98" t="s">
        <v>10</v>
      </c>
      <c r="F423" s="98" t="s">
        <v>136</v>
      </c>
      <c r="G423" s="98">
        <v>0</v>
      </c>
      <c r="H423" s="299" t="str">
        <f>VLOOKUP(LEFT('Rev Adequacy'!D423,3),'Mapping B'!$D$2:$E$400,2,0)</f>
        <v>S</v>
      </c>
      <c r="I423" s="190"/>
      <c r="J423" s="15" t="s">
        <v>319</v>
      </c>
      <c r="K423" s="190" t="s">
        <v>1</v>
      </c>
      <c r="L423" s="190">
        <f t="shared" si="127"/>
        <v>73.109399999999994</v>
      </c>
      <c r="M423" s="15"/>
      <c r="N423" s="15"/>
      <c r="O423" s="15">
        <f>_xlfn.IFNA(IF(VLOOKUP($J423&amp;O$14,'Mapping A'!$A$6:$G$1011,7,0)=1,$L423,""),0)</f>
        <v>0</v>
      </c>
      <c r="P423" s="15">
        <f>_xlfn.IFNA(IF(VLOOKUP($J423&amp;P$14,'Mapping A'!$A$6:$G$1011,7,0)=1,$L423,""),0)</f>
        <v>0</v>
      </c>
      <c r="Q423" s="15">
        <f>_xlfn.IFNA(IF(VLOOKUP($J423&amp;Q$14,'Mapping A'!$A$6:$G$1011,7,0)=1,$L423,""),0)</f>
        <v>73.109399999999994</v>
      </c>
      <c r="R423" s="15">
        <f>_xlfn.IFNA(IF(VLOOKUP($J423&amp;R$14,'Mapping A'!$A$6:$G$1011,7,0)=1,$L423,""),0)</f>
        <v>0</v>
      </c>
      <c r="S423" s="15">
        <f>_xlfn.IFNA(IF(VLOOKUP($J423&amp;S$14,'Mapping A'!$A$6:$G$1011,7,0)=1,$L423,""),0)</f>
        <v>0</v>
      </c>
      <c r="T423" s="15">
        <f>_xlfn.IFNA(IF(VLOOKUP($J423&amp;T$14,'Mapping A'!$A$6:$G$1011,7,0)=1,$L423,""),0)</f>
        <v>0</v>
      </c>
      <c r="U423" s="15">
        <f>_xlfn.IFNA(IF(VLOOKUP($J423&amp;U$14,'Mapping A'!$A$6:$G$1011,7,0)=1,$L423,""),0)</f>
        <v>0</v>
      </c>
      <c r="V423" s="15">
        <f>_xlfn.IFNA(IF(VLOOKUP($J423&amp;V$14,'Mapping A'!$A$6:$G$1011,7,0)=1,$L423,""),0)</f>
        <v>0</v>
      </c>
      <c r="W423" s="15">
        <f>_xlfn.IFNA(IF(VLOOKUP($J423&amp;W$14,'Mapping A'!$A$6:$G$1011,7,0)=1,$L423,""),0)</f>
        <v>0</v>
      </c>
      <c r="X423" s="15">
        <f>_xlfn.IFNA(IF(VLOOKUP($J423&amp;X$14,'Mapping A'!$A$6:$G$1011,7,0)=1,$L423,""),0)</f>
        <v>0</v>
      </c>
      <c r="Y423" s="15">
        <f>_xlfn.IFNA(IF(VLOOKUP($J423&amp;Y$14,'Mapping A'!$A$6:$G$1011,7,0)=1,$L423,""),0)</f>
        <v>0</v>
      </c>
      <c r="Z423" s="15">
        <f>_xlfn.IFNA(IF(VLOOKUP($J423&amp;Z$14,'Mapping A'!$A$6:$G$1011,7,0)=1,$L423,""),0)</f>
        <v>0</v>
      </c>
      <c r="AA423" s="15">
        <f>_xlfn.IFNA(IF(VLOOKUP($J423&amp;AA$14,'Mapping A'!$A$6:$G$1011,7,0)=1,$L423,""),0)</f>
        <v>0</v>
      </c>
      <c r="AF423" s="155" t="str">
        <f t="shared" si="135"/>
        <v>SDN0331Aurora Energy</v>
      </c>
      <c r="AG423" s="190" t="s">
        <v>319</v>
      </c>
      <c r="AH423" s="190" t="s">
        <v>1</v>
      </c>
      <c r="AI423" s="190">
        <f t="shared" si="128"/>
        <v>73.109399999999994</v>
      </c>
      <c r="AJ423" s="292" t="s">
        <v>96</v>
      </c>
      <c r="AK423" s="15"/>
      <c r="AL423" s="15">
        <f t="shared" si="123"/>
        <v>0</v>
      </c>
      <c r="AM423" s="15"/>
      <c r="AN423" s="15">
        <f t="shared" ca="1" si="124"/>
        <v>0</v>
      </c>
      <c r="AO423" s="15">
        <f t="shared" si="125"/>
        <v>0</v>
      </c>
      <c r="AP423" s="15">
        <f t="shared" si="126"/>
        <v>0</v>
      </c>
      <c r="AQ423" s="15"/>
      <c r="AR423" s="190">
        <f t="shared" si="129"/>
        <v>0</v>
      </c>
      <c r="AS423" s="15"/>
      <c r="AT423" s="190">
        <f t="shared" si="130"/>
        <v>0</v>
      </c>
      <c r="AU423" s="190">
        <f t="shared" si="131"/>
        <v>0</v>
      </c>
      <c r="AV423" s="190">
        <f t="shared" si="132"/>
        <v>0</v>
      </c>
      <c r="AW423" s="190">
        <f t="shared" si="133"/>
        <v>0</v>
      </c>
      <c r="AX423" s="190">
        <f t="shared" si="134"/>
        <v>0</v>
      </c>
      <c r="BP423" s="190"/>
    </row>
    <row r="424" spans="2:68" x14ac:dyDescent="0.25">
      <c r="B424" s="98" t="s">
        <v>563</v>
      </c>
      <c r="C424" s="98">
        <v>2014</v>
      </c>
      <c r="D424" s="98" t="s">
        <v>344</v>
      </c>
      <c r="E424" s="98" t="s">
        <v>10</v>
      </c>
      <c r="F424" s="98" t="s">
        <v>131</v>
      </c>
      <c r="G424" s="98">
        <v>1406.88536480686</v>
      </c>
      <c r="H424" s="299" t="str">
        <f>VLOOKUP(LEFT('Rev Adequacy'!D424,3),'Mapping B'!$D$2:$E$400,2,0)</f>
        <v>N</v>
      </c>
      <c r="I424" s="190"/>
      <c r="J424" s="15" t="s">
        <v>320</v>
      </c>
      <c r="K424" s="190" t="s">
        <v>28</v>
      </c>
      <c r="L424" s="190">
        <f t="shared" si="127"/>
        <v>35.160299999999999</v>
      </c>
      <c r="M424" s="15"/>
      <c r="N424" s="15"/>
      <c r="O424" s="15">
        <f>_xlfn.IFNA(IF(VLOOKUP($J424&amp;O$14,'Mapping A'!$A$6:$G$1011,7,0)=1,$L424,""),0)</f>
        <v>0</v>
      </c>
      <c r="P424" s="15">
        <f>_xlfn.IFNA(IF(VLOOKUP($J424&amp;P$14,'Mapping A'!$A$6:$G$1011,7,0)=1,$L424,""),0)</f>
        <v>0</v>
      </c>
      <c r="Q424" s="15">
        <f>_xlfn.IFNA(IF(VLOOKUP($J424&amp;Q$14,'Mapping A'!$A$6:$G$1011,7,0)=1,$L424,""),0)</f>
        <v>0</v>
      </c>
      <c r="R424" s="15">
        <f>_xlfn.IFNA(IF(VLOOKUP($J424&amp;R$14,'Mapping A'!$A$6:$G$1011,7,0)=1,$L424,""),0)</f>
        <v>0</v>
      </c>
      <c r="S424" s="15">
        <f>_xlfn.IFNA(IF(VLOOKUP($J424&amp;S$14,'Mapping A'!$A$6:$G$1011,7,0)=1,$L424,""),0)</f>
        <v>0</v>
      </c>
      <c r="T424" s="15">
        <f>_xlfn.IFNA(IF(VLOOKUP($J424&amp;T$14,'Mapping A'!$A$6:$G$1011,7,0)=1,$L424,""),0)</f>
        <v>0</v>
      </c>
      <c r="U424" s="15">
        <f>_xlfn.IFNA(IF(VLOOKUP($J424&amp;U$14,'Mapping A'!$A$6:$G$1011,7,0)=1,$L424,""),0)</f>
        <v>0</v>
      </c>
      <c r="V424" s="15">
        <f>_xlfn.IFNA(IF(VLOOKUP($J424&amp;V$14,'Mapping A'!$A$6:$G$1011,7,0)=1,$L424,""),0)</f>
        <v>0</v>
      </c>
      <c r="W424" s="15">
        <f>_xlfn.IFNA(IF(VLOOKUP($J424&amp;W$14,'Mapping A'!$A$6:$G$1011,7,0)=1,$L424,""),0)</f>
        <v>0</v>
      </c>
      <c r="X424" s="15">
        <f>_xlfn.IFNA(IF(VLOOKUP($J424&amp;X$14,'Mapping A'!$A$6:$G$1011,7,0)=1,$L424,""),0)</f>
        <v>0</v>
      </c>
      <c r="Y424" s="15">
        <f>_xlfn.IFNA(IF(VLOOKUP($J424&amp;Y$14,'Mapping A'!$A$6:$G$1011,7,0)=1,$L424,""),0)</f>
        <v>0</v>
      </c>
      <c r="Z424" s="15">
        <f>_xlfn.IFNA(IF(VLOOKUP($J424&amp;Z$14,'Mapping A'!$A$6:$G$1011,7,0)=1,$L424,""),0)</f>
        <v>0</v>
      </c>
      <c r="AA424" s="15">
        <f>_xlfn.IFNA(IF(VLOOKUP($J424&amp;AA$14,'Mapping A'!$A$6:$G$1011,7,0)=1,$L424,""),0)</f>
        <v>0</v>
      </c>
      <c r="AF424" s="155" t="str">
        <f t="shared" si="135"/>
        <v>SFD0331Powerco</v>
      </c>
      <c r="AG424" s="190" t="s">
        <v>320</v>
      </c>
      <c r="AH424" s="190" t="s">
        <v>28</v>
      </c>
      <c r="AI424" s="190">
        <f t="shared" si="128"/>
        <v>35.160299999999999</v>
      </c>
      <c r="AJ424" s="292" t="s">
        <v>95</v>
      </c>
      <c r="AK424" s="15"/>
      <c r="AL424" s="15">
        <f t="shared" si="123"/>
        <v>0</v>
      </c>
      <c r="AM424" s="15"/>
      <c r="AN424" s="15">
        <f t="shared" ca="1" si="124"/>
        <v>0</v>
      </c>
      <c r="AO424" s="15">
        <f t="shared" si="125"/>
        <v>0</v>
      </c>
      <c r="AP424" s="15">
        <f t="shared" si="126"/>
        <v>0</v>
      </c>
      <c r="AQ424" s="15"/>
      <c r="AR424" s="190">
        <f t="shared" si="129"/>
        <v>0</v>
      </c>
      <c r="AS424" s="15"/>
      <c r="AT424" s="190">
        <f t="shared" si="130"/>
        <v>0</v>
      </c>
      <c r="AU424" s="190">
        <f t="shared" si="131"/>
        <v>0</v>
      </c>
      <c r="AV424" s="190">
        <f t="shared" si="132"/>
        <v>0</v>
      </c>
      <c r="AW424" s="190">
        <f t="shared" si="133"/>
        <v>0</v>
      </c>
      <c r="AX424" s="190">
        <f t="shared" si="134"/>
        <v>0</v>
      </c>
      <c r="BP424" s="190"/>
    </row>
    <row r="425" spans="2:68" x14ac:dyDescent="0.25">
      <c r="B425" s="98" t="s">
        <v>563</v>
      </c>
      <c r="C425" s="98">
        <v>2014</v>
      </c>
      <c r="D425" s="98" t="s">
        <v>345</v>
      </c>
      <c r="E425" s="98" t="s">
        <v>10</v>
      </c>
      <c r="F425" s="98" t="s">
        <v>136</v>
      </c>
      <c r="G425" s="98">
        <v>0</v>
      </c>
      <c r="H425" s="299" t="str">
        <f>VLOOKUP(LEFT('Rev Adequacy'!D425,3),'Mapping B'!$D$2:$E$400,2,0)</f>
        <v>N</v>
      </c>
      <c r="I425" s="190"/>
      <c r="J425" s="15" t="s">
        <v>321</v>
      </c>
      <c r="K425" s="190" t="s">
        <v>4</v>
      </c>
      <c r="L425" s="190">
        <f t="shared" si="127"/>
        <v>9.1980000000000004</v>
      </c>
      <c r="M425" s="15"/>
      <c r="N425" s="15"/>
      <c r="O425" s="15">
        <f>_xlfn.IFNA(IF(VLOOKUP($J425&amp;O$14,'Mapping A'!$A$6:$G$1011,7,0)=1,$L425,""),0)</f>
        <v>0</v>
      </c>
      <c r="P425" s="15">
        <f>_xlfn.IFNA(IF(VLOOKUP($J425&amp;P$14,'Mapping A'!$A$6:$G$1011,7,0)=1,$L425,""),0)</f>
        <v>0</v>
      </c>
      <c r="Q425" s="15">
        <f>_xlfn.IFNA(IF(VLOOKUP($J425&amp;Q$14,'Mapping A'!$A$6:$G$1011,7,0)=1,$L425,""),0)</f>
        <v>0</v>
      </c>
      <c r="R425" s="15">
        <f>_xlfn.IFNA(IF(VLOOKUP($J425&amp;R$14,'Mapping A'!$A$6:$G$1011,7,0)=1,$L425,""),0)</f>
        <v>0</v>
      </c>
      <c r="S425" s="15">
        <f>_xlfn.IFNA(IF(VLOOKUP($J425&amp;S$14,'Mapping A'!$A$6:$G$1011,7,0)=1,$L425,""),0)</f>
        <v>0</v>
      </c>
      <c r="T425" s="15">
        <f>_xlfn.IFNA(IF(VLOOKUP($J425&amp;T$14,'Mapping A'!$A$6:$G$1011,7,0)=1,$L425,""),0)</f>
        <v>0</v>
      </c>
      <c r="U425" s="15">
        <f>_xlfn.IFNA(IF(VLOOKUP($J425&amp;U$14,'Mapping A'!$A$6:$G$1011,7,0)=1,$L425,""),0)</f>
        <v>0</v>
      </c>
      <c r="V425" s="15">
        <f>_xlfn.IFNA(IF(VLOOKUP($J425&amp;V$14,'Mapping A'!$A$6:$G$1011,7,0)=1,$L425,""),0)</f>
        <v>0</v>
      </c>
      <c r="W425" s="15">
        <f>_xlfn.IFNA(IF(VLOOKUP($J425&amp;W$14,'Mapping A'!$A$6:$G$1011,7,0)=1,$L425,""),0)</f>
        <v>0</v>
      </c>
      <c r="X425" s="15">
        <f>_xlfn.IFNA(IF(VLOOKUP($J425&amp;X$14,'Mapping A'!$A$6:$G$1011,7,0)=1,$L425,""),0)</f>
        <v>0</v>
      </c>
      <c r="Y425" s="15">
        <f>_xlfn.IFNA(IF(VLOOKUP($J425&amp;Y$14,'Mapping A'!$A$6:$G$1011,7,0)=1,$L425,""),0)</f>
        <v>0</v>
      </c>
      <c r="Z425" s="15">
        <f>_xlfn.IFNA(IF(VLOOKUP($J425&amp;Z$14,'Mapping A'!$A$6:$G$1011,7,0)=1,$L425,""),0)</f>
        <v>0</v>
      </c>
      <c r="AA425" s="15">
        <f>_xlfn.IFNA(IF(VLOOKUP($J425&amp;AA$14,'Mapping A'!$A$6:$G$1011,7,0)=1,$L425,""),0)</f>
        <v>0</v>
      </c>
      <c r="AF425" s="155" t="str">
        <f t="shared" si="135"/>
        <v>SFD2201Contact</v>
      </c>
      <c r="AG425" s="190" t="s">
        <v>321</v>
      </c>
      <c r="AH425" s="190" t="s">
        <v>4</v>
      </c>
      <c r="AI425" s="190">
        <f t="shared" si="128"/>
        <v>9.1980000000000004</v>
      </c>
      <c r="AJ425" s="292" t="s">
        <v>95</v>
      </c>
      <c r="AK425" s="15"/>
      <c r="AL425" s="15">
        <f t="shared" si="123"/>
        <v>0</v>
      </c>
      <c r="AM425" s="15"/>
      <c r="AN425" s="15">
        <f t="shared" ca="1" si="124"/>
        <v>0</v>
      </c>
      <c r="AO425" s="15">
        <f t="shared" si="125"/>
        <v>0</v>
      </c>
      <c r="AP425" s="15">
        <f t="shared" si="126"/>
        <v>0</v>
      </c>
      <c r="AQ425" s="15"/>
      <c r="AR425" s="190">
        <f t="shared" si="129"/>
        <v>0</v>
      </c>
      <c r="AS425" s="15"/>
      <c r="AT425" s="190">
        <f t="shared" si="130"/>
        <v>0</v>
      </c>
      <c r="AU425" s="190">
        <f t="shared" si="131"/>
        <v>0</v>
      </c>
      <c r="AV425" s="190">
        <f t="shared" si="132"/>
        <v>0</v>
      </c>
      <c r="AW425" s="190">
        <f t="shared" si="133"/>
        <v>0</v>
      </c>
      <c r="AX425" s="190">
        <f t="shared" si="134"/>
        <v>0</v>
      </c>
      <c r="BP425" s="190"/>
    </row>
    <row r="426" spans="2:68" x14ac:dyDescent="0.25">
      <c r="B426" s="98" t="s">
        <v>563</v>
      </c>
      <c r="C426" s="98">
        <v>2014</v>
      </c>
      <c r="D426" s="98" t="s">
        <v>353</v>
      </c>
      <c r="E426" s="98" t="s">
        <v>10</v>
      </c>
      <c r="F426" s="98" t="s">
        <v>131</v>
      </c>
      <c r="G426" s="98">
        <v>7.6104469405388397E-2</v>
      </c>
      <c r="H426" s="299" t="str">
        <f>VLOOKUP(LEFT('Rev Adequacy'!D426,3),'Mapping B'!$D$2:$E$400,2,0)</f>
        <v>N</v>
      </c>
      <c r="I426" s="190"/>
      <c r="J426" s="15" t="s">
        <v>325</v>
      </c>
      <c r="K426" s="190" t="s">
        <v>19</v>
      </c>
      <c r="L426" s="190">
        <f t="shared" si="127"/>
        <v>154.61670000000001</v>
      </c>
      <c r="M426" s="15"/>
      <c r="N426" s="15"/>
      <c r="O426" s="15">
        <f>_xlfn.IFNA(IF(VLOOKUP($J426&amp;O$14,'Mapping A'!$A$6:$G$1011,7,0)=1,$L426,""),0)</f>
        <v>0</v>
      </c>
      <c r="P426" s="15">
        <f>_xlfn.IFNA(IF(VLOOKUP($J426&amp;P$14,'Mapping A'!$A$6:$G$1011,7,0)=1,$L426,""),0)</f>
        <v>0</v>
      </c>
      <c r="Q426" s="15">
        <f>_xlfn.IFNA(IF(VLOOKUP($J426&amp;Q$14,'Mapping A'!$A$6:$G$1011,7,0)=1,$L426,""),0)</f>
        <v>154.61670000000001</v>
      </c>
      <c r="R426" s="15">
        <f>_xlfn.IFNA(IF(VLOOKUP($J426&amp;R$14,'Mapping A'!$A$6:$G$1011,7,0)=1,$L426,""),0)</f>
        <v>0</v>
      </c>
      <c r="S426" s="15">
        <f>_xlfn.IFNA(IF(VLOOKUP($J426&amp;S$14,'Mapping A'!$A$6:$G$1011,7,0)=1,$L426,""),0)</f>
        <v>0</v>
      </c>
      <c r="T426" s="15">
        <f>_xlfn.IFNA(IF(VLOOKUP($J426&amp;T$14,'Mapping A'!$A$6:$G$1011,7,0)=1,$L426,""),0)</f>
        <v>0</v>
      </c>
      <c r="U426" s="15">
        <f>_xlfn.IFNA(IF(VLOOKUP($J426&amp;U$14,'Mapping A'!$A$6:$G$1011,7,0)=1,$L426,""),0)</f>
        <v>0</v>
      </c>
      <c r="V426" s="15">
        <f>_xlfn.IFNA(IF(VLOOKUP($J426&amp;V$14,'Mapping A'!$A$6:$G$1011,7,0)=1,$L426,""),0)</f>
        <v>0</v>
      </c>
      <c r="W426" s="15">
        <f>_xlfn.IFNA(IF(VLOOKUP($J426&amp;W$14,'Mapping A'!$A$6:$G$1011,7,0)=1,$L426,""),0)</f>
        <v>0</v>
      </c>
      <c r="X426" s="15">
        <f>_xlfn.IFNA(IF(VLOOKUP($J426&amp;X$14,'Mapping A'!$A$6:$G$1011,7,0)=1,$L426,""),0)</f>
        <v>0</v>
      </c>
      <c r="Y426" s="15">
        <f>_xlfn.IFNA(IF(VLOOKUP($J426&amp;Y$14,'Mapping A'!$A$6:$G$1011,7,0)=1,$L426,""),0)</f>
        <v>0</v>
      </c>
      <c r="Z426" s="15">
        <f>_xlfn.IFNA(IF(VLOOKUP($J426&amp;Z$14,'Mapping A'!$A$6:$G$1011,7,0)=1,$L426,""),0)</f>
        <v>0</v>
      </c>
      <c r="AA426" s="15">
        <f>_xlfn.IFNA(IF(VLOOKUP($J426&amp;AA$14,'Mapping A'!$A$6:$G$1011,7,0)=1,$L426,""),0)</f>
        <v>0</v>
      </c>
      <c r="AF426" s="155" t="str">
        <f t="shared" si="135"/>
        <v>STK0331Network Tasman</v>
      </c>
      <c r="AG426" s="190" t="s">
        <v>325</v>
      </c>
      <c r="AH426" s="190" t="s">
        <v>19</v>
      </c>
      <c r="AI426" s="190">
        <f t="shared" si="128"/>
        <v>154.61670000000001</v>
      </c>
      <c r="AJ426" s="292" t="s">
        <v>96</v>
      </c>
      <c r="AK426" s="15"/>
      <c r="AL426" s="15">
        <f t="shared" si="123"/>
        <v>0</v>
      </c>
      <c r="AM426" s="15"/>
      <c r="AN426" s="15">
        <f t="shared" ca="1" si="124"/>
        <v>0</v>
      </c>
      <c r="AO426" s="15">
        <f t="shared" si="125"/>
        <v>0</v>
      </c>
      <c r="AP426" s="15">
        <f t="shared" si="126"/>
        <v>0</v>
      </c>
      <c r="AQ426" s="15"/>
      <c r="AR426" s="190">
        <f t="shared" si="129"/>
        <v>0</v>
      </c>
      <c r="AS426" s="15"/>
      <c r="AT426" s="190">
        <f t="shared" si="130"/>
        <v>0</v>
      </c>
      <c r="AU426" s="190">
        <f t="shared" si="131"/>
        <v>0</v>
      </c>
      <c r="AV426" s="190">
        <f t="shared" si="132"/>
        <v>0</v>
      </c>
      <c r="AW426" s="190">
        <f t="shared" si="133"/>
        <v>0</v>
      </c>
      <c r="AX426" s="190">
        <f t="shared" si="134"/>
        <v>0</v>
      </c>
      <c r="BP426" s="190"/>
    </row>
    <row r="427" spans="2:68" x14ac:dyDescent="0.25">
      <c r="B427" s="98" t="s">
        <v>563</v>
      </c>
      <c r="C427" s="98">
        <v>2014</v>
      </c>
      <c r="D427" s="98" t="s">
        <v>354</v>
      </c>
      <c r="E427" s="98" t="s">
        <v>10</v>
      </c>
      <c r="F427" s="98" t="s">
        <v>136</v>
      </c>
      <c r="G427" s="98">
        <v>0</v>
      </c>
      <c r="H427" s="299" t="str">
        <f>VLOOKUP(LEFT('Rev Adequacy'!D427,3),'Mapping B'!$D$2:$E$400,2,0)</f>
        <v>N</v>
      </c>
      <c r="I427" s="190"/>
      <c r="J427" s="15" t="s">
        <v>327</v>
      </c>
      <c r="K427" s="190" t="s">
        <v>0</v>
      </c>
      <c r="L427" s="190">
        <f t="shared" si="127"/>
        <v>13.7319</v>
      </c>
      <c r="M427" s="15"/>
      <c r="N427" s="15"/>
      <c r="O427" s="15">
        <f>_xlfn.IFNA(IF(VLOOKUP($J427&amp;O$14,'Mapping A'!$A$6:$G$1011,7,0)=1,$L427,""),0)</f>
        <v>0</v>
      </c>
      <c r="P427" s="15">
        <f>_xlfn.IFNA(IF(VLOOKUP($J427&amp;P$14,'Mapping A'!$A$6:$G$1011,7,0)=1,$L427,""),0)</f>
        <v>0</v>
      </c>
      <c r="Q427" s="15">
        <f>_xlfn.IFNA(IF(VLOOKUP($J427&amp;Q$14,'Mapping A'!$A$6:$G$1011,7,0)=1,$L427,""),0)</f>
        <v>13.7319</v>
      </c>
      <c r="R427" s="15">
        <f>_xlfn.IFNA(IF(VLOOKUP($J427&amp;R$14,'Mapping A'!$A$6:$G$1011,7,0)=1,$L427,""),0)</f>
        <v>0</v>
      </c>
      <c r="S427" s="15">
        <f>_xlfn.IFNA(IF(VLOOKUP($J427&amp;S$14,'Mapping A'!$A$6:$G$1011,7,0)=1,$L427,""),0)</f>
        <v>0</v>
      </c>
      <c r="T427" s="15">
        <f>_xlfn.IFNA(IF(VLOOKUP($J427&amp;T$14,'Mapping A'!$A$6:$G$1011,7,0)=1,$L427,""),0)</f>
        <v>0</v>
      </c>
      <c r="U427" s="15">
        <f>_xlfn.IFNA(IF(VLOOKUP($J427&amp;U$14,'Mapping A'!$A$6:$G$1011,7,0)=1,$L427,""),0)</f>
        <v>0</v>
      </c>
      <c r="V427" s="15">
        <f>_xlfn.IFNA(IF(VLOOKUP($J427&amp;V$14,'Mapping A'!$A$6:$G$1011,7,0)=1,$L427,""),0)</f>
        <v>0</v>
      </c>
      <c r="W427" s="15">
        <f>_xlfn.IFNA(IF(VLOOKUP($J427&amp;W$14,'Mapping A'!$A$6:$G$1011,7,0)=1,$L427,""),0)</f>
        <v>0</v>
      </c>
      <c r="X427" s="15">
        <f>_xlfn.IFNA(IF(VLOOKUP($J427&amp;X$14,'Mapping A'!$A$6:$G$1011,7,0)=1,$L427,""),0)</f>
        <v>0</v>
      </c>
      <c r="Y427" s="15">
        <f>_xlfn.IFNA(IF(VLOOKUP($J427&amp;Y$14,'Mapping A'!$A$6:$G$1011,7,0)=1,$L427,""),0)</f>
        <v>0</v>
      </c>
      <c r="Z427" s="15">
        <f>_xlfn.IFNA(IF(VLOOKUP($J427&amp;Z$14,'Mapping A'!$A$6:$G$1011,7,0)=1,$L427,""),0)</f>
        <v>0</v>
      </c>
      <c r="AA427" s="15">
        <f>_xlfn.IFNA(IF(VLOOKUP($J427&amp;AA$14,'Mapping A'!$A$6:$G$1011,7,0)=1,$L427,""),0)</f>
        <v>0</v>
      </c>
      <c r="AF427" s="155" t="str">
        <f t="shared" si="135"/>
        <v>STU0111Alpine Energy</v>
      </c>
      <c r="AG427" s="190" t="s">
        <v>327</v>
      </c>
      <c r="AH427" s="190" t="s">
        <v>0</v>
      </c>
      <c r="AI427" s="190">
        <f t="shared" si="128"/>
        <v>13.7319</v>
      </c>
      <c r="AJ427" s="292" t="s">
        <v>96</v>
      </c>
      <c r="AK427" s="15"/>
      <c r="AL427" s="15">
        <f t="shared" si="123"/>
        <v>0</v>
      </c>
      <c r="AM427" s="15"/>
      <c r="AN427" s="15">
        <f t="shared" ca="1" si="124"/>
        <v>0</v>
      </c>
      <c r="AO427" s="15">
        <f t="shared" si="125"/>
        <v>0</v>
      </c>
      <c r="AP427" s="15">
        <f t="shared" si="126"/>
        <v>0</v>
      </c>
      <c r="AQ427" s="15"/>
      <c r="AR427" s="190">
        <f t="shared" si="129"/>
        <v>0</v>
      </c>
      <c r="AS427" s="15"/>
      <c r="AT427" s="190">
        <f t="shared" si="130"/>
        <v>0</v>
      </c>
      <c r="AU427" s="190">
        <f t="shared" si="131"/>
        <v>0</v>
      </c>
      <c r="AV427" s="190">
        <f t="shared" si="132"/>
        <v>0</v>
      </c>
      <c r="AW427" s="190">
        <f t="shared" si="133"/>
        <v>0</v>
      </c>
      <c r="AX427" s="190">
        <f t="shared" si="134"/>
        <v>0</v>
      </c>
      <c r="BP427" s="190"/>
    </row>
    <row r="428" spans="2:68" x14ac:dyDescent="0.25">
      <c r="B428" s="98" t="s">
        <v>563</v>
      </c>
      <c r="C428" s="98">
        <v>2014</v>
      </c>
      <c r="D428" s="98" t="s">
        <v>355</v>
      </c>
      <c r="E428" s="98" t="s">
        <v>10</v>
      </c>
      <c r="F428" s="98" t="s">
        <v>136</v>
      </c>
      <c r="G428" s="98">
        <v>0</v>
      </c>
      <c r="H428" s="299" t="str">
        <f>VLOOKUP(LEFT('Rev Adequacy'!D428,3),'Mapping B'!$D$2:$E$400,2,0)</f>
        <v>N</v>
      </c>
      <c r="I428" s="190"/>
      <c r="J428" s="15" t="s">
        <v>328</v>
      </c>
      <c r="K428" s="190" t="s">
        <v>37</v>
      </c>
      <c r="L428" s="190">
        <f t="shared" si="127"/>
        <v>92.301299999999998</v>
      </c>
      <c r="M428" s="15"/>
      <c r="N428" s="15"/>
      <c r="O428" s="15">
        <f>_xlfn.IFNA(IF(VLOOKUP($J428&amp;O$14,'Mapping A'!$A$6:$G$1011,7,0)=1,$L428,""),0)</f>
        <v>0</v>
      </c>
      <c r="P428" s="15">
        <f>_xlfn.IFNA(IF(VLOOKUP($J428&amp;P$14,'Mapping A'!$A$6:$G$1011,7,0)=1,$L428,""),0)</f>
        <v>0</v>
      </c>
      <c r="Q428" s="15">
        <f>_xlfn.IFNA(IF(VLOOKUP($J428&amp;Q$14,'Mapping A'!$A$6:$G$1011,7,0)=1,$L428,""),0)</f>
        <v>0</v>
      </c>
      <c r="R428" s="15">
        <f>_xlfn.IFNA(IF(VLOOKUP($J428&amp;R$14,'Mapping A'!$A$6:$G$1011,7,0)=1,$L428,""),0)</f>
        <v>0</v>
      </c>
      <c r="S428" s="15">
        <f>_xlfn.IFNA(IF(VLOOKUP($J428&amp;S$14,'Mapping A'!$A$6:$G$1011,7,0)=1,$L428,""),0)</f>
        <v>0</v>
      </c>
      <c r="T428" s="15">
        <f>_xlfn.IFNA(IF(VLOOKUP($J428&amp;T$14,'Mapping A'!$A$6:$G$1011,7,0)=1,$L428,""),0)</f>
        <v>92.301299999999998</v>
      </c>
      <c r="U428" s="15">
        <f>_xlfn.IFNA(IF(VLOOKUP($J428&amp;U$14,'Mapping A'!$A$6:$G$1011,7,0)=1,$L428,""),0)</f>
        <v>0</v>
      </c>
      <c r="V428" s="15">
        <f>_xlfn.IFNA(IF(VLOOKUP($J428&amp;V$14,'Mapping A'!$A$6:$G$1011,7,0)=1,$L428,""),0)</f>
        <v>0</v>
      </c>
      <c r="W428" s="15">
        <f>_xlfn.IFNA(IF(VLOOKUP($J428&amp;W$14,'Mapping A'!$A$6:$G$1011,7,0)=1,$L428,""),0)</f>
        <v>0</v>
      </c>
      <c r="X428" s="15">
        <f>_xlfn.IFNA(IF(VLOOKUP($J428&amp;X$14,'Mapping A'!$A$6:$G$1011,7,0)=1,$L428,""),0)</f>
        <v>0</v>
      </c>
      <c r="Y428" s="15">
        <f>_xlfn.IFNA(IF(VLOOKUP($J428&amp;Y$14,'Mapping A'!$A$6:$G$1011,7,0)=1,$L428,""),0)</f>
        <v>0</v>
      </c>
      <c r="Z428" s="15">
        <f>_xlfn.IFNA(IF(VLOOKUP($J428&amp;Z$14,'Mapping A'!$A$6:$G$1011,7,0)=1,$L428,""),0)</f>
        <v>0</v>
      </c>
      <c r="AA428" s="15">
        <f>_xlfn.IFNA(IF(VLOOKUP($J428&amp;AA$14,'Mapping A'!$A$6:$G$1011,7,0)=1,$L428,""),0)</f>
        <v>0</v>
      </c>
      <c r="AF428" s="155" t="str">
        <f t="shared" si="135"/>
        <v>SVL0331Vector</v>
      </c>
      <c r="AG428" s="190" t="s">
        <v>328</v>
      </c>
      <c r="AH428" s="190" t="s">
        <v>37</v>
      </c>
      <c r="AI428" s="190">
        <f t="shared" si="128"/>
        <v>92.301299999999998</v>
      </c>
      <c r="AJ428" s="292" t="s">
        <v>95</v>
      </c>
      <c r="AK428" s="15"/>
      <c r="AL428" s="15">
        <f t="shared" si="123"/>
        <v>0</v>
      </c>
      <c r="AM428" s="15"/>
      <c r="AN428" s="15">
        <f t="shared" ca="1" si="124"/>
        <v>0</v>
      </c>
      <c r="AO428" s="15">
        <f t="shared" si="125"/>
        <v>0</v>
      </c>
      <c r="AP428" s="15">
        <f t="shared" si="126"/>
        <v>0</v>
      </c>
      <c r="AQ428" s="15"/>
      <c r="AR428" s="190">
        <f t="shared" si="129"/>
        <v>0</v>
      </c>
      <c r="AS428" s="15"/>
      <c r="AT428" s="190">
        <f t="shared" si="130"/>
        <v>0</v>
      </c>
      <c r="AU428" s="190">
        <f t="shared" si="131"/>
        <v>0</v>
      </c>
      <c r="AV428" s="190">
        <f t="shared" si="132"/>
        <v>0</v>
      </c>
      <c r="AW428" s="190">
        <f t="shared" si="133"/>
        <v>0</v>
      </c>
      <c r="AX428" s="190">
        <f t="shared" si="134"/>
        <v>0</v>
      </c>
      <c r="BP428" s="190"/>
    </row>
    <row r="429" spans="2:68" x14ac:dyDescent="0.25">
      <c r="B429" s="98" t="s">
        <v>563</v>
      </c>
      <c r="C429" s="98">
        <v>2014</v>
      </c>
      <c r="D429" s="98" t="s">
        <v>356</v>
      </c>
      <c r="E429" s="98" t="s">
        <v>10</v>
      </c>
      <c r="F429" s="98" t="s">
        <v>136</v>
      </c>
      <c r="G429" s="98">
        <v>0</v>
      </c>
      <c r="H429" s="299" t="str">
        <f>VLOOKUP(LEFT('Rev Adequacy'!D429,3),'Mapping B'!$D$2:$E$400,2,0)</f>
        <v>N</v>
      </c>
      <c r="I429" s="190"/>
      <c r="J429" s="15" t="s">
        <v>329</v>
      </c>
      <c r="K429" s="190" t="s">
        <v>51</v>
      </c>
      <c r="L429" s="190">
        <f t="shared" si="127"/>
        <v>3.1604999999999999</v>
      </c>
      <c r="M429" s="15"/>
      <c r="N429" s="15"/>
      <c r="O429" s="15">
        <f>_xlfn.IFNA(IF(VLOOKUP($J429&amp;O$14,'Mapping A'!$A$6:$G$1011,7,0)=1,$L429,""),0)</f>
        <v>0</v>
      </c>
      <c r="P429" s="15">
        <f>_xlfn.IFNA(IF(VLOOKUP($J429&amp;P$14,'Mapping A'!$A$6:$G$1011,7,0)=1,$L429,""),0)</f>
        <v>0</v>
      </c>
      <c r="Q429" s="15">
        <f>_xlfn.IFNA(IF(VLOOKUP($J429&amp;Q$14,'Mapping A'!$A$6:$G$1011,7,0)=1,$L429,""),0)</f>
        <v>0</v>
      </c>
      <c r="R429" s="15">
        <f>_xlfn.IFNA(IF(VLOOKUP($J429&amp;R$14,'Mapping A'!$A$6:$G$1011,7,0)=1,$L429,""),0)</f>
        <v>0</v>
      </c>
      <c r="S429" s="15">
        <f>_xlfn.IFNA(IF(VLOOKUP($J429&amp;S$14,'Mapping A'!$A$6:$G$1011,7,0)=1,$L429,""),0)</f>
        <v>0</v>
      </c>
      <c r="T429" s="15">
        <f>_xlfn.IFNA(IF(VLOOKUP($J429&amp;T$14,'Mapping A'!$A$6:$G$1011,7,0)=1,$L429,""),0)</f>
        <v>0</v>
      </c>
      <c r="U429" s="15">
        <f>_xlfn.IFNA(IF(VLOOKUP($J429&amp;U$14,'Mapping A'!$A$6:$G$1011,7,0)=1,$L429,""),0)</f>
        <v>0</v>
      </c>
      <c r="V429" s="15">
        <f>_xlfn.IFNA(IF(VLOOKUP($J429&amp;V$14,'Mapping A'!$A$6:$G$1011,7,0)=1,$L429,""),0)</f>
        <v>0</v>
      </c>
      <c r="W429" s="15">
        <f>_xlfn.IFNA(IF(VLOOKUP($J429&amp;W$14,'Mapping A'!$A$6:$G$1011,7,0)=1,$L429,""),0)</f>
        <v>0</v>
      </c>
      <c r="X429" s="15">
        <f>_xlfn.IFNA(IF(VLOOKUP($J429&amp;X$14,'Mapping A'!$A$6:$G$1011,7,0)=1,$L429,""),0)</f>
        <v>0</v>
      </c>
      <c r="Y429" s="15">
        <f>_xlfn.IFNA(IF(VLOOKUP($J429&amp;Y$14,'Mapping A'!$A$6:$G$1011,7,0)=1,$L429,""),0)</f>
        <v>0</v>
      </c>
      <c r="Z429" s="15">
        <f>_xlfn.IFNA(IF(VLOOKUP($J429&amp;Z$14,'Mapping A'!$A$6:$G$1011,7,0)=1,$L429,""),0)</f>
        <v>0</v>
      </c>
      <c r="AA429" s="15">
        <f>_xlfn.IFNA(IF(VLOOKUP($J429&amp;AA$14,'Mapping A'!$A$6:$G$1011,7,0)=1,$L429,""),0)</f>
        <v>0</v>
      </c>
      <c r="AF429" s="155" t="str">
        <f t="shared" si="135"/>
        <v>SWN0251Kiwirail</v>
      </c>
      <c r="AG429" s="190" t="s">
        <v>329</v>
      </c>
      <c r="AH429" s="190" t="s">
        <v>51</v>
      </c>
      <c r="AI429" s="190">
        <f t="shared" si="128"/>
        <v>3.1604999999999999</v>
      </c>
      <c r="AJ429" s="292" t="s">
        <v>95</v>
      </c>
      <c r="AK429" s="15"/>
      <c r="AL429" s="15">
        <f t="shared" si="123"/>
        <v>0</v>
      </c>
      <c r="AM429" s="15"/>
      <c r="AN429" s="15">
        <f t="shared" ca="1" si="124"/>
        <v>0</v>
      </c>
      <c r="AO429" s="15">
        <f t="shared" si="125"/>
        <v>0</v>
      </c>
      <c r="AP429" s="15">
        <f t="shared" si="126"/>
        <v>0</v>
      </c>
      <c r="AQ429" s="15"/>
      <c r="AR429" s="190">
        <f t="shared" si="129"/>
        <v>0</v>
      </c>
      <c r="AS429" s="15"/>
      <c r="AT429" s="190">
        <f t="shared" si="130"/>
        <v>0</v>
      </c>
      <c r="AU429" s="190">
        <f t="shared" si="131"/>
        <v>0</v>
      </c>
      <c r="AV429" s="190">
        <f t="shared" si="132"/>
        <v>0</v>
      </c>
      <c r="AW429" s="190">
        <f t="shared" si="133"/>
        <v>0</v>
      </c>
      <c r="AX429" s="190">
        <f t="shared" si="134"/>
        <v>0</v>
      </c>
      <c r="BP429" s="190"/>
    </row>
    <row r="430" spans="2:68" x14ac:dyDescent="0.25">
      <c r="B430" s="98" t="s">
        <v>555</v>
      </c>
      <c r="C430" s="98">
        <v>2014</v>
      </c>
      <c r="D430" s="98" t="s">
        <v>202</v>
      </c>
      <c r="E430" s="98" t="s">
        <v>10</v>
      </c>
      <c r="F430" s="98" t="s">
        <v>136</v>
      </c>
      <c r="G430" s="98">
        <v>0</v>
      </c>
      <c r="H430" s="299" t="str">
        <f>VLOOKUP(LEFT('Rev Adequacy'!D430,3),'Mapping B'!$D$2:$E$400,2,0)</f>
        <v>N</v>
      </c>
      <c r="I430" s="190"/>
      <c r="J430" s="15" t="s">
        <v>330</v>
      </c>
      <c r="K430" s="190" t="s">
        <v>17</v>
      </c>
      <c r="L430" s="190">
        <f t="shared" si="127"/>
        <v>3.738</v>
      </c>
      <c r="M430" s="15"/>
      <c r="N430" s="15"/>
      <c r="O430" s="15">
        <f>_xlfn.IFNA(IF(VLOOKUP($J430&amp;O$14,'Mapping A'!$A$6:$G$1011,7,0)=1,$L430,""),0)</f>
        <v>0</v>
      </c>
      <c r="P430" s="15">
        <f>_xlfn.IFNA(IF(VLOOKUP($J430&amp;P$14,'Mapping A'!$A$6:$G$1011,7,0)=1,$L430,""),0)</f>
        <v>0</v>
      </c>
      <c r="Q430" s="15">
        <f>_xlfn.IFNA(IF(VLOOKUP($J430&amp;Q$14,'Mapping A'!$A$6:$G$1011,7,0)=1,$L430,""),0)</f>
        <v>0</v>
      </c>
      <c r="R430" s="15">
        <f>_xlfn.IFNA(IF(VLOOKUP($J430&amp;R$14,'Mapping A'!$A$6:$G$1011,7,0)=1,$L430,""),0)</f>
        <v>0</v>
      </c>
      <c r="S430" s="15">
        <f>_xlfn.IFNA(IF(VLOOKUP($J430&amp;S$14,'Mapping A'!$A$6:$G$1011,7,0)=1,$L430,""),0)</f>
        <v>0</v>
      </c>
      <c r="T430" s="15">
        <f>_xlfn.IFNA(IF(VLOOKUP($J430&amp;T$14,'Mapping A'!$A$6:$G$1011,7,0)=1,$L430,""),0)</f>
        <v>3.738</v>
      </c>
      <c r="U430" s="15">
        <f>_xlfn.IFNA(IF(VLOOKUP($J430&amp;U$14,'Mapping A'!$A$6:$G$1011,7,0)=1,$L430,""),0)</f>
        <v>0</v>
      </c>
      <c r="V430" s="15">
        <f>_xlfn.IFNA(IF(VLOOKUP($J430&amp;V$14,'Mapping A'!$A$6:$G$1011,7,0)=1,$L430,""),0)</f>
        <v>0</v>
      </c>
      <c r="W430" s="15">
        <f>_xlfn.IFNA(IF(VLOOKUP($J430&amp;W$14,'Mapping A'!$A$6:$G$1011,7,0)=1,$L430,""),0)</f>
        <v>0</v>
      </c>
      <c r="X430" s="15">
        <f>_xlfn.IFNA(IF(VLOOKUP($J430&amp;X$14,'Mapping A'!$A$6:$G$1011,7,0)=1,$L430,""),0)</f>
        <v>0</v>
      </c>
      <c r="Y430" s="15">
        <f>_xlfn.IFNA(IF(VLOOKUP($J430&amp;Y$14,'Mapping A'!$A$6:$G$1011,7,0)=1,$L430,""),0)</f>
        <v>0</v>
      </c>
      <c r="Z430" s="15">
        <f>_xlfn.IFNA(IF(VLOOKUP($J430&amp;Z$14,'Mapping A'!$A$6:$G$1011,7,0)=1,$L430,""),0)</f>
        <v>0</v>
      </c>
      <c r="AA430" s="15">
        <f>_xlfn.IFNA(IF(VLOOKUP($J430&amp;AA$14,'Mapping A'!$A$6:$G$1011,7,0)=1,$L430,""),0)</f>
        <v>0</v>
      </c>
      <c r="AF430" s="155" t="str">
        <f t="shared" si="135"/>
        <v>SWN2201MRP</v>
      </c>
      <c r="AG430" s="190" t="s">
        <v>330</v>
      </c>
      <c r="AH430" s="190" t="s">
        <v>17</v>
      </c>
      <c r="AI430" s="190">
        <f t="shared" si="128"/>
        <v>3.738</v>
      </c>
      <c r="AJ430" s="292" t="s">
        <v>95</v>
      </c>
      <c r="AK430" s="15"/>
      <c r="AL430" s="15">
        <f t="shared" si="123"/>
        <v>0</v>
      </c>
      <c r="AM430" s="15"/>
      <c r="AN430" s="15">
        <f t="shared" ca="1" si="124"/>
        <v>0</v>
      </c>
      <c r="AO430" s="15">
        <f t="shared" si="125"/>
        <v>0</v>
      </c>
      <c r="AP430" s="15">
        <f t="shared" si="126"/>
        <v>0</v>
      </c>
      <c r="AQ430" s="15"/>
      <c r="AR430" s="190">
        <f t="shared" si="129"/>
        <v>0</v>
      </c>
      <c r="AS430" s="15"/>
      <c r="AT430" s="190">
        <f t="shared" si="130"/>
        <v>0</v>
      </c>
      <c r="AU430" s="190">
        <f t="shared" si="131"/>
        <v>0</v>
      </c>
      <c r="AV430" s="190">
        <f t="shared" si="132"/>
        <v>0</v>
      </c>
      <c r="AW430" s="190">
        <f t="shared" si="133"/>
        <v>0</v>
      </c>
      <c r="AX430" s="190">
        <f t="shared" si="134"/>
        <v>0</v>
      </c>
      <c r="BP430" s="190"/>
    </row>
    <row r="431" spans="2:68" x14ac:dyDescent="0.25">
      <c r="B431" s="98" t="s">
        <v>555</v>
      </c>
      <c r="C431" s="98">
        <v>2014</v>
      </c>
      <c r="D431" s="98" t="s">
        <v>203</v>
      </c>
      <c r="E431" s="98" t="s">
        <v>10</v>
      </c>
      <c r="F431" s="98" t="s">
        <v>136</v>
      </c>
      <c r="G431" s="98">
        <v>0</v>
      </c>
      <c r="H431" s="299" t="str">
        <f>VLOOKUP(LEFT('Rev Adequacy'!D431,3),'Mapping B'!$D$2:$E$400,2,0)</f>
        <v>N</v>
      </c>
      <c r="I431" s="190"/>
      <c r="J431" s="15" t="s">
        <v>332</v>
      </c>
      <c r="K431" s="190" t="s">
        <v>37</v>
      </c>
      <c r="L431" s="190">
        <f t="shared" si="127"/>
        <v>119.80080000000001</v>
      </c>
      <c r="M431" s="15"/>
      <c r="N431" s="15"/>
      <c r="O431" s="15">
        <f>_xlfn.IFNA(IF(VLOOKUP($J431&amp;O$14,'Mapping A'!$A$6:$G$1011,7,0)=1,$L431,""),0)</f>
        <v>0</v>
      </c>
      <c r="P431" s="15">
        <f>_xlfn.IFNA(IF(VLOOKUP($J431&amp;P$14,'Mapping A'!$A$6:$G$1011,7,0)=1,$L431,""),0)</f>
        <v>0</v>
      </c>
      <c r="Q431" s="15">
        <f>_xlfn.IFNA(IF(VLOOKUP($J431&amp;Q$14,'Mapping A'!$A$6:$G$1011,7,0)=1,$L431,""),0)</f>
        <v>0</v>
      </c>
      <c r="R431" s="15">
        <f>_xlfn.IFNA(IF(VLOOKUP($J431&amp;R$14,'Mapping A'!$A$6:$G$1011,7,0)=1,$L431,""),0)</f>
        <v>0</v>
      </c>
      <c r="S431" s="15">
        <f>_xlfn.IFNA(IF(VLOOKUP($J431&amp;S$14,'Mapping A'!$A$6:$G$1011,7,0)=1,$L431,""),0)</f>
        <v>0</v>
      </c>
      <c r="T431" s="15">
        <f>_xlfn.IFNA(IF(VLOOKUP($J431&amp;T$14,'Mapping A'!$A$6:$G$1011,7,0)=1,$L431,""),0)</f>
        <v>119.80080000000001</v>
      </c>
      <c r="U431" s="15">
        <f>_xlfn.IFNA(IF(VLOOKUP($J431&amp;U$14,'Mapping A'!$A$6:$G$1011,7,0)=1,$L431,""),0)</f>
        <v>0</v>
      </c>
      <c r="V431" s="15">
        <f>_xlfn.IFNA(IF(VLOOKUP($J431&amp;V$14,'Mapping A'!$A$6:$G$1011,7,0)=1,$L431,""),0)</f>
        <v>0</v>
      </c>
      <c r="W431" s="15">
        <f>_xlfn.IFNA(IF(VLOOKUP($J431&amp;W$14,'Mapping A'!$A$6:$G$1011,7,0)=1,$L431,""),0)</f>
        <v>0</v>
      </c>
      <c r="X431" s="15">
        <f>_xlfn.IFNA(IF(VLOOKUP($J431&amp;X$14,'Mapping A'!$A$6:$G$1011,7,0)=1,$L431,""),0)</f>
        <v>0</v>
      </c>
      <c r="Y431" s="15">
        <f>_xlfn.IFNA(IF(VLOOKUP($J431&amp;Y$14,'Mapping A'!$A$6:$G$1011,7,0)=1,$L431,""),0)</f>
        <v>0</v>
      </c>
      <c r="Z431" s="15">
        <f>_xlfn.IFNA(IF(VLOOKUP($J431&amp;Z$14,'Mapping A'!$A$6:$G$1011,7,0)=1,$L431,""),0)</f>
        <v>0</v>
      </c>
      <c r="AA431" s="15">
        <f>_xlfn.IFNA(IF(VLOOKUP($J431&amp;AA$14,'Mapping A'!$A$6:$G$1011,7,0)=1,$L431,""),0)</f>
        <v>0</v>
      </c>
      <c r="AF431" s="155" t="str">
        <f t="shared" si="135"/>
        <v>TAK0331Vector</v>
      </c>
      <c r="AG431" s="190" t="s">
        <v>332</v>
      </c>
      <c r="AH431" s="190" t="s">
        <v>37</v>
      </c>
      <c r="AI431" s="190">
        <f t="shared" si="128"/>
        <v>119.80080000000001</v>
      </c>
      <c r="AJ431" s="292" t="s">
        <v>95</v>
      </c>
      <c r="AK431" s="15"/>
      <c r="AL431" s="15">
        <f t="shared" si="123"/>
        <v>0</v>
      </c>
      <c r="AM431" s="15"/>
      <c r="AN431" s="15">
        <f t="shared" ca="1" si="124"/>
        <v>0</v>
      </c>
      <c r="AO431" s="15">
        <f t="shared" si="125"/>
        <v>0</v>
      </c>
      <c r="AP431" s="15">
        <f t="shared" si="126"/>
        <v>0</v>
      </c>
      <c r="AQ431" s="15"/>
      <c r="AR431" s="190">
        <f t="shared" si="129"/>
        <v>0</v>
      </c>
      <c r="AS431" s="15"/>
      <c r="AT431" s="190">
        <f t="shared" si="130"/>
        <v>0</v>
      </c>
      <c r="AU431" s="190">
        <f t="shared" si="131"/>
        <v>0</v>
      </c>
      <c r="AV431" s="190">
        <f t="shared" si="132"/>
        <v>0</v>
      </c>
      <c r="AW431" s="190">
        <f t="shared" si="133"/>
        <v>0</v>
      </c>
      <c r="AX431" s="190">
        <f t="shared" si="134"/>
        <v>0</v>
      </c>
      <c r="BP431" s="190"/>
    </row>
    <row r="432" spans="2:68" x14ac:dyDescent="0.25">
      <c r="B432" s="98" t="s">
        <v>555</v>
      </c>
      <c r="C432" s="98">
        <v>2014</v>
      </c>
      <c r="D432" s="98" t="s">
        <v>204</v>
      </c>
      <c r="E432" s="98" t="s">
        <v>10</v>
      </c>
      <c r="F432" s="98" t="s">
        <v>136</v>
      </c>
      <c r="G432" s="98">
        <v>0</v>
      </c>
      <c r="H432" s="299" t="str">
        <f>VLOOKUP(LEFT('Rev Adequacy'!D432,3),'Mapping B'!$D$2:$E$400,2,0)</f>
        <v>N</v>
      </c>
      <c r="I432" s="190"/>
      <c r="J432" s="15" t="s">
        <v>333</v>
      </c>
      <c r="K432" s="190" t="s">
        <v>28</v>
      </c>
      <c r="L432" s="190">
        <f t="shared" si="127"/>
        <v>28.242900000000002</v>
      </c>
      <c r="M432" s="15"/>
      <c r="N432" s="15"/>
      <c r="O432" s="15">
        <f>_xlfn.IFNA(IF(VLOOKUP($J432&amp;O$14,'Mapping A'!$A$6:$G$1011,7,0)=1,$L432,""),0)</f>
        <v>0</v>
      </c>
      <c r="P432" s="15">
        <f>_xlfn.IFNA(IF(VLOOKUP($J432&amp;P$14,'Mapping A'!$A$6:$G$1011,7,0)=1,$L432,""),0)</f>
        <v>0</v>
      </c>
      <c r="Q432" s="15">
        <f>_xlfn.IFNA(IF(VLOOKUP($J432&amp;Q$14,'Mapping A'!$A$6:$G$1011,7,0)=1,$L432,""),0)</f>
        <v>0</v>
      </c>
      <c r="R432" s="15">
        <f>_xlfn.IFNA(IF(VLOOKUP($J432&amp;R$14,'Mapping A'!$A$6:$G$1011,7,0)=1,$L432,""),0)</f>
        <v>0</v>
      </c>
      <c r="S432" s="15">
        <f>_xlfn.IFNA(IF(VLOOKUP($J432&amp;S$14,'Mapping A'!$A$6:$G$1011,7,0)=1,$L432,""),0)</f>
        <v>0</v>
      </c>
      <c r="T432" s="15">
        <f>_xlfn.IFNA(IF(VLOOKUP($J432&amp;T$14,'Mapping A'!$A$6:$G$1011,7,0)=1,$L432,""),0)</f>
        <v>28.242900000000002</v>
      </c>
      <c r="U432" s="15">
        <f>_xlfn.IFNA(IF(VLOOKUP($J432&amp;U$14,'Mapping A'!$A$6:$G$1011,7,0)=1,$L432,""),0)</f>
        <v>0</v>
      </c>
      <c r="V432" s="15">
        <f>_xlfn.IFNA(IF(VLOOKUP($J432&amp;V$14,'Mapping A'!$A$6:$G$1011,7,0)=1,$L432,""),0)</f>
        <v>0</v>
      </c>
      <c r="W432" s="15">
        <f>_xlfn.IFNA(IF(VLOOKUP($J432&amp;W$14,'Mapping A'!$A$6:$G$1011,7,0)=1,$L432,""),0)</f>
        <v>0</v>
      </c>
      <c r="X432" s="15">
        <f>_xlfn.IFNA(IF(VLOOKUP($J432&amp;X$14,'Mapping A'!$A$6:$G$1011,7,0)=1,$L432,""),0)</f>
        <v>0</v>
      </c>
      <c r="Y432" s="15">
        <f>_xlfn.IFNA(IF(VLOOKUP($J432&amp;Y$14,'Mapping A'!$A$6:$G$1011,7,0)=1,$L432,""),0)</f>
        <v>0</v>
      </c>
      <c r="Z432" s="15">
        <f>_xlfn.IFNA(IF(VLOOKUP($J432&amp;Z$14,'Mapping A'!$A$6:$G$1011,7,0)=1,$L432,""),0)</f>
        <v>0</v>
      </c>
      <c r="AA432" s="15">
        <f>_xlfn.IFNA(IF(VLOOKUP($J432&amp;AA$14,'Mapping A'!$A$6:$G$1011,7,0)=1,$L432,""),0)</f>
        <v>0</v>
      </c>
      <c r="AF432" s="155" t="str">
        <f t="shared" si="135"/>
        <v>TGA0111Powerco</v>
      </c>
      <c r="AG432" s="190" t="s">
        <v>333</v>
      </c>
      <c r="AH432" s="190" t="s">
        <v>28</v>
      </c>
      <c r="AI432" s="190">
        <f t="shared" si="128"/>
        <v>28.242900000000002</v>
      </c>
      <c r="AJ432" s="292" t="s">
        <v>95</v>
      </c>
      <c r="AK432" s="15"/>
      <c r="AL432" s="15">
        <f t="shared" si="123"/>
        <v>0</v>
      </c>
      <c r="AM432" s="15"/>
      <c r="AN432" s="15">
        <f t="shared" ca="1" si="124"/>
        <v>0</v>
      </c>
      <c r="AO432" s="15">
        <f t="shared" si="125"/>
        <v>0</v>
      </c>
      <c r="AP432" s="15">
        <f t="shared" si="126"/>
        <v>0</v>
      </c>
      <c r="AQ432" s="15"/>
      <c r="AR432" s="190">
        <f t="shared" si="129"/>
        <v>0</v>
      </c>
      <c r="AS432" s="15"/>
      <c r="AT432" s="190">
        <f t="shared" si="130"/>
        <v>0</v>
      </c>
      <c r="AU432" s="190">
        <f t="shared" si="131"/>
        <v>0</v>
      </c>
      <c r="AV432" s="190">
        <f t="shared" si="132"/>
        <v>0</v>
      </c>
      <c r="AW432" s="190">
        <f t="shared" si="133"/>
        <v>0</v>
      </c>
      <c r="AX432" s="190">
        <f t="shared" si="134"/>
        <v>0</v>
      </c>
      <c r="BP432" s="190"/>
    </row>
    <row r="433" spans="2:68" x14ac:dyDescent="0.25">
      <c r="B433" s="98" t="s">
        <v>555</v>
      </c>
      <c r="C433" s="98">
        <v>2014</v>
      </c>
      <c r="D433" s="98" t="s">
        <v>205</v>
      </c>
      <c r="E433" s="98" t="s">
        <v>10</v>
      </c>
      <c r="F433" s="98" t="s">
        <v>136</v>
      </c>
      <c r="G433" s="98">
        <v>0</v>
      </c>
      <c r="H433" s="299" t="str">
        <f>VLOOKUP(LEFT('Rev Adequacy'!D433,3),'Mapping B'!$D$2:$E$400,2,0)</f>
        <v>N</v>
      </c>
      <c r="I433" s="190"/>
      <c r="J433" s="15" t="s">
        <v>334</v>
      </c>
      <c r="K433" s="190" t="s">
        <v>28</v>
      </c>
      <c r="L433" s="190">
        <f t="shared" si="127"/>
        <v>81.511499999999998</v>
      </c>
      <c r="M433" s="15"/>
      <c r="N433" s="15"/>
      <c r="O433" s="15">
        <f>_xlfn.IFNA(IF(VLOOKUP($J433&amp;O$14,'Mapping A'!$A$6:$G$1011,7,0)=1,$L433,""),0)</f>
        <v>0</v>
      </c>
      <c r="P433" s="15">
        <f>_xlfn.IFNA(IF(VLOOKUP($J433&amp;P$14,'Mapping A'!$A$6:$G$1011,7,0)=1,$L433,""),0)</f>
        <v>0</v>
      </c>
      <c r="Q433" s="15">
        <f>_xlfn.IFNA(IF(VLOOKUP($J433&amp;Q$14,'Mapping A'!$A$6:$G$1011,7,0)=1,$L433,""),0)</f>
        <v>0</v>
      </c>
      <c r="R433" s="15">
        <f>_xlfn.IFNA(IF(VLOOKUP($J433&amp;R$14,'Mapping A'!$A$6:$G$1011,7,0)=1,$L433,""),0)</f>
        <v>0</v>
      </c>
      <c r="S433" s="15">
        <f>_xlfn.IFNA(IF(VLOOKUP($J433&amp;S$14,'Mapping A'!$A$6:$G$1011,7,0)=1,$L433,""),0)</f>
        <v>0</v>
      </c>
      <c r="T433" s="15">
        <f>_xlfn.IFNA(IF(VLOOKUP($J433&amp;T$14,'Mapping A'!$A$6:$G$1011,7,0)=1,$L433,""),0)</f>
        <v>81.511499999999998</v>
      </c>
      <c r="U433" s="15">
        <f>_xlfn.IFNA(IF(VLOOKUP($J433&amp;U$14,'Mapping A'!$A$6:$G$1011,7,0)=1,$L433,""),0)</f>
        <v>0</v>
      </c>
      <c r="V433" s="15">
        <f>_xlfn.IFNA(IF(VLOOKUP($J433&amp;V$14,'Mapping A'!$A$6:$G$1011,7,0)=1,$L433,""),0)</f>
        <v>0</v>
      </c>
      <c r="W433" s="15">
        <f>_xlfn.IFNA(IF(VLOOKUP($J433&amp;W$14,'Mapping A'!$A$6:$G$1011,7,0)=1,$L433,""),0)</f>
        <v>0</v>
      </c>
      <c r="X433" s="15">
        <f>_xlfn.IFNA(IF(VLOOKUP($J433&amp;X$14,'Mapping A'!$A$6:$G$1011,7,0)=1,$L433,""),0)</f>
        <v>0</v>
      </c>
      <c r="Y433" s="15">
        <f>_xlfn.IFNA(IF(VLOOKUP($J433&amp;Y$14,'Mapping A'!$A$6:$G$1011,7,0)=1,$L433,""),0)</f>
        <v>0</v>
      </c>
      <c r="Z433" s="15">
        <f>_xlfn.IFNA(IF(VLOOKUP($J433&amp;Z$14,'Mapping A'!$A$6:$G$1011,7,0)=1,$L433,""),0)</f>
        <v>0</v>
      </c>
      <c r="AA433" s="15">
        <f>_xlfn.IFNA(IF(VLOOKUP($J433&amp;AA$14,'Mapping A'!$A$6:$G$1011,7,0)=1,$L433,""),0)</f>
        <v>0</v>
      </c>
      <c r="AF433" s="155" t="str">
        <f t="shared" si="135"/>
        <v>TGA0331Powerco</v>
      </c>
      <c r="AG433" s="190" t="s">
        <v>334</v>
      </c>
      <c r="AH433" s="190" t="s">
        <v>28</v>
      </c>
      <c r="AI433" s="190">
        <f t="shared" si="128"/>
        <v>81.511499999999998</v>
      </c>
      <c r="AJ433" s="292" t="s">
        <v>95</v>
      </c>
      <c r="AK433" s="15"/>
      <c r="AL433" s="15">
        <f t="shared" si="123"/>
        <v>0</v>
      </c>
      <c r="AM433" s="15"/>
      <c r="AN433" s="15">
        <f t="shared" ca="1" si="124"/>
        <v>0</v>
      </c>
      <c r="AO433" s="15">
        <f t="shared" si="125"/>
        <v>0</v>
      </c>
      <c r="AP433" s="15">
        <f t="shared" si="126"/>
        <v>0</v>
      </c>
      <c r="AQ433" s="15"/>
      <c r="AR433" s="190">
        <f t="shared" si="129"/>
        <v>0</v>
      </c>
      <c r="AS433" s="15"/>
      <c r="AT433" s="190">
        <f t="shared" si="130"/>
        <v>0</v>
      </c>
      <c r="AU433" s="190">
        <f t="shared" si="131"/>
        <v>0</v>
      </c>
      <c r="AV433" s="190">
        <f t="shared" si="132"/>
        <v>0</v>
      </c>
      <c r="AW433" s="190">
        <f t="shared" si="133"/>
        <v>0</v>
      </c>
      <c r="AX433" s="190">
        <f t="shared" si="134"/>
        <v>0</v>
      </c>
      <c r="BP433" s="190"/>
    </row>
    <row r="434" spans="2:68" x14ac:dyDescent="0.25">
      <c r="B434" s="98" t="s">
        <v>555</v>
      </c>
      <c r="C434" s="98">
        <v>2014</v>
      </c>
      <c r="D434" s="98" t="s">
        <v>317</v>
      </c>
      <c r="E434" s="98" t="s">
        <v>10</v>
      </c>
      <c r="F434" s="98" t="s">
        <v>136</v>
      </c>
      <c r="G434" s="98">
        <v>303326.79800000001</v>
      </c>
      <c r="H434" s="299" t="str">
        <f>VLOOKUP(LEFT('Rev Adequacy'!D434,3),'Mapping B'!$D$2:$E$400,2,0)</f>
        <v>N</v>
      </c>
      <c r="I434" s="190"/>
      <c r="J434" s="15" t="s">
        <v>336</v>
      </c>
      <c r="K434" s="190" t="s">
        <v>4</v>
      </c>
      <c r="L434" s="190">
        <f t="shared" si="127"/>
        <v>9.0299999999999994</v>
      </c>
      <c r="M434" s="15"/>
      <c r="N434" s="15"/>
      <c r="O434" s="15">
        <f>_xlfn.IFNA(IF(VLOOKUP($J434&amp;O$14,'Mapping A'!$A$6:$G$1011,7,0)=1,$L434,""),0)</f>
        <v>0</v>
      </c>
      <c r="P434" s="15">
        <f>_xlfn.IFNA(IF(VLOOKUP($J434&amp;P$14,'Mapping A'!$A$6:$G$1011,7,0)=1,$L434,""),0)</f>
        <v>0</v>
      </c>
      <c r="Q434" s="15">
        <f>_xlfn.IFNA(IF(VLOOKUP($J434&amp;Q$14,'Mapping A'!$A$6:$G$1011,7,0)=1,$L434,""),0)</f>
        <v>0</v>
      </c>
      <c r="R434" s="15">
        <f>_xlfn.IFNA(IF(VLOOKUP($J434&amp;R$14,'Mapping A'!$A$6:$G$1011,7,0)=1,$L434,""),0)</f>
        <v>0</v>
      </c>
      <c r="S434" s="15">
        <f>_xlfn.IFNA(IF(VLOOKUP($J434&amp;S$14,'Mapping A'!$A$6:$G$1011,7,0)=1,$L434,""),0)</f>
        <v>0</v>
      </c>
      <c r="T434" s="15">
        <f>_xlfn.IFNA(IF(VLOOKUP($J434&amp;T$14,'Mapping A'!$A$6:$G$1011,7,0)=1,$L434,""),0)</f>
        <v>0</v>
      </c>
      <c r="U434" s="15">
        <f>_xlfn.IFNA(IF(VLOOKUP($J434&amp;U$14,'Mapping A'!$A$6:$G$1011,7,0)=1,$L434,""),0)</f>
        <v>0</v>
      </c>
      <c r="V434" s="15">
        <f>_xlfn.IFNA(IF(VLOOKUP($J434&amp;V$14,'Mapping A'!$A$6:$G$1011,7,0)=1,$L434,""),0)</f>
        <v>0</v>
      </c>
      <c r="W434" s="15">
        <f>_xlfn.IFNA(IF(VLOOKUP($J434&amp;W$14,'Mapping A'!$A$6:$G$1011,7,0)=1,$L434,""),0)</f>
        <v>0</v>
      </c>
      <c r="X434" s="15">
        <f>_xlfn.IFNA(IF(VLOOKUP($J434&amp;X$14,'Mapping A'!$A$6:$G$1011,7,0)=1,$L434,""),0)</f>
        <v>0</v>
      </c>
      <c r="Y434" s="15">
        <f>_xlfn.IFNA(IF(VLOOKUP($J434&amp;Y$14,'Mapping A'!$A$6:$G$1011,7,0)=1,$L434,""),0)</f>
        <v>0</v>
      </c>
      <c r="Z434" s="15">
        <f>_xlfn.IFNA(IF(VLOOKUP($J434&amp;Z$14,'Mapping A'!$A$6:$G$1011,7,0)=1,$L434,""),0)</f>
        <v>0</v>
      </c>
      <c r="AA434" s="15">
        <f>_xlfn.IFNA(IF(VLOOKUP($J434&amp;AA$14,'Mapping A'!$A$6:$G$1011,7,0)=1,$L434,""),0)</f>
        <v>0</v>
      </c>
      <c r="AF434" s="155" t="str">
        <f t="shared" si="135"/>
        <v>THI2201Contact</v>
      </c>
      <c r="AG434" s="190" t="s">
        <v>336</v>
      </c>
      <c r="AH434" s="190" t="s">
        <v>4</v>
      </c>
      <c r="AI434" s="190">
        <f t="shared" si="128"/>
        <v>9.0299999999999994</v>
      </c>
      <c r="AJ434" s="292" t="s">
        <v>95</v>
      </c>
      <c r="AK434" s="15"/>
      <c r="AL434" s="15">
        <f t="shared" si="123"/>
        <v>0</v>
      </c>
      <c r="AM434" s="15"/>
      <c r="AN434" s="15">
        <f t="shared" ca="1" si="124"/>
        <v>0</v>
      </c>
      <c r="AO434" s="15">
        <f t="shared" si="125"/>
        <v>0</v>
      </c>
      <c r="AP434" s="15">
        <f t="shared" si="126"/>
        <v>0</v>
      </c>
      <c r="AQ434" s="15"/>
      <c r="AR434" s="190">
        <f t="shared" si="129"/>
        <v>0</v>
      </c>
      <c r="AS434" s="15"/>
      <c r="AT434" s="190">
        <f t="shared" si="130"/>
        <v>0</v>
      </c>
      <c r="AU434" s="190">
        <f t="shared" si="131"/>
        <v>0</v>
      </c>
      <c r="AV434" s="190">
        <f t="shared" si="132"/>
        <v>0</v>
      </c>
      <c r="AW434" s="190">
        <f t="shared" si="133"/>
        <v>0</v>
      </c>
      <c r="AX434" s="190">
        <f t="shared" si="134"/>
        <v>0</v>
      </c>
      <c r="BP434" s="190"/>
    </row>
    <row r="435" spans="2:68" x14ac:dyDescent="0.25">
      <c r="B435" s="98" t="s">
        <v>555</v>
      </c>
      <c r="C435" s="98">
        <v>2014</v>
      </c>
      <c r="D435" s="98" t="s">
        <v>340</v>
      </c>
      <c r="E435" s="98" t="s">
        <v>10</v>
      </c>
      <c r="F435" s="98" t="s">
        <v>136</v>
      </c>
      <c r="G435" s="98">
        <v>0</v>
      </c>
      <c r="H435" s="299" t="str">
        <f>VLOOKUP(LEFT('Rev Adequacy'!D435,3),'Mapping B'!$D$2:$E$400,2,0)</f>
        <v>S</v>
      </c>
      <c r="I435" s="190"/>
      <c r="J435" s="15" t="s">
        <v>339</v>
      </c>
      <c r="K435" s="190" t="s">
        <v>0</v>
      </c>
      <c r="L435" s="190">
        <f t="shared" si="127"/>
        <v>65.599800000000002</v>
      </c>
      <c r="M435" s="15"/>
      <c r="N435" s="15"/>
      <c r="O435" s="15">
        <f>_xlfn.IFNA(IF(VLOOKUP($J435&amp;O$14,'Mapping A'!$A$6:$G$1011,7,0)=1,$L435,""),0)</f>
        <v>0</v>
      </c>
      <c r="P435" s="15">
        <f>_xlfn.IFNA(IF(VLOOKUP($J435&amp;P$14,'Mapping A'!$A$6:$G$1011,7,0)=1,$L435,""),0)</f>
        <v>0</v>
      </c>
      <c r="Q435" s="15">
        <f>_xlfn.IFNA(IF(VLOOKUP($J435&amp;Q$14,'Mapping A'!$A$6:$G$1011,7,0)=1,$L435,""),0)</f>
        <v>65.599800000000002</v>
      </c>
      <c r="R435" s="15">
        <f>_xlfn.IFNA(IF(VLOOKUP($J435&amp;R$14,'Mapping A'!$A$6:$G$1011,7,0)=1,$L435,""),0)</f>
        <v>0</v>
      </c>
      <c r="S435" s="15">
        <f>_xlfn.IFNA(IF(VLOOKUP($J435&amp;S$14,'Mapping A'!$A$6:$G$1011,7,0)=1,$L435,""),0)</f>
        <v>0</v>
      </c>
      <c r="T435" s="15">
        <f>_xlfn.IFNA(IF(VLOOKUP($J435&amp;T$14,'Mapping A'!$A$6:$G$1011,7,0)=1,$L435,""),0)</f>
        <v>0</v>
      </c>
      <c r="U435" s="15">
        <f>_xlfn.IFNA(IF(VLOOKUP($J435&amp;U$14,'Mapping A'!$A$6:$G$1011,7,0)=1,$L435,""),0)</f>
        <v>0</v>
      </c>
      <c r="V435" s="15">
        <f>_xlfn.IFNA(IF(VLOOKUP($J435&amp;V$14,'Mapping A'!$A$6:$G$1011,7,0)=1,$L435,""),0)</f>
        <v>0</v>
      </c>
      <c r="W435" s="15">
        <f>_xlfn.IFNA(IF(VLOOKUP($J435&amp;W$14,'Mapping A'!$A$6:$G$1011,7,0)=1,$L435,""),0)</f>
        <v>0</v>
      </c>
      <c r="X435" s="15">
        <f>_xlfn.IFNA(IF(VLOOKUP($J435&amp;X$14,'Mapping A'!$A$6:$G$1011,7,0)=1,$L435,""),0)</f>
        <v>0</v>
      </c>
      <c r="Y435" s="15">
        <f>_xlfn.IFNA(IF(VLOOKUP($J435&amp;Y$14,'Mapping A'!$A$6:$G$1011,7,0)=1,$L435,""),0)</f>
        <v>0</v>
      </c>
      <c r="Z435" s="15">
        <f>_xlfn.IFNA(IF(VLOOKUP($J435&amp;Z$14,'Mapping A'!$A$6:$G$1011,7,0)=1,$L435,""),0)</f>
        <v>0</v>
      </c>
      <c r="AA435" s="15">
        <f>_xlfn.IFNA(IF(VLOOKUP($J435&amp;AA$14,'Mapping A'!$A$6:$G$1011,7,0)=1,$L435,""),0)</f>
        <v>0</v>
      </c>
      <c r="AF435" s="155" t="str">
        <f t="shared" si="135"/>
        <v>TIM0111Alpine Energy</v>
      </c>
      <c r="AG435" s="190" t="s">
        <v>339</v>
      </c>
      <c r="AH435" s="190" t="s">
        <v>0</v>
      </c>
      <c r="AI435" s="190">
        <f t="shared" si="128"/>
        <v>65.599800000000002</v>
      </c>
      <c r="AJ435" s="292" t="s">
        <v>96</v>
      </c>
      <c r="AK435" s="15"/>
      <c r="AL435" s="15">
        <f t="shared" si="123"/>
        <v>0</v>
      </c>
      <c r="AM435" s="15"/>
      <c r="AN435" s="15">
        <f t="shared" ca="1" si="124"/>
        <v>0</v>
      </c>
      <c r="AO435" s="15">
        <f t="shared" si="125"/>
        <v>0</v>
      </c>
      <c r="AP435" s="15">
        <f t="shared" si="126"/>
        <v>0</v>
      </c>
      <c r="AQ435" s="15"/>
      <c r="AR435" s="190">
        <f t="shared" si="129"/>
        <v>0</v>
      </c>
      <c r="AS435" s="15"/>
      <c r="AT435" s="190">
        <f t="shared" si="130"/>
        <v>0</v>
      </c>
      <c r="AU435" s="190">
        <f t="shared" si="131"/>
        <v>0</v>
      </c>
      <c r="AV435" s="190">
        <f t="shared" si="132"/>
        <v>0</v>
      </c>
      <c r="AW435" s="190">
        <f t="shared" si="133"/>
        <v>0</v>
      </c>
      <c r="AX435" s="190">
        <f t="shared" si="134"/>
        <v>0</v>
      </c>
      <c r="BP435" s="190"/>
    </row>
    <row r="436" spans="2:68" x14ac:dyDescent="0.25">
      <c r="B436" s="98" t="s">
        <v>555</v>
      </c>
      <c r="C436" s="98">
        <v>2014</v>
      </c>
      <c r="D436" s="98" t="s">
        <v>341</v>
      </c>
      <c r="E436" s="98" t="s">
        <v>10</v>
      </c>
      <c r="F436" s="98" t="s">
        <v>136</v>
      </c>
      <c r="G436" s="98">
        <v>0</v>
      </c>
      <c r="H436" s="299" t="str">
        <f>VLOOKUP(LEFT('Rev Adequacy'!D436,3),'Mapping B'!$D$2:$E$400,2,0)</f>
        <v>S</v>
      </c>
      <c r="I436" s="190"/>
      <c r="J436" s="15" t="s">
        <v>919</v>
      </c>
      <c r="K436" s="190" t="s">
        <v>10</v>
      </c>
      <c r="L436" s="190">
        <f t="shared" si="127"/>
        <v>0.17849999999999999</v>
      </c>
      <c r="M436" s="15"/>
      <c r="N436" s="15"/>
      <c r="O436" s="15">
        <f>_xlfn.IFNA(IF(VLOOKUP($J436&amp;O$14,'Mapping A'!$A$6:$G$1011,7,0)=1,$L436,""),0)</f>
        <v>0</v>
      </c>
      <c r="P436" s="15">
        <f>_xlfn.IFNA(IF(VLOOKUP($J436&amp;P$14,'Mapping A'!$A$6:$G$1011,7,0)=1,$L436,""),0)</f>
        <v>0</v>
      </c>
      <c r="Q436" s="15">
        <f>_xlfn.IFNA(IF(VLOOKUP($J436&amp;Q$14,'Mapping A'!$A$6:$G$1011,7,0)=1,$L436,""),0)</f>
        <v>0</v>
      </c>
      <c r="R436" s="15">
        <f>_xlfn.IFNA(IF(VLOOKUP($J436&amp;R$14,'Mapping A'!$A$6:$G$1011,7,0)=1,$L436,""),0)</f>
        <v>0</v>
      </c>
      <c r="S436" s="15">
        <f>_xlfn.IFNA(IF(VLOOKUP($J436&amp;S$14,'Mapping A'!$A$6:$G$1011,7,0)=1,$L436,""),0)</f>
        <v>0</v>
      </c>
      <c r="T436" s="15">
        <f>_xlfn.IFNA(IF(VLOOKUP($J436&amp;T$14,'Mapping A'!$A$6:$G$1011,7,0)=1,$L436,""),0)</f>
        <v>0</v>
      </c>
      <c r="U436" s="15">
        <f>_xlfn.IFNA(IF(VLOOKUP($J436&amp;U$14,'Mapping A'!$A$6:$G$1011,7,0)=1,$L436,""),0)</f>
        <v>0</v>
      </c>
      <c r="V436" s="15">
        <f>_xlfn.IFNA(IF(VLOOKUP($J436&amp;V$14,'Mapping A'!$A$6:$G$1011,7,0)=1,$L436,""),0)</f>
        <v>0</v>
      </c>
      <c r="W436" s="15">
        <f>_xlfn.IFNA(IF(VLOOKUP($J436&amp;W$14,'Mapping A'!$A$6:$G$1011,7,0)=1,$L436,""),0)</f>
        <v>0</v>
      </c>
      <c r="X436" s="15">
        <f>_xlfn.IFNA(IF(VLOOKUP($J436&amp;X$14,'Mapping A'!$A$6:$G$1011,7,0)=1,$L436,""),0)</f>
        <v>0</v>
      </c>
      <c r="Y436" s="15">
        <f>_xlfn.IFNA(IF(VLOOKUP($J436&amp;Y$14,'Mapping A'!$A$6:$G$1011,7,0)=1,$L436,""),0)</f>
        <v>0</v>
      </c>
      <c r="Z436" s="15">
        <f>_xlfn.IFNA(IF(VLOOKUP($J436&amp;Z$14,'Mapping A'!$A$6:$G$1011,7,0)=1,$L436,""),0)</f>
        <v>0</v>
      </c>
      <c r="AA436" s="15">
        <f>_xlfn.IFNA(IF(VLOOKUP($J436&amp;AA$14,'Mapping A'!$A$6:$G$1011,7,0)=1,$L436,""),0)</f>
        <v>0</v>
      </c>
      <c r="AF436" s="155" t="str">
        <f t="shared" si="135"/>
        <v>TKA0111Genesis</v>
      </c>
      <c r="AG436" s="190" t="s">
        <v>919</v>
      </c>
      <c r="AH436" s="190" t="s">
        <v>10</v>
      </c>
      <c r="AI436" s="190">
        <f t="shared" si="128"/>
        <v>0.17849999999999999</v>
      </c>
      <c r="AJ436" s="292" t="s">
        <v>96</v>
      </c>
      <c r="AK436" s="15"/>
      <c r="AL436" s="15">
        <f t="shared" si="123"/>
        <v>0</v>
      </c>
      <c r="AM436" s="15"/>
      <c r="AN436" s="15">
        <f t="shared" ca="1" si="124"/>
        <v>0</v>
      </c>
      <c r="AO436" s="15">
        <f t="shared" si="125"/>
        <v>0</v>
      </c>
      <c r="AP436" s="15">
        <f t="shared" si="126"/>
        <v>0</v>
      </c>
      <c r="AQ436" s="15"/>
      <c r="AR436" s="190">
        <f t="shared" si="129"/>
        <v>0</v>
      </c>
      <c r="AS436" s="15"/>
      <c r="AT436" s="190">
        <f t="shared" si="130"/>
        <v>0</v>
      </c>
      <c r="AU436" s="190">
        <f t="shared" si="131"/>
        <v>0</v>
      </c>
      <c r="AV436" s="190">
        <f t="shared" si="132"/>
        <v>0</v>
      </c>
      <c r="AW436" s="190">
        <f t="shared" si="133"/>
        <v>0</v>
      </c>
      <c r="AX436" s="190">
        <f t="shared" si="134"/>
        <v>0</v>
      </c>
      <c r="BP436" s="190"/>
    </row>
    <row r="437" spans="2:68" x14ac:dyDescent="0.25">
      <c r="B437" s="98" t="s">
        <v>555</v>
      </c>
      <c r="C437" s="98">
        <v>2014</v>
      </c>
      <c r="D437" s="98" t="s">
        <v>344</v>
      </c>
      <c r="E437" s="98" t="s">
        <v>10</v>
      </c>
      <c r="F437" s="98" t="s">
        <v>131</v>
      </c>
      <c r="G437" s="98">
        <v>678.28517882689698</v>
      </c>
      <c r="H437" s="299" t="str">
        <f>VLOOKUP(LEFT('Rev Adequacy'!D437,3),'Mapping B'!$D$2:$E$400,2,0)</f>
        <v>N</v>
      </c>
      <c r="I437" s="190"/>
      <c r="J437" s="15" t="s">
        <v>422</v>
      </c>
      <c r="K437" s="190" t="s">
        <v>0</v>
      </c>
      <c r="L437" s="190">
        <f t="shared" si="127"/>
        <v>3.9375</v>
      </c>
      <c r="M437" s="15"/>
      <c r="N437" s="15"/>
      <c r="O437" s="15">
        <f>_xlfn.IFNA(IF(VLOOKUP($J437&amp;O$14,'Mapping A'!$A$6:$G$1011,7,0)=1,$L437,""),0)</f>
        <v>0</v>
      </c>
      <c r="P437" s="15">
        <f>_xlfn.IFNA(IF(VLOOKUP($J437&amp;P$14,'Mapping A'!$A$6:$G$1011,7,0)=1,$L437,""),0)</f>
        <v>0</v>
      </c>
      <c r="Q437" s="15">
        <f>_xlfn.IFNA(IF(VLOOKUP($J437&amp;Q$14,'Mapping A'!$A$6:$G$1011,7,0)=1,$L437,""),0)</f>
        <v>3.9375</v>
      </c>
      <c r="R437" s="15">
        <f>_xlfn.IFNA(IF(VLOOKUP($J437&amp;R$14,'Mapping A'!$A$6:$G$1011,7,0)=1,$L437,""),0)</f>
        <v>0</v>
      </c>
      <c r="S437" s="15">
        <f>_xlfn.IFNA(IF(VLOOKUP($J437&amp;S$14,'Mapping A'!$A$6:$G$1011,7,0)=1,$L437,""),0)</f>
        <v>0</v>
      </c>
      <c r="T437" s="15">
        <f>_xlfn.IFNA(IF(VLOOKUP($J437&amp;T$14,'Mapping A'!$A$6:$G$1011,7,0)=1,$L437,""),0)</f>
        <v>0</v>
      </c>
      <c r="U437" s="15">
        <f>_xlfn.IFNA(IF(VLOOKUP($J437&amp;U$14,'Mapping A'!$A$6:$G$1011,7,0)=1,$L437,""),0)</f>
        <v>0</v>
      </c>
      <c r="V437" s="15">
        <f>_xlfn.IFNA(IF(VLOOKUP($J437&amp;V$14,'Mapping A'!$A$6:$G$1011,7,0)=1,$L437,""),0)</f>
        <v>0</v>
      </c>
      <c r="W437" s="15">
        <f>_xlfn.IFNA(IF(VLOOKUP($J437&amp;W$14,'Mapping A'!$A$6:$G$1011,7,0)=1,$L437,""),0)</f>
        <v>0</v>
      </c>
      <c r="X437" s="15">
        <f>_xlfn.IFNA(IF(VLOOKUP($J437&amp;X$14,'Mapping A'!$A$6:$G$1011,7,0)=1,$L437,""),0)</f>
        <v>0</v>
      </c>
      <c r="Y437" s="15">
        <f>_xlfn.IFNA(IF(VLOOKUP($J437&amp;Y$14,'Mapping A'!$A$6:$G$1011,7,0)=1,$L437,""),0)</f>
        <v>0</v>
      </c>
      <c r="Z437" s="15">
        <f>_xlfn.IFNA(IF(VLOOKUP($J437&amp;Z$14,'Mapping A'!$A$6:$G$1011,7,0)=1,$L437,""),0)</f>
        <v>0</v>
      </c>
      <c r="AA437" s="15">
        <f>_xlfn.IFNA(IF(VLOOKUP($J437&amp;AA$14,'Mapping A'!$A$6:$G$1011,7,0)=1,$L437,""),0)</f>
        <v>0</v>
      </c>
      <c r="AF437" s="155" t="str">
        <f t="shared" si="135"/>
        <v>TKA0331Alpine Energy</v>
      </c>
      <c r="AG437" s="190" t="s">
        <v>422</v>
      </c>
      <c r="AH437" s="190" t="s">
        <v>0</v>
      </c>
      <c r="AI437" s="190">
        <f t="shared" si="128"/>
        <v>3.9375</v>
      </c>
      <c r="AJ437" s="292" t="s">
        <v>96</v>
      </c>
      <c r="AK437" s="15"/>
      <c r="AL437" s="15">
        <f t="shared" si="123"/>
        <v>0</v>
      </c>
      <c r="AM437" s="15"/>
      <c r="AN437" s="15">
        <f t="shared" ca="1" si="124"/>
        <v>0</v>
      </c>
      <c r="AO437" s="15">
        <f t="shared" si="125"/>
        <v>0</v>
      </c>
      <c r="AP437" s="15">
        <f t="shared" si="126"/>
        <v>0</v>
      </c>
      <c r="AQ437" s="15"/>
      <c r="AR437" s="190">
        <f t="shared" si="129"/>
        <v>0</v>
      </c>
      <c r="AS437" s="15"/>
      <c r="AT437" s="190">
        <f t="shared" si="130"/>
        <v>0</v>
      </c>
      <c r="AU437" s="190">
        <f t="shared" si="131"/>
        <v>0</v>
      </c>
      <c r="AV437" s="190">
        <f t="shared" si="132"/>
        <v>0</v>
      </c>
      <c r="AW437" s="190">
        <f t="shared" si="133"/>
        <v>0</v>
      </c>
      <c r="AX437" s="190">
        <f t="shared" si="134"/>
        <v>0</v>
      </c>
      <c r="BP437" s="190"/>
    </row>
    <row r="438" spans="2:68" x14ac:dyDescent="0.25">
      <c r="B438" s="98" t="s">
        <v>555</v>
      </c>
      <c r="C438" s="98">
        <v>2014</v>
      </c>
      <c r="D438" s="98" t="s">
        <v>345</v>
      </c>
      <c r="E438" s="98" t="s">
        <v>10</v>
      </c>
      <c r="F438" s="98" t="s">
        <v>136</v>
      </c>
      <c r="G438" s="98">
        <v>0</v>
      </c>
      <c r="H438" s="299" t="str">
        <f>VLOOKUP(LEFT('Rev Adequacy'!D438,3),'Mapping B'!$D$2:$E$400,2,0)</f>
        <v>N</v>
      </c>
      <c r="I438" s="190"/>
      <c r="J438" s="15" t="s">
        <v>920</v>
      </c>
      <c r="K438" s="190" t="s">
        <v>10</v>
      </c>
      <c r="L438" s="190">
        <f t="shared" si="127"/>
        <v>1.0500000000000001E-2</v>
      </c>
      <c r="M438" s="15"/>
      <c r="N438" s="15"/>
      <c r="O438" s="15">
        <f>_xlfn.IFNA(IF(VLOOKUP($J438&amp;O$14,'Mapping A'!$A$6:$G$1011,7,0)=1,$L438,""),0)</f>
        <v>0</v>
      </c>
      <c r="P438" s="15">
        <f>_xlfn.IFNA(IF(VLOOKUP($J438&amp;P$14,'Mapping A'!$A$6:$G$1011,7,0)=1,$L438,""),0)</f>
        <v>0</v>
      </c>
      <c r="Q438" s="15">
        <f>_xlfn.IFNA(IF(VLOOKUP($J438&amp;Q$14,'Mapping A'!$A$6:$G$1011,7,0)=1,$L438,""),0)</f>
        <v>0</v>
      </c>
      <c r="R438" s="15">
        <f>_xlfn.IFNA(IF(VLOOKUP($J438&amp;R$14,'Mapping A'!$A$6:$G$1011,7,0)=1,$L438,""),0)</f>
        <v>0</v>
      </c>
      <c r="S438" s="15">
        <f>_xlfn.IFNA(IF(VLOOKUP($J438&amp;S$14,'Mapping A'!$A$6:$G$1011,7,0)=1,$L438,""),0)</f>
        <v>0</v>
      </c>
      <c r="T438" s="15">
        <f>_xlfn.IFNA(IF(VLOOKUP($J438&amp;T$14,'Mapping A'!$A$6:$G$1011,7,0)=1,$L438,""),0)</f>
        <v>0</v>
      </c>
      <c r="U438" s="15">
        <f>_xlfn.IFNA(IF(VLOOKUP($J438&amp;U$14,'Mapping A'!$A$6:$G$1011,7,0)=1,$L438,""),0)</f>
        <v>0</v>
      </c>
      <c r="V438" s="15">
        <f>_xlfn.IFNA(IF(VLOOKUP($J438&amp;V$14,'Mapping A'!$A$6:$G$1011,7,0)=1,$L438,""),0)</f>
        <v>0</v>
      </c>
      <c r="W438" s="15">
        <f>_xlfn.IFNA(IF(VLOOKUP($J438&amp;W$14,'Mapping A'!$A$6:$G$1011,7,0)=1,$L438,""),0)</f>
        <v>0</v>
      </c>
      <c r="X438" s="15">
        <f>_xlfn.IFNA(IF(VLOOKUP($J438&amp;X$14,'Mapping A'!$A$6:$G$1011,7,0)=1,$L438,""),0)</f>
        <v>0</v>
      </c>
      <c r="Y438" s="15">
        <f>_xlfn.IFNA(IF(VLOOKUP($J438&amp;Y$14,'Mapping A'!$A$6:$G$1011,7,0)=1,$L438,""),0)</f>
        <v>0</v>
      </c>
      <c r="Z438" s="15">
        <f>_xlfn.IFNA(IF(VLOOKUP($J438&amp;Z$14,'Mapping A'!$A$6:$G$1011,7,0)=1,$L438,""),0)</f>
        <v>0</v>
      </c>
      <c r="AA438" s="15">
        <f>_xlfn.IFNA(IF(VLOOKUP($J438&amp;AA$14,'Mapping A'!$A$6:$G$1011,7,0)=1,$L438,""),0)</f>
        <v>0</v>
      </c>
      <c r="AF438" s="155" t="str">
        <f t="shared" si="135"/>
        <v>TKB2201Genesis</v>
      </c>
      <c r="AG438" s="190" t="s">
        <v>920</v>
      </c>
      <c r="AH438" s="190" t="s">
        <v>10</v>
      </c>
      <c r="AI438" s="190">
        <f t="shared" si="128"/>
        <v>1.0500000000000001E-2</v>
      </c>
      <c r="AJ438" s="292" t="s">
        <v>96</v>
      </c>
      <c r="AK438" s="15"/>
      <c r="AL438" s="15">
        <f t="shared" si="123"/>
        <v>0</v>
      </c>
      <c r="AM438" s="15"/>
      <c r="AN438" s="15">
        <f t="shared" ca="1" si="124"/>
        <v>0</v>
      </c>
      <c r="AO438" s="15">
        <f t="shared" si="125"/>
        <v>0</v>
      </c>
      <c r="AP438" s="15">
        <f t="shared" si="126"/>
        <v>0</v>
      </c>
      <c r="AQ438" s="15"/>
      <c r="AR438" s="190">
        <f t="shared" si="129"/>
        <v>0</v>
      </c>
      <c r="AS438" s="15"/>
      <c r="AT438" s="190">
        <f t="shared" si="130"/>
        <v>0</v>
      </c>
      <c r="AU438" s="190">
        <f t="shared" si="131"/>
        <v>0</v>
      </c>
      <c r="AV438" s="190">
        <f t="shared" si="132"/>
        <v>0</v>
      </c>
      <c r="AW438" s="190">
        <f t="shared" si="133"/>
        <v>0</v>
      </c>
      <c r="AX438" s="190">
        <f t="shared" si="134"/>
        <v>0</v>
      </c>
      <c r="BP438" s="190"/>
    </row>
    <row r="439" spans="2:68" x14ac:dyDescent="0.25">
      <c r="B439" s="98" t="s">
        <v>555</v>
      </c>
      <c r="C439" s="98">
        <v>2014</v>
      </c>
      <c r="D439" s="98" t="s">
        <v>353</v>
      </c>
      <c r="E439" s="98" t="s">
        <v>10</v>
      </c>
      <c r="F439" s="98" t="s">
        <v>131</v>
      </c>
      <c r="G439" s="98">
        <v>0</v>
      </c>
      <c r="H439" s="299" t="str">
        <f>VLOOKUP(LEFT('Rev Adequacy'!D439,3),'Mapping B'!$D$2:$E$400,2,0)</f>
        <v>N</v>
      </c>
      <c r="I439" s="190"/>
      <c r="J439" s="15" t="s">
        <v>342</v>
      </c>
      <c r="K439" s="190" t="s">
        <v>11</v>
      </c>
      <c r="L439" s="190">
        <f t="shared" si="127"/>
        <v>1.722</v>
      </c>
      <c r="M439" s="15"/>
      <c r="N439" s="15"/>
      <c r="O439" s="15">
        <f>_xlfn.IFNA(IF(VLOOKUP($J439&amp;O$14,'Mapping A'!$A$6:$G$1011,7,0)=1,$L439,""),0)</f>
        <v>0</v>
      </c>
      <c r="P439" s="15">
        <f>_xlfn.IFNA(IF(VLOOKUP($J439&amp;P$14,'Mapping A'!$A$6:$G$1011,7,0)=1,$L439,""),0)</f>
        <v>0</v>
      </c>
      <c r="Q439" s="15">
        <f>_xlfn.IFNA(IF(VLOOKUP($J439&amp;Q$14,'Mapping A'!$A$6:$G$1011,7,0)=1,$L439,""),0)</f>
        <v>0</v>
      </c>
      <c r="R439" s="15">
        <f>_xlfn.IFNA(IF(VLOOKUP($J439&amp;R$14,'Mapping A'!$A$6:$G$1011,7,0)=1,$L439,""),0)</f>
        <v>0</v>
      </c>
      <c r="S439" s="15">
        <f>_xlfn.IFNA(IF(VLOOKUP($J439&amp;S$14,'Mapping A'!$A$6:$G$1011,7,0)=1,$L439,""),0)</f>
        <v>0</v>
      </c>
      <c r="T439" s="15">
        <f>_xlfn.IFNA(IF(VLOOKUP($J439&amp;T$14,'Mapping A'!$A$6:$G$1011,7,0)=1,$L439,""),0)</f>
        <v>1.722</v>
      </c>
      <c r="U439" s="15">
        <f>_xlfn.IFNA(IF(VLOOKUP($J439&amp;U$14,'Mapping A'!$A$6:$G$1011,7,0)=1,$L439,""),0)</f>
        <v>0</v>
      </c>
      <c r="V439" s="15">
        <f>_xlfn.IFNA(IF(VLOOKUP($J439&amp;V$14,'Mapping A'!$A$6:$G$1011,7,0)=1,$L439,""),0)</f>
        <v>0</v>
      </c>
      <c r="W439" s="15">
        <f>_xlfn.IFNA(IF(VLOOKUP($J439&amp;W$14,'Mapping A'!$A$6:$G$1011,7,0)=1,$L439,""),0)</f>
        <v>0</v>
      </c>
      <c r="X439" s="15">
        <f>_xlfn.IFNA(IF(VLOOKUP($J439&amp;X$14,'Mapping A'!$A$6:$G$1011,7,0)=1,$L439,""),0)</f>
        <v>0</v>
      </c>
      <c r="Y439" s="15">
        <f>_xlfn.IFNA(IF(VLOOKUP($J439&amp;Y$14,'Mapping A'!$A$6:$G$1011,7,0)=1,$L439,""),0)</f>
        <v>0</v>
      </c>
      <c r="Z439" s="15">
        <f>_xlfn.IFNA(IF(VLOOKUP($J439&amp;Z$14,'Mapping A'!$A$6:$G$1011,7,0)=1,$L439,""),0)</f>
        <v>0</v>
      </c>
      <c r="AA439" s="15">
        <f>_xlfn.IFNA(IF(VLOOKUP($J439&amp;AA$14,'Mapping A'!$A$6:$G$1011,7,0)=1,$L439,""),0)</f>
        <v>0</v>
      </c>
      <c r="AF439" s="155" t="str">
        <f t="shared" si="135"/>
        <v>TKH0111Horizon</v>
      </c>
      <c r="AG439" s="190" t="s">
        <v>342</v>
      </c>
      <c r="AH439" s="190" t="s">
        <v>11</v>
      </c>
      <c r="AI439" s="190">
        <f t="shared" si="128"/>
        <v>1.722</v>
      </c>
      <c r="AJ439" s="292" t="s">
        <v>95</v>
      </c>
      <c r="AK439" s="15"/>
      <c r="AL439" s="15">
        <f t="shared" si="123"/>
        <v>0</v>
      </c>
      <c r="AM439" s="15"/>
      <c r="AN439" s="15">
        <f t="shared" ca="1" si="124"/>
        <v>0</v>
      </c>
      <c r="AO439" s="15">
        <f t="shared" si="125"/>
        <v>0</v>
      </c>
      <c r="AP439" s="15">
        <f t="shared" si="126"/>
        <v>0</v>
      </c>
      <c r="AQ439" s="15"/>
      <c r="AR439" s="190">
        <f t="shared" si="129"/>
        <v>0</v>
      </c>
      <c r="AS439" s="15"/>
      <c r="AT439" s="190">
        <f t="shared" si="130"/>
        <v>0</v>
      </c>
      <c r="AU439" s="190">
        <f t="shared" si="131"/>
        <v>0</v>
      </c>
      <c r="AV439" s="190">
        <f t="shared" si="132"/>
        <v>0</v>
      </c>
      <c r="AW439" s="190">
        <f t="shared" si="133"/>
        <v>0</v>
      </c>
      <c r="AX439" s="190">
        <f t="shared" si="134"/>
        <v>0</v>
      </c>
      <c r="BP439" s="190"/>
    </row>
    <row r="440" spans="2:68" x14ac:dyDescent="0.25">
      <c r="B440" s="98" t="s">
        <v>555</v>
      </c>
      <c r="C440" s="98">
        <v>2014</v>
      </c>
      <c r="D440" s="98" t="s">
        <v>354</v>
      </c>
      <c r="E440" s="98" t="s">
        <v>10</v>
      </c>
      <c r="F440" s="98" t="s">
        <v>136</v>
      </c>
      <c r="G440" s="98">
        <v>143169.799999999</v>
      </c>
      <c r="H440" s="299" t="str">
        <f>VLOOKUP(LEFT('Rev Adequacy'!D440,3),'Mapping B'!$D$2:$E$400,2,0)</f>
        <v>N</v>
      </c>
      <c r="I440" s="190"/>
      <c r="J440" s="15" t="s">
        <v>343</v>
      </c>
      <c r="K440" s="190" t="s">
        <v>40</v>
      </c>
      <c r="L440" s="190">
        <f t="shared" si="127"/>
        <v>95.283299999999997</v>
      </c>
      <c r="M440" s="15"/>
      <c r="N440" s="15"/>
      <c r="O440" s="15">
        <f>_xlfn.IFNA(IF(VLOOKUP($J440&amp;O$14,'Mapping A'!$A$6:$G$1011,7,0)=1,$L440,""),0)</f>
        <v>0</v>
      </c>
      <c r="P440" s="15">
        <f>_xlfn.IFNA(IF(VLOOKUP($J440&amp;P$14,'Mapping A'!$A$6:$G$1011,7,0)=1,$L440,""),0)</f>
        <v>0</v>
      </c>
      <c r="Q440" s="15">
        <f>_xlfn.IFNA(IF(VLOOKUP($J440&amp;Q$14,'Mapping A'!$A$6:$G$1011,7,0)=1,$L440,""),0)</f>
        <v>0</v>
      </c>
      <c r="R440" s="15">
        <f>_xlfn.IFNA(IF(VLOOKUP($J440&amp;R$14,'Mapping A'!$A$6:$G$1011,7,0)=1,$L440,""),0)</f>
        <v>0</v>
      </c>
      <c r="S440" s="15">
        <f>_xlfn.IFNA(IF(VLOOKUP($J440&amp;S$14,'Mapping A'!$A$6:$G$1011,7,0)=1,$L440,""),0)</f>
        <v>0</v>
      </c>
      <c r="T440" s="15">
        <f>_xlfn.IFNA(IF(VLOOKUP($J440&amp;T$14,'Mapping A'!$A$6:$G$1011,7,0)=1,$L440,""),0)</f>
        <v>0</v>
      </c>
      <c r="U440" s="15">
        <f>_xlfn.IFNA(IF(VLOOKUP($J440&amp;U$14,'Mapping A'!$A$6:$G$1011,7,0)=1,$L440,""),0)</f>
        <v>0</v>
      </c>
      <c r="V440" s="15">
        <f>_xlfn.IFNA(IF(VLOOKUP($J440&amp;V$14,'Mapping A'!$A$6:$G$1011,7,0)=1,$L440,""),0)</f>
        <v>0</v>
      </c>
      <c r="W440" s="15">
        <f>_xlfn.IFNA(IF(VLOOKUP($J440&amp;W$14,'Mapping A'!$A$6:$G$1011,7,0)=1,$L440,""),0)</f>
        <v>0</v>
      </c>
      <c r="X440" s="15">
        <f>_xlfn.IFNA(IF(VLOOKUP($J440&amp;X$14,'Mapping A'!$A$6:$G$1011,7,0)=1,$L440,""),0)</f>
        <v>0</v>
      </c>
      <c r="Y440" s="15">
        <f>_xlfn.IFNA(IF(VLOOKUP($J440&amp;Y$14,'Mapping A'!$A$6:$G$1011,7,0)=1,$L440,""),0)</f>
        <v>0</v>
      </c>
      <c r="Z440" s="15">
        <f>_xlfn.IFNA(IF(VLOOKUP($J440&amp;Z$14,'Mapping A'!$A$6:$G$1011,7,0)=1,$L440,""),0)</f>
        <v>0</v>
      </c>
      <c r="AA440" s="15">
        <f>_xlfn.IFNA(IF(VLOOKUP($J440&amp;AA$14,'Mapping A'!$A$6:$G$1011,7,0)=1,$L440,""),0)</f>
        <v>0</v>
      </c>
      <c r="AF440" s="155" t="str">
        <f t="shared" si="135"/>
        <v>TKR0331Wellington Electricity</v>
      </c>
      <c r="AG440" s="190" t="s">
        <v>343</v>
      </c>
      <c r="AH440" s="190" t="s">
        <v>40</v>
      </c>
      <c r="AI440" s="190">
        <f t="shared" si="128"/>
        <v>95.283299999999997</v>
      </c>
      <c r="AJ440" s="292" t="s">
        <v>95</v>
      </c>
      <c r="AK440" s="15"/>
      <c r="AL440" s="15">
        <f t="shared" si="123"/>
        <v>0</v>
      </c>
      <c r="AM440" s="15"/>
      <c r="AN440" s="15">
        <f t="shared" ca="1" si="124"/>
        <v>0</v>
      </c>
      <c r="AO440" s="15">
        <f t="shared" si="125"/>
        <v>0</v>
      </c>
      <c r="AP440" s="15">
        <f t="shared" si="126"/>
        <v>0</v>
      </c>
      <c r="AQ440" s="15"/>
      <c r="AR440" s="190">
        <f t="shared" si="129"/>
        <v>0</v>
      </c>
      <c r="AS440" s="15"/>
      <c r="AT440" s="190">
        <f t="shared" si="130"/>
        <v>0</v>
      </c>
      <c r="AU440" s="190">
        <f t="shared" si="131"/>
        <v>0</v>
      </c>
      <c r="AV440" s="190">
        <f t="shared" si="132"/>
        <v>0</v>
      </c>
      <c r="AW440" s="190">
        <f t="shared" si="133"/>
        <v>0</v>
      </c>
      <c r="AX440" s="190">
        <f t="shared" si="134"/>
        <v>0</v>
      </c>
      <c r="BP440" s="190"/>
    </row>
    <row r="441" spans="2:68" x14ac:dyDescent="0.25">
      <c r="B441" s="98" t="s">
        <v>555</v>
      </c>
      <c r="C441" s="98">
        <v>2014</v>
      </c>
      <c r="D441" s="98" t="s">
        <v>355</v>
      </c>
      <c r="E441" s="98" t="s">
        <v>10</v>
      </c>
      <c r="F441" s="98" t="s">
        <v>136</v>
      </c>
      <c r="G441" s="98">
        <v>217280.19799999901</v>
      </c>
      <c r="H441" s="299" t="str">
        <f>VLOOKUP(LEFT('Rev Adequacy'!D441,3),'Mapping B'!$D$2:$E$400,2,0)</f>
        <v>N</v>
      </c>
      <c r="I441" s="190"/>
      <c r="J441" s="15" t="s">
        <v>344</v>
      </c>
      <c r="K441" s="190" t="s">
        <v>10</v>
      </c>
      <c r="L441" s="190">
        <f t="shared" si="127"/>
        <v>0.51870000000000005</v>
      </c>
      <c r="M441" s="15"/>
      <c r="N441" s="15"/>
      <c r="O441" s="15">
        <f>_xlfn.IFNA(IF(VLOOKUP($J441&amp;O$14,'Mapping A'!$A$6:$G$1011,7,0)=1,$L441,""),0)</f>
        <v>0</v>
      </c>
      <c r="P441" s="15">
        <f>_xlfn.IFNA(IF(VLOOKUP($J441&amp;P$14,'Mapping A'!$A$6:$G$1011,7,0)=1,$L441,""),0)</f>
        <v>0</v>
      </c>
      <c r="Q441" s="15">
        <f>_xlfn.IFNA(IF(VLOOKUP($J441&amp;Q$14,'Mapping A'!$A$6:$G$1011,7,0)=1,$L441,""),0)</f>
        <v>0</v>
      </c>
      <c r="R441" s="15">
        <f>_xlfn.IFNA(IF(VLOOKUP($J441&amp;R$14,'Mapping A'!$A$6:$G$1011,7,0)=1,$L441,""),0)</f>
        <v>0</v>
      </c>
      <c r="S441" s="15">
        <f>_xlfn.IFNA(IF(VLOOKUP($J441&amp;S$14,'Mapping A'!$A$6:$G$1011,7,0)=1,$L441,""),0)</f>
        <v>0</v>
      </c>
      <c r="T441" s="15">
        <f>_xlfn.IFNA(IF(VLOOKUP($J441&amp;T$14,'Mapping A'!$A$6:$G$1011,7,0)=1,$L441,""),0)</f>
        <v>0</v>
      </c>
      <c r="U441" s="15">
        <f>_xlfn.IFNA(IF(VLOOKUP($J441&amp;U$14,'Mapping A'!$A$6:$G$1011,7,0)=1,$L441,""),0)</f>
        <v>0</v>
      </c>
      <c r="V441" s="15">
        <f>_xlfn.IFNA(IF(VLOOKUP($J441&amp;V$14,'Mapping A'!$A$6:$G$1011,7,0)=1,$L441,""),0)</f>
        <v>0</v>
      </c>
      <c r="W441" s="15">
        <f>_xlfn.IFNA(IF(VLOOKUP($J441&amp;W$14,'Mapping A'!$A$6:$G$1011,7,0)=1,$L441,""),0)</f>
        <v>0</v>
      </c>
      <c r="X441" s="15">
        <f>_xlfn.IFNA(IF(VLOOKUP($J441&amp;X$14,'Mapping A'!$A$6:$G$1011,7,0)=1,$L441,""),0)</f>
        <v>0</v>
      </c>
      <c r="Y441" s="15">
        <f>_xlfn.IFNA(IF(VLOOKUP($J441&amp;Y$14,'Mapping A'!$A$6:$G$1011,7,0)=1,$L441,""),0)</f>
        <v>0</v>
      </c>
      <c r="Z441" s="15">
        <f>_xlfn.IFNA(IF(VLOOKUP($J441&amp;Z$14,'Mapping A'!$A$6:$G$1011,7,0)=1,$L441,""),0)</f>
        <v>0</v>
      </c>
      <c r="AA441" s="15">
        <f>_xlfn.IFNA(IF(VLOOKUP($J441&amp;AA$14,'Mapping A'!$A$6:$G$1011,7,0)=1,$L441,""),0)</f>
        <v>0</v>
      </c>
      <c r="AF441" s="155" t="str">
        <f t="shared" si="135"/>
        <v>TKU0331Genesis</v>
      </c>
      <c r="AG441" s="190" t="s">
        <v>344</v>
      </c>
      <c r="AH441" s="190" t="s">
        <v>10</v>
      </c>
      <c r="AI441" s="190">
        <f t="shared" si="128"/>
        <v>0.51870000000000005</v>
      </c>
      <c r="AJ441" s="292" t="s">
        <v>95</v>
      </c>
      <c r="AK441" s="15"/>
      <c r="AL441" s="15">
        <f t="shared" si="123"/>
        <v>0</v>
      </c>
      <c r="AM441" s="15"/>
      <c r="AN441" s="15">
        <f t="shared" ca="1" si="124"/>
        <v>0</v>
      </c>
      <c r="AO441" s="15">
        <f t="shared" si="125"/>
        <v>0</v>
      </c>
      <c r="AP441" s="15">
        <f t="shared" si="126"/>
        <v>0</v>
      </c>
      <c r="AQ441" s="15"/>
      <c r="AR441" s="190">
        <f t="shared" si="129"/>
        <v>0</v>
      </c>
      <c r="AS441" s="15"/>
      <c r="AT441" s="190">
        <f t="shared" si="130"/>
        <v>0</v>
      </c>
      <c r="AU441" s="190">
        <f t="shared" si="131"/>
        <v>0</v>
      </c>
      <c r="AV441" s="190">
        <f t="shared" si="132"/>
        <v>0</v>
      </c>
      <c r="AW441" s="190">
        <f t="shared" si="133"/>
        <v>0</v>
      </c>
      <c r="AX441" s="190">
        <f t="shared" si="134"/>
        <v>0</v>
      </c>
      <c r="BP441" s="190"/>
    </row>
    <row r="442" spans="2:68" x14ac:dyDescent="0.25">
      <c r="B442" s="98" t="s">
        <v>555</v>
      </c>
      <c r="C442" s="98">
        <v>2014</v>
      </c>
      <c r="D442" s="98" t="s">
        <v>356</v>
      </c>
      <c r="E442" s="98" t="s">
        <v>10</v>
      </c>
      <c r="F442" s="98" t="s">
        <v>136</v>
      </c>
      <c r="G442" s="98">
        <v>296898.66099999798</v>
      </c>
      <c r="H442" s="299" t="str">
        <f>VLOOKUP(LEFT('Rev Adequacy'!D442,3),'Mapping B'!$D$2:$E$400,2,0)</f>
        <v>N</v>
      </c>
      <c r="I442" s="190"/>
      <c r="J442" s="15" t="s">
        <v>344</v>
      </c>
      <c r="K442" s="190" t="s">
        <v>32</v>
      </c>
      <c r="L442" s="190">
        <f t="shared" si="127"/>
        <v>11.243399999999999</v>
      </c>
      <c r="M442" s="15"/>
      <c r="N442" s="15"/>
      <c r="O442" s="15">
        <f>_xlfn.IFNA(IF(VLOOKUP($J442&amp;O$14,'Mapping A'!$A$6:$G$1011,7,0)=1,$L442,""),0)</f>
        <v>0</v>
      </c>
      <c r="P442" s="15">
        <f>_xlfn.IFNA(IF(VLOOKUP($J442&amp;P$14,'Mapping A'!$A$6:$G$1011,7,0)=1,$L442,""),0)</f>
        <v>0</v>
      </c>
      <c r="Q442" s="15">
        <f>_xlfn.IFNA(IF(VLOOKUP($J442&amp;Q$14,'Mapping A'!$A$6:$G$1011,7,0)=1,$L442,""),0)</f>
        <v>0</v>
      </c>
      <c r="R442" s="15">
        <f>_xlfn.IFNA(IF(VLOOKUP($J442&amp;R$14,'Mapping A'!$A$6:$G$1011,7,0)=1,$L442,""),0)</f>
        <v>0</v>
      </c>
      <c r="S442" s="15">
        <f>_xlfn.IFNA(IF(VLOOKUP($J442&amp;S$14,'Mapping A'!$A$6:$G$1011,7,0)=1,$L442,""),0)</f>
        <v>0</v>
      </c>
      <c r="T442" s="15">
        <f>_xlfn.IFNA(IF(VLOOKUP($J442&amp;T$14,'Mapping A'!$A$6:$G$1011,7,0)=1,$L442,""),0)</f>
        <v>0</v>
      </c>
      <c r="U442" s="15">
        <f>_xlfn.IFNA(IF(VLOOKUP($J442&amp;U$14,'Mapping A'!$A$6:$G$1011,7,0)=1,$L442,""),0)</f>
        <v>0</v>
      </c>
      <c r="V442" s="15">
        <f>_xlfn.IFNA(IF(VLOOKUP($J442&amp;V$14,'Mapping A'!$A$6:$G$1011,7,0)=1,$L442,""),0)</f>
        <v>0</v>
      </c>
      <c r="W442" s="15">
        <f>_xlfn.IFNA(IF(VLOOKUP($J442&amp;W$14,'Mapping A'!$A$6:$G$1011,7,0)=1,$L442,""),0)</f>
        <v>0</v>
      </c>
      <c r="X442" s="15">
        <f>_xlfn.IFNA(IF(VLOOKUP($J442&amp;X$14,'Mapping A'!$A$6:$G$1011,7,0)=1,$L442,""),0)</f>
        <v>0</v>
      </c>
      <c r="Y442" s="15">
        <f>_xlfn.IFNA(IF(VLOOKUP($J442&amp;Y$14,'Mapping A'!$A$6:$G$1011,7,0)=1,$L442,""),0)</f>
        <v>0</v>
      </c>
      <c r="Z442" s="15">
        <f>_xlfn.IFNA(IF(VLOOKUP($J442&amp;Z$14,'Mapping A'!$A$6:$G$1011,7,0)=1,$L442,""),0)</f>
        <v>0</v>
      </c>
      <c r="AA442" s="15">
        <f>_xlfn.IFNA(IF(VLOOKUP($J442&amp;AA$14,'Mapping A'!$A$6:$G$1011,7,0)=1,$L442,""),0)</f>
        <v>0</v>
      </c>
      <c r="AF442" s="155" t="str">
        <f t="shared" si="135"/>
        <v>TKU0331The Lines Company</v>
      </c>
      <c r="AG442" s="190" t="s">
        <v>344</v>
      </c>
      <c r="AH442" s="190" t="s">
        <v>32</v>
      </c>
      <c r="AI442" s="190">
        <f t="shared" si="128"/>
        <v>11.243399999999999</v>
      </c>
      <c r="AJ442" s="292" t="s">
        <v>95</v>
      </c>
      <c r="AK442" s="15"/>
      <c r="AL442" s="15">
        <f t="shared" si="123"/>
        <v>0</v>
      </c>
      <c r="AM442" s="15"/>
      <c r="AN442" s="15">
        <f t="shared" ca="1" si="124"/>
        <v>0</v>
      </c>
      <c r="AO442" s="15">
        <f t="shared" si="125"/>
        <v>0</v>
      </c>
      <c r="AP442" s="15">
        <f t="shared" si="126"/>
        <v>0</v>
      </c>
      <c r="AQ442" s="15"/>
      <c r="AR442" s="190">
        <f t="shared" si="129"/>
        <v>0</v>
      </c>
      <c r="AS442" s="15"/>
      <c r="AT442" s="190">
        <f t="shared" si="130"/>
        <v>0</v>
      </c>
      <c r="AU442" s="190">
        <f t="shared" si="131"/>
        <v>0</v>
      </c>
      <c r="AV442" s="190">
        <f t="shared" si="132"/>
        <v>0</v>
      </c>
      <c r="AW442" s="190">
        <f t="shared" si="133"/>
        <v>0</v>
      </c>
      <c r="AX442" s="190">
        <f t="shared" si="134"/>
        <v>0</v>
      </c>
      <c r="BP442" s="190"/>
    </row>
    <row r="443" spans="2:68" x14ac:dyDescent="0.25">
      <c r="B443" s="98" t="s">
        <v>112</v>
      </c>
      <c r="C443" s="98">
        <v>2014</v>
      </c>
      <c r="D443" s="98" t="s">
        <v>202</v>
      </c>
      <c r="E443" s="98" t="s">
        <v>10</v>
      </c>
      <c r="F443" s="98" t="s">
        <v>136</v>
      </c>
      <c r="G443" s="98">
        <v>0</v>
      </c>
      <c r="H443" s="299" t="str">
        <f>VLOOKUP(LEFT('Rev Adequacy'!D443,3),'Mapping B'!$D$2:$E$400,2,0)</f>
        <v>N</v>
      </c>
      <c r="I443" s="190"/>
      <c r="J443" s="15" t="s">
        <v>921</v>
      </c>
      <c r="K443" s="190" t="s">
        <v>10</v>
      </c>
      <c r="L443" s="190">
        <f t="shared" si="127"/>
        <v>6.4616999999999996</v>
      </c>
      <c r="M443" s="15"/>
      <c r="N443" s="15"/>
      <c r="O443" s="15">
        <f>_xlfn.IFNA(IF(VLOOKUP($J443&amp;O$14,'Mapping A'!$A$6:$G$1011,7,0)=1,$L443,""),0)</f>
        <v>0</v>
      </c>
      <c r="P443" s="15">
        <f>_xlfn.IFNA(IF(VLOOKUP($J443&amp;P$14,'Mapping A'!$A$6:$G$1011,7,0)=1,$L443,""),0)</f>
        <v>0</v>
      </c>
      <c r="Q443" s="15">
        <f>_xlfn.IFNA(IF(VLOOKUP($J443&amp;Q$14,'Mapping A'!$A$6:$G$1011,7,0)=1,$L443,""),0)</f>
        <v>0</v>
      </c>
      <c r="R443" s="15">
        <f>_xlfn.IFNA(IF(VLOOKUP($J443&amp;R$14,'Mapping A'!$A$6:$G$1011,7,0)=1,$L443,""),0)</f>
        <v>0</v>
      </c>
      <c r="S443" s="15">
        <f>_xlfn.IFNA(IF(VLOOKUP($J443&amp;S$14,'Mapping A'!$A$6:$G$1011,7,0)=1,$L443,""),0)</f>
        <v>0</v>
      </c>
      <c r="T443" s="15">
        <f>_xlfn.IFNA(IF(VLOOKUP($J443&amp;T$14,'Mapping A'!$A$6:$G$1011,7,0)=1,$L443,""),0)</f>
        <v>0</v>
      </c>
      <c r="U443" s="15">
        <f>_xlfn.IFNA(IF(VLOOKUP($J443&amp;U$14,'Mapping A'!$A$6:$G$1011,7,0)=1,$L443,""),0)</f>
        <v>0</v>
      </c>
      <c r="V443" s="15">
        <f>_xlfn.IFNA(IF(VLOOKUP($J443&amp;V$14,'Mapping A'!$A$6:$G$1011,7,0)=1,$L443,""),0)</f>
        <v>0</v>
      </c>
      <c r="W443" s="15">
        <f>_xlfn.IFNA(IF(VLOOKUP($J443&amp;W$14,'Mapping A'!$A$6:$G$1011,7,0)=1,$L443,""),0)</f>
        <v>0</v>
      </c>
      <c r="X443" s="15">
        <f>_xlfn.IFNA(IF(VLOOKUP($J443&amp;X$14,'Mapping A'!$A$6:$G$1011,7,0)=1,$L443,""),0)</f>
        <v>0</v>
      </c>
      <c r="Y443" s="15">
        <f>_xlfn.IFNA(IF(VLOOKUP($J443&amp;Y$14,'Mapping A'!$A$6:$G$1011,7,0)=1,$L443,""),0)</f>
        <v>0</v>
      </c>
      <c r="Z443" s="15">
        <f>_xlfn.IFNA(IF(VLOOKUP($J443&amp;Z$14,'Mapping A'!$A$6:$G$1011,7,0)=1,$L443,""),0)</f>
        <v>0</v>
      </c>
      <c r="AA443" s="15">
        <f>_xlfn.IFNA(IF(VLOOKUP($J443&amp;AA$14,'Mapping A'!$A$6:$G$1011,7,0)=1,$L443,""),0)</f>
        <v>0</v>
      </c>
      <c r="AF443" s="155" t="str">
        <f t="shared" si="135"/>
        <v>TKU2201Genesis</v>
      </c>
      <c r="AG443" s="190" t="s">
        <v>921</v>
      </c>
      <c r="AH443" s="190" t="s">
        <v>10</v>
      </c>
      <c r="AI443" s="190">
        <f t="shared" si="128"/>
        <v>6.4616999999999996</v>
      </c>
      <c r="AJ443" s="292" t="s">
        <v>95</v>
      </c>
      <c r="AK443" s="15"/>
      <c r="AL443" s="15">
        <f t="shared" si="123"/>
        <v>0</v>
      </c>
      <c r="AM443" s="15"/>
      <c r="AN443" s="15">
        <f t="shared" ca="1" si="124"/>
        <v>0</v>
      </c>
      <c r="AO443" s="15">
        <f t="shared" si="125"/>
        <v>0</v>
      </c>
      <c r="AP443" s="15">
        <f t="shared" si="126"/>
        <v>0</v>
      </c>
      <c r="AQ443" s="15"/>
      <c r="AR443" s="190">
        <f t="shared" si="129"/>
        <v>0</v>
      </c>
      <c r="AS443" s="15"/>
      <c r="AT443" s="190">
        <f t="shared" si="130"/>
        <v>0</v>
      </c>
      <c r="AU443" s="190">
        <f t="shared" si="131"/>
        <v>0</v>
      </c>
      <c r="AV443" s="190">
        <f t="shared" si="132"/>
        <v>0</v>
      </c>
      <c r="AW443" s="190">
        <f t="shared" si="133"/>
        <v>0</v>
      </c>
      <c r="AX443" s="190">
        <f t="shared" si="134"/>
        <v>0</v>
      </c>
      <c r="BP443" s="190"/>
    </row>
    <row r="444" spans="2:68" x14ac:dyDescent="0.25">
      <c r="B444" s="98" t="s">
        <v>112</v>
      </c>
      <c r="C444" s="98">
        <v>2014</v>
      </c>
      <c r="D444" s="98" t="s">
        <v>203</v>
      </c>
      <c r="E444" s="98" t="s">
        <v>10</v>
      </c>
      <c r="F444" s="98" t="s">
        <v>136</v>
      </c>
      <c r="G444" s="98">
        <v>0</v>
      </c>
      <c r="H444" s="299" t="str">
        <f>VLOOKUP(LEFT('Rev Adequacy'!D444,3),'Mapping B'!$D$2:$E$400,2,0)</f>
        <v>N</v>
      </c>
      <c r="I444" s="190"/>
      <c r="J444" s="15" t="s">
        <v>346</v>
      </c>
      <c r="K444" s="190" t="s">
        <v>28</v>
      </c>
      <c r="L444" s="190">
        <f t="shared" si="127"/>
        <v>29.761200000000002</v>
      </c>
      <c r="M444" s="15"/>
      <c r="N444" s="15"/>
      <c r="O444" s="15">
        <f>_xlfn.IFNA(IF(VLOOKUP($J444&amp;O$14,'Mapping A'!$A$6:$G$1011,7,0)=1,$L444,""),0)</f>
        <v>0</v>
      </c>
      <c r="P444" s="15">
        <f>_xlfn.IFNA(IF(VLOOKUP($J444&amp;P$14,'Mapping A'!$A$6:$G$1011,7,0)=1,$L444,""),0)</f>
        <v>0</v>
      </c>
      <c r="Q444" s="15">
        <f>_xlfn.IFNA(IF(VLOOKUP($J444&amp;Q$14,'Mapping A'!$A$6:$G$1011,7,0)=1,$L444,""),0)</f>
        <v>0</v>
      </c>
      <c r="R444" s="15">
        <f>_xlfn.IFNA(IF(VLOOKUP($J444&amp;R$14,'Mapping A'!$A$6:$G$1011,7,0)=1,$L444,""),0)</f>
        <v>0</v>
      </c>
      <c r="S444" s="15">
        <f>_xlfn.IFNA(IF(VLOOKUP($J444&amp;S$14,'Mapping A'!$A$6:$G$1011,7,0)=1,$L444,""),0)</f>
        <v>0</v>
      </c>
      <c r="T444" s="15">
        <f>_xlfn.IFNA(IF(VLOOKUP($J444&amp;T$14,'Mapping A'!$A$6:$G$1011,7,0)=1,$L444,""),0)</f>
        <v>29.761200000000002</v>
      </c>
      <c r="U444" s="15">
        <f>_xlfn.IFNA(IF(VLOOKUP($J444&amp;U$14,'Mapping A'!$A$6:$G$1011,7,0)=1,$L444,""),0)</f>
        <v>0</v>
      </c>
      <c r="V444" s="15">
        <f>_xlfn.IFNA(IF(VLOOKUP($J444&amp;V$14,'Mapping A'!$A$6:$G$1011,7,0)=1,$L444,""),0)</f>
        <v>0</v>
      </c>
      <c r="W444" s="15">
        <f>_xlfn.IFNA(IF(VLOOKUP($J444&amp;W$14,'Mapping A'!$A$6:$G$1011,7,0)=1,$L444,""),0)</f>
        <v>0</v>
      </c>
      <c r="X444" s="15">
        <f>_xlfn.IFNA(IF(VLOOKUP($J444&amp;X$14,'Mapping A'!$A$6:$G$1011,7,0)=1,$L444,""),0)</f>
        <v>0</v>
      </c>
      <c r="Y444" s="15">
        <f>_xlfn.IFNA(IF(VLOOKUP($J444&amp;Y$14,'Mapping A'!$A$6:$G$1011,7,0)=1,$L444,""),0)</f>
        <v>0</v>
      </c>
      <c r="Z444" s="15">
        <f>_xlfn.IFNA(IF(VLOOKUP($J444&amp;Z$14,'Mapping A'!$A$6:$G$1011,7,0)=1,$L444,""),0)</f>
        <v>0</v>
      </c>
      <c r="AA444" s="15">
        <f>_xlfn.IFNA(IF(VLOOKUP($J444&amp;AA$14,'Mapping A'!$A$6:$G$1011,7,0)=1,$L444,""),0)</f>
        <v>0</v>
      </c>
      <c r="AF444" s="155" t="str">
        <f t="shared" si="135"/>
        <v>TMI0331Powerco</v>
      </c>
      <c r="AG444" s="190" t="s">
        <v>346</v>
      </c>
      <c r="AH444" s="190" t="s">
        <v>28</v>
      </c>
      <c r="AI444" s="190">
        <f t="shared" si="128"/>
        <v>29.761200000000002</v>
      </c>
      <c r="AJ444" s="292" t="s">
        <v>95</v>
      </c>
      <c r="AK444" s="15"/>
      <c r="AL444" s="15">
        <f t="shared" si="123"/>
        <v>0</v>
      </c>
      <c r="AM444" s="15"/>
      <c r="AN444" s="15">
        <f t="shared" ca="1" si="124"/>
        <v>0</v>
      </c>
      <c r="AO444" s="15">
        <f t="shared" si="125"/>
        <v>0</v>
      </c>
      <c r="AP444" s="15">
        <f t="shared" si="126"/>
        <v>0</v>
      </c>
      <c r="AQ444" s="15"/>
      <c r="AR444" s="190">
        <f t="shared" si="129"/>
        <v>0</v>
      </c>
      <c r="AS444" s="15"/>
      <c r="AT444" s="190">
        <f t="shared" si="130"/>
        <v>0</v>
      </c>
      <c r="AU444" s="190">
        <f t="shared" si="131"/>
        <v>0</v>
      </c>
      <c r="AV444" s="190">
        <f t="shared" si="132"/>
        <v>0</v>
      </c>
      <c r="AW444" s="190">
        <f t="shared" si="133"/>
        <v>0</v>
      </c>
      <c r="AX444" s="190">
        <f t="shared" si="134"/>
        <v>0</v>
      </c>
      <c r="BP444" s="190"/>
    </row>
    <row r="445" spans="2:68" x14ac:dyDescent="0.25">
      <c r="B445" s="98" t="s">
        <v>112</v>
      </c>
      <c r="C445" s="98">
        <v>2014</v>
      </c>
      <c r="D445" s="98" t="s">
        <v>204</v>
      </c>
      <c r="E445" s="98" t="s">
        <v>10</v>
      </c>
      <c r="F445" s="98" t="s">
        <v>136</v>
      </c>
      <c r="G445" s="98">
        <v>0</v>
      </c>
      <c r="H445" s="299" t="str">
        <f>VLOOKUP(LEFT('Rev Adequacy'!D445,3),'Mapping B'!$D$2:$E$400,2,0)</f>
        <v>N</v>
      </c>
      <c r="I445" s="190"/>
      <c r="J445" s="15" t="s">
        <v>347</v>
      </c>
      <c r="K445" s="190" t="s">
        <v>0</v>
      </c>
      <c r="L445" s="190">
        <f t="shared" si="127"/>
        <v>56.823900000000002</v>
      </c>
      <c r="M445" s="15"/>
      <c r="N445" s="15"/>
      <c r="O445" s="15">
        <f>_xlfn.IFNA(IF(VLOOKUP($J445&amp;O$14,'Mapping A'!$A$6:$G$1011,7,0)=1,$L445,""),0)</f>
        <v>0</v>
      </c>
      <c r="P445" s="15">
        <f>_xlfn.IFNA(IF(VLOOKUP($J445&amp;P$14,'Mapping A'!$A$6:$G$1011,7,0)=1,$L445,""),0)</f>
        <v>0</v>
      </c>
      <c r="Q445" s="15">
        <f>_xlfn.IFNA(IF(VLOOKUP($J445&amp;Q$14,'Mapping A'!$A$6:$G$1011,7,0)=1,$L445,""),0)</f>
        <v>56.823900000000002</v>
      </c>
      <c r="R445" s="15">
        <f>_xlfn.IFNA(IF(VLOOKUP($J445&amp;R$14,'Mapping A'!$A$6:$G$1011,7,0)=1,$L445,""),0)</f>
        <v>0</v>
      </c>
      <c r="S445" s="15">
        <f>_xlfn.IFNA(IF(VLOOKUP($J445&amp;S$14,'Mapping A'!$A$6:$G$1011,7,0)=1,$L445,""),0)</f>
        <v>0</v>
      </c>
      <c r="T445" s="15">
        <f>_xlfn.IFNA(IF(VLOOKUP($J445&amp;T$14,'Mapping A'!$A$6:$G$1011,7,0)=1,$L445,""),0)</f>
        <v>0</v>
      </c>
      <c r="U445" s="15">
        <f>_xlfn.IFNA(IF(VLOOKUP($J445&amp;U$14,'Mapping A'!$A$6:$G$1011,7,0)=1,$L445,""),0)</f>
        <v>0</v>
      </c>
      <c r="V445" s="15">
        <f>_xlfn.IFNA(IF(VLOOKUP($J445&amp;V$14,'Mapping A'!$A$6:$G$1011,7,0)=1,$L445,""),0)</f>
        <v>0</v>
      </c>
      <c r="W445" s="15">
        <f>_xlfn.IFNA(IF(VLOOKUP($J445&amp;W$14,'Mapping A'!$A$6:$G$1011,7,0)=1,$L445,""),0)</f>
        <v>0</v>
      </c>
      <c r="X445" s="15">
        <f>_xlfn.IFNA(IF(VLOOKUP($J445&amp;X$14,'Mapping A'!$A$6:$G$1011,7,0)=1,$L445,""),0)</f>
        <v>0</v>
      </c>
      <c r="Y445" s="15">
        <f>_xlfn.IFNA(IF(VLOOKUP($J445&amp;Y$14,'Mapping A'!$A$6:$G$1011,7,0)=1,$L445,""),0)</f>
        <v>0</v>
      </c>
      <c r="Z445" s="15">
        <f>_xlfn.IFNA(IF(VLOOKUP($J445&amp;Z$14,'Mapping A'!$A$6:$G$1011,7,0)=1,$L445,""),0)</f>
        <v>0</v>
      </c>
      <c r="AA445" s="15">
        <f>_xlfn.IFNA(IF(VLOOKUP($J445&amp;AA$14,'Mapping A'!$A$6:$G$1011,7,0)=1,$L445,""),0)</f>
        <v>0</v>
      </c>
      <c r="AF445" s="155" t="str">
        <f t="shared" si="135"/>
        <v>TMK0331Alpine Energy</v>
      </c>
      <c r="AG445" s="190" t="s">
        <v>347</v>
      </c>
      <c r="AH445" s="190" t="s">
        <v>0</v>
      </c>
      <c r="AI445" s="190">
        <f t="shared" si="128"/>
        <v>56.823900000000002</v>
      </c>
      <c r="AJ445" s="292" t="s">
        <v>96</v>
      </c>
      <c r="AK445" s="15"/>
      <c r="AL445" s="15">
        <f t="shared" si="123"/>
        <v>0</v>
      </c>
      <c r="AM445" s="15"/>
      <c r="AN445" s="15">
        <f t="shared" ca="1" si="124"/>
        <v>0</v>
      </c>
      <c r="AO445" s="15">
        <f t="shared" si="125"/>
        <v>0</v>
      </c>
      <c r="AP445" s="15">
        <f t="shared" si="126"/>
        <v>0</v>
      </c>
      <c r="AQ445" s="15"/>
      <c r="AR445" s="190">
        <f t="shared" si="129"/>
        <v>0</v>
      </c>
      <c r="AS445" s="15"/>
      <c r="AT445" s="190">
        <f t="shared" si="130"/>
        <v>0</v>
      </c>
      <c r="AU445" s="190">
        <f t="shared" si="131"/>
        <v>0</v>
      </c>
      <c r="AV445" s="190">
        <f t="shared" si="132"/>
        <v>0</v>
      </c>
      <c r="AW445" s="190">
        <f t="shared" si="133"/>
        <v>0</v>
      </c>
      <c r="AX445" s="190">
        <f t="shared" si="134"/>
        <v>0</v>
      </c>
      <c r="BP445" s="190"/>
    </row>
    <row r="446" spans="2:68" x14ac:dyDescent="0.25">
      <c r="B446" s="98" t="s">
        <v>112</v>
      </c>
      <c r="C446" s="98">
        <v>2014</v>
      </c>
      <c r="D446" s="98" t="s">
        <v>205</v>
      </c>
      <c r="E446" s="98" t="s">
        <v>10</v>
      </c>
      <c r="F446" s="98" t="s">
        <v>136</v>
      </c>
      <c r="G446" s="98">
        <v>0</v>
      </c>
      <c r="H446" s="299" t="str">
        <f>VLOOKUP(LEFT('Rev Adequacy'!D446,3),'Mapping B'!$D$2:$E$400,2,0)</f>
        <v>N</v>
      </c>
      <c r="I446" s="190"/>
      <c r="J446" s="15" t="s">
        <v>348</v>
      </c>
      <c r="K446" s="190" t="s">
        <v>51</v>
      </c>
      <c r="L446" s="190">
        <f t="shared" si="127"/>
        <v>10.905299999999999</v>
      </c>
      <c r="M446" s="15"/>
      <c r="N446" s="15"/>
      <c r="O446" s="15">
        <f>_xlfn.IFNA(IF(VLOOKUP($J446&amp;O$14,'Mapping A'!$A$6:$G$1011,7,0)=1,$L446,""),0)</f>
        <v>0</v>
      </c>
      <c r="P446" s="15">
        <f>_xlfn.IFNA(IF(VLOOKUP($J446&amp;P$14,'Mapping A'!$A$6:$G$1011,7,0)=1,$L446,""),0)</f>
        <v>0</v>
      </c>
      <c r="Q446" s="15">
        <f>_xlfn.IFNA(IF(VLOOKUP($J446&amp;Q$14,'Mapping A'!$A$6:$G$1011,7,0)=1,$L446,""),0)</f>
        <v>0</v>
      </c>
      <c r="R446" s="15">
        <f>_xlfn.IFNA(IF(VLOOKUP($J446&amp;R$14,'Mapping A'!$A$6:$G$1011,7,0)=1,$L446,""),0)</f>
        <v>0</v>
      </c>
      <c r="S446" s="15">
        <f>_xlfn.IFNA(IF(VLOOKUP($J446&amp;S$14,'Mapping A'!$A$6:$G$1011,7,0)=1,$L446,""),0)</f>
        <v>0</v>
      </c>
      <c r="T446" s="15">
        <f>_xlfn.IFNA(IF(VLOOKUP($J446&amp;T$14,'Mapping A'!$A$6:$G$1011,7,0)=1,$L446,""),0)</f>
        <v>0</v>
      </c>
      <c r="U446" s="15">
        <f>_xlfn.IFNA(IF(VLOOKUP($J446&amp;U$14,'Mapping A'!$A$6:$G$1011,7,0)=1,$L446,""),0)</f>
        <v>0</v>
      </c>
      <c r="V446" s="15">
        <f>_xlfn.IFNA(IF(VLOOKUP($J446&amp;V$14,'Mapping A'!$A$6:$G$1011,7,0)=1,$L446,""),0)</f>
        <v>0</v>
      </c>
      <c r="W446" s="15">
        <f>_xlfn.IFNA(IF(VLOOKUP($J446&amp;W$14,'Mapping A'!$A$6:$G$1011,7,0)=1,$L446,""),0)</f>
        <v>0</v>
      </c>
      <c r="X446" s="15">
        <f>_xlfn.IFNA(IF(VLOOKUP($J446&amp;X$14,'Mapping A'!$A$6:$G$1011,7,0)=1,$L446,""),0)</f>
        <v>0</v>
      </c>
      <c r="Y446" s="15">
        <f>_xlfn.IFNA(IF(VLOOKUP($J446&amp;Y$14,'Mapping A'!$A$6:$G$1011,7,0)=1,$L446,""),0)</f>
        <v>0</v>
      </c>
      <c r="Z446" s="15">
        <f>_xlfn.IFNA(IF(VLOOKUP($J446&amp;Z$14,'Mapping A'!$A$6:$G$1011,7,0)=1,$L446,""),0)</f>
        <v>0</v>
      </c>
      <c r="AA446" s="15">
        <f>_xlfn.IFNA(IF(VLOOKUP($J446&amp;AA$14,'Mapping A'!$A$6:$G$1011,7,0)=1,$L446,""),0)</f>
        <v>0</v>
      </c>
      <c r="AF446" s="155" t="str">
        <f t="shared" si="135"/>
        <v>TMN0551Kiwirail</v>
      </c>
      <c r="AG446" s="190" t="s">
        <v>348</v>
      </c>
      <c r="AH446" s="190" t="s">
        <v>51</v>
      </c>
      <c r="AI446" s="190">
        <f t="shared" si="128"/>
        <v>10.905299999999999</v>
      </c>
      <c r="AJ446" s="292" t="s">
        <v>95</v>
      </c>
      <c r="AK446" s="15"/>
      <c r="AL446" s="15">
        <f t="shared" si="123"/>
        <v>0</v>
      </c>
      <c r="AM446" s="15"/>
      <c r="AN446" s="15">
        <f t="shared" ca="1" si="124"/>
        <v>0</v>
      </c>
      <c r="AO446" s="15">
        <f t="shared" si="125"/>
        <v>0</v>
      </c>
      <c r="AP446" s="15">
        <f t="shared" si="126"/>
        <v>0</v>
      </c>
      <c r="AQ446" s="15"/>
      <c r="AR446" s="190">
        <f t="shared" si="129"/>
        <v>0</v>
      </c>
      <c r="AS446" s="15"/>
      <c r="AT446" s="190">
        <f t="shared" si="130"/>
        <v>0</v>
      </c>
      <c r="AU446" s="190">
        <f t="shared" si="131"/>
        <v>0</v>
      </c>
      <c r="AV446" s="190">
        <f t="shared" si="132"/>
        <v>0</v>
      </c>
      <c r="AW446" s="190">
        <f t="shared" si="133"/>
        <v>0</v>
      </c>
      <c r="AX446" s="190">
        <f t="shared" si="134"/>
        <v>0</v>
      </c>
      <c r="BP446" s="190"/>
    </row>
    <row r="447" spans="2:68" x14ac:dyDescent="0.25">
      <c r="B447" s="98" t="s">
        <v>112</v>
      </c>
      <c r="C447" s="98">
        <v>2014</v>
      </c>
      <c r="D447" s="98" t="s">
        <v>317</v>
      </c>
      <c r="E447" s="98" t="s">
        <v>10</v>
      </c>
      <c r="F447" s="98" t="s">
        <v>136</v>
      </c>
      <c r="G447" s="98">
        <v>0</v>
      </c>
      <c r="H447" s="299" t="str">
        <f>VLOOKUP(LEFT('Rev Adequacy'!D447,3),'Mapping B'!$D$2:$E$400,2,0)</f>
        <v>N</v>
      </c>
      <c r="I447" s="190"/>
      <c r="J447" s="15" t="s">
        <v>349</v>
      </c>
      <c r="K447" s="190" t="s">
        <v>38</v>
      </c>
      <c r="L447" s="190">
        <f t="shared" si="127"/>
        <v>36.290099999999995</v>
      </c>
      <c r="M447" s="15"/>
      <c r="N447" s="15"/>
      <c r="O447" s="15">
        <f>_xlfn.IFNA(IF(VLOOKUP($J447&amp;O$14,'Mapping A'!$A$6:$G$1011,7,0)=1,$L447,""),0)</f>
        <v>0</v>
      </c>
      <c r="P447" s="15">
        <f>_xlfn.IFNA(IF(VLOOKUP($J447&amp;P$14,'Mapping A'!$A$6:$G$1011,7,0)=1,$L447,""),0)</f>
        <v>0</v>
      </c>
      <c r="Q447" s="15">
        <f>_xlfn.IFNA(IF(VLOOKUP($J447&amp;Q$14,'Mapping A'!$A$6:$G$1011,7,0)=1,$L447,""),0)</f>
        <v>0</v>
      </c>
      <c r="R447" s="15">
        <f>_xlfn.IFNA(IF(VLOOKUP($J447&amp;R$14,'Mapping A'!$A$6:$G$1011,7,0)=1,$L447,""),0)</f>
        <v>0</v>
      </c>
      <c r="S447" s="15">
        <f>_xlfn.IFNA(IF(VLOOKUP($J447&amp;S$14,'Mapping A'!$A$6:$G$1011,7,0)=1,$L447,""),0)</f>
        <v>0</v>
      </c>
      <c r="T447" s="15">
        <f>_xlfn.IFNA(IF(VLOOKUP($J447&amp;T$14,'Mapping A'!$A$6:$G$1011,7,0)=1,$L447,""),0)</f>
        <v>36.290099999999995</v>
      </c>
      <c r="U447" s="15">
        <f>_xlfn.IFNA(IF(VLOOKUP($J447&amp;U$14,'Mapping A'!$A$6:$G$1011,7,0)=1,$L447,""),0)</f>
        <v>0</v>
      </c>
      <c r="V447" s="15">
        <f>_xlfn.IFNA(IF(VLOOKUP($J447&amp;V$14,'Mapping A'!$A$6:$G$1011,7,0)=1,$L447,""),0)</f>
        <v>0</v>
      </c>
      <c r="W447" s="15">
        <f>_xlfn.IFNA(IF(VLOOKUP($J447&amp;W$14,'Mapping A'!$A$6:$G$1011,7,0)=1,$L447,""),0)</f>
        <v>0</v>
      </c>
      <c r="X447" s="15">
        <f>_xlfn.IFNA(IF(VLOOKUP($J447&amp;X$14,'Mapping A'!$A$6:$G$1011,7,0)=1,$L447,""),0)</f>
        <v>0</v>
      </c>
      <c r="Y447" s="15">
        <f>_xlfn.IFNA(IF(VLOOKUP($J447&amp;Y$14,'Mapping A'!$A$6:$G$1011,7,0)=1,$L447,""),0)</f>
        <v>0</v>
      </c>
      <c r="Z447" s="15">
        <f>_xlfn.IFNA(IF(VLOOKUP($J447&amp;Z$14,'Mapping A'!$A$6:$G$1011,7,0)=1,$L447,""),0)</f>
        <v>0</v>
      </c>
      <c r="AA447" s="15">
        <f>_xlfn.IFNA(IF(VLOOKUP($J447&amp;AA$14,'Mapping A'!$A$6:$G$1011,7,0)=1,$L447,""),0)</f>
        <v>0</v>
      </c>
      <c r="AF447" s="155" t="str">
        <f t="shared" si="135"/>
        <v>TMU0111Waipa Power</v>
      </c>
      <c r="AG447" s="190" t="s">
        <v>349</v>
      </c>
      <c r="AH447" s="190" t="s">
        <v>38</v>
      </c>
      <c r="AI447" s="190">
        <f t="shared" si="128"/>
        <v>36.290099999999995</v>
      </c>
      <c r="AJ447" s="292" t="s">
        <v>95</v>
      </c>
      <c r="AK447" s="15"/>
      <c r="AL447" s="15">
        <f t="shared" si="123"/>
        <v>0</v>
      </c>
      <c r="AM447" s="15"/>
      <c r="AN447" s="15">
        <f t="shared" ca="1" si="124"/>
        <v>0</v>
      </c>
      <c r="AO447" s="15">
        <f t="shared" si="125"/>
        <v>0</v>
      </c>
      <c r="AP447" s="15">
        <f t="shared" si="126"/>
        <v>0</v>
      </c>
      <c r="AQ447" s="15"/>
      <c r="AR447" s="190">
        <f t="shared" si="129"/>
        <v>0</v>
      </c>
      <c r="AS447" s="15"/>
      <c r="AT447" s="190">
        <f t="shared" si="130"/>
        <v>0</v>
      </c>
      <c r="AU447" s="190">
        <f t="shared" si="131"/>
        <v>0</v>
      </c>
      <c r="AV447" s="190">
        <f t="shared" si="132"/>
        <v>0</v>
      </c>
      <c r="AW447" s="190">
        <f t="shared" si="133"/>
        <v>0</v>
      </c>
      <c r="AX447" s="190">
        <f t="shared" si="134"/>
        <v>0</v>
      </c>
      <c r="BP447" s="190"/>
    </row>
    <row r="448" spans="2:68" x14ac:dyDescent="0.25">
      <c r="B448" s="98" t="s">
        <v>112</v>
      </c>
      <c r="C448" s="98">
        <v>2014</v>
      </c>
      <c r="D448" s="98" t="s">
        <v>340</v>
      </c>
      <c r="E448" s="98" t="s">
        <v>10</v>
      </c>
      <c r="F448" s="98" t="s">
        <v>136</v>
      </c>
      <c r="G448" s="98">
        <v>1221746.5930000001</v>
      </c>
      <c r="H448" s="299" t="str">
        <f>VLOOKUP(LEFT('Rev Adequacy'!D448,3),'Mapping B'!$D$2:$E$400,2,0)</f>
        <v>S</v>
      </c>
      <c r="I448" s="190"/>
      <c r="J448" s="15" t="s">
        <v>350</v>
      </c>
      <c r="K448" s="190" t="s">
        <v>32</v>
      </c>
      <c r="L448" s="190">
        <f t="shared" si="127"/>
        <v>1.0310999999999999</v>
      </c>
      <c r="M448" s="15"/>
      <c r="N448" s="15"/>
      <c r="O448" s="15">
        <f>_xlfn.IFNA(IF(VLOOKUP($J448&amp;O$14,'Mapping A'!$A$6:$G$1011,7,0)=1,$L448,""),0)</f>
        <v>0</v>
      </c>
      <c r="P448" s="15">
        <f>_xlfn.IFNA(IF(VLOOKUP($J448&amp;P$14,'Mapping A'!$A$6:$G$1011,7,0)=1,$L448,""),0)</f>
        <v>0</v>
      </c>
      <c r="Q448" s="15">
        <f>_xlfn.IFNA(IF(VLOOKUP($J448&amp;Q$14,'Mapping A'!$A$6:$G$1011,7,0)=1,$L448,""),0)</f>
        <v>0</v>
      </c>
      <c r="R448" s="15">
        <f>_xlfn.IFNA(IF(VLOOKUP($J448&amp;R$14,'Mapping A'!$A$6:$G$1011,7,0)=1,$L448,""),0)</f>
        <v>0</v>
      </c>
      <c r="S448" s="15">
        <f>_xlfn.IFNA(IF(VLOOKUP($J448&amp;S$14,'Mapping A'!$A$6:$G$1011,7,0)=1,$L448,""),0)</f>
        <v>0</v>
      </c>
      <c r="T448" s="15">
        <f>_xlfn.IFNA(IF(VLOOKUP($J448&amp;T$14,'Mapping A'!$A$6:$G$1011,7,0)=1,$L448,""),0)</f>
        <v>0</v>
      </c>
      <c r="U448" s="15">
        <f>_xlfn.IFNA(IF(VLOOKUP($J448&amp;U$14,'Mapping A'!$A$6:$G$1011,7,0)=1,$L448,""),0)</f>
        <v>0</v>
      </c>
      <c r="V448" s="15">
        <f>_xlfn.IFNA(IF(VLOOKUP($J448&amp;V$14,'Mapping A'!$A$6:$G$1011,7,0)=1,$L448,""),0)</f>
        <v>0</v>
      </c>
      <c r="W448" s="15">
        <f>_xlfn.IFNA(IF(VLOOKUP($J448&amp;W$14,'Mapping A'!$A$6:$G$1011,7,0)=1,$L448,""),0)</f>
        <v>0</v>
      </c>
      <c r="X448" s="15">
        <f>_xlfn.IFNA(IF(VLOOKUP($J448&amp;X$14,'Mapping A'!$A$6:$G$1011,7,0)=1,$L448,""),0)</f>
        <v>0</v>
      </c>
      <c r="Y448" s="15">
        <f>_xlfn.IFNA(IF(VLOOKUP($J448&amp;Y$14,'Mapping A'!$A$6:$G$1011,7,0)=1,$L448,""),0)</f>
        <v>0</v>
      </c>
      <c r="Z448" s="15">
        <f>_xlfn.IFNA(IF(VLOOKUP($J448&amp;Z$14,'Mapping A'!$A$6:$G$1011,7,0)=1,$L448,""),0)</f>
        <v>0</v>
      </c>
      <c r="AA448" s="15">
        <f>_xlfn.IFNA(IF(VLOOKUP($J448&amp;AA$14,'Mapping A'!$A$6:$G$1011,7,0)=1,$L448,""),0)</f>
        <v>0</v>
      </c>
      <c r="AF448" s="155" t="str">
        <f t="shared" si="135"/>
        <v>TNG0111The Lines Company</v>
      </c>
      <c r="AG448" s="190" t="s">
        <v>350</v>
      </c>
      <c r="AH448" s="190" t="s">
        <v>32</v>
      </c>
      <c r="AI448" s="190">
        <f t="shared" si="128"/>
        <v>1.0310999999999999</v>
      </c>
      <c r="AJ448" s="292" t="s">
        <v>95</v>
      </c>
      <c r="AK448" s="15"/>
      <c r="AL448" s="15">
        <f t="shared" ref="AL448:AL481" si="136">IF(O$255=0,0,(O$13*O$7*O448/O$255))</f>
        <v>0</v>
      </c>
      <c r="AM448" s="15"/>
      <c r="AN448" s="15">
        <f t="shared" ref="AN448:AN481" ca="1" si="137">IF(Q$255=0,0,(Q$15*Q$7*Q448/Q$255))</f>
        <v>0</v>
      </c>
      <c r="AO448" s="15">
        <f t="shared" ref="AO448:AO481" si="138">IF(R$255=0,0,(R$13*R$7*R448/R$255))</f>
        <v>0</v>
      </c>
      <c r="AP448" s="15">
        <f t="shared" ref="AP448:AP481" si="139">IF(S$255=0,0,(S$13*S$7*S448/S$255))</f>
        <v>0</v>
      </c>
      <c r="AQ448" s="15"/>
      <c r="AR448" s="190">
        <f t="shared" si="129"/>
        <v>0</v>
      </c>
      <c r="AS448" s="15"/>
      <c r="AT448" s="190">
        <f t="shared" si="130"/>
        <v>0</v>
      </c>
      <c r="AU448" s="190">
        <f t="shared" si="131"/>
        <v>0</v>
      </c>
      <c r="AV448" s="190">
        <f t="shared" si="132"/>
        <v>0</v>
      </c>
      <c r="AW448" s="190">
        <f t="shared" si="133"/>
        <v>0</v>
      </c>
      <c r="AX448" s="190">
        <f t="shared" si="134"/>
        <v>0</v>
      </c>
      <c r="BP448" s="190"/>
    </row>
    <row r="449" spans="2:68" x14ac:dyDescent="0.25">
      <c r="B449" s="98" t="s">
        <v>112</v>
      </c>
      <c r="C449" s="98">
        <v>2014</v>
      </c>
      <c r="D449" s="98" t="s">
        <v>341</v>
      </c>
      <c r="E449" s="98" t="s">
        <v>10</v>
      </c>
      <c r="F449" s="98" t="s">
        <v>136</v>
      </c>
      <c r="G449" s="98">
        <v>12109629.0149999</v>
      </c>
      <c r="H449" s="299" t="str">
        <f>VLOOKUP(LEFT('Rev Adequacy'!D449,3),'Mapping B'!$D$2:$E$400,2,0)</f>
        <v>S</v>
      </c>
      <c r="I449" s="190"/>
      <c r="J449" s="15" t="s">
        <v>350</v>
      </c>
      <c r="K449" s="190" t="s">
        <v>42</v>
      </c>
      <c r="L449" s="190">
        <f t="shared" ref="L449:L486" si="140">BH220</f>
        <v>38.988599999999998</v>
      </c>
      <c r="M449" s="15"/>
      <c r="N449" s="15"/>
      <c r="O449" s="15">
        <f>_xlfn.IFNA(IF(VLOOKUP($J449&amp;O$14,'Mapping A'!$A$6:$G$1011,7,0)=1,$L449,""),0)</f>
        <v>0</v>
      </c>
      <c r="P449" s="15">
        <f>_xlfn.IFNA(IF(VLOOKUP($J449&amp;P$14,'Mapping A'!$A$6:$G$1011,7,0)=1,$L449,""),0)</f>
        <v>0</v>
      </c>
      <c r="Q449" s="15">
        <f>_xlfn.IFNA(IF(VLOOKUP($J449&amp;Q$14,'Mapping A'!$A$6:$G$1011,7,0)=1,$L449,""),0)</f>
        <v>0</v>
      </c>
      <c r="R449" s="15">
        <f>_xlfn.IFNA(IF(VLOOKUP($J449&amp;R$14,'Mapping A'!$A$6:$G$1011,7,0)=1,$L449,""),0)</f>
        <v>0</v>
      </c>
      <c r="S449" s="15">
        <f>_xlfn.IFNA(IF(VLOOKUP($J449&amp;S$14,'Mapping A'!$A$6:$G$1011,7,0)=1,$L449,""),0)</f>
        <v>0</v>
      </c>
      <c r="T449" s="15">
        <f>_xlfn.IFNA(IF(VLOOKUP($J449&amp;T$14,'Mapping A'!$A$6:$G$1011,7,0)=1,$L449,""),0)</f>
        <v>0</v>
      </c>
      <c r="U449" s="15">
        <f>_xlfn.IFNA(IF(VLOOKUP($J449&amp;U$14,'Mapping A'!$A$6:$G$1011,7,0)=1,$L449,""),0)</f>
        <v>0</v>
      </c>
      <c r="V449" s="15">
        <f>_xlfn.IFNA(IF(VLOOKUP($J449&amp;V$14,'Mapping A'!$A$6:$G$1011,7,0)=1,$L449,""),0)</f>
        <v>0</v>
      </c>
      <c r="W449" s="15">
        <f>_xlfn.IFNA(IF(VLOOKUP($J449&amp;W$14,'Mapping A'!$A$6:$G$1011,7,0)=1,$L449,""),0)</f>
        <v>0</v>
      </c>
      <c r="X449" s="15">
        <f>_xlfn.IFNA(IF(VLOOKUP($J449&amp;X$14,'Mapping A'!$A$6:$G$1011,7,0)=1,$L449,""),0)</f>
        <v>0</v>
      </c>
      <c r="Y449" s="15">
        <f>_xlfn.IFNA(IF(VLOOKUP($J449&amp;Y$14,'Mapping A'!$A$6:$G$1011,7,0)=1,$L449,""),0)</f>
        <v>0</v>
      </c>
      <c r="Z449" s="15">
        <f>_xlfn.IFNA(IF(VLOOKUP($J449&amp;Z$14,'Mapping A'!$A$6:$G$1011,7,0)=1,$L449,""),0)</f>
        <v>0</v>
      </c>
      <c r="AA449" s="15">
        <f>_xlfn.IFNA(IF(VLOOKUP($J449&amp;AA$14,'Mapping A'!$A$6:$G$1011,7,0)=1,$L449,""),0)</f>
        <v>0</v>
      </c>
      <c r="AF449" s="155" t="str">
        <f t="shared" si="135"/>
        <v>TNG0111Winstones</v>
      </c>
      <c r="AG449" s="190" t="s">
        <v>350</v>
      </c>
      <c r="AH449" s="190" t="s">
        <v>42</v>
      </c>
      <c r="AI449" s="190">
        <f t="shared" ref="AI449:AI486" si="141">BH220</f>
        <v>38.988599999999998</v>
      </c>
      <c r="AJ449" s="292" t="s">
        <v>95</v>
      </c>
      <c r="AK449" s="15"/>
      <c r="AL449" s="15">
        <f t="shared" si="136"/>
        <v>0</v>
      </c>
      <c r="AM449" s="15"/>
      <c r="AN449" s="15">
        <f t="shared" ca="1" si="137"/>
        <v>0</v>
      </c>
      <c r="AO449" s="15">
        <f t="shared" si="138"/>
        <v>0</v>
      </c>
      <c r="AP449" s="15">
        <f t="shared" si="139"/>
        <v>0</v>
      </c>
      <c r="AQ449" s="15"/>
      <c r="AR449" s="190">
        <f t="shared" ref="AR449:AR486" si="142">IF(U$255=0,0,(U$13*U$7*U449/U$255))</f>
        <v>0</v>
      </c>
      <c r="AS449" s="15"/>
      <c r="AT449" s="190">
        <f t="shared" ref="AT449:AT486" si="143">IF(W$255=0,0,(W$13*W$7*W449/W$255))</f>
        <v>0</v>
      </c>
      <c r="AU449" s="190">
        <f t="shared" ref="AU449:AU486" si="144">IF(X$255=0,0,(X$13*X$7*X449/X$255))</f>
        <v>0</v>
      </c>
      <c r="AV449" s="190">
        <f t="shared" ref="AV449:AV486" si="145">IF(Y$255=0,0,(Y$13*Y$7*Y449/Y$255))</f>
        <v>0</v>
      </c>
      <c r="AW449" s="190">
        <f t="shared" ref="AW449:AW486" si="146">IF(Z$255=0,0,(Z$13*Z$8*Z449/Z$255))</f>
        <v>0</v>
      </c>
      <c r="AX449" s="190">
        <f t="shared" ref="AX449:AX486" si="147">IF(AA$255=0,0,(AA$13*AA$7*AA449/AA$255))</f>
        <v>0</v>
      </c>
      <c r="BP449" s="190"/>
    </row>
    <row r="450" spans="2:68" x14ac:dyDescent="0.25">
      <c r="B450" s="98" t="s">
        <v>112</v>
      </c>
      <c r="C450" s="98">
        <v>2014</v>
      </c>
      <c r="D450" s="98" t="s">
        <v>344</v>
      </c>
      <c r="E450" s="98" t="s">
        <v>10</v>
      </c>
      <c r="F450" s="98" t="s">
        <v>131</v>
      </c>
      <c r="G450" s="98">
        <v>23125.724341917001</v>
      </c>
      <c r="H450" s="299" t="str">
        <f>VLOOKUP(LEFT('Rev Adequacy'!D450,3),'Mapping B'!$D$2:$E$400,2,0)</f>
        <v>N</v>
      </c>
      <c r="I450" s="190"/>
      <c r="J450" s="15" t="s">
        <v>351</v>
      </c>
      <c r="K450" s="190" t="s">
        <v>51</v>
      </c>
      <c r="L450" s="190">
        <f t="shared" si="140"/>
        <v>9.0342000000000002</v>
      </c>
      <c r="M450" s="15"/>
      <c r="N450" s="15"/>
      <c r="O450" s="15">
        <f>_xlfn.IFNA(IF(VLOOKUP($J450&amp;O$14,'Mapping A'!$A$6:$G$1011,7,0)=1,$L450,""),0)</f>
        <v>0</v>
      </c>
      <c r="P450" s="15">
        <f>_xlfn.IFNA(IF(VLOOKUP($J450&amp;P$14,'Mapping A'!$A$6:$G$1011,7,0)=1,$L450,""),0)</f>
        <v>0</v>
      </c>
      <c r="Q450" s="15">
        <f>_xlfn.IFNA(IF(VLOOKUP($J450&amp;Q$14,'Mapping A'!$A$6:$G$1011,7,0)=1,$L450,""),0)</f>
        <v>0</v>
      </c>
      <c r="R450" s="15">
        <f>_xlfn.IFNA(IF(VLOOKUP($J450&amp;R$14,'Mapping A'!$A$6:$G$1011,7,0)=1,$L450,""),0)</f>
        <v>0</v>
      </c>
      <c r="S450" s="15">
        <f>_xlfn.IFNA(IF(VLOOKUP($J450&amp;S$14,'Mapping A'!$A$6:$G$1011,7,0)=1,$L450,""),0)</f>
        <v>0</v>
      </c>
      <c r="T450" s="15">
        <f>_xlfn.IFNA(IF(VLOOKUP($J450&amp;T$14,'Mapping A'!$A$6:$G$1011,7,0)=1,$L450,""),0)</f>
        <v>0</v>
      </c>
      <c r="U450" s="15">
        <f>_xlfn.IFNA(IF(VLOOKUP($J450&amp;U$14,'Mapping A'!$A$6:$G$1011,7,0)=1,$L450,""),0)</f>
        <v>0</v>
      </c>
      <c r="V450" s="15">
        <f>_xlfn.IFNA(IF(VLOOKUP($J450&amp;V$14,'Mapping A'!$A$6:$G$1011,7,0)=1,$L450,""),0)</f>
        <v>0</v>
      </c>
      <c r="W450" s="15">
        <f>_xlfn.IFNA(IF(VLOOKUP($J450&amp;W$14,'Mapping A'!$A$6:$G$1011,7,0)=1,$L450,""),0)</f>
        <v>0</v>
      </c>
      <c r="X450" s="15">
        <f>_xlfn.IFNA(IF(VLOOKUP($J450&amp;X$14,'Mapping A'!$A$6:$G$1011,7,0)=1,$L450,""),0)</f>
        <v>0</v>
      </c>
      <c r="Y450" s="15">
        <f>_xlfn.IFNA(IF(VLOOKUP($J450&amp;Y$14,'Mapping A'!$A$6:$G$1011,7,0)=1,$L450,""),0)</f>
        <v>0</v>
      </c>
      <c r="Z450" s="15">
        <f>_xlfn.IFNA(IF(VLOOKUP($J450&amp;Z$14,'Mapping A'!$A$6:$G$1011,7,0)=1,$L450,""),0)</f>
        <v>0</v>
      </c>
      <c r="AA450" s="15">
        <f>_xlfn.IFNA(IF(VLOOKUP($J450&amp;AA$14,'Mapping A'!$A$6:$G$1011,7,0)=1,$L450,""),0)</f>
        <v>0</v>
      </c>
      <c r="AF450" s="155" t="str">
        <f t="shared" si="135"/>
        <v>TNG0551Kiwirail</v>
      </c>
      <c r="AG450" s="190" t="s">
        <v>351</v>
      </c>
      <c r="AH450" s="190" t="s">
        <v>51</v>
      </c>
      <c r="AI450" s="190">
        <f t="shared" si="141"/>
        <v>9.0342000000000002</v>
      </c>
      <c r="AJ450" s="292" t="s">
        <v>95</v>
      </c>
      <c r="AK450" s="15"/>
      <c r="AL450" s="15">
        <f t="shared" si="136"/>
        <v>0</v>
      </c>
      <c r="AM450" s="15"/>
      <c r="AN450" s="15">
        <f t="shared" ca="1" si="137"/>
        <v>0</v>
      </c>
      <c r="AO450" s="15">
        <f t="shared" si="138"/>
        <v>0</v>
      </c>
      <c r="AP450" s="15">
        <f t="shared" si="139"/>
        <v>0</v>
      </c>
      <c r="AQ450" s="15"/>
      <c r="AR450" s="190">
        <f t="shared" si="142"/>
        <v>0</v>
      </c>
      <c r="AS450" s="15"/>
      <c r="AT450" s="190">
        <f t="shared" si="143"/>
        <v>0</v>
      </c>
      <c r="AU450" s="190">
        <f t="shared" si="144"/>
        <v>0</v>
      </c>
      <c r="AV450" s="190">
        <f t="shared" si="145"/>
        <v>0</v>
      </c>
      <c r="AW450" s="190">
        <f t="shared" si="146"/>
        <v>0</v>
      </c>
      <c r="AX450" s="190">
        <f t="shared" si="147"/>
        <v>0</v>
      </c>
      <c r="BP450" s="190"/>
    </row>
    <row r="451" spans="2:68" x14ac:dyDescent="0.25">
      <c r="B451" s="98" t="s">
        <v>112</v>
      </c>
      <c r="C451" s="98">
        <v>2014</v>
      </c>
      <c r="D451" s="98" t="s">
        <v>345</v>
      </c>
      <c r="E451" s="98" t="s">
        <v>10</v>
      </c>
      <c r="F451" s="98" t="s">
        <v>136</v>
      </c>
      <c r="G451" s="98">
        <v>0</v>
      </c>
      <c r="H451" s="299" t="str">
        <f>VLOOKUP(LEFT('Rev Adequacy'!D451,3),'Mapping B'!$D$2:$E$400,2,0)</f>
        <v>N</v>
      </c>
      <c r="I451" s="190"/>
      <c r="J451" s="15" t="s">
        <v>352</v>
      </c>
      <c r="K451" s="190" t="s">
        <v>36</v>
      </c>
      <c r="L451" s="190">
        <f t="shared" si="140"/>
        <v>8.2887000000000004</v>
      </c>
      <c r="M451" s="15"/>
      <c r="N451" s="15"/>
      <c r="O451" s="15">
        <f>_xlfn.IFNA(IF(VLOOKUP($J451&amp;O$14,'Mapping A'!$A$6:$G$1011,7,0)=1,$L451,""),0)</f>
        <v>0</v>
      </c>
      <c r="P451" s="15">
        <f>_xlfn.IFNA(IF(VLOOKUP($J451&amp;P$14,'Mapping A'!$A$6:$G$1011,7,0)=1,$L451,""),0)</f>
        <v>0</v>
      </c>
      <c r="Q451" s="15">
        <f>_xlfn.IFNA(IF(VLOOKUP($J451&amp;Q$14,'Mapping A'!$A$6:$G$1011,7,0)=1,$L451,""),0)</f>
        <v>0</v>
      </c>
      <c r="R451" s="15">
        <f>_xlfn.IFNA(IF(VLOOKUP($J451&amp;R$14,'Mapping A'!$A$6:$G$1011,7,0)=1,$L451,""),0)</f>
        <v>0</v>
      </c>
      <c r="S451" s="15">
        <f>_xlfn.IFNA(IF(VLOOKUP($J451&amp;S$14,'Mapping A'!$A$6:$G$1011,7,0)=1,$L451,""),0)</f>
        <v>0</v>
      </c>
      <c r="T451" s="15">
        <f>_xlfn.IFNA(IF(VLOOKUP($J451&amp;T$14,'Mapping A'!$A$6:$G$1011,7,0)=1,$L451,""),0)</f>
        <v>8.2887000000000004</v>
      </c>
      <c r="U451" s="15">
        <f>_xlfn.IFNA(IF(VLOOKUP($J451&amp;U$14,'Mapping A'!$A$6:$G$1011,7,0)=1,$L451,""),0)</f>
        <v>0</v>
      </c>
      <c r="V451" s="15">
        <f>_xlfn.IFNA(IF(VLOOKUP($J451&amp;V$14,'Mapping A'!$A$6:$G$1011,7,0)=1,$L451,""),0)</f>
        <v>0</v>
      </c>
      <c r="W451" s="15">
        <f>_xlfn.IFNA(IF(VLOOKUP($J451&amp;W$14,'Mapping A'!$A$6:$G$1011,7,0)=1,$L451,""),0)</f>
        <v>0</v>
      </c>
      <c r="X451" s="15">
        <f>_xlfn.IFNA(IF(VLOOKUP($J451&amp;X$14,'Mapping A'!$A$6:$G$1011,7,0)=1,$L451,""),0)</f>
        <v>0</v>
      </c>
      <c r="Y451" s="15">
        <f>_xlfn.IFNA(IF(VLOOKUP($J451&amp;Y$14,'Mapping A'!$A$6:$G$1011,7,0)=1,$L451,""),0)</f>
        <v>0</v>
      </c>
      <c r="Z451" s="15">
        <f>_xlfn.IFNA(IF(VLOOKUP($J451&amp;Z$14,'Mapping A'!$A$6:$G$1011,7,0)=1,$L451,""),0)</f>
        <v>0</v>
      </c>
      <c r="AA451" s="15">
        <f>_xlfn.IFNA(IF(VLOOKUP($J451&amp;AA$14,'Mapping A'!$A$6:$G$1011,7,0)=1,$L451,""),0)</f>
        <v>0</v>
      </c>
      <c r="AF451" s="155" t="str">
        <f t="shared" si="135"/>
        <v>TRK0111Unison</v>
      </c>
      <c r="AG451" s="190" t="s">
        <v>352</v>
      </c>
      <c r="AH451" s="190" t="s">
        <v>36</v>
      </c>
      <c r="AI451" s="190">
        <f t="shared" si="141"/>
        <v>8.2887000000000004</v>
      </c>
      <c r="AJ451" s="292" t="s">
        <v>95</v>
      </c>
      <c r="AK451" s="15"/>
      <c r="AL451" s="15">
        <f t="shared" si="136"/>
        <v>0</v>
      </c>
      <c r="AM451" s="15"/>
      <c r="AN451" s="15">
        <f t="shared" ca="1" si="137"/>
        <v>0</v>
      </c>
      <c r="AO451" s="15">
        <f t="shared" si="138"/>
        <v>0</v>
      </c>
      <c r="AP451" s="15">
        <f t="shared" si="139"/>
        <v>0</v>
      </c>
      <c r="AQ451" s="15"/>
      <c r="AR451" s="190">
        <f t="shared" si="142"/>
        <v>0</v>
      </c>
      <c r="AS451" s="15"/>
      <c r="AT451" s="190">
        <f t="shared" si="143"/>
        <v>0</v>
      </c>
      <c r="AU451" s="190">
        <f t="shared" si="144"/>
        <v>0</v>
      </c>
      <c r="AV451" s="190">
        <f t="shared" si="145"/>
        <v>0</v>
      </c>
      <c r="AW451" s="190">
        <f t="shared" si="146"/>
        <v>0</v>
      </c>
      <c r="AX451" s="190">
        <f t="shared" si="147"/>
        <v>0</v>
      </c>
      <c r="BP451" s="190"/>
    </row>
    <row r="452" spans="2:68" x14ac:dyDescent="0.25">
      <c r="B452" s="98" t="s">
        <v>112</v>
      </c>
      <c r="C452" s="98">
        <v>2014</v>
      </c>
      <c r="D452" s="98" t="s">
        <v>353</v>
      </c>
      <c r="E452" s="98" t="s">
        <v>10</v>
      </c>
      <c r="F452" s="98" t="s">
        <v>131</v>
      </c>
      <c r="G452" s="98">
        <v>0.93881187652187503</v>
      </c>
      <c r="H452" s="299" t="str">
        <f>VLOOKUP(LEFT('Rev Adequacy'!D452,3),'Mapping B'!$D$2:$E$400,2,0)</f>
        <v>N</v>
      </c>
      <c r="I452" s="190"/>
      <c r="J452" s="15" t="s">
        <v>353</v>
      </c>
      <c r="K452" s="190" t="s">
        <v>7</v>
      </c>
      <c r="L452" s="190">
        <f t="shared" si="140"/>
        <v>58.113300000000002</v>
      </c>
      <c r="M452" s="15"/>
      <c r="N452" s="15"/>
      <c r="O452" s="15">
        <f>_xlfn.IFNA(IF(VLOOKUP($J452&amp;O$14,'Mapping A'!$A$6:$G$1011,7,0)=1,$L452,""),0)</f>
        <v>0</v>
      </c>
      <c r="P452" s="15">
        <f>_xlfn.IFNA(IF(VLOOKUP($J452&amp;P$14,'Mapping A'!$A$6:$G$1011,7,0)=1,$L452,""),0)</f>
        <v>0</v>
      </c>
      <c r="Q452" s="15">
        <f>_xlfn.IFNA(IF(VLOOKUP($J452&amp;Q$14,'Mapping A'!$A$6:$G$1011,7,0)=1,$L452,""),0)</f>
        <v>0</v>
      </c>
      <c r="R452" s="15">
        <f>_xlfn.IFNA(IF(VLOOKUP($J452&amp;R$14,'Mapping A'!$A$6:$G$1011,7,0)=1,$L452,""),0)</f>
        <v>0</v>
      </c>
      <c r="S452" s="15">
        <f>_xlfn.IFNA(IF(VLOOKUP($J452&amp;S$14,'Mapping A'!$A$6:$G$1011,7,0)=1,$L452,""),0)</f>
        <v>0</v>
      </c>
      <c r="T452" s="15">
        <f>_xlfn.IFNA(IF(VLOOKUP($J452&amp;T$14,'Mapping A'!$A$6:$G$1011,7,0)=1,$L452,""),0)</f>
        <v>58.113300000000002</v>
      </c>
      <c r="U452" s="15">
        <f>_xlfn.IFNA(IF(VLOOKUP($J452&amp;U$14,'Mapping A'!$A$6:$G$1011,7,0)=1,$L452,""),0)</f>
        <v>0</v>
      </c>
      <c r="V452" s="15">
        <f>_xlfn.IFNA(IF(VLOOKUP($J452&amp;V$14,'Mapping A'!$A$6:$G$1011,7,0)=1,$L452,""),0)</f>
        <v>0</v>
      </c>
      <c r="W452" s="15">
        <f>_xlfn.IFNA(IF(VLOOKUP($J452&amp;W$14,'Mapping A'!$A$6:$G$1011,7,0)=1,$L452,""),0)</f>
        <v>0</v>
      </c>
      <c r="X452" s="15">
        <f>_xlfn.IFNA(IF(VLOOKUP($J452&amp;X$14,'Mapping A'!$A$6:$G$1011,7,0)=1,$L452,""),0)</f>
        <v>0</v>
      </c>
      <c r="Y452" s="15">
        <f>_xlfn.IFNA(IF(VLOOKUP($J452&amp;Y$14,'Mapping A'!$A$6:$G$1011,7,0)=1,$L452,""),0)</f>
        <v>0</v>
      </c>
      <c r="Z452" s="15">
        <f>_xlfn.IFNA(IF(VLOOKUP($J452&amp;Z$14,'Mapping A'!$A$6:$G$1011,7,0)=1,$L452,""),0)</f>
        <v>0</v>
      </c>
      <c r="AA452" s="15">
        <f>_xlfn.IFNA(IF(VLOOKUP($J452&amp;AA$14,'Mapping A'!$A$6:$G$1011,7,0)=1,$L452,""),0)</f>
        <v>0</v>
      </c>
      <c r="AF452" s="155" t="str">
        <f t="shared" si="135"/>
        <v>TUI1101Eastland Network</v>
      </c>
      <c r="AG452" s="190" t="s">
        <v>353</v>
      </c>
      <c r="AH452" s="190" t="s">
        <v>7</v>
      </c>
      <c r="AI452" s="190">
        <f t="shared" si="141"/>
        <v>58.113300000000002</v>
      </c>
      <c r="AJ452" s="292" t="s">
        <v>95</v>
      </c>
      <c r="AK452" s="15"/>
      <c r="AL452" s="15">
        <f t="shared" si="136"/>
        <v>0</v>
      </c>
      <c r="AM452" s="15"/>
      <c r="AN452" s="15">
        <f t="shared" ca="1" si="137"/>
        <v>0</v>
      </c>
      <c r="AO452" s="15">
        <f t="shared" si="138"/>
        <v>0</v>
      </c>
      <c r="AP452" s="15">
        <f t="shared" si="139"/>
        <v>0</v>
      </c>
      <c r="AQ452" s="15"/>
      <c r="AR452" s="190">
        <f t="shared" si="142"/>
        <v>0</v>
      </c>
      <c r="AS452" s="15"/>
      <c r="AT452" s="190">
        <f t="shared" si="143"/>
        <v>0</v>
      </c>
      <c r="AU452" s="190">
        <f t="shared" si="144"/>
        <v>0</v>
      </c>
      <c r="AV452" s="190">
        <f t="shared" si="145"/>
        <v>0</v>
      </c>
      <c r="AW452" s="190">
        <f t="shared" si="146"/>
        <v>0</v>
      </c>
      <c r="AX452" s="190">
        <f t="shared" si="147"/>
        <v>0</v>
      </c>
      <c r="BP452" s="190"/>
    </row>
    <row r="453" spans="2:68" x14ac:dyDescent="0.25">
      <c r="B453" s="98" t="s">
        <v>112</v>
      </c>
      <c r="C453" s="98">
        <v>2014</v>
      </c>
      <c r="D453" s="98" t="s">
        <v>354</v>
      </c>
      <c r="E453" s="98" t="s">
        <v>10</v>
      </c>
      <c r="F453" s="98" t="s">
        <v>136</v>
      </c>
      <c r="G453" s="98">
        <v>0</v>
      </c>
      <c r="H453" s="299" t="str">
        <f>VLOOKUP(LEFT('Rev Adequacy'!D453,3),'Mapping B'!$D$2:$E$400,2,0)</f>
        <v>N</v>
      </c>
      <c r="I453" s="190"/>
      <c r="J453" s="15" t="s">
        <v>353</v>
      </c>
      <c r="K453" s="190" t="s">
        <v>10</v>
      </c>
      <c r="L453" s="190">
        <f t="shared" si="140"/>
        <v>0.67200000000000004</v>
      </c>
      <c r="M453" s="15"/>
      <c r="N453" s="15"/>
      <c r="O453" s="15">
        <f>_xlfn.IFNA(IF(VLOOKUP($J453&amp;O$14,'Mapping A'!$A$6:$G$1011,7,0)=1,$L453,""),0)</f>
        <v>0</v>
      </c>
      <c r="P453" s="15">
        <f>_xlfn.IFNA(IF(VLOOKUP($J453&amp;P$14,'Mapping A'!$A$6:$G$1011,7,0)=1,$L453,""),0)</f>
        <v>0</v>
      </c>
      <c r="Q453" s="15">
        <f>_xlfn.IFNA(IF(VLOOKUP($J453&amp;Q$14,'Mapping A'!$A$6:$G$1011,7,0)=1,$L453,""),0)</f>
        <v>0</v>
      </c>
      <c r="R453" s="15">
        <f>_xlfn.IFNA(IF(VLOOKUP($J453&amp;R$14,'Mapping A'!$A$6:$G$1011,7,0)=1,$L453,""),0)</f>
        <v>0</v>
      </c>
      <c r="S453" s="15">
        <f>_xlfn.IFNA(IF(VLOOKUP($J453&amp;S$14,'Mapping A'!$A$6:$G$1011,7,0)=1,$L453,""),0)</f>
        <v>0</v>
      </c>
      <c r="T453" s="15">
        <f>_xlfn.IFNA(IF(VLOOKUP($J453&amp;T$14,'Mapping A'!$A$6:$G$1011,7,0)=1,$L453,""),0)</f>
        <v>0.67200000000000004</v>
      </c>
      <c r="U453" s="15">
        <f>_xlfn.IFNA(IF(VLOOKUP($J453&amp;U$14,'Mapping A'!$A$6:$G$1011,7,0)=1,$L453,""),0)</f>
        <v>0</v>
      </c>
      <c r="V453" s="15">
        <f>_xlfn.IFNA(IF(VLOOKUP($J453&amp;V$14,'Mapping A'!$A$6:$G$1011,7,0)=1,$L453,""),0)</f>
        <v>0</v>
      </c>
      <c r="W453" s="15">
        <f>_xlfn.IFNA(IF(VLOOKUP($J453&amp;W$14,'Mapping A'!$A$6:$G$1011,7,0)=1,$L453,""),0)</f>
        <v>0</v>
      </c>
      <c r="X453" s="15">
        <f>_xlfn.IFNA(IF(VLOOKUP($J453&amp;X$14,'Mapping A'!$A$6:$G$1011,7,0)=1,$L453,""),0)</f>
        <v>0</v>
      </c>
      <c r="Y453" s="15">
        <f>_xlfn.IFNA(IF(VLOOKUP($J453&amp;Y$14,'Mapping A'!$A$6:$G$1011,7,0)=1,$L453,""),0)</f>
        <v>0</v>
      </c>
      <c r="Z453" s="15">
        <f>_xlfn.IFNA(IF(VLOOKUP($J453&amp;Z$14,'Mapping A'!$A$6:$G$1011,7,0)=1,$L453,""),0)</f>
        <v>0</v>
      </c>
      <c r="AA453" s="15">
        <f>_xlfn.IFNA(IF(VLOOKUP($J453&amp;AA$14,'Mapping A'!$A$6:$G$1011,7,0)=1,$L453,""),0)</f>
        <v>0</v>
      </c>
      <c r="AF453" s="155" t="str">
        <f t="shared" si="135"/>
        <v>TUI1101Genesis</v>
      </c>
      <c r="AG453" s="190" t="s">
        <v>353</v>
      </c>
      <c r="AH453" s="190" t="s">
        <v>10</v>
      </c>
      <c r="AI453" s="190">
        <f t="shared" si="141"/>
        <v>0.67200000000000004</v>
      </c>
      <c r="AJ453" s="292" t="s">
        <v>95</v>
      </c>
      <c r="AK453" s="15"/>
      <c r="AL453" s="15">
        <f t="shared" si="136"/>
        <v>0</v>
      </c>
      <c r="AM453" s="15"/>
      <c r="AN453" s="15">
        <f t="shared" ca="1" si="137"/>
        <v>0</v>
      </c>
      <c r="AO453" s="15">
        <f t="shared" si="138"/>
        <v>0</v>
      </c>
      <c r="AP453" s="15">
        <f t="shared" si="139"/>
        <v>0</v>
      </c>
      <c r="AQ453" s="15"/>
      <c r="AR453" s="190">
        <f t="shared" si="142"/>
        <v>0</v>
      </c>
      <c r="AS453" s="15"/>
      <c r="AT453" s="190">
        <f t="shared" si="143"/>
        <v>0</v>
      </c>
      <c r="AU453" s="190">
        <f t="shared" si="144"/>
        <v>0</v>
      </c>
      <c r="AV453" s="190">
        <f t="shared" si="145"/>
        <v>0</v>
      </c>
      <c r="AW453" s="190">
        <f t="shared" si="146"/>
        <v>0</v>
      </c>
      <c r="AX453" s="190">
        <f t="shared" si="147"/>
        <v>0</v>
      </c>
      <c r="BP453" s="190"/>
    </row>
    <row r="454" spans="2:68" x14ac:dyDescent="0.25">
      <c r="B454" s="98" t="s">
        <v>112</v>
      </c>
      <c r="C454" s="98">
        <v>2014</v>
      </c>
      <c r="D454" s="98" t="s">
        <v>355</v>
      </c>
      <c r="E454" s="98" t="s">
        <v>10</v>
      </c>
      <c r="F454" s="98" t="s">
        <v>136</v>
      </c>
      <c r="G454" s="98">
        <v>0</v>
      </c>
      <c r="H454" s="299" t="str">
        <f>VLOOKUP(LEFT('Rev Adequacy'!D454,3),'Mapping B'!$D$2:$E$400,2,0)</f>
        <v>N</v>
      </c>
      <c r="I454" s="190"/>
      <c r="J454" s="15" t="s">
        <v>357</v>
      </c>
      <c r="K454" s="190" t="s">
        <v>138</v>
      </c>
      <c r="L454" s="190">
        <f t="shared" si="140"/>
        <v>1.1907000000000001</v>
      </c>
      <c r="M454" s="15"/>
      <c r="N454" s="15"/>
      <c r="O454" s="15">
        <f>_xlfn.IFNA(IF(VLOOKUP($J454&amp;O$14,'Mapping A'!$A$6:$G$1011,7,0)=1,$L454,""),0)</f>
        <v>0</v>
      </c>
      <c r="P454" s="15">
        <f>_xlfn.IFNA(IF(VLOOKUP($J454&amp;P$14,'Mapping A'!$A$6:$G$1011,7,0)=1,$L454,""),0)</f>
        <v>0</v>
      </c>
      <c r="Q454" s="15">
        <f>_xlfn.IFNA(IF(VLOOKUP($J454&amp;Q$14,'Mapping A'!$A$6:$G$1011,7,0)=1,$L454,""),0)</f>
        <v>0</v>
      </c>
      <c r="R454" s="15">
        <f>_xlfn.IFNA(IF(VLOOKUP($J454&amp;R$14,'Mapping A'!$A$6:$G$1011,7,0)=1,$L454,""),0)</f>
        <v>0</v>
      </c>
      <c r="S454" s="15">
        <f>_xlfn.IFNA(IF(VLOOKUP($J454&amp;S$14,'Mapping A'!$A$6:$G$1011,7,0)=1,$L454,""),0)</f>
        <v>0</v>
      </c>
      <c r="T454" s="15">
        <f>_xlfn.IFNA(IF(VLOOKUP($J454&amp;T$14,'Mapping A'!$A$6:$G$1011,7,0)=1,$L454,""),0)</f>
        <v>0</v>
      </c>
      <c r="U454" s="15">
        <f>_xlfn.IFNA(IF(VLOOKUP($J454&amp;U$14,'Mapping A'!$A$6:$G$1011,7,0)=1,$L454,""),0)</f>
        <v>0</v>
      </c>
      <c r="V454" s="15">
        <f>_xlfn.IFNA(IF(VLOOKUP($J454&amp;V$14,'Mapping A'!$A$6:$G$1011,7,0)=1,$L454,""),0)</f>
        <v>0</v>
      </c>
      <c r="W454" s="15">
        <f>_xlfn.IFNA(IF(VLOOKUP($J454&amp;W$14,'Mapping A'!$A$6:$G$1011,7,0)=1,$L454,""),0)</f>
        <v>0</v>
      </c>
      <c r="X454" s="15">
        <f>_xlfn.IFNA(IF(VLOOKUP($J454&amp;X$14,'Mapping A'!$A$6:$G$1011,7,0)=1,$L454,""),0)</f>
        <v>0</v>
      </c>
      <c r="Y454" s="15">
        <f>_xlfn.IFNA(IF(VLOOKUP($J454&amp;Y$14,'Mapping A'!$A$6:$G$1011,7,0)=1,$L454,""),0)</f>
        <v>0</v>
      </c>
      <c r="Z454" s="15">
        <f>_xlfn.IFNA(IF(VLOOKUP($J454&amp;Z$14,'Mapping A'!$A$6:$G$1011,7,0)=1,$L454,""),0)</f>
        <v>0</v>
      </c>
      <c r="AA454" s="15">
        <f>_xlfn.IFNA(IF(VLOOKUP($J454&amp;AA$14,'Mapping A'!$A$6:$G$1011,7,0)=1,$L454,""),0)</f>
        <v>0</v>
      </c>
      <c r="AF454" s="155" t="str">
        <f t="shared" si="135"/>
        <v>TWC2201TrustPower</v>
      </c>
      <c r="AG454" s="190" t="s">
        <v>357</v>
      </c>
      <c r="AH454" s="190" t="s">
        <v>138</v>
      </c>
      <c r="AI454" s="190">
        <f t="shared" si="141"/>
        <v>1.1907000000000001</v>
      </c>
      <c r="AJ454" s="292" t="s">
        <v>95</v>
      </c>
      <c r="AK454" s="15"/>
      <c r="AL454" s="15">
        <f t="shared" si="136"/>
        <v>0</v>
      </c>
      <c r="AM454" s="15"/>
      <c r="AN454" s="15">
        <f t="shared" ca="1" si="137"/>
        <v>0</v>
      </c>
      <c r="AO454" s="15">
        <f t="shared" si="138"/>
        <v>0</v>
      </c>
      <c r="AP454" s="15">
        <f t="shared" si="139"/>
        <v>0</v>
      </c>
      <c r="AQ454" s="15"/>
      <c r="AR454" s="190">
        <f t="shared" si="142"/>
        <v>0</v>
      </c>
      <c r="AS454" s="15"/>
      <c r="AT454" s="190">
        <f t="shared" si="143"/>
        <v>0</v>
      </c>
      <c r="AU454" s="190">
        <f t="shared" si="144"/>
        <v>0</v>
      </c>
      <c r="AV454" s="190">
        <f t="shared" si="145"/>
        <v>0</v>
      </c>
      <c r="AW454" s="190">
        <f t="shared" si="146"/>
        <v>0</v>
      </c>
      <c r="AX454" s="190">
        <f t="shared" si="147"/>
        <v>0</v>
      </c>
      <c r="BP454" s="190"/>
    </row>
    <row r="455" spans="2:68" x14ac:dyDescent="0.25">
      <c r="B455" s="98" t="s">
        <v>112</v>
      </c>
      <c r="C455" s="98">
        <v>2014</v>
      </c>
      <c r="D455" s="98" t="s">
        <v>356</v>
      </c>
      <c r="E455" s="98" t="s">
        <v>10</v>
      </c>
      <c r="F455" s="98" t="s">
        <v>136</v>
      </c>
      <c r="G455" s="98">
        <v>0</v>
      </c>
      <c r="H455" s="299" t="str">
        <f>VLOOKUP(LEFT('Rev Adequacy'!D455,3),'Mapping B'!$D$2:$E$400,2,0)</f>
        <v>N</v>
      </c>
      <c r="I455" s="190"/>
      <c r="J455" s="15" t="s">
        <v>358</v>
      </c>
      <c r="K455" s="190" t="s">
        <v>39</v>
      </c>
      <c r="L455" s="190">
        <f t="shared" si="140"/>
        <v>86.625</v>
      </c>
      <c r="M455" s="15"/>
      <c r="N455" s="15"/>
      <c r="O455" s="15">
        <f>_xlfn.IFNA(IF(VLOOKUP($J455&amp;O$14,'Mapping A'!$A$6:$G$1011,7,0)=1,$L455,""),0)</f>
        <v>0</v>
      </c>
      <c r="P455" s="15">
        <f>_xlfn.IFNA(IF(VLOOKUP($J455&amp;P$14,'Mapping A'!$A$6:$G$1011,7,0)=1,$L455,""),0)</f>
        <v>0</v>
      </c>
      <c r="Q455" s="15">
        <f>_xlfn.IFNA(IF(VLOOKUP($J455&amp;Q$14,'Mapping A'!$A$6:$G$1011,7,0)=1,$L455,""),0)</f>
        <v>0</v>
      </c>
      <c r="R455" s="15">
        <f>_xlfn.IFNA(IF(VLOOKUP($J455&amp;R$14,'Mapping A'!$A$6:$G$1011,7,0)=1,$L455,""),0)</f>
        <v>0</v>
      </c>
      <c r="S455" s="15">
        <f>_xlfn.IFNA(IF(VLOOKUP($J455&amp;S$14,'Mapping A'!$A$6:$G$1011,7,0)=1,$L455,""),0)</f>
        <v>0</v>
      </c>
      <c r="T455" s="15">
        <f>_xlfn.IFNA(IF(VLOOKUP($J455&amp;T$14,'Mapping A'!$A$6:$G$1011,7,0)=1,$L455,""),0)</f>
        <v>86.625</v>
      </c>
      <c r="U455" s="15">
        <f>_xlfn.IFNA(IF(VLOOKUP($J455&amp;U$14,'Mapping A'!$A$6:$G$1011,7,0)=1,$L455,""),0)</f>
        <v>0</v>
      </c>
      <c r="V455" s="15">
        <f>_xlfn.IFNA(IF(VLOOKUP($J455&amp;V$14,'Mapping A'!$A$6:$G$1011,7,0)=1,$L455,""),0)</f>
        <v>0</v>
      </c>
      <c r="W455" s="15">
        <f>_xlfn.IFNA(IF(VLOOKUP($J455&amp;W$14,'Mapping A'!$A$6:$G$1011,7,0)=1,$L455,""),0)</f>
        <v>0</v>
      </c>
      <c r="X455" s="15">
        <f>_xlfn.IFNA(IF(VLOOKUP($J455&amp;X$14,'Mapping A'!$A$6:$G$1011,7,0)=1,$L455,""),0)</f>
        <v>0</v>
      </c>
      <c r="Y455" s="15">
        <f>_xlfn.IFNA(IF(VLOOKUP($J455&amp;Y$14,'Mapping A'!$A$6:$G$1011,7,0)=1,$L455,""),0)</f>
        <v>0</v>
      </c>
      <c r="Z455" s="15">
        <f>_xlfn.IFNA(IF(VLOOKUP($J455&amp;Z$14,'Mapping A'!$A$6:$G$1011,7,0)=1,$L455,""),0)</f>
        <v>0</v>
      </c>
      <c r="AA455" s="15">
        <f>_xlfn.IFNA(IF(VLOOKUP($J455&amp;AA$14,'Mapping A'!$A$6:$G$1011,7,0)=1,$L455,""),0)</f>
        <v>0</v>
      </c>
      <c r="AF455" s="155" t="str">
        <f t="shared" si="135"/>
        <v>TWH0331WEL</v>
      </c>
      <c r="AG455" s="190" t="s">
        <v>358</v>
      </c>
      <c r="AH455" s="190" t="s">
        <v>39</v>
      </c>
      <c r="AI455" s="190">
        <f t="shared" si="141"/>
        <v>86.625</v>
      </c>
      <c r="AJ455" s="292" t="s">
        <v>95</v>
      </c>
      <c r="AK455" s="15"/>
      <c r="AL455" s="15">
        <f t="shared" si="136"/>
        <v>0</v>
      </c>
      <c r="AM455" s="15"/>
      <c r="AN455" s="15">
        <f t="shared" ca="1" si="137"/>
        <v>0</v>
      </c>
      <c r="AO455" s="15">
        <f t="shared" si="138"/>
        <v>0</v>
      </c>
      <c r="AP455" s="15">
        <f t="shared" si="139"/>
        <v>0</v>
      </c>
      <c r="AQ455" s="15"/>
      <c r="AR455" s="190">
        <f t="shared" si="142"/>
        <v>0</v>
      </c>
      <c r="AS455" s="15"/>
      <c r="AT455" s="190">
        <f t="shared" si="143"/>
        <v>0</v>
      </c>
      <c r="AU455" s="190">
        <f t="shared" si="144"/>
        <v>0</v>
      </c>
      <c r="AV455" s="190">
        <f t="shared" si="145"/>
        <v>0</v>
      </c>
      <c r="AW455" s="190">
        <f t="shared" si="146"/>
        <v>0</v>
      </c>
      <c r="AX455" s="190">
        <f t="shared" si="147"/>
        <v>0</v>
      </c>
      <c r="BP455" s="190"/>
    </row>
    <row r="456" spans="2:68" x14ac:dyDescent="0.25">
      <c r="B456" s="98" t="s">
        <v>111</v>
      </c>
      <c r="C456" s="98">
        <v>2014</v>
      </c>
      <c r="D456" s="98" t="s">
        <v>202</v>
      </c>
      <c r="E456" s="98" t="s">
        <v>10</v>
      </c>
      <c r="F456" s="98" t="s">
        <v>136</v>
      </c>
      <c r="G456" s="98">
        <v>0</v>
      </c>
      <c r="H456" s="299" t="str">
        <f>VLOOKUP(LEFT('Rev Adequacy'!D456,3),'Mapping B'!$D$2:$E$400,2,0)</f>
        <v>N</v>
      </c>
      <c r="I456" s="190"/>
      <c r="J456" s="15" t="s">
        <v>361</v>
      </c>
      <c r="K456" s="190" t="s">
        <v>54</v>
      </c>
      <c r="L456" s="190">
        <f t="shared" si="140"/>
        <v>582.21400000000006</v>
      </c>
      <c r="M456" s="15"/>
      <c r="N456" s="15"/>
      <c r="O456" s="15">
        <f>_xlfn.IFNA(IF(VLOOKUP($J456&amp;O$14,'Mapping A'!$A$6:$G$1011,7,0)=1,$L456,""),0)</f>
        <v>0</v>
      </c>
      <c r="P456" s="15">
        <f>_xlfn.IFNA(IF(VLOOKUP($J456&amp;P$14,'Mapping A'!$A$6:$G$1011,7,0)=1,$L456,""),0)</f>
        <v>0</v>
      </c>
      <c r="Q456" s="15">
        <f>_xlfn.IFNA(IF(VLOOKUP($J456&amp;Q$14,'Mapping A'!$A$6:$G$1011,7,0)=1,$L456,""),0)</f>
        <v>582.21400000000006</v>
      </c>
      <c r="R456" s="15">
        <f>_xlfn.IFNA(IF(VLOOKUP($J456&amp;R$14,'Mapping A'!$A$6:$G$1011,7,0)=1,$L456,""),0)</f>
        <v>0</v>
      </c>
      <c r="S456" s="15">
        <f>_xlfn.IFNA(IF(VLOOKUP($J456&amp;S$14,'Mapping A'!$A$6:$G$1011,7,0)=1,$L456,""),0)</f>
        <v>0</v>
      </c>
      <c r="T456" s="15">
        <f>_xlfn.IFNA(IF(VLOOKUP($J456&amp;T$14,'Mapping A'!$A$6:$G$1011,7,0)=1,$L456,""),0)</f>
        <v>0</v>
      </c>
      <c r="U456" s="15">
        <f>_xlfn.IFNA(IF(VLOOKUP($J456&amp;U$14,'Mapping A'!$A$6:$G$1011,7,0)=1,$L456,""),0)</f>
        <v>0</v>
      </c>
      <c r="V456" s="15">
        <f>_xlfn.IFNA(IF(VLOOKUP($J456&amp;V$14,'Mapping A'!$A$6:$G$1011,7,0)=1,$L456,""),0)</f>
        <v>0</v>
      </c>
      <c r="W456" s="15">
        <f>_xlfn.IFNA(IF(VLOOKUP($J456&amp;W$14,'Mapping A'!$A$6:$G$1011,7,0)=1,$L456,""),0)</f>
        <v>0</v>
      </c>
      <c r="X456" s="15">
        <f>_xlfn.IFNA(IF(VLOOKUP($J456&amp;X$14,'Mapping A'!$A$6:$G$1011,7,0)=1,$L456,""),0)</f>
        <v>0</v>
      </c>
      <c r="Y456" s="15">
        <f>_xlfn.IFNA(IF(VLOOKUP($J456&amp;Y$14,'Mapping A'!$A$6:$G$1011,7,0)=1,$L456,""),0)</f>
        <v>0</v>
      </c>
      <c r="Z456" s="15">
        <f>_xlfn.IFNA(IF(VLOOKUP($J456&amp;Z$14,'Mapping A'!$A$6:$G$1011,7,0)=1,$L456,""),0)</f>
        <v>0</v>
      </c>
      <c r="AA456" s="15">
        <f>_xlfn.IFNA(IF(VLOOKUP($J456&amp;AA$14,'Mapping A'!$A$6:$G$1011,7,0)=1,$L456,""),0)</f>
        <v>0</v>
      </c>
      <c r="AF456" s="155" t="str">
        <f t="shared" si="135"/>
        <v>TWI2201Pacific Aluminium</v>
      </c>
      <c r="AG456" s="190" t="s">
        <v>361</v>
      </c>
      <c r="AH456" s="190" t="s">
        <v>54</v>
      </c>
      <c r="AI456" s="190">
        <f t="shared" si="141"/>
        <v>582.21400000000006</v>
      </c>
      <c r="AJ456" s="292" t="s">
        <v>96</v>
      </c>
      <c r="AK456" s="15"/>
      <c r="AL456" s="15">
        <f t="shared" si="136"/>
        <v>0</v>
      </c>
      <c r="AM456" s="15"/>
      <c r="AN456" s="15">
        <f t="shared" ca="1" si="137"/>
        <v>0</v>
      </c>
      <c r="AO456" s="15">
        <f t="shared" si="138"/>
        <v>0</v>
      </c>
      <c r="AP456" s="15">
        <f t="shared" si="139"/>
        <v>0</v>
      </c>
      <c r="AQ456" s="15"/>
      <c r="AR456" s="190">
        <f t="shared" si="142"/>
        <v>0</v>
      </c>
      <c r="AS456" s="15"/>
      <c r="AT456" s="190">
        <f t="shared" si="143"/>
        <v>0</v>
      </c>
      <c r="AU456" s="190">
        <f t="shared" si="144"/>
        <v>0</v>
      </c>
      <c r="AV456" s="190">
        <f t="shared" si="145"/>
        <v>0</v>
      </c>
      <c r="AW456" s="190">
        <f t="shared" si="146"/>
        <v>0</v>
      </c>
      <c r="AX456" s="190">
        <f t="shared" si="147"/>
        <v>0</v>
      </c>
      <c r="BP456" s="190"/>
    </row>
    <row r="457" spans="2:68" x14ac:dyDescent="0.25">
      <c r="B457" s="98" t="s">
        <v>111</v>
      </c>
      <c r="C457" s="98">
        <v>2014</v>
      </c>
      <c r="D457" s="98" t="s">
        <v>203</v>
      </c>
      <c r="E457" s="98" t="s">
        <v>10</v>
      </c>
      <c r="F457" s="98" t="s">
        <v>136</v>
      </c>
      <c r="G457" s="98">
        <v>0</v>
      </c>
      <c r="H457" s="299" t="str">
        <f>VLOOKUP(LEFT('Rev Adequacy'!D457,3),'Mapping B'!$D$2:$E$400,2,0)</f>
        <v>N</v>
      </c>
      <c r="I457" s="190"/>
      <c r="J457" s="15" t="s">
        <v>362</v>
      </c>
      <c r="K457" s="190" t="s">
        <v>0</v>
      </c>
      <c r="L457" s="190">
        <f t="shared" si="140"/>
        <v>3.3369</v>
      </c>
      <c r="M457" s="15"/>
      <c r="N457" s="15"/>
      <c r="O457" s="15">
        <f>_xlfn.IFNA(IF(VLOOKUP($J457&amp;O$14,'Mapping A'!$A$6:$G$1011,7,0)=1,$L457,""),0)</f>
        <v>0</v>
      </c>
      <c r="P457" s="15">
        <f>_xlfn.IFNA(IF(VLOOKUP($J457&amp;P$14,'Mapping A'!$A$6:$G$1011,7,0)=1,$L457,""),0)</f>
        <v>0</v>
      </c>
      <c r="Q457" s="15">
        <f>_xlfn.IFNA(IF(VLOOKUP($J457&amp;Q$14,'Mapping A'!$A$6:$G$1011,7,0)=1,$L457,""),0)</f>
        <v>3.3369</v>
      </c>
      <c r="R457" s="15">
        <f>_xlfn.IFNA(IF(VLOOKUP($J457&amp;R$14,'Mapping A'!$A$6:$G$1011,7,0)=1,$L457,""),0)</f>
        <v>0</v>
      </c>
      <c r="S457" s="15">
        <f>_xlfn.IFNA(IF(VLOOKUP($J457&amp;S$14,'Mapping A'!$A$6:$G$1011,7,0)=1,$L457,""),0)</f>
        <v>0</v>
      </c>
      <c r="T457" s="15">
        <f>_xlfn.IFNA(IF(VLOOKUP($J457&amp;T$14,'Mapping A'!$A$6:$G$1011,7,0)=1,$L457,""),0)</f>
        <v>0</v>
      </c>
      <c r="U457" s="15">
        <f>_xlfn.IFNA(IF(VLOOKUP($J457&amp;U$14,'Mapping A'!$A$6:$G$1011,7,0)=1,$L457,""),0)</f>
        <v>0</v>
      </c>
      <c r="V457" s="15">
        <f>_xlfn.IFNA(IF(VLOOKUP($J457&amp;V$14,'Mapping A'!$A$6:$G$1011,7,0)=1,$L457,""),0)</f>
        <v>0</v>
      </c>
      <c r="W457" s="15">
        <f>_xlfn.IFNA(IF(VLOOKUP($J457&amp;W$14,'Mapping A'!$A$6:$G$1011,7,0)=1,$L457,""),0)</f>
        <v>0</v>
      </c>
      <c r="X457" s="15">
        <f>_xlfn.IFNA(IF(VLOOKUP($J457&amp;X$14,'Mapping A'!$A$6:$G$1011,7,0)=1,$L457,""),0)</f>
        <v>0</v>
      </c>
      <c r="Y457" s="15">
        <f>_xlfn.IFNA(IF(VLOOKUP($J457&amp;Y$14,'Mapping A'!$A$6:$G$1011,7,0)=1,$L457,""),0)</f>
        <v>0</v>
      </c>
      <c r="Z457" s="15">
        <f>_xlfn.IFNA(IF(VLOOKUP($J457&amp;Z$14,'Mapping A'!$A$6:$G$1011,7,0)=1,$L457,""),0)</f>
        <v>0</v>
      </c>
      <c r="AA457" s="15">
        <f>_xlfn.IFNA(IF(VLOOKUP($J457&amp;AA$14,'Mapping A'!$A$6:$G$1011,7,0)=1,$L457,""),0)</f>
        <v>0</v>
      </c>
      <c r="AF457" s="155" t="str">
        <f t="shared" si="135"/>
        <v>TWZ0331Alpine Energy</v>
      </c>
      <c r="AG457" s="190" t="s">
        <v>362</v>
      </c>
      <c r="AH457" s="190" t="s">
        <v>0</v>
      </c>
      <c r="AI457" s="190">
        <f t="shared" si="141"/>
        <v>3.3369</v>
      </c>
      <c r="AJ457" s="292" t="s">
        <v>96</v>
      </c>
      <c r="AK457" s="15"/>
      <c r="AL457" s="15">
        <f t="shared" si="136"/>
        <v>0</v>
      </c>
      <c r="AM457" s="15"/>
      <c r="AN457" s="15">
        <f t="shared" ca="1" si="137"/>
        <v>0</v>
      </c>
      <c r="AO457" s="15">
        <f t="shared" si="138"/>
        <v>0</v>
      </c>
      <c r="AP457" s="15">
        <f t="shared" si="139"/>
        <v>0</v>
      </c>
      <c r="AQ457" s="15"/>
      <c r="AR457" s="190">
        <f t="shared" si="142"/>
        <v>0</v>
      </c>
      <c r="AS457" s="15"/>
      <c r="AT457" s="190">
        <f t="shared" si="143"/>
        <v>0</v>
      </c>
      <c r="AU457" s="190">
        <f t="shared" si="144"/>
        <v>0</v>
      </c>
      <c r="AV457" s="190">
        <f t="shared" si="145"/>
        <v>0</v>
      </c>
      <c r="AW457" s="190">
        <f t="shared" si="146"/>
        <v>0</v>
      </c>
      <c r="AX457" s="190">
        <f t="shared" si="147"/>
        <v>0</v>
      </c>
      <c r="BP457" s="190"/>
    </row>
    <row r="458" spans="2:68" x14ac:dyDescent="0.25">
      <c r="B458" s="98" t="s">
        <v>111</v>
      </c>
      <c r="C458" s="98">
        <v>2014</v>
      </c>
      <c r="D458" s="98" t="s">
        <v>204</v>
      </c>
      <c r="E458" s="98" t="s">
        <v>10</v>
      </c>
      <c r="F458" s="98" t="s">
        <v>136</v>
      </c>
      <c r="G458" s="98">
        <v>0</v>
      </c>
      <c r="H458" s="299" t="str">
        <f>VLOOKUP(LEFT('Rev Adequacy'!D458,3),'Mapping B'!$D$2:$E$400,2,0)</f>
        <v>N</v>
      </c>
      <c r="I458" s="190"/>
      <c r="J458" s="15" t="s">
        <v>362</v>
      </c>
      <c r="K458" s="190" t="s">
        <v>14</v>
      </c>
      <c r="L458" s="190">
        <f t="shared" si="140"/>
        <v>1.0983000000000001</v>
      </c>
      <c r="M458" s="15"/>
      <c r="N458" s="15"/>
      <c r="O458" s="15">
        <f>_xlfn.IFNA(IF(VLOOKUP($J458&amp;O$14,'Mapping A'!$A$6:$G$1011,7,0)=1,$L458,""),0)</f>
        <v>0</v>
      </c>
      <c r="P458" s="15">
        <f>_xlfn.IFNA(IF(VLOOKUP($J458&amp;P$14,'Mapping A'!$A$6:$G$1011,7,0)=1,$L458,""),0)</f>
        <v>0</v>
      </c>
      <c r="Q458" s="15">
        <f>_xlfn.IFNA(IF(VLOOKUP($J458&amp;Q$14,'Mapping A'!$A$6:$G$1011,7,0)=1,$L458,""),0)</f>
        <v>1.0983000000000001</v>
      </c>
      <c r="R458" s="15">
        <f>_xlfn.IFNA(IF(VLOOKUP($J458&amp;R$14,'Mapping A'!$A$6:$G$1011,7,0)=1,$L458,""),0)</f>
        <v>0</v>
      </c>
      <c r="S458" s="15">
        <f>_xlfn.IFNA(IF(VLOOKUP($J458&amp;S$14,'Mapping A'!$A$6:$G$1011,7,0)=1,$L458,""),0)</f>
        <v>0</v>
      </c>
      <c r="T458" s="15">
        <f>_xlfn.IFNA(IF(VLOOKUP($J458&amp;T$14,'Mapping A'!$A$6:$G$1011,7,0)=1,$L458,""),0)</f>
        <v>0</v>
      </c>
      <c r="U458" s="15">
        <f>_xlfn.IFNA(IF(VLOOKUP($J458&amp;U$14,'Mapping A'!$A$6:$G$1011,7,0)=1,$L458,""),0)</f>
        <v>0</v>
      </c>
      <c r="V458" s="15">
        <f>_xlfn.IFNA(IF(VLOOKUP($J458&amp;V$14,'Mapping A'!$A$6:$G$1011,7,0)=1,$L458,""),0)</f>
        <v>0</v>
      </c>
      <c r="W458" s="15">
        <f>_xlfn.IFNA(IF(VLOOKUP($J458&amp;W$14,'Mapping A'!$A$6:$G$1011,7,0)=1,$L458,""),0)</f>
        <v>0</v>
      </c>
      <c r="X458" s="15">
        <f>_xlfn.IFNA(IF(VLOOKUP($J458&amp;X$14,'Mapping A'!$A$6:$G$1011,7,0)=1,$L458,""),0)</f>
        <v>0</v>
      </c>
      <c r="Y458" s="15">
        <f>_xlfn.IFNA(IF(VLOOKUP($J458&amp;Y$14,'Mapping A'!$A$6:$G$1011,7,0)=1,$L458,""),0)</f>
        <v>0</v>
      </c>
      <c r="Z458" s="15">
        <f>_xlfn.IFNA(IF(VLOOKUP($J458&amp;Z$14,'Mapping A'!$A$6:$G$1011,7,0)=1,$L458,""),0)</f>
        <v>0</v>
      </c>
      <c r="AA458" s="15">
        <f>_xlfn.IFNA(IF(VLOOKUP($J458&amp;AA$14,'Mapping A'!$A$6:$G$1011,7,0)=1,$L458,""),0)</f>
        <v>0</v>
      </c>
      <c r="AF458" s="155" t="str">
        <f t="shared" si="135"/>
        <v>TWZ0331Meridian</v>
      </c>
      <c r="AG458" s="190" t="s">
        <v>362</v>
      </c>
      <c r="AH458" s="190" t="s">
        <v>14</v>
      </c>
      <c r="AI458" s="190">
        <f t="shared" si="141"/>
        <v>1.0983000000000001</v>
      </c>
      <c r="AJ458" s="292" t="s">
        <v>96</v>
      </c>
      <c r="AK458" s="15"/>
      <c r="AL458" s="15">
        <f t="shared" si="136"/>
        <v>0</v>
      </c>
      <c r="AM458" s="15"/>
      <c r="AN458" s="15">
        <f t="shared" ca="1" si="137"/>
        <v>0</v>
      </c>
      <c r="AO458" s="15">
        <f t="shared" si="138"/>
        <v>0</v>
      </c>
      <c r="AP458" s="15">
        <f t="shared" si="139"/>
        <v>0</v>
      </c>
      <c r="AQ458" s="15"/>
      <c r="AR458" s="190">
        <f t="shared" si="142"/>
        <v>0</v>
      </c>
      <c r="AS458" s="15"/>
      <c r="AT458" s="190">
        <f t="shared" si="143"/>
        <v>0</v>
      </c>
      <c r="AU458" s="190">
        <f t="shared" si="144"/>
        <v>0</v>
      </c>
      <c r="AV458" s="190">
        <f t="shared" si="145"/>
        <v>0</v>
      </c>
      <c r="AW458" s="190">
        <f t="shared" si="146"/>
        <v>0</v>
      </c>
      <c r="AX458" s="190">
        <f t="shared" si="147"/>
        <v>0</v>
      </c>
      <c r="BP458" s="190"/>
    </row>
    <row r="459" spans="2:68" x14ac:dyDescent="0.25">
      <c r="B459" s="98" t="s">
        <v>111</v>
      </c>
      <c r="C459" s="98">
        <v>2014</v>
      </c>
      <c r="D459" s="98" t="s">
        <v>205</v>
      </c>
      <c r="E459" s="98" t="s">
        <v>10</v>
      </c>
      <c r="F459" s="98" t="s">
        <v>136</v>
      </c>
      <c r="G459" s="98">
        <v>0</v>
      </c>
      <c r="H459" s="299" t="str">
        <f>VLOOKUP(LEFT('Rev Adequacy'!D459,3),'Mapping B'!$D$2:$E$400,2,0)</f>
        <v>N</v>
      </c>
      <c r="I459" s="190"/>
      <c r="J459" s="15" t="s">
        <v>362</v>
      </c>
      <c r="K459" s="190" t="s">
        <v>20</v>
      </c>
      <c r="L459" s="190">
        <f t="shared" si="140"/>
        <v>4.8216000000000001</v>
      </c>
      <c r="M459" s="15"/>
      <c r="N459" s="15"/>
      <c r="O459" s="15">
        <f>_xlfn.IFNA(IF(VLOOKUP($J459&amp;O$14,'Mapping A'!$A$6:$G$1011,7,0)=1,$L459,""),0)</f>
        <v>0</v>
      </c>
      <c r="P459" s="15">
        <f>_xlfn.IFNA(IF(VLOOKUP($J459&amp;P$14,'Mapping A'!$A$6:$G$1011,7,0)=1,$L459,""),0)</f>
        <v>0</v>
      </c>
      <c r="Q459" s="15">
        <f>_xlfn.IFNA(IF(VLOOKUP($J459&amp;Q$14,'Mapping A'!$A$6:$G$1011,7,0)=1,$L459,""),0)</f>
        <v>4.8216000000000001</v>
      </c>
      <c r="R459" s="15">
        <f>_xlfn.IFNA(IF(VLOOKUP($J459&amp;R$14,'Mapping A'!$A$6:$G$1011,7,0)=1,$L459,""),0)</f>
        <v>0</v>
      </c>
      <c r="S459" s="15">
        <f>_xlfn.IFNA(IF(VLOOKUP($J459&amp;S$14,'Mapping A'!$A$6:$G$1011,7,0)=1,$L459,""),0)</f>
        <v>0</v>
      </c>
      <c r="T459" s="15">
        <f>_xlfn.IFNA(IF(VLOOKUP($J459&amp;T$14,'Mapping A'!$A$6:$G$1011,7,0)=1,$L459,""),0)</f>
        <v>0</v>
      </c>
      <c r="U459" s="15">
        <f>_xlfn.IFNA(IF(VLOOKUP($J459&amp;U$14,'Mapping A'!$A$6:$G$1011,7,0)=1,$L459,""),0)</f>
        <v>0</v>
      </c>
      <c r="V459" s="15">
        <f>_xlfn.IFNA(IF(VLOOKUP($J459&amp;V$14,'Mapping A'!$A$6:$G$1011,7,0)=1,$L459,""),0)</f>
        <v>0</v>
      </c>
      <c r="W459" s="15">
        <f>_xlfn.IFNA(IF(VLOOKUP($J459&amp;W$14,'Mapping A'!$A$6:$G$1011,7,0)=1,$L459,""),0)</f>
        <v>0</v>
      </c>
      <c r="X459" s="15">
        <f>_xlfn.IFNA(IF(VLOOKUP($J459&amp;X$14,'Mapping A'!$A$6:$G$1011,7,0)=1,$L459,""),0)</f>
        <v>0</v>
      </c>
      <c r="Y459" s="15">
        <f>_xlfn.IFNA(IF(VLOOKUP($J459&amp;Y$14,'Mapping A'!$A$6:$G$1011,7,0)=1,$L459,""),0)</f>
        <v>0</v>
      </c>
      <c r="Z459" s="15">
        <f>_xlfn.IFNA(IF(VLOOKUP($J459&amp;Z$14,'Mapping A'!$A$6:$G$1011,7,0)=1,$L459,""),0)</f>
        <v>0</v>
      </c>
      <c r="AA459" s="15">
        <f>_xlfn.IFNA(IF(VLOOKUP($J459&amp;AA$14,'Mapping A'!$A$6:$G$1011,7,0)=1,$L459,""),0)</f>
        <v>0</v>
      </c>
      <c r="AF459" s="155" t="str">
        <f t="shared" si="135"/>
        <v>TWZ0331Network Waitaki</v>
      </c>
      <c r="AG459" s="190" t="s">
        <v>362</v>
      </c>
      <c r="AH459" s="190" t="s">
        <v>20</v>
      </c>
      <c r="AI459" s="190">
        <f t="shared" si="141"/>
        <v>4.8216000000000001</v>
      </c>
      <c r="AJ459" s="292" t="s">
        <v>96</v>
      </c>
      <c r="AK459" s="15"/>
      <c r="AL459" s="15">
        <f t="shared" si="136"/>
        <v>0</v>
      </c>
      <c r="AM459" s="15"/>
      <c r="AN459" s="15">
        <f t="shared" ca="1" si="137"/>
        <v>0</v>
      </c>
      <c r="AO459" s="15">
        <f t="shared" si="138"/>
        <v>0</v>
      </c>
      <c r="AP459" s="15">
        <f t="shared" si="139"/>
        <v>0</v>
      </c>
      <c r="AQ459" s="15"/>
      <c r="AR459" s="190">
        <f t="shared" si="142"/>
        <v>0</v>
      </c>
      <c r="AS459" s="15"/>
      <c r="AT459" s="190">
        <f t="shared" si="143"/>
        <v>0</v>
      </c>
      <c r="AU459" s="190">
        <f t="shared" si="144"/>
        <v>0</v>
      </c>
      <c r="AV459" s="190">
        <f t="shared" si="145"/>
        <v>0</v>
      </c>
      <c r="AW459" s="190">
        <f t="shared" si="146"/>
        <v>0</v>
      </c>
      <c r="AX459" s="190">
        <f t="shared" si="147"/>
        <v>0</v>
      </c>
      <c r="BP459" s="190"/>
    </row>
    <row r="460" spans="2:68" x14ac:dyDescent="0.25">
      <c r="B460" s="98" t="s">
        <v>111</v>
      </c>
      <c r="C460" s="98">
        <v>2014</v>
      </c>
      <c r="D460" s="98" t="s">
        <v>317</v>
      </c>
      <c r="E460" s="98" t="s">
        <v>10</v>
      </c>
      <c r="F460" s="98" t="s">
        <v>136</v>
      </c>
      <c r="G460" s="98">
        <v>0</v>
      </c>
      <c r="H460" s="299" t="str">
        <f>VLOOKUP(LEFT('Rev Adequacy'!D460,3),'Mapping B'!$D$2:$E$400,2,0)</f>
        <v>N</v>
      </c>
      <c r="I460" s="190"/>
      <c r="J460" s="15" t="s">
        <v>363</v>
      </c>
      <c r="K460" s="190" t="s">
        <v>40</v>
      </c>
      <c r="L460" s="190">
        <f t="shared" si="140"/>
        <v>32.003999999999998</v>
      </c>
      <c r="M460" s="15"/>
      <c r="N460" s="15"/>
      <c r="O460" s="15">
        <f>_xlfn.IFNA(IF(VLOOKUP($J460&amp;O$14,'Mapping A'!$A$6:$G$1011,7,0)=1,$L460,""),0)</f>
        <v>0</v>
      </c>
      <c r="P460" s="15">
        <f>_xlfn.IFNA(IF(VLOOKUP($J460&amp;P$14,'Mapping A'!$A$6:$G$1011,7,0)=1,$L460,""),0)</f>
        <v>0</v>
      </c>
      <c r="Q460" s="15">
        <f>_xlfn.IFNA(IF(VLOOKUP($J460&amp;Q$14,'Mapping A'!$A$6:$G$1011,7,0)=1,$L460,""),0)</f>
        <v>0</v>
      </c>
      <c r="R460" s="15">
        <f>_xlfn.IFNA(IF(VLOOKUP($J460&amp;R$14,'Mapping A'!$A$6:$G$1011,7,0)=1,$L460,""),0)</f>
        <v>0</v>
      </c>
      <c r="S460" s="15">
        <f>_xlfn.IFNA(IF(VLOOKUP($J460&amp;S$14,'Mapping A'!$A$6:$G$1011,7,0)=1,$L460,""),0)</f>
        <v>0</v>
      </c>
      <c r="T460" s="15">
        <f>_xlfn.IFNA(IF(VLOOKUP($J460&amp;T$14,'Mapping A'!$A$6:$G$1011,7,0)=1,$L460,""),0)</f>
        <v>0</v>
      </c>
      <c r="U460" s="15">
        <f>_xlfn.IFNA(IF(VLOOKUP($J460&amp;U$14,'Mapping A'!$A$6:$G$1011,7,0)=1,$L460,""),0)</f>
        <v>0</v>
      </c>
      <c r="V460" s="15">
        <f>_xlfn.IFNA(IF(VLOOKUP($J460&amp;V$14,'Mapping A'!$A$6:$G$1011,7,0)=1,$L460,""),0)</f>
        <v>0</v>
      </c>
      <c r="W460" s="15">
        <f>_xlfn.IFNA(IF(VLOOKUP($J460&amp;W$14,'Mapping A'!$A$6:$G$1011,7,0)=1,$L460,""),0)</f>
        <v>0</v>
      </c>
      <c r="X460" s="15">
        <f>_xlfn.IFNA(IF(VLOOKUP($J460&amp;X$14,'Mapping A'!$A$6:$G$1011,7,0)=1,$L460,""),0)</f>
        <v>0</v>
      </c>
      <c r="Y460" s="15">
        <f>_xlfn.IFNA(IF(VLOOKUP($J460&amp;Y$14,'Mapping A'!$A$6:$G$1011,7,0)=1,$L460,""),0)</f>
        <v>0</v>
      </c>
      <c r="Z460" s="15">
        <f>_xlfn.IFNA(IF(VLOOKUP($J460&amp;Z$14,'Mapping A'!$A$6:$G$1011,7,0)=1,$L460,""),0)</f>
        <v>0</v>
      </c>
      <c r="AA460" s="15">
        <f>_xlfn.IFNA(IF(VLOOKUP($J460&amp;AA$14,'Mapping A'!$A$6:$G$1011,7,0)=1,$L460,""),0)</f>
        <v>0</v>
      </c>
      <c r="AF460" s="155" t="str">
        <f t="shared" si="135"/>
        <v>UHT0331Wellington Electricity</v>
      </c>
      <c r="AG460" s="190" t="s">
        <v>363</v>
      </c>
      <c r="AH460" s="190" t="s">
        <v>40</v>
      </c>
      <c r="AI460" s="190">
        <f t="shared" si="141"/>
        <v>32.003999999999998</v>
      </c>
      <c r="AJ460" s="292" t="s">
        <v>95</v>
      </c>
      <c r="AK460" s="15"/>
      <c r="AL460" s="15">
        <f t="shared" si="136"/>
        <v>0</v>
      </c>
      <c r="AM460" s="15"/>
      <c r="AN460" s="15">
        <f t="shared" ca="1" si="137"/>
        <v>0</v>
      </c>
      <c r="AO460" s="15">
        <f t="shared" si="138"/>
        <v>0</v>
      </c>
      <c r="AP460" s="15">
        <f t="shared" si="139"/>
        <v>0</v>
      </c>
      <c r="AQ460" s="15"/>
      <c r="AR460" s="190">
        <f t="shared" si="142"/>
        <v>0</v>
      </c>
      <c r="AS460" s="15"/>
      <c r="AT460" s="190">
        <f t="shared" si="143"/>
        <v>0</v>
      </c>
      <c r="AU460" s="190">
        <f t="shared" si="144"/>
        <v>0</v>
      </c>
      <c r="AV460" s="190">
        <f t="shared" si="145"/>
        <v>0</v>
      </c>
      <c r="AW460" s="190">
        <f t="shared" si="146"/>
        <v>0</v>
      </c>
      <c r="AX460" s="190">
        <f t="shared" si="147"/>
        <v>0</v>
      </c>
      <c r="BP460" s="190"/>
    </row>
    <row r="461" spans="2:68" x14ac:dyDescent="0.25">
      <c r="B461" s="98" t="s">
        <v>111</v>
      </c>
      <c r="C461" s="98">
        <v>2014</v>
      </c>
      <c r="D461" s="98" t="s">
        <v>340</v>
      </c>
      <c r="E461" s="98" t="s">
        <v>10</v>
      </c>
      <c r="F461" s="98" t="s">
        <v>136</v>
      </c>
      <c r="G461" s="98">
        <v>1293896.0529999901</v>
      </c>
      <c r="H461" s="299" t="str">
        <f>VLOOKUP(LEFT('Rev Adequacy'!D461,3),'Mapping B'!$D$2:$E$400,2,0)</f>
        <v>S</v>
      </c>
      <c r="I461" s="190"/>
      <c r="J461" s="15" t="s">
        <v>364</v>
      </c>
      <c r="K461" s="190" t="s">
        <v>11</v>
      </c>
      <c r="L461" s="190">
        <f t="shared" si="140"/>
        <v>9.9077999999999999</v>
      </c>
      <c r="M461" s="15"/>
      <c r="N461" s="15"/>
      <c r="O461" s="15">
        <f>_xlfn.IFNA(IF(VLOOKUP($J461&amp;O$14,'Mapping A'!$A$6:$G$1011,7,0)=1,$L461,""),0)</f>
        <v>0</v>
      </c>
      <c r="P461" s="15">
        <f>_xlfn.IFNA(IF(VLOOKUP($J461&amp;P$14,'Mapping A'!$A$6:$G$1011,7,0)=1,$L461,""),0)</f>
        <v>0</v>
      </c>
      <c r="Q461" s="15">
        <f>_xlfn.IFNA(IF(VLOOKUP($J461&amp;Q$14,'Mapping A'!$A$6:$G$1011,7,0)=1,$L461,""),0)</f>
        <v>0</v>
      </c>
      <c r="R461" s="15">
        <f>_xlfn.IFNA(IF(VLOOKUP($J461&amp;R$14,'Mapping A'!$A$6:$G$1011,7,0)=1,$L461,""),0)</f>
        <v>0</v>
      </c>
      <c r="S461" s="15">
        <f>_xlfn.IFNA(IF(VLOOKUP($J461&amp;S$14,'Mapping A'!$A$6:$G$1011,7,0)=1,$L461,""),0)</f>
        <v>0</v>
      </c>
      <c r="T461" s="15">
        <f>_xlfn.IFNA(IF(VLOOKUP($J461&amp;T$14,'Mapping A'!$A$6:$G$1011,7,0)=1,$L461,""),0)</f>
        <v>9.9077999999999999</v>
      </c>
      <c r="U461" s="15">
        <f>_xlfn.IFNA(IF(VLOOKUP($J461&amp;U$14,'Mapping A'!$A$6:$G$1011,7,0)=1,$L461,""),0)</f>
        <v>0</v>
      </c>
      <c r="V461" s="15">
        <f>_xlfn.IFNA(IF(VLOOKUP($J461&amp;V$14,'Mapping A'!$A$6:$G$1011,7,0)=1,$L461,""),0)</f>
        <v>0</v>
      </c>
      <c r="W461" s="15">
        <f>_xlfn.IFNA(IF(VLOOKUP($J461&amp;W$14,'Mapping A'!$A$6:$G$1011,7,0)=1,$L461,""),0)</f>
        <v>0</v>
      </c>
      <c r="X461" s="15">
        <f>_xlfn.IFNA(IF(VLOOKUP($J461&amp;X$14,'Mapping A'!$A$6:$G$1011,7,0)=1,$L461,""),0)</f>
        <v>0</v>
      </c>
      <c r="Y461" s="15">
        <f>_xlfn.IFNA(IF(VLOOKUP($J461&amp;Y$14,'Mapping A'!$A$6:$G$1011,7,0)=1,$L461,""),0)</f>
        <v>0</v>
      </c>
      <c r="Z461" s="15">
        <f>_xlfn.IFNA(IF(VLOOKUP($J461&amp;Z$14,'Mapping A'!$A$6:$G$1011,7,0)=1,$L461,""),0)</f>
        <v>0</v>
      </c>
      <c r="AA461" s="15">
        <f>_xlfn.IFNA(IF(VLOOKUP($J461&amp;AA$14,'Mapping A'!$A$6:$G$1011,7,0)=1,$L461,""),0)</f>
        <v>0</v>
      </c>
      <c r="AF461" s="155" t="str">
        <f t="shared" si="135"/>
        <v>WAI0111Horizon</v>
      </c>
      <c r="AG461" s="190" t="s">
        <v>364</v>
      </c>
      <c r="AH461" s="190" t="s">
        <v>11</v>
      </c>
      <c r="AI461" s="190">
        <f t="shared" si="141"/>
        <v>9.9077999999999999</v>
      </c>
      <c r="AJ461" s="292" t="s">
        <v>95</v>
      </c>
      <c r="AK461" s="15"/>
      <c r="AL461" s="15">
        <f t="shared" si="136"/>
        <v>0</v>
      </c>
      <c r="AM461" s="15"/>
      <c r="AN461" s="15">
        <f t="shared" ca="1" si="137"/>
        <v>0</v>
      </c>
      <c r="AO461" s="15">
        <f t="shared" si="138"/>
        <v>0</v>
      </c>
      <c r="AP461" s="15">
        <f t="shared" si="139"/>
        <v>0</v>
      </c>
      <c r="AQ461" s="15"/>
      <c r="AR461" s="190">
        <f t="shared" si="142"/>
        <v>0</v>
      </c>
      <c r="AS461" s="15"/>
      <c r="AT461" s="190">
        <f t="shared" si="143"/>
        <v>0</v>
      </c>
      <c r="AU461" s="190">
        <f t="shared" si="144"/>
        <v>0</v>
      </c>
      <c r="AV461" s="190">
        <f t="shared" si="145"/>
        <v>0</v>
      </c>
      <c r="AW461" s="190">
        <f t="shared" si="146"/>
        <v>0</v>
      </c>
      <c r="AX461" s="190">
        <f t="shared" si="147"/>
        <v>0</v>
      </c>
      <c r="BP461" s="190"/>
    </row>
    <row r="462" spans="2:68" x14ac:dyDescent="0.25">
      <c r="B462" s="98" t="s">
        <v>111</v>
      </c>
      <c r="C462" s="98">
        <v>2014</v>
      </c>
      <c r="D462" s="98" t="s">
        <v>341</v>
      </c>
      <c r="E462" s="98" t="s">
        <v>10</v>
      </c>
      <c r="F462" s="98" t="s">
        <v>136</v>
      </c>
      <c r="G462" s="98">
        <v>15936811.487</v>
      </c>
      <c r="H462" s="299" t="str">
        <f>VLOOKUP(LEFT('Rev Adequacy'!D462,3),'Mapping B'!$D$2:$E$400,2,0)</f>
        <v>S</v>
      </c>
      <c r="I462" s="190"/>
      <c r="J462" s="15" t="s">
        <v>365</v>
      </c>
      <c r="K462" s="190" t="s">
        <v>31</v>
      </c>
      <c r="L462" s="190">
        <f t="shared" si="140"/>
        <v>2.6985000000000001</v>
      </c>
      <c r="M462" s="15"/>
      <c r="N462" s="15"/>
      <c r="O462" s="15">
        <f>_xlfn.IFNA(IF(VLOOKUP($J462&amp;O$14,'Mapping A'!$A$6:$G$1011,7,0)=1,$L462,""),0)</f>
        <v>0</v>
      </c>
      <c r="P462" s="15">
        <f>_xlfn.IFNA(IF(VLOOKUP($J462&amp;P$14,'Mapping A'!$A$6:$G$1011,7,0)=1,$L462,""),0)</f>
        <v>0</v>
      </c>
      <c r="Q462" s="15">
        <f>_xlfn.IFNA(IF(VLOOKUP($J462&amp;Q$14,'Mapping A'!$A$6:$G$1011,7,0)=1,$L462,""),0)</f>
        <v>0</v>
      </c>
      <c r="R462" s="15">
        <f>_xlfn.IFNA(IF(VLOOKUP($J462&amp;R$14,'Mapping A'!$A$6:$G$1011,7,0)=1,$L462,""),0)</f>
        <v>0</v>
      </c>
      <c r="S462" s="15">
        <f>_xlfn.IFNA(IF(VLOOKUP($J462&amp;S$14,'Mapping A'!$A$6:$G$1011,7,0)=1,$L462,""),0)</f>
        <v>0</v>
      </c>
      <c r="T462" s="15">
        <f>_xlfn.IFNA(IF(VLOOKUP($J462&amp;T$14,'Mapping A'!$A$6:$G$1011,7,0)=1,$L462,""),0)</f>
        <v>0</v>
      </c>
      <c r="U462" s="15">
        <f>_xlfn.IFNA(IF(VLOOKUP($J462&amp;U$14,'Mapping A'!$A$6:$G$1011,7,0)=1,$L462,""),0)</f>
        <v>0</v>
      </c>
      <c r="V462" s="15">
        <f>_xlfn.IFNA(IF(VLOOKUP($J462&amp;V$14,'Mapping A'!$A$6:$G$1011,7,0)=1,$L462,""),0)</f>
        <v>0</v>
      </c>
      <c r="W462" s="15">
        <f>_xlfn.IFNA(IF(VLOOKUP($J462&amp;W$14,'Mapping A'!$A$6:$G$1011,7,0)=1,$L462,""),0)</f>
        <v>0</v>
      </c>
      <c r="X462" s="15">
        <f>_xlfn.IFNA(IF(VLOOKUP($J462&amp;X$14,'Mapping A'!$A$6:$G$1011,7,0)=1,$L462,""),0)</f>
        <v>0</v>
      </c>
      <c r="Y462" s="15">
        <f>_xlfn.IFNA(IF(VLOOKUP($J462&amp;Y$14,'Mapping A'!$A$6:$G$1011,7,0)=1,$L462,""),0)</f>
        <v>0</v>
      </c>
      <c r="Z462" s="15">
        <f>_xlfn.IFNA(IF(VLOOKUP($J462&amp;Z$14,'Mapping A'!$A$6:$G$1011,7,0)=1,$L462,""),0)</f>
        <v>0</v>
      </c>
      <c r="AA462" s="15">
        <f>_xlfn.IFNA(IF(VLOOKUP($J462&amp;AA$14,'Mapping A'!$A$6:$G$1011,7,0)=1,$L462,""),0)</f>
        <v>0</v>
      </c>
      <c r="AF462" s="155" t="str">
        <f t="shared" si="135"/>
        <v>WDV0111Scanpower</v>
      </c>
      <c r="AG462" s="190" t="s">
        <v>365</v>
      </c>
      <c r="AH462" s="190" t="s">
        <v>31</v>
      </c>
      <c r="AI462" s="190">
        <f t="shared" si="141"/>
        <v>2.6985000000000001</v>
      </c>
      <c r="AJ462" s="292" t="s">
        <v>95</v>
      </c>
      <c r="AK462" s="15"/>
      <c r="AL462" s="15">
        <f t="shared" si="136"/>
        <v>0</v>
      </c>
      <c r="AM462" s="15"/>
      <c r="AN462" s="15">
        <f t="shared" ca="1" si="137"/>
        <v>0</v>
      </c>
      <c r="AO462" s="15">
        <f t="shared" si="138"/>
        <v>0</v>
      </c>
      <c r="AP462" s="15">
        <f t="shared" si="139"/>
        <v>0</v>
      </c>
      <c r="AQ462" s="15"/>
      <c r="AR462" s="190">
        <f t="shared" si="142"/>
        <v>0</v>
      </c>
      <c r="AS462" s="15"/>
      <c r="AT462" s="190">
        <f t="shared" si="143"/>
        <v>0</v>
      </c>
      <c r="AU462" s="190">
        <f t="shared" si="144"/>
        <v>0</v>
      </c>
      <c r="AV462" s="190">
        <f t="shared" si="145"/>
        <v>0</v>
      </c>
      <c r="AW462" s="190">
        <f t="shared" si="146"/>
        <v>0</v>
      </c>
      <c r="AX462" s="190">
        <f t="shared" si="147"/>
        <v>0</v>
      </c>
      <c r="BP462" s="190"/>
    </row>
    <row r="463" spans="2:68" x14ac:dyDescent="0.25">
      <c r="B463" s="98" t="s">
        <v>111</v>
      </c>
      <c r="C463" s="98">
        <v>2014</v>
      </c>
      <c r="D463" s="98" t="s">
        <v>344</v>
      </c>
      <c r="E463" s="98" t="s">
        <v>10</v>
      </c>
      <c r="F463" s="98" t="s">
        <v>131</v>
      </c>
      <c r="G463" s="98">
        <v>3861.0125107296099</v>
      </c>
      <c r="H463" s="299" t="str">
        <f>VLOOKUP(LEFT('Rev Adequacy'!D463,3),'Mapping B'!$D$2:$E$400,2,0)</f>
        <v>N</v>
      </c>
      <c r="I463" s="190"/>
      <c r="J463" s="15" t="s">
        <v>366</v>
      </c>
      <c r="K463" s="190" t="s">
        <v>14</v>
      </c>
      <c r="L463" s="190">
        <f t="shared" si="140"/>
        <v>0.99329999999999996</v>
      </c>
      <c r="M463" s="15"/>
      <c r="N463" s="15"/>
      <c r="O463" s="15">
        <f>_xlfn.IFNA(IF(VLOOKUP($J463&amp;O$14,'Mapping A'!$A$6:$G$1011,7,0)=1,$L463,""),0)</f>
        <v>0</v>
      </c>
      <c r="P463" s="15">
        <f>_xlfn.IFNA(IF(VLOOKUP($J463&amp;P$14,'Mapping A'!$A$6:$G$1011,7,0)=1,$L463,""),0)</f>
        <v>0</v>
      </c>
      <c r="Q463" s="15">
        <f>_xlfn.IFNA(IF(VLOOKUP($J463&amp;Q$14,'Mapping A'!$A$6:$G$1011,7,0)=1,$L463,""),0)</f>
        <v>0</v>
      </c>
      <c r="R463" s="15">
        <f>_xlfn.IFNA(IF(VLOOKUP($J463&amp;R$14,'Mapping A'!$A$6:$G$1011,7,0)=1,$L463,""),0)</f>
        <v>0</v>
      </c>
      <c r="S463" s="15">
        <f>_xlfn.IFNA(IF(VLOOKUP($J463&amp;S$14,'Mapping A'!$A$6:$G$1011,7,0)=1,$L463,""),0)</f>
        <v>0</v>
      </c>
      <c r="T463" s="15">
        <f>_xlfn.IFNA(IF(VLOOKUP($J463&amp;T$14,'Mapping A'!$A$6:$G$1011,7,0)=1,$L463,""),0)</f>
        <v>0</v>
      </c>
      <c r="U463" s="15">
        <f>_xlfn.IFNA(IF(VLOOKUP($J463&amp;U$14,'Mapping A'!$A$6:$G$1011,7,0)=1,$L463,""),0)</f>
        <v>0</v>
      </c>
      <c r="V463" s="15">
        <f>_xlfn.IFNA(IF(VLOOKUP($J463&amp;V$14,'Mapping A'!$A$6:$G$1011,7,0)=1,$L463,""),0)</f>
        <v>0</v>
      </c>
      <c r="W463" s="15">
        <f>_xlfn.IFNA(IF(VLOOKUP($J463&amp;W$14,'Mapping A'!$A$6:$G$1011,7,0)=1,$L463,""),0)</f>
        <v>0</v>
      </c>
      <c r="X463" s="15">
        <f>_xlfn.IFNA(IF(VLOOKUP($J463&amp;X$14,'Mapping A'!$A$6:$G$1011,7,0)=1,$L463,""),0)</f>
        <v>0</v>
      </c>
      <c r="Y463" s="15">
        <f>_xlfn.IFNA(IF(VLOOKUP($J463&amp;Y$14,'Mapping A'!$A$6:$G$1011,7,0)=1,$L463,""),0)</f>
        <v>0</v>
      </c>
      <c r="Z463" s="15">
        <f>_xlfn.IFNA(IF(VLOOKUP($J463&amp;Z$14,'Mapping A'!$A$6:$G$1011,7,0)=1,$L463,""),0)</f>
        <v>0</v>
      </c>
      <c r="AA463" s="15">
        <f>_xlfn.IFNA(IF(VLOOKUP($J463&amp;AA$14,'Mapping A'!$A$6:$G$1011,7,0)=1,$L463,""),0)</f>
        <v>0</v>
      </c>
      <c r="AF463" s="155" t="str">
        <f t="shared" si="135"/>
        <v>WDV1101Meridian</v>
      </c>
      <c r="AG463" s="190" t="s">
        <v>366</v>
      </c>
      <c r="AH463" s="190" t="s">
        <v>14</v>
      </c>
      <c r="AI463" s="190">
        <f t="shared" si="141"/>
        <v>0.99329999999999996</v>
      </c>
      <c r="AJ463" s="292" t="s">
        <v>95</v>
      </c>
      <c r="AK463" s="15"/>
      <c r="AL463" s="15">
        <f t="shared" si="136"/>
        <v>0</v>
      </c>
      <c r="AM463" s="15"/>
      <c r="AN463" s="15">
        <f t="shared" ca="1" si="137"/>
        <v>0</v>
      </c>
      <c r="AO463" s="15">
        <f t="shared" si="138"/>
        <v>0</v>
      </c>
      <c r="AP463" s="15">
        <f t="shared" si="139"/>
        <v>0</v>
      </c>
      <c r="AQ463" s="15"/>
      <c r="AR463" s="190">
        <f t="shared" si="142"/>
        <v>0</v>
      </c>
      <c r="AS463" s="15"/>
      <c r="AT463" s="190">
        <f t="shared" si="143"/>
        <v>0</v>
      </c>
      <c r="AU463" s="190">
        <f t="shared" si="144"/>
        <v>0</v>
      </c>
      <c r="AV463" s="190">
        <f t="shared" si="145"/>
        <v>0</v>
      </c>
      <c r="AW463" s="190">
        <f t="shared" si="146"/>
        <v>0</v>
      </c>
      <c r="AX463" s="190">
        <f t="shared" si="147"/>
        <v>0</v>
      </c>
      <c r="BP463" s="190"/>
    </row>
    <row r="464" spans="2:68" x14ac:dyDescent="0.25">
      <c r="B464" s="98" t="s">
        <v>111</v>
      </c>
      <c r="C464" s="98">
        <v>2014</v>
      </c>
      <c r="D464" s="98" t="s">
        <v>345</v>
      </c>
      <c r="E464" s="98" t="s">
        <v>10</v>
      </c>
      <c r="F464" s="98" t="s">
        <v>136</v>
      </c>
      <c r="G464" s="98">
        <v>0</v>
      </c>
      <c r="H464" s="299" t="str">
        <f>VLOOKUP(LEFT('Rev Adequacy'!D464,3),'Mapping B'!$D$2:$E$400,2,0)</f>
        <v>N</v>
      </c>
      <c r="I464" s="190"/>
      <c r="J464" s="15" t="s">
        <v>367</v>
      </c>
      <c r="K464" s="190" t="s">
        <v>37</v>
      </c>
      <c r="L464" s="190">
        <f t="shared" si="140"/>
        <v>33.297599999999996</v>
      </c>
      <c r="M464" s="15"/>
      <c r="N464" s="15"/>
      <c r="O464" s="15">
        <f>_xlfn.IFNA(IF(VLOOKUP($J464&amp;O$14,'Mapping A'!$A$6:$G$1011,7,0)=1,$L464,""),0)</f>
        <v>0</v>
      </c>
      <c r="P464" s="15">
        <f>_xlfn.IFNA(IF(VLOOKUP($J464&amp;P$14,'Mapping A'!$A$6:$G$1011,7,0)=1,$L464,""),0)</f>
        <v>0</v>
      </c>
      <c r="Q464" s="15">
        <f>_xlfn.IFNA(IF(VLOOKUP($J464&amp;Q$14,'Mapping A'!$A$6:$G$1011,7,0)=1,$L464,""),0)</f>
        <v>0</v>
      </c>
      <c r="R464" s="15">
        <f>_xlfn.IFNA(IF(VLOOKUP($J464&amp;R$14,'Mapping A'!$A$6:$G$1011,7,0)=1,$L464,""),0)</f>
        <v>0</v>
      </c>
      <c r="S464" s="15">
        <f>_xlfn.IFNA(IF(VLOOKUP($J464&amp;S$14,'Mapping A'!$A$6:$G$1011,7,0)=1,$L464,""),0)</f>
        <v>0</v>
      </c>
      <c r="T464" s="15">
        <f>_xlfn.IFNA(IF(VLOOKUP($J464&amp;T$14,'Mapping A'!$A$6:$G$1011,7,0)=1,$L464,""),0)</f>
        <v>33.297599999999996</v>
      </c>
      <c r="U464" s="15">
        <f>_xlfn.IFNA(IF(VLOOKUP($J464&amp;U$14,'Mapping A'!$A$6:$G$1011,7,0)=1,$L464,""),0)</f>
        <v>0</v>
      </c>
      <c r="V464" s="15">
        <f>_xlfn.IFNA(IF(VLOOKUP($J464&amp;V$14,'Mapping A'!$A$6:$G$1011,7,0)=1,$L464,""),0)</f>
        <v>0</v>
      </c>
      <c r="W464" s="15">
        <f>_xlfn.IFNA(IF(VLOOKUP($J464&amp;W$14,'Mapping A'!$A$6:$G$1011,7,0)=1,$L464,""),0)</f>
        <v>0</v>
      </c>
      <c r="X464" s="15">
        <f>_xlfn.IFNA(IF(VLOOKUP($J464&amp;X$14,'Mapping A'!$A$6:$G$1011,7,0)=1,$L464,""),0)</f>
        <v>0</v>
      </c>
      <c r="Y464" s="15">
        <f>_xlfn.IFNA(IF(VLOOKUP($J464&amp;Y$14,'Mapping A'!$A$6:$G$1011,7,0)=1,$L464,""),0)</f>
        <v>0</v>
      </c>
      <c r="Z464" s="15">
        <f>_xlfn.IFNA(IF(VLOOKUP($J464&amp;Z$14,'Mapping A'!$A$6:$G$1011,7,0)=1,$L464,""),0)</f>
        <v>0</v>
      </c>
      <c r="AA464" s="15">
        <f>_xlfn.IFNA(IF(VLOOKUP($J464&amp;AA$14,'Mapping A'!$A$6:$G$1011,7,0)=1,$L464,""),0)</f>
        <v>0</v>
      </c>
      <c r="AF464" s="155" t="str">
        <f t="shared" si="135"/>
        <v>WEL0331Vector</v>
      </c>
      <c r="AG464" s="190" t="s">
        <v>367</v>
      </c>
      <c r="AH464" s="190" t="s">
        <v>37</v>
      </c>
      <c r="AI464" s="190">
        <f t="shared" si="141"/>
        <v>33.297599999999996</v>
      </c>
      <c r="AJ464" s="292" t="s">
        <v>95</v>
      </c>
      <c r="AK464" s="15"/>
      <c r="AL464" s="15">
        <f t="shared" si="136"/>
        <v>0</v>
      </c>
      <c r="AM464" s="15"/>
      <c r="AN464" s="15">
        <f t="shared" ca="1" si="137"/>
        <v>0</v>
      </c>
      <c r="AO464" s="15">
        <f t="shared" si="138"/>
        <v>0</v>
      </c>
      <c r="AP464" s="15">
        <f t="shared" si="139"/>
        <v>0</v>
      </c>
      <c r="AQ464" s="15"/>
      <c r="AR464" s="190">
        <f t="shared" si="142"/>
        <v>0</v>
      </c>
      <c r="AS464" s="15"/>
      <c r="AT464" s="190">
        <f t="shared" si="143"/>
        <v>0</v>
      </c>
      <c r="AU464" s="190">
        <f t="shared" si="144"/>
        <v>0</v>
      </c>
      <c r="AV464" s="190">
        <f t="shared" si="145"/>
        <v>0</v>
      </c>
      <c r="AW464" s="190">
        <f t="shared" si="146"/>
        <v>0</v>
      </c>
      <c r="AX464" s="190">
        <f t="shared" si="147"/>
        <v>0</v>
      </c>
      <c r="BP464" s="190"/>
    </row>
    <row r="465" spans="2:68" x14ac:dyDescent="0.25">
      <c r="B465" s="98" t="s">
        <v>111</v>
      </c>
      <c r="C465" s="98">
        <v>2014</v>
      </c>
      <c r="D465" s="98" t="s">
        <v>353</v>
      </c>
      <c r="E465" s="98" t="s">
        <v>10</v>
      </c>
      <c r="F465" s="98" t="s">
        <v>131</v>
      </c>
      <c r="G465" s="98">
        <v>0.36273876794812399</v>
      </c>
      <c r="H465" s="299" t="str">
        <f>VLOOKUP(LEFT('Rev Adequacy'!D465,3),'Mapping B'!$D$2:$E$400,2,0)</f>
        <v>N</v>
      </c>
      <c r="I465" s="190"/>
      <c r="J465" s="15" t="s">
        <v>368</v>
      </c>
      <c r="K465" s="190" t="s">
        <v>28</v>
      </c>
      <c r="L465" s="190">
        <f t="shared" si="140"/>
        <v>41.651400000000002</v>
      </c>
      <c r="M465" s="15"/>
      <c r="N465" s="15"/>
      <c r="O465" s="15">
        <f>_xlfn.IFNA(IF(VLOOKUP($J465&amp;O$14,'Mapping A'!$A$6:$G$1011,7,0)=1,$L465,""),0)</f>
        <v>0</v>
      </c>
      <c r="P465" s="15">
        <f>_xlfn.IFNA(IF(VLOOKUP($J465&amp;P$14,'Mapping A'!$A$6:$G$1011,7,0)=1,$L465,""),0)</f>
        <v>0</v>
      </c>
      <c r="Q465" s="15">
        <f>_xlfn.IFNA(IF(VLOOKUP($J465&amp;Q$14,'Mapping A'!$A$6:$G$1011,7,0)=1,$L465,""),0)</f>
        <v>0</v>
      </c>
      <c r="R465" s="15">
        <f>_xlfn.IFNA(IF(VLOOKUP($J465&amp;R$14,'Mapping A'!$A$6:$G$1011,7,0)=1,$L465,""),0)</f>
        <v>0</v>
      </c>
      <c r="S465" s="15">
        <f>_xlfn.IFNA(IF(VLOOKUP($J465&amp;S$14,'Mapping A'!$A$6:$G$1011,7,0)=1,$L465,""),0)</f>
        <v>0</v>
      </c>
      <c r="T465" s="15">
        <f>_xlfn.IFNA(IF(VLOOKUP($J465&amp;T$14,'Mapping A'!$A$6:$G$1011,7,0)=1,$L465,""),0)</f>
        <v>0</v>
      </c>
      <c r="U465" s="15">
        <f>_xlfn.IFNA(IF(VLOOKUP($J465&amp;U$14,'Mapping A'!$A$6:$G$1011,7,0)=1,$L465,""),0)</f>
        <v>0</v>
      </c>
      <c r="V465" s="15">
        <f>_xlfn.IFNA(IF(VLOOKUP($J465&amp;V$14,'Mapping A'!$A$6:$G$1011,7,0)=1,$L465,""),0)</f>
        <v>0</v>
      </c>
      <c r="W465" s="15">
        <f>_xlfn.IFNA(IF(VLOOKUP($J465&amp;W$14,'Mapping A'!$A$6:$G$1011,7,0)=1,$L465,""),0)</f>
        <v>0</v>
      </c>
      <c r="X465" s="15">
        <f>_xlfn.IFNA(IF(VLOOKUP($J465&amp;X$14,'Mapping A'!$A$6:$G$1011,7,0)=1,$L465,""),0)</f>
        <v>0</v>
      </c>
      <c r="Y465" s="15">
        <f>_xlfn.IFNA(IF(VLOOKUP($J465&amp;Y$14,'Mapping A'!$A$6:$G$1011,7,0)=1,$L465,""),0)</f>
        <v>0</v>
      </c>
      <c r="Z465" s="15">
        <f>_xlfn.IFNA(IF(VLOOKUP($J465&amp;Z$14,'Mapping A'!$A$6:$G$1011,7,0)=1,$L465,""),0)</f>
        <v>0</v>
      </c>
      <c r="AA465" s="15">
        <f>_xlfn.IFNA(IF(VLOOKUP($J465&amp;AA$14,'Mapping A'!$A$6:$G$1011,7,0)=1,$L465,""),0)</f>
        <v>0</v>
      </c>
      <c r="AF465" s="155" t="str">
        <f t="shared" si="135"/>
        <v>WGN0331Powerco</v>
      </c>
      <c r="AG465" s="190" t="s">
        <v>368</v>
      </c>
      <c r="AH465" s="190" t="s">
        <v>28</v>
      </c>
      <c r="AI465" s="190">
        <f t="shared" si="141"/>
        <v>41.651400000000002</v>
      </c>
      <c r="AJ465" s="292" t="s">
        <v>95</v>
      </c>
      <c r="AK465" s="15"/>
      <c r="AL465" s="15">
        <f t="shared" si="136"/>
        <v>0</v>
      </c>
      <c r="AM465" s="15"/>
      <c r="AN465" s="15">
        <f t="shared" ca="1" si="137"/>
        <v>0</v>
      </c>
      <c r="AO465" s="15">
        <f t="shared" si="138"/>
        <v>0</v>
      </c>
      <c r="AP465" s="15">
        <f t="shared" si="139"/>
        <v>0</v>
      </c>
      <c r="AQ465" s="15"/>
      <c r="AR465" s="190">
        <f t="shared" si="142"/>
        <v>0</v>
      </c>
      <c r="AS465" s="15"/>
      <c r="AT465" s="190">
        <f t="shared" si="143"/>
        <v>0</v>
      </c>
      <c r="AU465" s="190">
        <f t="shared" si="144"/>
        <v>0</v>
      </c>
      <c r="AV465" s="190">
        <f t="shared" si="145"/>
        <v>0</v>
      </c>
      <c r="AW465" s="190">
        <f t="shared" si="146"/>
        <v>0</v>
      </c>
      <c r="AX465" s="190">
        <f t="shared" si="147"/>
        <v>0</v>
      </c>
      <c r="BP465" s="190"/>
    </row>
    <row r="466" spans="2:68" x14ac:dyDescent="0.25">
      <c r="B466" s="98" t="s">
        <v>111</v>
      </c>
      <c r="C466" s="98">
        <v>2014</v>
      </c>
      <c r="D466" s="98" t="s">
        <v>354</v>
      </c>
      <c r="E466" s="98" t="s">
        <v>10</v>
      </c>
      <c r="F466" s="98" t="s">
        <v>136</v>
      </c>
      <c r="G466" s="98">
        <v>0</v>
      </c>
      <c r="H466" s="299" t="str">
        <f>VLOOKUP(LEFT('Rev Adequacy'!D466,3),'Mapping B'!$D$2:$E$400,2,0)</f>
        <v>N</v>
      </c>
      <c r="I466" s="190"/>
      <c r="J466" s="15" t="s">
        <v>369</v>
      </c>
      <c r="K466" s="190" t="s">
        <v>4</v>
      </c>
      <c r="L466" s="190">
        <f t="shared" si="140"/>
        <v>0.30660000000000004</v>
      </c>
      <c r="M466" s="15"/>
      <c r="N466" s="15"/>
      <c r="O466" s="15">
        <f>_xlfn.IFNA(IF(VLOOKUP($J466&amp;O$14,'Mapping A'!$A$6:$G$1011,7,0)=1,$L466,""),0)</f>
        <v>0</v>
      </c>
      <c r="P466" s="15">
        <f>_xlfn.IFNA(IF(VLOOKUP($J466&amp;P$14,'Mapping A'!$A$6:$G$1011,7,0)=1,$L466,""),0)</f>
        <v>0</v>
      </c>
      <c r="Q466" s="15">
        <f>_xlfn.IFNA(IF(VLOOKUP($J466&amp;Q$14,'Mapping A'!$A$6:$G$1011,7,0)=1,$L466,""),0)</f>
        <v>0</v>
      </c>
      <c r="R466" s="15">
        <f>_xlfn.IFNA(IF(VLOOKUP($J466&amp;R$14,'Mapping A'!$A$6:$G$1011,7,0)=1,$L466,""),0)</f>
        <v>0</v>
      </c>
      <c r="S466" s="15">
        <f>_xlfn.IFNA(IF(VLOOKUP($J466&amp;S$14,'Mapping A'!$A$6:$G$1011,7,0)=1,$L466,""),0)</f>
        <v>0</v>
      </c>
      <c r="T466" s="15">
        <f>_xlfn.IFNA(IF(VLOOKUP($J466&amp;T$14,'Mapping A'!$A$6:$G$1011,7,0)=1,$L466,""),0)</f>
        <v>0.30660000000000004</v>
      </c>
      <c r="U466" s="15">
        <f>_xlfn.IFNA(IF(VLOOKUP($J466&amp;U$14,'Mapping A'!$A$6:$G$1011,7,0)=1,$L466,""),0)</f>
        <v>0</v>
      </c>
      <c r="V466" s="15">
        <f>_xlfn.IFNA(IF(VLOOKUP($J466&amp;V$14,'Mapping A'!$A$6:$G$1011,7,0)=1,$L466,""),0)</f>
        <v>0</v>
      </c>
      <c r="W466" s="15">
        <f>_xlfn.IFNA(IF(VLOOKUP($J466&amp;W$14,'Mapping A'!$A$6:$G$1011,7,0)=1,$L466,""),0)</f>
        <v>0</v>
      </c>
      <c r="X466" s="15">
        <f>_xlfn.IFNA(IF(VLOOKUP($J466&amp;X$14,'Mapping A'!$A$6:$G$1011,7,0)=1,$L466,""),0)</f>
        <v>0</v>
      </c>
      <c r="Y466" s="15">
        <f>_xlfn.IFNA(IF(VLOOKUP($J466&amp;Y$14,'Mapping A'!$A$6:$G$1011,7,0)=1,$L466,""),0)</f>
        <v>0</v>
      </c>
      <c r="Z466" s="15">
        <f>_xlfn.IFNA(IF(VLOOKUP($J466&amp;Z$14,'Mapping A'!$A$6:$G$1011,7,0)=1,$L466,""),0)</f>
        <v>0</v>
      </c>
      <c r="AA466" s="15">
        <f>_xlfn.IFNA(IF(VLOOKUP($J466&amp;AA$14,'Mapping A'!$A$6:$G$1011,7,0)=1,$L466,""),0)</f>
        <v>0</v>
      </c>
      <c r="AF466" s="155" t="str">
        <f t="shared" si="135"/>
        <v>WHI0111Contact</v>
      </c>
      <c r="AG466" s="190" t="s">
        <v>369</v>
      </c>
      <c r="AH466" s="190" t="s">
        <v>4</v>
      </c>
      <c r="AI466" s="190">
        <f t="shared" si="141"/>
        <v>0.30660000000000004</v>
      </c>
      <c r="AJ466" s="292" t="s">
        <v>95</v>
      </c>
      <c r="AK466" s="15"/>
      <c r="AL466" s="15">
        <f t="shared" si="136"/>
        <v>0</v>
      </c>
      <c r="AM466" s="15"/>
      <c r="AN466" s="15">
        <f t="shared" ca="1" si="137"/>
        <v>0</v>
      </c>
      <c r="AO466" s="15">
        <f t="shared" si="138"/>
        <v>0</v>
      </c>
      <c r="AP466" s="15">
        <f t="shared" si="139"/>
        <v>0</v>
      </c>
      <c r="AQ466" s="15"/>
      <c r="AR466" s="190">
        <f t="shared" si="142"/>
        <v>0</v>
      </c>
      <c r="AS466" s="15"/>
      <c r="AT466" s="190">
        <f t="shared" si="143"/>
        <v>0</v>
      </c>
      <c r="AU466" s="190">
        <f t="shared" si="144"/>
        <v>0</v>
      </c>
      <c r="AV466" s="190">
        <f t="shared" si="145"/>
        <v>0</v>
      </c>
      <c r="AW466" s="190">
        <f t="shared" si="146"/>
        <v>0</v>
      </c>
      <c r="AX466" s="190">
        <f t="shared" si="147"/>
        <v>0</v>
      </c>
      <c r="BP466" s="190"/>
    </row>
    <row r="467" spans="2:68" x14ac:dyDescent="0.25">
      <c r="B467" s="98" t="s">
        <v>111</v>
      </c>
      <c r="C467" s="98">
        <v>2014</v>
      </c>
      <c r="D467" s="98" t="s">
        <v>355</v>
      </c>
      <c r="E467" s="98" t="s">
        <v>10</v>
      </c>
      <c r="F467" s="98" t="s">
        <v>136</v>
      </c>
      <c r="G467" s="98">
        <v>0</v>
      </c>
      <c r="H467" s="299" t="str">
        <f>VLOOKUP(LEFT('Rev Adequacy'!D467,3),'Mapping B'!$D$2:$E$400,2,0)</f>
        <v>N</v>
      </c>
      <c r="I467" s="190"/>
      <c r="J467" s="15" t="s">
        <v>369</v>
      </c>
      <c r="K467" s="190" t="s">
        <v>26</v>
      </c>
      <c r="L467" s="190">
        <f t="shared" si="140"/>
        <v>85.140299999999996</v>
      </c>
      <c r="M467" s="15"/>
      <c r="N467" s="15"/>
      <c r="O467" s="15">
        <f>_xlfn.IFNA(IF(VLOOKUP($J467&amp;O$14,'Mapping A'!$A$6:$G$1011,7,0)=1,$L467,""),0)</f>
        <v>0</v>
      </c>
      <c r="P467" s="15">
        <f>_xlfn.IFNA(IF(VLOOKUP($J467&amp;P$14,'Mapping A'!$A$6:$G$1011,7,0)=1,$L467,""),0)</f>
        <v>0</v>
      </c>
      <c r="Q467" s="15">
        <f>_xlfn.IFNA(IF(VLOOKUP($J467&amp;Q$14,'Mapping A'!$A$6:$G$1011,7,0)=1,$L467,""),0)</f>
        <v>0</v>
      </c>
      <c r="R467" s="15">
        <f>_xlfn.IFNA(IF(VLOOKUP($J467&amp;R$14,'Mapping A'!$A$6:$G$1011,7,0)=1,$L467,""),0)</f>
        <v>0</v>
      </c>
      <c r="S467" s="15">
        <f>_xlfn.IFNA(IF(VLOOKUP($J467&amp;S$14,'Mapping A'!$A$6:$G$1011,7,0)=1,$L467,""),0)</f>
        <v>0</v>
      </c>
      <c r="T467" s="15">
        <f>_xlfn.IFNA(IF(VLOOKUP($J467&amp;T$14,'Mapping A'!$A$6:$G$1011,7,0)=1,$L467,""),0)</f>
        <v>85.140299999999996</v>
      </c>
      <c r="U467" s="15">
        <f>_xlfn.IFNA(IF(VLOOKUP($J467&amp;U$14,'Mapping A'!$A$6:$G$1011,7,0)=1,$L467,""),0)</f>
        <v>0</v>
      </c>
      <c r="V467" s="15">
        <f>_xlfn.IFNA(IF(VLOOKUP($J467&amp;V$14,'Mapping A'!$A$6:$G$1011,7,0)=1,$L467,""),0)</f>
        <v>0</v>
      </c>
      <c r="W467" s="15">
        <f>_xlfn.IFNA(IF(VLOOKUP($J467&amp;W$14,'Mapping A'!$A$6:$G$1011,7,0)=1,$L467,""),0)</f>
        <v>0</v>
      </c>
      <c r="X467" s="15">
        <f>_xlfn.IFNA(IF(VLOOKUP($J467&amp;X$14,'Mapping A'!$A$6:$G$1011,7,0)=1,$L467,""),0)</f>
        <v>0</v>
      </c>
      <c r="Y467" s="15">
        <f>_xlfn.IFNA(IF(VLOOKUP($J467&amp;Y$14,'Mapping A'!$A$6:$G$1011,7,0)=1,$L467,""),0)</f>
        <v>0</v>
      </c>
      <c r="Z467" s="15">
        <f>_xlfn.IFNA(IF(VLOOKUP($J467&amp;Z$14,'Mapping A'!$A$6:$G$1011,7,0)=1,$L467,""),0)</f>
        <v>0</v>
      </c>
      <c r="AA467" s="15">
        <f>_xlfn.IFNA(IF(VLOOKUP($J467&amp;AA$14,'Mapping A'!$A$6:$G$1011,7,0)=1,$L467,""),0)</f>
        <v>0</v>
      </c>
      <c r="AF467" s="155" t="str">
        <f t="shared" si="135"/>
        <v>WHI0111PanPac</v>
      </c>
      <c r="AG467" s="190" t="s">
        <v>369</v>
      </c>
      <c r="AH467" s="190" t="s">
        <v>26</v>
      </c>
      <c r="AI467" s="190">
        <f t="shared" si="141"/>
        <v>85.140299999999996</v>
      </c>
      <c r="AJ467" s="292" t="s">
        <v>95</v>
      </c>
      <c r="AK467" s="15"/>
      <c r="AL467" s="15">
        <f t="shared" si="136"/>
        <v>0</v>
      </c>
      <c r="AM467" s="15"/>
      <c r="AN467" s="15">
        <f t="shared" ca="1" si="137"/>
        <v>0</v>
      </c>
      <c r="AO467" s="15">
        <f t="shared" si="138"/>
        <v>0</v>
      </c>
      <c r="AP467" s="15">
        <f t="shared" si="139"/>
        <v>0</v>
      </c>
      <c r="AQ467" s="15"/>
      <c r="AR467" s="190">
        <f t="shared" si="142"/>
        <v>0</v>
      </c>
      <c r="AS467" s="15"/>
      <c r="AT467" s="190">
        <f t="shared" si="143"/>
        <v>0</v>
      </c>
      <c r="AU467" s="190">
        <f t="shared" si="144"/>
        <v>0</v>
      </c>
      <c r="AV467" s="190">
        <f t="shared" si="145"/>
        <v>0</v>
      </c>
      <c r="AW467" s="190">
        <f t="shared" si="146"/>
        <v>0</v>
      </c>
      <c r="AX467" s="190">
        <f t="shared" si="147"/>
        <v>0</v>
      </c>
      <c r="BP467" s="190"/>
    </row>
    <row r="468" spans="2:68" x14ac:dyDescent="0.25">
      <c r="B468" s="98" t="s">
        <v>111</v>
      </c>
      <c r="C468" s="98">
        <v>2014</v>
      </c>
      <c r="D468" s="98" t="s">
        <v>356</v>
      </c>
      <c r="E468" s="98" t="s">
        <v>10</v>
      </c>
      <c r="F468" s="98" t="s">
        <v>136</v>
      </c>
      <c r="G468" s="98">
        <v>0</v>
      </c>
      <c r="H468" s="299" t="str">
        <f>VLOOKUP(LEFT('Rev Adequacy'!D468,3),'Mapping B'!$D$2:$E$400,2,0)</f>
        <v>N</v>
      </c>
      <c r="I468" s="190"/>
      <c r="J468" s="15" t="s">
        <v>370</v>
      </c>
      <c r="K468" s="190" t="s">
        <v>4</v>
      </c>
      <c r="L468" s="190">
        <f t="shared" si="140"/>
        <v>0.37380000000000002</v>
      </c>
      <c r="M468" s="15"/>
      <c r="N468" s="15"/>
      <c r="O468" s="15">
        <f>_xlfn.IFNA(IF(VLOOKUP($J468&amp;O$14,'Mapping A'!$A$6:$G$1011,7,0)=1,$L468,""),0)</f>
        <v>0</v>
      </c>
      <c r="P468" s="15">
        <f>_xlfn.IFNA(IF(VLOOKUP($J468&amp;P$14,'Mapping A'!$A$6:$G$1011,7,0)=1,$L468,""),0)</f>
        <v>0</v>
      </c>
      <c r="Q468" s="15">
        <f>_xlfn.IFNA(IF(VLOOKUP($J468&amp;Q$14,'Mapping A'!$A$6:$G$1011,7,0)=1,$L468,""),0)</f>
        <v>0</v>
      </c>
      <c r="R468" s="15">
        <f>_xlfn.IFNA(IF(VLOOKUP($J468&amp;R$14,'Mapping A'!$A$6:$G$1011,7,0)=1,$L468,""),0)</f>
        <v>0</v>
      </c>
      <c r="S468" s="15">
        <f>_xlfn.IFNA(IF(VLOOKUP($J468&amp;S$14,'Mapping A'!$A$6:$G$1011,7,0)=1,$L468,""),0)</f>
        <v>0</v>
      </c>
      <c r="T468" s="15">
        <f>_xlfn.IFNA(IF(VLOOKUP($J468&amp;T$14,'Mapping A'!$A$6:$G$1011,7,0)=1,$L468,""),0)</f>
        <v>0.37380000000000002</v>
      </c>
      <c r="U468" s="15">
        <f>_xlfn.IFNA(IF(VLOOKUP($J468&amp;U$14,'Mapping A'!$A$6:$G$1011,7,0)=1,$L468,""),0)</f>
        <v>0</v>
      </c>
      <c r="V468" s="15">
        <f>_xlfn.IFNA(IF(VLOOKUP($J468&amp;V$14,'Mapping A'!$A$6:$G$1011,7,0)=1,$L468,""),0)</f>
        <v>0</v>
      </c>
      <c r="W468" s="15">
        <f>_xlfn.IFNA(IF(VLOOKUP($J468&amp;W$14,'Mapping A'!$A$6:$G$1011,7,0)=1,$L468,""),0)</f>
        <v>0</v>
      </c>
      <c r="X468" s="15">
        <f>_xlfn.IFNA(IF(VLOOKUP($J468&amp;X$14,'Mapping A'!$A$6:$G$1011,7,0)=1,$L468,""),0)</f>
        <v>0</v>
      </c>
      <c r="Y468" s="15">
        <f>_xlfn.IFNA(IF(VLOOKUP($J468&amp;Y$14,'Mapping A'!$A$6:$G$1011,7,0)=1,$L468,""),0)</f>
        <v>0</v>
      </c>
      <c r="Z468" s="15">
        <f>_xlfn.IFNA(IF(VLOOKUP($J468&amp;Z$14,'Mapping A'!$A$6:$G$1011,7,0)=1,$L468,""),0)</f>
        <v>0</v>
      </c>
      <c r="AA468" s="15">
        <f>_xlfn.IFNA(IF(VLOOKUP($J468&amp;AA$14,'Mapping A'!$A$6:$G$1011,7,0)=1,$L468,""),0)</f>
        <v>0</v>
      </c>
      <c r="AF468" s="155" t="str">
        <f t="shared" si="135"/>
        <v>WHI2201Contact</v>
      </c>
      <c r="AG468" s="190" t="s">
        <v>370</v>
      </c>
      <c r="AH468" s="190" t="s">
        <v>4</v>
      </c>
      <c r="AI468" s="190">
        <f t="shared" si="141"/>
        <v>0.37380000000000002</v>
      </c>
      <c r="AJ468" s="292" t="s">
        <v>95</v>
      </c>
      <c r="AK468" s="15"/>
      <c r="AL468" s="15">
        <f t="shared" si="136"/>
        <v>0</v>
      </c>
      <c r="AM468" s="15"/>
      <c r="AN468" s="15">
        <f t="shared" ca="1" si="137"/>
        <v>0</v>
      </c>
      <c r="AO468" s="15">
        <f t="shared" si="138"/>
        <v>0</v>
      </c>
      <c r="AP468" s="15">
        <f t="shared" si="139"/>
        <v>0</v>
      </c>
      <c r="AQ468" s="15"/>
      <c r="AR468" s="190">
        <f t="shared" si="142"/>
        <v>0</v>
      </c>
      <c r="AS468" s="15"/>
      <c r="AT468" s="190">
        <f t="shared" si="143"/>
        <v>0</v>
      </c>
      <c r="AU468" s="190">
        <f t="shared" si="144"/>
        <v>0</v>
      </c>
      <c r="AV468" s="190">
        <f t="shared" si="145"/>
        <v>0</v>
      </c>
      <c r="AW468" s="190">
        <f t="shared" si="146"/>
        <v>0</v>
      </c>
      <c r="AX468" s="190">
        <f t="shared" si="147"/>
        <v>0</v>
      </c>
      <c r="BP468" s="190"/>
    </row>
    <row r="469" spans="2:68" x14ac:dyDescent="0.25">
      <c r="B469" s="98" t="s">
        <v>552</v>
      </c>
      <c r="C469" s="98">
        <v>2014</v>
      </c>
      <c r="D469" s="98" t="s">
        <v>182</v>
      </c>
      <c r="E469" s="98" t="s">
        <v>11</v>
      </c>
      <c r="F469" s="98" t="s">
        <v>131</v>
      </c>
      <c r="G469" s="248">
        <v>654.25400000002696</v>
      </c>
      <c r="H469" s="299" t="str">
        <f>VLOOKUP(LEFT('Rev Adequacy'!D469,3),'Mapping B'!$D$2:$E$400,2,0)</f>
        <v>N</v>
      </c>
      <c r="I469" s="190"/>
      <c r="J469" s="15" t="s">
        <v>372</v>
      </c>
      <c r="K469" s="190" t="s">
        <v>28</v>
      </c>
      <c r="L469" s="190">
        <f t="shared" si="140"/>
        <v>49.253399999999999</v>
      </c>
      <c r="M469" s="15"/>
      <c r="N469" s="15"/>
      <c r="O469" s="15">
        <f>_xlfn.IFNA(IF(VLOOKUP($J469&amp;O$14,'Mapping A'!$A$6:$G$1011,7,0)=1,$L469,""),0)</f>
        <v>0</v>
      </c>
      <c r="P469" s="15">
        <f>_xlfn.IFNA(IF(VLOOKUP($J469&amp;P$14,'Mapping A'!$A$6:$G$1011,7,0)=1,$L469,""),0)</f>
        <v>0</v>
      </c>
      <c r="Q469" s="15">
        <f>_xlfn.IFNA(IF(VLOOKUP($J469&amp;Q$14,'Mapping A'!$A$6:$G$1011,7,0)=1,$L469,""),0)</f>
        <v>0</v>
      </c>
      <c r="R469" s="15">
        <f>_xlfn.IFNA(IF(VLOOKUP($J469&amp;R$14,'Mapping A'!$A$6:$G$1011,7,0)=1,$L469,""),0)</f>
        <v>0</v>
      </c>
      <c r="S469" s="15">
        <f>_xlfn.IFNA(IF(VLOOKUP($J469&amp;S$14,'Mapping A'!$A$6:$G$1011,7,0)=1,$L469,""),0)</f>
        <v>0</v>
      </c>
      <c r="T469" s="15">
        <f>_xlfn.IFNA(IF(VLOOKUP($J469&amp;T$14,'Mapping A'!$A$6:$G$1011,7,0)=1,$L469,""),0)</f>
        <v>49.253399999999999</v>
      </c>
      <c r="U469" s="15">
        <f>_xlfn.IFNA(IF(VLOOKUP($J469&amp;U$14,'Mapping A'!$A$6:$G$1011,7,0)=1,$L469,""),0)</f>
        <v>0</v>
      </c>
      <c r="V469" s="15">
        <f>_xlfn.IFNA(IF(VLOOKUP($J469&amp;V$14,'Mapping A'!$A$6:$G$1011,7,0)=1,$L469,""),0)</f>
        <v>0</v>
      </c>
      <c r="W469" s="15">
        <f>_xlfn.IFNA(IF(VLOOKUP($J469&amp;W$14,'Mapping A'!$A$6:$G$1011,7,0)=1,$L469,""),0)</f>
        <v>0</v>
      </c>
      <c r="X469" s="15">
        <f>_xlfn.IFNA(IF(VLOOKUP($J469&amp;X$14,'Mapping A'!$A$6:$G$1011,7,0)=1,$L469,""),0)</f>
        <v>0</v>
      </c>
      <c r="Y469" s="15">
        <f>_xlfn.IFNA(IF(VLOOKUP($J469&amp;Y$14,'Mapping A'!$A$6:$G$1011,7,0)=1,$L469,""),0)</f>
        <v>0</v>
      </c>
      <c r="Z469" s="15">
        <f>_xlfn.IFNA(IF(VLOOKUP($J469&amp;Z$14,'Mapping A'!$A$6:$G$1011,7,0)=1,$L469,""),0)</f>
        <v>0</v>
      </c>
      <c r="AA469" s="15">
        <f>_xlfn.IFNA(IF(VLOOKUP($J469&amp;AA$14,'Mapping A'!$A$6:$G$1011,7,0)=1,$L469,""),0)</f>
        <v>0</v>
      </c>
      <c r="AF469" s="155" t="str">
        <f t="shared" si="135"/>
        <v>WHU0331Powerco</v>
      </c>
      <c r="AG469" s="190" t="s">
        <v>372</v>
      </c>
      <c r="AH469" s="190" t="s">
        <v>28</v>
      </c>
      <c r="AI469" s="190">
        <f t="shared" si="141"/>
        <v>49.253399999999999</v>
      </c>
      <c r="AJ469" s="292" t="s">
        <v>95</v>
      </c>
      <c r="AK469" s="15"/>
      <c r="AL469" s="15">
        <f t="shared" si="136"/>
        <v>0</v>
      </c>
      <c r="AM469" s="15"/>
      <c r="AN469" s="15">
        <f t="shared" ca="1" si="137"/>
        <v>0</v>
      </c>
      <c r="AO469" s="15">
        <f t="shared" si="138"/>
        <v>0</v>
      </c>
      <c r="AP469" s="15">
        <f t="shared" si="139"/>
        <v>0</v>
      </c>
      <c r="AQ469" s="15"/>
      <c r="AR469" s="190">
        <f t="shared" si="142"/>
        <v>0</v>
      </c>
      <c r="AS469" s="15"/>
      <c r="AT469" s="190">
        <f t="shared" si="143"/>
        <v>0</v>
      </c>
      <c r="AU469" s="190">
        <f t="shared" si="144"/>
        <v>0</v>
      </c>
      <c r="AV469" s="190">
        <f t="shared" si="145"/>
        <v>0</v>
      </c>
      <c r="AW469" s="190">
        <f t="shared" si="146"/>
        <v>0</v>
      </c>
      <c r="AX469" s="190">
        <f t="shared" si="147"/>
        <v>0</v>
      </c>
      <c r="BP469" s="190"/>
    </row>
    <row r="470" spans="2:68" x14ac:dyDescent="0.25">
      <c r="B470" s="98" t="s">
        <v>552</v>
      </c>
      <c r="C470" s="98">
        <v>2014</v>
      </c>
      <c r="D470" s="98" t="s">
        <v>229</v>
      </c>
      <c r="E470" s="98" t="s">
        <v>11</v>
      </c>
      <c r="F470" s="98" t="s">
        <v>131</v>
      </c>
      <c r="G470" s="248">
        <v>512.85699999999804</v>
      </c>
      <c r="H470" s="299" t="str">
        <f>VLOOKUP(LEFT('Rev Adequacy'!D470,3),'Mapping B'!$D$2:$E$400,2,0)</f>
        <v>N</v>
      </c>
      <c r="I470" s="190"/>
      <c r="J470" s="15" t="s">
        <v>373</v>
      </c>
      <c r="K470" s="190" t="s">
        <v>40</v>
      </c>
      <c r="L470" s="190">
        <f t="shared" si="140"/>
        <v>53.1006</v>
      </c>
      <c r="M470" s="15"/>
      <c r="N470" s="15"/>
      <c r="O470" s="15">
        <f>_xlfn.IFNA(IF(VLOOKUP($J470&amp;O$14,'Mapping A'!$A$6:$G$1011,7,0)=1,$L470,""),0)</f>
        <v>0</v>
      </c>
      <c r="P470" s="15">
        <f>_xlfn.IFNA(IF(VLOOKUP($J470&amp;P$14,'Mapping A'!$A$6:$G$1011,7,0)=1,$L470,""),0)</f>
        <v>0</v>
      </c>
      <c r="Q470" s="15">
        <f>_xlfn.IFNA(IF(VLOOKUP($J470&amp;Q$14,'Mapping A'!$A$6:$G$1011,7,0)=1,$L470,""),0)</f>
        <v>0</v>
      </c>
      <c r="R470" s="15">
        <f>_xlfn.IFNA(IF(VLOOKUP($J470&amp;R$14,'Mapping A'!$A$6:$G$1011,7,0)=1,$L470,""),0)</f>
        <v>0</v>
      </c>
      <c r="S470" s="15">
        <f>_xlfn.IFNA(IF(VLOOKUP($J470&amp;S$14,'Mapping A'!$A$6:$G$1011,7,0)=1,$L470,""),0)</f>
        <v>0</v>
      </c>
      <c r="T470" s="15">
        <f>_xlfn.IFNA(IF(VLOOKUP($J470&amp;T$14,'Mapping A'!$A$6:$G$1011,7,0)=1,$L470,""),0)</f>
        <v>0</v>
      </c>
      <c r="U470" s="15">
        <f>_xlfn.IFNA(IF(VLOOKUP($J470&amp;U$14,'Mapping A'!$A$6:$G$1011,7,0)=1,$L470,""),0)</f>
        <v>0</v>
      </c>
      <c r="V470" s="15">
        <f>_xlfn.IFNA(IF(VLOOKUP($J470&amp;V$14,'Mapping A'!$A$6:$G$1011,7,0)=1,$L470,""),0)</f>
        <v>0</v>
      </c>
      <c r="W470" s="15">
        <f>_xlfn.IFNA(IF(VLOOKUP($J470&amp;W$14,'Mapping A'!$A$6:$G$1011,7,0)=1,$L470,""),0)</f>
        <v>0</v>
      </c>
      <c r="X470" s="15">
        <f>_xlfn.IFNA(IF(VLOOKUP($J470&amp;X$14,'Mapping A'!$A$6:$G$1011,7,0)=1,$L470,""),0)</f>
        <v>0</v>
      </c>
      <c r="Y470" s="15">
        <f>_xlfn.IFNA(IF(VLOOKUP($J470&amp;Y$14,'Mapping A'!$A$6:$G$1011,7,0)=1,$L470,""),0)</f>
        <v>0</v>
      </c>
      <c r="Z470" s="15">
        <f>_xlfn.IFNA(IF(VLOOKUP($J470&amp;Z$14,'Mapping A'!$A$6:$G$1011,7,0)=1,$L470,""),0)</f>
        <v>0</v>
      </c>
      <c r="AA470" s="15">
        <f>_xlfn.IFNA(IF(VLOOKUP($J470&amp;AA$14,'Mapping A'!$A$6:$G$1011,7,0)=1,$L470,""),0)</f>
        <v>0</v>
      </c>
      <c r="AF470" s="155" t="str">
        <f t="shared" si="135"/>
        <v>WIL0331Wellington Electricity</v>
      </c>
      <c r="AG470" s="190" t="s">
        <v>373</v>
      </c>
      <c r="AH470" s="190" t="s">
        <v>40</v>
      </c>
      <c r="AI470" s="190">
        <f t="shared" si="141"/>
        <v>53.1006</v>
      </c>
      <c r="AJ470" s="292" t="s">
        <v>95</v>
      </c>
      <c r="AK470" s="15"/>
      <c r="AL470" s="15">
        <f t="shared" si="136"/>
        <v>0</v>
      </c>
      <c r="AM470" s="15"/>
      <c r="AN470" s="15">
        <f t="shared" ca="1" si="137"/>
        <v>0</v>
      </c>
      <c r="AO470" s="15">
        <f t="shared" si="138"/>
        <v>0</v>
      </c>
      <c r="AP470" s="15">
        <f t="shared" si="139"/>
        <v>0</v>
      </c>
      <c r="AQ470" s="15"/>
      <c r="AR470" s="190">
        <f t="shared" si="142"/>
        <v>0</v>
      </c>
      <c r="AS470" s="15"/>
      <c r="AT470" s="190">
        <f t="shared" si="143"/>
        <v>0</v>
      </c>
      <c r="AU470" s="190">
        <f t="shared" si="144"/>
        <v>0</v>
      </c>
      <c r="AV470" s="190">
        <f t="shared" si="145"/>
        <v>0</v>
      </c>
      <c r="AW470" s="190">
        <f t="shared" si="146"/>
        <v>0</v>
      </c>
      <c r="AX470" s="190">
        <f t="shared" si="147"/>
        <v>0</v>
      </c>
      <c r="BP470" s="190"/>
    </row>
    <row r="471" spans="2:68" x14ac:dyDescent="0.25">
      <c r="B471" s="98" t="s">
        <v>552</v>
      </c>
      <c r="C471" s="98">
        <v>2014</v>
      </c>
      <c r="D471" s="98" t="s">
        <v>342</v>
      </c>
      <c r="E471" s="98" t="s">
        <v>11</v>
      </c>
      <c r="F471" s="98" t="s">
        <v>131</v>
      </c>
      <c r="G471" s="248">
        <v>0</v>
      </c>
      <c r="H471" s="299" t="str">
        <f>VLOOKUP(LEFT('Rev Adequacy'!D471,3),'Mapping B'!$D$2:$E$400,2,0)</f>
        <v>N</v>
      </c>
      <c r="I471" s="190"/>
      <c r="J471" s="15" t="s">
        <v>374</v>
      </c>
      <c r="K471" s="190" t="s">
        <v>37</v>
      </c>
      <c r="L471" s="190">
        <f t="shared" si="140"/>
        <v>85.304100000000005</v>
      </c>
      <c r="M471" s="15"/>
      <c r="N471" s="15"/>
      <c r="O471" s="15">
        <f>_xlfn.IFNA(IF(VLOOKUP($J471&amp;O$14,'Mapping A'!$A$6:$G$1011,7,0)=1,$L471,""),0)</f>
        <v>0</v>
      </c>
      <c r="P471" s="15">
        <f>_xlfn.IFNA(IF(VLOOKUP($J471&amp;P$14,'Mapping A'!$A$6:$G$1011,7,0)=1,$L471,""),0)</f>
        <v>0</v>
      </c>
      <c r="Q471" s="15">
        <f>_xlfn.IFNA(IF(VLOOKUP($J471&amp;Q$14,'Mapping A'!$A$6:$G$1011,7,0)=1,$L471,""),0)</f>
        <v>0</v>
      </c>
      <c r="R471" s="15">
        <f>_xlfn.IFNA(IF(VLOOKUP($J471&amp;R$14,'Mapping A'!$A$6:$G$1011,7,0)=1,$L471,""),0)</f>
        <v>0</v>
      </c>
      <c r="S471" s="15">
        <f>_xlfn.IFNA(IF(VLOOKUP($J471&amp;S$14,'Mapping A'!$A$6:$G$1011,7,0)=1,$L471,""),0)</f>
        <v>0</v>
      </c>
      <c r="T471" s="15">
        <f>_xlfn.IFNA(IF(VLOOKUP($J471&amp;T$14,'Mapping A'!$A$6:$G$1011,7,0)=1,$L471,""),0)</f>
        <v>85.304100000000005</v>
      </c>
      <c r="U471" s="15">
        <f>_xlfn.IFNA(IF(VLOOKUP($J471&amp;U$14,'Mapping A'!$A$6:$G$1011,7,0)=1,$L471,""),0)</f>
        <v>0</v>
      </c>
      <c r="V471" s="15">
        <f>_xlfn.IFNA(IF(VLOOKUP($J471&amp;V$14,'Mapping A'!$A$6:$G$1011,7,0)=1,$L471,""),0)</f>
        <v>0</v>
      </c>
      <c r="W471" s="15">
        <f>_xlfn.IFNA(IF(VLOOKUP($J471&amp;W$14,'Mapping A'!$A$6:$G$1011,7,0)=1,$L471,""),0)</f>
        <v>0</v>
      </c>
      <c r="X471" s="15">
        <f>_xlfn.IFNA(IF(VLOOKUP($J471&amp;X$14,'Mapping A'!$A$6:$G$1011,7,0)=1,$L471,""),0)</f>
        <v>0</v>
      </c>
      <c r="Y471" s="15">
        <f>_xlfn.IFNA(IF(VLOOKUP($J471&amp;Y$14,'Mapping A'!$A$6:$G$1011,7,0)=1,$L471,""),0)</f>
        <v>0</v>
      </c>
      <c r="Z471" s="15">
        <f>_xlfn.IFNA(IF(VLOOKUP($J471&amp;Z$14,'Mapping A'!$A$6:$G$1011,7,0)=1,$L471,""),0)</f>
        <v>0</v>
      </c>
      <c r="AA471" s="15">
        <f>_xlfn.IFNA(IF(VLOOKUP($J471&amp;AA$14,'Mapping A'!$A$6:$G$1011,7,0)=1,$L471,""),0)</f>
        <v>0</v>
      </c>
      <c r="AF471" s="155" t="str">
        <f t="shared" si="135"/>
        <v>WIR0331Vector</v>
      </c>
      <c r="AG471" s="190" t="s">
        <v>374</v>
      </c>
      <c r="AH471" s="190" t="s">
        <v>37</v>
      </c>
      <c r="AI471" s="190">
        <f t="shared" si="141"/>
        <v>85.304100000000005</v>
      </c>
      <c r="AJ471" s="292" t="s">
        <v>95</v>
      </c>
      <c r="AK471" s="15"/>
      <c r="AL471" s="15">
        <f t="shared" si="136"/>
        <v>0</v>
      </c>
      <c r="AM471" s="15"/>
      <c r="AN471" s="15">
        <f t="shared" ca="1" si="137"/>
        <v>0</v>
      </c>
      <c r="AO471" s="15">
        <f t="shared" si="138"/>
        <v>0</v>
      </c>
      <c r="AP471" s="15">
        <f t="shared" si="139"/>
        <v>0</v>
      </c>
      <c r="AQ471" s="15"/>
      <c r="AR471" s="190">
        <f t="shared" si="142"/>
        <v>0</v>
      </c>
      <c r="AS471" s="15"/>
      <c r="AT471" s="190">
        <f t="shared" si="143"/>
        <v>0</v>
      </c>
      <c r="AU471" s="190">
        <f t="shared" si="144"/>
        <v>0</v>
      </c>
      <c r="AV471" s="190">
        <f t="shared" si="145"/>
        <v>0</v>
      </c>
      <c r="AW471" s="190">
        <f t="shared" si="146"/>
        <v>0</v>
      </c>
      <c r="AX471" s="190">
        <f t="shared" si="147"/>
        <v>0</v>
      </c>
      <c r="BP471" s="190"/>
    </row>
    <row r="472" spans="2:68" x14ac:dyDescent="0.25">
      <c r="B472" s="98" t="s">
        <v>552</v>
      </c>
      <c r="C472" s="98">
        <v>2014</v>
      </c>
      <c r="D472" s="98" t="s">
        <v>364</v>
      </c>
      <c r="E472" s="98" t="s">
        <v>11</v>
      </c>
      <c r="F472" s="98" t="s">
        <v>131</v>
      </c>
      <c r="G472" s="248">
        <v>105.56500000000101</v>
      </c>
      <c r="H472" s="299" t="str">
        <f>VLOOKUP(LEFT('Rev Adequacy'!D472,3),'Mapping B'!$D$2:$E$400,2,0)</f>
        <v>N</v>
      </c>
      <c r="I472" s="190"/>
      <c r="J472" s="15" t="s">
        <v>375</v>
      </c>
      <c r="K472" s="190" t="s">
        <v>53</v>
      </c>
      <c r="L472" s="190">
        <f t="shared" si="140"/>
        <v>13.156499999999999</v>
      </c>
      <c r="M472" s="15"/>
      <c r="N472" s="15"/>
      <c r="O472" s="15">
        <f>_xlfn.IFNA(IF(VLOOKUP($J472&amp;O$14,'Mapping A'!$A$6:$G$1011,7,0)=1,$L472,""),0)</f>
        <v>0</v>
      </c>
      <c r="P472" s="15">
        <f>_xlfn.IFNA(IF(VLOOKUP($J472&amp;P$14,'Mapping A'!$A$6:$G$1011,7,0)=1,$L472,""),0)</f>
        <v>0</v>
      </c>
      <c r="Q472" s="15">
        <f>_xlfn.IFNA(IF(VLOOKUP($J472&amp;Q$14,'Mapping A'!$A$6:$G$1011,7,0)=1,$L472,""),0)</f>
        <v>0</v>
      </c>
      <c r="R472" s="15">
        <f>_xlfn.IFNA(IF(VLOOKUP($J472&amp;R$14,'Mapping A'!$A$6:$G$1011,7,0)=1,$L472,""),0)</f>
        <v>0</v>
      </c>
      <c r="S472" s="15">
        <f>_xlfn.IFNA(IF(VLOOKUP($J472&amp;S$14,'Mapping A'!$A$6:$G$1011,7,0)=1,$L472,""),0)</f>
        <v>0</v>
      </c>
      <c r="T472" s="15">
        <f>_xlfn.IFNA(IF(VLOOKUP($J472&amp;T$14,'Mapping A'!$A$6:$G$1011,7,0)=1,$L472,""),0)</f>
        <v>0</v>
      </c>
      <c r="U472" s="15">
        <f>_xlfn.IFNA(IF(VLOOKUP($J472&amp;U$14,'Mapping A'!$A$6:$G$1011,7,0)=1,$L472,""),0)</f>
        <v>0</v>
      </c>
      <c r="V472" s="15">
        <f>_xlfn.IFNA(IF(VLOOKUP($J472&amp;V$14,'Mapping A'!$A$6:$G$1011,7,0)=1,$L472,""),0)</f>
        <v>0</v>
      </c>
      <c r="W472" s="15">
        <f>_xlfn.IFNA(IF(VLOOKUP($J472&amp;W$14,'Mapping A'!$A$6:$G$1011,7,0)=1,$L472,""),0)</f>
        <v>0</v>
      </c>
      <c r="X472" s="15">
        <f>_xlfn.IFNA(IF(VLOOKUP($J472&amp;X$14,'Mapping A'!$A$6:$G$1011,7,0)=1,$L472,""),0)</f>
        <v>0</v>
      </c>
      <c r="Y472" s="15">
        <f>_xlfn.IFNA(IF(VLOOKUP($J472&amp;Y$14,'Mapping A'!$A$6:$G$1011,7,0)=1,$L472,""),0)</f>
        <v>0</v>
      </c>
      <c r="Z472" s="15">
        <f>_xlfn.IFNA(IF(VLOOKUP($J472&amp;Z$14,'Mapping A'!$A$6:$G$1011,7,0)=1,$L472,""),0)</f>
        <v>0</v>
      </c>
      <c r="AA472" s="15">
        <f>_xlfn.IFNA(IF(VLOOKUP($J472&amp;AA$14,'Mapping A'!$A$6:$G$1011,7,0)=1,$L472,""),0)</f>
        <v>0</v>
      </c>
      <c r="AF472" s="155" t="str">
        <f t="shared" si="135"/>
        <v>WKM2201Other</v>
      </c>
      <c r="AG472" s="190" t="s">
        <v>375</v>
      </c>
      <c r="AH472" s="190" t="s">
        <v>53</v>
      </c>
      <c r="AI472" s="190">
        <f t="shared" si="141"/>
        <v>13.156499999999999</v>
      </c>
      <c r="AJ472" s="292" t="s">
        <v>95</v>
      </c>
      <c r="AK472" s="15"/>
      <c r="AL472" s="15">
        <f t="shared" si="136"/>
        <v>0</v>
      </c>
      <c r="AM472" s="15"/>
      <c r="AN472" s="15">
        <f t="shared" ca="1" si="137"/>
        <v>0</v>
      </c>
      <c r="AO472" s="15">
        <f t="shared" si="138"/>
        <v>0</v>
      </c>
      <c r="AP472" s="15">
        <f t="shared" si="139"/>
        <v>0</v>
      </c>
      <c r="AQ472" s="15"/>
      <c r="AR472" s="190">
        <f t="shared" si="142"/>
        <v>0</v>
      </c>
      <c r="AS472" s="15"/>
      <c r="AT472" s="190">
        <f t="shared" si="143"/>
        <v>0</v>
      </c>
      <c r="AU472" s="190">
        <f t="shared" si="144"/>
        <v>0</v>
      </c>
      <c r="AV472" s="190">
        <f t="shared" si="145"/>
        <v>0</v>
      </c>
      <c r="AW472" s="190">
        <f t="shared" si="146"/>
        <v>0</v>
      </c>
      <c r="AX472" s="190">
        <f t="shared" si="147"/>
        <v>0</v>
      </c>
      <c r="BP472" s="190"/>
    </row>
    <row r="473" spans="2:68" x14ac:dyDescent="0.25">
      <c r="B473" s="98" t="s">
        <v>553</v>
      </c>
      <c r="C473" s="98">
        <v>2014</v>
      </c>
      <c r="D473" s="98" t="s">
        <v>182</v>
      </c>
      <c r="E473" s="98" t="s">
        <v>11</v>
      </c>
      <c r="F473" s="98" t="s">
        <v>131</v>
      </c>
      <c r="G473" s="248">
        <v>112159.36399999799</v>
      </c>
      <c r="H473" s="299" t="str">
        <f>VLOOKUP(LEFT('Rev Adequacy'!D473,3),'Mapping B'!$D$2:$E$400,2,0)</f>
        <v>N</v>
      </c>
      <c r="I473" s="190"/>
      <c r="J473" s="15" t="s">
        <v>378</v>
      </c>
      <c r="K473" s="190" t="s">
        <v>28</v>
      </c>
      <c r="L473" s="190">
        <f t="shared" si="140"/>
        <v>36.264900000000004</v>
      </c>
      <c r="M473" s="15"/>
      <c r="N473" s="15"/>
      <c r="O473" s="15">
        <f>_xlfn.IFNA(IF(VLOOKUP($J473&amp;O$14,'Mapping A'!$A$6:$G$1011,7,0)=1,$L473,""),0)</f>
        <v>0</v>
      </c>
      <c r="P473" s="15">
        <f>_xlfn.IFNA(IF(VLOOKUP($J473&amp;P$14,'Mapping A'!$A$6:$G$1011,7,0)=1,$L473,""),0)</f>
        <v>0</v>
      </c>
      <c r="Q473" s="15">
        <f>_xlfn.IFNA(IF(VLOOKUP($J473&amp;Q$14,'Mapping A'!$A$6:$G$1011,7,0)=1,$L473,""),0)</f>
        <v>0</v>
      </c>
      <c r="R473" s="15">
        <f>_xlfn.IFNA(IF(VLOOKUP($J473&amp;R$14,'Mapping A'!$A$6:$G$1011,7,0)=1,$L473,""),0)</f>
        <v>0</v>
      </c>
      <c r="S473" s="15">
        <f>_xlfn.IFNA(IF(VLOOKUP($J473&amp;S$14,'Mapping A'!$A$6:$G$1011,7,0)=1,$L473,""),0)</f>
        <v>0</v>
      </c>
      <c r="T473" s="15">
        <f>_xlfn.IFNA(IF(VLOOKUP($J473&amp;T$14,'Mapping A'!$A$6:$G$1011,7,0)=1,$L473,""),0)</f>
        <v>36.264900000000004</v>
      </c>
      <c r="U473" s="15">
        <f>_xlfn.IFNA(IF(VLOOKUP($J473&amp;U$14,'Mapping A'!$A$6:$G$1011,7,0)=1,$L473,""),0)</f>
        <v>0</v>
      </c>
      <c r="V473" s="15">
        <f>_xlfn.IFNA(IF(VLOOKUP($J473&amp;V$14,'Mapping A'!$A$6:$G$1011,7,0)=1,$L473,""),0)</f>
        <v>0</v>
      </c>
      <c r="W473" s="15">
        <f>_xlfn.IFNA(IF(VLOOKUP($J473&amp;W$14,'Mapping A'!$A$6:$G$1011,7,0)=1,$L473,""),0)</f>
        <v>0</v>
      </c>
      <c r="X473" s="15">
        <f>_xlfn.IFNA(IF(VLOOKUP($J473&amp;X$14,'Mapping A'!$A$6:$G$1011,7,0)=1,$L473,""),0)</f>
        <v>0</v>
      </c>
      <c r="Y473" s="15">
        <f>_xlfn.IFNA(IF(VLOOKUP($J473&amp;Y$14,'Mapping A'!$A$6:$G$1011,7,0)=1,$L473,""),0)</f>
        <v>0</v>
      </c>
      <c r="Z473" s="15">
        <f>_xlfn.IFNA(IF(VLOOKUP($J473&amp;Z$14,'Mapping A'!$A$6:$G$1011,7,0)=1,$L473,""),0)</f>
        <v>0</v>
      </c>
      <c r="AA473" s="15">
        <f>_xlfn.IFNA(IF(VLOOKUP($J473&amp;AA$14,'Mapping A'!$A$6:$G$1011,7,0)=1,$L473,""),0)</f>
        <v>0</v>
      </c>
      <c r="AF473" s="155" t="str">
        <f t="shared" si="135"/>
        <v>WKO0331Powerco</v>
      </c>
      <c r="AG473" s="190" t="s">
        <v>378</v>
      </c>
      <c r="AH473" s="190" t="s">
        <v>28</v>
      </c>
      <c r="AI473" s="190">
        <f t="shared" si="141"/>
        <v>36.264900000000004</v>
      </c>
      <c r="AJ473" s="292" t="s">
        <v>95</v>
      </c>
      <c r="AK473" s="15"/>
      <c r="AL473" s="15">
        <f t="shared" si="136"/>
        <v>0</v>
      </c>
      <c r="AM473" s="15"/>
      <c r="AN473" s="15">
        <f t="shared" ca="1" si="137"/>
        <v>0</v>
      </c>
      <c r="AO473" s="15">
        <f t="shared" si="138"/>
        <v>0</v>
      </c>
      <c r="AP473" s="15">
        <f t="shared" si="139"/>
        <v>0</v>
      </c>
      <c r="AQ473" s="15"/>
      <c r="AR473" s="190">
        <f t="shared" si="142"/>
        <v>0</v>
      </c>
      <c r="AS473" s="15"/>
      <c r="AT473" s="190">
        <f t="shared" si="143"/>
        <v>0</v>
      </c>
      <c r="AU473" s="190">
        <f t="shared" si="144"/>
        <v>0</v>
      </c>
      <c r="AV473" s="190">
        <f t="shared" si="145"/>
        <v>0</v>
      </c>
      <c r="AW473" s="190">
        <f t="shared" si="146"/>
        <v>0</v>
      </c>
      <c r="AX473" s="190">
        <f t="shared" si="147"/>
        <v>0</v>
      </c>
      <c r="BP473" s="190"/>
    </row>
    <row r="474" spans="2:68" x14ac:dyDescent="0.25">
      <c r="B474" s="98" t="s">
        <v>553</v>
      </c>
      <c r="C474" s="98">
        <v>2014</v>
      </c>
      <c r="D474" s="98" t="s">
        <v>229</v>
      </c>
      <c r="E474" s="98" t="s">
        <v>11</v>
      </c>
      <c r="F474" s="98" t="s">
        <v>131</v>
      </c>
      <c r="G474" s="248">
        <v>29650.618999999599</v>
      </c>
      <c r="H474" s="299" t="str">
        <f>VLOOKUP(LEFT('Rev Adequacy'!D474,3),'Mapping B'!$D$2:$E$400,2,0)</f>
        <v>N</v>
      </c>
      <c r="I474" s="190"/>
      <c r="J474" s="15" t="s">
        <v>933</v>
      </c>
      <c r="K474" s="190" t="s">
        <v>17</v>
      </c>
      <c r="L474" s="190">
        <f t="shared" si="140"/>
        <v>0.189</v>
      </c>
      <c r="M474" s="15"/>
      <c r="N474" s="15"/>
      <c r="O474" s="15">
        <f>_xlfn.IFNA(IF(VLOOKUP($J474&amp;O$14,'Mapping A'!$A$6:$G$1011,7,0)=1,$L474,""),0)</f>
        <v>0</v>
      </c>
      <c r="P474" s="15">
        <f>_xlfn.IFNA(IF(VLOOKUP($J474&amp;P$14,'Mapping A'!$A$6:$G$1011,7,0)=1,$L474,""),0)</f>
        <v>0</v>
      </c>
      <c r="Q474" s="15">
        <f>_xlfn.IFNA(IF(VLOOKUP($J474&amp;Q$14,'Mapping A'!$A$6:$G$1011,7,0)=1,$L474,""),0)</f>
        <v>0</v>
      </c>
      <c r="R474" s="15">
        <f>_xlfn.IFNA(IF(VLOOKUP($J474&amp;R$14,'Mapping A'!$A$6:$G$1011,7,0)=1,$L474,""),0)</f>
        <v>0</v>
      </c>
      <c r="S474" s="15">
        <f>_xlfn.IFNA(IF(VLOOKUP($J474&amp;S$14,'Mapping A'!$A$6:$G$1011,7,0)=1,$L474,""),0)</f>
        <v>0</v>
      </c>
      <c r="T474" s="15">
        <f>_xlfn.IFNA(IF(VLOOKUP($J474&amp;T$14,'Mapping A'!$A$6:$G$1011,7,0)=1,$L474,""),0)</f>
        <v>0</v>
      </c>
      <c r="U474" s="15">
        <f>_xlfn.IFNA(IF(VLOOKUP($J474&amp;U$14,'Mapping A'!$A$6:$G$1011,7,0)=1,$L474,""),0)</f>
        <v>0</v>
      </c>
      <c r="V474" s="15">
        <f>_xlfn.IFNA(IF(VLOOKUP($J474&amp;V$14,'Mapping A'!$A$6:$G$1011,7,0)=1,$L474,""),0)</f>
        <v>0</v>
      </c>
      <c r="W474" s="15">
        <f>_xlfn.IFNA(IF(VLOOKUP($J474&amp;W$14,'Mapping A'!$A$6:$G$1011,7,0)=1,$L474,""),0)</f>
        <v>0</v>
      </c>
      <c r="X474" s="15">
        <f>_xlfn.IFNA(IF(VLOOKUP($J474&amp;X$14,'Mapping A'!$A$6:$G$1011,7,0)=1,$L474,""),0)</f>
        <v>0</v>
      </c>
      <c r="Y474" s="15">
        <f>_xlfn.IFNA(IF(VLOOKUP($J474&amp;Y$14,'Mapping A'!$A$6:$G$1011,7,0)=1,$L474,""),0)</f>
        <v>0</v>
      </c>
      <c r="Z474" s="15">
        <f>_xlfn.IFNA(IF(VLOOKUP($J474&amp;Z$14,'Mapping A'!$A$6:$G$1011,7,0)=1,$L474,""),0)</f>
        <v>0</v>
      </c>
      <c r="AA474" s="15">
        <f>_xlfn.IFNA(IF(VLOOKUP($J474&amp;AA$14,'Mapping A'!$A$6:$G$1011,7,0)=1,$L474,""),0)</f>
        <v>0</v>
      </c>
      <c r="AF474" s="155" t="str">
        <f t="shared" si="135"/>
        <v>WPA2201MRP</v>
      </c>
      <c r="AG474" s="190" t="s">
        <v>933</v>
      </c>
      <c r="AH474" s="190" t="s">
        <v>17</v>
      </c>
      <c r="AI474" s="190">
        <f t="shared" si="141"/>
        <v>0.189</v>
      </c>
      <c r="AJ474" s="292" t="s">
        <v>95</v>
      </c>
      <c r="AK474" s="15"/>
      <c r="AL474" s="15">
        <f t="shared" si="136"/>
        <v>0</v>
      </c>
      <c r="AM474" s="15"/>
      <c r="AN474" s="15">
        <f t="shared" ca="1" si="137"/>
        <v>0</v>
      </c>
      <c r="AO474" s="15">
        <f t="shared" si="138"/>
        <v>0</v>
      </c>
      <c r="AP474" s="15">
        <f t="shared" si="139"/>
        <v>0</v>
      </c>
      <c r="AQ474" s="15"/>
      <c r="AR474" s="190">
        <f t="shared" si="142"/>
        <v>0</v>
      </c>
      <c r="AS474" s="15"/>
      <c r="AT474" s="190">
        <f t="shared" si="143"/>
        <v>0</v>
      </c>
      <c r="AU474" s="190">
        <f t="shared" si="144"/>
        <v>0</v>
      </c>
      <c r="AV474" s="190">
        <f t="shared" si="145"/>
        <v>0</v>
      </c>
      <c r="AW474" s="190">
        <f t="shared" si="146"/>
        <v>0</v>
      </c>
      <c r="AX474" s="190">
        <f t="shared" si="147"/>
        <v>0</v>
      </c>
      <c r="BP474" s="190"/>
    </row>
    <row r="475" spans="2:68" x14ac:dyDescent="0.25">
      <c r="B475" s="98" t="s">
        <v>553</v>
      </c>
      <c r="C475" s="98">
        <v>2014</v>
      </c>
      <c r="D475" s="98" t="s">
        <v>342</v>
      </c>
      <c r="E475" s="98" t="s">
        <v>11</v>
      </c>
      <c r="F475" s="98" t="s">
        <v>131</v>
      </c>
      <c r="G475" s="248">
        <v>2145.67400000001</v>
      </c>
      <c r="H475" s="299" t="str">
        <f>VLOOKUP(LEFT('Rev Adequacy'!D475,3),'Mapping B'!$D$2:$E$400,2,0)</f>
        <v>N</v>
      </c>
      <c r="I475" s="190"/>
      <c r="J475" s="15" t="s">
        <v>380</v>
      </c>
      <c r="K475" s="190" t="s">
        <v>12</v>
      </c>
      <c r="L475" s="190">
        <f t="shared" si="140"/>
        <v>12.6084</v>
      </c>
      <c r="M475" s="15"/>
      <c r="N475" s="15"/>
      <c r="O475" s="15">
        <f>_xlfn.IFNA(IF(VLOOKUP($J475&amp;O$14,'Mapping A'!$A$6:$G$1011,7,0)=1,$L475,""),0)</f>
        <v>0</v>
      </c>
      <c r="P475" s="15">
        <f>_xlfn.IFNA(IF(VLOOKUP($J475&amp;P$14,'Mapping A'!$A$6:$G$1011,7,0)=1,$L475,""),0)</f>
        <v>0</v>
      </c>
      <c r="Q475" s="15">
        <f>_xlfn.IFNA(IF(VLOOKUP($J475&amp;Q$14,'Mapping A'!$A$6:$G$1011,7,0)=1,$L475,""),0)</f>
        <v>12.6084</v>
      </c>
      <c r="R475" s="15">
        <f>_xlfn.IFNA(IF(VLOOKUP($J475&amp;R$14,'Mapping A'!$A$6:$G$1011,7,0)=1,$L475,""),0)</f>
        <v>0</v>
      </c>
      <c r="S475" s="15">
        <f>_xlfn.IFNA(IF(VLOOKUP($J475&amp;S$14,'Mapping A'!$A$6:$G$1011,7,0)=1,$L475,""),0)</f>
        <v>0</v>
      </c>
      <c r="T475" s="15">
        <f>_xlfn.IFNA(IF(VLOOKUP($J475&amp;T$14,'Mapping A'!$A$6:$G$1011,7,0)=1,$L475,""),0)</f>
        <v>0</v>
      </c>
      <c r="U475" s="15">
        <f>_xlfn.IFNA(IF(VLOOKUP($J475&amp;U$14,'Mapping A'!$A$6:$G$1011,7,0)=1,$L475,""),0)</f>
        <v>0</v>
      </c>
      <c r="V475" s="15">
        <f>_xlfn.IFNA(IF(VLOOKUP($J475&amp;V$14,'Mapping A'!$A$6:$G$1011,7,0)=1,$L475,""),0)</f>
        <v>0</v>
      </c>
      <c r="W475" s="15">
        <f>_xlfn.IFNA(IF(VLOOKUP($J475&amp;W$14,'Mapping A'!$A$6:$G$1011,7,0)=1,$L475,""),0)</f>
        <v>0</v>
      </c>
      <c r="X475" s="15">
        <f>_xlfn.IFNA(IF(VLOOKUP($J475&amp;X$14,'Mapping A'!$A$6:$G$1011,7,0)=1,$L475,""),0)</f>
        <v>0</v>
      </c>
      <c r="Y475" s="15">
        <f>_xlfn.IFNA(IF(VLOOKUP($J475&amp;Y$14,'Mapping A'!$A$6:$G$1011,7,0)=1,$L475,""),0)</f>
        <v>0</v>
      </c>
      <c r="Z475" s="15">
        <f>_xlfn.IFNA(IF(VLOOKUP($J475&amp;Z$14,'Mapping A'!$A$6:$G$1011,7,0)=1,$L475,""),0)</f>
        <v>0</v>
      </c>
      <c r="AA475" s="15">
        <f>_xlfn.IFNA(IF(VLOOKUP($J475&amp;AA$14,'Mapping A'!$A$6:$G$1011,7,0)=1,$L475,""),0)</f>
        <v>0</v>
      </c>
      <c r="AF475" s="155" t="str">
        <f t="shared" si="135"/>
        <v>WPR0331Mainpower</v>
      </c>
      <c r="AG475" s="190" t="s">
        <v>380</v>
      </c>
      <c r="AH475" s="190" t="s">
        <v>12</v>
      </c>
      <c r="AI475" s="190">
        <f t="shared" si="141"/>
        <v>12.6084</v>
      </c>
      <c r="AJ475" s="292" t="s">
        <v>96</v>
      </c>
      <c r="AK475" s="15"/>
      <c r="AL475" s="15">
        <f t="shared" si="136"/>
        <v>0</v>
      </c>
      <c r="AM475" s="15"/>
      <c r="AN475" s="15">
        <f t="shared" ca="1" si="137"/>
        <v>0</v>
      </c>
      <c r="AO475" s="15">
        <f t="shared" si="138"/>
        <v>0</v>
      </c>
      <c r="AP475" s="15">
        <f t="shared" si="139"/>
        <v>0</v>
      </c>
      <c r="AQ475" s="15"/>
      <c r="AR475" s="190">
        <f t="shared" si="142"/>
        <v>0</v>
      </c>
      <c r="AS475" s="15"/>
      <c r="AT475" s="190">
        <f t="shared" si="143"/>
        <v>0</v>
      </c>
      <c r="AU475" s="190">
        <f t="shared" si="144"/>
        <v>0</v>
      </c>
      <c r="AV475" s="190">
        <f t="shared" si="145"/>
        <v>0</v>
      </c>
      <c r="AW475" s="190">
        <f t="shared" si="146"/>
        <v>0</v>
      </c>
      <c r="AX475" s="190">
        <f t="shared" si="147"/>
        <v>0</v>
      </c>
      <c r="BP475" s="190"/>
    </row>
    <row r="476" spans="2:68" x14ac:dyDescent="0.25">
      <c r="B476" s="98" t="s">
        <v>553</v>
      </c>
      <c r="C476" s="98">
        <v>2014</v>
      </c>
      <c r="D476" s="98" t="s">
        <v>364</v>
      </c>
      <c r="E476" s="98" t="s">
        <v>11</v>
      </c>
      <c r="F476" s="98" t="s">
        <v>131</v>
      </c>
      <c r="G476" s="248">
        <v>17245.976999999901</v>
      </c>
      <c r="H476" s="299" t="str">
        <f>VLOOKUP(LEFT('Rev Adequacy'!D476,3),'Mapping B'!$D$2:$E$400,2,0)</f>
        <v>N</v>
      </c>
      <c r="I476" s="190"/>
      <c r="J476" s="15" t="s">
        <v>381</v>
      </c>
      <c r="K476" s="190" t="s">
        <v>12</v>
      </c>
      <c r="L476" s="190">
        <f t="shared" si="140"/>
        <v>10.428600000000001</v>
      </c>
      <c r="M476" s="15"/>
      <c r="N476" s="15"/>
      <c r="O476" s="15">
        <f>_xlfn.IFNA(IF(VLOOKUP($J476&amp;O$14,'Mapping A'!$A$6:$G$1011,7,0)=1,$L476,""),0)</f>
        <v>0</v>
      </c>
      <c r="P476" s="15">
        <f>_xlfn.IFNA(IF(VLOOKUP($J476&amp;P$14,'Mapping A'!$A$6:$G$1011,7,0)=1,$L476,""),0)</f>
        <v>0</v>
      </c>
      <c r="Q476" s="15">
        <f>_xlfn.IFNA(IF(VLOOKUP($J476&amp;Q$14,'Mapping A'!$A$6:$G$1011,7,0)=1,$L476,""),0)</f>
        <v>10.428600000000001</v>
      </c>
      <c r="R476" s="15">
        <f>_xlfn.IFNA(IF(VLOOKUP($J476&amp;R$14,'Mapping A'!$A$6:$G$1011,7,0)=1,$L476,""),0)</f>
        <v>0</v>
      </c>
      <c r="S476" s="15">
        <f>_xlfn.IFNA(IF(VLOOKUP($J476&amp;S$14,'Mapping A'!$A$6:$G$1011,7,0)=1,$L476,""),0)</f>
        <v>0</v>
      </c>
      <c r="T476" s="15">
        <f>_xlfn.IFNA(IF(VLOOKUP($J476&amp;T$14,'Mapping A'!$A$6:$G$1011,7,0)=1,$L476,""),0)</f>
        <v>0</v>
      </c>
      <c r="U476" s="15">
        <f>_xlfn.IFNA(IF(VLOOKUP($J476&amp;U$14,'Mapping A'!$A$6:$G$1011,7,0)=1,$L476,""),0)</f>
        <v>0</v>
      </c>
      <c r="V476" s="15">
        <f>_xlfn.IFNA(IF(VLOOKUP($J476&amp;V$14,'Mapping A'!$A$6:$G$1011,7,0)=1,$L476,""),0)</f>
        <v>0</v>
      </c>
      <c r="W476" s="15">
        <f>_xlfn.IFNA(IF(VLOOKUP($J476&amp;W$14,'Mapping A'!$A$6:$G$1011,7,0)=1,$L476,""),0)</f>
        <v>0</v>
      </c>
      <c r="X476" s="15">
        <f>_xlfn.IFNA(IF(VLOOKUP($J476&amp;X$14,'Mapping A'!$A$6:$G$1011,7,0)=1,$L476,""),0)</f>
        <v>0</v>
      </c>
      <c r="Y476" s="15">
        <f>_xlfn.IFNA(IF(VLOOKUP($J476&amp;Y$14,'Mapping A'!$A$6:$G$1011,7,0)=1,$L476,""),0)</f>
        <v>0</v>
      </c>
      <c r="Z476" s="15">
        <f>_xlfn.IFNA(IF(VLOOKUP($J476&amp;Z$14,'Mapping A'!$A$6:$G$1011,7,0)=1,$L476,""),0)</f>
        <v>0</v>
      </c>
      <c r="AA476" s="15">
        <f>_xlfn.IFNA(IF(VLOOKUP($J476&amp;AA$14,'Mapping A'!$A$6:$G$1011,7,0)=1,$L476,""),0)</f>
        <v>0</v>
      </c>
      <c r="AF476" s="155" t="str">
        <f t="shared" si="135"/>
        <v>WPR0661Mainpower</v>
      </c>
      <c r="AG476" s="190" t="s">
        <v>381</v>
      </c>
      <c r="AH476" s="190" t="s">
        <v>12</v>
      </c>
      <c r="AI476" s="190">
        <f t="shared" si="141"/>
        <v>10.428600000000001</v>
      </c>
      <c r="AJ476" s="292" t="s">
        <v>96</v>
      </c>
      <c r="AK476" s="15"/>
      <c r="AL476" s="15">
        <f t="shared" si="136"/>
        <v>0</v>
      </c>
      <c r="AM476" s="15"/>
      <c r="AN476" s="15">
        <f t="shared" ca="1" si="137"/>
        <v>0</v>
      </c>
      <c r="AO476" s="15">
        <f t="shared" si="138"/>
        <v>0</v>
      </c>
      <c r="AP476" s="15">
        <f t="shared" si="139"/>
        <v>0</v>
      </c>
      <c r="AQ476" s="15"/>
      <c r="AR476" s="190">
        <f t="shared" si="142"/>
        <v>0</v>
      </c>
      <c r="AS476" s="15"/>
      <c r="AT476" s="190">
        <f t="shared" si="143"/>
        <v>0</v>
      </c>
      <c r="AU476" s="190">
        <f t="shared" si="144"/>
        <v>0</v>
      </c>
      <c r="AV476" s="190">
        <f t="shared" si="145"/>
        <v>0</v>
      </c>
      <c r="AW476" s="190">
        <f t="shared" si="146"/>
        <v>0</v>
      </c>
      <c r="AX476" s="190">
        <f t="shared" si="147"/>
        <v>0</v>
      </c>
      <c r="BP476" s="190"/>
    </row>
    <row r="477" spans="2:68" x14ac:dyDescent="0.25">
      <c r="B477" s="98" t="s">
        <v>554</v>
      </c>
      <c r="C477" s="98">
        <v>2014</v>
      </c>
      <c r="D477" s="98" t="s">
        <v>182</v>
      </c>
      <c r="E477" s="98" t="s">
        <v>11</v>
      </c>
      <c r="F477" s="98" t="s">
        <v>131</v>
      </c>
      <c r="G477" s="98">
        <v>0</v>
      </c>
      <c r="H477" s="299" t="str">
        <f>VLOOKUP(LEFT('Rev Adequacy'!D477,3),'Mapping B'!$D$2:$E$400,2,0)</f>
        <v>N</v>
      </c>
      <c r="I477" s="190"/>
      <c r="J477" s="15" t="s">
        <v>382</v>
      </c>
      <c r="K477" s="190" t="s">
        <v>2</v>
      </c>
      <c r="L477" s="190">
        <f t="shared" si="140"/>
        <v>9.4352999999999998</v>
      </c>
      <c r="M477" s="15"/>
      <c r="N477" s="15"/>
      <c r="O477" s="15">
        <f>_xlfn.IFNA(IF(VLOOKUP($J477&amp;O$14,'Mapping A'!$A$6:$G$1011,7,0)=1,$L477,""),0)</f>
        <v>0</v>
      </c>
      <c r="P477" s="15">
        <f>_xlfn.IFNA(IF(VLOOKUP($J477&amp;P$14,'Mapping A'!$A$6:$G$1011,7,0)=1,$L477,""),0)</f>
        <v>0</v>
      </c>
      <c r="Q477" s="15">
        <f>_xlfn.IFNA(IF(VLOOKUP($J477&amp;Q$14,'Mapping A'!$A$6:$G$1011,7,0)=1,$L477,""),0)</f>
        <v>9.4352999999999998</v>
      </c>
      <c r="R477" s="15">
        <f>_xlfn.IFNA(IF(VLOOKUP($J477&amp;R$14,'Mapping A'!$A$6:$G$1011,7,0)=1,$L477,""),0)</f>
        <v>0</v>
      </c>
      <c r="S477" s="15">
        <f>_xlfn.IFNA(IF(VLOOKUP($J477&amp;S$14,'Mapping A'!$A$6:$G$1011,7,0)=1,$L477,""),0)</f>
        <v>0</v>
      </c>
      <c r="T477" s="15">
        <f>_xlfn.IFNA(IF(VLOOKUP($J477&amp;T$14,'Mapping A'!$A$6:$G$1011,7,0)=1,$L477,""),0)</f>
        <v>0</v>
      </c>
      <c r="U477" s="15">
        <f>_xlfn.IFNA(IF(VLOOKUP($J477&amp;U$14,'Mapping A'!$A$6:$G$1011,7,0)=1,$L477,""),0)</f>
        <v>0</v>
      </c>
      <c r="V477" s="15">
        <f>_xlfn.IFNA(IF(VLOOKUP($J477&amp;V$14,'Mapping A'!$A$6:$G$1011,7,0)=1,$L477,""),0)</f>
        <v>0</v>
      </c>
      <c r="W477" s="15">
        <f>_xlfn.IFNA(IF(VLOOKUP($J477&amp;W$14,'Mapping A'!$A$6:$G$1011,7,0)=1,$L477,""),0)</f>
        <v>0</v>
      </c>
      <c r="X477" s="15">
        <f>_xlfn.IFNA(IF(VLOOKUP($J477&amp;X$14,'Mapping A'!$A$6:$G$1011,7,0)=1,$L477,""),0)</f>
        <v>0</v>
      </c>
      <c r="Y477" s="15">
        <f>_xlfn.IFNA(IF(VLOOKUP($J477&amp;Y$14,'Mapping A'!$A$6:$G$1011,7,0)=1,$L477,""),0)</f>
        <v>0</v>
      </c>
      <c r="Z477" s="15">
        <f>_xlfn.IFNA(IF(VLOOKUP($J477&amp;Z$14,'Mapping A'!$A$6:$G$1011,7,0)=1,$L477,""),0)</f>
        <v>0</v>
      </c>
      <c r="AA477" s="15">
        <f>_xlfn.IFNA(IF(VLOOKUP($J477&amp;AA$14,'Mapping A'!$A$6:$G$1011,7,0)=1,$L477,""),0)</f>
        <v>0</v>
      </c>
      <c r="AF477" s="155" t="str">
        <f t="shared" ref="AF477:AF545" si="148">AG477&amp;AH477</f>
        <v>WPT0111Buller Electricity</v>
      </c>
      <c r="AG477" s="190" t="s">
        <v>382</v>
      </c>
      <c r="AH477" s="190" t="s">
        <v>2</v>
      </c>
      <c r="AI477" s="190">
        <f t="shared" si="141"/>
        <v>9.4352999999999998</v>
      </c>
      <c r="AJ477" s="292" t="s">
        <v>96</v>
      </c>
      <c r="AK477" s="15"/>
      <c r="AL477" s="15">
        <f t="shared" si="136"/>
        <v>0</v>
      </c>
      <c r="AM477" s="15"/>
      <c r="AN477" s="15">
        <f t="shared" ca="1" si="137"/>
        <v>0</v>
      </c>
      <c r="AO477" s="15">
        <f t="shared" si="138"/>
        <v>0</v>
      </c>
      <c r="AP477" s="15">
        <f t="shared" si="139"/>
        <v>0</v>
      </c>
      <c r="AQ477" s="15"/>
      <c r="AR477" s="190">
        <f t="shared" si="142"/>
        <v>0</v>
      </c>
      <c r="AS477" s="15"/>
      <c r="AT477" s="190">
        <f t="shared" si="143"/>
        <v>0</v>
      </c>
      <c r="AU477" s="190">
        <f t="shared" si="144"/>
        <v>0</v>
      </c>
      <c r="AV477" s="190">
        <f t="shared" si="145"/>
        <v>0</v>
      </c>
      <c r="AW477" s="190">
        <f t="shared" si="146"/>
        <v>0</v>
      </c>
      <c r="AX477" s="190">
        <f t="shared" si="147"/>
        <v>0</v>
      </c>
      <c r="BP477" s="190"/>
    </row>
    <row r="478" spans="2:68" x14ac:dyDescent="0.25">
      <c r="B478" s="98" t="s">
        <v>554</v>
      </c>
      <c r="C478" s="98">
        <v>2014</v>
      </c>
      <c r="D478" s="98" t="s">
        <v>229</v>
      </c>
      <c r="E478" s="98" t="s">
        <v>11</v>
      </c>
      <c r="F478" s="98" t="s">
        <v>131</v>
      </c>
      <c r="G478" s="98">
        <v>0</v>
      </c>
      <c r="H478" s="299" t="str">
        <f>VLOOKUP(LEFT('Rev Adequacy'!D478,3),'Mapping B'!$D$2:$E$400,2,0)</f>
        <v>N</v>
      </c>
      <c r="I478" s="190"/>
      <c r="J478" s="15" t="s">
        <v>383</v>
      </c>
      <c r="K478" s="190" t="s">
        <v>100</v>
      </c>
      <c r="L478" s="190">
        <f t="shared" si="140"/>
        <v>20.4267</v>
      </c>
      <c r="M478" s="15"/>
      <c r="N478" s="15"/>
      <c r="O478" s="15">
        <f>_xlfn.IFNA(IF(VLOOKUP($J478&amp;O$14,'Mapping A'!$A$6:$G$1011,7,0)=1,$L478,""),0)</f>
        <v>0</v>
      </c>
      <c r="P478" s="15">
        <f>_xlfn.IFNA(IF(VLOOKUP($J478&amp;P$14,'Mapping A'!$A$6:$G$1011,7,0)=1,$L478,""),0)</f>
        <v>0</v>
      </c>
      <c r="Q478" s="15">
        <f>_xlfn.IFNA(IF(VLOOKUP($J478&amp;Q$14,'Mapping A'!$A$6:$G$1011,7,0)=1,$L478,""),0)</f>
        <v>0</v>
      </c>
      <c r="R478" s="15">
        <f>_xlfn.IFNA(IF(VLOOKUP($J478&amp;R$14,'Mapping A'!$A$6:$G$1011,7,0)=1,$L478,""),0)</f>
        <v>0</v>
      </c>
      <c r="S478" s="15">
        <f>_xlfn.IFNA(IF(VLOOKUP($J478&amp;S$14,'Mapping A'!$A$6:$G$1011,7,0)=1,$L478,""),0)</f>
        <v>0</v>
      </c>
      <c r="T478" s="15">
        <f>_xlfn.IFNA(IF(VLOOKUP($J478&amp;T$14,'Mapping A'!$A$6:$G$1011,7,0)=1,$L478,""),0)</f>
        <v>0</v>
      </c>
      <c r="U478" s="15">
        <f>_xlfn.IFNA(IF(VLOOKUP($J478&amp;U$14,'Mapping A'!$A$6:$G$1011,7,0)=1,$L478,""),0)</f>
        <v>0</v>
      </c>
      <c r="V478" s="15">
        <f>_xlfn.IFNA(IF(VLOOKUP($J478&amp;V$14,'Mapping A'!$A$6:$G$1011,7,0)=1,$L478,""),0)</f>
        <v>0</v>
      </c>
      <c r="W478" s="15">
        <f>_xlfn.IFNA(IF(VLOOKUP($J478&amp;W$14,'Mapping A'!$A$6:$G$1011,7,0)=1,$L478,""),0)</f>
        <v>0</v>
      </c>
      <c r="X478" s="15">
        <f>_xlfn.IFNA(IF(VLOOKUP($J478&amp;X$14,'Mapping A'!$A$6:$G$1011,7,0)=1,$L478,""),0)</f>
        <v>0</v>
      </c>
      <c r="Y478" s="15">
        <f>_xlfn.IFNA(IF(VLOOKUP($J478&amp;Y$14,'Mapping A'!$A$6:$G$1011,7,0)=1,$L478,""),0)</f>
        <v>0</v>
      </c>
      <c r="Z478" s="15">
        <f>_xlfn.IFNA(IF(VLOOKUP($J478&amp;Z$14,'Mapping A'!$A$6:$G$1011,7,0)=1,$L478,""),0)</f>
        <v>0</v>
      </c>
      <c r="AA478" s="15">
        <f>_xlfn.IFNA(IF(VLOOKUP($J478&amp;AA$14,'Mapping A'!$A$6:$G$1011,7,0)=1,$L478,""),0)</f>
        <v>0</v>
      </c>
      <c r="AF478" s="155" t="str">
        <f t="shared" si="148"/>
        <v>WPW0331Centralines</v>
      </c>
      <c r="AG478" s="190" t="s">
        <v>383</v>
      </c>
      <c r="AH478" s="190" t="s">
        <v>100</v>
      </c>
      <c r="AI478" s="190">
        <f t="shared" si="141"/>
        <v>20.4267</v>
      </c>
      <c r="AJ478" s="292" t="s">
        <v>95</v>
      </c>
      <c r="AK478" s="15"/>
      <c r="AL478" s="15">
        <f t="shared" si="136"/>
        <v>0</v>
      </c>
      <c r="AM478" s="15"/>
      <c r="AN478" s="15">
        <f t="shared" ca="1" si="137"/>
        <v>0</v>
      </c>
      <c r="AO478" s="15">
        <f t="shared" si="138"/>
        <v>0</v>
      </c>
      <c r="AP478" s="15">
        <f t="shared" si="139"/>
        <v>0</v>
      </c>
      <c r="AQ478" s="15"/>
      <c r="AR478" s="190">
        <f t="shared" si="142"/>
        <v>0</v>
      </c>
      <c r="AS478" s="15"/>
      <c r="AT478" s="190">
        <f t="shared" si="143"/>
        <v>0</v>
      </c>
      <c r="AU478" s="190">
        <f t="shared" si="144"/>
        <v>0</v>
      </c>
      <c r="AV478" s="190">
        <f t="shared" si="145"/>
        <v>0</v>
      </c>
      <c r="AW478" s="190">
        <f t="shared" si="146"/>
        <v>0</v>
      </c>
      <c r="AX478" s="190">
        <f t="shared" si="147"/>
        <v>0</v>
      </c>
      <c r="BP478" s="190"/>
    </row>
    <row r="479" spans="2:68" x14ac:dyDescent="0.25">
      <c r="B479" s="98" t="s">
        <v>554</v>
      </c>
      <c r="C479" s="98">
        <v>2014</v>
      </c>
      <c r="D479" s="98" t="s">
        <v>342</v>
      </c>
      <c r="E479" s="98" t="s">
        <v>11</v>
      </c>
      <c r="F479" s="98" t="s">
        <v>131</v>
      </c>
      <c r="G479" s="98">
        <v>0</v>
      </c>
      <c r="H479" s="299" t="str">
        <f>VLOOKUP(LEFT('Rev Adequacy'!D479,3),'Mapping B'!$D$2:$E$400,2,0)</f>
        <v>N</v>
      </c>
      <c r="I479" s="190"/>
      <c r="J479" s="15" t="s">
        <v>384</v>
      </c>
      <c r="K479" s="190" t="s">
        <v>37</v>
      </c>
      <c r="L479" s="190">
        <f t="shared" si="140"/>
        <v>70.297499999999999</v>
      </c>
      <c r="M479" s="15"/>
      <c r="N479" s="15"/>
      <c r="O479" s="15">
        <f>_xlfn.IFNA(IF(VLOOKUP($J479&amp;O$14,'Mapping A'!$A$6:$G$1011,7,0)=1,$L479,""),0)</f>
        <v>0</v>
      </c>
      <c r="P479" s="15">
        <f>_xlfn.IFNA(IF(VLOOKUP($J479&amp;P$14,'Mapping A'!$A$6:$G$1011,7,0)=1,$L479,""),0)</f>
        <v>0</v>
      </c>
      <c r="Q479" s="15">
        <f>_xlfn.IFNA(IF(VLOOKUP($J479&amp;Q$14,'Mapping A'!$A$6:$G$1011,7,0)=1,$L479,""),0)</f>
        <v>0</v>
      </c>
      <c r="R479" s="15">
        <f>_xlfn.IFNA(IF(VLOOKUP($J479&amp;R$14,'Mapping A'!$A$6:$G$1011,7,0)=1,$L479,""),0)</f>
        <v>0</v>
      </c>
      <c r="S479" s="15">
        <f>_xlfn.IFNA(IF(VLOOKUP($J479&amp;S$14,'Mapping A'!$A$6:$G$1011,7,0)=1,$L479,""),0)</f>
        <v>0</v>
      </c>
      <c r="T479" s="15">
        <f>_xlfn.IFNA(IF(VLOOKUP($J479&amp;T$14,'Mapping A'!$A$6:$G$1011,7,0)=1,$L479,""),0)</f>
        <v>70.297499999999999</v>
      </c>
      <c r="U479" s="15">
        <f>_xlfn.IFNA(IF(VLOOKUP($J479&amp;U$14,'Mapping A'!$A$6:$G$1011,7,0)=1,$L479,""),0)</f>
        <v>0</v>
      </c>
      <c r="V479" s="15">
        <f>_xlfn.IFNA(IF(VLOOKUP($J479&amp;V$14,'Mapping A'!$A$6:$G$1011,7,0)=1,$L479,""),0)</f>
        <v>0</v>
      </c>
      <c r="W479" s="15">
        <f>_xlfn.IFNA(IF(VLOOKUP($J479&amp;W$14,'Mapping A'!$A$6:$G$1011,7,0)=1,$L479,""),0)</f>
        <v>0</v>
      </c>
      <c r="X479" s="15">
        <f>_xlfn.IFNA(IF(VLOOKUP($J479&amp;X$14,'Mapping A'!$A$6:$G$1011,7,0)=1,$L479,""),0)</f>
        <v>0</v>
      </c>
      <c r="Y479" s="15">
        <f>_xlfn.IFNA(IF(VLOOKUP($J479&amp;Y$14,'Mapping A'!$A$6:$G$1011,7,0)=1,$L479,""),0)</f>
        <v>0</v>
      </c>
      <c r="Z479" s="15">
        <f>_xlfn.IFNA(IF(VLOOKUP($J479&amp;Z$14,'Mapping A'!$A$6:$G$1011,7,0)=1,$L479,""),0)</f>
        <v>0</v>
      </c>
      <c r="AA479" s="15">
        <f>_xlfn.IFNA(IF(VLOOKUP($J479&amp;AA$14,'Mapping A'!$A$6:$G$1011,7,0)=1,$L479,""),0)</f>
        <v>0</v>
      </c>
      <c r="AF479" s="155" t="str">
        <f t="shared" si="148"/>
        <v>WRD0331Vector</v>
      </c>
      <c r="AG479" s="190" t="s">
        <v>384</v>
      </c>
      <c r="AH479" s="190" t="s">
        <v>37</v>
      </c>
      <c r="AI479" s="190">
        <f t="shared" si="141"/>
        <v>70.297499999999999</v>
      </c>
      <c r="AJ479" s="292" t="s">
        <v>95</v>
      </c>
      <c r="AK479" s="15"/>
      <c r="AL479" s="15">
        <f t="shared" si="136"/>
        <v>0</v>
      </c>
      <c r="AM479" s="15"/>
      <c r="AN479" s="15">
        <f t="shared" ca="1" si="137"/>
        <v>0</v>
      </c>
      <c r="AO479" s="15">
        <f t="shared" si="138"/>
        <v>0</v>
      </c>
      <c r="AP479" s="15">
        <f t="shared" si="139"/>
        <v>0</v>
      </c>
      <c r="AQ479" s="15"/>
      <c r="AR479" s="190">
        <f t="shared" si="142"/>
        <v>0</v>
      </c>
      <c r="AS479" s="15"/>
      <c r="AT479" s="190">
        <f t="shared" si="143"/>
        <v>0</v>
      </c>
      <c r="AU479" s="190">
        <f t="shared" si="144"/>
        <v>0</v>
      </c>
      <c r="AV479" s="190">
        <f t="shared" si="145"/>
        <v>0</v>
      </c>
      <c r="AW479" s="190">
        <f t="shared" si="146"/>
        <v>0</v>
      </c>
      <c r="AX479" s="190">
        <f t="shared" si="147"/>
        <v>0</v>
      </c>
      <c r="AZ479" s="185"/>
      <c r="BA479" s="185"/>
      <c r="BP479" s="190"/>
    </row>
    <row r="480" spans="2:68" x14ac:dyDescent="0.25">
      <c r="B480" s="98" t="s">
        <v>554</v>
      </c>
      <c r="C480" s="98">
        <v>2014</v>
      </c>
      <c r="D480" s="98" t="s">
        <v>364</v>
      </c>
      <c r="E480" s="98" t="s">
        <v>11</v>
      </c>
      <c r="F480" s="98" t="s">
        <v>131</v>
      </c>
      <c r="G480" s="98">
        <v>0</v>
      </c>
      <c r="H480" s="299" t="str">
        <f>VLOOKUP(LEFT('Rev Adequacy'!D480,3),'Mapping B'!$D$2:$E$400,2,0)</f>
        <v>N</v>
      </c>
      <c r="I480" s="190"/>
      <c r="J480" s="15" t="s">
        <v>385</v>
      </c>
      <c r="K480" s="190" t="s">
        <v>36</v>
      </c>
      <c r="L480" s="190">
        <f t="shared" si="140"/>
        <v>46.183199999999999</v>
      </c>
      <c r="M480" s="15"/>
      <c r="N480" s="15"/>
      <c r="O480" s="15">
        <f>_xlfn.IFNA(IF(VLOOKUP($J480&amp;O$14,'Mapping A'!$A$6:$G$1011,7,0)=1,$L480,""),0)</f>
        <v>0</v>
      </c>
      <c r="P480" s="15">
        <f>_xlfn.IFNA(IF(VLOOKUP($J480&amp;P$14,'Mapping A'!$A$6:$G$1011,7,0)=1,$L480,""),0)</f>
        <v>0</v>
      </c>
      <c r="Q480" s="15">
        <f>_xlfn.IFNA(IF(VLOOKUP($J480&amp;Q$14,'Mapping A'!$A$6:$G$1011,7,0)=1,$L480,""),0)</f>
        <v>0</v>
      </c>
      <c r="R480" s="15">
        <f>_xlfn.IFNA(IF(VLOOKUP($J480&amp;R$14,'Mapping A'!$A$6:$G$1011,7,0)=1,$L480,""),0)</f>
        <v>0</v>
      </c>
      <c r="S480" s="15">
        <f>_xlfn.IFNA(IF(VLOOKUP($J480&amp;S$14,'Mapping A'!$A$6:$G$1011,7,0)=1,$L480,""),0)</f>
        <v>0</v>
      </c>
      <c r="T480" s="15">
        <f>_xlfn.IFNA(IF(VLOOKUP($J480&amp;T$14,'Mapping A'!$A$6:$G$1011,7,0)=1,$L480,""),0)</f>
        <v>0</v>
      </c>
      <c r="U480" s="15">
        <f>_xlfn.IFNA(IF(VLOOKUP($J480&amp;U$14,'Mapping A'!$A$6:$G$1011,7,0)=1,$L480,""),0)</f>
        <v>0</v>
      </c>
      <c r="V480" s="15">
        <f>_xlfn.IFNA(IF(VLOOKUP($J480&amp;V$14,'Mapping A'!$A$6:$G$1011,7,0)=1,$L480,""),0)</f>
        <v>0</v>
      </c>
      <c r="W480" s="15">
        <f>_xlfn.IFNA(IF(VLOOKUP($J480&amp;W$14,'Mapping A'!$A$6:$G$1011,7,0)=1,$L480,""),0)</f>
        <v>0</v>
      </c>
      <c r="X480" s="15">
        <f>_xlfn.IFNA(IF(VLOOKUP($J480&amp;X$14,'Mapping A'!$A$6:$G$1011,7,0)=1,$L480,""),0)</f>
        <v>0</v>
      </c>
      <c r="Y480" s="15">
        <f>_xlfn.IFNA(IF(VLOOKUP($J480&amp;Y$14,'Mapping A'!$A$6:$G$1011,7,0)=1,$L480,""),0)</f>
        <v>0</v>
      </c>
      <c r="Z480" s="15">
        <f>_xlfn.IFNA(IF(VLOOKUP($J480&amp;Z$14,'Mapping A'!$A$6:$G$1011,7,0)=1,$L480,""),0)</f>
        <v>0</v>
      </c>
      <c r="AA480" s="15">
        <f>_xlfn.IFNA(IF(VLOOKUP($J480&amp;AA$14,'Mapping A'!$A$6:$G$1011,7,0)=1,$L480,""),0)</f>
        <v>0</v>
      </c>
      <c r="AF480" s="155" t="str">
        <f t="shared" si="148"/>
        <v>WRK0331Unison</v>
      </c>
      <c r="AG480" s="190" t="s">
        <v>385</v>
      </c>
      <c r="AH480" s="190" t="s">
        <v>36</v>
      </c>
      <c r="AI480" s="190">
        <f t="shared" si="141"/>
        <v>46.183199999999999</v>
      </c>
      <c r="AJ480" s="292" t="s">
        <v>95</v>
      </c>
      <c r="AK480" s="15"/>
      <c r="AL480" s="15">
        <f t="shared" si="136"/>
        <v>0</v>
      </c>
      <c r="AM480" s="15"/>
      <c r="AN480" s="15">
        <f t="shared" ca="1" si="137"/>
        <v>0</v>
      </c>
      <c r="AO480" s="15">
        <f t="shared" si="138"/>
        <v>0</v>
      </c>
      <c r="AP480" s="15">
        <f t="shared" si="139"/>
        <v>0</v>
      </c>
      <c r="AQ480" s="15"/>
      <c r="AR480" s="190">
        <f t="shared" si="142"/>
        <v>0</v>
      </c>
      <c r="AS480" s="15"/>
      <c r="AT480" s="190">
        <f t="shared" si="143"/>
        <v>0</v>
      </c>
      <c r="AU480" s="190">
        <f t="shared" si="144"/>
        <v>0</v>
      </c>
      <c r="AV480" s="190">
        <f t="shared" si="145"/>
        <v>0</v>
      </c>
      <c r="AW480" s="190">
        <f t="shared" si="146"/>
        <v>0</v>
      </c>
      <c r="AX480" s="190">
        <f t="shared" si="147"/>
        <v>0</v>
      </c>
      <c r="BP480" s="190"/>
    </row>
    <row r="481" spans="2:68" x14ac:dyDescent="0.25">
      <c r="B481" s="98" t="s">
        <v>563</v>
      </c>
      <c r="C481" s="98">
        <v>2014</v>
      </c>
      <c r="D481" s="98" t="s">
        <v>182</v>
      </c>
      <c r="E481" s="98" t="s">
        <v>11</v>
      </c>
      <c r="F481" s="98" t="s">
        <v>131</v>
      </c>
      <c r="G481" s="98">
        <v>417114.80199999601</v>
      </c>
      <c r="H481" s="299" t="str">
        <f>VLOOKUP(LEFT('Rev Adequacy'!D481,3),'Mapping B'!$D$2:$E$400,2,0)</f>
        <v>N</v>
      </c>
      <c r="I481" s="190"/>
      <c r="J481" s="15" t="s">
        <v>917</v>
      </c>
      <c r="K481" s="190" t="s">
        <v>4</v>
      </c>
      <c r="L481" s="190">
        <f t="shared" si="140"/>
        <v>2.226</v>
      </c>
      <c r="M481" s="15"/>
      <c r="N481" s="15"/>
      <c r="O481" s="15">
        <f>_xlfn.IFNA(IF(VLOOKUP($J481&amp;O$14,'Mapping A'!$A$6:$G$1011,7,0)=1,$L481,""),0)</f>
        <v>0</v>
      </c>
      <c r="P481" s="15">
        <f>_xlfn.IFNA(IF(VLOOKUP($J481&amp;P$14,'Mapping A'!$A$6:$G$1011,7,0)=1,$L481,""),0)</f>
        <v>0</v>
      </c>
      <c r="Q481" s="15">
        <f>_xlfn.IFNA(IF(VLOOKUP($J481&amp;Q$14,'Mapping A'!$A$6:$G$1011,7,0)=1,$L481,""),0)</f>
        <v>0</v>
      </c>
      <c r="R481" s="15">
        <f>_xlfn.IFNA(IF(VLOOKUP($J481&amp;R$14,'Mapping A'!$A$6:$G$1011,7,0)=1,$L481,""),0)</f>
        <v>0</v>
      </c>
      <c r="S481" s="15">
        <f>_xlfn.IFNA(IF(VLOOKUP($J481&amp;S$14,'Mapping A'!$A$6:$G$1011,7,0)=1,$L481,""),0)</f>
        <v>0</v>
      </c>
      <c r="T481" s="15">
        <f>_xlfn.IFNA(IF(VLOOKUP($J481&amp;T$14,'Mapping A'!$A$6:$G$1011,7,0)=1,$L481,""),0)</f>
        <v>0</v>
      </c>
      <c r="U481" s="15">
        <f>_xlfn.IFNA(IF(VLOOKUP($J481&amp;U$14,'Mapping A'!$A$6:$G$1011,7,0)=1,$L481,""),0)</f>
        <v>0</v>
      </c>
      <c r="V481" s="15">
        <f>_xlfn.IFNA(IF(VLOOKUP($J481&amp;V$14,'Mapping A'!$A$6:$G$1011,7,0)=1,$L481,""),0)</f>
        <v>0</v>
      </c>
      <c r="W481" s="15">
        <f>_xlfn.IFNA(IF(VLOOKUP($J481&amp;W$14,'Mapping A'!$A$6:$G$1011,7,0)=1,$L481,""),0)</f>
        <v>0</v>
      </c>
      <c r="X481" s="15">
        <f>_xlfn.IFNA(IF(VLOOKUP($J481&amp;X$14,'Mapping A'!$A$6:$G$1011,7,0)=1,$L481,""),0)</f>
        <v>0</v>
      </c>
      <c r="Y481" s="15">
        <f>_xlfn.IFNA(IF(VLOOKUP($J481&amp;Y$14,'Mapping A'!$A$6:$G$1011,7,0)=1,$L481,""),0)</f>
        <v>0</v>
      </c>
      <c r="Z481" s="15">
        <f>_xlfn.IFNA(IF(VLOOKUP($J481&amp;Z$14,'Mapping A'!$A$6:$G$1011,7,0)=1,$L481,""),0)</f>
        <v>0</v>
      </c>
      <c r="AA481" s="15">
        <f>_xlfn.IFNA(IF(VLOOKUP($J481&amp;AA$14,'Mapping A'!$A$6:$G$1011,7,0)=1,$L481,""),0)</f>
        <v>0</v>
      </c>
      <c r="AF481" s="155" t="str">
        <f t="shared" si="148"/>
        <v>WRK2201Contact</v>
      </c>
      <c r="AG481" s="190" t="s">
        <v>917</v>
      </c>
      <c r="AH481" s="190" t="s">
        <v>4</v>
      </c>
      <c r="AI481" s="190">
        <f t="shared" si="141"/>
        <v>2.226</v>
      </c>
      <c r="AJ481" s="292" t="s">
        <v>95</v>
      </c>
      <c r="AK481" s="15"/>
      <c r="AL481" s="15">
        <f t="shared" si="136"/>
        <v>0</v>
      </c>
      <c r="AM481" s="15"/>
      <c r="AN481" s="15">
        <f t="shared" ca="1" si="137"/>
        <v>0</v>
      </c>
      <c r="AO481" s="15">
        <f t="shared" si="138"/>
        <v>0</v>
      </c>
      <c r="AP481" s="15">
        <f t="shared" si="139"/>
        <v>0</v>
      </c>
      <c r="AQ481" s="15"/>
      <c r="AR481" s="190">
        <f t="shared" si="142"/>
        <v>0</v>
      </c>
      <c r="AS481" s="15"/>
      <c r="AT481" s="190">
        <f t="shared" si="143"/>
        <v>0</v>
      </c>
      <c r="AU481" s="190">
        <f t="shared" si="144"/>
        <v>0</v>
      </c>
      <c r="AV481" s="190">
        <f t="shared" si="145"/>
        <v>0</v>
      </c>
      <c r="AW481" s="190">
        <f t="shared" si="146"/>
        <v>0</v>
      </c>
      <c r="AX481" s="190">
        <f t="shared" si="147"/>
        <v>0</v>
      </c>
      <c r="BP481" s="190"/>
    </row>
    <row r="482" spans="2:68" x14ac:dyDescent="0.25">
      <c r="B482" s="98" t="s">
        <v>563</v>
      </c>
      <c r="C482" s="98">
        <v>2014</v>
      </c>
      <c r="D482" s="98" t="s">
        <v>229</v>
      </c>
      <c r="E482" s="98" t="s">
        <v>11</v>
      </c>
      <c r="F482" s="98" t="s">
        <v>131</v>
      </c>
      <c r="G482" s="98">
        <v>109192.833</v>
      </c>
      <c r="H482" s="299" t="str">
        <f>VLOOKUP(LEFT('Rev Adequacy'!D482,3),'Mapping B'!$D$2:$E$400,2,0)</f>
        <v>N</v>
      </c>
      <c r="I482" s="190"/>
      <c r="J482" s="190" t="s">
        <v>389</v>
      </c>
      <c r="K482" s="190" t="s">
        <v>20</v>
      </c>
      <c r="L482" s="190">
        <f t="shared" si="140"/>
        <v>4.3596000000000004</v>
      </c>
      <c r="M482" s="190"/>
      <c r="N482" s="190"/>
      <c r="O482" s="190">
        <f>_xlfn.IFNA(IF(VLOOKUP($J482&amp;O$14,'Mapping A'!$A$6:$G$1011,7,0)=1,$L482,""),0)</f>
        <v>0</v>
      </c>
      <c r="P482" s="190">
        <f>_xlfn.IFNA(IF(VLOOKUP($J482&amp;P$14,'Mapping A'!$A$6:$G$1011,7,0)=1,$L482,""),0)</f>
        <v>0</v>
      </c>
      <c r="Q482" s="190">
        <f>_xlfn.IFNA(IF(VLOOKUP($J482&amp;Q$14,'Mapping A'!$A$6:$G$1011,7,0)=1,$L482,""),0)</f>
        <v>4.3596000000000004</v>
      </c>
      <c r="R482" s="190">
        <f>_xlfn.IFNA(IF(VLOOKUP($J482&amp;R$14,'Mapping A'!$A$6:$G$1011,7,0)=1,$L482,""),0)</f>
        <v>0</v>
      </c>
      <c r="S482" s="190">
        <f>_xlfn.IFNA(IF(VLOOKUP($J482&amp;S$14,'Mapping A'!$A$6:$G$1011,7,0)=1,$L482,""),0)</f>
        <v>0</v>
      </c>
      <c r="T482" s="190">
        <f>_xlfn.IFNA(IF(VLOOKUP($J482&amp;T$14,'Mapping A'!$A$6:$G$1011,7,0)=1,$L482,""),0)</f>
        <v>0</v>
      </c>
      <c r="U482" s="190">
        <f>_xlfn.IFNA(IF(VLOOKUP($J482&amp;U$14,'Mapping A'!$A$6:$G$1011,7,0)=1,$L482,""),0)</f>
        <v>0</v>
      </c>
      <c r="V482" s="190">
        <f>_xlfn.IFNA(IF(VLOOKUP($J482&amp;V$14,'Mapping A'!$A$6:$G$1011,7,0)=1,$L482,""),0)</f>
        <v>0</v>
      </c>
      <c r="W482" s="190">
        <f>_xlfn.IFNA(IF(VLOOKUP($J482&amp;W$14,'Mapping A'!$A$6:$G$1011,7,0)=1,$L482,""),0)</f>
        <v>0</v>
      </c>
      <c r="X482" s="190">
        <f>_xlfn.IFNA(IF(VLOOKUP($J482&amp;X$14,'Mapping A'!$A$6:$G$1011,7,0)=1,$L482,""),0)</f>
        <v>0</v>
      </c>
      <c r="Y482" s="190">
        <f>_xlfn.IFNA(IF(VLOOKUP($J482&amp;Y$14,'Mapping A'!$A$6:$G$1011,7,0)=1,$L482,""),0)</f>
        <v>0</v>
      </c>
      <c r="Z482" s="190">
        <f>_xlfn.IFNA(IF(VLOOKUP($J482&amp;Z$14,'Mapping A'!$A$6:$G$1011,7,0)=1,$L482,""),0)</f>
        <v>0</v>
      </c>
      <c r="AA482" s="190">
        <f>_xlfn.IFNA(IF(VLOOKUP($J482&amp;AA$14,'Mapping A'!$A$6:$G$1011,7,0)=1,$L482,""),0)</f>
        <v>0</v>
      </c>
      <c r="AB482" s="190"/>
      <c r="AC482" s="190"/>
      <c r="AD482" s="190"/>
      <c r="AE482" s="190"/>
      <c r="AF482" s="155" t="str">
        <f t="shared" si="148"/>
        <v>WTK0111Network Waitaki</v>
      </c>
      <c r="AG482" s="190" t="s">
        <v>389</v>
      </c>
      <c r="AH482" s="190" t="s">
        <v>20</v>
      </c>
      <c r="AI482" s="190">
        <f t="shared" si="141"/>
        <v>4.3596000000000004</v>
      </c>
      <c r="AJ482" s="292" t="s">
        <v>96</v>
      </c>
      <c r="AK482" s="190"/>
      <c r="AL482" s="190">
        <f>IF(O$255=0,0,(O$13*O$7*O482/O$255))</f>
        <v>0</v>
      </c>
      <c r="AM482" s="190"/>
      <c r="AN482" s="190">
        <f ca="1">IF(Q$255=0,0,(Q$15*Q$7*Q482/Q$255))</f>
        <v>0</v>
      </c>
      <c r="AO482" s="190">
        <f t="shared" ref="AO482:AP486" si="149">IF(R$255=0,0,(R$13*R$7*R482/R$255))</f>
        <v>0</v>
      </c>
      <c r="AP482" s="190">
        <f t="shared" si="149"/>
        <v>0</v>
      </c>
      <c r="AQ482" s="190"/>
      <c r="AR482" s="190">
        <f t="shared" si="142"/>
        <v>0</v>
      </c>
      <c r="AS482" s="190"/>
      <c r="AT482" s="190">
        <f t="shared" si="143"/>
        <v>0</v>
      </c>
      <c r="AU482" s="190">
        <f t="shared" si="144"/>
        <v>0</v>
      </c>
      <c r="AV482" s="190">
        <f t="shared" si="145"/>
        <v>0</v>
      </c>
      <c r="AW482" s="190">
        <f t="shared" si="146"/>
        <v>0</v>
      </c>
      <c r="AX482" s="190">
        <f t="shared" si="147"/>
        <v>0</v>
      </c>
      <c r="AZ482" s="15"/>
      <c r="BP482" s="190"/>
    </row>
    <row r="483" spans="2:68" x14ac:dyDescent="0.25">
      <c r="B483" s="98" t="s">
        <v>563</v>
      </c>
      <c r="C483" s="98">
        <v>2014</v>
      </c>
      <c r="D483" s="98" t="s">
        <v>342</v>
      </c>
      <c r="E483" s="98" t="s">
        <v>11</v>
      </c>
      <c r="F483" s="98" t="s">
        <v>131</v>
      </c>
      <c r="G483" s="98">
        <v>7096.8389999999199</v>
      </c>
      <c r="H483" s="299" t="str">
        <f>VLOOKUP(LEFT('Rev Adequacy'!D483,3),'Mapping B'!$D$2:$E$400,2,0)</f>
        <v>N</v>
      </c>
      <c r="I483" s="190"/>
      <c r="J483" s="190" t="s">
        <v>391</v>
      </c>
      <c r="K483" s="190" t="s">
        <v>36</v>
      </c>
      <c r="L483" s="190">
        <f t="shared" si="140"/>
        <v>86.339399999999998</v>
      </c>
      <c r="M483" s="190"/>
      <c r="N483" s="190"/>
      <c r="O483" s="190">
        <f>_xlfn.IFNA(IF(VLOOKUP($J483&amp;O$14,'Mapping A'!$A$6:$G$1011,7,0)=1,$L483,""),0)</f>
        <v>0</v>
      </c>
      <c r="P483" s="190">
        <f>_xlfn.IFNA(IF(VLOOKUP($J483&amp;P$14,'Mapping A'!$A$6:$G$1011,7,0)=1,$L483,""),0)</f>
        <v>0</v>
      </c>
      <c r="Q483" s="190">
        <f>_xlfn.IFNA(IF(VLOOKUP($J483&amp;Q$14,'Mapping A'!$A$6:$G$1011,7,0)=1,$L483,""),0)</f>
        <v>0</v>
      </c>
      <c r="R483" s="190">
        <f>_xlfn.IFNA(IF(VLOOKUP($J483&amp;R$14,'Mapping A'!$A$6:$G$1011,7,0)=1,$L483,""),0)</f>
        <v>0</v>
      </c>
      <c r="S483" s="190">
        <f>_xlfn.IFNA(IF(VLOOKUP($J483&amp;S$14,'Mapping A'!$A$6:$G$1011,7,0)=1,$L483,""),0)</f>
        <v>0</v>
      </c>
      <c r="T483" s="190">
        <f>_xlfn.IFNA(IF(VLOOKUP($J483&amp;T$14,'Mapping A'!$A$6:$G$1011,7,0)=1,$L483,""),0)</f>
        <v>86.339399999999998</v>
      </c>
      <c r="U483" s="190">
        <f>_xlfn.IFNA(IF(VLOOKUP($J483&amp;U$14,'Mapping A'!$A$6:$G$1011,7,0)=1,$L483,""),0)</f>
        <v>0</v>
      </c>
      <c r="V483" s="190">
        <f>_xlfn.IFNA(IF(VLOOKUP($J483&amp;V$14,'Mapping A'!$A$6:$G$1011,7,0)=1,$L483,""),0)</f>
        <v>0</v>
      </c>
      <c r="W483" s="190">
        <f>_xlfn.IFNA(IF(VLOOKUP($J483&amp;W$14,'Mapping A'!$A$6:$G$1011,7,0)=1,$L483,""),0)</f>
        <v>0</v>
      </c>
      <c r="X483" s="190">
        <f>_xlfn.IFNA(IF(VLOOKUP($J483&amp;X$14,'Mapping A'!$A$6:$G$1011,7,0)=1,$L483,""),0)</f>
        <v>0</v>
      </c>
      <c r="Y483" s="190">
        <f>_xlfn.IFNA(IF(VLOOKUP($J483&amp;Y$14,'Mapping A'!$A$6:$G$1011,7,0)=1,$L483,""),0)</f>
        <v>0</v>
      </c>
      <c r="Z483" s="190">
        <f>_xlfn.IFNA(IF(VLOOKUP($J483&amp;Z$14,'Mapping A'!$A$6:$G$1011,7,0)=1,$L483,""),0)</f>
        <v>0</v>
      </c>
      <c r="AA483" s="190">
        <f>_xlfn.IFNA(IF(VLOOKUP($J483&amp;AA$14,'Mapping A'!$A$6:$G$1011,7,0)=1,$L483,""),0)</f>
        <v>0</v>
      </c>
      <c r="AB483" s="190"/>
      <c r="AC483" s="190"/>
      <c r="AD483" s="190"/>
      <c r="AE483" s="190"/>
      <c r="AF483" s="155" t="str">
        <f t="shared" si="148"/>
        <v>WTU0331Unison</v>
      </c>
      <c r="AG483" s="190" t="s">
        <v>391</v>
      </c>
      <c r="AH483" s="190" t="s">
        <v>36</v>
      </c>
      <c r="AI483" s="190">
        <f t="shared" si="141"/>
        <v>86.339399999999998</v>
      </c>
      <c r="AJ483" s="292" t="s">
        <v>95</v>
      </c>
      <c r="AK483" s="190"/>
      <c r="AL483" s="190">
        <f>IF(O$255=0,0,(O$13*O$7*O483/O$255))</f>
        <v>0</v>
      </c>
      <c r="AM483" s="190"/>
      <c r="AN483" s="190">
        <f ca="1">IF(Q$255=0,0,(Q$15*Q$7*Q483/Q$255))</f>
        <v>0</v>
      </c>
      <c r="AO483" s="190">
        <f t="shared" si="149"/>
        <v>0</v>
      </c>
      <c r="AP483" s="190">
        <f t="shared" si="149"/>
        <v>0</v>
      </c>
      <c r="AQ483" s="190"/>
      <c r="AR483" s="190">
        <f t="shared" si="142"/>
        <v>0</v>
      </c>
      <c r="AS483" s="190"/>
      <c r="AT483" s="190">
        <f t="shared" si="143"/>
        <v>0</v>
      </c>
      <c r="AU483" s="190">
        <f t="shared" si="144"/>
        <v>0</v>
      </c>
      <c r="AV483" s="190">
        <f t="shared" si="145"/>
        <v>0</v>
      </c>
      <c r="AW483" s="190">
        <f t="shared" si="146"/>
        <v>0</v>
      </c>
      <c r="AX483" s="190">
        <f t="shared" si="147"/>
        <v>0</v>
      </c>
      <c r="AZ483" s="15"/>
      <c r="BP483" s="190"/>
    </row>
    <row r="484" spans="2:68" x14ac:dyDescent="0.25">
      <c r="B484" s="98" t="s">
        <v>563</v>
      </c>
      <c r="C484" s="98">
        <v>2014</v>
      </c>
      <c r="D484" s="98" t="s">
        <v>364</v>
      </c>
      <c r="E484" s="98" t="s">
        <v>11</v>
      </c>
      <c r="F484" s="98" t="s">
        <v>131</v>
      </c>
      <c r="G484" s="98">
        <v>59957.568999999901</v>
      </c>
      <c r="H484" s="299" t="str">
        <f>VLOOKUP(LEFT('Rev Adequacy'!D484,3),'Mapping B'!$D$2:$E$400,2,0)</f>
        <v>N</v>
      </c>
      <c r="I484" s="190"/>
      <c r="J484" s="190" t="s">
        <v>392</v>
      </c>
      <c r="K484" s="190" t="s">
        <v>28</v>
      </c>
      <c r="L484" s="190">
        <f t="shared" si="140"/>
        <v>4.7439</v>
      </c>
      <c r="M484" s="190"/>
      <c r="N484" s="190"/>
      <c r="O484" s="190">
        <f>_xlfn.IFNA(IF(VLOOKUP($J484&amp;O$14,'Mapping A'!$A$6:$G$1011,7,0)=1,$L484,""),0)</f>
        <v>0</v>
      </c>
      <c r="P484" s="190">
        <f>_xlfn.IFNA(IF(VLOOKUP($J484&amp;P$14,'Mapping A'!$A$6:$G$1011,7,0)=1,$L484,""),0)</f>
        <v>0</v>
      </c>
      <c r="Q484" s="190">
        <f>_xlfn.IFNA(IF(VLOOKUP($J484&amp;Q$14,'Mapping A'!$A$6:$G$1011,7,0)=1,$L484,""),0)</f>
        <v>0</v>
      </c>
      <c r="R484" s="190">
        <f>_xlfn.IFNA(IF(VLOOKUP($J484&amp;R$14,'Mapping A'!$A$6:$G$1011,7,0)=1,$L484,""),0)</f>
        <v>0</v>
      </c>
      <c r="S484" s="190">
        <f>_xlfn.IFNA(IF(VLOOKUP($J484&amp;S$14,'Mapping A'!$A$6:$G$1011,7,0)=1,$L484,""),0)</f>
        <v>0</v>
      </c>
      <c r="T484" s="190">
        <f>_xlfn.IFNA(IF(VLOOKUP($J484&amp;T$14,'Mapping A'!$A$6:$G$1011,7,0)=1,$L484,""),0)</f>
        <v>0</v>
      </c>
      <c r="U484" s="190">
        <f>_xlfn.IFNA(IF(VLOOKUP($J484&amp;U$14,'Mapping A'!$A$6:$G$1011,7,0)=1,$L484,""),0)</f>
        <v>0</v>
      </c>
      <c r="V484" s="190">
        <f>_xlfn.IFNA(IF(VLOOKUP($J484&amp;V$14,'Mapping A'!$A$6:$G$1011,7,0)=1,$L484,""),0)</f>
        <v>0</v>
      </c>
      <c r="W484" s="190">
        <f>_xlfn.IFNA(IF(VLOOKUP($J484&amp;W$14,'Mapping A'!$A$6:$G$1011,7,0)=1,$L484,""),0)</f>
        <v>0</v>
      </c>
      <c r="X484" s="190">
        <f>_xlfn.IFNA(IF(VLOOKUP($J484&amp;X$14,'Mapping A'!$A$6:$G$1011,7,0)=1,$L484,""),0)</f>
        <v>0</v>
      </c>
      <c r="Y484" s="190">
        <f>_xlfn.IFNA(IF(VLOOKUP($J484&amp;Y$14,'Mapping A'!$A$6:$G$1011,7,0)=1,$L484,""),0)</f>
        <v>0</v>
      </c>
      <c r="Z484" s="190">
        <f>_xlfn.IFNA(IF(VLOOKUP($J484&amp;Z$14,'Mapping A'!$A$6:$G$1011,7,0)=1,$L484,""),0)</f>
        <v>0</v>
      </c>
      <c r="AA484" s="190">
        <f>_xlfn.IFNA(IF(VLOOKUP($J484&amp;AA$14,'Mapping A'!$A$6:$G$1011,7,0)=1,$L484,""),0)</f>
        <v>0</v>
      </c>
      <c r="AB484" s="190"/>
      <c r="AC484" s="190"/>
      <c r="AD484" s="190"/>
      <c r="AE484" s="190"/>
      <c r="AF484" s="155" t="str">
        <f t="shared" si="148"/>
        <v>WVY0111Powerco</v>
      </c>
      <c r="AG484" s="190" t="s">
        <v>392</v>
      </c>
      <c r="AH484" s="190" t="s">
        <v>28</v>
      </c>
      <c r="AI484" s="190">
        <f t="shared" si="141"/>
        <v>4.7439</v>
      </c>
      <c r="AJ484" s="292" t="s">
        <v>95</v>
      </c>
      <c r="AK484" s="190"/>
      <c r="AL484" s="190">
        <f>IF(O$255=0,0,(O$13*O$7*O484/O$255))</f>
        <v>0</v>
      </c>
      <c r="AM484" s="190"/>
      <c r="AN484" s="190">
        <f ca="1">IF(Q$255=0,0,(Q$15*Q$7*Q484/Q$255))</f>
        <v>0</v>
      </c>
      <c r="AO484" s="190">
        <f t="shared" si="149"/>
        <v>0</v>
      </c>
      <c r="AP484" s="190">
        <f t="shared" si="149"/>
        <v>0</v>
      </c>
      <c r="AQ484" s="190"/>
      <c r="AR484" s="190">
        <f t="shared" si="142"/>
        <v>0</v>
      </c>
      <c r="AS484" s="190"/>
      <c r="AT484" s="190">
        <f t="shared" si="143"/>
        <v>0</v>
      </c>
      <c r="AU484" s="190">
        <f t="shared" si="144"/>
        <v>0</v>
      </c>
      <c r="AV484" s="190">
        <f t="shared" si="145"/>
        <v>0</v>
      </c>
      <c r="AW484" s="190">
        <f t="shared" si="146"/>
        <v>0</v>
      </c>
      <c r="AX484" s="190">
        <f t="shared" si="147"/>
        <v>0</v>
      </c>
      <c r="AZ484" s="15"/>
      <c r="BP484" s="190"/>
    </row>
    <row r="485" spans="2:68" x14ac:dyDescent="0.25">
      <c r="B485" s="98" t="s">
        <v>555</v>
      </c>
      <c r="C485" s="98">
        <v>2014</v>
      </c>
      <c r="D485" s="98" t="s">
        <v>182</v>
      </c>
      <c r="E485" s="98" t="s">
        <v>11</v>
      </c>
      <c r="F485" s="98" t="s">
        <v>131</v>
      </c>
      <c r="G485" s="98">
        <v>291151.81699999998</v>
      </c>
      <c r="H485" s="299" t="str">
        <f>VLOOKUP(LEFT('Rev Adequacy'!D485,3),'Mapping B'!$D$2:$E$400,2,0)</f>
        <v>N</v>
      </c>
      <c r="I485" s="190"/>
      <c r="J485" s="190" t="s">
        <v>393</v>
      </c>
      <c r="K485" s="190" t="s">
        <v>14</v>
      </c>
      <c r="L485" s="190">
        <f t="shared" si="140"/>
        <v>0.94499999999999995</v>
      </c>
      <c r="M485" s="190"/>
      <c r="N485" s="190"/>
      <c r="O485" s="190">
        <f>_xlfn.IFNA(IF(VLOOKUP($J485&amp;O$14,'Mapping A'!$A$6:$G$1011,7,0)=1,$L485,""),0)</f>
        <v>0</v>
      </c>
      <c r="P485" s="190">
        <f>_xlfn.IFNA(IF(VLOOKUP($J485&amp;P$14,'Mapping A'!$A$6:$G$1011,7,0)=1,$L485,""),0)</f>
        <v>0</v>
      </c>
      <c r="Q485" s="190">
        <f>_xlfn.IFNA(IF(VLOOKUP($J485&amp;Q$14,'Mapping A'!$A$6:$G$1011,7,0)=1,$L485,""),0)</f>
        <v>0</v>
      </c>
      <c r="R485" s="190">
        <f>_xlfn.IFNA(IF(VLOOKUP($J485&amp;R$14,'Mapping A'!$A$6:$G$1011,7,0)=1,$L485,""),0)</f>
        <v>0</v>
      </c>
      <c r="S485" s="190">
        <f>_xlfn.IFNA(IF(VLOOKUP($J485&amp;S$14,'Mapping A'!$A$6:$G$1011,7,0)=1,$L485,""),0)</f>
        <v>0</v>
      </c>
      <c r="T485" s="190">
        <f>_xlfn.IFNA(IF(VLOOKUP($J485&amp;T$14,'Mapping A'!$A$6:$G$1011,7,0)=1,$L485,""),0)</f>
        <v>0</v>
      </c>
      <c r="U485" s="190">
        <f>_xlfn.IFNA(IF(VLOOKUP($J485&amp;U$14,'Mapping A'!$A$6:$G$1011,7,0)=1,$L485,""),0)</f>
        <v>0</v>
      </c>
      <c r="V485" s="190">
        <f>_xlfn.IFNA(IF(VLOOKUP($J485&amp;V$14,'Mapping A'!$A$6:$G$1011,7,0)=1,$L485,""),0)</f>
        <v>0</v>
      </c>
      <c r="W485" s="190">
        <f>_xlfn.IFNA(IF(VLOOKUP($J485&amp;W$14,'Mapping A'!$A$6:$G$1011,7,0)=1,$L485,""),0)</f>
        <v>0</v>
      </c>
      <c r="X485" s="190">
        <f>_xlfn.IFNA(IF(VLOOKUP($J485&amp;X$14,'Mapping A'!$A$6:$G$1011,7,0)=1,$L485,""),0)</f>
        <v>0</v>
      </c>
      <c r="Y485" s="190">
        <f>_xlfn.IFNA(IF(VLOOKUP($J485&amp;Y$14,'Mapping A'!$A$6:$G$1011,7,0)=1,$L485,""),0)</f>
        <v>0</v>
      </c>
      <c r="Z485" s="190">
        <f>_xlfn.IFNA(IF(VLOOKUP($J485&amp;Z$14,'Mapping A'!$A$6:$G$1011,7,0)=1,$L485,""),0)</f>
        <v>0</v>
      </c>
      <c r="AA485" s="190">
        <f>_xlfn.IFNA(IF(VLOOKUP($J485&amp;AA$14,'Mapping A'!$A$6:$G$1011,7,0)=1,$L485,""),0)</f>
        <v>0</v>
      </c>
      <c r="AB485" s="190"/>
      <c r="AC485" s="190"/>
      <c r="AD485" s="190"/>
      <c r="AE485" s="190"/>
      <c r="AF485" s="155" t="str">
        <f t="shared" si="148"/>
        <v>WWD1102Meridian</v>
      </c>
      <c r="AG485" s="190" t="s">
        <v>393</v>
      </c>
      <c r="AH485" s="190" t="s">
        <v>14</v>
      </c>
      <c r="AI485" s="190">
        <f t="shared" si="141"/>
        <v>0.94499999999999995</v>
      </c>
      <c r="AJ485" s="292" t="s">
        <v>95</v>
      </c>
      <c r="AK485" s="190"/>
      <c r="AL485" s="190">
        <f>IF(O$255=0,0,(O$13*O$7*O485/O$255))</f>
        <v>0</v>
      </c>
      <c r="AM485" s="190"/>
      <c r="AN485" s="190">
        <f ca="1">IF(Q$255=0,0,(Q$15*Q$7*Q485/Q$255))</f>
        <v>0</v>
      </c>
      <c r="AO485" s="190">
        <f t="shared" si="149"/>
        <v>0</v>
      </c>
      <c r="AP485" s="190">
        <f t="shared" si="149"/>
        <v>0</v>
      </c>
      <c r="AQ485" s="190"/>
      <c r="AR485" s="190">
        <f t="shared" si="142"/>
        <v>0</v>
      </c>
      <c r="AS485" s="190"/>
      <c r="AT485" s="190">
        <f t="shared" si="143"/>
        <v>0</v>
      </c>
      <c r="AU485" s="190">
        <f t="shared" si="144"/>
        <v>0</v>
      </c>
      <c r="AV485" s="190">
        <f t="shared" si="145"/>
        <v>0</v>
      </c>
      <c r="AW485" s="190">
        <f t="shared" si="146"/>
        <v>0</v>
      </c>
      <c r="AX485" s="190">
        <f t="shared" si="147"/>
        <v>0</v>
      </c>
      <c r="AZ485" s="15"/>
      <c r="BP485" s="190"/>
    </row>
    <row r="486" spans="2:68" x14ac:dyDescent="0.25">
      <c r="B486" s="98" t="s">
        <v>555</v>
      </c>
      <c r="C486" s="98">
        <v>2014</v>
      </c>
      <c r="D486" s="98" t="s">
        <v>229</v>
      </c>
      <c r="E486" s="98" t="s">
        <v>11</v>
      </c>
      <c r="F486" s="98" t="s">
        <v>131</v>
      </c>
      <c r="G486" s="98">
        <v>53457.167999999903</v>
      </c>
      <c r="H486" s="299" t="str">
        <f>VLOOKUP(LEFT('Rev Adequacy'!D486,3),'Mapping B'!$D$2:$E$400,2,0)</f>
        <v>N</v>
      </c>
      <c r="I486" s="190"/>
      <c r="J486" s="190" t="s">
        <v>394</v>
      </c>
      <c r="K486" s="190" t="s">
        <v>14</v>
      </c>
      <c r="L486" s="190">
        <f t="shared" si="140"/>
        <v>1.0038</v>
      </c>
      <c r="M486" s="190"/>
      <c r="N486" s="190"/>
      <c r="O486" s="190">
        <f>_xlfn.IFNA(IF(VLOOKUP($J486&amp;O$14,'Mapping A'!$A$6:$G$1011,7,0)=1,$L486,""),0)</f>
        <v>0</v>
      </c>
      <c r="P486" s="190">
        <f>_xlfn.IFNA(IF(VLOOKUP($J486&amp;P$14,'Mapping A'!$A$6:$G$1011,7,0)=1,$L486,""),0)</f>
        <v>0</v>
      </c>
      <c r="Q486" s="190">
        <f>_xlfn.IFNA(IF(VLOOKUP($J486&amp;Q$14,'Mapping A'!$A$6:$G$1011,7,0)=1,$L486,""),0)</f>
        <v>0</v>
      </c>
      <c r="R486" s="190">
        <f>_xlfn.IFNA(IF(VLOOKUP($J486&amp;R$14,'Mapping A'!$A$6:$G$1011,7,0)=1,$L486,""),0)</f>
        <v>0</v>
      </c>
      <c r="S486" s="190">
        <f>_xlfn.IFNA(IF(VLOOKUP($J486&amp;S$14,'Mapping A'!$A$6:$G$1011,7,0)=1,$L486,""),0)</f>
        <v>0</v>
      </c>
      <c r="T486" s="190">
        <f>_xlfn.IFNA(IF(VLOOKUP($J486&amp;T$14,'Mapping A'!$A$6:$G$1011,7,0)=1,$L486,""),0)</f>
        <v>0</v>
      </c>
      <c r="U486" s="190">
        <f>_xlfn.IFNA(IF(VLOOKUP($J486&amp;U$14,'Mapping A'!$A$6:$G$1011,7,0)=1,$L486,""),0)</f>
        <v>0</v>
      </c>
      <c r="V486" s="190">
        <f>_xlfn.IFNA(IF(VLOOKUP($J486&amp;V$14,'Mapping A'!$A$6:$G$1011,7,0)=1,$L486,""),0)</f>
        <v>0</v>
      </c>
      <c r="W486" s="190">
        <f>_xlfn.IFNA(IF(VLOOKUP($J486&amp;W$14,'Mapping A'!$A$6:$G$1011,7,0)=1,$L486,""),0)</f>
        <v>0</v>
      </c>
      <c r="X486" s="190">
        <f>_xlfn.IFNA(IF(VLOOKUP($J486&amp;X$14,'Mapping A'!$A$6:$G$1011,7,0)=1,$L486,""),0)</f>
        <v>0</v>
      </c>
      <c r="Y486" s="190">
        <f>_xlfn.IFNA(IF(VLOOKUP($J486&amp;Y$14,'Mapping A'!$A$6:$G$1011,7,0)=1,$L486,""),0)</f>
        <v>0</v>
      </c>
      <c r="Z486" s="190">
        <f>_xlfn.IFNA(IF(VLOOKUP($J486&amp;Z$14,'Mapping A'!$A$6:$G$1011,7,0)=1,$L486,""),0)</f>
        <v>0</v>
      </c>
      <c r="AA486" s="190">
        <f>_xlfn.IFNA(IF(VLOOKUP($J486&amp;AA$14,'Mapping A'!$A$6:$G$1011,7,0)=1,$L486,""),0)</f>
        <v>0</v>
      </c>
      <c r="AB486" s="190"/>
      <c r="AC486" s="190"/>
      <c r="AD486" s="190"/>
      <c r="AE486" s="190"/>
      <c r="AF486" s="155" t="str">
        <f t="shared" si="148"/>
        <v>WWD1103Meridian</v>
      </c>
      <c r="AG486" s="190" t="s">
        <v>394</v>
      </c>
      <c r="AH486" s="190" t="s">
        <v>14</v>
      </c>
      <c r="AI486" s="190">
        <f t="shared" si="141"/>
        <v>1.0038</v>
      </c>
      <c r="AJ486" s="292" t="s">
        <v>95</v>
      </c>
      <c r="AK486" s="190"/>
      <c r="AL486" s="190">
        <f>IF(O$255=0,0,(O$13*O$7*O486/O$255))</f>
        <v>0</v>
      </c>
      <c r="AM486" s="190"/>
      <c r="AN486" s="190">
        <f ca="1">IF(Q$255=0,0,(Q$15*Q$7*Q486/Q$255))</f>
        <v>0</v>
      </c>
      <c r="AO486" s="190">
        <f t="shared" si="149"/>
        <v>0</v>
      </c>
      <c r="AP486" s="190">
        <f t="shared" si="149"/>
        <v>0</v>
      </c>
      <c r="AQ486" s="190"/>
      <c r="AR486" s="190">
        <f t="shared" si="142"/>
        <v>0</v>
      </c>
      <c r="AS486" s="190"/>
      <c r="AT486" s="190">
        <f t="shared" si="143"/>
        <v>0</v>
      </c>
      <c r="AU486" s="190">
        <f t="shared" si="144"/>
        <v>0</v>
      </c>
      <c r="AV486" s="190">
        <f t="shared" si="145"/>
        <v>0</v>
      </c>
      <c r="AW486" s="190">
        <f t="shared" si="146"/>
        <v>0</v>
      </c>
      <c r="AX486" s="190">
        <f t="shared" si="147"/>
        <v>0</v>
      </c>
      <c r="AZ486" s="15"/>
      <c r="BP486" s="190"/>
    </row>
    <row r="487" spans="2:68" x14ac:dyDescent="0.25">
      <c r="B487" s="98" t="s">
        <v>555</v>
      </c>
      <c r="C487" s="98">
        <v>2014</v>
      </c>
      <c r="D487" s="98" t="s">
        <v>342</v>
      </c>
      <c r="E487" s="98" t="s">
        <v>11</v>
      </c>
      <c r="F487" s="98" t="s">
        <v>131</v>
      </c>
      <c r="G487" s="98">
        <v>4385.98199999998</v>
      </c>
      <c r="H487" s="299" t="str">
        <f>VLOOKUP(LEFT('Rev Adequacy'!D487,3),'Mapping B'!$D$2:$E$400,2,0)</f>
        <v>N</v>
      </c>
      <c r="K487" s="15"/>
      <c r="L487" s="15"/>
      <c r="M487" s="15"/>
      <c r="N487" s="15"/>
      <c r="O487" s="15"/>
      <c r="P487" s="15"/>
      <c r="Q487" s="15"/>
      <c r="R487" s="15"/>
      <c r="S487" s="15"/>
      <c r="T487" s="15"/>
      <c r="U487" s="15"/>
      <c r="V487" s="15"/>
      <c r="W487" s="15"/>
      <c r="X487" s="15"/>
      <c r="Y487" s="15"/>
      <c r="Z487" s="15"/>
      <c r="AA487" s="15"/>
      <c r="AF487" s="155" t="str">
        <f t="shared" si="148"/>
        <v/>
      </c>
      <c r="AG487" s="15"/>
      <c r="AH487" s="15"/>
      <c r="AI487" s="15"/>
      <c r="AJ487" s="292"/>
      <c r="AK487" s="15"/>
      <c r="AL487" s="15"/>
      <c r="AM487" s="15"/>
      <c r="AN487" s="7"/>
      <c r="AO487" s="7"/>
      <c r="AP487" s="7"/>
      <c r="AQ487" s="7"/>
      <c r="AR487" s="7"/>
      <c r="AS487" s="7"/>
      <c r="AT487" s="7"/>
      <c r="AU487" s="7"/>
      <c r="AV487" s="7"/>
      <c r="AW487" s="15"/>
      <c r="AX487" s="15"/>
      <c r="AZ487" s="15"/>
      <c r="BP487" s="190"/>
    </row>
    <row r="488" spans="2:68" x14ac:dyDescent="0.25">
      <c r="B488" s="98" t="s">
        <v>555</v>
      </c>
      <c r="C488" s="98">
        <v>2014</v>
      </c>
      <c r="D488" s="98" t="s">
        <v>364</v>
      </c>
      <c r="E488" s="98" t="s">
        <v>11</v>
      </c>
      <c r="F488" s="98" t="s">
        <v>131</v>
      </c>
      <c r="G488" s="98">
        <v>35122.659000000102</v>
      </c>
      <c r="H488" s="299" t="str">
        <f>VLOOKUP(LEFT('Rev Adequacy'!D488,3),'Mapping B'!$D$2:$E$400,2,0)</f>
        <v>N</v>
      </c>
      <c r="K488" s="15"/>
      <c r="L488" s="15"/>
      <c r="M488" s="15"/>
      <c r="N488" s="15"/>
      <c r="O488" s="15"/>
      <c r="P488" s="15"/>
      <c r="Q488" s="15"/>
      <c r="R488" s="15"/>
      <c r="S488" s="15"/>
      <c r="T488" s="15"/>
      <c r="U488" s="15"/>
      <c r="V488" s="15"/>
      <c r="W488" s="15"/>
      <c r="X488" s="15"/>
      <c r="Y488" s="15"/>
      <c r="Z488" s="15"/>
      <c r="AA488" s="15"/>
      <c r="AF488" s="155" t="str">
        <f t="shared" si="148"/>
        <v/>
      </c>
      <c r="AG488" s="15"/>
      <c r="AH488" s="15"/>
      <c r="AI488" s="15"/>
      <c r="AJ488" s="292"/>
      <c r="AK488" s="15"/>
      <c r="AL488" s="15"/>
      <c r="AM488" s="15"/>
      <c r="AN488" s="7"/>
      <c r="AO488" s="7"/>
      <c r="AP488" s="7"/>
      <c r="AQ488" s="7"/>
      <c r="AR488" s="7"/>
      <c r="AS488" s="7"/>
      <c r="AT488" s="7"/>
      <c r="AU488" s="7"/>
      <c r="AV488" s="7"/>
      <c r="AW488" s="15"/>
      <c r="AX488" s="15"/>
      <c r="AZ488" s="15"/>
      <c r="BP488" s="190"/>
    </row>
    <row r="489" spans="2:68" x14ac:dyDescent="0.25">
      <c r="B489" s="98" t="s">
        <v>112</v>
      </c>
      <c r="C489" s="98">
        <v>2014</v>
      </c>
      <c r="D489" s="98" t="s">
        <v>182</v>
      </c>
      <c r="E489" s="98" t="s">
        <v>11</v>
      </c>
      <c r="F489" s="98" t="s">
        <v>131</v>
      </c>
      <c r="G489" s="98">
        <v>11751081.334000001</v>
      </c>
      <c r="H489" s="299" t="str">
        <f>VLOOKUP(LEFT('Rev Adequacy'!D489,3),'Mapping B'!$D$2:$E$400,2,0)</f>
        <v>N</v>
      </c>
      <c r="J489" s="16" t="s">
        <v>545</v>
      </c>
      <c r="AF489" s="155" t="str">
        <f t="shared" si="148"/>
        <v>Generation allocation 1</v>
      </c>
      <c r="AG489" s="15" t="s">
        <v>545</v>
      </c>
      <c r="AH489" s="15"/>
      <c r="AI489" s="15"/>
      <c r="AJ489" s="292"/>
      <c r="AK489" s="15"/>
      <c r="AL489" s="15"/>
      <c r="AM489" s="15"/>
      <c r="AN489" s="7"/>
      <c r="AO489" s="7"/>
      <c r="AP489" s="7"/>
      <c r="AQ489" s="7"/>
      <c r="AR489" s="7"/>
      <c r="AS489" s="7"/>
      <c r="AT489" s="7"/>
      <c r="AU489" s="7"/>
      <c r="AV489" s="7"/>
      <c r="AW489" s="15"/>
      <c r="AX489" s="15"/>
      <c r="AZ489" s="15"/>
      <c r="BP489" s="190"/>
    </row>
    <row r="490" spans="2:68" x14ac:dyDescent="0.25">
      <c r="B490" s="98" t="s">
        <v>112</v>
      </c>
      <c r="C490" s="98">
        <v>2014</v>
      </c>
      <c r="D490" s="98" t="s">
        <v>229</v>
      </c>
      <c r="E490" s="98" t="s">
        <v>11</v>
      </c>
      <c r="F490" s="98" t="s">
        <v>131</v>
      </c>
      <c r="G490" s="98">
        <v>2957552.27399999</v>
      </c>
      <c r="H490" s="299" t="str">
        <f>VLOOKUP(LEFT('Rev Adequacy'!D490,3),'Mapping B'!$D$2:$E$400,2,0)</f>
        <v>N</v>
      </c>
      <c r="J490" s="91" t="s">
        <v>500</v>
      </c>
      <c r="K490" s="15"/>
      <c r="AF490" s="155" t="str">
        <f t="shared" si="148"/>
        <v>offer_node_to_participant</v>
      </c>
      <c r="AG490" s="91" t="s">
        <v>500</v>
      </c>
      <c r="AH490" s="15"/>
      <c r="AI490" s="15"/>
      <c r="AJ490" s="292"/>
      <c r="AK490" s="15"/>
      <c r="AL490" s="15"/>
      <c r="AM490" s="15"/>
      <c r="AN490" s="7"/>
      <c r="AO490" s="7"/>
      <c r="AP490" s="7"/>
      <c r="AQ490" s="7"/>
      <c r="AR490" s="7"/>
      <c r="AS490" s="7"/>
      <c r="AT490" s="7"/>
      <c r="AU490" s="7"/>
      <c r="AV490" s="7"/>
      <c r="AW490" s="15"/>
      <c r="AX490" s="15"/>
      <c r="AZ490" s="15"/>
      <c r="BP490" s="190"/>
    </row>
    <row r="491" spans="2:68" x14ac:dyDescent="0.25">
      <c r="B491" s="98" t="s">
        <v>112</v>
      </c>
      <c r="C491" s="98">
        <v>2014</v>
      </c>
      <c r="D491" s="98" t="s">
        <v>342</v>
      </c>
      <c r="E491" s="98" t="s">
        <v>11</v>
      </c>
      <c r="F491" s="98" t="s">
        <v>131</v>
      </c>
      <c r="G491" s="98">
        <v>219944.83</v>
      </c>
      <c r="H491" s="299" t="str">
        <f>VLOOKUP(LEFT('Rev Adequacy'!D491,3),'Mapping B'!$D$2:$E$400,2,0)</f>
        <v>N</v>
      </c>
      <c r="J491" s="91" t="s">
        <v>91</v>
      </c>
      <c r="K491" s="91" t="s">
        <v>426</v>
      </c>
      <c r="L491" s="91" t="s">
        <v>541</v>
      </c>
      <c r="O491" s="100">
        <f>SUM(O492:O569)</f>
        <v>0</v>
      </c>
      <c r="P491" s="100">
        <f t="shared" ref="P491:AA491" si="150">SUM(P492:P569)</f>
        <v>0</v>
      </c>
      <c r="Q491" s="100">
        <f t="shared" si="150"/>
        <v>0</v>
      </c>
      <c r="R491" s="100">
        <f t="shared" si="150"/>
        <v>0</v>
      </c>
      <c r="S491" s="100">
        <f t="shared" si="150"/>
        <v>9028.014348255776</v>
      </c>
      <c r="T491" s="100">
        <f t="shared" si="150"/>
        <v>8551.3078617758656</v>
      </c>
      <c r="U491" s="100">
        <f t="shared" si="150"/>
        <v>0</v>
      </c>
      <c r="V491" s="100">
        <f t="shared" si="150"/>
        <v>21033.033745295681</v>
      </c>
      <c r="W491" s="100">
        <f t="shared" si="150"/>
        <v>0</v>
      </c>
      <c r="X491" s="100">
        <f t="shared" si="150"/>
        <v>0</v>
      </c>
      <c r="Y491" s="100">
        <f t="shared" si="150"/>
        <v>0</v>
      </c>
      <c r="Z491" s="100">
        <f t="shared" si="150"/>
        <v>0</v>
      </c>
      <c r="AA491" s="100">
        <f t="shared" si="150"/>
        <v>0</v>
      </c>
      <c r="AF491" s="155" t="str">
        <f t="shared" si="148"/>
        <v>generatoroffer_code</v>
      </c>
      <c r="AG491" s="91" t="s">
        <v>91</v>
      </c>
      <c r="AH491" s="91" t="s">
        <v>426</v>
      </c>
      <c r="AI491" s="91" t="s">
        <v>541</v>
      </c>
      <c r="AJ491" s="292"/>
      <c r="AK491" s="15"/>
      <c r="AL491" s="15"/>
      <c r="AM491" s="15"/>
      <c r="AN491" s="7"/>
      <c r="AO491" s="7"/>
      <c r="AP491" s="7"/>
      <c r="AQ491" s="7"/>
      <c r="AR491" s="7"/>
      <c r="AS491" s="7"/>
      <c r="AT491" s="7"/>
      <c r="AU491" s="7"/>
      <c r="AV491" s="7"/>
      <c r="AW491" s="15"/>
      <c r="AX491" s="15"/>
      <c r="AZ491" s="15"/>
      <c r="BP491" s="190"/>
    </row>
    <row r="492" spans="2:68" x14ac:dyDescent="0.25">
      <c r="B492" s="98" t="s">
        <v>112</v>
      </c>
      <c r="C492" s="98">
        <v>2014</v>
      </c>
      <c r="D492" s="98" t="s">
        <v>364</v>
      </c>
      <c r="E492" s="98" t="s">
        <v>11</v>
      </c>
      <c r="F492" s="98" t="s">
        <v>131</v>
      </c>
      <c r="G492" s="98">
        <v>1784741.49699999</v>
      </c>
      <c r="H492" s="299" t="str">
        <f>VLOOKUP(LEFT('Rev Adequacy'!D492,3),'Mapping B'!$D$2:$E$400,2,0)</f>
        <v>N</v>
      </c>
      <c r="J492" t="s">
        <v>135</v>
      </c>
      <c r="K492" s="15" t="s">
        <v>17</v>
      </c>
      <c r="L492">
        <v>283.76828401230398</v>
      </c>
      <c r="O492" s="15">
        <f>_xlfn.IFNA(IF(VLOOKUP($J492&amp;O$12,'Mapping A'!$A$6:$G$1011,7,0)=1,$L492,""),0)</f>
        <v>0</v>
      </c>
      <c r="P492" s="15">
        <f>_xlfn.IFNA(IF(VLOOKUP($J492&amp;P$12,'Mapping A'!$A$6:$G$1011,7,0)=1,$L492,""),0)</f>
        <v>0</v>
      </c>
      <c r="Q492" s="15">
        <f>_xlfn.IFNA(IF(VLOOKUP($J492&amp;Q$12,'Mapping A'!$A$6:$G$1011,7,0)=1,$L492,""),0)</f>
        <v>0</v>
      </c>
      <c r="R492" s="15">
        <f>_xlfn.IFNA(IF(VLOOKUP($J492&amp;R$12,'Mapping A'!$A$6:$G$1011,7,0)=1,$L492,""),0)</f>
        <v>0</v>
      </c>
      <c r="S492" s="15">
        <f>_xlfn.IFNA(IF(VLOOKUP($J492&amp;S$12,'Mapping A'!$A$6:$G$1011,7,0)=1,$L492,""),0)</f>
        <v>0</v>
      </c>
      <c r="T492" s="15">
        <f>_xlfn.IFNA(IF(VLOOKUP($J492&amp;T$12,'Mapping A'!$A$6:$G$1011,7,0)=1,$L492,""),0)</f>
        <v>283.76828401230398</v>
      </c>
      <c r="U492" s="15">
        <f>_xlfn.IFNA(IF(VLOOKUP($J492&amp;U$12,'Mapping A'!$A$6:$G$1011,7,0)=1,$L492,""),0)</f>
        <v>0</v>
      </c>
      <c r="V492" s="15">
        <f>_xlfn.IFNA(IF(VLOOKUP($J492&amp;V$12,'Mapping A'!$A$6:$G$1011,7,0)=1,$L492,""),0)</f>
        <v>283.76828401230398</v>
      </c>
      <c r="W492" s="15">
        <f>_xlfn.IFNA(IF(VLOOKUP($J492&amp;W$12,'Mapping A'!$A$6:$G$1011,7,0)=1,$L492,""),0)</f>
        <v>0</v>
      </c>
      <c r="X492" s="15">
        <f>_xlfn.IFNA(IF(VLOOKUP($J492&amp;X$12,'Mapping A'!$A$6:$G$1011,7,0)=1,$L492,""),0)</f>
        <v>0</v>
      </c>
      <c r="Y492" s="15">
        <f>_xlfn.IFNA(IF(VLOOKUP($J492&amp;Y$12,'Mapping A'!$A$6:$G$1011,7,0)=1,$L492,""),0)</f>
        <v>0</v>
      </c>
      <c r="Z492" s="15">
        <f>_xlfn.IFNA(IF(VLOOKUP($J492&amp;Z$12,'Mapping A'!$A$6:$G$1011,7,0)=1,$L492,""),0)</f>
        <v>0</v>
      </c>
      <c r="AA492" s="15">
        <f>_xlfn.IFNA(IF(VLOOKUP($J492&amp;AA$12,'Mapping A'!$A$6:$G$1011,7,0)=1,$L492,""),0)</f>
        <v>0</v>
      </c>
      <c r="AF492" s="155" t="str">
        <f t="shared" si="148"/>
        <v>ARA2201 ARA0MRP</v>
      </c>
      <c r="AG492" s="15" t="s">
        <v>135</v>
      </c>
      <c r="AH492" s="15" t="s">
        <v>17</v>
      </c>
      <c r="AI492" s="15">
        <v>283.76828401230398</v>
      </c>
      <c r="AJ492" s="292" t="s">
        <v>95</v>
      </c>
      <c r="AK492" s="15"/>
      <c r="AL492" s="15">
        <f t="shared" ref="AL492:AL523" si="151">IF(O$491=0,0,(O$13*O$7*O492/O$491))</f>
        <v>0</v>
      </c>
      <c r="AM492" s="15">
        <f t="shared" ref="AM492:AM523" si="152">IF(P$491=0,0,(P$13*P$7*P492/P$491))</f>
        <v>0</v>
      </c>
      <c r="AN492" s="15">
        <f t="shared" ref="AN492:AN523" si="153">IF(Q$491=0,0,(Q$13*Q$7*Q492/Q$491))</f>
        <v>0</v>
      </c>
      <c r="AO492" s="15">
        <f t="shared" ref="AO492:AO523" si="154">IF(R$491=0,0,(R$13*R$7*R492/R$491))</f>
        <v>0</v>
      </c>
      <c r="AP492" s="15">
        <f t="shared" ref="AP492:AP523" si="155">IF(S$491=0,0,(S$13*S$7*S492/S$491))</f>
        <v>0</v>
      </c>
      <c r="AQ492" s="15">
        <f t="shared" ref="AQ492" ca="1" si="156">IF(T$491=0,0,(T$13*T$7*T492/T$491))</f>
        <v>0</v>
      </c>
      <c r="AR492" s="190">
        <f t="shared" ref="AR492" si="157">IF(U$491=0,0,(U$13*U$7*U492/U$491))</f>
        <v>0</v>
      </c>
      <c r="AS492" s="190">
        <f t="shared" ref="AS492" ca="1" si="158">IF(V$491=0,0,(V$13*V$7*V492/V$491))</f>
        <v>3.7365111476286475E-2</v>
      </c>
      <c r="AT492" s="190">
        <f t="shared" ref="AT492" si="159">IF(W$491=0,0,(W$13*W$7*W492/W$491))</f>
        <v>0</v>
      </c>
      <c r="AU492" s="190">
        <f t="shared" ref="AU492" si="160">IF(X$491=0,0,(X$13*X$7*X492/X$491))</f>
        <v>0</v>
      </c>
      <c r="AV492" s="190">
        <f t="shared" ref="AV492" si="161">IF(Y$491=0,0,(Y$13*Y$7*Y492/Y$491))</f>
        <v>0</v>
      </c>
      <c r="AW492" s="190">
        <f t="shared" ref="AW492" si="162">IF(Z$491=0,0,(Z$13*Z$7*Z492/Z$491))</f>
        <v>0</v>
      </c>
      <c r="AX492" s="190">
        <f t="shared" ref="AX492" si="163">IF(AA$491=0,0,(AA$13*AA$7*AA492/AA$491))</f>
        <v>0</v>
      </c>
      <c r="AZ492" s="15"/>
      <c r="BP492" s="190"/>
    </row>
    <row r="493" spans="2:68" x14ac:dyDescent="0.25">
      <c r="B493" s="98" t="s">
        <v>111</v>
      </c>
      <c r="C493" s="98">
        <v>2014</v>
      </c>
      <c r="D493" s="98" t="s">
        <v>182</v>
      </c>
      <c r="E493" s="98" t="s">
        <v>11</v>
      </c>
      <c r="F493" s="98" t="s">
        <v>131</v>
      </c>
      <c r="G493" s="98">
        <v>3034682.0809999998</v>
      </c>
      <c r="H493" s="299" t="str">
        <f>VLOOKUP(LEFT('Rev Adequacy'!D493,3),'Mapping B'!$D$2:$E$400,2,0)</f>
        <v>N</v>
      </c>
      <c r="J493" t="s">
        <v>139</v>
      </c>
      <c r="K493" s="15" t="s">
        <v>35</v>
      </c>
      <c r="L493">
        <v>47.561210994330203</v>
      </c>
      <c r="O493" s="15">
        <f>_xlfn.IFNA(IF(VLOOKUP($J493&amp;O$12,'Mapping A'!$A$6:$G$1011,7,0)=1,$L493,""),0)</f>
        <v>0</v>
      </c>
      <c r="P493" s="15">
        <f>_xlfn.IFNA(IF(VLOOKUP($J493&amp;P$12,'Mapping A'!$A$6:$G$1011,7,0)=1,$L493,""),0)</f>
        <v>0</v>
      </c>
      <c r="Q493" s="15">
        <f>_xlfn.IFNA(IF(VLOOKUP($J493&amp;Q$12,'Mapping A'!$A$6:$G$1011,7,0)=1,$L493,""),0)</f>
        <v>0</v>
      </c>
      <c r="R493" s="15">
        <f>_xlfn.IFNA(IF(VLOOKUP($J493&amp;R$12,'Mapping A'!$A$6:$G$1011,7,0)=1,$L493,""),0)</f>
        <v>0</v>
      </c>
      <c r="S493" s="15">
        <f>_xlfn.IFNA(IF(VLOOKUP($J493&amp;S$12,'Mapping A'!$A$6:$G$1011,7,0)=1,$L493,""),0)</f>
        <v>0</v>
      </c>
      <c r="T493" s="15">
        <f>_xlfn.IFNA(IF(VLOOKUP($J493&amp;T$12,'Mapping A'!$A$6:$G$1011,7,0)=1,$L493,""),0)</f>
        <v>0</v>
      </c>
      <c r="U493" s="15">
        <f>_xlfn.IFNA(IF(VLOOKUP($J493&amp;U$12,'Mapping A'!$A$6:$G$1011,7,0)=1,$L493,""),0)</f>
        <v>0</v>
      </c>
      <c r="V493" s="15">
        <f>_xlfn.IFNA(IF(VLOOKUP($J493&amp;V$12,'Mapping A'!$A$6:$G$1011,7,0)=1,$L493,""),0)</f>
        <v>0</v>
      </c>
      <c r="W493" s="15">
        <f>_xlfn.IFNA(IF(VLOOKUP($J493&amp;W$12,'Mapping A'!$A$6:$G$1011,7,0)=1,$L493,""),0)</f>
        <v>0</v>
      </c>
      <c r="X493" s="15">
        <f>_xlfn.IFNA(IF(VLOOKUP($J493&amp;X$12,'Mapping A'!$A$6:$G$1011,7,0)=1,$L493,""),0)</f>
        <v>0</v>
      </c>
      <c r="Y493" s="15">
        <f>_xlfn.IFNA(IF(VLOOKUP($J493&amp;Y$12,'Mapping A'!$A$6:$G$1011,7,0)=1,$L493,""),0)</f>
        <v>0</v>
      </c>
      <c r="Z493" s="15">
        <f>_xlfn.IFNA(IF(VLOOKUP($J493&amp;Z$12,'Mapping A'!$A$6:$G$1011,7,0)=1,$L493,""),0)</f>
        <v>0</v>
      </c>
      <c r="AA493" s="15">
        <f>_xlfn.IFNA(IF(VLOOKUP($J493&amp;AA$12,'Mapping A'!$A$6:$G$1011,7,0)=1,$L493,""),0)</f>
        <v>0</v>
      </c>
      <c r="AF493" s="155" t="str">
        <f t="shared" si="148"/>
        <v>ARG1101 BRR0Trustpower</v>
      </c>
      <c r="AG493" s="15" t="s">
        <v>139</v>
      </c>
      <c r="AH493" s="15" t="s">
        <v>35</v>
      </c>
      <c r="AI493" s="15">
        <v>47.561210994330203</v>
      </c>
      <c r="AJ493" s="292" t="s">
        <v>96</v>
      </c>
      <c r="AK493" s="15"/>
      <c r="AL493" s="15">
        <f t="shared" si="151"/>
        <v>0</v>
      </c>
      <c r="AM493" s="15">
        <f t="shared" si="152"/>
        <v>0</v>
      </c>
      <c r="AN493" s="15">
        <f t="shared" si="153"/>
        <v>0</v>
      </c>
      <c r="AO493" s="15">
        <f t="shared" si="154"/>
        <v>0</v>
      </c>
      <c r="AP493" s="15">
        <f t="shared" si="155"/>
        <v>0</v>
      </c>
      <c r="AQ493" s="190">
        <f t="shared" ref="AQ493:AQ556" ca="1" si="164">IF(T$491=0,0,(T$13*T$7*T493/T$491))</f>
        <v>0</v>
      </c>
      <c r="AR493" s="190">
        <f t="shared" ref="AR493:AR556" si="165">IF(U$491=0,0,(U$13*U$7*U493/U$491))</f>
        <v>0</v>
      </c>
      <c r="AS493" s="190">
        <f t="shared" ref="AS493:AS556" ca="1" si="166">IF(V$491=0,0,(V$13*V$7*V493/V$491))</f>
        <v>0</v>
      </c>
      <c r="AT493" s="190">
        <f t="shared" ref="AT493:AT556" si="167">IF(W$491=0,0,(W$13*W$7*W493/W$491))</f>
        <v>0</v>
      </c>
      <c r="AU493" s="190">
        <f t="shared" ref="AU493:AU556" si="168">IF(X$491=0,0,(X$13*X$7*X493/X$491))</f>
        <v>0</v>
      </c>
      <c r="AV493" s="190">
        <f t="shared" ref="AV493:AV556" si="169">IF(Y$491=0,0,(Y$13*Y$7*Y493/Y$491))</f>
        <v>0</v>
      </c>
      <c r="AW493" s="190">
        <f t="shared" ref="AW493:AW556" si="170">IF(Z$491=0,0,(Z$13*Z$7*Z493/Z$491))</f>
        <v>0</v>
      </c>
      <c r="AX493" s="190">
        <f t="shared" ref="AX493:AX556" si="171">IF(AA$491=0,0,(AA$13*AA$7*AA493/AA$491))</f>
        <v>0</v>
      </c>
      <c r="AZ493" s="15"/>
      <c r="BP493" s="190"/>
    </row>
    <row r="494" spans="2:68" x14ac:dyDescent="0.25">
      <c r="B494" s="98" t="s">
        <v>111</v>
      </c>
      <c r="C494" s="98">
        <v>2014</v>
      </c>
      <c r="D494" s="98" t="s">
        <v>229</v>
      </c>
      <c r="E494" s="98" t="s">
        <v>11</v>
      </c>
      <c r="F494" s="98" t="s">
        <v>131</v>
      </c>
      <c r="G494" s="98">
        <v>765634.08400000003</v>
      </c>
      <c r="H494" s="299" t="str">
        <f>VLOOKUP(LEFT('Rev Adequacy'!D494,3),'Mapping B'!$D$2:$E$400,2,0)</f>
        <v>N</v>
      </c>
      <c r="J494" t="s">
        <v>140</v>
      </c>
      <c r="K494" s="15" t="s">
        <v>17</v>
      </c>
      <c r="L494">
        <v>380.99533295943502</v>
      </c>
      <c r="O494" s="15">
        <f>_xlfn.IFNA(IF(VLOOKUP($J494&amp;O$12,'Mapping A'!$A$6:$G$1011,7,0)=1,$L494,""),0)</f>
        <v>0</v>
      </c>
      <c r="P494" s="15">
        <f>_xlfn.IFNA(IF(VLOOKUP($J494&amp;P$12,'Mapping A'!$A$6:$G$1011,7,0)=1,$L494,""),0)</f>
        <v>0</v>
      </c>
      <c r="Q494" s="15">
        <f>_xlfn.IFNA(IF(VLOOKUP($J494&amp;Q$12,'Mapping A'!$A$6:$G$1011,7,0)=1,$L494,""),0)</f>
        <v>0</v>
      </c>
      <c r="R494" s="15">
        <f>_xlfn.IFNA(IF(VLOOKUP($J494&amp;R$12,'Mapping A'!$A$6:$G$1011,7,0)=1,$L494,""),0)</f>
        <v>0</v>
      </c>
      <c r="S494" s="15">
        <f>_xlfn.IFNA(IF(VLOOKUP($J494&amp;S$12,'Mapping A'!$A$6:$G$1011,7,0)=1,$L494,""),0)</f>
        <v>0</v>
      </c>
      <c r="T494" s="15">
        <f>_xlfn.IFNA(IF(VLOOKUP($J494&amp;T$12,'Mapping A'!$A$6:$G$1011,7,0)=1,$L494,""),0)</f>
        <v>0</v>
      </c>
      <c r="U494" s="15">
        <f>_xlfn.IFNA(IF(VLOOKUP($J494&amp;U$12,'Mapping A'!$A$6:$G$1011,7,0)=1,$L494,""),0)</f>
        <v>0</v>
      </c>
      <c r="V494" s="15">
        <f>_xlfn.IFNA(IF(VLOOKUP($J494&amp;V$12,'Mapping A'!$A$6:$G$1011,7,0)=1,$L494,""),0)</f>
        <v>380.99533295943502</v>
      </c>
      <c r="W494" s="15">
        <f>_xlfn.IFNA(IF(VLOOKUP($J494&amp;W$12,'Mapping A'!$A$6:$G$1011,7,0)=1,$L494,""),0)</f>
        <v>0</v>
      </c>
      <c r="X494" s="15">
        <f>_xlfn.IFNA(IF(VLOOKUP($J494&amp;X$12,'Mapping A'!$A$6:$G$1011,7,0)=1,$L494,""),0)</f>
        <v>0</v>
      </c>
      <c r="Y494" s="15">
        <f>_xlfn.IFNA(IF(VLOOKUP($J494&amp;Y$12,'Mapping A'!$A$6:$G$1011,7,0)=1,$L494,""),0)</f>
        <v>0</v>
      </c>
      <c r="Z494" s="15">
        <f>_xlfn.IFNA(IF(VLOOKUP($J494&amp;Z$12,'Mapping A'!$A$6:$G$1011,7,0)=1,$L494,""),0)</f>
        <v>0</v>
      </c>
      <c r="AA494" s="15">
        <f>_xlfn.IFNA(IF(VLOOKUP($J494&amp;AA$12,'Mapping A'!$A$6:$G$1011,7,0)=1,$L494,""),0)</f>
        <v>0</v>
      </c>
      <c r="AF494" s="155" t="str">
        <f t="shared" si="148"/>
        <v>ARI1101 ARI0MRP</v>
      </c>
      <c r="AG494" s="15" t="s">
        <v>140</v>
      </c>
      <c r="AH494" s="15" t="s">
        <v>17</v>
      </c>
      <c r="AI494" s="15">
        <v>380.99533295943502</v>
      </c>
      <c r="AJ494" s="292" t="s">
        <v>95</v>
      </c>
      <c r="AK494" s="15"/>
      <c r="AL494" s="15">
        <f t="shared" si="151"/>
        <v>0</v>
      </c>
      <c r="AM494" s="15">
        <f t="shared" si="152"/>
        <v>0</v>
      </c>
      <c r="AN494" s="15">
        <f t="shared" si="153"/>
        <v>0</v>
      </c>
      <c r="AO494" s="15">
        <f t="shared" si="154"/>
        <v>0</v>
      </c>
      <c r="AP494" s="15">
        <f t="shared" si="155"/>
        <v>0</v>
      </c>
      <c r="AQ494" s="190">
        <f t="shared" ca="1" si="164"/>
        <v>0</v>
      </c>
      <c r="AR494" s="190">
        <f t="shared" si="165"/>
        <v>0</v>
      </c>
      <c r="AS494" s="190">
        <f t="shared" ca="1" si="166"/>
        <v>5.0167456654024493E-2</v>
      </c>
      <c r="AT494" s="190">
        <f t="shared" si="167"/>
        <v>0</v>
      </c>
      <c r="AU494" s="190">
        <f t="shared" si="168"/>
        <v>0</v>
      </c>
      <c r="AV494" s="190">
        <f t="shared" si="169"/>
        <v>0</v>
      </c>
      <c r="AW494" s="190">
        <f t="shared" si="170"/>
        <v>0</v>
      </c>
      <c r="AX494" s="190">
        <f t="shared" si="171"/>
        <v>0</v>
      </c>
      <c r="AZ494" s="15"/>
      <c r="BP494" s="190"/>
    </row>
    <row r="495" spans="2:68" x14ac:dyDescent="0.25">
      <c r="B495" s="98" t="s">
        <v>111</v>
      </c>
      <c r="C495" s="98">
        <v>2014</v>
      </c>
      <c r="D495" s="98" t="s">
        <v>342</v>
      </c>
      <c r="E495" s="98" t="s">
        <v>11</v>
      </c>
      <c r="F495" s="98" t="s">
        <v>131</v>
      </c>
      <c r="G495" s="98">
        <v>58231.726000000002</v>
      </c>
      <c r="H495" s="299" t="str">
        <f>VLOOKUP(LEFT('Rev Adequacy'!D495,3),'Mapping B'!$D$2:$E$400,2,0)</f>
        <v>N</v>
      </c>
      <c r="J495" t="s">
        <v>141</v>
      </c>
      <c r="K495" s="15" t="s">
        <v>17</v>
      </c>
      <c r="L495">
        <v>349.40184219352801</v>
      </c>
      <c r="O495" s="15">
        <f>_xlfn.IFNA(IF(VLOOKUP($J495&amp;O$12,'Mapping A'!$A$6:$G$1011,7,0)=1,$L495,""),0)</f>
        <v>0</v>
      </c>
      <c r="P495" s="15">
        <f>_xlfn.IFNA(IF(VLOOKUP($J495&amp;P$12,'Mapping A'!$A$6:$G$1011,7,0)=1,$L495,""),0)</f>
        <v>0</v>
      </c>
      <c r="Q495" s="15">
        <f>_xlfn.IFNA(IF(VLOOKUP($J495&amp;Q$12,'Mapping A'!$A$6:$G$1011,7,0)=1,$L495,""),0)</f>
        <v>0</v>
      </c>
      <c r="R495" s="15">
        <f>_xlfn.IFNA(IF(VLOOKUP($J495&amp;R$12,'Mapping A'!$A$6:$G$1011,7,0)=1,$L495,""),0)</f>
        <v>0</v>
      </c>
      <c r="S495" s="15">
        <f>_xlfn.IFNA(IF(VLOOKUP($J495&amp;S$12,'Mapping A'!$A$6:$G$1011,7,0)=1,$L495,""),0)</f>
        <v>0</v>
      </c>
      <c r="T495" s="15">
        <f>_xlfn.IFNA(IF(VLOOKUP($J495&amp;T$12,'Mapping A'!$A$6:$G$1011,7,0)=1,$L495,""),0)</f>
        <v>0</v>
      </c>
      <c r="U495" s="15">
        <f>_xlfn.IFNA(IF(VLOOKUP($J495&amp;U$12,'Mapping A'!$A$6:$G$1011,7,0)=1,$L495,""),0)</f>
        <v>0</v>
      </c>
      <c r="V495" s="15">
        <f>_xlfn.IFNA(IF(VLOOKUP($J495&amp;V$12,'Mapping A'!$A$6:$G$1011,7,0)=1,$L495,""),0)</f>
        <v>349.40184219352801</v>
      </c>
      <c r="W495" s="15">
        <f>_xlfn.IFNA(IF(VLOOKUP($J495&amp;W$12,'Mapping A'!$A$6:$G$1011,7,0)=1,$L495,""),0)</f>
        <v>0</v>
      </c>
      <c r="X495" s="15">
        <f>_xlfn.IFNA(IF(VLOOKUP($J495&amp;X$12,'Mapping A'!$A$6:$G$1011,7,0)=1,$L495,""),0)</f>
        <v>0</v>
      </c>
      <c r="Y495" s="15">
        <f>_xlfn.IFNA(IF(VLOOKUP($J495&amp;Y$12,'Mapping A'!$A$6:$G$1011,7,0)=1,$L495,""),0)</f>
        <v>0</v>
      </c>
      <c r="Z495" s="15">
        <f>_xlfn.IFNA(IF(VLOOKUP($J495&amp;Z$12,'Mapping A'!$A$6:$G$1011,7,0)=1,$L495,""),0)</f>
        <v>0</v>
      </c>
      <c r="AA495" s="15">
        <f>_xlfn.IFNA(IF(VLOOKUP($J495&amp;AA$12,'Mapping A'!$A$6:$G$1011,7,0)=1,$L495,""),0)</f>
        <v>0</v>
      </c>
      <c r="AF495" s="155" t="str">
        <f t="shared" si="148"/>
        <v>ARI1102 ARI0MRP</v>
      </c>
      <c r="AG495" s="15" t="s">
        <v>141</v>
      </c>
      <c r="AH495" s="15" t="s">
        <v>17</v>
      </c>
      <c r="AI495" s="15">
        <v>349.40184219352801</v>
      </c>
      <c r="AJ495" s="292" t="s">
        <v>95</v>
      </c>
      <c r="AK495" s="15"/>
      <c r="AL495" s="15">
        <f t="shared" si="151"/>
        <v>0</v>
      </c>
      <c r="AM495" s="15">
        <f t="shared" si="152"/>
        <v>0</v>
      </c>
      <c r="AN495" s="15">
        <f t="shared" si="153"/>
        <v>0</v>
      </c>
      <c r="AO495" s="15">
        <f t="shared" si="154"/>
        <v>0</v>
      </c>
      <c r="AP495" s="15">
        <f t="shared" si="155"/>
        <v>0</v>
      </c>
      <c r="AQ495" s="190">
        <f t="shared" ca="1" si="164"/>
        <v>0</v>
      </c>
      <c r="AR495" s="190">
        <f t="shared" si="165"/>
        <v>0</v>
      </c>
      <c r="AS495" s="190">
        <f t="shared" ca="1" si="166"/>
        <v>4.6007392366001536E-2</v>
      </c>
      <c r="AT495" s="190">
        <f t="shared" si="167"/>
        <v>0</v>
      </c>
      <c r="AU495" s="190">
        <f t="shared" si="168"/>
        <v>0</v>
      </c>
      <c r="AV495" s="190">
        <f t="shared" si="169"/>
        <v>0</v>
      </c>
      <c r="AW495" s="190">
        <f t="shared" si="170"/>
        <v>0</v>
      </c>
      <c r="AX495" s="190">
        <f t="shared" si="171"/>
        <v>0</v>
      </c>
      <c r="AZ495" s="15"/>
      <c r="BP495" s="190"/>
    </row>
    <row r="496" spans="2:68" x14ac:dyDescent="0.25">
      <c r="B496" s="98" t="s">
        <v>111</v>
      </c>
      <c r="C496" s="98">
        <v>2014</v>
      </c>
      <c r="D496" s="98" t="s">
        <v>364</v>
      </c>
      <c r="E496" s="98" t="s">
        <v>11</v>
      </c>
      <c r="F496" s="98" t="s">
        <v>131</v>
      </c>
      <c r="G496" s="98">
        <v>476052.29399999802</v>
      </c>
      <c r="H496" s="299" t="str">
        <f>VLOOKUP(LEFT('Rev Adequacy'!D496,3),'Mapping B'!$D$2:$E$400,2,0)</f>
        <v>N</v>
      </c>
      <c r="J496" t="s">
        <v>144</v>
      </c>
      <c r="K496" s="15" t="s">
        <v>35</v>
      </c>
      <c r="L496">
        <v>108.04398653577699</v>
      </c>
      <c r="O496" s="15">
        <f>_xlfn.IFNA(IF(VLOOKUP($J496&amp;O$12,'Mapping A'!$A$6:$G$1011,7,0)=1,$L496,""),0)</f>
        <v>0</v>
      </c>
      <c r="P496" s="15">
        <f>_xlfn.IFNA(IF(VLOOKUP($J496&amp;P$12,'Mapping A'!$A$6:$G$1011,7,0)=1,$L496,""),0)</f>
        <v>0</v>
      </c>
      <c r="Q496" s="15">
        <f>_xlfn.IFNA(IF(VLOOKUP($J496&amp;Q$12,'Mapping A'!$A$6:$G$1011,7,0)=1,$L496,""),0)</f>
        <v>0</v>
      </c>
      <c r="R496" s="15">
        <f>_xlfn.IFNA(IF(VLOOKUP($J496&amp;R$12,'Mapping A'!$A$6:$G$1011,7,0)=1,$L496,""),0)</f>
        <v>0</v>
      </c>
      <c r="S496" s="15">
        <f>_xlfn.IFNA(IF(VLOOKUP($J496&amp;S$12,'Mapping A'!$A$6:$G$1011,7,0)=1,$L496,""),0)</f>
        <v>0</v>
      </c>
      <c r="T496" s="15">
        <f>_xlfn.IFNA(IF(VLOOKUP($J496&amp;T$12,'Mapping A'!$A$6:$G$1011,7,0)=1,$L496,""),0)</f>
        <v>0</v>
      </c>
      <c r="U496" s="15">
        <f>_xlfn.IFNA(IF(VLOOKUP($J496&amp;U$12,'Mapping A'!$A$6:$G$1011,7,0)=1,$L496,""),0)</f>
        <v>0</v>
      </c>
      <c r="V496" s="15">
        <f>_xlfn.IFNA(IF(VLOOKUP($J496&amp;V$12,'Mapping A'!$A$6:$G$1011,7,0)=1,$L496,""),0)</f>
        <v>0</v>
      </c>
      <c r="W496" s="15">
        <f>_xlfn.IFNA(IF(VLOOKUP($J496&amp;W$12,'Mapping A'!$A$6:$G$1011,7,0)=1,$L496,""),0)</f>
        <v>0</v>
      </c>
      <c r="X496" s="15">
        <f>_xlfn.IFNA(IF(VLOOKUP($J496&amp;X$12,'Mapping A'!$A$6:$G$1011,7,0)=1,$L496,""),0)</f>
        <v>0</v>
      </c>
      <c r="Y496" s="15">
        <f>_xlfn.IFNA(IF(VLOOKUP($J496&amp;Y$12,'Mapping A'!$A$6:$G$1011,7,0)=1,$L496,""),0)</f>
        <v>0</v>
      </c>
      <c r="Z496" s="15">
        <f>_xlfn.IFNA(IF(VLOOKUP($J496&amp;Z$12,'Mapping A'!$A$6:$G$1011,7,0)=1,$L496,""),0)</f>
        <v>0</v>
      </c>
      <c r="AA496" s="15">
        <f>_xlfn.IFNA(IF(VLOOKUP($J496&amp;AA$12,'Mapping A'!$A$6:$G$1011,7,0)=1,$L496,""),0)</f>
        <v>0</v>
      </c>
      <c r="AF496" s="155" t="str">
        <f t="shared" si="148"/>
        <v>ASB0661 HBK0Trustpower</v>
      </c>
      <c r="AG496" s="15" t="s">
        <v>144</v>
      </c>
      <c r="AH496" s="15" t="s">
        <v>35</v>
      </c>
      <c r="AI496" s="15">
        <v>108.04398653577699</v>
      </c>
      <c r="AJ496" s="292" t="s">
        <v>96</v>
      </c>
      <c r="AK496" s="15"/>
      <c r="AL496" s="15">
        <f t="shared" si="151"/>
        <v>0</v>
      </c>
      <c r="AM496" s="15">
        <f t="shared" si="152"/>
        <v>0</v>
      </c>
      <c r="AN496" s="15">
        <f t="shared" si="153"/>
        <v>0</v>
      </c>
      <c r="AO496" s="15">
        <f t="shared" si="154"/>
        <v>0</v>
      </c>
      <c r="AP496" s="15">
        <f t="shared" si="155"/>
        <v>0</v>
      </c>
      <c r="AQ496" s="190">
        <f t="shared" ca="1" si="164"/>
        <v>0</v>
      </c>
      <c r="AR496" s="190">
        <f t="shared" si="165"/>
        <v>0</v>
      </c>
      <c r="AS496" s="190">
        <f t="shared" ca="1" si="166"/>
        <v>0</v>
      </c>
      <c r="AT496" s="190">
        <f t="shared" si="167"/>
        <v>0</v>
      </c>
      <c r="AU496" s="190">
        <f t="shared" si="168"/>
        <v>0</v>
      </c>
      <c r="AV496" s="190">
        <f t="shared" si="169"/>
        <v>0</v>
      </c>
      <c r="AW496" s="190">
        <f t="shared" si="170"/>
        <v>0</v>
      </c>
      <c r="AX496" s="190">
        <f t="shared" si="171"/>
        <v>0</v>
      </c>
      <c r="AZ496" s="15"/>
      <c r="BP496" s="190"/>
    </row>
    <row r="497" spans="2:68" x14ac:dyDescent="0.25">
      <c r="B497" s="98" t="s">
        <v>552</v>
      </c>
      <c r="C497" s="98">
        <v>2014</v>
      </c>
      <c r="D497" s="98" t="s">
        <v>159</v>
      </c>
      <c r="E497" s="98" t="s">
        <v>51</v>
      </c>
      <c r="F497" s="98" t="s">
        <v>131</v>
      </c>
      <c r="G497" s="248">
        <v>224.16000000000099</v>
      </c>
      <c r="H497" s="299" t="str">
        <f>VLOOKUP(LEFT('Rev Adequacy'!D497,3),'Mapping B'!$D$2:$E$400,2,0)</f>
        <v>N</v>
      </c>
      <c r="J497" t="s">
        <v>147</v>
      </c>
      <c r="K497" s="15" t="s">
        <v>17</v>
      </c>
      <c r="L497">
        <v>242.006416005147</v>
      </c>
      <c r="O497" s="15">
        <f>_xlfn.IFNA(IF(VLOOKUP($J497&amp;O$12,'Mapping A'!$A$6:$G$1011,7,0)=1,$L497,""),0)</f>
        <v>0</v>
      </c>
      <c r="P497" s="15">
        <f>_xlfn.IFNA(IF(VLOOKUP($J497&amp;P$12,'Mapping A'!$A$6:$G$1011,7,0)=1,$L497,""),0)</f>
        <v>0</v>
      </c>
      <c r="Q497" s="15">
        <f>_xlfn.IFNA(IF(VLOOKUP($J497&amp;Q$12,'Mapping A'!$A$6:$G$1011,7,0)=1,$L497,""),0)</f>
        <v>0</v>
      </c>
      <c r="R497" s="15">
        <f>_xlfn.IFNA(IF(VLOOKUP($J497&amp;R$12,'Mapping A'!$A$6:$G$1011,7,0)=1,$L497,""),0)</f>
        <v>0</v>
      </c>
      <c r="S497" s="15">
        <f>_xlfn.IFNA(IF(VLOOKUP($J497&amp;S$12,'Mapping A'!$A$6:$G$1011,7,0)=1,$L497,""),0)</f>
        <v>0</v>
      </c>
      <c r="T497" s="15">
        <f>_xlfn.IFNA(IF(VLOOKUP($J497&amp;T$12,'Mapping A'!$A$6:$G$1011,7,0)=1,$L497,""),0)</f>
        <v>242.006416005147</v>
      </c>
      <c r="U497" s="15">
        <f>_xlfn.IFNA(IF(VLOOKUP($J497&amp;U$12,'Mapping A'!$A$6:$G$1011,7,0)=1,$L497,""),0)</f>
        <v>0</v>
      </c>
      <c r="V497" s="15">
        <f>_xlfn.IFNA(IF(VLOOKUP($J497&amp;V$12,'Mapping A'!$A$6:$G$1011,7,0)=1,$L497,""),0)</f>
        <v>242.006416005147</v>
      </c>
      <c r="W497" s="15">
        <f>_xlfn.IFNA(IF(VLOOKUP($J497&amp;W$12,'Mapping A'!$A$6:$G$1011,7,0)=1,$L497,""),0)</f>
        <v>0</v>
      </c>
      <c r="X497" s="15">
        <f>_xlfn.IFNA(IF(VLOOKUP($J497&amp;X$12,'Mapping A'!$A$6:$G$1011,7,0)=1,$L497,""),0)</f>
        <v>0</v>
      </c>
      <c r="Y497" s="15">
        <f>_xlfn.IFNA(IF(VLOOKUP($J497&amp;Y$12,'Mapping A'!$A$6:$G$1011,7,0)=1,$L497,""),0)</f>
        <v>0</v>
      </c>
      <c r="Z497" s="15">
        <f>_xlfn.IFNA(IF(VLOOKUP($J497&amp;Z$12,'Mapping A'!$A$6:$G$1011,7,0)=1,$L497,""),0)</f>
        <v>0</v>
      </c>
      <c r="AA497" s="15">
        <f>_xlfn.IFNA(IF(VLOOKUP($J497&amp;AA$12,'Mapping A'!$A$6:$G$1011,7,0)=1,$L497,""),0)</f>
        <v>0</v>
      </c>
      <c r="AF497" s="155" t="str">
        <f t="shared" si="148"/>
        <v>ATI2201 ATI0MRP</v>
      </c>
      <c r="AG497" s="15" t="s">
        <v>147</v>
      </c>
      <c r="AH497" s="15" t="s">
        <v>17</v>
      </c>
      <c r="AI497" s="15">
        <v>242.006416005147</v>
      </c>
      <c r="AJ497" s="292" t="s">
        <v>95</v>
      </c>
      <c r="AK497" s="15"/>
      <c r="AL497" s="15">
        <f t="shared" si="151"/>
        <v>0</v>
      </c>
      <c r="AM497" s="15">
        <f t="shared" si="152"/>
        <v>0</v>
      </c>
      <c r="AN497" s="15">
        <f t="shared" si="153"/>
        <v>0</v>
      </c>
      <c r="AO497" s="15">
        <f t="shared" si="154"/>
        <v>0</v>
      </c>
      <c r="AP497" s="15">
        <f t="shared" si="155"/>
        <v>0</v>
      </c>
      <c r="AQ497" s="190">
        <f t="shared" ca="1" si="164"/>
        <v>0</v>
      </c>
      <c r="AR497" s="190">
        <f t="shared" si="165"/>
        <v>0</v>
      </c>
      <c r="AS497" s="190">
        <f t="shared" ca="1" si="166"/>
        <v>3.1866128885696038E-2</v>
      </c>
      <c r="AT497" s="190">
        <f t="shared" si="167"/>
        <v>0</v>
      </c>
      <c r="AU497" s="190">
        <f t="shared" si="168"/>
        <v>0</v>
      </c>
      <c r="AV497" s="190">
        <f t="shared" si="169"/>
        <v>0</v>
      </c>
      <c r="AW497" s="190">
        <f t="shared" si="170"/>
        <v>0</v>
      </c>
      <c r="AX497" s="190">
        <f t="shared" si="171"/>
        <v>0</v>
      </c>
      <c r="AZ497" s="15"/>
      <c r="BP497" s="190"/>
    </row>
    <row r="498" spans="2:68" x14ac:dyDescent="0.25">
      <c r="B498" s="98" t="s">
        <v>552</v>
      </c>
      <c r="C498" s="98">
        <v>2014</v>
      </c>
      <c r="D498" s="98" t="s">
        <v>194</v>
      </c>
      <c r="E498" s="98" t="s">
        <v>51</v>
      </c>
      <c r="F498" s="98" t="s">
        <v>131</v>
      </c>
      <c r="G498" s="248">
        <v>23.604999999999102</v>
      </c>
      <c r="H498" s="299" t="str">
        <f>VLOOKUP(LEFT('Rev Adequacy'!D498,3),'Mapping B'!$D$2:$E$400,2,0)</f>
        <v>N</v>
      </c>
      <c r="J498" t="s">
        <v>149</v>
      </c>
      <c r="K498" s="15" t="s">
        <v>14</v>
      </c>
      <c r="L498">
        <v>1049.8555707458299</v>
      </c>
      <c r="O498" s="15">
        <f>_xlfn.IFNA(IF(VLOOKUP($J498&amp;O$12,'Mapping A'!$A$6:$G$1011,7,0)=1,$L498,""),0)</f>
        <v>0</v>
      </c>
      <c r="P498" s="15">
        <f>_xlfn.IFNA(IF(VLOOKUP($J498&amp;P$12,'Mapping A'!$A$6:$G$1011,7,0)=1,$L498,""),0)</f>
        <v>0</v>
      </c>
      <c r="Q498" s="15">
        <f>_xlfn.IFNA(IF(VLOOKUP($J498&amp;Q$12,'Mapping A'!$A$6:$G$1011,7,0)=1,$L498,""),0)</f>
        <v>0</v>
      </c>
      <c r="R498" s="15">
        <f>_xlfn.IFNA(IF(VLOOKUP($J498&amp;R$12,'Mapping A'!$A$6:$G$1011,7,0)=1,$L498,""),0)</f>
        <v>0</v>
      </c>
      <c r="S498" s="15">
        <f>_xlfn.IFNA(IF(VLOOKUP($J498&amp;S$12,'Mapping A'!$A$6:$G$1011,7,0)=1,$L498,""),0)</f>
        <v>0</v>
      </c>
      <c r="T498" s="15">
        <f>_xlfn.IFNA(IF(VLOOKUP($J498&amp;T$12,'Mapping A'!$A$6:$G$1011,7,0)=1,$L498,""),0)</f>
        <v>0</v>
      </c>
      <c r="U498" s="15">
        <f>_xlfn.IFNA(IF(VLOOKUP($J498&amp;U$12,'Mapping A'!$A$6:$G$1011,7,0)=1,$L498,""),0)</f>
        <v>0</v>
      </c>
      <c r="V498" s="15">
        <f>_xlfn.IFNA(IF(VLOOKUP($J498&amp;V$12,'Mapping A'!$A$6:$G$1011,7,0)=1,$L498,""),0)</f>
        <v>0</v>
      </c>
      <c r="W498" s="15">
        <f>_xlfn.IFNA(IF(VLOOKUP($J498&amp;W$12,'Mapping A'!$A$6:$G$1011,7,0)=1,$L498,""),0)</f>
        <v>0</v>
      </c>
      <c r="X498" s="15">
        <f>_xlfn.IFNA(IF(VLOOKUP($J498&amp;X$12,'Mapping A'!$A$6:$G$1011,7,0)=1,$L498,""),0)</f>
        <v>0</v>
      </c>
      <c r="Y498" s="15">
        <f>_xlfn.IFNA(IF(VLOOKUP($J498&amp;Y$12,'Mapping A'!$A$6:$G$1011,7,0)=1,$L498,""),0)</f>
        <v>0</v>
      </c>
      <c r="Z498" s="15">
        <f>_xlfn.IFNA(IF(VLOOKUP($J498&amp;Z$12,'Mapping A'!$A$6:$G$1011,7,0)=1,$L498,""),0)</f>
        <v>0</v>
      </c>
      <c r="AA498" s="15">
        <f>_xlfn.IFNA(IF(VLOOKUP($J498&amp;AA$12,'Mapping A'!$A$6:$G$1011,7,0)=1,$L498,""),0)</f>
        <v>0</v>
      </c>
      <c r="AF498" s="155" t="str">
        <f t="shared" si="148"/>
        <v>AVI2201 AVI0Meridian</v>
      </c>
      <c r="AG498" s="15" t="s">
        <v>149</v>
      </c>
      <c r="AH498" s="15" t="s">
        <v>14</v>
      </c>
      <c r="AI498" s="15">
        <v>1049.8555707458299</v>
      </c>
      <c r="AJ498" s="292" t="s">
        <v>96</v>
      </c>
      <c r="AK498" s="15"/>
      <c r="AL498" s="15">
        <f t="shared" si="151"/>
        <v>0</v>
      </c>
      <c r="AM498" s="15">
        <f t="shared" si="152"/>
        <v>0</v>
      </c>
      <c r="AN498" s="15">
        <f t="shared" si="153"/>
        <v>0</v>
      </c>
      <c r="AO498" s="15">
        <f t="shared" si="154"/>
        <v>0</v>
      </c>
      <c r="AP498" s="15">
        <f t="shared" si="155"/>
        <v>0</v>
      </c>
      <c r="AQ498" s="190">
        <f t="shared" ca="1" si="164"/>
        <v>0</v>
      </c>
      <c r="AR498" s="190">
        <f t="shared" si="165"/>
        <v>0</v>
      </c>
      <c r="AS498" s="190">
        <f t="shared" ca="1" si="166"/>
        <v>0</v>
      </c>
      <c r="AT498" s="190">
        <f t="shared" si="167"/>
        <v>0</v>
      </c>
      <c r="AU498" s="190">
        <f t="shared" si="168"/>
        <v>0</v>
      </c>
      <c r="AV498" s="190">
        <f t="shared" si="169"/>
        <v>0</v>
      </c>
      <c r="AW498" s="190">
        <f t="shared" si="170"/>
        <v>0</v>
      </c>
      <c r="AX498" s="190">
        <f t="shared" si="171"/>
        <v>0</v>
      </c>
      <c r="AZ498" s="15"/>
      <c r="BP498" s="190"/>
    </row>
    <row r="499" spans="2:68" x14ac:dyDescent="0.25">
      <c r="B499" s="98" t="s">
        <v>552</v>
      </c>
      <c r="C499" s="98">
        <v>2014</v>
      </c>
      <c r="D499" s="98" t="s">
        <v>299</v>
      </c>
      <c r="E499" s="98" t="s">
        <v>51</v>
      </c>
      <c r="F499" s="98" t="s">
        <v>131</v>
      </c>
      <c r="G499" s="248">
        <v>9.2999999999999805E-2</v>
      </c>
      <c r="H499" s="299" t="str">
        <f>VLOOKUP(LEFT('Rev Adequacy'!D499,3),'Mapping B'!$D$2:$E$400,2,0)</f>
        <v>N</v>
      </c>
      <c r="J499" t="s">
        <v>427</v>
      </c>
      <c r="K499" s="15" t="s">
        <v>14</v>
      </c>
      <c r="O499" s="15">
        <f>_xlfn.IFNA(IF(VLOOKUP($J499&amp;O$12,'Mapping A'!$A$6:$G$1011,7,0)=1,$L499,""),0)</f>
        <v>0</v>
      </c>
      <c r="P499" s="15">
        <f>_xlfn.IFNA(IF(VLOOKUP($J499&amp;P$12,'Mapping A'!$A$6:$G$1011,7,0)=1,$L499,""),0)</f>
        <v>0</v>
      </c>
      <c r="Q499" s="15">
        <f>_xlfn.IFNA(IF(VLOOKUP($J499&amp;Q$12,'Mapping A'!$A$6:$G$1011,7,0)=1,$L499,""),0)</f>
        <v>0</v>
      </c>
      <c r="R499" s="15">
        <f>_xlfn.IFNA(IF(VLOOKUP($J499&amp;R$12,'Mapping A'!$A$6:$G$1011,7,0)=1,$L499,""),0)</f>
        <v>0</v>
      </c>
      <c r="S499" s="15">
        <f>_xlfn.IFNA(IF(VLOOKUP($J499&amp;S$12,'Mapping A'!$A$6:$G$1011,7,0)=1,$L499,""),0)</f>
        <v>0</v>
      </c>
      <c r="T499" s="15">
        <f>_xlfn.IFNA(IF(VLOOKUP($J499&amp;T$12,'Mapping A'!$A$6:$G$1011,7,0)=1,$L499,""),0)</f>
        <v>0</v>
      </c>
      <c r="U499" s="15">
        <f>_xlfn.IFNA(IF(VLOOKUP($J499&amp;U$12,'Mapping A'!$A$6:$G$1011,7,0)=1,$L499,""),0)</f>
        <v>0</v>
      </c>
      <c r="V499" s="15">
        <f>_xlfn.IFNA(IF(VLOOKUP($J499&amp;V$12,'Mapping A'!$A$6:$G$1011,7,0)=1,$L499,""),0)</f>
        <v>0</v>
      </c>
      <c r="W499" s="15">
        <f>_xlfn.IFNA(IF(VLOOKUP($J499&amp;W$12,'Mapping A'!$A$6:$G$1011,7,0)=1,$L499,""),0)</f>
        <v>0</v>
      </c>
      <c r="X499" s="15">
        <f>_xlfn.IFNA(IF(VLOOKUP($J499&amp;X$12,'Mapping A'!$A$6:$G$1011,7,0)=1,$L499,""),0)</f>
        <v>0</v>
      </c>
      <c r="Y499" s="15">
        <f>_xlfn.IFNA(IF(VLOOKUP($J499&amp;Y$12,'Mapping A'!$A$6:$G$1011,7,0)=1,$L499,""),0)</f>
        <v>0</v>
      </c>
      <c r="Z499" s="15">
        <f>_xlfn.IFNA(IF(VLOOKUP($J499&amp;Z$12,'Mapping A'!$A$6:$G$1011,7,0)=1,$L499,""),0)</f>
        <v>0</v>
      </c>
      <c r="AA499" s="15">
        <f>_xlfn.IFNA(IF(VLOOKUP($J499&amp;AA$12,'Mapping A'!$A$6:$G$1011,7,0)=1,$L499,""),0)</f>
        <v>0</v>
      </c>
      <c r="AF499" s="155" t="str">
        <f t="shared" si="148"/>
        <v>BEN0162 BEN0Meridian</v>
      </c>
      <c r="AG499" s="15" t="s">
        <v>427</v>
      </c>
      <c r="AH499" s="15" t="s">
        <v>14</v>
      </c>
      <c r="AI499" s="15"/>
      <c r="AJ499" s="292" t="s">
        <v>96</v>
      </c>
      <c r="AK499" s="15"/>
      <c r="AL499" s="15">
        <f t="shared" si="151"/>
        <v>0</v>
      </c>
      <c r="AM499" s="15">
        <f t="shared" si="152"/>
        <v>0</v>
      </c>
      <c r="AN499" s="15">
        <f t="shared" si="153"/>
        <v>0</v>
      </c>
      <c r="AO499" s="15">
        <f t="shared" si="154"/>
        <v>0</v>
      </c>
      <c r="AP499" s="15">
        <f t="shared" si="155"/>
        <v>0</v>
      </c>
      <c r="AQ499" s="190">
        <f t="shared" ca="1" si="164"/>
        <v>0</v>
      </c>
      <c r="AR499" s="190">
        <f t="shared" si="165"/>
        <v>0</v>
      </c>
      <c r="AS499" s="190">
        <f t="shared" ca="1" si="166"/>
        <v>0</v>
      </c>
      <c r="AT499" s="190">
        <f t="shared" si="167"/>
        <v>0</v>
      </c>
      <c r="AU499" s="190">
        <f t="shared" si="168"/>
        <v>0</v>
      </c>
      <c r="AV499" s="190">
        <f t="shared" si="169"/>
        <v>0</v>
      </c>
      <c r="AW499" s="190">
        <f t="shared" si="170"/>
        <v>0</v>
      </c>
      <c r="AX499" s="190">
        <f t="shared" si="171"/>
        <v>0</v>
      </c>
      <c r="AZ499" s="15"/>
      <c r="BP499" s="190"/>
    </row>
    <row r="500" spans="2:68" x14ac:dyDescent="0.25">
      <c r="B500" s="98" t="s">
        <v>552</v>
      </c>
      <c r="C500" s="98">
        <v>2014</v>
      </c>
      <c r="D500" s="98" t="s">
        <v>329</v>
      </c>
      <c r="E500" s="98" t="s">
        <v>51</v>
      </c>
      <c r="F500" s="98" t="s">
        <v>131</v>
      </c>
      <c r="G500" s="248">
        <v>0</v>
      </c>
      <c r="H500" s="299" t="str">
        <f>VLOOKUP(LEFT('Rev Adequacy'!D500,3),'Mapping B'!$D$2:$E$400,2,0)</f>
        <v>N</v>
      </c>
      <c r="J500" t="s">
        <v>428</v>
      </c>
      <c r="K500" s="15" t="s">
        <v>14</v>
      </c>
      <c r="O500" s="15">
        <f>_xlfn.IFNA(IF(VLOOKUP($J500&amp;O$12,'Mapping A'!$A$6:$G$1011,7,0)=1,$L500,""),0)</f>
        <v>0</v>
      </c>
      <c r="P500" s="15">
        <f>_xlfn.IFNA(IF(VLOOKUP($J500&amp;P$12,'Mapping A'!$A$6:$G$1011,7,0)=1,$L500,""),0)</f>
        <v>0</v>
      </c>
      <c r="Q500" s="15">
        <f>_xlfn.IFNA(IF(VLOOKUP($J500&amp;Q$12,'Mapping A'!$A$6:$G$1011,7,0)=1,$L500,""),0)</f>
        <v>0</v>
      </c>
      <c r="R500" s="15">
        <f>_xlfn.IFNA(IF(VLOOKUP($J500&amp;R$12,'Mapping A'!$A$6:$G$1011,7,0)=1,$L500,""),0)</f>
        <v>0</v>
      </c>
      <c r="S500" s="15">
        <f>_xlfn.IFNA(IF(VLOOKUP($J500&amp;S$12,'Mapping A'!$A$6:$G$1011,7,0)=1,$L500,""),0)</f>
        <v>0</v>
      </c>
      <c r="T500" s="15">
        <f>_xlfn.IFNA(IF(VLOOKUP($J500&amp;T$12,'Mapping A'!$A$6:$G$1011,7,0)=1,$L500,""),0)</f>
        <v>0</v>
      </c>
      <c r="U500" s="15">
        <f>_xlfn.IFNA(IF(VLOOKUP($J500&amp;U$12,'Mapping A'!$A$6:$G$1011,7,0)=1,$L500,""),0)</f>
        <v>0</v>
      </c>
      <c r="V500" s="15">
        <f>_xlfn.IFNA(IF(VLOOKUP($J500&amp;V$12,'Mapping A'!$A$6:$G$1011,7,0)=1,$L500,""),0)</f>
        <v>0</v>
      </c>
      <c r="W500" s="15">
        <f>_xlfn.IFNA(IF(VLOOKUP($J500&amp;W$12,'Mapping A'!$A$6:$G$1011,7,0)=1,$L500,""),0)</f>
        <v>0</v>
      </c>
      <c r="X500" s="15">
        <f>_xlfn.IFNA(IF(VLOOKUP($J500&amp;X$12,'Mapping A'!$A$6:$G$1011,7,0)=1,$L500,""),0)</f>
        <v>0</v>
      </c>
      <c r="Y500" s="15">
        <f>_xlfn.IFNA(IF(VLOOKUP($J500&amp;Y$12,'Mapping A'!$A$6:$G$1011,7,0)=1,$L500,""),0)</f>
        <v>0</v>
      </c>
      <c r="Z500" s="15">
        <f>_xlfn.IFNA(IF(VLOOKUP($J500&amp;Z$12,'Mapping A'!$A$6:$G$1011,7,0)=1,$L500,""),0)</f>
        <v>0</v>
      </c>
      <c r="AA500" s="15">
        <f>_xlfn.IFNA(IF(VLOOKUP($J500&amp;AA$12,'Mapping A'!$A$6:$G$1011,7,0)=1,$L500,""),0)</f>
        <v>0</v>
      </c>
      <c r="AF500" s="155" t="str">
        <f t="shared" si="148"/>
        <v>BEN0163 BEN0Meridian</v>
      </c>
      <c r="AG500" s="15" t="s">
        <v>428</v>
      </c>
      <c r="AH500" s="15" t="s">
        <v>14</v>
      </c>
      <c r="AI500" s="15"/>
      <c r="AJ500" s="292" t="s">
        <v>96</v>
      </c>
      <c r="AK500" s="15"/>
      <c r="AL500" s="15">
        <f t="shared" si="151"/>
        <v>0</v>
      </c>
      <c r="AM500" s="15">
        <f t="shared" si="152"/>
        <v>0</v>
      </c>
      <c r="AN500" s="15">
        <f t="shared" si="153"/>
        <v>0</v>
      </c>
      <c r="AO500" s="15">
        <f t="shared" si="154"/>
        <v>0</v>
      </c>
      <c r="AP500" s="15">
        <f t="shared" si="155"/>
        <v>0</v>
      </c>
      <c r="AQ500" s="190">
        <f t="shared" ca="1" si="164"/>
        <v>0</v>
      </c>
      <c r="AR500" s="190">
        <f t="shared" si="165"/>
        <v>0</v>
      </c>
      <c r="AS500" s="190">
        <f t="shared" ca="1" si="166"/>
        <v>0</v>
      </c>
      <c r="AT500" s="190">
        <f t="shared" si="167"/>
        <v>0</v>
      </c>
      <c r="AU500" s="190">
        <f t="shared" si="168"/>
        <v>0</v>
      </c>
      <c r="AV500" s="190">
        <f t="shared" si="169"/>
        <v>0</v>
      </c>
      <c r="AW500" s="190">
        <f t="shared" si="170"/>
        <v>0</v>
      </c>
      <c r="AX500" s="190">
        <f t="shared" si="171"/>
        <v>0</v>
      </c>
      <c r="AZ500" s="15"/>
      <c r="BP500" s="190"/>
    </row>
    <row r="501" spans="2:68" x14ac:dyDescent="0.25">
      <c r="B501" s="98" t="s">
        <v>552</v>
      </c>
      <c r="C501" s="98">
        <v>2014</v>
      </c>
      <c r="D501" s="98" t="s">
        <v>348</v>
      </c>
      <c r="E501" s="98" t="s">
        <v>51</v>
      </c>
      <c r="F501" s="98" t="s">
        <v>131</v>
      </c>
      <c r="G501" s="248">
        <v>54.697000000000997</v>
      </c>
      <c r="H501" s="299" t="str">
        <f>VLOOKUP(LEFT('Rev Adequacy'!D501,3),'Mapping B'!$D$2:$E$400,2,0)</f>
        <v>N</v>
      </c>
      <c r="J501" t="s">
        <v>152</v>
      </c>
      <c r="K501" s="15" t="s">
        <v>14</v>
      </c>
      <c r="L501">
        <v>2560.8304599466101</v>
      </c>
      <c r="O501" s="15">
        <f>_xlfn.IFNA(IF(VLOOKUP($J501&amp;O$12,'Mapping A'!$A$6:$G$1011,7,0)=1,$L501,""),0)</f>
        <v>0</v>
      </c>
      <c r="P501" s="15">
        <f>_xlfn.IFNA(IF(VLOOKUP($J501&amp;P$12,'Mapping A'!$A$6:$G$1011,7,0)=1,$L501,""),0)</f>
        <v>0</v>
      </c>
      <c r="Q501" s="15">
        <f>_xlfn.IFNA(IF(VLOOKUP($J501&amp;Q$12,'Mapping A'!$A$6:$G$1011,7,0)=1,$L501,""),0)</f>
        <v>0</v>
      </c>
      <c r="R501" s="15">
        <f>_xlfn.IFNA(IF(VLOOKUP($J501&amp;R$12,'Mapping A'!$A$6:$G$1011,7,0)=1,$L501,""),0)</f>
        <v>0</v>
      </c>
      <c r="S501" s="15">
        <f>_xlfn.IFNA(IF(VLOOKUP($J501&amp;S$12,'Mapping A'!$A$6:$G$1011,7,0)=1,$L501,""),0)</f>
        <v>0</v>
      </c>
      <c r="T501" s="15">
        <f>_xlfn.IFNA(IF(VLOOKUP($J501&amp;T$12,'Mapping A'!$A$6:$G$1011,7,0)=1,$L501,""),0)</f>
        <v>0</v>
      </c>
      <c r="U501" s="15">
        <f>_xlfn.IFNA(IF(VLOOKUP($J501&amp;U$12,'Mapping A'!$A$6:$G$1011,7,0)=1,$L501,""),0)</f>
        <v>0</v>
      </c>
      <c r="V501" s="15">
        <f>_xlfn.IFNA(IF(VLOOKUP($J501&amp;V$12,'Mapping A'!$A$6:$G$1011,7,0)=1,$L501,""),0)</f>
        <v>0</v>
      </c>
      <c r="W501" s="15">
        <f>_xlfn.IFNA(IF(VLOOKUP($J501&amp;W$12,'Mapping A'!$A$6:$G$1011,7,0)=1,$L501,""),0)</f>
        <v>0</v>
      </c>
      <c r="X501" s="15">
        <f>_xlfn.IFNA(IF(VLOOKUP($J501&amp;X$12,'Mapping A'!$A$6:$G$1011,7,0)=1,$L501,""),0)</f>
        <v>0</v>
      </c>
      <c r="Y501" s="15">
        <f>_xlfn.IFNA(IF(VLOOKUP($J501&amp;Y$12,'Mapping A'!$A$6:$G$1011,7,0)=1,$L501,""),0)</f>
        <v>0</v>
      </c>
      <c r="Z501" s="15">
        <f>_xlfn.IFNA(IF(VLOOKUP($J501&amp;Z$12,'Mapping A'!$A$6:$G$1011,7,0)=1,$L501,""),0)</f>
        <v>0</v>
      </c>
      <c r="AA501" s="15">
        <f>_xlfn.IFNA(IF(VLOOKUP($J501&amp;AA$12,'Mapping A'!$A$6:$G$1011,7,0)=1,$L501,""),0)</f>
        <v>0</v>
      </c>
      <c r="AF501" s="155" t="str">
        <f t="shared" si="148"/>
        <v>BEN2202 BEN0Meridian</v>
      </c>
      <c r="AG501" s="15" t="s">
        <v>152</v>
      </c>
      <c r="AH501" s="15" t="s">
        <v>14</v>
      </c>
      <c r="AI501" s="15">
        <v>2560.8304599466101</v>
      </c>
      <c r="AJ501" s="292" t="s">
        <v>96</v>
      </c>
      <c r="AK501" s="15"/>
      <c r="AL501" s="15">
        <f t="shared" si="151"/>
        <v>0</v>
      </c>
      <c r="AM501" s="15">
        <f t="shared" si="152"/>
        <v>0</v>
      </c>
      <c r="AN501" s="15">
        <f t="shared" si="153"/>
        <v>0</v>
      </c>
      <c r="AO501" s="15">
        <f t="shared" si="154"/>
        <v>0</v>
      </c>
      <c r="AP501" s="15">
        <f t="shared" si="155"/>
        <v>0</v>
      </c>
      <c r="AQ501" s="190">
        <f t="shared" ca="1" si="164"/>
        <v>0</v>
      </c>
      <c r="AR501" s="190">
        <f t="shared" si="165"/>
        <v>0</v>
      </c>
      <c r="AS501" s="190">
        <f t="shared" ca="1" si="166"/>
        <v>0</v>
      </c>
      <c r="AT501" s="190">
        <f t="shared" si="167"/>
        <v>0</v>
      </c>
      <c r="AU501" s="190">
        <f t="shared" si="168"/>
        <v>0</v>
      </c>
      <c r="AV501" s="190">
        <f t="shared" si="169"/>
        <v>0</v>
      </c>
      <c r="AW501" s="190">
        <f t="shared" si="170"/>
        <v>0</v>
      </c>
      <c r="AX501" s="190">
        <f t="shared" si="171"/>
        <v>0</v>
      </c>
      <c r="AZ501" s="15"/>
      <c r="BP501" s="190"/>
    </row>
    <row r="502" spans="2:68" x14ac:dyDescent="0.25">
      <c r="B502" s="98" t="s">
        <v>552</v>
      </c>
      <c r="C502" s="98">
        <v>2014</v>
      </c>
      <c r="D502" s="98" t="s">
        <v>351</v>
      </c>
      <c r="E502" s="98" t="s">
        <v>51</v>
      </c>
      <c r="F502" s="98" t="s">
        <v>131</v>
      </c>
      <c r="G502" s="248">
        <v>34.631000000000498</v>
      </c>
      <c r="H502" s="299" t="str">
        <f>VLOOKUP(LEFT('Rev Adequacy'!D502,3),'Mapping B'!$D$2:$E$400,2,0)</f>
        <v>N</v>
      </c>
      <c r="J502" t="s">
        <v>165</v>
      </c>
      <c r="K502" s="15" t="s">
        <v>35</v>
      </c>
      <c r="L502">
        <v>187.29975500306699</v>
      </c>
      <c r="O502" s="15">
        <f>_xlfn.IFNA(IF(VLOOKUP($J502&amp;O$12,'Mapping A'!$A$6:$G$1011,7,0)=1,$L502,""),0)</f>
        <v>0</v>
      </c>
      <c r="P502" s="15">
        <f>_xlfn.IFNA(IF(VLOOKUP($J502&amp;P$12,'Mapping A'!$A$6:$G$1011,7,0)=1,$L502,""),0)</f>
        <v>0</v>
      </c>
      <c r="Q502" s="15">
        <f>_xlfn.IFNA(IF(VLOOKUP($J502&amp;Q$12,'Mapping A'!$A$6:$G$1011,7,0)=1,$L502,""),0)</f>
        <v>0</v>
      </c>
      <c r="R502" s="15">
        <f>_xlfn.IFNA(IF(VLOOKUP($J502&amp;R$12,'Mapping A'!$A$6:$G$1011,7,0)=1,$L502,""),0)</f>
        <v>0</v>
      </c>
      <c r="S502" s="15">
        <f>_xlfn.IFNA(IF(VLOOKUP($J502&amp;S$12,'Mapping A'!$A$6:$G$1011,7,0)=1,$L502,""),0)</f>
        <v>187.29975500306699</v>
      </c>
      <c r="T502" s="15">
        <f>_xlfn.IFNA(IF(VLOOKUP($J502&amp;T$12,'Mapping A'!$A$6:$G$1011,7,0)=1,$L502,""),0)</f>
        <v>0</v>
      </c>
      <c r="U502" s="15">
        <f>_xlfn.IFNA(IF(VLOOKUP($J502&amp;U$12,'Mapping A'!$A$6:$G$1011,7,0)=1,$L502,""),0)</f>
        <v>0</v>
      </c>
      <c r="V502" s="15">
        <f>_xlfn.IFNA(IF(VLOOKUP($J502&amp;V$12,'Mapping A'!$A$6:$G$1011,7,0)=1,$L502,""),0)</f>
        <v>0</v>
      </c>
      <c r="W502" s="15">
        <f>_xlfn.IFNA(IF(VLOOKUP($J502&amp;W$12,'Mapping A'!$A$6:$G$1011,7,0)=1,$L502,""),0)</f>
        <v>0</v>
      </c>
      <c r="X502" s="15">
        <f>_xlfn.IFNA(IF(VLOOKUP($J502&amp;X$12,'Mapping A'!$A$6:$G$1011,7,0)=1,$L502,""),0)</f>
        <v>0</v>
      </c>
      <c r="Y502" s="15">
        <f>_xlfn.IFNA(IF(VLOOKUP($J502&amp;Y$12,'Mapping A'!$A$6:$G$1011,7,0)=1,$L502,""),0)</f>
        <v>0</v>
      </c>
      <c r="Z502" s="15">
        <f>_xlfn.IFNA(IF(VLOOKUP($J502&amp;Z$12,'Mapping A'!$A$6:$G$1011,7,0)=1,$L502,""),0)</f>
        <v>0</v>
      </c>
      <c r="AA502" s="15">
        <f>_xlfn.IFNA(IF(VLOOKUP($J502&amp;AA$12,'Mapping A'!$A$6:$G$1011,7,0)=1,$L502,""),0)</f>
        <v>0</v>
      </c>
      <c r="AF502" s="155" t="str">
        <f t="shared" si="148"/>
        <v>BWK1101 WPI0Trustpower</v>
      </c>
      <c r="AG502" s="15" t="s">
        <v>165</v>
      </c>
      <c r="AH502" s="15" t="s">
        <v>35</v>
      </c>
      <c r="AI502" s="15">
        <v>187.29975500306699</v>
      </c>
      <c r="AJ502" s="292" t="s">
        <v>96</v>
      </c>
      <c r="AK502" s="15"/>
      <c r="AL502" s="15">
        <f t="shared" si="151"/>
        <v>0</v>
      </c>
      <c r="AM502" s="15">
        <f t="shared" si="152"/>
        <v>0</v>
      </c>
      <c r="AN502" s="15">
        <f t="shared" si="153"/>
        <v>0</v>
      </c>
      <c r="AO502" s="15">
        <f t="shared" si="154"/>
        <v>0</v>
      </c>
      <c r="AP502" s="15">
        <f t="shared" si="155"/>
        <v>0</v>
      </c>
      <c r="AQ502" s="190">
        <f t="shared" ca="1" si="164"/>
        <v>0</v>
      </c>
      <c r="AR502" s="190">
        <f t="shared" si="165"/>
        <v>0</v>
      </c>
      <c r="AS502" s="190">
        <f t="shared" ca="1" si="166"/>
        <v>0</v>
      </c>
      <c r="AT502" s="190">
        <f t="shared" si="167"/>
        <v>0</v>
      </c>
      <c r="AU502" s="190">
        <f t="shared" si="168"/>
        <v>0</v>
      </c>
      <c r="AV502" s="190">
        <f t="shared" si="169"/>
        <v>0</v>
      </c>
      <c r="AW502" s="190">
        <f t="shared" si="170"/>
        <v>0</v>
      </c>
      <c r="AX502" s="190">
        <f t="shared" si="171"/>
        <v>0</v>
      </c>
      <c r="AZ502" s="15"/>
      <c r="BP502" s="190"/>
    </row>
    <row r="503" spans="2:68" x14ac:dyDescent="0.25">
      <c r="B503" s="98" t="s">
        <v>553</v>
      </c>
      <c r="C503" s="98">
        <v>2014</v>
      </c>
      <c r="D503" s="98" t="s">
        <v>159</v>
      </c>
      <c r="E503" s="98" t="s">
        <v>51</v>
      </c>
      <c r="F503" s="98" t="s">
        <v>131</v>
      </c>
      <c r="G503" s="248">
        <v>2408.4759999999901</v>
      </c>
      <c r="H503" s="299" t="str">
        <f>VLOOKUP(LEFT('Rev Adequacy'!D503,3),'Mapping B'!$D$2:$E$400,2,0)</f>
        <v>N</v>
      </c>
      <c r="J503" t="s">
        <v>429</v>
      </c>
      <c r="K503" s="15" t="s">
        <v>35</v>
      </c>
      <c r="L503">
        <v>220.22513094343901</v>
      </c>
      <c r="O503" s="15">
        <f>_xlfn.IFNA(IF(VLOOKUP($J503&amp;O$12,'Mapping A'!$A$6:$G$1011,7,0)=1,$L503,""),0)</f>
        <v>0</v>
      </c>
      <c r="P503" s="15">
        <f>_xlfn.IFNA(IF(VLOOKUP($J503&amp;P$12,'Mapping A'!$A$6:$G$1011,7,0)=1,$L503,""),0)</f>
        <v>0</v>
      </c>
      <c r="Q503" s="15">
        <f>_xlfn.IFNA(IF(VLOOKUP($J503&amp;Q$12,'Mapping A'!$A$6:$G$1011,7,0)=1,$L503,""),0)</f>
        <v>0</v>
      </c>
      <c r="R503" s="15">
        <f>_xlfn.IFNA(IF(VLOOKUP($J503&amp;R$12,'Mapping A'!$A$6:$G$1011,7,0)=1,$L503,""),0)</f>
        <v>0</v>
      </c>
      <c r="S503" s="15">
        <f>_xlfn.IFNA(IF(VLOOKUP($J503&amp;S$12,'Mapping A'!$A$6:$G$1011,7,0)=1,$L503,""),0)</f>
        <v>0</v>
      </c>
      <c r="T503" s="15">
        <f>_xlfn.IFNA(IF(VLOOKUP($J503&amp;T$12,'Mapping A'!$A$6:$G$1011,7,0)=1,$L503,""),0)</f>
        <v>0</v>
      </c>
      <c r="U503" s="15">
        <f>_xlfn.IFNA(IF(VLOOKUP($J503&amp;U$12,'Mapping A'!$A$6:$G$1011,7,0)=1,$L503,""),0)</f>
        <v>0</v>
      </c>
      <c r="V503" s="15">
        <f>_xlfn.IFNA(IF(VLOOKUP($J503&amp;V$12,'Mapping A'!$A$6:$G$1011,7,0)=1,$L503,""),0)</f>
        <v>0</v>
      </c>
      <c r="W503" s="15">
        <f>_xlfn.IFNA(IF(VLOOKUP($J503&amp;W$12,'Mapping A'!$A$6:$G$1011,7,0)=1,$L503,""),0)</f>
        <v>0</v>
      </c>
      <c r="X503" s="15">
        <f>_xlfn.IFNA(IF(VLOOKUP($J503&amp;X$12,'Mapping A'!$A$6:$G$1011,7,0)=1,$L503,""),0)</f>
        <v>0</v>
      </c>
      <c r="Y503" s="15">
        <f>_xlfn.IFNA(IF(VLOOKUP($J503&amp;Y$12,'Mapping A'!$A$6:$G$1011,7,0)=1,$L503,""),0)</f>
        <v>0</v>
      </c>
      <c r="Z503" s="15">
        <f>_xlfn.IFNA(IF(VLOOKUP($J503&amp;Z$12,'Mapping A'!$A$6:$G$1011,7,0)=1,$L503,""),0)</f>
        <v>0</v>
      </c>
      <c r="AA503" s="15">
        <f>_xlfn.IFNA(IF(VLOOKUP($J503&amp;AA$12,'Mapping A'!$A$6:$G$1011,7,0)=1,$L503,""),0)</f>
        <v>0</v>
      </c>
      <c r="AF503" s="155" t="str">
        <f t="shared" si="148"/>
        <v>COB0661 COB0Trustpower</v>
      </c>
      <c r="AG503" s="15" t="s">
        <v>429</v>
      </c>
      <c r="AH503" s="15" t="s">
        <v>35</v>
      </c>
      <c r="AI503" s="15">
        <v>220.22513094343901</v>
      </c>
      <c r="AJ503" s="292" t="s">
        <v>96</v>
      </c>
      <c r="AK503" s="15"/>
      <c r="AL503" s="15">
        <f t="shared" si="151"/>
        <v>0</v>
      </c>
      <c r="AM503" s="15">
        <f t="shared" si="152"/>
        <v>0</v>
      </c>
      <c r="AN503" s="15">
        <f t="shared" si="153"/>
        <v>0</v>
      </c>
      <c r="AO503" s="15">
        <f t="shared" si="154"/>
        <v>0</v>
      </c>
      <c r="AP503" s="15">
        <f t="shared" si="155"/>
        <v>0</v>
      </c>
      <c r="AQ503" s="190">
        <f t="shared" ca="1" si="164"/>
        <v>0</v>
      </c>
      <c r="AR503" s="190">
        <f t="shared" si="165"/>
        <v>0</v>
      </c>
      <c r="AS503" s="190">
        <f t="shared" ca="1" si="166"/>
        <v>0</v>
      </c>
      <c r="AT503" s="190">
        <f t="shared" si="167"/>
        <v>0</v>
      </c>
      <c r="AU503" s="190">
        <f t="shared" si="168"/>
        <v>0</v>
      </c>
      <c r="AV503" s="190">
        <f t="shared" si="169"/>
        <v>0</v>
      </c>
      <c r="AW503" s="190">
        <f t="shared" si="170"/>
        <v>0</v>
      </c>
      <c r="AX503" s="190">
        <f t="shared" si="171"/>
        <v>0</v>
      </c>
      <c r="AZ503" s="15"/>
      <c r="BP503" s="190"/>
    </row>
    <row r="504" spans="2:68" x14ac:dyDescent="0.25">
      <c r="B504" s="98" t="s">
        <v>553</v>
      </c>
      <c r="C504" s="98">
        <v>2014</v>
      </c>
      <c r="D504" s="98" t="s">
        <v>194</v>
      </c>
      <c r="E504" s="98" t="s">
        <v>51</v>
      </c>
      <c r="F504" s="98" t="s">
        <v>131</v>
      </c>
      <c r="G504" s="248">
        <v>3171.6290000000899</v>
      </c>
      <c r="H504" s="299" t="str">
        <f>VLOOKUP(LEFT('Rev Adequacy'!D504,3),'Mapping B'!$D$2:$E$400,2,0)</f>
        <v>N</v>
      </c>
      <c r="J504" t="s">
        <v>171</v>
      </c>
      <c r="K504" s="15" t="s">
        <v>35</v>
      </c>
      <c r="L504">
        <v>281.61375298419898</v>
      </c>
      <c r="O504" s="15">
        <f>_xlfn.IFNA(IF(VLOOKUP($J504&amp;O$12,'Mapping A'!$A$6:$G$1011,7,0)=1,$L504,""),0)</f>
        <v>0</v>
      </c>
      <c r="P504" s="15">
        <f>_xlfn.IFNA(IF(VLOOKUP($J504&amp;P$12,'Mapping A'!$A$6:$G$1011,7,0)=1,$L504,""),0)</f>
        <v>0</v>
      </c>
      <c r="Q504" s="15">
        <f>_xlfn.IFNA(IF(VLOOKUP($J504&amp;Q$12,'Mapping A'!$A$6:$G$1011,7,0)=1,$L504,""),0)</f>
        <v>0</v>
      </c>
      <c r="R504" s="15">
        <f>_xlfn.IFNA(IF(VLOOKUP($J504&amp;R$12,'Mapping A'!$A$6:$G$1011,7,0)=1,$L504,""),0)</f>
        <v>0</v>
      </c>
      <c r="S504" s="15">
        <f>_xlfn.IFNA(IF(VLOOKUP($J504&amp;S$12,'Mapping A'!$A$6:$G$1011,7,0)=1,$L504,""),0)</f>
        <v>0</v>
      </c>
      <c r="T504" s="15">
        <f>_xlfn.IFNA(IF(VLOOKUP($J504&amp;T$12,'Mapping A'!$A$6:$G$1011,7,0)=1,$L504,""),0)</f>
        <v>0</v>
      </c>
      <c r="U504" s="15">
        <f>_xlfn.IFNA(IF(VLOOKUP($J504&amp;U$12,'Mapping A'!$A$6:$G$1011,7,0)=1,$L504,""),0)</f>
        <v>0</v>
      </c>
      <c r="V504" s="15">
        <f>_xlfn.IFNA(IF(VLOOKUP($J504&amp;V$12,'Mapping A'!$A$6:$G$1011,7,0)=1,$L504,""),0)</f>
        <v>0</v>
      </c>
      <c r="W504" s="15">
        <f>_xlfn.IFNA(IF(VLOOKUP($J504&amp;W$12,'Mapping A'!$A$6:$G$1011,7,0)=1,$L504,""),0)</f>
        <v>0</v>
      </c>
      <c r="X504" s="15">
        <f>_xlfn.IFNA(IF(VLOOKUP($J504&amp;X$12,'Mapping A'!$A$6:$G$1011,7,0)=1,$L504,""),0)</f>
        <v>0</v>
      </c>
      <c r="Y504" s="15">
        <f>_xlfn.IFNA(IF(VLOOKUP($J504&amp;Y$12,'Mapping A'!$A$6:$G$1011,7,0)=1,$L504,""),0)</f>
        <v>0</v>
      </c>
      <c r="Z504" s="15">
        <f>_xlfn.IFNA(IF(VLOOKUP($J504&amp;Z$12,'Mapping A'!$A$6:$G$1011,7,0)=1,$L504,""),0)</f>
        <v>0</v>
      </c>
      <c r="AA504" s="15">
        <f>_xlfn.IFNA(IF(VLOOKUP($J504&amp;AA$12,'Mapping A'!$A$6:$G$1011,7,0)=1,$L504,""),0)</f>
        <v>0</v>
      </c>
      <c r="AF504" s="155" t="str">
        <f t="shared" si="148"/>
        <v>COL0661 COL0Trustpower</v>
      </c>
      <c r="AG504" s="15" t="s">
        <v>171</v>
      </c>
      <c r="AH504" s="15" t="s">
        <v>35</v>
      </c>
      <c r="AI504" s="15">
        <v>281.61375298419898</v>
      </c>
      <c r="AJ504" s="292" t="s">
        <v>96</v>
      </c>
      <c r="AK504" s="15"/>
      <c r="AL504" s="15">
        <f t="shared" si="151"/>
        <v>0</v>
      </c>
      <c r="AM504" s="15">
        <f t="shared" si="152"/>
        <v>0</v>
      </c>
      <c r="AN504" s="15">
        <f t="shared" si="153"/>
        <v>0</v>
      </c>
      <c r="AO504" s="15">
        <f t="shared" si="154"/>
        <v>0</v>
      </c>
      <c r="AP504" s="15">
        <f t="shared" si="155"/>
        <v>0</v>
      </c>
      <c r="AQ504" s="190">
        <f t="shared" ca="1" si="164"/>
        <v>0</v>
      </c>
      <c r="AR504" s="190">
        <f t="shared" si="165"/>
        <v>0</v>
      </c>
      <c r="AS504" s="190">
        <f t="shared" ca="1" si="166"/>
        <v>0</v>
      </c>
      <c r="AT504" s="190">
        <f t="shared" si="167"/>
        <v>0</v>
      </c>
      <c r="AU504" s="190">
        <f t="shared" si="168"/>
        <v>0</v>
      </c>
      <c r="AV504" s="190">
        <f t="shared" si="169"/>
        <v>0</v>
      </c>
      <c r="AW504" s="190">
        <f t="shared" si="170"/>
        <v>0</v>
      </c>
      <c r="AX504" s="190">
        <f t="shared" si="171"/>
        <v>0</v>
      </c>
      <c r="AZ504" s="15"/>
      <c r="BP504" s="190"/>
    </row>
    <row r="505" spans="2:68" x14ac:dyDescent="0.25">
      <c r="B505" s="98" t="s">
        <v>553</v>
      </c>
      <c r="C505" s="98">
        <v>2014</v>
      </c>
      <c r="D505" s="98" t="s">
        <v>299</v>
      </c>
      <c r="E505" s="98" t="s">
        <v>51</v>
      </c>
      <c r="F505" s="98" t="s">
        <v>131</v>
      </c>
      <c r="G505" s="248">
        <v>0.31499999999999601</v>
      </c>
      <c r="H505" s="299" t="str">
        <f>VLOOKUP(LEFT('Rev Adequacy'!D505,3),'Mapping B'!$D$2:$E$400,2,0)</f>
        <v>N</v>
      </c>
      <c r="J505" t="s">
        <v>179</v>
      </c>
      <c r="K505" s="15" t="s">
        <v>4</v>
      </c>
      <c r="L505">
        <v>2286.3832726820301</v>
      </c>
      <c r="O505" s="15">
        <f>_xlfn.IFNA(IF(VLOOKUP($J505&amp;O$12,'Mapping A'!$A$6:$G$1011,7,0)=1,$L505,""),0)</f>
        <v>0</v>
      </c>
      <c r="P505" s="15">
        <f>_xlfn.IFNA(IF(VLOOKUP($J505&amp;P$12,'Mapping A'!$A$6:$G$1011,7,0)=1,$L505,""),0)</f>
        <v>0</v>
      </c>
      <c r="Q505" s="15">
        <f>_xlfn.IFNA(IF(VLOOKUP($J505&amp;Q$12,'Mapping A'!$A$6:$G$1011,7,0)=1,$L505,""),0)</f>
        <v>0</v>
      </c>
      <c r="R505" s="15">
        <f>_xlfn.IFNA(IF(VLOOKUP($J505&amp;R$12,'Mapping A'!$A$6:$G$1011,7,0)=1,$L505,""),0)</f>
        <v>0</v>
      </c>
      <c r="S505" s="15">
        <f>_xlfn.IFNA(IF(VLOOKUP($J505&amp;S$12,'Mapping A'!$A$6:$G$1011,7,0)=1,$L505,""),0)</f>
        <v>2286.3832726820301</v>
      </c>
      <c r="T505" s="15">
        <f>_xlfn.IFNA(IF(VLOOKUP($J505&amp;T$12,'Mapping A'!$A$6:$G$1011,7,0)=1,$L505,""),0)</f>
        <v>0</v>
      </c>
      <c r="U505" s="15">
        <f>_xlfn.IFNA(IF(VLOOKUP($J505&amp;U$12,'Mapping A'!$A$6:$G$1011,7,0)=1,$L505,""),0)</f>
        <v>0</v>
      </c>
      <c r="V505" s="15">
        <f>_xlfn.IFNA(IF(VLOOKUP($J505&amp;V$12,'Mapping A'!$A$6:$G$1011,7,0)=1,$L505,""),0)</f>
        <v>0</v>
      </c>
      <c r="W505" s="15">
        <f>_xlfn.IFNA(IF(VLOOKUP($J505&amp;W$12,'Mapping A'!$A$6:$G$1011,7,0)=1,$L505,""),0)</f>
        <v>0</v>
      </c>
      <c r="X505" s="15">
        <f>_xlfn.IFNA(IF(VLOOKUP($J505&amp;X$12,'Mapping A'!$A$6:$G$1011,7,0)=1,$L505,""),0)</f>
        <v>0</v>
      </c>
      <c r="Y505" s="15">
        <f>_xlfn.IFNA(IF(VLOOKUP($J505&amp;Y$12,'Mapping A'!$A$6:$G$1011,7,0)=1,$L505,""),0)</f>
        <v>0</v>
      </c>
      <c r="Z505" s="15">
        <f>_xlfn.IFNA(IF(VLOOKUP($J505&amp;Z$12,'Mapping A'!$A$6:$G$1011,7,0)=1,$L505,""),0)</f>
        <v>0</v>
      </c>
      <c r="AA505" s="15">
        <f>_xlfn.IFNA(IF(VLOOKUP($J505&amp;AA$12,'Mapping A'!$A$6:$G$1011,7,0)=1,$L505,""),0)</f>
        <v>0</v>
      </c>
      <c r="AF505" s="155" t="str">
        <f t="shared" si="148"/>
        <v>CYD2201 CYD0Contact</v>
      </c>
      <c r="AG505" s="15" t="s">
        <v>179</v>
      </c>
      <c r="AH505" s="15" t="s">
        <v>4</v>
      </c>
      <c r="AI505" s="15">
        <v>2286.3832726820301</v>
      </c>
      <c r="AJ505" s="292" t="s">
        <v>96</v>
      </c>
      <c r="AK505" s="15"/>
      <c r="AL505" s="15">
        <f t="shared" si="151"/>
        <v>0</v>
      </c>
      <c r="AM505" s="15">
        <f t="shared" si="152"/>
        <v>0</v>
      </c>
      <c r="AN505" s="15">
        <f t="shared" si="153"/>
        <v>0</v>
      </c>
      <c r="AO505" s="15">
        <f t="shared" si="154"/>
        <v>0</v>
      </c>
      <c r="AP505" s="15">
        <f t="shared" si="155"/>
        <v>0</v>
      </c>
      <c r="AQ505" s="190">
        <f t="shared" ca="1" si="164"/>
        <v>0</v>
      </c>
      <c r="AR505" s="190">
        <f t="shared" si="165"/>
        <v>0</v>
      </c>
      <c r="AS505" s="190">
        <f t="shared" ca="1" si="166"/>
        <v>0</v>
      </c>
      <c r="AT505" s="190">
        <f t="shared" si="167"/>
        <v>0</v>
      </c>
      <c r="AU505" s="190">
        <f t="shared" si="168"/>
        <v>0</v>
      </c>
      <c r="AV505" s="190">
        <f t="shared" si="169"/>
        <v>0</v>
      </c>
      <c r="AW505" s="190">
        <f t="shared" si="170"/>
        <v>0</v>
      </c>
      <c r="AX505" s="190">
        <f t="shared" si="171"/>
        <v>0</v>
      </c>
      <c r="AZ505" s="15"/>
      <c r="BP505" s="190"/>
    </row>
    <row r="506" spans="2:68" x14ac:dyDescent="0.25">
      <c r="B506" s="98" t="s">
        <v>553</v>
      </c>
      <c r="C506" s="98">
        <v>2014</v>
      </c>
      <c r="D506" s="98" t="s">
        <v>329</v>
      </c>
      <c r="E506" s="98" t="s">
        <v>51</v>
      </c>
      <c r="F506" s="98" t="s">
        <v>131</v>
      </c>
      <c r="G506" s="248">
        <v>1483.7239999999599</v>
      </c>
      <c r="H506" s="299" t="str">
        <f>VLOOKUP(LEFT('Rev Adequacy'!D506,3),'Mapping B'!$D$2:$E$400,2,0)</f>
        <v>N</v>
      </c>
      <c r="J506" t="s">
        <v>430</v>
      </c>
      <c r="K506" s="15" t="s">
        <v>24</v>
      </c>
      <c r="L506">
        <v>155.968248897161</v>
      </c>
      <c r="O506" s="15">
        <f>_xlfn.IFNA(IF(VLOOKUP($J506&amp;O$12,'Mapping A'!$A$6:$G$1011,7,0)=1,$L506,""),0)</f>
        <v>0</v>
      </c>
      <c r="P506" s="15">
        <f>_xlfn.IFNA(IF(VLOOKUP($J506&amp;P$12,'Mapping A'!$A$6:$G$1011,7,0)=1,$L506,""),0)</f>
        <v>0</v>
      </c>
      <c r="Q506" s="15">
        <f>_xlfn.IFNA(IF(VLOOKUP($J506&amp;Q$12,'Mapping A'!$A$6:$G$1011,7,0)=1,$L506,""),0)</f>
        <v>0</v>
      </c>
      <c r="R506" s="15">
        <f>_xlfn.IFNA(IF(VLOOKUP($J506&amp;R$12,'Mapping A'!$A$6:$G$1011,7,0)=1,$L506,""),0)</f>
        <v>0</v>
      </c>
      <c r="S506" s="15">
        <f>_xlfn.IFNA(IF(VLOOKUP($J506&amp;S$12,'Mapping A'!$A$6:$G$1011,7,0)=1,$L506,""),0)</f>
        <v>0</v>
      </c>
      <c r="T506" s="15">
        <f>_xlfn.IFNA(IF(VLOOKUP($J506&amp;T$12,'Mapping A'!$A$6:$G$1011,7,0)=1,$L506,""),0)</f>
        <v>0</v>
      </c>
      <c r="U506" s="15">
        <f>_xlfn.IFNA(IF(VLOOKUP($J506&amp;U$12,'Mapping A'!$A$6:$G$1011,7,0)=1,$L506,""),0)</f>
        <v>0</v>
      </c>
      <c r="V506" s="15">
        <f>_xlfn.IFNA(IF(VLOOKUP($J506&amp;V$12,'Mapping A'!$A$6:$G$1011,7,0)=1,$L506,""),0)</f>
        <v>155.968248897161</v>
      </c>
      <c r="W506" s="15">
        <f>_xlfn.IFNA(IF(VLOOKUP($J506&amp;W$12,'Mapping A'!$A$6:$G$1011,7,0)=1,$L506,""),0)</f>
        <v>0</v>
      </c>
      <c r="X506" s="15">
        <f>_xlfn.IFNA(IF(VLOOKUP($J506&amp;X$12,'Mapping A'!$A$6:$G$1011,7,0)=1,$L506,""),0)</f>
        <v>0</v>
      </c>
      <c r="Y506" s="15">
        <f>_xlfn.IFNA(IF(VLOOKUP($J506&amp;Y$12,'Mapping A'!$A$6:$G$1011,7,0)=1,$L506,""),0)</f>
        <v>0</v>
      </c>
      <c r="Z506" s="15">
        <f>_xlfn.IFNA(IF(VLOOKUP($J506&amp;Z$12,'Mapping A'!$A$6:$G$1011,7,0)=1,$L506,""),0)</f>
        <v>0</v>
      </c>
      <c r="AA506" s="15">
        <f>_xlfn.IFNA(IF(VLOOKUP($J506&amp;AA$12,'Mapping A'!$A$6:$G$1011,7,0)=1,$L506,""),0)</f>
        <v>0</v>
      </c>
      <c r="AF506" s="155" t="str">
        <f t="shared" si="148"/>
        <v>GLN0332 GLN0NZ Steel</v>
      </c>
      <c r="AG506" s="15" t="s">
        <v>430</v>
      </c>
      <c r="AH506" s="15" t="s">
        <v>24</v>
      </c>
      <c r="AI506" s="15">
        <v>155.968248897161</v>
      </c>
      <c r="AJ506" s="292" t="s">
        <v>95</v>
      </c>
      <c r="AK506" s="15"/>
      <c r="AL506" s="15">
        <f t="shared" si="151"/>
        <v>0</v>
      </c>
      <c r="AM506" s="15">
        <f t="shared" si="152"/>
        <v>0</v>
      </c>
      <c r="AN506" s="15">
        <f t="shared" si="153"/>
        <v>0</v>
      </c>
      <c r="AO506" s="15">
        <f t="shared" si="154"/>
        <v>0</v>
      </c>
      <c r="AP506" s="15">
        <f t="shared" si="155"/>
        <v>0</v>
      </c>
      <c r="AQ506" s="190">
        <f t="shared" ca="1" si="164"/>
        <v>0</v>
      </c>
      <c r="AR506" s="190">
        <f t="shared" si="165"/>
        <v>0</v>
      </c>
      <c r="AS506" s="190">
        <f t="shared" ca="1" si="166"/>
        <v>2.0537076675386769E-2</v>
      </c>
      <c r="AT506" s="190">
        <f t="shared" si="167"/>
        <v>0</v>
      </c>
      <c r="AU506" s="190">
        <f t="shared" si="168"/>
        <v>0</v>
      </c>
      <c r="AV506" s="190">
        <f t="shared" si="169"/>
        <v>0</v>
      </c>
      <c r="AW506" s="190">
        <f t="shared" si="170"/>
        <v>0</v>
      </c>
      <c r="AX506" s="190">
        <f t="shared" si="171"/>
        <v>0</v>
      </c>
      <c r="AZ506" s="15"/>
      <c r="BP506" s="190"/>
    </row>
    <row r="507" spans="2:68" x14ac:dyDescent="0.25">
      <c r="B507" s="98" t="s">
        <v>553</v>
      </c>
      <c r="C507" s="98">
        <v>2014</v>
      </c>
      <c r="D507" s="98" t="s">
        <v>348</v>
      </c>
      <c r="E507" s="98" t="s">
        <v>51</v>
      </c>
      <c r="F507" s="98" t="s">
        <v>131</v>
      </c>
      <c r="G507" s="248">
        <v>3443.15600000007</v>
      </c>
      <c r="H507" s="299" t="str">
        <f>VLOOKUP(LEFT('Rev Adequacy'!D507,3),'Mapping B'!$D$2:$E$400,2,0)</f>
        <v>N</v>
      </c>
      <c r="J507" t="s">
        <v>202</v>
      </c>
      <c r="K507" s="15" t="s">
        <v>10</v>
      </c>
      <c r="L507">
        <v>71.517391051323202</v>
      </c>
      <c r="O507" s="15">
        <f>_xlfn.IFNA(IF(VLOOKUP($J507&amp;O$12,'Mapping A'!$A$6:$G$1011,7,0)=1,$L507,""),0)</f>
        <v>0</v>
      </c>
      <c r="P507" s="15">
        <f>_xlfn.IFNA(IF(VLOOKUP($J507&amp;P$12,'Mapping A'!$A$6:$G$1011,7,0)=1,$L507,""),0)</f>
        <v>0</v>
      </c>
      <c r="Q507" s="15">
        <f>_xlfn.IFNA(IF(VLOOKUP($J507&amp;Q$12,'Mapping A'!$A$6:$G$1011,7,0)=1,$L507,""),0)</f>
        <v>0</v>
      </c>
      <c r="R507" s="15">
        <f>_xlfn.IFNA(IF(VLOOKUP($J507&amp;R$12,'Mapping A'!$A$6:$G$1011,7,0)=1,$L507,""),0)</f>
        <v>0</v>
      </c>
      <c r="S507" s="15">
        <f>_xlfn.IFNA(IF(VLOOKUP($J507&amp;S$12,'Mapping A'!$A$6:$G$1011,7,0)=1,$L507,""),0)</f>
        <v>0</v>
      </c>
      <c r="T507" s="15">
        <f>_xlfn.IFNA(IF(VLOOKUP($J507&amp;T$12,'Mapping A'!$A$6:$G$1011,7,0)=1,$L507,""),0)</f>
        <v>0</v>
      </c>
      <c r="U507" s="15">
        <f>_xlfn.IFNA(IF(VLOOKUP($J507&amp;U$12,'Mapping A'!$A$6:$G$1011,7,0)=1,$L507,""),0)</f>
        <v>0</v>
      </c>
      <c r="V507" s="15">
        <f>_xlfn.IFNA(IF(VLOOKUP($J507&amp;V$12,'Mapping A'!$A$6:$G$1011,7,0)=1,$L507,""),0)</f>
        <v>71.517391051323202</v>
      </c>
      <c r="W507" s="15">
        <f>_xlfn.IFNA(IF(VLOOKUP($J507&amp;W$12,'Mapping A'!$A$6:$G$1011,7,0)=1,$L507,""),0)</f>
        <v>0</v>
      </c>
      <c r="X507" s="15">
        <f>_xlfn.IFNA(IF(VLOOKUP($J507&amp;X$12,'Mapping A'!$A$6:$G$1011,7,0)=1,$L507,""),0)</f>
        <v>0</v>
      </c>
      <c r="Y507" s="15">
        <f>_xlfn.IFNA(IF(VLOOKUP($J507&amp;Y$12,'Mapping A'!$A$6:$G$1011,7,0)=1,$L507,""),0)</f>
        <v>0</v>
      </c>
      <c r="Z507" s="15">
        <f>_xlfn.IFNA(IF(VLOOKUP($J507&amp;Z$12,'Mapping A'!$A$6:$G$1011,7,0)=1,$L507,""),0)</f>
        <v>0</v>
      </c>
      <c r="AA507" s="15">
        <f>_xlfn.IFNA(IF(VLOOKUP($J507&amp;AA$12,'Mapping A'!$A$6:$G$1011,7,0)=1,$L507,""),0)</f>
        <v>0</v>
      </c>
      <c r="AF507" s="155" t="str">
        <f t="shared" si="148"/>
        <v>HLY2201 HLY1Genesis</v>
      </c>
      <c r="AG507" s="15" t="s">
        <v>202</v>
      </c>
      <c r="AH507" s="15" t="s">
        <v>10</v>
      </c>
      <c r="AI507" s="15">
        <v>71.517391051323202</v>
      </c>
      <c r="AJ507" s="292" t="s">
        <v>95</v>
      </c>
      <c r="AK507" s="15"/>
      <c r="AL507" s="15">
        <f t="shared" si="151"/>
        <v>0</v>
      </c>
      <c r="AM507" s="15">
        <f t="shared" si="152"/>
        <v>0</v>
      </c>
      <c r="AN507" s="15">
        <f t="shared" si="153"/>
        <v>0</v>
      </c>
      <c r="AO507" s="15">
        <f t="shared" si="154"/>
        <v>0</v>
      </c>
      <c r="AP507" s="15">
        <f t="shared" si="155"/>
        <v>0</v>
      </c>
      <c r="AQ507" s="190">
        <f t="shared" ca="1" si="164"/>
        <v>0</v>
      </c>
      <c r="AR507" s="190">
        <f t="shared" si="165"/>
        <v>0</v>
      </c>
      <c r="AS507" s="190">
        <f t="shared" ca="1" si="166"/>
        <v>9.4170329796616631E-3</v>
      </c>
      <c r="AT507" s="190">
        <f t="shared" si="167"/>
        <v>0</v>
      </c>
      <c r="AU507" s="190">
        <f t="shared" si="168"/>
        <v>0</v>
      </c>
      <c r="AV507" s="190">
        <f t="shared" si="169"/>
        <v>0</v>
      </c>
      <c r="AW507" s="190">
        <f t="shared" si="170"/>
        <v>0</v>
      </c>
      <c r="AX507" s="190">
        <f t="shared" si="171"/>
        <v>0</v>
      </c>
      <c r="AZ507" s="15"/>
      <c r="BP507" s="190"/>
    </row>
    <row r="508" spans="2:68" x14ac:dyDescent="0.25">
      <c r="B508" s="98" t="s">
        <v>553</v>
      </c>
      <c r="C508" s="98">
        <v>2014</v>
      </c>
      <c r="D508" s="98" t="s">
        <v>351</v>
      </c>
      <c r="E508" s="98" t="s">
        <v>51</v>
      </c>
      <c r="F508" s="98" t="s">
        <v>131</v>
      </c>
      <c r="G508" s="248">
        <v>3447.1439999999802</v>
      </c>
      <c r="H508" s="299" t="str">
        <f>VLOOKUP(LEFT('Rev Adequacy'!D508,3),'Mapping B'!$D$2:$E$400,2,0)</f>
        <v>N</v>
      </c>
      <c r="J508" t="s">
        <v>203</v>
      </c>
      <c r="K508" s="15" t="s">
        <v>10</v>
      </c>
      <c r="L508">
        <v>485.65329267722302</v>
      </c>
      <c r="O508" s="15">
        <f>_xlfn.IFNA(IF(VLOOKUP($J508&amp;O$12,'Mapping A'!$A$6:$G$1011,7,0)=1,$L508,""),0)</f>
        <v>0</v>
      </c>
      <c r="P508" s="15">
        <f>_xlfn.IFNA(IF(VLOOKUP($J508&amp;P$12,'Mapping A'!$A$6:$G$1011,7,0)=1,$L508,""),0)</f>
        <v>0</v>
      </c>
      <c r="Q508" s="15">
        <f>_xlfn.IFNA(IF(VLOOKUP($J508&amp;Q$12,'Mapping A'!$A$6:$G$1011,7,0)=1,$L508,""),0)</f>
        <v>0</v>
      </c>
      <c r="R508" s="15">
        <f>_xlfn.IFNA(IF(VLOOKUP($J508&amp;R$12,'Mapping A'!$A$6:$G$1011,7,0)=1,$L508,""),0)</f>
        <v>0</v>
      </c>
      <c r="S508" s="15">
        <f>_xlfn.IFNA(IF(VLOOKUP($J508&amp;S$12,'Mapping A'!$A$6:$G$1011,7,0)=1,$L508,""),0)</f>
        <v>0</v>
      </c>
      <c r="T508" s="15">
        <f>_xlfn.IFNA(IF(VLOOKUP($J508&amp;T$12,'Mapping A'!$A$6:$G$1011,7,0)=1,$L508,""),0)</f>
        <v>0</v>
      </c>
      <c r="U508" s="15">
        <f>_xlfn.IFNA(IF(VLOOKUP($J508&amp;U$12,'Mapping A'!$A$6:$G$1011,7,0)=1,$L508,""),0)</f>
        <v>0</v>
      </c>
      <c r="V508" s="15">
        <f>_xlfn.IFNA(IF(VLOOKUP($J508&amp;V$12,'Mapping A'!$A$6:$G$1011,7,0)=1,$L508,""),0)</f>
        <v>485.65329267722302</v>
      </c>
      <c r="W508" s="15">
        <f>_xlfn.IFNA(IF(VLOOKUP($J508&amp;W$12,'Mapping A'!$A$6:$G$1011,7,0)=1,$L508,""),0)</f>
        <v>0</v>
      </c>
      <c r="X508" s="15">
        <f>_xlfn.IFNA(IF(VLOOKUP($J508&amp;X$12,'Mapping A'!$A$6:$G$1011,7,0)=1,$L508,""),0)</f>
        <v>0</v>
      </c>
      <c r="Y508" s="15">
        <f>_xlfn.IFNA(IF(VLOOKUP($J508&amp;Y$12,'Mapping A'!$A$6:$G$1011,7,0)=1,$L508,""),0)</f>
        <v>0</v>
      </c>
      <c r="Z508" s="15">
        <f>_xlfn.IFNA(IF(VLOOKUP($J508&amp;Z$12,'Mapping A'!$A$6:$G$1011,7,0)=1,$L508,""),0)</f>
        <v>0</v>
      </c>
      <c r="AA508" s="15">
        <f>_xlfn.IFNA(IF(VLOOKUP($J508&amp;AA$12,'Mapping A'!$A$6:$G$1011,7,0)=1,$L508,""),0)</f>
        <v>0</v>
      </c>
      <c r="AF508" s="155" t="str">
        <f t="shared" si="148"/>
        <v>HLY2201 HLY2Genesis</v>
      </c>
      <c r="AG508" s="15" t="s">
        <v>203</v>
      </c>
      <c r="AH508" s="15" t="s">
        <v>10</v>
      </c>
      <c r="AI508" s="15">
        <v>485.65329267722302</v>
      </c>
      <c r="AJ508" s="292" t="s">
        <v>95</v>
      </c>
      <c r="AK508" s="15"/>
      <c r="AL508" s="15">
        <f t="shared" si="151"/>
        <v>0</v>
      </c>
      <c r="AM508" s="15">
        <f t="shared" si="152"/>
        <v>0</v>
      </c>
      <c r="AN508" s="15">
        <f t="shared" si="153"/>
        <v>0</v>
      </c>
      <c r="AO508" s="15">
        <f t="shared" si="154"/>
        <v>0</v>
      </c>
      <c r="AP508" s="15">
        <f t="shared" si="155"/>
        <v>0</v>
      </c>
      <c r="AQ508" s="190">
        <f t="shared" ca="1" si="164"/>
        <v>0</v>
      </c>
      <c r="AR508" s="190">
        <f t="shared" si="165"/>
        <v>0</v>
      </c>
      <c r="AS508" s="190">
        <f t="shared" ca="1" si="166"/>
        <v>6.3948264982718092E-2</v>
      </c>
      <c r="AT508" s="190">
        <f t="shared" si="167"/>
        <v>0</v>
      </c>
      <c r="AU508" s="190">
        <f t="shared" si="168"/>
        <v>0</v>
      </c>
      <c r="AV508" s="190">
        <f t="shared" si="169"/>
        <v>0</v>
      </c>
      <c r="AW508" s="190">
        <f t="shared" si="170"/>
        <v>0</v>
      </c>
      <c r="AX508" s="190">
        <f t="shared" si="171"/>
        <v>0</v>
      </c>
      <c r="AZ508" s="15"/>
      <c r="BP508" s="190"/>
    </row>
    <row r="509" spans="2:68" x14ac:dyDescent="0.25">
      <c r="B509" s="98" t="s">
        <v>554</v>
      </c>
      <c r="C509" s="98">
        <v>2014</v>
      </c>
      <c r="D509" s="98" t="s">
        <v>159</v>
      </c>
      <c r="E509" s="98" t="s">
        <v>51</v>
      </c>
      <c r="F509" s="98" t="s">
        <v>131</v>
      </c>
      <c r="G509" s="98">
        <v>4009.0029999999902</v>
      </c>
      <c r="H509" s="299" t="str">
        <f>VLOOKUP(LEFT('Rev Adequacy'!D509,3),'Mapping B'!$D$2:$E$400,2,0)</f>
        <v>N</v>
      </c>
      <c r="J509" t="s">
        <v>204</v>
      </c>
      <c r="K509" s="15" t="s">
        <v>10</v>
      </c>
      <c r="L509">
        <v>2553.0601603844798</v>
      </c>
      <c r="O509" s="15">
        <f>_xlfn.IFNA(IF(VLOOKUP($J509&amp;O$12,'Mapping A'!$A$6:$G$1011,7,0)=1,$L509,""),0)</f>
        <v>0</v>
      </c>
      <c r="P509" s="15">
        <f>_xlfn.IFNA(IF(VLOOKUP($J509&amp;P$12,'Mapping A'!$A$6:$G$1011,7,0)=1,$L509,""),0)</f>
        <v>0</v>
      </c>
      <c r="Q509" s="15">
        <f>_xlfn.IFNA(IF(VLOOKUP($J509&amp;Q$12,'Mapping A'!$A$6:$G$1011,7,0)=1,$L509,""),0)</f>
        <v>0</v>
      </c>
      <c r="R509" s="15">
        <f>_xlfn.IFNA(IF(VLOOKUP($J509&amp;R$12,'Mapping A'!$A$6:$G$1011,7,0)=1,$L509,""),0)</f>
        <v>0</v>
      </c>
      <c r="S509" s="15">
        <f>_xlfn.IFNA(IF(VLOOKUP($J509&amp;S$12,'Mapping A'!$A$6:$G$1011,7,0)=1,$L509,""),0)</f>
        <v>0</v>
      </c>
      <c r="T509" s="15">
        <f>_xlfn.IFNA(IF(VLOOKUP($J509&amp;T$12,'Mapping A'!$A$6:$G$1011,7,0)=1,$L509,""),0)</f>
        <v>0</v>
      </c>
      <c r="U509" s="15">
        <f>_xlfn.IFNA(IF(VLOOKUP($J509&amp;U$12,'Mapping A'!$A$6:$G$1011,7,0)=1,$L509,""),0)</f>
        <v>0</v>
      </c>
      <c r="V509" s="15">
        <f>_xlfn.IFNA(IF(VLOOKUP($J509&amp;V$12,'Mapping A'!$A$6:$G$1011,7,0)=1,$L509,""),0)</f>
        <v>2553.0601603844798</v>
      </c>
      <c r="W509" s="15">
        <f>_xlfn.IFNA(IF(VLOOKUP($J509&amp;W$12,'Mapping A'!$A$6:$G$1011,7,0)=1,$L509,""),0)</f>
        <v>0</v>
      </c>
      <c r="X509" s="15">
        <f>_xlfn.IFNA(IF(VLOOKUP($J509&amp;X$12,'Mapping A'!$A$6:$G$1011,7,0)=1,$L509,""),0)</f>
        <v>0</v>
      </c>
      <c r="Y509" s="15">
        <f>_xlfn.IFNA(IF(VLOOKUP($J509&amp;Y$12,'Mapping A'!$A$6:$G$1011,7,0)=1,$L509,""),0)</f>
        <v>0</v>
      </c>
      <c r="Z509" s="15">
        <f>_xlfn.IFNA(IF(VLOOKUP($J509&amp;Z$12,'Mapping A'!$A$6:$G$1011,7,0)=1,$L509,""),0)</f>
        <v>0</v>
      </c>
      <c r="AA509" s="15">
        <f>_xlfn.IFNA(IF(VLOOKUP($J509&amp;AA$12,'Mapping A'!$A$6:$G$1011,7,0)=1,$L509,""),0)</f>
        <v>0</v>
      </c>
      <c r="AF509" s="155" t="str">
        <f t="shared" si="148"/>
        <v>HLY2201 HLY5Genesis</v>
      </c>
      <c r="AG509" s="15" t="s">
        <v>204</v>
      </c>
      <c r="AH509" s="15" t="s">
        <v>10</v>
      </c>
      <c r="AI509" s="15">
        <v>2553.0601603844798</v>
      </c>
      <c r="AJ509" s="292" t="s">
        <v>95</v>
      </c>
      <c r="AK509" s="15"/>
      <c r="AL509" s="15">
        <f t="shared" si="151"/>
        <v>0</v>
      </c>
      <c r="AM509" s="15">
        <f t="shared" si="152"/>
        <v>0</v>
      </c>
      <c r="AN509" s="15">
        <f t="shared" si="153"/>
        <v>0</v>
      </c>
      <c r="AO509" s="15">
        <f t="shared" si="154"/>
        <v>0</v>
      </c>
      <c r="AP509" s="15">
        <f t="shared" si="155"/>
        <v>0</v>
      </c>
      <c r="AQ509" s="190">
        <f t="shared" ca="1" si="164"/>
        <v>0</v>
      </c>
      <c r="AR509" s="190">
        <f t="shared" si="165"/>
        <v>0</v>
      </c>
      <c r="AS509" s="190">
        <f t="shared" ca="1" si="166"/>
        <v>0.33617350096212884</v>
      </c>
      <c r="AT509" s="190">
        <f t="shared" si="167"/>
        <v>0</v>
      </c>
      <c r="AU509" s="190">
        <f t="shared" si="168"/>
        <v>0</v>
      </c>
      <c r="AV509" s="190">
        <f t="shared" si="169"/>
        <v>0</v>
      </c>
      <c r="AW509" s="190">
        <f t="shared" si="170"/>
        <v>0</v>
      </c>
      <c r="AX509" s="190">
        <f t="shared" si="171"/>
        <v>0</v>
      </c>
      <c r="AZ509" s="15"/>
      <c r="BP509" s="190"/>
    </row>
    <row r="510" spans="2:68" x14ac:dyDescent="0.25">
      <c r="B510" s="98" t="s">
        <v>554</v>
      </c>
      <c r="C510" s="98">
        <v>2014</v>
      </c>
      <c r="D510" s="98" t="s">
        <v>194</v>
      </c>
      <c r="E510" s="98" t="s">
        <v>51</v>
      </c>
      <c r="F510" s="98" t="s">
        <v>131</v>
      </c>
      <c r="G510" s="98">
        <v>12813.5709999998</v>
      </c>
      <c r="H510" s="299" t="str">
        <f>VLOOKUP(LEFT('Rev Adequacy'!D510,3),'Mapping B'!$D$2:$E$400,2,0)</f>
        <v>N</v>
      </c>
      <c r="J510" t="s">
        <v>205</v>
      </c>
      <c r="K510" s="15" t="s">
        <v>10</v>
      </c>
      <c r="L510">
        <v>9.3521050122840101</v>
      </c>
      <c r="O510" s="15">
        <f>_xlfn.IFNA(IF(VLOOKUP($J510&amp;O$12,'Mapping A'!$A$6:$G$1011,7,0)=1,$L510,""),0)</f>
        <v>0</v>
      </c>
      <c r="P510" s="15">
        <f>_xlfn.IFNA(IF(VLOOKUP($J510&amp;P$12,'Mapping A'!$A$6:$G$1011,7,0)=1,$L510,""),0)</f>
        <v>0</v>
      </c>
      <c r="Q510" s="15">
        <f>_xlfn.IFNA(IF(VLOOKUP($J510&amp;Q$12,'Mapping A'!$A$6:$G$1011,7,0)=1,$L510,""),0)</f>
        <v>0</v>
      </c>
      <c r="R510" s="15">
        <f>_xlfn.IFNA(IF(VLOOKUP($J510&amp;R$12,'Mapping A'!$A$6:$G$1011,7,0)=1,$L510,""),0)</f>
        <v>0</v>
      </c>
      <c r="S510" s="15">
        <f>_xlfn.IFNA(IF(VLOOKUP($J510&amp;S$12,'Mapping A'!$A$6:$G$1011,7,0)=1,$L510,""),0)</f>
        <v>0</v>
      </c>
      <c r="T510" s="15">
        <f>_xlfn.IFNA(IF(VLOOKUP($J510&amp;T$12,'Mapping A'!$A$6:$G$1011,7,0)=1,$L510,""),0)</f>
        <v>0</v>
      </c>
      <c r="U510" s="15">
        <f>_xlfn.IFNA(IF(VLOOKUP($J510&amp;U$12,'Mapping A'!$A$6:$G$1011,7,0)=1,$L510,""),0)</f>
        <v>0</v>
      </c>
      <c r="V510" s="15">
        <f>_xlfn.IFNA(IF(VLOOKUP($J510&amp;V$12,'Mapping A'!$A$6:$G$1011,7,0)=1,$L510,""),0)</f>
        <v>9.3521050122840101</v>
      </c>
      <c r="W510" s="15">
        <f>_xlfn.IFNA(IF(VLOOKUP($J510&amp;W$12,'Mapping A'!$A$6:$G$1011,7,0)=1,$L510,""),0)</f>
        <v>0</v>
      </c>
      <c r="X510" s="15">
        <f>_xlfn.IFNA(IF(VLOOKUP($J510&amp;X$12,'Mapping A'!$A$6:$G$1011,7,0)=1,$L510,""),0)</f>
        <v>0</v>
      </c>
      <c r="Y510" s="15">
        <f>_xlfn.IFNA(IF(VLOOKUP($J510&amp;Y$12,'Mapping A'!$A$6:$G$1011,7,0)=1,$L510,""),0)</f>
        <v>0</v>
      </c>
      <c r="Z510" s="15">
        <f>_xlfn.IFNA(IF(VLOOKUP($J510&amp;Z$12,'Mapping A'!$A$6:$G$1011,7,0)=1,$L510,""),0)</f>
        <v>0</v>
      </c>
      <c r="AA510" s="15">
        <f>_xlfn.IFNA(IF(VLOOKUP($J510&amp;AA$12,'Mapping A'!$A$6:$G$1011,7,0)=1,$L510,""),0)</f>
        <v>0</v>
      </c>
      <c r="AF510" s="155" t="str">
        <f t="shared" si="148"/>
        <v>HLY2201 HLY6Genesis</v>
      </c>
      <c r="AG510" s="15" t="s">
        <v>205</v>
      </c>
      <c r="AH510" s="15" t="s">
        <v>10</v>
      </c>
      <c r="AI510" s="15">
        <v>9.3521050122840101</v>
      </c>
      <c r="AJ510" s="292" t="s">
        <v>95</v>
      </c>
      <c r="AK510" s="15"/>
      <c r="AL510" s="15">
        <f t="shared" si="151"/>
        <v>0</v>
      </c>
      <c r="AM510" s="15">
        <f t="shared" si="152"/>
        <v>0</v>
      </c>
      <c r="AN510" s="15">
        <f t="shared" si="153"/>
        <v>0</v>
      </c>
      <c r="AO510" s="15">
        <f t="shared" si="154"/>
        <v>0</v>
      </c>
      <c r="AP510" s="15">
        <f t="shared" si="155"/>
        <v>0</v>
      </c>
      <c r="AQ510" s="190">
        <f t="shared" ca="1" si="164"/>
        <v>0</v>
      </c>
      <c r="AR510" s="190">
        <f t="shared" si="165"/>
        <v>0</v>
      </c>
      <c r="AS510" s="190">
        <f t="shared" ca="1" si="166"/>
        <v>1.2314358792358132E-3</v>
      </c>
      <c r="AT510" s="190">
        <f t="shared" si="167"/>
        <v>0</v>
      </c>
      <c r="AU510" s="190">
        <f t="shared" si="168"/>
        <v>0</v>
      </c>
      <c r="AV510" s="190">
        <f t="shared" si="169"/>
        <v>0</v>
      </c>
      <c r="AW510" s="190">
        <f t="shared" si="170"/>
        <v>0</v>
      </c>
      <c r="AX510" s="190">
        <f t="shared" si="171"/>
        <v>0</v>
      </c>
      <c r="AZ510" s="15"/>
      <c r="BP510" s="190"/>
    </row>
    <row r="511" spans="2:68" x14ac:dyDescent="0.25">
      <c r="B511" s="98" t="s">
        <v>554</v>
      </c>
      <c r="C511" s="98">
        <v>2014</v>
      </c>
      <c r="D511" s="98" t="s">
        <v>299</v>
      </c>
      <c r="E511" s="98" t="s">
        <v>51</v>
      </c>
      <c r="F511" s="98" t="s">
        <v>131</v>
      </c>
      <c r="G511" s="98">
        <v>206.362999999999</v>
      </c>
      <c r="H511" s="299" t="str">
        <f>VLOOKUP(LEFT('Rev Adequacy'!D511,3),'Mapping B'!$D$2:$E$400,2,0)</f>
        <v>N</v>
      </c>
      <c r="J511" t="s">
        <v>214</v>
      </c>
      <c r="K511" s="15" t="s">
        <v>35</v>
      </c>
      <c r="L511">
        <v>82.357676991948395</v>
      </c>
      <c r="O511" s="15">
        <f>_xlfn.IFNA(IF(VLOOKUP($J511&amp;O$12,'Mapping A'!$A$6:$G$1011,7,0)=1,$L511,""),0)</f>
        <v>0</v>
      </c>
      <c r="P511" s="15">
        <f>_xlfn.IFNA(IF(VLOOKUP($J511&amp;P$12,'Mapping A'!$A$6:$G$1011,7,0)=1,$L511,""),0)</f>
        <v>0</v>
      </c>
      <c r="Q511" s="15">
        <f>_xlfn.IFNA(IF(VLOOKUP($J511&amp;Q$12,'Mapping A'!$A$6:$G$1011,7,0)=1,$L511,""),0)</f>
        <v>0</v>
      </c>
      <c r="R511" s="15">
        <f>_xlfn.IFNA(IF(VLOOKUP($J511&amp;R$12,'Mapping A'!$A$6:$G$1011,7,0)=1,$L511,""),0)</f>
        <v>0</v>
      </c>
      <c r="S511" s="15">
        <f>_xlfn.IFNA(IF(VLOOKUP($J511&amp;S$12,'Mapping A'!$A$6:$G$1011,7,0)=1,$L511,""),0)</f>
        <v>0</v>
      </c>
      <c r="T511" s="15">
        <f>_xlfn.IFNA(IF(VLOOKUP($J511&amp;T$12,'Mapping A'!$A$6:$G$1011,7,0)=1,$L511,""),0)</f>
        <v>0</v>
      </c>
      <c r="U511" s="15">
        <f>_xlfn.IFNA(IF(VLOOKUP($J511&amp;U$12,'Mapping A'!$A$6:$G$1011,7,0)=1,$L511,""),0)</f>
        <v>0</v>
      </c>
      <c r="V511" s="15">
        <f>_xlfn.IFNA(IF(VLOOKUP($J511&amp;V$12,'Mapping A'!$A$6:$G$1011,7,0)=1,$L511,""),0)</f>
        <v>82.357676991948395</v>
      </c>
      <c r="W511" s="15">
        <f>_xlfn.IFNA(IF(VLOOKUP($J511&amp;W$12,'Mapping A'!$A$6:$G$1011,7,0)=1,$L511,""),0)</f>
        <v>0</v>
      </c>
      <c r="X511" s="15">
        <f>_xlfn.IFNA(IF(VLOOKUP($J511&amp;X$12,'Mapping A'!$A$6:$G$1011,7,0)=1,$L511,""),0)</f>
        <v>0</v>
      </c>
      <c r="Y511" s="15">
        <f>_xlfn.IFNA(IF(VLOOKUP($J511&amp;Y$12,'Mapping A'!$A$6:$G$1011,7,0)=1,$L511,""),0)</f>
        <v>0</v>
      </c>
      <c r="Z511" s="15">
        <f>_xlfn.IFNA(IF(VLOOKUP($J511&amp;Z$12,'Mapping A'!$A$6:$G$1011,7,0)=1,$L511,""),0)</f>
        <v>0</v>
      </c>
      <c r="AA511" s="15">
        <f>_xlfn.IFNA(IF(VLOOKUP($J511&amp;AA$12,'Mapping A'!$A$6:$G$1011,7,0)=1,$L511,""),0)</f>
        <v>0</v>
      </c>
      <c r="AF511" s="155" t="str">
        <f t="shared" si="148"/>
        <v>HWA1101 PTA1Trustpower</v>
      </c>
      <c r="AG511" s="15" t="s">
        <v>214</v>
      </c>
      <c r="AH511" s="15" t="s">
        <v>35</v>
      </c>
      <c r="AI511" s="15">
        <v>82.357676991948395</v>
      </c>
      <c r="AJ511" s="292" t="s">
        <v>95</v>
      </c>
      <c r="AK511" s="15"/>
      <c r="AL511" s="15">
        <f t="shared" si="151"/>
        <v>0</v>
      </c>
      <c r="AM511" s="15">
        <f t="shared" si="152"/>
        <v>0</v>
      </c>
      <c r="AN511" s="15">
        <f t="shared" si="153"/>
        <v>0</v>
      </c>
      <c r="AO511" s="15">
        <f t="shared" si="154"/>
        <v>0</v>
      </c>
      <c r="AP511" s="15">
        <f t="shared" si="155"/>
        <v>0</v>
      </c>
      <c r="AQ511" s="190">
        <f t="shared" ca="1" si="164"/>
        <v>0</v>
      </c>
      <c r="AR511" s="190">
        <f t="shared" si="165"/>
        <v>0</v>
      </c>
      <c r="AS511" s="190">
        <f t="shared" ca="1" si="166"/>
        <v>1.0844424677138042E-2</v>
      </c>
      <c r="AT511" s="190">
        <f t="shared" si="167"/>
        <v>0</v>
      </c>
      <c r="AU511" s="190">
        <f t="shared" si="168"/>
        <v>0</v>
      </c>
      <c r="AV511" s="190">
        <f t="shared" si="169"/>
        <v>0</v>
      </c>
      <c r="AW511" s="190">
        <f t="shared" si="170"/>
        <v>0</v>
      </c>
      <c r="AX511" s="190">
        <f t="shared" si="171"/>
        <v>0</v>
      </c>
      <c r="AZ511" s="15"/>
      <c r="BP511" s="190"/>
    </row>
    <row r="512" spans="2:68" x14ac:dyDescent="0.25">
      <c r="B512" s="98" t="s">
        <v>554</v>
      </c>
      <c r="C512" s="98">
        <v>2014</v>
      </c>
      <c r="D512" s="98" t="s">
        <v>329</v>
      </c>
      <c r="E512" s="98" t="s">
        <v>51</v>
      </c>
      <c r="F512" s="98" t="s">
        <v>131</v>
      </c>
      <c r="G512" s="98">
        <v>79249.464999999793</v>
      </c>
      <c r="H512" s="299" t="str">
        <f>VLOOKUP(LEFT('Rev Adequacy'!D512,3),'Mapping B'!$D$2:$E$400,2,0)</f>
        <v>N</v>
      </c>
      <c r="J512" t="s">
        <v>215</v>
      </c>
      <c r="K512" s="15" t="s">
        <v>35</v>
      </c>
      <c r="L512">
        <v>82.357676991948395</v>
      </c>
      <c r="O512" s="15">
        <f>_xlfn.IFNA(IF(VLOOKUP($J512&amp;O$12,'Mapping A'!$A$6:$G$1011,7,0)=1,$L512,""),0)</f>
        <v>0</v>
      </c>
      <c r="P512" s="15">
        <f>_xlfn.IFNA(IF(VLOOKUP($J512&amp;P$12,'Mapping A'!$A$6:$G$1011,7,0)=1,$L512,""),0)</f>
        <v>0</v>
      </c>
      <c r="Q512" s="15">
        <f>_xlfn.IFNA(IF(VLOOKUP($J512&amp;Q$12,'Mapping A'!$A$6:$G$1011,7,0)=1,$L512,""),0)</f>
        <v>0</v>
      </c>
      <c r="R512" s="15">
        <f>_xlfn.IFNA(IF(VLOOKUP($J512&amp;R$12,'Mapping A'!$A$6:$G$1011,7,0)=1,$L512,""),0)</f>
        <v>0</v>
      </c>
      <c r="S512" s="15">
        <f>_xlfn.IFNA(IF(VLOOKUP($J512&amp;S$12,'Mapping A'!$A$6:$G$1011,7,0)=1,$L512,""),0)</f>
        <v>0</v>
      </c>
      <c r="T512" s="15">
        <f>_xlfn.IFNA(IF(VLOOKUP($J512&amp;T$12,'Mapping A'!$A$6:$G$1011,7,0)=1,$L512,""),0)</f>
        <v>0</v>
      </c>
      <c r="U512" s="15">
        <f>_xlfn.IFNA(IF(VLOOKUP($J512&amp;U$12,'Mapping A'!$A$6:$G$1011,7,0)=1,$L512,""),0)</f>
        <v>0</v>
      </c>
      <c r="V512" s="15">
        <f>_xlfn.IFNA(IF(VLOOKUP($J512&amp;V$12,'Mapping A'!$A$6:$G$1011,7,0)=1,$L512,""),0)</f>
        <v>82.357676991948395</v>
      </c>
      <c r="W512" s="15">
        <f>_xlfn.IFNA(IF(VLOOKUP($J512&amp;W$12,'Mapping A'!$A$6:$G$1011,7,0)=1,$L512,""),0)</f>
        <v>0</v>
      </c>
      <c r="X512" s="15">
        <f>_xlfn.IFNA(IF(VLOOKUP($J512&amp;X$12,'Mapping A'!$A$6:$G$1011,7,0)=1,$L512,""),0)</f>
        <v>0</v>
      </c>
      <c r="Y512" s="15">
        <f>_xlfn.IFNA(IF(VLOOKUP($J512&amp;Y$12,'Mapping A'!$A$6:$G$1011,7,0)=1,$L512,""),0)</f>
        <v>0</v>
      </c>
      <c r="Z512" s="15">
        <f>_xlfn.IFNA(IF(VLOOKUP($J512&amp;Z$12,'Mapping A'!$A$6:$G$1011,7,0)=1,$L512,""),0)</f>
        <v>0</v>
      </c>
      <c r="AA512" s="15">
        <f>_xlfn.IFNA(IF(VLOOKUP($J512&amp;AA$12,'Mapping A'!$A$6:$G$1011,7,0)=1,$L512,""),0)</f>
        <v>0</v>
      </c>
      <c r="AF512" s="155" t="str">
        <f t="shared" si="148"/>
        <v>HWA1101 PTA2Trustpower</v>
      </c>
      <c r="AG512" s="15" t="s">
        <v>215</v>
      </c>
      <c r="AH512" s="15" t="s">
        <v>35</v>
      </c>
      <c r="AI512" s="15">
        <v>82.357676991948395</v>
      </c>
      <c r="AJ512" s="292" t="s">
        <v>95</v>
      </c>
      <c r="AK512" s="15"/>
      <c r="AL512" s="15">
        <f t="shared" si="151"/>
        <v>0</v>
      </c>
      <c r="AM512" s="15">
        <f t="shared" si="152"/>
        <v>0</v>
      </c>
      <c r="AN512" s="15">
        <f t="shared" si="153"/>
        <v>0</v>
      </c>
      <c r="AO512" s="15">
        <f t="shared" si="154"/>
        <v>0</v>
      </c>
      <c r="AP512" s="15">
        <f t="shared" si="155"/>
        <v>0</v>
      </c>
      <c r="AQ512" s="190">
        <f t="shared" ca="1" si="164"/>
        <v>0</v>
      </c>
      <c r="AR512" s="190">
        <f t="shared" si="165"/>
        <v>0</v>
      </c>
      <c r="AS512" s="190">
        <f t="shared" ca="1" si="166"/>
        <v>1.0844424677138042E-2</v>
      </c>
      <c r="AT512" s="190">
        <f t="shared" si="167"/>
        <v>0</v>
      </c>
      <c r="AU512" s="190">
        <f t="shared" si="168"/>
        <v>0</v>
      </c>
      <c r="AV512" s="190">
        <f t="shared" si="169"/>
        <v>0</v>
      </c>
      <c r="AW512" s="190">
        <f t="shared" si="170"/>
        <v>0</v>
      </c>
      <c r="AX512" s="190">
        <f t="shared" si="171"/>
        <v>0</v>
      </c>
      <c r="AZ512" s="15"/>
      <c r="BP512" s="190"/>
    </row>
    <row r="513" spans="2:68" x14ac:dyDescent="0.25">
      <c r="B513" s="98" t="s">
        <v>554</v>
      </c>
      <c r="C513" s="98">
        <v>2014</v>
      </c>
      <c r="D513" s="98" t="s">
        <v>348</v>
      </c>
      <c r="E513" s="98" t="s">
        <v>51</v>
      </c>
      <c r="F513" s="98" t="s">
        <v>131</v>
      </c>
      <c r="G513" s="98">
        <v>10606.002999999901</v>
      </c>
      <c r="H513" s="299" t="str">
        <f>VLOOKUP(LEFT('Rev Adequacy'!D513,3),'Mapping B'!$D$2:$E$400,2,0)</f>
        <v>N</v>
      </c>
      <c r="J513" t="s">
        <v>216</v>
      </c>
      <c r="K513" s="15" t="s">
        <v>35</v>
      </c>
      <c r="L513">
        <v>82.357676991948395</v>
      </c>
      <c r="O513" s="15">
        <f>_xlfn.IFNA(IF(VLOOKUP($J513&amp;O$12,'Mapping A'!$A$6:$G$1011,7,0)=1,$L513,""),0)</f>
        <v>0</v>
      </c>
      <c r="P513" s="15">
        <f>_xlfn.IFNA(IF(VLOOKUP($J513&amp;P$12,'Mapping A'!$A$6:$G$1011,7,0)=1,$L513,""),0)</f>
        <v>0</v>
      </c>
      <c r="Q513" s="15">
        <f>_xlfn.IFNA(IF(VLOOKUP($J513&amp;Q$12,'Mapping A'!$A$6:$G$1011,7,0)=1,$L513,""),0)</f>
        <v>0</v>
      </c>
      <c r="R513" s="15">
        <f>_xlfn.IFNA(IF(VLOOKUP($J513&amp;R$12,'Mapping A'!$A$6:$G$1011,7,0)=1,$L513,""),0)</f>
        <v>0</v>
      </c>
      <c r="S513" s="15">
        <f>_xlfn.IFNA(IF(VLOOKUP($J513&amp;S$12,'Mapping A'!$A$6:$G$1011,7,0)=1,$L513,""),0)</f>
        <v>0</v>
      </c>
      <c r="T513" s="15">
        <f>_xlfn.IFNA(IF(VLOOKUP($J513&amp;T$12,'Mapping A'!$A$6:$G$1011,7,0)=1,$L513,""),0)</f>
        <v>0</v>
      </c>
      <c r="U513" s="15">
        <f>_xlfn.IFNA(IF(VLOOKUP($J513&amp;U$12,'Mapping A'!$A$6:$G$1011,7,0)=1,$L513,""),0)</f>
        <v>0</v>
      </c>
      <c r="V513" s="15">
        <f>_xlfn.IFNA(IF(VLOOKUP($J513&amp;V$12,'Mapping A'!$A$6:$G$1011,7,0)=1,$L513,""),0)</f>
        <v>82.357676991948395</v>
      </c>
      <c r="W513" s="15">
        <f>_xlfn.IFNA(IF(VLOOKUP($J513&amp;W$12,'Mapping A'!$A$6:$G$1011,7,0)=1,$L513,""),0)</f>
        <v>0</v>
      </c>
      <c r="X513" s="15">
        <f>_xlfn.IFNA(IF(VLOOKUP($J513&amp;X$12,'Mapping A'!$A$6:$G$1011,7,0)=1,$L513,""),0)</f>
        <v>0</v>
      </c>
      <c r="Y513" s="15">
        <f>_xlfn.IFNA(IF(VLOOKUP($J513&amp;Y$12,'Mapping A'!$A$6:$G$1011,7,0)=1,$L513,""),0)</f>
        <v>0</v>
      </c>
      <c r="Z513" s="15">
        <f>_xlfn.IFNA(IF(VLOOKUP($J513&amp;Z$12,'Mapping A'!$A$6:$G$1011,7,0)=1,$L513,""),0)</f>
        <v>0</v>
      </c>
      <c r="AA513" s="15">
        <f>_xlfn.IFNA(IF(VLOOKUP($J513&amp;AA$12,'Mapping A'!$A$6:$G$1011,7,0)=1,$L513,""),0)</f>
        <v>0</v>
      </c>
      <c r="AF513" s="155" t="str">
        <f t="shared" si="148"/>
        <v>HWA1101 PTA3Trustpower</v>
      </c>
      <c r="AG513" s="15" t="s">
        <v>216</v>
      </c>
      <c r="AH513" s="15" t="s">
        <v>35</v>
      </c>
      <c r="AI513" s="15">
        <v>82.357676991948395</v>
      </c>
      <c r="AJ513" s="292" t="s">
        <v>95</v>
      </c>
      <c r="AK513" s="15"/>
      <c r="AL513" s="15">
        <f t="shared" si="151"/>
        <v>0</v>
      </c>
      <c r="AM513" s="15">
        <f t="shared" si="152"/>
        <v>0</v>
      </c>
      <c r="AN513" s="15">
        <f t="shared" si="153"/>
        <v>0</v>
      </c>
      <c r="AO513" s="15">
        <f t="shared" si="154"/>
        <v>0</v>
      </c>
      <c r="AP513" s="15">
        <f t="shared" si="155"/>
        <v>0</v>
      </c>
      <c r="AQ513" s="190">
        <f t="shared" ca="1" si="164"/>
        <v>0</v>
      </c>
      <c r="AR513" s="190">
        <f t="shared" si="165"/>
        <v>0</v>
      </c>
      <c r="AS513" s="190">
        <f t="shared" ca="1" si="166"/>
        <v>1.0844424677138042E-2</v>
      </c>
      <c r="AT513" s="190">
        <f t="shared" si="167"/>
        <v>0</v>
      </c>
      <c r="AU513" s="190">
        <f t="shared" si="168"/>
        <v>0</v>
      </c>
      <c r="AV513" s="190">
        <f t="shared" si="169"/>
        <v>0</v>
      </c>
      <c r="AW513" s="190">
        <f t="shared" si="170"/>
        <v>0</v>
      </c>
      <c r="AX513" s="190">
        <f t="shared" si="171"/>
        <v>0</v>
      </c>
      <c r="AZ513" s="15"/>
      <c r="BP513" s="190"/>
    </row>
    <row r="514" spans="2:68" x14ac:dyDescent="0.25">
      <c r="B514" s="98" t="s">
        <v>554</v>
      </c>
      <c r="C514" s="98">
        <v>2014</v>
      </c>
      <c r="D514" s="98" t="s">
        <v>351</v>
      </c>
      <c r="E514" s="98" t="s">
        <v>51</v>
      </c>
      <c r="F514" s="98" t="s">
        <v>131</v>
      </c>
      <c r="G514" s="98">
        <v>0</v>
      </c>
      <c r="H514" s="299" t="str">
        <f>VLOOKUP(LEFT('Rev Adequacy'!D514,3),'Mapping B'!$D$2:$E$400,2,0)</f>
        <v>N</v>
      </c>
      <c r="J514" t="s">
        <v>218</v>
      </c>
      <c r="K514" s="15" t="s">
        <v>49</v>
      </c>
      <c r="L514">
        <v>119.532359973216</v>
      </c>
      <c r="O514" s="15">
        <f>_xlfn.IFNA(IF(VLOOKUP($J514&amp;O$12,'Mapping A'!$A$6:$G$1011,7,0)=1,$L514,""),0)</f>
        <v>0</v>
      </c>
      <c r="P514" s="15">
        <f>_xlfn.IFNA(IF(VLOOKUP($J514&amp;P$12,'Mapping A'!$A$6:$G$1011,7,0)=1,$L514,""),0)</f>
        <v>0</v>
      </c>
      <c r="Q514" s="15">
        <f>_xlfn.IFNA(IF(VLOOKUP($J514&amp;Q$12,'Mapping A'!$A$6:$G$1011,7,0)=1,$L514,""),0)</f>
        <v>0</v>
      </c>
      <c r="R514" s="15">
        <f>_xlfn.IFNA(IF(VLOOKUP($J514&amp;R$12,'Mapping A'!$A$6:$G$1011,7,0)=1,$L514,""),0)</f>
        <v>0</v>
      </c>
      <c r="S514" s="15">
        <f>_xlfn.IFNA(IF(VLOOKUP($J514&amp;S$12,'Mapping A'!$A$6:$G$1011,7,0)=1,$L514,""),0)</f>
        <v>0</v>
      </c>
      <c r="T514" s="15">
        <f>_xlfn.IFNA(IF(VLOOKUP($J514&amp;T$12,'Mapping A'!$A$6:$G$1011,7,0)=1,$L514,""),0)</f>
        <v>0</v>
      </c>
      <c r="U514" s="15">
        <f>_xlfn.IFNA(IF(VLOOKUP($J514&amp;U$12,'Mapping A'!$A$6:$G$1011,7,0)=1,$L514,""),0)</f>
        <v>0</v>
      </c>
      <c r="V514" s="15">
        <f>_xlfn.IFNA(IF(VLOOKUP($J514&amp;V$12,'Mapping A'!$A$6:$G$1011,7,0)=1,$L514,""),0)</f>
        <v>119.532359973216</v>
      </c>
      <c r="W514" s="15">
        <f>_xlfn.IFNA(IF(VLOOKUP($J514&amp;W$12,'Mapping A'!$A$6:$G$1011,7,0)=1,$L514,""),0)</f>
        <v>0</v>
      </c>
      <c r="X514" s="15">
        <f>_xlfn.IFNA(IF(VLOOKUP($J514&amp;X$12,'Mapping A'!$A$6:$G$1011,7,0)=1,$L514,""),0)</f>
        <v>0</v>
      </c>
      <c r="Y514" s="15">
        <f>_xlfn.IFNA(IF(VLOOKUP($J514&amp;Y$12,'Mapping A'!$A$6:$G$1011,7,0)=1,$L514,""),0)</f>
        <v>0</v>
      </c>
      <c r="Z514" s="15">
        <f>_xlfn.IFNA(IF(VLOOKUP($J514&amp;Z$12,'Mapping A'!$A$6:$G$1011,7,0)=1,$L514,""),0)</f>
        <v>0</v>
      </c>
      <c r="AA514" s="15">
        <f>_xlfn.IFNA(IF(VLOOKUP($J514&amp;AA$12,'Mapping A'!$A$6:$G$1011,7,0)=1,$L514,""),0)</f>
        <v>0</v>
      </c>
      <c r="AF514" s="155" t="str">
        <f t="shared" si="148"/>
        <v>HWA1102 WAA0Fonterra</v>
      </c>
      <c r="AG514" s="15" t="s">
        <v>218</v>
      </c>
      <c r="AH514" s="15" t="s">
        <v>49</v>
      </c>
      <c r="AI514" s="15">
        <v>119.532359973216</v>
      </c>
      <c r="AJ514" s="292" t="s">
        <v>95</v>
      </c>
      <c r="AK514" s="15"/>
      <c r="AL514" s="15">
        <f t="shared" si="151"/>
        <v>0</v>
      </c>
      <c r="AM514" s="15">
        <f t="shared" si="152"/>
        <v>0</v>
      </c>
      <c r="AN514" s="15">
        <f t="shared" si="153"/>
        <v>0</v>
      </c>
      <c r="AO514" s="15">
        <f t="shared" si="154"/>
        <v>0</v>
      </c>
      <c r="AP514" s="15">
        <f t="shared" si="155"/>
        <v>0</v>
      </c>
      <c r="AQ514" s="190">
        <f t="shared" ca="1" si="164"/>
        <v>0</v>
      </c>
      <c r="AR514" s="190">
        <f t="shared" si="165"/>
        <v>0</v>
      </c>
      <c r="AS514" s="190">
        <f t="shared" ca="1" si="166"/>
        <v>1.5739390929358273E-2</v>
      </c>
      <c r="AT514" s="190">
        <f t="shared" si="167"/>
        <v>0</v>
      </c>
      <c r="AU514" s="190">
        <f t="shared" si="168"/>
        <v>0</v>
      </c>
      <c r="AV514" s="190">
        <f t="shared" si="169"/>
        <v>0</v>
      </c>
      <c r="AW514" s="190">
        <f t="shared" si="170"/>
        <v>0</v>
      </c>
      <c r="AX514" s="190">
        <f t="shared" si="171"/>
        <v>0</v>
      </c>
      <c r="AZ514" s="15"/>
      <c r="BP514" s="190"/>
    </row>
    <row r="515" spans="2:68" x14ac:dyDescent="0.25">
      <c r="B515" s="98" t="s">
        <v>563</v>
      </c>
      <c r="C515" s="98">
        <v>2014</v>
      </c>
      <c r="D515" s="98" t="s">
        <v>159</v>
      </c>
      <c r="E515" s="98" t="s">
        <v>51</v>
      </c>
      <c r="F515" s="98" t="s">
        <v>131</v>
      </c>
      <c r="G515" s="98">
        <v>15728.032999999999</v>
      </c>
      <c r="H515" s="299" t="str">
        <f>VLOOKUP(LEFT('Rev Adequacy'!D515,3),'Mapping B'!$D$2:$E$400,2,0)</f>
        <v>N</v>
      </c>
      <c r="J515" t="s">
        <v>219</v>
      </c>
      <c r="K515" s="15" t="s">
        <v>49</v>
      </c>
      <c r="L515">
        <v>119.532359973216</v>
      </c>
      <c r="O515" s="15">
        <f>_xlfn.IFNA(IF(VLOOKUP($J515&amp;O$12,'Mapping A'!$A$6:$G$1011,7,0)=1,$L515,""),0)</f>
        <v>0</v>
      </c>
      <c r="P515" s="15">
        <f>_xlfn.IFNA(IF(VLOOKUP($J515&amp;P$12,'Mapping A'!$A$6:$G$1011,7,0)=1,$L515,""),0)</f>
        <v>0</v>
      </c>
      <c r="Q515" s="15">
        <f>_xlfn.IFNA(IF(VLOOKUP($J515&amp;Q$12,'Mapping A'!$A$6:$G$1011,7,0)=1,$L515,""),0)</f>
        <v>0</v>
      </c>
      <c r="R515" s="15">
        <f>_xlfn.IFNA(IF(VLOOKUP($J515&amp;R$12,'Mapping A'!$A$6:$G$1011,7,0)=1,$L515,""),0)</f>
        <v>0</v>
      </c>
      <c r="S515" s="15">
        <f>_xlfn.IFNA(IF(VLOOKUP($J515&amp;S$12,'Mapping A'!$A$6:$G$1011,7,0)=1,$L515,""),0)</f>
        <v>0</v>
      </c>
      <c r="T515" s="15">
        <f>_xlfn.IFNA(IF(VLOOKUP($J515&amp;T$12,'Mapping A'!$A$6:$G$1011,7,0)=1,$L515,""),0)</f>
        <v>0</v>
      </c>
      <c r="U515" s="15">
        <f>_xlfn.IFNA(IF(VLOOKUP($J515&amp;U$12,'Mapping A'!$A$6:$G$1011,7,0)=1,$L515,""),0)</f>
        <v>0</v>
      </c>
      <c r="V515" s="15">
        <f>_xlfn.IFNA(IF(VLOOKUP($J515&amp;V$12,'Mapping A'!$A$6:$G$1011,7,0)=1,$L515,""),0)</f>
        <v>119.532359973216</v>
      </c>
      <c r="W515" s="15">
        <f>_xlfn.IFNA(IF(VLOOKUP($J515&amp;W$12,'Mapping A'!$A$6:$G$1011,7,0)=1,$L515,""),0)</f>
        <v>0</v>
      </c>
      <c r="X515" s="15">
        <f>_xlfn.IFNA(IF(VLOOKUP($J515&amp;X$12,'Mapping A'!$A$6:$G$1011,7,0)=1,$L515,""),0)</f>
        <v>0</v>
      </c>
      <c r="Y515" s="15">
        <f>_xlfn.IFNA(IF(VLOOKUP($J515&amp;Y$12,'Mapping A'!$A$6:$G$1011,7,0)=1,$L515,""),0)</f>
        <v>0</v>
      </c>
      <c r="Z515" s="15">
        <f>_xlfn.IFNA(IF(VLOOKUP($J515&amp;Z$12,'Mapping A'!$A$6:$G$1011,7,0)=1,$L515,""),0)</f>
        <v>0</v>
      </c>
      <c r="AA515" s="15">
        <f>_xlfn.IFNA(IF(VLOOKUP($J515&amp;AA$12,'Mapping A'!$A$6:$G$1011,7,0)=1,$L515,""),0)</f>
        <v>0</v>
      </c>
      <c r="AF515" s="155" t="str">
        <f t="shared" si="148"/>
        <v>HWA1102 WAA1Fonterra</v>
      </c>
      <c r="AG515" s="15" t="s">
        <v>219</v>
      </c>
      <c r="AH515" s="15" t="s">
        <v>49</v>
      </c>
      <c r="AI515" s="15">
        <v>119.532359973216</v>
      </c>
      <c r="AJ515" s="292" t="s">
        <v>95</v>
      </c>
      <c r="AK515" s="15"/>
      <c r="AL515" s="15">
        <f t="shared" si="151"/>
        <v>0</v>
      </c>
      <c r="AM515" s="15">
        <f t="shared" si="152"/>
        <v>0</v>
      </c>
      <c r="AN515" s="15">
        <f t="shared" si="153"/>
        <v>0</v>
      </c>
      <c r="AO515" s="15">
        <f t="shared" si="154"/>
        <v>0</v>
      </c>
      <c r="AP515" s="15">
        <f t="shared" si="155"/>
        <v>0</v>
      </c>
      <c r="AQ515" s="190">
        <f t="shared" ca="1" si="164"/>
        <v>0</v>
      </c>
      <c r="AR515" s="190">
        <f t="shared" si="165"/>
        <v>0</v>
      </c>
      <c r="AS515" s="190">
        <f t="shared" ca="1" si="166"/>
        <v>1.5739390929358273E-2</v>
      </c>
      <c r="AT515" s="190">
        <f t="shared" si="167"/>
        <v>0</v>
      </c>
      <c r="AU515" s="190">
        <f t="shared" si="168"/>
        <v>0</v>
      </c>
      <c r="AV515" s="190">
        <f t="shared" si="169"/>
        <v>0</v>
      </c>
      <c r="AW515" s="190">
        <f t="shared" si="170"/>
        <v>0</v>
      </c>
      <c r="AX515" s="190">
        <f t="shared" si="171"/>
        <v>0</v>
      </c>
      <c r="AZ515" s="15"/>
      <c r="BP515" s="190"/>
    </row>
    <row r="516" spans="2:68" x14ac:dyDescent="0.25">
      <c r="B516" s="98" t="s">
        <v>563</v>
      </c>
      <c r="C516" s="98">
        <v>2014</v>
      </c>
      <c r="D516" s="98" t="s">
        <v>194</v>
      </c>
      <c r="E516" s="98" t="s">
        <v>51</v>
      </c>
      <c r="F516" s="98" t="s">
        <v>131</v>
      </c>
      <c r="G516" s="98">
        <v>22148.447999999698</v>
      </c>
      <c r="H516" s="299" t="str">
        <f>VLOOKUP(LEFT('Rev Adequacy'!D516,3),'Mapping B'!$D$2:$E$400,2,0)</f>
        <v>N</v>
      </c>
      <c r="J516" t="s">
        <v>221</v>
      </c>
      <c r="K516" s="15" t="s">
        <v>35</v>
      </c>
      <c r="L516">
        <v>155.968548231874</v>
      </c>
      <c r="O516" s="15">
        <f>_xlfn.IFNA(IF(VLOOKUP($J516&amp;O$12,'Mapping A'!$A$6:$G$1011,7,0)=1,$L516,""),0)</f>
        <v>0</v>
      </c>
      <c r="P516" s="15">
        <f>_xlfn.IFNA(IF(VLOOKUP($J516&amp;P$12,'Mapping A'!$A$6:$G$1011,7,0)=1,$L516,""),0)</f>
        <v>0</v>
      </c>
      <c r="Q516" s="15">
        <f>_xlfn.IFNA(IF(VLOOKUP($J516&amp;Q$12,'Mapping A'!$A$6:$G$1011,7,0)=1,$L516,""),0)</f>
        <v>0</v>
      </c>
      <c r="R516" s="15">
        <f>_xlfn.IFNA(IF(VLOOKUP($J516&amp;R$12,'Mapping A'!$A$6:$G$1011,7,0)=1,$L516,""),0)</f>
        <v>0</v>
      </c>
      <c r="S516" s="15">
        <f>_xlfn.IFNA(IF(VLOOKUP($J516&amp;S$12,'Mapping A'!$A$6:$G$1011,7,0)=1,$L516,""),0)</f>
        <v>155.968548231874</v>
      </c>
      <c r="T516" s="15">
        <f>_xlfn.IFNA(IF(VLOOKUP($J516&amp;T$12,'Mapping A'!$A$6:$G$1011,7,0)=1,$L516,""),0)</f>
        <v>0</v>
      </c>
      <c r="U516" s="15">
        <f>_xlfn.IFNA(IF(VLOOKUP($J516&amp;U$12,'Mapping A'!$A$6:$G$1011,7,0)=1,$L516,""),0)</f>
        <v>0</v>
      </c>
      <c r="V516" s="15">
        <f>_xlfn.IFNA(IF(VLOOKUP($J516&amp;V$12,'Mapping A'!$A$6:$G$1011,7,0)=1,$L516,""),0)</f>
        <v>0</v>
      </c>
      <c r="W516" s="15">
        <f>_xlfn.IFNA(IF(VLOOKUP($J516&amp;W$12,'Mapping A'!$A$6:$G$1011,7,0)=1,$L516,""),0)</f>
        <v>0</v>
      </c>
      <c r="X516" s="15">
        <f>_xlfn.IFNA(IF(VLOOKUP($J516&amp;X$12,'Mapping A'!$A$6:$G$1011,7,0)=1,$L516,""),0)</f>
        <v>0</v>
      </c>
      <c r="Y516" s="15">
        <f>_xlfn.IFNA(IF(VLOOKUP($J516&amp;Y$12,'Mapping A'!$A$6:$G$1011,7,0)=1,$L516,""),0)</f>
        <v>0</v>
      </c>
      <c r="Z516" s="15">
        <f>_xlfn.IFNA(IF(VLOOKUP($J516&amp;Z$12,'Mapping A'!$A$6:$G$1011,7,0)=1,$L516,""),0)</f>
        <v>0</v>
      </c>
      <c r="AA516" s="15">
        <f>_xlfn.IFNA(IF(VLOOKUP($J516&amp;AA$12,'Mapping A'!$A$6:$G$1011,7,0)=1,$L516,""),0)</f>
        <v>0</v>
      </c>
      <c r="AF516" s="155" t="str">
        <f t="shared" si="148"/>
        <v>HWB0331 WPI0Trustpower</v>
      </c>
      <c r="AG516" s="15" t="s">
        <v>221</v>
      </c>
      <c r="AH516" s="15" t="s">
        <v>35</v>
      </c>
      <c r="AI516" s="15">
        <v>155.968548231874</v>
      </c>
      <c r="AJ516" s="292" t="s">
        <v>96</v>
      </c>
      <c r="AK516" s="15"/>
      <c r="AL516" s="15">
        <f t="shared" si="151"/>
        <v>0</v>
      </c>
      <c r="AM516" s="15">
        <f t="shared" si="152"/>
        <v>0</v>
      </c>
      <c r="AN516" s="15">
        <f t="shared" si="153"/>
        <v>0</v>
      </c>
      <c r="AO516" s="15">
        <f t="shared" si="154"/>
        <v>0</v>
      </c>
      <c r="AP516" s="15">
        <f t="shared" si="155"/>
        <v>0</v>
      </c>
      <c r="AQ516" s="190">
        <f t="shared" ca="1" si="164"/>
        <v>0</v>
      </c>
      <c r="AR516" s="190">
        <f t="shared" si="165"/>
        <v>0</v>
      </c>
      <c r="AS516" s="190">
        <f t="shared" ca="1" si="166"/>
        <v>0</v>
      </c>
      <c r="AT516" s="190">
        <f t="shared" si="167"/>
        <v>0</v>
      </c>
      <c r="AU516" s="190">
        <f t="shared" si="168"/>
        <v>0</v>
      </c>
      <c r="AV516" s="190">
        <f t="shared" si="169"/>
        <v>0</v>
      </c>
      <c r="AW516" s="190">
        <f t="shared" si="170"/>
        <v>0</v>
      </c>
      <c r="AX516" s="190">
        <f t="shared" si="171"/>
        <v>0</v>
      </c>
      <c r="AZ516" s="15"/>
      <c r="BP516" s="190"/>
    </row>
    <row r="517" spans="2:68" x14ac:dyDescent="0.25">
      <c r="B517" s="98" t="s">
        <v>563</v>
      </c>
      <c r="C517" s="98">
        <v>2014</v>
      </c>
      <c r="D517" s="98" t="s">
        <v>299</v>
      </c>
      <c r="E517" s="98" t="s">
        <v>51</v>
      </c>
      <c r="F517" s="98" t="s">
        <v>131</v>
      </c>
      <c r="G517" s="98">
        <v>206.362999999999</v>
      </c>
      <c r="H517" s="299" t="str">
        <f>VLOOKUP(LEFT('Rev Adequacy'!D517,3),'Mapping B'!$D$2:$E$400,2,0)</f>
        <v>N</v>
      </c>
      <c r="J517" t="s">
        <v>431</v>
      </c>
      <c r="K517" s="15" t="s">
        <v>33</v>
      </c>
      <c r="O517" s="15">
        <f>_xlfn.IFNA(IF(VLOOKUP($J517&amp;O$12,'Mapping A'!$A$6:$G$1011,7,0)=1,$L517,""),0)</f>
        <v>0</v>
      </c>
      <c r="P517" s="15">
        <f>_xlfn.IFNA(IF(VLOOKUP($J517&amp;P$12,'Mapping A'!$A$6:$G$1011,7,0)=1,$L517,""),0)</f>
        <v>0</v>
      </c>
      <c r="Q517" s="15">
        <f>_xlfn.IFNA(IF(VLOOKUP($J517&amp;Q$12,'Mapping A'!$A$6:$G$1011,7,0)=1,$L517,""),0)</f>
        <v>0</v>
      </c>
      <c r="R517" s="15">
        <f>_xlfn.IFNA(IF(VLOOKUP($J517&amp;R$12,'Mapping A'!$A$6:$G$1011,7,0)=1,$L517,""),0)</f>
        <v>0</v>
      </c>
      <c r="S517" s="15">
        <f>_xlfn.IFNA(IF(VLOOKUP($J517&amp;S$12,'Mapping A'!$A$6:$G$1011,7,0)=1,$L517,""),0)</f>
        <v>0</v>
      </c>
      <c r="T517" s="15">
        <f>_xlfn.IFNA(IF(VLOOKUP($J517&amp;T$12,'Mapping A'!$A$6:$G$1011,7,0)=1,$L517,""),0)</f>
        <v>0</v>
      </c>
      <c r="U517" s="15">
        <f>_xlfn.IFNA(IF(VLOOKUP($J517&amp;U$12,'Mapping A'!$A$6:$G$1011,7,0)=1,$L517,""),0)</f>
        <v>0</v>
      </c>
      <c r="V517" s="15">
        <f>_xlfn.IFNA(IF(VLOOKUP($J517&amp;V$12,'Mapping A'!$A$6:$G$1011,7,0)=1,$L517,""),0)</f>
        <v>0</v>
      </c>
      <c r="W517" s="15">
        <f>_xlfn.IFNA(IF(VLOOKUP($J517&amp;W$12,'Mapping A'!$A$6:$G$1011,7,0)=1,$L517,""),0)</f>
        <v>0</v>
      </c>
      <c r="X517" s="15">
        <f>_xlfn.IFNA(IF(VLOOKUP($J517&amp;X$12,'Mapping A'!$A$6:$G$1011,7,0)=1,$L517,""),0)</f>
        <v>0</v>
      </c>
      <c r="Y517" s="15">
        <f>_xlfn.IFNA(IF(VLOOKUP($J517&amp;Y$12,'Mapping A'!$A$6:$G$1011,7,0)=1,$L517,""),0)</f>
        <v>0</v>
      </c>
      <c r="Z517" s="15">
        <f>_xlfn.IFNA(IF(VLOOKUP($J517&amp;Z$12,'Mapping A'!$A$6:$G$1011,7,0)=1,$L517,""),0)</f>
        <v>0</v>
      </c>
      <c r="AA517" s="15">
        <f>_xlfn.IFNA(IF(VLOOKUP($J517&amp;AA$12,'Mapping A'!$A$6:$G$1011,7,0)=1,$L517,""),0)</f>
        <v>0</v>
      </c>
      <c r="AF517" s="155" t="str">
        <f t="shared" si="148"/>
        <v>KAW0112 ONU0Todd</v>
      </c>
      <c r="AG517" s="15" t="s">
        <v>431</v>
      </c>
      <c r="AH517" s="15" t="s">
        <v>33</v>
      </c>
      <c r="AI517" s="15"/>
      <c r="AJ517" s="292" t="s">
        <v>95</v>
      </c>
      <c r="AK517" s="15"/>
      <c r="AL517" s="15">
        <f t="shared" si="151"/>
        <v>0</v>
      </c>
      <c r="AM517" s="15">
        <f t="shared" si="152"/>
        <v>0</v>
      </c>
      <c r="AN517" s="15">
        <f t="shared" si="153"/>
        <v>0</v>
      </c>
      <c r="AO517" s="15">
        <f t="shared" si="154"/>
        <v>0</v>
      </c>
      <c r="AP517" s="15">
        <f t="shared" si="155"/>
        <v>0</v>
      </c>
      <c r="AQ517" s="190">
        <f t="shared" ca="1" si="164"/>
        <v>0</v>
      </c>
      <c r="AR517" s="190">
        <f t="shared" si="165"/>
        <v>0</v>
      </c>
      <c r="AS517" s="190">
        <f t="shared" ca="1" si="166"/>
        <v>0</v>
      </c>
      <c r="AT517" s="190">
        <f t="shared" si="167"/>
        <v>0</v>
      </c>
      <c r="AU517" s="190">
        <f t="shared" si="168"/>
        <v>0</v>
      </c>
      <c r="AV517" s="190">
        <f t="shared" si="169"/>
        <v>0</v>
      </c>
      <c r="AW517" s="190">
        <f t="shared" si="170"/>
        <v>0</v>
      </c>
      <c r="AX517" s="190">
        <f t="shared" si="171"/>
        <v>0</v>
      </c>
      <c r="AZ517" s="15"/>
      <c r="BP517" s="190"/>
    </row>
    <row r="518" spans="2:68" x14ac:dyDescent="0.25">
      <c r="B518" s="98" t="s">
        <v>563</v>
      </c>
      <c r="C518" s="98">
        <v>2014</v>
      </c>
      <c r="D518" s="98" t="s">
        <v>329</v>
      </c>
      <c r="E518" s="98" t="s">
        <v>51</v>
      </c>
      <c r="F518" s="98" t="s">
        <v>131</v>
      </c>
      <c r="G518" s="98">
        <v>23552.833999999999</v>
      </c>
      <c r="H518" s="299" t="str">
        <f>VLOOKUP(LEFT('Rev Adequacy'!D518,3),'Mapping B'!$D$2:$E$400,2,0)</f>
        <v>N</v>
      </c>
      <c r="J518" t="s">
        <v>432</v>
      </c>
      <c r="K518" s="15" t="s">
        <v>17</v>
      </c>
      <c r="L518">
        <v>901.28343496513298</v>
      </c>
      <c r="O518" s="15">
        <f>_xlfn.IFNA(IF(VLOOKUP($J518&amp;O$12,'Mapping A'!$A$6:$G$1011,7,0)=1,$L518,""),0)</f>
        <v>0</v>
      </c>
      <c r="P518" s="15">
        <f>_xlfn.IFNA(IF(VLOOKUP($J518&amp;P$12,'Mapping A'!$A$6:$G$1011,7,0)=1,$L518,""),0)</f>
        <v>0</v>
      </c>
      <c r="Q518" s="15">
        <f>_xlfn.IFNA(IF(VLOOKUP($J518&amp;Q$12,'Mapping A'!$A$6:$G$1011,7,0)=1,$L518,""),0)</f>
        <v>0</v>
      </c>
      <c r="R518" s="15">
        <f>_xlfn.IFNA(IF(VLOOKUP($J518&amp;R$12,'Mapping A'!$A$6:$G$1011,7,0)=1,$L518,""),0)</f>
        <v>0</v>
      </c>
      <c r="S518" s="15">
        <f>_xlfn.IFNA(IF(VLOOKUP($J518&amp;S$12,'Mapping A'!$A$6:$G$1011,7,0)=1,$L518,""),0)</f>
        <v>0</v>
      </c>
      <c r="T518" s="15">
        <f>_xlfn.IFNA(IF(VLOOKUP($J518&amp;T$12,'Mapping A'!$A$6:$G$1011,7,0)=1,$L518,""),0)</f>
        <v>901.28343496513298</v>
      </c>
      <c r="U518" s="15">
        <f>_xlfn.IFNA(IF(VLOOKUP($J518&amp;U$12,'Mapping A'!$A$6:$G$1011,7,0)=1,$L518,""),0)</f>
        <v>0</v>
      </c>
      <c r="V518" s="15">
        <f>_xlfn.IFNA(IF(VLOOKUP($J518&amp;V$12,'Mapping A'!$A$6:$G$1011,7,0)=1,$L518,""),0)</f>
        <v>901.28343496513298</v>
      </c>
      <c r="W518" s="15">
        <f>_xlfn.IFNA(IF(VLOOKUP($J518&amp;W$12,'Mapping A'!$A$6:$G$1011,7,0)=1,$L518,""),0)</f>
        <v>0</v>
      </c>
      <c r="X518" s="15">
        <f>_xlfn.IFNA(IF(VLOOKUP($J518&amp;X$12,'Mapping A'!$A$6:$G$1011,7,0)=1,$L518,""),0)</f>
        <v>0</v>
      </c>
      <c r="Y518" s="15">
        <f>_xlfn.IFNA(IF(VLOOKUP($J518&amp;Y$12,'Mapping A'!$A$6:$G$1011,7,0)=1,$L518,""),0)</f>
        <v>0</v>
      </c>
      <c r="Z518" s="15">
        <f>_xlfn.IFNA(IF(VLOOKUP($J518&amp;Z$12,'Mapping A'!$A$6:$G$1011,7,0)=1,$L518,""),0)</f>
        <v>0</v>
      </c>
      <c r="AA518" s="15">
        <f>_xlfn.IFNA(IF(VLOOKUP($J518&amp;AA$12,'Mapping A'!$A$6:$G$1011,7,0)=1,$L518,""),0)</f>
        <v>0</v>
      </c>
      <c r="AF518" s="155" t="str">
        <f t="shared" si="148"/>
        <v>KAW1101 KAG0MRP</v>
      </c>
      <c r="AG518" s="15" t="s">
        <v>432</v>
      </c>
      <c r="AH518" s="15" t="s">
        <v>17</v>
      </c>
      <c r="AI518" s="15">
        <v>901.28343496513298</v>
      </c>
      <c r="AJ518" s="292" t="s">
        <v>95</v>
      </c>
      <c r="AK518" s="15"/>
      <c r="AL518" s="15">
        <f t="shared" si="151"/>
        <v>0</v>
      </c>
      <c r="AM518" s="15">
        <f t="shared" si="152"/>
        <v>0</v>
      </c>
      <c r="AN518" s="15">
        <f t="shared" si="153"/>
        <v>0</v>
      </c>
      <c r="AO518" s="15">
        <f t="shared" si="154"/>
        <v>0</v>
      </c>
      <c r="AP518" s="15">
        <f t="shared" si="155"/>
        <v>0</v>
      </c>
      <c r="AQ518" s="190">
        <f t="shared" ca="1" si="164"/>
        <v>0</v>
      </c>
      <c r="AR518" s="190">
        <f t="shared" si="165"/>
        <v>0</v>
      </c>
      <c r="AS518" s="190">
        <f t="shared" ca="1" si="166"/>
        <v>0.11867625071779478</v>
      </c>
      <c r="AT518" s="190">
        <f t="shared" si="167"/>
        <v>0</v>
      </c>
      <c r="AU518" s="190">
        <f t="shared" si="168"/>
        <v>0</v>
      </c>
      <c r="AV518" s="190">
        <f t="shared" si="169"/>
        <v>0</v>
      </c>
      <c r="AW518" s="190">
        <f t="shared" si="170"/>
        <v>0</v>
      </c>
      <c r="AX518" s="190">
        <f t="shared" si="171"/>
        <v>0</v>
      </c>
      <c r="AZ518" s="15"/>
      <c r="BP518" s="190"/>
    </row>
    <row r="519" spans="2:68" x14ac:dyDescent="0.25">
      <c r="B519" s="98" t="s">
        <v>563</v>
      </c>
      <c r="C519" s="98">
        <v>2014</v>
      </c>
      <c r="D519" s="98" t="s">
        <v>348</v>
      </c>
      <c r="E519" s="98" t="s">
        <v>51</v>
      </c>
      <c r="F519" s="98" t="s">
        <v>131</v>
      </c>
      <c r="G519" s="98">
        <v>23082.4129999998</v>
      </c>
      <c r="H519" s="299" t="str">
        <f>VLOOKUP(LEFT('Rev Adequacy'!D519,3),'Mapping B'!$D$2:$E$400,2,0)</f>
        <v>N</v>
      </c>
      <c r="J519" t="s">
        <v>433</v>
      </c>
      <c r="K519" s="15" t="s">
        <v>3</v>
      </c>
      <c r="L519">
        <v>268.139049971774</v>
      </c>
      <c r="O519" s="15">
        <f>_xlfn.IFNA(IF(VLOOKUP($J519&amp;O$12,'Mapping A'!$A$6:$G$1011,7,0)=1,$L519,""),0)</f>
        <v>0</v>
      </c>
      <c r="P519" s="15">
        <f>_xlfn.IFNA(IF(VLOOKUP($J519&amp;P$12,'Mapping A'!$A$6:$G$1011,7,0)=1,$L519,""),0)</f>
        <v>0</v>
      </c>
      <c r="Q519" s="15">
        <f>_xlfn.IFNA(IF(VLOOKUP($J519&amp;Q$12,'Mapping A'!$A$6:$G$1011,7,0)=1,$L519,""),0)</f>
        <v>0</v>
      </c>
      <c r="R519" s="15">
        <f>_xlfn.IFNA(IF(VLOOKUP($J519&amp;R$12,'Mapping A'!$A$6:$G$1011,7,0)=1,$L519,""),0)</f>
        <v>0</v>
      </c>
      <c r="S519" s="15">
        <f>_xlfn.IFNA(IF(VLOOKUP($J519&amp;S$12,'Mapping A'!$A$6:$G$1011,7,0)=1,$L519,""),0)</f>
        <v>0</v>
      </c>
      <c r="T519" s="15">
        <f>_xlfn.IFNA(IF(VLOOKUP($J519&amp;T$12,'Mapping A'!$A$6:$G$1011,7,0)=1,$L519,""),0)</f>
        <v>0</v>
      </c>
      <c r="U519" s="15">
        <f>_xlfn.IFNA(IF(VLOOKUP($J519&amp;U$12,'Mapping A'!$A$6:$G$1011,7,0)=1,$L519,""),0)</f>
        <v>0</v>
      </c>
      <c r="V519" s="15">
        <f>_xlfn.IFNA(IF(VLOOKUP($J519&amp;V$12,'Mapping A'!$A$6:$G$1011,7,0)=1,$L519,""),0)</f>
        <v>268.139049971774</v>
      </c>
      <c r="W519" s="15">
        <f>_xlfn.IFNA(IF(VLOOKUP($J519&amp;W$12,'Mapping A'!$A$6:$G$1011,7,0)=1,$L519,""),0)</f>
        <v>0</v>
      </c>
      <c r="X519" s="15">
        <f>_xlfn.IFNA(IF(VLOOKUP($J519&amp;X$12,'Mapping A'!$A$6:$G$1011,7,0)=1,$L519,""),0)</f>
        <v>0</v>
      </c>
      <c r="Y519" s="15">
        <f>_xlfn.IFNA(IF(VLOOKUP($J519&amp;Y$12,'Mapping A'!$A$6:$G$1011,7,0)=1,$L519,""),0)</f>
        <v>0</v>
      </c>
      <c r="Z519" s="15">
        <f>_xlfn.IFNA(IF(VLOOKUP($J519&amp;Z$12,'Mapping A'!$A$6:$G$1011,7,0)=1,$L519,""),0)</f>
        <v>0</v>
      </c>
      <c r="AA519" s="15">
        <f>_xlfn.IFNA(IF(VLOOKUP($J519&amp;AA$12,'Mapping A'!$A$6:$G$1011,7,0)=1,$L519,""),0)</f>
        <v>0</v>
      </c>
      <c r="AF519" s="155" t="str">
        <f t="shared" si="148"/>
        <v>KIN0112 KIN0CHH</v>
      </c>
      <c r="AG519" s="15" t="s">
        <v>433</v>
      </c>
      <c r="AH519" s="15" t="s">
        <v>3</v>
      </c>
      <c r="AI519" s="15">
        <v>268.139049971774</v>
      </c>
      <c r="AJ519" s="292" t="s">
        <v>95</v>
      </c>
      <c r="AK519" s="15"/>
      <c r="AL519" s="15">
        <f t="shared" si="151"/>
        <v>0</v>
      </c>
      <c r="AM519" s="15">
        <f t="shared" si="152"/>
        <v>0</v>
      </c>
      <c r="AN519" s="15">
        <f t="shared" si="153"/>
        <v>0</v>
      </c>
      <c r="AO519" s="15">
        <f t="shared" si="154"/>
        <v>0</v>
      </c>
      <c r="AP519" s="15">
        <f t="shared" si="155"/>
        <v>0</v>
      </c>
      <c r="AQ519" s="190">
        <f t="shared" ca="1" si="164"/>
        <v>0</v>
      </c>
      <c r="AR519" s="190">
        <f t="shared" si="165"/>
        <v>0</v>
      </c>
      <c r="AS519" s="190">
        <f t="shared" ca="1" si="166"/>
        <v>3.5307136342645207E-2</v>
      </c>
      <c r="AT519" s="190">
        <f t="shared" si="167"/>
        <v>0</v>
      </c>
      <c r="AU519" s="190">
        <f t="shared" si="168"/>
        <v>0</v>
      </c>
      <c r="AV519" s="190">
        <f t="shared" si="169"/>
        <v>0</v>
      </c>
      <c r="AW519" s="190">
        <f t="shared" si="170"/>
        <v>0</v>
      </c>
      <c r="AX519" s="190">
        <f t="shared" si="171"/>
        <v>0</v>
      </c>
      <c r="AZ519" s="15"/>
      <c r="BP519" s="190"/>
    </row>
    <row r="520" spans="2:68" x14ac:dyDescent="0.25">
      <c r="B520" s="98" t="s">
        <v>563</v>
      </c>
      <c r="C520" s="98">
        <v>2014</v>
      </c>
      <c r="D520" s="98" t="s">
        <v>351</v>
      </c>
      <c r="E520" s="98" t="s">
        <v>51</v>
      </c>
      <c r="F520" s="98" t="s">
        <v>131</v>
      </c>
      <c r="G520" s="98">
        <v>12527.119999999901</v>
      </c>
      <c r="H520" s="299" t="str">
        <f>VLOOKUP(LEFT('Rev Adequacy'!D520,3),'Mapping B'!$D$2:$E$400,2,0)</f>
        <v>N</v>
      </c>
      <c r="J520" t="s">
        <v>238</v>
      </c>
      <c r="K520" s="15" t="s">
        <v>33</v>
      </c>
      <c r="L520">
        <v>134.55983698975299</v>
      </c>
      <c r="O520" s="15">
        <f>_xlfn.IFNA(IF(VLOOKUP($J520&amp;O$12,'Mapping A'!$A$6:$G$1011,7,0)=1,$L520,""),0)</f>
        <v>0</v>
      </c>
      <c r="P520" s="15">
        <f>_xlfn.IFNA(IF(VLOOKUP($J520&amp;P$12,'Mapping A'!$A$6:$G$1011,7,0)=1,$L520,""),0)</f>
        <v>0</v>
      </c>
      <c r="Q520" s="15">
        <f>_xlfn.IFNA(IF(VLOOKUP($J520&amp;Q$12,'Mapping A'!$A$6:$G$1011,7,0)=1,$L520,""),0)</f>
        <v>0</v>
      </c>
      <c r="R520" s="15">
        <f>_xlfn.IFNA(IF(VLOOKUP($J520&amp;R$12,'Mapping A'!$A$6:$G$1011,7,0)=1,$L520,""),0)</f>
        <v>0</v>
      </c>
      <c r="S520" s="15">
        <f>_xlfn.IFNA(IF(VLOOKUP($J520&amp;S$12,'Mapping A'!$A$6:$G$1011,7,0)=1,$L520,""),0)</f>
        <v>0</v>
      </c>
      <c r="T520" s="15">
        <f>_xlfn.IFNA(IF(VLOOKUP($J520&amp;T$12,'Mapping A'!$A$6:$G$1011,7,0)=1,$L520,""),0)</f>
        <v>0</v>
      </c>
      <c r="U520" s="15">
        <f>_xlfn.IFNA(IF(VLOOKUP($J520&amp;U$12,'Mapping A'!$A$6:$G$1011,7,0)=1,$L520,""),0)</f>
        <v>0</v>
      </c>
      <c r="V520" s="15">
        <f>_xlfn.IFNA(IF(VLOOKUP($J520&amp;V$12,'Mapping A'!$A$6:$G$1011,7,0)=1,$L520,""),0)</f>
        <v>134.55983698975299</v>
      </c>
      <c r="W520" s="15">
        <f>_xlfn.IFNA(IF(VLOOKUP($J520&amp;W$12,'Mapping A'!$A$6:$G$1011,7,0)=1,$L520,""),0)</f>
        <v>0</v>
      </c>
      <c r="X520" s="15">
        <f>_xlfn.IFNA(IF(VLOOKUP($J520&amp;X$12,'Mapping A'!$A$6:$G$1011,7,0)=1,$L520,""),0)</f>
        <v>0</v>
      </c>
      <c r="Y520" s="15">
        <f>_xlfn.IFNA(IF(VLOOKUP($J520&amp;Y$12,'Mapping A'!$A$6:$G$1011,7,0)=1,$L520,""),0)</f>
        <v>0</v>
      </c>
      <c r="Z520" s="15">
        <f>_xlfn.IFNA(IF(VLOOKUP($J520&amp;Z$12,'Mapping A'!$A$6:$G$1011,7,0)=1,$L520,""),0)</f>
        <v>0</v>
      </c>
      <c r="AA520" s="15">
        <f>_xlfn.IFNA(IF(VLOOKUP($J520&amp;AA$12,'Mapping A'!$A$6:$G$1011,7,0)=1,$L520,""),0)</f>
        <v>0</v>
      </c>
      <c r="AF520" s="155" t="str">
        <f t="shared" si="148"/>
        <v>KPA1101 KPI1Todd</v>
      </c>
      <c r="AG520" s="15" t="s">
        <v>238</v>
      </c>
      <c r="AH520" s="15" t="s">
        <v>33</v>
      </c>
      <c r="AI520" s="15">
        <v>134.55983698975299</v>
      </c>
      <c r="AJ520" s="292" t="s">
        <v>95</v>
      </c>
      <c r="AK520" s="15"/>
      <c r="AL520" s="15">
        <f t="shared" si="151"/>
        <v>0</v>
      </c>
      <c r="AM520" s="15">
        <f t="shared" si="152"/>
        <v>0</v>
      </c>
      <c r="AN520" s="15">
        <f t="shared" si="153"/>
        <v>0</v>
      </c>
      <c r="AO520" s="15">
        <f t="shared" si="154"/>
        <v>0</v>
      </c>
      <c r="AP520" s="15">
        <f t="shared" si="155"/>
        <v>0</v>
      </c>
      <c r="AQ520" s="190">
        <f t="shared" ca="1" si="164"/>
        <v>0</v>
      </c>
      <c r="AR520" s="190">
        <f t="shared" si="165"/>
        <v>0</v>
      </c>
      <c r="AS520" s="190">
        <f t="shared" ca="1" si="166"/>
        <v>1.7718129870831701E-2</v>
      </c>
      <c r="AT520" s="190">
        <f t="shared" si="167"/>
        <v>0</v>
      </c>
      <c r="AU520" s="190">
        <f t="shared" si="168"/>
        <v>0</v>
      </c>
      <c r="AV520" s="190">
        <f t="shared" si="169"/>
        <v>0</v>
      </c>
      <c r="AW520" s="190">
        <f t="shared" si="170"/>
        <v>0</v>
      </c>
      <c r="AX520" s="190">
        <f t="shared" si="171"/>
        <v>0</v>
      </c>
      <c r="AZ520" s="15"/>
      <c r="BP520" s="190"/>
    </row>
    <row r="521" spans="2:68" x14ac:dyDescent="0.25">
      <c r="B521" s="98" t="s">
        <v>555</v>
      </c>
      <c r="C521" s="98">
        <v>2014</v>
      </c>
      <c r="D521" s="98" t="s">
        <v>159</v>
      </c>
      <c r="E521" s="98" t="s">
        <v>51</v>
      </c>
      <c r="F521" s="98" t="s">
        <v>131</v>
      </c>
      <c r="G521" s="98">
        <v>5324.6689999999599</v>
      </c>
      <c r="H521" s="299" t="str">
        <f>VLOOKUP(LEFT('Rev Adequacy'!D521,3),'Mapping B'!$D$2:$E$400,2,0)</f>
        <v>N</v>
      </c>
      <c r="J521" t="s">
        <v>239</v>
      </c>
      <c r="K521" s="15" t="s">
        <v>17</v>
      </c>
      <c r="L521">
        <v>435.108413841843</v>
      </c>
      <c r="O521" s="15">
        <f>_xlfn.IFNA(IF(VLOOKUP($J521&amp;O$12,'Mapping A'!$A$6:$G$1011,7,0)=1,$L521,""),0)</f>
        <v>0</v>
      </c>
      <c r="P521" s="15">
        <f>_xlfn.IFNA(IF(VLOOKUP($J521&amp;P$12,'Mapping A'!$A$6:$G$1011,7,0)=1,$L521,""),0)</f>
        <v>0</v>
      </c>
      <c r="Q521" s="15">
        <f>_xlfn.IFNA(IF(VLOOKUP($J521&amp;Q$12,'Mapping A'!$A$6:$G$1011,7,0)=1,$L521,""),0)</f>
        <v>0</v>
      </c>
      <c r="R521" s="15">
        <f>_xlfn.IFNA(IF(VLOOKUP($J521&amp;R$12,'Mapping A'!$A$6:$G$1011,7,0)=1,$L521,""),0)</f>
        <v>0</v>
      </c>
      <c r="S521" s="15">
        <f>_xlfn.IFNA(IF(VLOOKUP($J521&amp;S$12,'Mapping A'!$A$6:$G$1011,7,0)=1,$L521,""),0)</f>
        <v>0</v>
      </c>
      <c r="T521" s="15">
        <f>_xlfn.IFNA(IF(VLOOKUP($J521&amp;T$12,'Mapping A'!$A$6:$G$1011,7,0)=1,$L521,""),0)</f>
        <v>0</v>
      </c>
      <c r="U521" s="15">
        <f>_xlfn.IFNA(IF(VLOOKUP($J521&amp;U$12,'Mapping A'!$A$6:$G$1011,7,0)=1,$L521,""),0)</f>
        <v>0</v>
      </c>
      <c r="V521" s="15">
        <f>_xlfn.IFNA(IF(VLOOKUP($J521&amp;V$12,'Mapping A'!$A$6:$G$1011,7,0)=1,$L521,""),0)</f>
        <v>435.108413841843</v>
      </c>
      <c r="W521" s="15">
        <f>_xlfn.IFNA(IF(VLOOKUP($J521&amp;W$12,'Mapping A'!$A$6:$G$1011,7,0)=1,$L521,""),0)</f>
        <v>0</v>
      </c>
      <c r="X521" s="15">
        <f>_xlfn.IFNA(IF(VLOOKUP($J521&amp;X$12,'Mapping A'!$A$6:$G$1011,7,0)=1,$L521,""),0)</f>
        <v>0</v>
      </c>
      <c r="Y521" s="15">
        <f>_xlfn.IFNA(IF(VLOOKUP($J521&amp;Y$12,'Mapping A'!$A$6:$G$1011,7,0)=1,$L521,""),0)</f>
        <v>0</v>
      </c>
      <c r="Z521" s="15">
        <f>_xlfn.IFNA(IF(VLOOKUP($J521&amp;Z$12,'Mapping A'!$A$6:$G$1011,7,0)=1,$L521,""),0)</f>
        <v>0</v>
      </c>
      <c r="AA521" s="15">
        <f>_xlfn.IFNA(IF(VLOOKUP($J521&amp;AA$12,'Mapping A'!$A$6:$G$1011,7,0)=1,$L521,""),0)</f>
        <v>0</v>
      </c>
      <c r="AF521" s="155" t="str">
        <f t="shared" si="148"/>
        <v>KPO1101 KPO0MRP</v>
      </c>
      <c r="AG521" s="15" t="s">
        <v>239</v>
      </c>
      <c r="AH521" s="15" t="s">
        <v>17</v>
      </c>
      <c r="AI521" s="15">
        <v>435.108413841843</v>
      </c>
      <c r="AJ521" s="292" t="s">
        <v>95</v>
      </c>
      <c r="AK521" s="15"/>
      <c r="AL521" s="15">
        <f t="shared" si="151"/>
        <v>0</v>
      </c>
      <c r="AM521" s="15">
        <f t="shared" si="152"/>
        <v>0</v>
      </c>
      <c r="AN521" s="15">
        <f t="shared" si="153"/>
        <v>0</v>
      </c>
      <c r="AO521" s="15">
        <f t="shared" si="154"/>
        <v>0</v>
      </c>
      <c r="AP521" s="15">
        <f t="shared" si="155"/>
        <v>0</v>
      </c>
      <c r="AQ521" s="190">
        <f t="shared" ca="1" si="164"/>
        <v>0</v>
      </c>
      <c r="AR521" s="190">
        <f t="shared" si="165"/>
        <v>0</v>
      </c>
      <c r="AS521" s="190">
        <f t="shared" ca="1" si="166"/>
        <v>5.7292781834511586E-2</v>
      </c>
      <c r="AT521" s="190">
        <f t="shared" si="167"/>
        <v>0</v>
      </c>
      <c r="AU521" s="190">
        <f t="shared" si="168"/>
        <v>0</v>
      </c>
      <c r="AV521" s="190">
        <f t="shared" si="169"/>
        <v>0</v>
      </c>
      <c r="AW521" s="190">
        <f t="shared" si="170"/>
        <v>0</v>
      </c>
      <c r="AX521" s="190">
        <f t="shared" si="171"/>
        <v>0</v>
      </c>
      <c r="AZ521" s="15"/>
      <c r="BP521" s="190"/>
    </row>
    <row r="522" spans="2:68" x14ac:dyDescent="0.25">
      <c r="B522" s="98" t="s">
        <v>555</v>
      </c>
      <c r="C522" s="98">
        <v>2014</v>
      </c>
      <c r="D522" s="98" t="s">
        <v>194</v>
      </c>
      <c r="E522" s="98" t="s">
        <v>51</v>
      </c>
      <c r="F522" s="98" t="s">
        <v>131</v>
      </c>
      <c r="G522" s="98">
        <v>13471.949000000101</v>
      </c>
      <c r="H522" s="299" t="str">
        <f>VLOOKUP(LEFT('Rev Adequacy'!D522,3),'Mapping B'!$D$2:$E$400,2,0)</f>
        <v>N</v>
      </c>
      <c r="J522" t="s">
        <v>242</v>
      </c>
      <c r="K522" s="15" t="s">
        <v>35</v>
      </c>
      <c r="O522" s="15">
        <f>_xlfn.IFNA(IF(VLOOKUP($J522&amp;O$12,'Mapping A'!$A$6:$G$1011,7,0)=1,$L522,""),0)</f>
        <v>0</v>
      </c>
      <c r="P522" s="15">
        <f>_xlfn.IFNA(IF(VLOOKUP($J522&amp;P$12,'Mapping A'!$A$6:$G$1011,7,0)=1,$L522,""),0)</f>
        <v>0</v>
      </c>
      <c r="Q522" s="15">
        <f>_xlfn.IFNA(IF(VLOOKUP($J522&amp;Q$12,'Mapping A'!$A$6:$G$1011,7,0)=1,$L522,""),0)</f>
        <v>0</v>
      </c>
      <c r="R522" s="15">
        <f>_xlfn.IFNA(IF(VLOOKUP($J522&amp;R$12,'Mapping A'!$A$6:$G$1011,7,0)=1,$L522,""),0)</f>
        <v>0</v>
      </c>
      <c r="S522" s="15">
        <f>_xlfn.IFNA(IF(VLOOKUP($J522&amp;S$12,'Mapping A'!$A$6:$G$1011,7,0)=1,$L522,""),0)</f>
        <v>0</v>
      </c>
      <c r="T522" s="15">
        <f>_xlfn.IFNA(IF(VLOOKUP($J522&amp;T$12,'Mapping A'!$A$6:$G$1011,7,0)=1,$L522,""),0)</f>
        <v>0</v>
      </c>
      <c r="U522" s="15">
        <f>_xlfn.IFNA(IF(VLOOKUP($J522&amp;U$12,'Mapping A'!$A$6:$G$1011,7,0)=1,$L522,""),0)</f>
        <v>0</v>
      </c>
      <c r="V522" s="15">
        <f>_xlfn.IFNA(IF(VLOOKUP($J522&amp;V$12,'Mapping A'!$A$6:$G$1011,7,0)=1,$L522,""),0)</f>
        <v>0</v>
      </c>
      <c r="W522" s="15">
        <f>_xlfn.IFNA(IF(VLOOKUP($J522&amp;W$12,'Mapping A'!$A$6:$G$1011,7,0)=1,$L522,""),0)</f>
        <v>0</v>
      </c>
      <c r="X522" s="15">
        <f>_xlfn.IFNA(IF(VLOOKUP($J522&amp;X$12,'Mapping A'!$A$6:$G$1011,7,0)=1,$L522,""),0)</f>
        <v>0</v>
      </c>
      <c r="Y522" s="15">
        <f>_xlfn.IFNA(IF(VLOOKUP($J522&amp;Y$12,'Mapping A'!$A$6:$G$1011,7,0)=1,$L522,""),0)</f>
        <v>0</v>
      </c>
      <c r="Z522" s="15">
        <f>_xlfn.IFNA(IF(VLOOKUP($J522&amp;Z$12,'Mapping A'!$A$6:$G$1011,7,0)=1,$L522,""),0)</f>
        <v>0</v>
      </c>
      <c r="AA522" s="15">
        <f>_xlfn.IFNA(IF(VLOOKUP($J522&amp;AA$12,'Mapping A'!$A$6:$G$1011,7,0)=1,$L522,""),0)</f>
        <v>0</v>
      </c>
      <c r="AF522" s="155" t="str">
        <f t="shared" si="148"/>
        <v>KUM0661 KUM0Trustpower</v>
      </c>
      <c r="AG522" s="15" t="s">
        <v>242</v>
      </c>
      <c r="AH522" s="15" t="s">
        <v>35</v>
      </c>
      <c r="AI522" s="15"/>
      <c r="AJ522" s="292" t="s">
        <v>96</v>
      </c>
      <c r="AK522" s="15"/>
      <c r="AL522" s="15">
        <f t="shared" si="151"/>
        <v>0</v>
      </c>
      <c r="AM522" s="15">
        <f t="shared" si="152"/>
        <v>0</v>
      </c>
      <c r="AN522" s="15">
        <f t="shared" si="153"/>
        <v>0</v>
      </c>
      <c r="AO522" s="15">
        <f t="shared" si="154"/>
        <v>0</v>
      </c>
      <c r="AP522" s="15">
        <f t="shared" si="155"/>
        <v>0</v>
      </c>
      <c r="AQ522" s="190">
        <f t="shared" ca="1" si="164"/>
        <v>0</v>
      </c>
      <c r="AR522" s="190">
        <f t="shared" si="165"/>
        <v>0</v>
      </c>
      <c r="AS522" s="190">
        <f t="shared" ca="1" si="166"/>
        <v>0</v>
      </c>
      <c r="AT522" s="190">
        <f t="shared" si="167"/>
        <v>0</v>
      </c>
      <c r="AU522" s="190">
        <f t="shared" si="168"/>
        <v>0</v>
      </c>
      <c r="AV522" s="190">
        <f t="shared" si="169"/>
        <v>0</v>
      </c>
      <c r="AW522" s="190">
        <f t="shared" si="170"/>
        <v>0</v>
      </c>
      <c r="AX522" s="190">
        <f t="shared" si="171"/>
        <v>0</v>
      </c>
      <c r="AZ522" s="15"/>
      <c r="BP522" s="190"/>
    </row>
    <row r="523" spans="2:68" x14ac:dyDescent="0.25">
      <c r="B523" s="98" t="s">
        <v>555</v>
      </c>
      <c r="C523" s="98">
        <v>2014</v>
      </c>
      <c r="D523" s="98" t="s">
        <v>299</v>
      </c>
      <c r="E523" s="98" t="s">
        <v>51</v>
      </c>
      <c r="F523" s="98" t="s">
        <v>131</v>
      </c>
      <c r="G523" s="98">
        <v>28.168999999999901</v>
      </c>
      <c r="H523" s="299" t="str">
        <f>VLOOKUP(LEFT('Rev Adequacy'!D523,3),'Mapping B'!$D$2:$E$400,2,0)</f>
        <v>N</v>
      </c>
      <c r="J523" t="s">
        <v>248</v>
      </c>
      <c r="K523" s="15" t="s">
        <v>14</v>
      </c>
      <c r="L523">
        <v>4516.74994874191</v>
      </c>
      <c r="O523" s="15">
        <f>_xlfn.IFNA(IF(VLOOKUP($J523&amp;O$12,'Mapping A'!$A$6:$G$1011,7,0)=1,$L523,""),0)</f>
        <v>0</v>
      </c>
      <c r="P523" s="15">
        <f>_xlfn.IFNA(IF(VLOOKUP($J523&amp;P$12,'Mapping A'!$A$6:$G$1011,7,0)=1,$L523,""),0)</f>
        <v>0</v>
      </c>
      <c r="Q523" s="15">
        <f>_xlfn.IFNA(IF(VLOOKUP($J523&amp;Q$12,'Mapping A'!$A$6:$G$1011,7,0)=1,$L523,""),0)</f>
        <v>0</v>
      </c>
      <c r="R523" s="15">
        <f>_xlfn.IFNA(IF(VLOOKUP($J523&amp;R$12,'Mapping A'!$A$6:$G$1011,7,0)=1,$L523,""),0)</f>
        <v>0</v>
      </c>
      <c r="S523" s="15">
        <f>_xlfn.IFNA(IF(VLOOKUP($J523&amp;S$12,'Mapping A'!$A$6:$G$1011,7,0)=1,$L523,""),0)</f>
        <v>4516.74994874191</v>
      </c>
      <c r="T523" s="15">
        <f>_xlfn.IFNA(IF(VLOOKUP($J523&amp;T$12,'Mapping A'!$A$6:$G$1011,7,0)=1,$L523,""),0)</f>
        <v>0</v>
      </c>
      <c r="U523" s="15">
        <f>_xlfn.IFNA(IF(VLOOKUP($J523&amp;U$12,'Mapping A'!$A$6:$G$1011,7,0)=1,$L523,""),0)</f>
        <v>0</v>
      </c>
      <c r="V523" s="15">
        <f>_xlfn.IFNA(IF(VLOOKUP($J523&amp;V$12,'Mapping A'!$A$6:$G$1011,7,0)=1,$L523,""),0)</f>
        <v>0</v>
      </c>
      <c r="W523" s="15">
        <f>_xlfn.IFNA(IF(VLOOKUP($J523&amp;W$12,'Mapping A'!$A$6:$G$1011,7,0)=1,$L523,""),0)</f>
        <v>0</v>
      </c>
      <c r="X523" s="15">
        <f>_xlfn.IFNA(IF(VLOOKUP($J523&amp;X$12,'Mapping A'!$A$6:$G$1011,7,0)=1,$L523,""),0)</f>
        <v>0</v>
      </c>
      <c r="Y523" s="15">
        <f>_xlfn.IFNA(IF(VLOOKUP($J523&amp;Y$12,'Mapping A'!$A$6:$G$1011,7,0)=1,$L523,""),0)</f>
        <v>0</v>
      </c>
      <c r="Z523" s="15">
        <f>_xlfn.IFNA(IF(VLOOKUP($J523&amp;Z$12,'Mapping A'!$A$6:$G$1011,7,0)=1,$L523,""),0)</f>
        <v>0</v>
      </c>
      <c r="AA523" s="15">
        <f>_xlfn.IFNA(IF(VLOOKUP($J523&amp;AA$12,'Mapping A'!$A$6:$G$1011,7,0)=1,$L523,""),0)</f>
        <v>0</v>
      </c>
      <c r="AF523" s="155" t="str">
        <f t="shared" si="148"/>
        <v>MAN2201 MAN0Meridian</v>
      </c>
      <c r="AG523" s="15" t="s">
        <v>248</v>
      </c>
      <c r="AH523" s="15" t="s">
        <v>14</v>
      </c>
      <c r="AI523" s="15">
        <v>4516.74994874191</v>
      </c>
      <c r="AJ523" s="292" t="s">
        <v>96</v>
      </c>
      <c r="AK523" s="15"/>
      <c r="AL523" s="15">
        <f t="shared" si="151"/>
        <v>0</v>
      </c>
      <c r="AM523" s="15">
        <f t="shared" si="152"/>
        <v>0</v>
      </c>
      <c r="AN523" s="15">
        <f t="shared" si="153"/>
        <v>0</v>
      </c>
      <c r="AO523" s="15">
        <f t="shared" si="154"/>
        <v>0</v>
      </c>
      <c r="AP523" s="15">
        <f t="shared" si="155"/>
        <v>0</v>
      </c>
      <c r="AQ523" s="190">
        <f t="shared" ca="1" si="164"/>
        <v>0</v>
      </c>
      <c r="AR523" s="190">
        <f t="shared" si="165"/>
        <v>0</v>
      </c>
      <c r="AS523" s="190">
        <f t="shared" ca="1" si="166"/>
        <v>0</v>
      </c>
      <c r="AT523" s="190">
        <f t="shared" si="167"/>
        <v>0</v>
      </c>
      <c r="AU523" s="190">
        <f t="shared" si="168"/>
        <v>0</v>
      </c>
      <c r="AV523" s="190">
        <f t="shared" si="169"/>
        <v>0</v>
      </c>
      <c r="AW523" s="190">
        <f t="shared" si="170"/>
        <v>0</v>
      </c>
      <c r="AX523" s="190">
        <f t="shared" si="171"/>
        <v>0</v>
      </c>
      <c r="AZ523" s="15"/>
      <c r="BP523" s="190"/>
    </row>
    <row r="524" spans="2:68" x14ac:dyDescent="0.25">
      <c r="B524" s="98" t="s">
        <v>555</v>
      </c>
      <c r="C524" s="98">
        <v>2014</v>
      </c>
      <c r="D524" s="98" t="s">
        <v>329</v>
      </c>
      <c r="E524" s="98" t="s">
        <v>51</v>
      </c>
      <c r="F524" s="98" t="s">
        <v>131</v>
      </c>
      <c r="G524" s="98">
        <v>9163.7170000000206</v>
      </c>
      <c r="H524" s="299" t="str">
        <f>VLOOKUP(LEFT('Rev Adequacy'!D524,3),'Mapping B'!$D$2:$E$400,2,0)</f>
        <v>N</v>
      </c>
      <c r="J524" t="s">
        <v>250</v>
      </c>
      <c r="K524" s="15" t="s">
        <v>33</v>
      </c>
      <c r="L524">
        <v>88.417619371979896</v>
      </c>
      <c r="O524" s="15">
        <f>_xlfn.IFNA(IF(VLOOKUP($J524&amp;O$12,'Mapping A'!$A$6:$G$1011,7,0)=1,$L524,""),0)</f>
        <v>0</v>
      </c>
      <c r="P524" s="15">
        <f>_xlfn.IFNA(IF(VLOOKUP($J524&amp;P$12,'Mapping A'!$A$6:$G$1011,7,0)=1,$L524,""),0)</f>
        <v>0</v>
      </c>
      <c r="Q524" s="15">
        <f>_xlfn.IFNA(IF(VLOOKUP($J524&amp;Q$12,'Mapping A'!$A$6:$G$1011,7,0)=1,$L524,""),0)</f>
        <v>0</v>
      </c>
      <c r="R524" s="15">
        <f>_xlfn.IFNA(IF(VLOOKUP($J524&amp;R$12,'Mapping A'!$A$6:$G$1011,7,0)=1,$L524,""),0)</f>
        <v>0</v>
      </c>
      <c r="S524" s="15">
        <f>_xlfn.IFNA(IF(VLOOKUP($J524&amp;S$12,'Mapping A'!$A$6:$G$1011,7,0)=1,$L524,""),0)</f>
        <v>0</v>
      </c>
      <c r="T524" s="15">
        <f>_xlfn.IFNA(IF(VLOOKUP($J524&amp;T$12,'Mapping A'!$A$6:$G$1011,7,0)=1,$L524,""),0)</f>
        <v>88.417619371979896</v>
      </c>
      <c r="U524" s="15">
        <f>_xlfn.IFNA(IF(VLOOKUP($J524&amp;U$12,'Mapping A'!$A$6:$G$1011,7,0)=1,$L524,""),0)</f>
        <v>0</v>
      </c>
      <c r="V524" s="15">
        <f>_xlfn.IFNA(IF(VLOOKUP($J524&amp;V$12,'Mapping A'!$A$6:$G$1011,7,0)=1,$L524,""),0)</f>
        <v>88.417619371979896</v>
      </c>
      <c r="W524" s="15">
        <f>_xlfn.IFNA(IF(VLOOKUP($J524&amp;W$12,'Mapping A'!$A$6:$G$1011,7,0)=1,$L524,""),0)</f>
        <v>0</v>
      </c>
      <c r="X524" s="15">
        <f>_xlfn.IFNA(IF(VLOOKUP($J524&amp;X$12,'Mapping A'!$A$6:$G$1011,7,0)=1,$L524,""),0)</f>
        <v>0</v>
      </c>
      <c r="Y524" s="15">
        <f>_xlfn.IFNA(IF(VLOOKUP($J524&amp;Y$12,'Mapping A'!$A$6:$G$1011,7,0)=1,$L524,""),0)</f>
        <v>0</v>
      </c>
      <c r="Z524" s="15">
        <f>_xlfn.IFNA(IF(VLOOKUP($J524&amp;Z$12,'Mapping A'!$A$6:$G$1011,7,0)=1,$L524,""),0)</f>
        <v>0</v>
      </c>
      <c r="AA524" s="15">
        <f>_xlfn.IFNA(IF(VLOOKUP($J524&amp;AA$12,'Mapping A'!$A$6:$G$1011,7,0)=1,$L524,""),0)</f>
        <v>0</v>
      </c>
      <c r="AF524" s="155" t="str">
        <f t="shared" si="148"/>
        <v>MAT1101 ANI0Todd</v>
      </c>
      <c r="AG524" s="15" t="s">
        <v>250</v>
      </c>
      <c r="AH524" s="15" t="s">
        <v>33</v>
      </c>
      <c r="AI524" s="15">
        <v>88.417619371979896</v>
      </c>
      <c r="AJ524" s="292" t="s">
        <v>95</v>
      </c>
      <c r="AK524" s="15"/>
      <c r="AL524" s="15">
        <f t="shared" ref="AL524:AL555" si="172">IF(O$491=0,0,(O$13*O$7*O524/O$491))</f>
        <v>0</v>
      </c>
      <c r="AM524" s="15">
        <f t="shared" ref="AM524:AM555" si="173">IF(P$491=0,0,(P$13*P$7*P524/P$491))</f>
        <v>0</v>
      </c>
      <c r="AN524" s="15">
        <f t="shared" ref="AN524:AN555" si="174">IF(Q$491=0,0,(Q$13*Q$7*Q524/Q$491))</f>
        <v>0</v>
      </c>
      <c r="AO524" s="15">
        <f t="shared" ref="AO524:AO555" si="175">IF(R$491=0,0,(R$13*R$7*R524/R$491))</f>
        <v>0</v>
      </c>
      <c r="AP524" s="15">
        <f t="shared" ref="AP524:AP555" si="176">IF(S$491=0,0,(S$13*S$7*S524/S$491))</f>
        <v>0</v>
      </c>
      <c r="AQ524" s="190">
        <f t="shared" ca="1" si="164"/>
        <v>0</v>
      </c>
      <c r="AR524" s="190">
        <f t="shared" si="165"/>
        <v>0</v>
      </c>
      <c r="AS524" s="190">
        <f t="shared" ca="1" si="166"/>
        <v>1.1642365938818759E-2</v>
      </c>
      <c r="AT524" s="190">
        <f t="shared" si="167"/>
        <v>0</v>
      </c>
      <c r="AU524" s="190">
        <f t="shared" si="168"/>
        <v>0</v>
      </c>
      <c r="AV524" s="190">
        <f t="shared" si="169"/>
        <v>0</v>
      </c>
      <c r="AW524" s="190">
        <f t="shared" si="170"/>
        <v>0</v>
      </c>
      <c r="AX524" s="190">
        <f t="shared" si="171"/>
        <v>0</v>
      </c>
      <c r="AZ524" s="15"/>
      <c r="BP524" s="190"/>
    </row>
    <row r="525" spans="2:68" x14ac:dyDescent="0.25">
      <c r="B525" s="98" t="s">
        <v>555</v>
      </c>
      <c r="C525" s="98">
        <v>2014</v>
      </c>
      <c r="D525" s="98" t="s">
        <v>348</v>
      </c>
      <c r="E525" s="98" t="s">
        <v>51</v>
      </c>
      <c r="F525" s="98" t="s">
        <v>131</v>
      </c>
      <c r="G525" s="98">
        <v>14068.273999999999</v>
      </c>
      <c r="H525" s="299" t="str">
        <f>VLOOKUP(LEFT('Rev Adequacy'!D525,3),'Mapping B'!$D$2:$E$400,2,0)</f>
        <v>N</v>
      </c>
      <c r="J525" t="s">
        <v>251</v>
      </c>
      <c r="K525" s="15" t="s">
        <v>35</v>
      </c>
      <c r="L525">
        <v>178.924775022745</v>
      </c>
      <c r="O525" s="15">
        <f>_xlfn.IFNA(IF(VLOOKUP($J525&amp;O$12,'Mapping A'!$A$6:$G$1011,7,0)=1,$L525,""),0)</f>
        <v>0</v>
      </c>
      <c r="P525" s="15">
        <f>_xlfn.IFNA(IF(VLOOKUP($J525&amp;P$12,'Mapping A'!$A$6:$G$1011,7,0)=1,$L525,""),0)</f>
        <v>0</v>
      </c>
      <c r="Q525" s="15">
        <f>_xlfn.IFNA(IF(VLOOKUP($J525&amp;Q$12,'Mapping A'!$A$6:$G$1011,7,0)=1,$L525,""),0)</f>
        <v>0</v>
      </c>
      <c r="R525" s="15">
        <f>_xlfn.IFNA(IF(VLOOKUP($J525&amp;R$12,'Mapping A'!$A$6:$G$1011,7,0)=1,$L525,""),0)</f>
        <v>0</v>
      </c>
      <c r="S525" s="15">
        <f>_xlfn.IFNA(IF(VLOOKUP($J525&amp;S$12,'Mapping A'!$A$6:$G$1011,7,0)=1,$L525,""),0)</f>
        <v>0</v>
      </c>
      <c r="T525" s="15">
        <f>_xlfn.IFNA(IF(VLOOKUP($J525&amp;T$12,'Mapping A'!$A$6:$G$1011,7,0)=1,$L525,""),0)</f>
        <v>178.924775022745</v>
      </c>
      <c r="U525" s="15">
        <f>_xlfn.IFNA(IF(VLOOKUP($J525&amp;U$12,'Mapping A'!$A$6:$G$1011,7,0)=1,$L525,""),0)</f>
        <v>0</v>
      </c>
      <c r="V525" s="15">
        <f>_xlfn.IFNA(IF(VLOOKUP($J525&amp;V$12,'Mapping A'!$A$6:$G$1011,7,0)=1,$L525,""),0)</f>
        <v>178.924775022745</v>
      </c>
      <c r="W525" s="15">
        <f>_xlfn.IFNA(IF(VLOOKUP($J525&amp;W$12,'Mapping A'!$A$6:$G$1011,7,0)=1,$L525,""),0)</f>
        <v>0</v>
      </c>
      <c r="X525" s="15">
        <f>_xlfn.IFNA(IF(VLOOKUP($J525&amp;X$12,'Mapping A'!$A$6:$G$1011,7,0)=1,$L525,""),0)</f>
        <v>0</v>
      </c>
      <c r="Y525" s="15">
        <f>_xlfn.IFNA(IF(VLOOKUP($J525&amp;Y$12,'Mapping A'!$A$6:$G$1011,7,0)=1,$L525,""),0)</f>
        <v>0</v>
      </c>
      <c r="Z525" s="15">
        <f>_xlfn.IFNA(IF(VLOOKUP($J525&amp;Z$12,'Mapping A'!$A$6:$G$1011,7,0)=1,$L525,""),0)</f>
        <v>0</v>
      </c>
      <c r="AA525" s="15">
        <f>_xlfn.IFNA(IF(VLOOKUP($J525&amp;AA$12,'Mapping A'!$A$6:$G$1011,7,0)=1,$L525,""),0)</f>
        <v>0</v>
      </c>
      <c r="AF525" s="155" t="str">
        <f t="shared" si="148"/>
        <v>MAT1101 MAT0Trustpower</v>
      </c>
      <c r="AG525" s="15" t="s">
        <v>251</v>
      </c>
      <c r="AH525" s="15" t="s">
        <v>35</v>
      </c>
      <c r="AI525" s="15">
        <v>178.924775022745</v>
      </c>
      <c r="AJ525" s="292" t="s">
        <v>95</v>
      </c>
      <c r="AK525" s="15"/>
      <c r="AL525" s="15">
        <f t="shared" si="172"/>
        <v>0</v>
      </c>
      <c r="AM525" s="15">
        <f t="shared" si="173"/>
        <v>0</v>
      </c>
      <c r="AN525" s="15">
        <f t="shared" si="174"/>
        <v>0</v>
      </c>
      <c r="AO525" s="15">
        <f t="shared" si="175"/>
        <v>0</v>
      </c>
      <c r="AP525" s="15">
        <f t="shared" si="176"/>
        <v>0</v>
      </c>
      <c r="AQ525" s="190">
        <f t="shared" ca="1" si="164"/>
        <v>0</v>
      </c>
      <c r="AR525" s="190">
        <f t="shared" si="165"/>
        <v>0</v>
      </c>
      <c r="AS525" s="190">
        <f t="shared" ca="1" si="166"/>
        <v>2.3559870997790805E-2</v>
      </c>
      <c r="AT525" s="190">
        <f t="shared" si="167"/>
        <v>0</v>
      </c>
      <c r="AU525" s="190">
        <f t="shared" si="168"/>
        <v>0</v>
      </c>
      <c r="AV525" s="190">
        <f t="shared" si="169"/>
        <v>0</v>
      </c>
      <c r="AW525" s="190">
        <f t="shared" si="170"/>
        <v>0</v>
      </c>
      <c r="AX525" s="190">
        <f t="shared" si="171"/>
        <v>0</v>
      </c>
      <c r="AZ525" s="15"/>
      <c r="BP525" s="190"/>
    </row>
    <row r="526" spans="2:68" x14ac:dyDescent="0.25">
      <c r="B526" s="98" t="s">
        <v>555</v>
      </c>
      <c r="C526" s="98">
        <v>2014</v>
      </c>
      <c r="D526" s="98" t="s">
        <v>351</v>
      </c>
      <c r="E526" s="98" t="s">
        <v>51</v>
      </c>
      <c r="F526" s="98" t="s">
        <v>131</v>
      </c>
      <c r="G526" s="98">
        <v>1502.3820000000001</v>
      </c>
      <c r="H526" s="299" t="str">
        <f>VLOOKUP(LEFT('Rev Adequacy'!D526,3),'Mapping B'!$D$2:$E$400,2,0)</f>
        <v>N</v>
      </c>
      <c r="J526" t="s">
        <v>252</v>
      </c>
      <c r="K526" s="15" t="s">
        <v>35</v>
      </c>
      <c r="O526" s="15">
        <f>_xlfn.IFNA(IF(VLOOKUP($J526&amp;O$12,'Mapping A'!$A$6:$G$1011,7,0)=1,$L526,""),0)</f>
        <v>0</v>
      </c>
      <c r="P526" s="15">
        <f>_xlfn.IFNA(IF(VLOOKUP($J526&amp;P$12,'Mapping A'!$A$6:$G$1011,7,0)=1,$L526,""),0)</f>
        <v>0</v>
      </c>
      <c r="Q526" s="15">
        <f>_xlfn.IFNA(IF(VLOOKUP($J526&amp;Q$12,'Mapping A'!$A$6:$G$1011,7,0)=1,$L526,""),0)</f>
        <v>0</v>
      </c>
      <c r="R526" s="15">
        <f>_xlfn.IFNA(IF(VLOOKUP($J526&amp;R$12,'Mapping A'!$A$6:$G$1011,7,0)=1,$L526,""),0)</f>
        <v>0</v>
      </c>
      <c r="S526" s="15">
        <f>_xlfn.IFNA(IF(VLOOKUP($J526&amp;S$12,'Mapping A'!$A$6:$G$1011,7,0)=1,$L526,""),0)</f>
        <v>0</v>
      </c>
      <c r="T526" s="15">
        <f>_xlfn.IFNA(IF(VLOOKUP($J526&amp;T$12,'Mapping A'!$A$6:$G$1011,7,0)=1,$L526,""),0)</f>
        <v>0</v>
      </c>
      <c r="U526" s="15">
        <f>_xlfn.IFNA(IF(VLOOKUP($J526&amp;U$12,'Mapping A'!$A$6:$G$1011,7,0)=1,$L526,""),0)</f>
        <v>0</v>
      </c>
      <c r="V526" s="15">
        <f>_xlfn.IFNA(IF(VLOOKUP($J526&amp;V$12,'Mapping A'!$A$6:$G$1011,7,0)=1,$L526,""),0)</f>
        <v>0</v>
      </c>
      <c r="W526" s="15">
        <f>_xlfn.IFNA(IF(VLOOKUP($J526&amp;W$12,'Mapping A'!$A$6:$G$1011,7,0)=1,$L526,""),0)</f>
        <v>0</v>
      </c>
      <c r="X526" s="15">
        <f>_xlfn.IFNA(IF(VLOOKUP($J526&amp;X$12,'Mapping A'!$A$6:$G$1011,7,0)=1,$L526,""),0)</f>
        <v>0</v>
      </c>
      <c r="Y526" s="15">
        <f>_xlfn.IFNA(IF(VLOOKUP($J526&amp;Y$12,'Mapping A'!$A$6:$G$1011,7,0)=1,$L526,""),0)</f>
        <v>0</v>
      </c>
      <c r="Z526" s="15">
        <f>_xlfn.IFNA(IF(VLOOKUP($J526&amp;Z$12,'Mapping A'!$A$6:$G$1011,7,0)=1,$L526,""),0)</f>
        <v>0</v>
      </c>
      <c r="AA526" s="15">
        <f>_xlfn.IFNA(IF(VLOOKUP($J526&amp;AA$12,'Mapping A'!$A$6:$G$1011,7,0)=1,$L526,""),0)</f>
        <v>0</v>
      </c>
      <c r="AF526" s="155" t="str">
        <f t="shared" si="148"/>
        <v>MAT1102 MAT0Trustpower</v>
      </c>
      <c r="AG526" s="15" t="s">
        <v>252</v>
      </c>
      <c r="AH526" s="15" t="s">
        <v>35</v>
      </c>
      <c r="AI526" s="15"/>
      <c r="AJ526" s="292" t="s">
        <v>95</v>
      </c>
      <c r="AK526" s="15"/>
      <c r="AL526" s="15">
        <f t="shared" si="172"/>
        <v>0</v>
      </c>
      <c r="AM526" s="15">
        <f t="shared" si="173"/>
        <v>0</v>
      </c>
      <c r="AN526" s="15">
        <f t="shared" si="174"/>
        <v>0</v>
      </c>
      <c r="AO526" s="15">
        <f t="shared" si="175"/>
        <v>0</v>
      </c>
      <c r="AP526" s="15">
        <f t="shared" si="176"/>
        <v>0</v>
      </c>
      <c r="AQ526" s="190">
        <f t="shared" ca="1" si="164"/>
        <v>0</v>
      </c>
      <c r="AR526" s="190">
        <f t="shared" si="165"/>
        <v>0</v>
      </c>
      <c r="AS526" s="190">
        <f t="shared" ca="1" si="166"/>
        <v>0</v>
      </c>
      <c r="AT526" s="190">
        <f t="shared" si="167"/>
        <v>0</v>
      </c>
      <c r="AU526" s="190">
        <f t="shared" si="168"/>
        <v>0</v>
      </c>
      <c r="AV526" s="190">
        <f t="shared" si="169"/>
        <v>0</v>
      </c>
      <c r="AW526" s="190">
        <f t="shared" si="170"/>
        <v>0</v>
      </c>
      <c r="AX526" s="190">
        <f t="shared" si="171"/>
        <v>0</v>
      </c>
      <c r="AZ526" s="15"/>
      <c r="BP526" s="190"/>
    </row>
    <row r="527" spans="2:68" x14ac:dyDescent="0.25">
      <c r="B527" s="98" t="s">
        <v>112</v>
      </c>
      <c r="C527" s="98">
        <v>2014</v>
      </c>
      <c r="D527" s="98" t="s">
        <v>159</v>
      </c>
      <c r="E527" s="98" t="s">
        <v>51</v>
      </c>
      <c r="F527" s="98" t="s">
        <v>131</v>
      </c>
      <c r="G527" s="98">
        <v>291884.01500000001</v>
      </c>
      <c r="H527" s="299" t="str">
        <f>VLOOKUP(LEFT('Rev Adequacy'!D527,3),'Mapping B'!$D$2:$E$400,2,0)</f>
        <v>N</v>
      </c>
      <c r="J527" t="s">
        <v>257</v>
      </c>
      <c r="K527" s="15" t="s">
        <v>33</v>
      </c>
      <c r="L527">
        <v>32.015692994677799</v>
      </c>
      <c r="O527" s="15">
        <f>_xlfn.IFNA(IF(VLOOKUP($J527&amp;O$12,'Mapping A'!$A$6:$G$1011,7,0)=1,$L527,""),0)</f>
        <v>0</v>
      </c>
      <c r="P527" s="15">
        <f>_xlfn.IFNA(IF(VLOOKUP($J527&amp;P$12,'Mapping A'!$A$6:$G$1011,7,0)=1,$L527,""),0)</f>
        <v>0</v>
      </c>
      <c r="Q527" s="15">
        <f>_xlfn.IFNA(IF(VLOOKUP($J527&amp;Q$12,'Mapping A'!$A$6:$G$1011,7,0)=1,$L527,""),0)</f>
        <v>0</v>
      </c>
      <c r="R527" s="15">
        <f>_xlfn.IFNA(IF(VLOOKUP($J527&amp;R$12,'Mapping A'!$A$6:$G$1011,7,0)=1,$L527,""),0)</f>
        <v>0</v>
      </c>
      <c r="S527" s="15">
        <f>_xlfn.IFNA(IF(VLOOKUP($J527&amp;S$12,'Mapping A'!$A$6:$G$1011,7,0)=1,$L527,""),0)</f>
        <v>0</v>
      </c>
      <c r="T527" s="15">
        <f>_xlfn.IFNA(IF(VLOOKUP($J527&amp;T$12,'Mapping A'!$A$6:$G$1011,7,0)=1,$L527,""),0)</f>
        <v>0</v>
      </c>
      <c r="U527" s="15">
        <f>_xlfn.IFNA(IF(VLOOKUP($J527&amp;U$12,'Mapping A'!$A$6:$G$1011,7,0)=1,$L527,""),0)</f>
        <v>0</v>
      </c>
      <c r="V527" s="15">
        <f>_xlfn.IFNA(IF(VLOOKUP($J527&amp;V$12,'Mapping A'!$A$6:$G$1011,7,0)=1,$L527,""),0)</f>
        <v>32.015692994677799</v>
      </c>
      <c r="W527" s="15">
        <f>_xlfn.IFNA(IF(VLOOKUP($J527&amp;W$12,'Mapping A'!$A$6:$G$1011,7,0)=1,$L527,""),0)</f>
        <v>0</v>
      </c>
      <c r="X527" s="15">
        <f>_xlfn.IFNA(IF(VLOOKUP($J527&amp;X$12,'Mapping A'!$A$6:$G$1011,7,0)=1,$L527,""),0)</f>
        <v>0</v>
      </c>
      <c r="Y527" s="15">
        <f>_xlfn.IFNA(IF(VLOOKUP($J527&amp;Y$12,'Mapping A'!$A$6:$G$1011,7,0)=1,$L527,""),0)</f>
        <v>0</v>
      </c>
      <c r="Z527" s="15">
        <f>_xlfn.IFNA(IF(VLOOKUP($J527&amp;Z$12,'Mapping A'!$A$6:$G$1011,7,0)=1,$L527,""),0)</f>
        <v>0</v>
      </c>
      <c r="AA527" s="15">
        <f>_xlfn.IFNA(IF(VLOOKUP($J527&amp;AA$12,'Mapping A'!$A$6:$G$1011,7,0)=1,$L527,""),0)</f>
        <v>0</v>
      </c>
      <c r="AF527" s="155" t="str">
        <f t="shared" si="148"/>
        <v>MHO0331 MHO0Todd</v>
      </c>
      <c r="AG527" s="15" t="s">
        <v>257</v>
      </c>
      <c r="AH527" s="15" t="s">
        <v>33</v>
      </c>
      <c r="AI527" s="15">
        <v>32.015692994677799</v>
      </c>
      <c r="AJ527" s="292" t="s">
        <v>95</v>
      </c>
      <c r="AK527" s="15"/>
      <c r="AL527" s="15">
        <f t="shared" si="172"/>
        <v>0</v>
      </c>
      <c r="AM527" s="15">
        <f t="shared" si="173"/>
        <v>0</v>
      </c>
      <c r="AN527" s="15">
        <f t="shared" si="174"/>
        <v>0</v>
      </c>
      <c r="AO527" s="15">
        <f t="shared" si="175"/>
        <v>0</v>
      </c>
      <c r="AP527" s="15">
        <f t="shared" si="176"/>
        <v>0</v>
      </c>
      <c r="AQ527" s="190">
        <f t="shared" ca="1" si="164"/>
        <v>0</v>
      </c>
      <c r="AR527" s="190">
        <f t="shared" si="165"/>
        <v>0</v>
      </c>
      <c r="AS527" s="190">
        <f t="shared" ca="1" si="166"/>
        <v>4.2156576514549128E-3</v>
      </c>
      <c r="AT527" s="190">
        <f t="shared" si="167"/>
        <v>0</v>
      </c>
      <c r="AU527" s="190">
        <f t="shared" si="168"/>
        <v>0</v>
      </c>
      <c r="AV527" s="190">
        <f t="shared" si="169"/>
        <v>0</v>
      </c>
      <c r="AW527" s="190">
        <f t="shared" si="170"/>
        <v>0</v>
      </c>
      <c r="AX527" s="190">
        <f t="shared" si="171"/>
        <v>0</v>
      </c>
      <c r="AZ527" s="15"/>
      <c r="BP527" s="190"/>
    </row>
    <row r="528" spans="2:68" x14ac:dyDescent="0.25">
      <c r="B528" s="98" t="s">
        <v>112</v>
      </c>
      <c r="C528" s="98">
        <v>2014</v>
      </c>
      <c r="D528" s="98" t="s">
        <v>194</v>
      </c>
      <c r="E528" s="98" t="s">
        <v>51</v>
      </c>
      <c r="F528" s="98" t="s">
        <v>131</v>
      </c>
      <c r="G528" s="98">
        <v>229658.38200000001</v>
      </c>
      <c r="H528" s="299" t="str">
        <f>VLOOKUP(LEFT('Rev Adequacy'!D528,3),'Mapping B'!$D$2:$E$400,2,0)</f>
        <v>N</v>
      </c>
      <c r="J528" t="s">
        <v>259</v>
      </c>
      <c r="K528" s="15" t="s">
        <v>33</v>
      </c>
      <c r="L528">
        <v>216.218150101883</v>
      </c>
      <c r="O528" s="15">
        <f>_xlfn.IFNA(IF(VLOOKUP($J528&amp;O$12,'Mapping A'!$A$6:$G$1011,7,0)=1,$L528,""),0)</f>
        <v>0</v>
      </c>
      <c r="P528" s="15">
        <f>_xlfn.IFNA(IF(VLOOKUP($J528&amp;P$12,'Mapping A'!$A$6:$G$1011,7,0)=1,$L528,""),0)</f>
        <v>0</v>
      </c>
      <c r="Q528" s="15">
        <f>_xlfn.IFNA(IF(VLOOKUP($J528&amp;Q$12,'Mapping A'!$A$6:$G$1011,7,0)=1,$L528,""),0)</f>
        <v>0</v>
      </c>
      <c r="R528" s="15">
        <f>_xlfn.IFNA(IF(VLOOKUP($J528&amp;R$12,'Mapping A'!$A$6:$G$1011,7,0)=1,$L528,""),0)</f>
        <v>0</v>
      </c>
      <c r="S528" s="15">
        <f>_xlfn.IFNA(IF(VLOOKUP($J528&amp;S$12,'Mapping A'!$A$6:$G$1011,7,0)=1,$L528,""),0)</f>
        <v>0</v>
      </c>
      <c r="T528" s="15">
        <f>_xlfn.IFNA(IF(VLOOKUP($J528&amp;T$12,'Mapping A'!$A$6:$G$1011,7,0)=1,$L528,""),0)</f>
        <v>0</v>
      </c>
      <c r="U528" s="15">
        <f>_xlfn.IFNA(IF(VLOOKUP($J528&amp;U$12,'Mapping A'!$A$6:$G$1011,7,0)=1,$L528,""),0)</f>
        <v>0</v>
      </c>
      <c r="V528" s="15">
        <f>_xlfn.IFNA(IF(VLOOKUP($J528&amp;V$12,'Mapping A'!$A$6:$G$1011,7,0)=1,$L528,""),0)</f>
        <v>216.218150101883</v>
      </c>
      <c r="W528" s="15">
        <f>_xlfn.IFNA(IF(VLOOKUP($J528&amp;W$12,'Mapping A'!$A$6:$G$1011,7,0)=1,$L528,""),0)</f>
        <v>0</v>
      </c>
      <c r="X528" s="15">
        <f>_xlfn.IFNA(IF(VLOOKUP($J528&amp;X$12,'Mapping A'!$A$6:$G$1011,7,0)=1,$L528,""),0)</f>
        <v>0</v>
      </c>
      <c r="Y528" s="15">
        <f>_xlfn.IFNA(IF(VLOOKUP($J528&amp;Y$12,'Mapping A'!$A$6:$G$1011,7,0)=1,$L528,""),0)</f>
        <v>0</v>
      </c>
      <c r="Z528" s="15">
        <f>_xlfn.IFNA(IF(VLOOKUP($J528&amp;Z$12,'Mapping A'!$A$6:$G$1011,7,0)=1,$L528,""),0)</f>
        <v>0</v>
      </c>
      <c r="AA528" s="15">
        <f>_xlfn.IFNA(IF(VLOOKUP($J528&amp;AA$12,'Mapping A'!$A$6:$G$1011,7,0)=1,$L528,""),0)</f>
        <v>0</v>
      </c>
      <c r="AF528" s="155" t="str">
        <f t="shared" si="148"/>
        <v>MKE1101 MKE1Todd</v>
      </c>
      <c r="AG528" s="15" t="s">
        <v>259</v>
      </c>
      <c r="AH528" s="15" t="s">
        <v>33</v>
      </c>
      <c r="AI528" s="15">
        <v>216.218150101883</v>
      </c>
      <c r="AJ528" s="292" t="s">
        <v>95</v>
      </c>
      <c r="AK528" s="15"/>
      <c r="AL528" s="15">
        <f t="shared" si="172"/>
        <v>0</v>
      </c>
      <c r="AM528" s="15">
        <f t="shared" si="173"/>
        <v>0</v>
      </c>
      <c r="AN528" s="15">
        <f t="shared" si="174"/>
        <v>0</v>
      </c>
      <c r="AO528" s="15">
        <f t="shared" si="175"/>
        <v>0</v>
      </c>
      <c r="AP528" s="15">
        <f t="shared" si="176"/>
        <v>0</v>
      </c>
      <c r="AQ528" s="190">
        <f t="shared" ca="1" si="164"/>
        <v>0</v>
      </c>
      <c r="AR528" s="190">
        <f t="shared" si="165"/>
        <v>0</v>
      </c>
      <c r="AS528" s="190">
        <f t="shared" ca="1" si="166"/>
        <v>2.8470465999656962E-2</v>
      </c>
      <c r="AT528" s="190">
        <f t="shared" si="167"/>
        <v>0</v>
      </c>
      <c r="AU528" s="190">
        <f t="shared" si="168"/>
        <v>0</v>
      </c>
      <c r="AV528" s="190">
        <f t="shared" si="169"/>
        <v>0</v>
      </c>
      <c r="AW528" s="190">
        <f t="shared" si="170"/>
        <v>0</v>
      </c>
      <c r="AX528" s="190">
        <f t="shared" si="171"/>
        <v>0</v>
      </c>
      <c r="AZ528" s="15"/>
      <c r="BP528" s="190"/>
    </row>
    <row r="529" spans="2:68" x14ac:dyDescent="0.25">
      <c r="B529" s="98" t="s">
        <v>112</v>
      </c>
      <c r="C529" s="98">
        <v>2014</v>
      </c>
      <c r="D529" s="98" t="s">
        <v>299</v>
      </c>
      <c r="E529" s="98" t="s">
        <v>51</v>
      </c>
      <c r="F529" s="98" t="s">
        <v>131</v>
      </c>
      <c r="G529" s="98">
        <v>960.03499999999997</v>
      </c>
      <c r="H529" s="299" t="str">
        <f>VLOOKUP(LEFT('Rev Adequacy'!D529,3),'Mapping B'!$D$2:$E$400,2,0)</f>
        <v>N</v>
      </c>
      <c r="J529" t="s">
        <v>267</v>
      </c>
      <c r="K529" s="15" t="s">
        <v>17</v>
      </c>
      <c r="L529">
        <v>742.00809885956699</v>
      </c>
      <c r="O529" s="15">
        <f>_xlfn.IFNA(IF(VLOOKUP($J529&amp;O$12,'Mapping A'!$A$6:$G$1011,7,0)=1,$L529,""),0)</f>
        <v>0</v>
      </c>
      <c r="P529" s="15">
        <f>_xlfn.IFNA(IF(VLOOKUP($J529&amp;P$12,'Mapping A'!$A$6:$G$1011,7,0)=1,$L529,""),0)</f>
        <v>0</v>
      </c>
      <c r="Q529" s="15">
        <f>_xlfn.IFNA(IF(VLOOKUP($J529&amp;Q$12,'Mapping A'!$A$6:$G$1011,7,0)=1,$L529,""),0)</f>
        <v>0</v>
      </c>
      <c r="R529" s="15">
        <f>_xlfn.IFNA(IF(VLOOKUP($J529&amp;R$12,'Mapping A'!$A$6:$G$1011,7,0)=1,$L529,""),0)</f>
        <v>0</v>
      </c>
      <c r="S529" s="15">
        <f>_xlfn.IFNA(IF(VLOOKUP($J529&amp;S$12,'Mapping A'!$A$6:$G$1011,7,0)=1,$L529,""),0)</f>
        <v>0</v>
      </c>
      <c r="T529" s="15">
        <f>_xlfn.IFNA(IF(VLOOKUP($J529&amp;T$12,'Mapping A'!$A$6:$G$1011,7,0)=1,$L529,""),0)</f>
        <v>0</v>
      </c>
      <c r="U529" s="15">
        <f>_xlfn.IFNA(IF(VLOOKUP($J529&amp;U$12,'Mapping A'!$A$6:$G$1011,7,0)=1,$L529,""),0)</f>
        <v>0</v>
      </c>
      <c r="V529" s="15">
        <f>_xlfn.IFNA(IF(VLOOKUP($J529&amp;V$12,'Mapping A'!$A$6:$G$1011,7,0)=1,$L529,""),0)</f>
        <v>742.00809885956699</v>
      </c>
      <c r="W529" s="15">
        <f>_xlfn.IFNA(IF(VLOOKUP($J529&amp;W$12,'Mapping A'!$A$6:$G$1011,7,0)=1,$L529,""),0)</f>
        <v>0</v>
      </c>
      <c r="X529" s="15">
        <f>_xlfn.IFNA(IF(VLOOKUP($J529&amp;X$12,'Mapping A'!$A$6:$G$1011,7,0)=1,$L529,""),0)</f>
        <v>0</v>
      </c>
      <c r="Y529" s="15">
        <f>_xlfn.IFNA(IF(VLOOKUP($J529&amp;Y$12,'Mapping A'!$A$6:$G$1011,7,0)=1,$L529,""),0)</f>
        <v>0</v>
      </c>
      <c r="Z529" s="15">
        <f>_xlfn.IFNA(IF(VLOOKUP($J529&amp;Z$12,'Mapping A'!$A$6:$G$1011,7,0)=1,$L529,""),0)</f>
        <v>0</v>
      </c>
      <c r="AA529" s="15">
        <f>_xlfn.IFNA(IF(VLOOKUP($J529&amp;AA$12,'Mapping A'!$A$6:$G$1011,7,0)=1,$L529,""),0)</f>
        <v>0</v>
      </c>
      <c r="AF529" s="155" t="str">
        <f t="shared" si="148"/>
        <v>MTI2201 MTI0MRP</v>
      </c>
      <c r="AG529" s="15" t="s">
        <v>267</v>
      </c>
      <c r="AH529" s="15" t="s">
        <v>17</v>
      </c>
      <c r="AI529" s="15">
        <v>742.00809885956699</v>
      </c>
      <c r="AJ529" s="292" t="s">
        <v>95</v>
      </c>
      <c r="AK529" s="15"/>
      <c r="AL529" s="15">
        <f t="shared" si="172"/>
        <v>0</v>
      </c>
      <c r="AM529" s="15">
        <f t="shared" si="173"/>
        <v>0</v>
      </c>
      <c r="AN529" s="15">
        <f t="shared" si="174"/>
        <v>0</v>
      </c>
      <c r="AO529" s="15">
        <f t="shared" si="175"/>
        <v>0</v>
      </c>
      <c r="AP529" s="15">
        <f t="shared" si="176"/>
        <v>0</v>
      </c>
      <c r="AQ529" s="190">
        <f t="shared" ca="1" si="164"/>
        <v>0</v>
      </c>
      <c r="AR529" s="190">
        <f t="shared" si="165"/>
        <v>0</v>
      </c>
      <c r="AS529" s="190">
        <f t="shared" ca="1" si="166"/>
        <v>9.7703714235354677E-2</v>
      </c>
      <c r="AT529" s="190">
        <f t="shared" si="167"/>
        <v>0</v>
      </c>
      <c r="AU529" s="190">
        <f t="shared" si="168"/>
        <v>0</v>
      </c>
      <c r="AV529" s="190">
        <f t="shared" si="169"/>
        <v>0</v>
      </c>
      <c r="AW529" s="190">
        <f t="shared" si="170"/>
        <v>0</v>
      </c>
      <c r="AX529" s="190">
        <f t="shared" si="171"/>
        <v>0</v>
      </c>
      <c r="AZ529" s="15"/>
      <c r="BP529" s="190"/>
    </row>
    <row r="530" spans="2:68" x14ac:dyDescent="0.25">
      <c r="B530" s="98" t="s">
        <v>112</v>
      </c>
      <c r="C530" s="98">
        <v>2014</v>
      </c>
      <c r="D530" s="98" t="s">
        <v>329</v>
      </c>
      <c r="E530" s="98" t="s">
        <v>51</v>
      </c>
      <c r="F530" s="98" t="s">
        <v>131</v>
      </c>
      <c r="G530" s="98">
        <v>141086.30600000001</v>
      </c>
      <c r="H530" s="299" t="str">
        <f>VLOOKUP(LEFT('Rev Adequacy'!D530,3),'Mapping B'!$D$2:$E$400,2,0)</f>
        <v>N</v>
      </c>
      <c r="J530" t="s">
        <v>273</v>
      </c>
      <c r="K530" s="15" t="s">
        <v>18</v>
      </c>
      <c r="L530">
        <v>1082.29972885241</v>
      </c>
      <c r="O530" s="15">
        <f>_xlfn.IFNA(IF(VLOOKUP($J530&amp;O$12,'Mapping A'!$A$6:$G$1011,7,0)=1,$L530,""),0)</f>
        <v>0</v>
      </c>
      <c r="P530" s="15">
        <f>_xlfn.IFNA(IF(VLOOKUP($J530&amp;P$12,'Mapping A'!$A$6:$G$1011,7,0)=1,$L530,""),0)</f>
        <v>0</v>
      </c>
      <c r="Q530" s="15">
        <f>_xlfn.IFNA(IF(VLOOKUP($J530&amp;Q$12,'Mapping A'!$A$6:$G$1011,7,0)=1,$L530,""),0)</f>
        <v>0</v>
      </c>
      <c r="R530" s="15">
        <f>_xlfn.IFNA(IF(VLOOKUP($J530&amp;R$12,'Mapping A'!$A$6:$G$1011,7,0)=1,$L530,""),0)</f>
        <v>0</v>
      </c>
      <c r="S530" s="15">
        <f>_xlfn.IFNA(IF(VLOOKUP($J530&amp;S$12,'Mapping A'!$A$6:$G$1011,7,0)=1,$L530,""),0)</f>
        <v>0</v>
      </c>
      <c r="T530" s="15">
        <f>_xlfn.IFNA(IF(VLOOKUP($J530&amp;T$12,'Mapping A'!$A$6:$G$1011,7,0)=1,$L530,""),0)</f>
        <v>1082.29972885241</v>
      </c>
      <c r="U530" s="15">
        <f>_xlfn.IFNA(IF(VLOOKUP($J530&amp;U$12,'Mapping A'!$A$6:$G$1011,7,0)=1,$L530,""),0)</f>
        <v>0</v>
      </c>
      <c r="V530" s="15">
        <f>_xlfn.IFNA(IF(VLOOKUP($J530&amp;V$12,'Mapping A'!$A$6:$G$1011,7,0)=1,$L530,""),0)</f>
        <v>1082.29972885241</v>
      </c>
      <c r="W530" s="15">
        <f>_xlfn.IFNA(IF(VLOOKUP($J530&amp;W$12,'Mapping A'!$A$6:$G$1011,7,0)=1,$L530,""),0)</f>
        <v>0</v>
      </c>
      <c r="X530" s="15">
        <f>_xlfn.IFNA(IF(VLOOKUP($J530&amp;X$12,'Mapping A'!$A$6:$G$1011,7,0)=1,$L530,""),0)</f>
        <v>0</v>
      </c>
      <c r="Y530" s="15">
        <f>_xlfn.IFNA(IF(VLOOKUP($J530&amp;Y$12,'Mapping A'!$A$6:$G$1011,7,0)=1,$L530,""),0)</f>
        <v>0</v>
      </c>
      <c r="Z530" s="15">
        <f>_xlfn.IFNA(IF(VLOOKUP($J530&amp;Z$12,'Mapping A'!$A$6:$G$1011,7,0)=1,$L530,""),0)</f>
        <v>0</v>
      </c>
      <c r="AA530" s="15">
        <f>_xlfn.IFNA(IF(VLOOKUP($J530&amp;AA$12,'Mapping A'!$A$6:$G$1011,7,0)=1,$L530,""),0)</f>
        <v>0</v>
      </c>
      <c r="AF530" s="155" t="str">
        <f t="shared" si="148"/>
        <v>NAP2201 NAP0NAP JV</v>
      </c>
      <c r="AG530" s="15" t="s">
        <v>273</v>
      </c>
      <c r="AH530" s="15" t="s">
        <v>18</v>
      </c>
      <c r="AI530" s="15">
        <v>1082.29972885241</v>
      </c>
      <c r="AJ530" s="292" t="s">
        <v>95</v>
      </c>
      <c r="AK530" s="15"/>
      <c r="AL530" s="15">
        <f t="shared" si="172"/>
        <v>0</v>
      </c>
      <c r="AM530" s="15">
        <f t="shared" si="173"/>
        <v>0</v>
      </c>
      <c r="AN530" s="15">
        <f t="shared" si="174"/>
        <v>0</v>
      </c>
      <c r="AO530" s="15">
        <f t="shared" si="175"/>
        <v>0</v>
      </c>
      <c r="AP530" s="15">
        <f t="shared" si="176"/>
        <v>0</v>
      </c>
      <c r="AQ530" s="190">
        <f t="shared" ca="1" si="164"/>
        <v>0</v>
      </c>
      <c r="AR530" s="190">
        <f t="shared" si="165"/>
        <v>0</v>
      </c>
      <c r="AS530" s="190">
        <f t="shared" ca="1" si="166"/>
        <v>0.14251152189217686</v>
      </c>
      <c r="AT530" s="190">
        <f t="shared" si="167"/>
        <v>0</v>
      </c>
      <c r="AU530" s="190">
        <f t="shared" si="168"/>
        <v>0</v>
      </c>
      <c r="AV530" s="190">
        <f t="shared" si="169"/>
        <v>0</v>
      </c>
      <c r="AW530" s="190">
        <f t="shared" si="170"/>
        <v>0</v>
      </c>
      <c r="AX530" s="190">
        <f t="shared" si="171"/>
        <v>0</v>
      </c>
      <c r="AZ530" s="15"/>
      <c r="BP530" s="190"/>
    </row>
    <row r="531" spans="2:68" x14ac:dyDescent="0.25">
      <c r="B531" s="98" t="s">
        <v>112</v>
      </c>
      <c r="C531" s="98">
        <v>2014</v>
      </c>
      <c r="D531" s="98" t="s">
        <v>348</v>
      </c>
      <c r="E531" s="98" t="s">
        <v>51</v>
      </c>
      <c r="F531" s="98" t="s">
        <v>131</v>
      </c>
      <c r="G531" s="98">
        <v>251504.91799999899</v>
      </c>
      <c r="H531" s="299" t="str">
        <f>VLOOKUP(LEFT('Rev Adequacy'!D531,3),'Mapping B'!$D$2:$E$400,2,0)</f>
        <v>N</v>
      </c>
      <c r="J531" t="s">
        <v>275</v>
      </c>
      <c r="K531" s="15" t="s">
        <v>21</v>
      </c>
      <c r="L531">
        <v>628.96513909769203</v>
      </c>
      <c r="O531" s="15">
        <f>_xlfn.IFNA(IF(VLOOKUP($J531&amp;O$12,'Mapping A'!$A$6:$G$1011,7,0)=1,$L531,""),0)</f>
        <v>0</v>
      </c>
      <c r="P531" s="15">
        <f>_xlfn.IFNA(IF(VLOOKUP($J531&amp;P$12,'Mapping A'!$A$6:$G$1011,7,0)=1,$L531,""),0)</f>
        <v>0</v>
      </c>
      <c r="Q531" s="15">
        <f>_xlfn.IFNA(IF(VLOOKUP($J531&amp;Q$12,'Mapping A'!$A$6:$G$1011,7,0)=1,$L531,""),0)</f>
        <v>0</v>
      </c>
      <c r="R531" s="15">
        <f>_xlfn.IFNA(IF(VLOOKUP($J531&amp;R$12,'Mapping A'!$A$6:$G$1011,7,0)=1,$L531,""),0)</f>
        <v>0</v>
      </c>
      <c r="S531" s="15">
        <f>_xlfn.IFNA(IF(VLOOKUP($J531&amp;S$12,'Mapping A'!$A$6:$G$1011,7,0)=1,$L531,""),0)</f>
        <v>0</v>
      </c>
      <c r="T531" s="15">
        <f>_xlfn.IFNA(IF(VLOOKUP($J531&amp;T$12,'Mapping A'!$A$6:$G$1011,7,0)=1,$L531,""),0)</f>
        <v>628.96513909769203</v>
      </c>
      <c r="U531" s="15">
        <f>_xlfn.IFNA(IF(VLOOKUP($J531&amp;U$12,'Mapping A'!$A$6:$G$1011,7,0)=1,$L531,""),0)</f>
        <v>0</v>
      </c>
      <c r="V531" s="15">
        <f>_xlfn.IFNA(IF(VLOOKUP($J531&amp;V$12,'Mapping A'!$A$6:$G$1011,7,0)=1,$L531,""),0)</f>
        <v>628.96513909769203</v>
      </c>
      <c r="W531" s="15">
        <f>_xlfn.IFNA(IF(VLOOKUP($J531&amp;W$12,'Mapping A'!$A$6:$G$1011,7,0)=1,$L531,""),0)</f>
        <v>0</v>
      </c>
      <c r="X531" s="15">
        <f>_xlfn.IFNA(IF(VLOOKUP($J531&amp;X$12,'Mapping A'!$A$6:$G$1011,7,0)=1,$L531,""),0)</f>
        <v>0</v>
      </c>
      <c r="Y531" s="15">
        <f>_xlfn.IFNA(IF(VLOOKUP($J531&amp;Y$12,'Mapping A'!$A$6:$G$1011,7,0)=1,$L531,""),0)</f>
        <v>0</v>
      </c>
      <c r="Z531" s="15">
        <f>_xlfn.IFNA(IF(VLOOKUP($J531&amp;Z$12,'Mapping A'!$A$6:$G$1011,7,0)=1,$L531,""),0)</f>
        <v>0</v>
      </c>
      <c r="AA531" s="15">
        <f>_xlfn.IFNA(IF(VLOOKUP($J531&amp;AA$12,'Mapping A'!$A$6:$G$1011,7,0)=1,$L531,""),0)</f>
        <v>0</v>
      </c>
      <c r="AF531" s="155" t="str">
        <f t="shared" si="148"/>
        <v>NAP2202 NTM0Ngatamariki</v>
      </c>
      <c r="AG531" s="15" t="s">
        <v>275</v>
      </c>
      <c r="AH531" s="15" t="s">
        <v>21</v>
      </c>
      <c r="AI531" s="15">
        <v>628.96513909769203</v>
      </c>
      <c r="AJ531" s="292" t="s">
        <v>95</v>
      </c>
      <c r="AK531" s="15"/>
      <c r="AL531" s="15">
        <f t="shared" si="172"/>
        <v>0</v>
      </c>
      <c r="AM531" s="15">
        <f t="shared" si="173"/>
        <v>0</v>
      </c>
      <c r="AN531" s="15">
        <f t="shared" si="174"/>
        <v>0</v>
      </c>
      <c r="AO531" s="15">
        <f t="shared" si="175"/>
        <v>0</v>
      </c>
      <c r="AP531" s="15">
        <f t="shared" si="176"/>
        <v>0</v>
      </c>
      <c r="AQ531" s="190">
        <f t="shared" ca="1" si="164"/>
        <v>0</v>
      </c>
      <c r="AR531" s="190">
        <f t="shared" si="165"/>
        <v>0</v>
      </c>
      <c r="AS531" s="190">
        <f t="shared" ca="1" si="166"/>
        <v>8.2818813310596373E-2</v>
      </c>
      <c r="AT531" s="190">
        <f t="shared" si="167"/>
        <v>0</v>
      </c>
      <c r="AU531" s="190">
        <f t="shared" si="168"/>
        <v>0</v>
      </c>
      <c r="AV531" s="190">
        <f t="shared" si="169"/>
        <v>0</v>
      </c>
      <c r="AW531" s="190">
        <f t="shared" si="170"/>
        <v>0</v>
      </c>
      <c r="AX531" s="190">
        <f t="shared" si="171"/>
        <v>0</v>
      </c>
      <c r="AZ531" s="15"/>
      <c r="BP531" s="190"/>
    </row>
    <row r="532" spans="2:68" x14ac:dyDescent="0.25">
      <c r="B532" s="98" t="s">
        <v>112</v>
      </c>
      <c r="C532" s="98">
        <v>2014</v>
      </c>
      <c r="D532" s="98" t="s">
        <v>351</v>
      </c>
      <c r="E532" s="98" t="s">
        <v>51</v>
      </c>
      <c r="F532" s="98" t="s">
        <v>131</v>
      </c>
      <c r="G532" s="98">
        <v>285391.09500000102</v>
      </c>
      <c r="H532" s="299" t="str">
        <f>VLOOKUP(LEFT('Rev Adequacy'!D532,3),'Mapping B'!$D$2:$E$400,2,0)</f>
        <v>N</v>
      </c>
      <c r="J532" t="s">
        <v>281</v>
      </c>
      <c r="K532" s="15" t="s">
        <v>35</v>
      </c>
      <c r="L532">
        <v>70.451260542821103</v>
      </c>
      <c r="O532" s="15">
        <f>_xlfn.IFNA(IF(VLOOKUP($J532&amp;O$12,'Mapping A'!$A$6:$G$1011,7,0)=1,$L532,""),0)</f>
        <v>0</v>
      </c>
      <c r="P532" s="15">
        <f>_xlfn.IFNA(IF(VLOOKUP($J532&amp;P$12,'Mapping A'!$A$6:$G$1011,7,0)=1,$L532,""),0)</f>
        <v>0</v>
      </c>
      <c r="Q532" s="15">
        <f>_xlfn.IFNA(IF(VLOOKUP($J532&amp;Q$12,'Mapping A'!$A$6:$G$1011,7,0)=1,$L532,""),0)</f>
        <v>0</v>
      </c>
      <c r="R532" s="15">
        <f>_xlfn.IFNA(IF(VLOOKUP($J532&amp;R$12,'Mapping A'!$A$6:$G$1011,7,0)=1,$L532,""),0)</f>
        <v>0</v>
      </c>
      <c r="S532" s="15">
        <f>_xlfn.IFNA(IF(VLOOKUP($J532&amp;S$12,'Mapping A'!$A$6:$G$1011,7,0)=1,$L532,""),0)</f>
        <v>70.451260542821103</v>
      </c>
      <c r="T532" s="15">
        <f>_xlfn.IFNA(IF(VLOOKUP($J532&amp;T$12,'Mapping A'!$A$6:$G$1011,7,0)=1,$L532,""),0)</f>
        <v>0</v>
      </c>
      <c r="U532" s="15">
        <f>_xlfn.IFNA(IF(VLOOKUP($J532&amp;U$12,'Mapping A'!$A$6:$G$1011,7,0)=1,$L532,""),0)</f>
        <v>0</v>
      </c>
      <c r="V532" s="15">
        <f>_xlfn.IFNA(IF(VLOOKUP($J532&amp;V$12,'Mapping A'!$A$6:$G$1011,7,0)=1,$L532,""),0)</f>
        <v>0</v>
      </c>
      <c r="W532" s="15">
        <f>_xlfn.IFNA(IF(VLOOKUP($J532&amp;W$12,'Mapping A'!$A$6:$G$1011,7,0)=1,$L532,""),0)</f>
        <v>0</v>
      </c>
      <c r="X532" s="15">
        <f>_xlfn.IFNA(IF(VLOOKUP($J532&amp;X$12,'Mapping A'!$A$6:$G$1011,7,0)=1,$L532,""),0)</f>
        <v>0</v>
      </c>
      <c r="Y532" s="15">
        <f>_xlfn.IFNA(IF(VLOOKUP($J532&amp;Y$12,'Mapping A'!$A$6:$G$1011,7,0)=1,$L532,""),0)</f>
        <v>0</v>
      </c>
      <c r="Z532" s="15">
        <f>_xlfn.IFNA(IF(VLOOKUP($J532&amp;Z$12,'Mapping A'!$A$6:$G$1011,7,0)=1,$L532,""),0)</f>
        <v>0</v>
      </c>
      <c r="AA532" s="15">
        <f>_xlfn.IFNA(IF(VLOOKUP($J532&amp;AA$12,'Mapping A'!$A$6:$G$1011,7,0)=1,$L532,""),0)</f>
        <v>0</v>
      </c>
      <c r="AF532" s="155" t="str">
        <f t="shared" si="148"/>
        <v>NSY0331 PAE0Trustpower</v>
      </c>
      <c r="AG532" s="15" t="s">
        <v>281</v>
      </c>
      <c r="AH532" s="15" t="s">
        <v>35</v>
      </c>
      <c r="AI532" s="15">
        <v>70.451260542821103</v>
      </c>
      <c r="AJ532" s="292" t="s">
        <v>96</v>
      </c>
      <c r="AK532" s="15"/>
      <c r="AL532" s="15">
        <f t="shared" si="172"/>
        <v>0</v>
      </c>
      <c r="AM532" s="15">
        <f t="shared" si="173"/>
        <v>0</v>
      </c>
      <c r="AN532" s="15">
        <f t="shared" si="174"/>
        <v>0</v>
      </c>
      <c r="AO532" s="15">
        <f t="shared" si="175"/>
        <v>0</v>
      </c>
      <c r="AP532" s="15">
        <f t="shared" si="176"/>
        <v>0</v>
      </c>
      <c r="AQ532" s="190">
        <f t="shared" ca="1" si="164"/>
        <v>0</v>
      </c>
      <c r="AR532" s="190">
        <f t="shared" si="165"/>
        <v>0</v>
      </c>
      <c r="AS532" s="190">
        <f t="shared" ca="1" si="166"/>
        <v>0</v>
      </c>
      <c r="AT532" s="190">
        <f t="shared" si="167"/>
        <v>0</v>
      </c>
      <c r="AU532" s="190">
        <f t="shared" si="168"/>
        <v>0</v>
      </c>
      <c r="AV532" s="190">
        <f t="shared" si="169"/>
        <v>0</v>
      </c>
      <c r="AW532" s="190">
        <f t="shared" si="170"/>
        <v>0</v>
      </c>
      <c r="AX532" s="190">
        <f t="shared" si="171"/>
        <v>0</v>
      </c>
      <c r="AZ532" s="15"/>
      <c r="BP532" s="190"/>
    </row>
    <row r="533" spans="2:68" x14ac:dyDescent="0.25">
      <c r="B533" s="98" t="s">
        <v>111</v>
      </c>
      <c r="C533" s="98">
        <v>2014</v>
      </c>
      <c r="D533" s="98" t="s">
        <v>159</v>
      </c>
      <c r="E533" s="98" t="s">
        <v>51</v>
      </c>
      <c r="F533" s="98" t="s">
        <v>131</v>
      </c>
      <c r="G533" s="98">
        <v>66692.001000000004</v>
      </c>
      <c r="H533" s="299" t="str">
        <f>VLOOKUP(LEFT('Rev Adequacy'!D533,3),'Mapping B'!$D$2:$E$400,2,0)</f>
        <v>N</v>
      </c>
      <c r="J533" t="s">
        <v>283</v>
      </c>
      <c r="K533" s="15" t="s">
        <v>14</v>
      </c>
      <c r="L533">
        <v>1279.4146033782099</v>
      </c>
      <c r="O533" s="15">
        <f>_xlfn.IFNA(IF(VLOOKUP($J533&amp;O$12,'Mapping A'!$A$6:$G$1011,7,0)=1,$L533,""),0)</f>
        <v>0</v>
      </c>
      <c r="P533" s="15">
        <f>_xlfn.IFNA(IF(VLOOKUP($J533&amp;P$12,'Mapping A'!$A$6:$G$1011,7,0)=1,$L533,""),0)</f>
        <v>0</v>
      </c>
      <c r="Q533" s="15">
        <f>_xlfn.IFNA(IF(VLOOKUP($J533&amp;Q$12,'Mapping A'!$A$6:$G$1011,7,0)=1,$L533,""),0)</f>
        <v>0</v>
      </c>
      <c r="R533" s="15">
        <f>_xlfn.IFNA(IF(VLOOKUP($J533&amp;R$12,'Mapping A'!$A$6:$G$1011,7,0)=1,$L533,""),0)</f>
        <v>0</v>
      </c>
      <c r="S533" s="15">
        <f>_xlfn.IFNA(IF(VLOOKUP($J533&amp;S$12,'Mapping A'!$A$6:$G$1011,7,0)=1,$L533,""),0)</f>
        <v>0</v>
      </c>
      <c r="T533" s="15">
        <f>_xlfn.IFNA(IF(VLOOKUP($J533&amp;T$12,'Mapping A'!$A$6:$G$1011,7,0)=1,$L533,""),0)</f>
        <v>0</v>
      </c>
      <c r="U533" s="15">
        <f>_xlfn.IFNA(IF(VLOOKUP($J533&amp;U$12,'Mapping A'!$A$6:$G$1011,7,0)=1,$L533,""),0)</f>
        <v>0</v>
      </c>
      <c r="V533" s="15">
        <f>_xlfn.IFNA(IF(VLOOKUP($J533&amp;V$12,'Mapping A'!$A$6:$G$1011,7,0)=1,$L533,""),0)</f>
        <v>0</v>
      </c>
      <c r="W533" s="15">
        <f>_xlfn.IFNA(IF(VLOOKUP($J533&amp;W$12,'Mapping A'!$A$6:$G$1011,7,0)=1,$L533,""),0)</f>
        <v>0</v>
      </c>
      <c r="X533" s="15">
        <f>_xlfn.IFNA(IF(VLOOKUP($J533&amp;X$12,'Mapping A'!$A$6:$G$1011,7,0)=1,$L533,""),0)</f>
        <v>0</v>
      </c>
      <c r="Y533" s="15">
        <f>_xlfn.IFNA(IF(VLOOKUP($J533&amp;Y$12,'Mapping A'!$A$6:$G$1011,7,0)=1,$L533,""),0)</f>
        <v>0</v>
      </c>
      <c r="Z533" s="15">
        <f>_xlfn.IFNA(IF(VLOOKUP($J533&amp;Z$12,'Mapping A'!$A$6:$G$1011,7,0)=1,$L533,""),0)</f>
        <v>0</v>
      </c>
      <c r="AA533" s="15">
        <f>_xlfn.IFNA(IF(VLOOKUP($J533&amp;AA$12,'Mapping A'!$A$6:$G$1011,7,0)=1,$L533,""),0)</f>
        <v>0</v>
      </c>
      <c r="AF533" s="155" t="str">
        <f t="shared" si="148"/>
        <v>OHA2201 OHA0Meridian</v>
      </c>
      <c r="AG533" s="15" t="s">
        <v>283</v>
      </c>
      <c r="AH533" s="15" t="s">
        <v>14</v>
      </c>
      <c r="AI533" s="15">
        <v>1279.4146033782099</v>
      </c>
      <c r="AJ533" s="292" t="s">
        <v>96</v>
      </c>
      <c r="AK533" s="15"/>
      <c r="AL533" s="15">
        <f t="shared" si="172"/>
        <v>0</v>
      </c>
      <c r="AM533" s="15">
        <f t="shared" si="173"/>
        <v>0</v>
      </c>
      <c r="AN533" s="15">
        <f t="shared" si="174"/>
        <v>0</v>
      </c>
      <c r="AO533" s="15">
        <f t="shared" si="175"/>
        <v>0</v>
      </c>
      <c r="AP533" s="15">
        <f t="shared" si="176"/>
        <v>0</v>
      </c>
      <c r="AQ533" s="190">
        <f t="shared" ca="1" si="164"/>
        <v>0</v>
      </c>
      <c r="AR533" s="190">
        <f t="shared" si="165"/>
        <v>0</v>
      </c>
      <c r="AS533" s="190">
        <f t="shared" ca="1" si="166"/>
        <v>0</v>
      </c>
      <c r="AT533" s="190">
        <f t="shared" si="167"/>
        <v>0</v>
      </c>
      <c r="AU533" s="190">
        <f t="shared" si="168"/>
        <v>0</v>
      </c>
      <c r="AV533" s="190">
        <f t="shared" si="169"/>
        <v>0</v>
      </c>
      <c r="AW533" s="190">
        <f t="shared" si="170"/>
        <v>0</v>
      </c>
      <c r="AX533" s="190">
        <f t="shared" si="171"/>
        <v>0</v>
      </c>
      <c r="AZ533" s="15"/>
      <c r="BP533" s="190"/>
    </row>
    <row r="534" spans="2:68" x14ac:dyDescent="0.25">
      <c r="B534" s="98" t="s">
        <v>111</v>
      </c>
      <c r="C534" s="98">
        <v>2014</v>
      </c>
      <c r="D534" s="98" t="s">
        <v>194</v>
      </c>
      <c r="E534" s="98" t="s">
        <v>51</v>
      </c>
      <c r="F534" s="98" t="s">
        <v>131</v>
      </c>
      <c r="G534" s="98">
        <v>51747.696000000098</v>
      </c>
      <c r="H534" s="299" t="str">
        <f>VLOOKUP(LEFT('Rev Adequacy'!D534,3),'Mapping B'!$D$2:$E$400,2,0)</f>
        <v>N</v>
      </c>
      <c r="J534" t="s">
        <v>284</v>
      </c>
      <c r="K534" s="15" t="s">
        <v>14</v>
      </c>
      <c r="L534">
        <v>1064.4580606325501</v>
      </c>
      <c r="O534" s="15">
        <f>_xlfn.IFNA(IF(VLOOKUP($J534&amp;O$12,'Mapping A'!$A$6:$G$1011,7,0)=1,$L534,""),0)</f>
        <v>0</v>
      </c>
      <c r="P534" s="15">
        <f>_xlfn.IFNA(IF(VLOOKUP($J534&amp;P$12,'Mapping A'!$A$6:$G$1011,7,0)=1,$L534,""),0)</f>
        <v>0</v>
      </c>
      <c r="Q534" s="15">
        <f>_xlfn.IFNA(IF(VLOOKUP($J534&amp;Q$12,'Mapping A'!$A$6:$G$1011,7,0)=1,$L534,""),0)</f>
        <v>0</v>
      </c>
      <c r="R534" s="15">
        <f>_xlfn.IFNA(IF(VLOOKUP($J534&amp;R$12,'Mapping A'!$A$6:$G$1011,7,0)=1,$L534,""),0)</f>
        <v>0</v>
      </c>
      <c r="S534" s="15">
        <f>_xlfn.IFNA(IF(VLOOKUP($J534&amp;S$12,'Mapping A'!$A$6:$G$1011,7,0)=1,$L534,""),0)</f>
        <v>0</v>
      </c>
      <c r="T534" s="15">
        <f>_xlfn.IFNA(IF(VLOOKUP($J534&amp;T$12,'Mapping A'!$A$6:$G$1011,7,0)=1,$L534,""),0)</f>
        <v>0</v>
      </c>
      <c r="U534" s="15">
        <f>_xlfn.IFNA(IF(VLOOKUP($J534&amp;U$12,'Mapping A'!$A$6:$G$1011,7,0)=1,$L534,""),0)</f>
        <v>0</v>
      </c>
      <c r="V534" s="15">
        <f>_xlfn.IFNA(IF(VLOOKUP($J534&amp;V$12,'Mapping A'!$A$6:$G$1011,7,0)=1,$L534,""),0)</f>
        <v>0</v>
      </c>
      <c r="W534" s="15">
        <f>_xlfn.IFNA(IF(VLOOKUP($J534&amp;W$12,'Mapping A'!$A$6:$G$1011,7,0)=1,$L534,""),0)</f>
        <v>0</v>
      </c>
      <c r="X534" s="15">
        <f>_xlfn.IFNA(IF(VLOOKUP($J534&amp;X$12,'Mapping A'!$A$6:$G$1011,7,0)=1,$L534,""),0)</f>
        <v>0</v>
      </c>
      <c r="Y534" s="15">
        <f>_xlfn.IFNA(IF(VLOOKUP($J534&amp;Y$12,'Mapping A'!$A$6:$G$1011,7,0)=1,$L534,""),0)</f>
        <v>0</v>
      </c>
      <c r="Z534" s="15">
        <f>_xlfn.IFNA(IF(VLOOKUP($J534&amp;Z$12,'Mapping A'!$A$6:$G$1011,7,0)=1,$L534,""),0)</f>
        <v>0</v>
      </c>
      <c r="AA534" s="15">
        <f>_xlfn.IFNA(IF(VLOOKUP($J534&amp;AA$12,'Mapping A'!$A$6:$G$1011,7,0)=1,$L534,""),0)</f>
        <v>0</v>
      </c>
      <c r="AF534" s="155" t="str">
        <f t="shared" si="148"/>
        <v>OHB2201 OHB0Meridian</v>
      </c>
      <c r="AG534" s="15" t="s">
        <v>284</v>
      </c>
      <c r="AH534" s="15" t="s">
        <v>14</v>
      </c>
      <c r="AI534" s="15">
        <v>1064.4580606325501</v>
      </c>
      <c r="AJ534" s="292" t="s">
        <v>96</v>
      </c>
      <c r="AK534" s="15"/>
      <c r="AL534" s="15">
        <f t="shared" si="172"/>
        <v>0</v>
      </c>
      <c r="AM534" s="15">
        <f t="shared" si="173"/>
        <v>0</v>
      </c>
      <c r="AN534" s="15">
        <f t="shared" si="174"/>
        <v>0</v>
      </c>
      <c r="AO534" s="15">
        <f t="shared" si="175"/>
        <v>0</v>
      </c>
      <c r="AP534" s="15">
        <f t="shared" si="176"/>
        <v>0</v>
      </c>
      <c r="AQ534" s="190">
        <f t="shared" ca="1" si="164"/>
        <v>0</v>
      </c>
      <c r="AR534" s="190">
        <f t="shared" si="165"/>
        <v>0</v>
      </c>
      <c r="AS534" s="190">
        <f t="shared" ca="1" si="166"/>
        <v>0</v>
      </c>
      <c r="AT534" s="190">
        <f t="shared" si="167"/>
        <v>0</v>
      </c>
      <c r="AU534" s="190">
        <f t="shared" si="168"/>
        <v>0</v>
      </c>
      <c r="AV534" s="190">
        <f t="shared" si="169"/>
        <v>0</v>
      </c>
      <c r="AW534" s="190">
        <f t="shared" si="170"/>
        <v>0</v>
      </c>
      <c r="AX534" s="190">
        <f t="shared" si="171"/>
        <v>0</v>
      </c>
      <c r="AZ534" s="15"/>
      <c r="BP534" s="190"/>
    </row>
    <row r="535" spans="2:68" x14ac:dyDescent="0.25">
      <c r="B535" s="98" t="s">
        <v>111</v>
      </c>
      <c r="C535" s="98">
        <v>2014</v>
      </c>
      <c r="D535" s="98" t="s">
        <v>299</v>
      </c>
      <c r="E535" s="98" t="s">
        <v>51</v>
      </c>
      <c r="F535" s="98" t="s">
        <v>131</v>
      </c>
      <c r="G535" s="98">
        <v>97.102999999999994</v>
      </c>
      <c r="H535" s="299" t="str">
        <f>VLOOKUP(LEFT('Rev Adequacy'!D535,3),'Mapping B'!$D$2:$E$400,2,0)</f>
        <v>N</v>
      </c>
      <c r="J535" t="s">
        <v>285</v>
      </c>
      <c r="K535" s="15" t="s">
        <v>14</v>
      </c>
      <c r="L535">
        <v>1057.17820277952</v>
      </c>
      <c r="O535" s="15">
        <f>_xlfn.IFNA(IF(VLOOKUP($J535&amp;O$12,'Mapping A'!$A$6:$G$1011,7,0)=1,$L535,""),0)</f>
        <v>0</v>
      </c>
      <c r="P535" s="15">
        <f>_xlfn.IFNA(IF(VLOOKUP($J535&amp;P$12,'Mapping A'!$A$6:$G$1011,7,0)=1,$L535,""),0)</f>
        <v>0</v>
      </c>
      <c r="Q535" s="15">
        <f>_xlfn.IFNA(IF(VLOOKUP($J535&amp;Q$12,'Mapping A'!$A$6:$G$1011,7,0)=1,$L535,""),0)</f>
        <v>0</v>
      </c>
      <c r="R535" s="15">
        <f>_xlfn.IFNA(IF(VLOOKUP($J535&amp;R$12,'Mapping A'!$A$6:$G$1011,7,0)=1,$L535,""),0)</f>
        <v>0</v>
      </c>
      <c r="S535" s="15">
        <f>_xlfn.IFNA(IF(VLOOKUP($J535&amp;S$12,'Mapping A'!$A$6:$G$1011,7,0)=1,$L535,""),0)</f>
        <v>0</v>
      </c>
      <c r="T535" s="15">
        <f>_xlfn.IFNA(IF(VLOOKUP($J535&amp;T$12,'Mapping A'!$A$6:$G$1011,7,0)=1,$L535,""),0)</f>
        <v>0</v>
      </c>
      <c r="U535" s="15">
        <f>_xlfn.IFNA(IF(VLOOKUP($J535&amp;U$12,'Mapping A'!$A$6:$G$1011,7,0)=1,$L535,""),0)</f>
        <v>0</v>
      </c>
      <c r="V535" s="15">
        <f>_xlfn.IFNA(IF(VLOOKUP($J535&amp;V$12,'Mapping A'!$A$6:$G$1011,7,0)=1,$L535,""),0)</f>
        <v>0</v>
      </c>
      <c r="W535" s="15">
        <f>_xlfn.IFNA(IF(VLOOKUP($J535&amp;W$12,'Mapping A'!$A$6:$G$1011,7,0)=1,$L535,""),0)</f>
        <v>0</v>
      </c>
      <c r="X535" s="15">
        <f>_xlfn.IFNA(IF(VLOOKUP($J535&amp;X$12,'Mapping A'!$A$6:$G$1011,7,0)=1,$L535,""),0)</f>
        <v>0</v>
      </c>
      <c r="Y535" s="15">
        <f>_xlfn.IFNA(IF(VLOOKUP($J535&amp;Y$12,'Mapping A'!$A$6:$G$1011,7,0)=1,$L535,""),0)</f>
        <v>0</v>
      </c>
      <c r="Z535" s="15">
        <f>_xlfn.IFNA(IF(VLOOKUP($J535&amp;Z$12,'Mapping A'!$A$6:$G$1011,7,0)=1,$L535,""),0)</f>
        <v>0</v>
      </c>
      <c r="AA535" s="15">
        <f>_xlfn.IFNA(IF(VLOOKUP($J535&amp;AA$12,'Mapping A'!$A$6:$G$1011,7,0)=1,$L535,""),0)</f>
        <v>0</v>
      </c>
      <c r="AF535" s="155" t="str">
        <f t="shared" si="148"/>
        <v>OHC2201 OHC0Meridian</v>
      </c>
      <c r="AG535" s="15" t="s">
        <v>285</v>
      </c>
      <c r="AH535" s="15" t="s">
        <v>14</v>
      </c>
      <c r="AI535" s="15">
        <v>1057.17820277952</v>
      </c>
      <c r="AJ535" s="292" t="s">
        <v>96</v>
      </c>
      <c r="AK535" s="15"/>
      <c r="AL535" s="15">
        <f t="shared" si="172"/>
        <v>0</v>
      </c>
      <c r="AM535" s="15">
        <f t="shared" si="173"/>
        <v>0</v>
      </c>
      <c r="AN535" s="15">
        <f t="shared" si="174"/>
        <v>0</v>
      </c>
      <c r="AO535" s="15">
        <f t="shared" si="175"/>
        <v>0</v>
      </c>
      <c r="AP535" s="15">
        <f t="shared" si="176"/>
        <v>0</v>
      </c>
      <c r="AQ535" s="190">
        <f t="shared" ca="1" si="164"/>
        <v>0</v>
      </c>
      <c r="AR535" s="190">
        <f t="shared" si="165"/>
        <v>0</v>
      </c>
      <c r="AS535" s="190">
        <f t="shared" ca="1" si="166"/>
        <v>0</v>
      </c>
      <c r="AT535" s="190">
        <f t="shared" si="167"/>
        <v>0</v>
      </c>
      <c r="AU535" s="190">
        <f t="shared" si="168"/>
        <v>0</v>
      </c>
      <c r="AV535" s="190">
        <f t="shared" si="169"/>
        <v>0</v>
      </c>
      <c r="AW535" s="190">
        <f t="shared" si="170"/>
        <v>0</v>
      </c>
      <c r="AX535" s="190">
        <f t="shared" si="171"/>
        <v>0</v>
      </c>
      <c r="AZ535" s="15"/>
      <c r="BP535" s="190"/>
    </row>
    <row r="536" spans="2:68" x14ac:dyDescent="0.25">
      <c r="B536" s="98" t="s">
        <v>111</v>
      </c>
      <c r="C536" s="98">
        <v>2014</v>
      </c>
      <c r="D536" s="98" t="s">
        <v>329</v>
      </c>
      <c r="E536" s="98" t="s">
        <v>51</v>
      </c>
      <c r="F536" s="98" t="s">
        <v>131</v>
      </c>
      <c r="G536" s="98">
        <v>37286.380999999899</v>
      </c>
      <c r="H536" s="299" t="str">
        <f>VLOOKUP(LEFT('Rev Adequacy'!D536,3),'Mapping B'!$D$2:$E$400,2,0)</f>
        <v>N</v>
      </c>
      <c r="J536" t="s">
        <v>286</v>
      </c>
      <c r="K536" s="15" t="s">
        <v>17</v>
      </c>
      <c r="L536">
        <v>348.17607198286902</v>
      </c>
      <c r="O536" s="15">
        <f>_xlfn.IFNA(IF(VLOOKUP($J536&amp;O$12,'Mapping A'!$A$6:$G$1011,7,0)=1,$L536,""),0)</f>
        <v>0</v>
      </c>
      <c r="P536" s="15">
        <f>_xlfn.IFNA(IF(VLOOKUP($J536&amp;P$12,'Mapping A'!$A$6:$G$1011,7,0)=1,$L536,""),0)</f>
        <v>0</v>
      </c>
      <c r="Q536" s="15">
        <f>_xlfn.IFNA(IF(VLOOKUP($J536&amp;Q$12,'Mapping A'!$A$6:$G$1011,7,0)=1,$L536,""),0)</f>
        <v>0</v>
      </c>
      <c r="R536" s="15">
        <f>_xlfn.IFNA(IF(VLOOKUP($J536&amp;R$12,'Mapping A'!$A$6:$G$1011,7,0)=1,$L536,""),0)</f>
        <v>0</v>
      </c>
      <c r="S536" s="15">
        <f>_xlfn.IFNA(IF(VLOOKUP($J536&amp;S$12,'Mapping A'!$A$6:$G$1011,7,0)=1,$L536,""),0)</f>
        <v>0</v>
      </c>
      <c r="T536" s="15">
        <f>_xlfn.IFNA(IF(VLOOKUP($J536&amp;T$12,'Mapping A'!$A$6:$G$1011,7,0)=1,$L536,""),0)</f>
        <v>348.17607198286902</v>
      </c>
      <c r="U536" s="15">
        <f>_xlfn.IFNA(IF(VLOOKUP($J536&amp;U$12,'Mapping A'!$A$6:$G$1011,7,0)=1,$L536,""),0)</f>
        <v>0</v>
      </c>
      <c r="V536" s="15">
        <f>_xlfn.IFNA(IF(VLOOKUP($J536&amp;V$12,'Mapping A'!$A$6:$G$1011,7,0)=1,$L536,""),0)</f>
        <v>348.17607198286902</v>
      </c>
      <c r="W536" s="15">
        <f>_xlfn.IFNA(IF(VLOOKUP($J536&amp;W$12,'Mapping A'!$A$6:$G$1011,7,0)=1,$L536,""),0)</f>
        <v>0</v>
      </c>
      <c r="X536" s="15">
        <f>_xlfn.IFNA(IF(VLOOKUP($J536&amp;X$12,'Mapping A'!$A$6:$G$1011,7,0)=1,$L536,""),0)</f>
        <v>0</v>
      </c>
      <c r="Y536" s="15">
        <f>_xlfn.IFNA(IF(VLOOKUP($J536&amp;Y$12,'Mapping A'!$A$6:$G$1011,7,0)=1,$L536,""),0)</f>
        <v>0</v>
      </c>
      <c r="Z536" s="15">
        <f>_xlfn.IFNA(IF(VLOOKUP($J536&amp;Z$12,'Mapping A'!$A$6:$G$1011,7,0)=1,$L536,""),0)</f>
        <v>0</v>
      </c>
      <c r="AA536" s="15">
        <f>_xlfn.IFNA(IF(VLOOKUP($J536&amp;AA$12,'Mapping A'!$A$6:$G$1011,7,0)=1,$L536,""),0)</f>
        <v>0</v>
      </c>
      <c r="AF536" s="155" t="str">
        <f t="shared" si="148"/>
        <v>OHK2201 OHK0MRP</v>
      </c>
      <c r="AG536" s="15" t="s">
        <v>286</v>
      </c>
      <c r="AH536" s="15" t="s">
        <v>17</v>
      </c>
      <c r="AI536" s="15">
        <v>348.17607198286902</v>
      </c>
      <c r="AJ536" s="292" t="s">
        <v>95</v>
      </c>
      <c r="AK536" s="15"/>
      <c r="AL536" s="15">
        <f t="shared" si="172"/>
        <v>0</v>
      </c>
      <c r="AM536" s="15">
        <f t="shared" si="173"/>
        <v>0</v>
      </c>
      <c r="AN536" s="15">
        <f t="shared" si="174"/>
        <v>0</v>
      </c>
      <c r="AO536" s="15">
        <f t="shared" si="175"/>
        <v>0</v>
      </c>
      <c r="AP536" s="15">
        <f t="shared" si="176"/>
        <v>0</v>
      </c>
      <c r="AQ536" s="190">
        <f t="shared" ca="1" si="164"/>
        <v>0</v>
      </c>
      <c r="AR536" s="190">
        <f t="shared" si="165"/>
        <v>0</v>
      </c>
      <c r="AS536" s="190">
        <f t="shared" ca="1" si="166"/>
        <v>4.5845989407510238E-2</v>
      </c>
      <c r="AT536" s="190">
        <f t="shared" si="167"/>
        <v>0</v>
      </c>
      <c r="AU536" s="190">
        <f t="shared" si="168"/>
        <v>0</v>
      </c>
      <c r="AV536" s="190">
        <f t="shared" si="169"/>
        <v>0</v>
      </c>
      <c r="AW536" s="190">
        <f t="shared" si="170"/>
        <v>0</v>
      </c>
      <c r="AX536" s="190">
        <f t="shared" si="171"/>
        <v>0</v>
      </c>
      <c r="AZ536" s="15"/>
      <c r="BP536" s="190"/>
    </row>
    <row r="537" spans="2:68" x14ac:dyDescent="0.25">
      <c r="B537" s="98" t="s">
        <v>111</v>
      </c>
      <c r="C537" s="98">
        <v>2014</v>
      </c>
      <c r="D537" s="98" t="s">
        <v>348</v>
      </c>
      <c r="E537" s="98" t="s">
        <v>51</v>
      </c>
      <c r="F537" s="98" t="s">
        <v>131</v>
      </c>
      <c r="G537" s="98">
        <v>61158.786000000102</v>
      </c>
      <c r="H537" s="299" t="str">
        <f>VLOOKUP(LEFT('Rev Adequacy'!D537,3),'Mapping B'!$D$2:$E$400,2,0)</f>
        <v>N</v>
      </c>
      <c r="J537" t="s">
        <v>287</v>
      </c>
      <c r="K537" s="15" t="s">
        <v>4</v>
      </c>
      <c r="L537">
        <v>271.36647602353003</v>
      </c>
      <c r="O537" s="15">
        <f>_xlfn.IFNA(IF(VLOOKUP($J537&amp;O$12,'Mapping A'!$A$6:$G$1011,7,0)=1,$L537,""),0)</f>
        <v>0</v>
      </c>
      <c r="P537" s="15">
        <f>_xlfn.IFNA(IF(VLOOKUP($J537&amp;P$12,'Mapping A'!$A$6:$G$1011,7,0)=1,$L537,""),0)</f>
        <v>0</v>
      </c>
      <c r="Q537" s="15">
        <f>_xlfn.IFNA(IF(VLOOKUP($J537&amp;Q$12,'Mapping A'!$A$6:$G$1011,7,0)=1,$L537,""),0)</f>
        <v>0</v>
      </c>
      <c r="R537" s="15">
        <f>_xlfn.IFNA(IF(VLOOKUP($J537&amp;R$12,'Mapping A'!$A$6:$G$1011,7,0)=1,$L537,""),0)</f>
        <v>0</v>
      </c>
      <c r="S537" s="15">
        <f>_xlfn.IFNA(IF(VLOOKUP($J537&amp;S$12,'Mapping A'!$A$6:$G$1011,7,0)=1,$L537,""),0)</f>
        <v>0</v>
      </c>
      <c r="T537" s="15">
        <f>_xlfn.IFNA(IF(VLOOKUP($J537&amp;T$12,'Mapping A'!$A$6:$G$1011,7,0)=1,$L537,""),0)</f>
        <v>271.36647602353003</v>
      </c>
      <c r="U537" s="15">
        <f>_xlfn.IFNA(IF(VLOOKUP($J537&amp;U$12,'Mapping A'!$A$6:$G$1011,7,0)=1,$L537,""),0)</f>
        <v>0</v>
      </c>
      <c r="V537" s="15">
        <f>_xlfn.IFNA(IF(VLOOKUP($J537&amp;V$12,'Mapping A'!$A$6:$G$1011,7,0)=1,$L537,""),0)</f>
        <v>271.36647602353003</v>
      </c>
      <c r="W537" s="15">
        <f>_xlfn.IFNA(IF(VLOOKUP($J537&amp;W$12,'Mapping A'!$A$6:$G$1011,7,0)=1,$L537,""),0)</f>
        <v>0</v>
      </c>
      <c r="X537" s="15">
        <f>_xlfn.IFNA(IF(VLOOKUP($J537&amp;X$12,'Mapping A'!$A$6:$G$1011,7,0)=1,$L537,""),0)</f>
        <v>0</v>
      </c>
      <c r="Y537" s="15">
        <f>_xlfn.IFNA(IF(VLOOKUP($J537&amp;Y$12,'Mapping A'!$A$6:$G$1011,7,0)=1,$L537,""),0)</f>
        <v>0</v>
      </c>
      <c r="Z537" s="15">
        <f>_xlfn.IFNA(IF(VLOOKUP($J537&amp;Z$12,'Mapping A'!$A$6:$G$1011,7,0)=1,$L537,""),0)</f>
        <v>0</v>
      </c>
      <c r="AA537" s="15">
        <f>_xlfn.IFNA(IF(VLOOKUP($J537&amp;AA$12,'Mapping A'!$A$6:$G$1011,7,0)=1,$L537,""),0)</f>
        <v>0</v>
      </c>
      <c r="AF537" s="155" t="str">
        <f t="shared" si="148"/>
        <v>OKI2201 OKI0Contact</v>
      </c>
      <c r="AG537" s="15" t="s">
        <v>287</v>
      </c>
      <c r="AH537" s="15" t="s">
        <v>4</v>
      </c>
      <c r="AI537" s="15">
        <v>271.36647602353003</v>
      </c>
      <c r="AJ537" s="292" t="s">
        <v>95</v>
      </c>
      <c r="AK537" s="15"/>
      <c r="AL537" s="15">
        <f t="shared" si="172"/>
        <v>0</v>
      </c>
      <c r="AM537" s="15">
        <f t="shared" si="173"/>
        <v>0</v>
      </c>
      <c r="AN537" s="15">
        <f t="shared" si="174"/>
        <v>0</v>
      </c>
      <c r="AO537" s="15">
        <f t="shared" si="175"/>
        <v>0</v>
      </c>
      <c r="AP537" s="15">
        <f t="shared" si="176"/>
        <v>0</v>
      </c>
      <c r="AQ537" s="190">
        <f t="shared" ca="1" si="164"/>
        <v>0</v>
      </c>
      <c r="AR537" s="190">
        <f t="shared" si="165"/>
        <v>0</v>
      </c>
      <c r="AS537" s="190">
        <f t="shared" ca="1" si="166"/>
        <v>3.5732106788602822E-2</v>
      </c>
      <c r="AT537" s="190">
        <f t="shared" si="167"/>
        <v>0</v>
      </c>
      <c r="AU537" s="190">
        <f t="shared" si="168"/>
        <v>0</v>
      </c>
      <c r="AV537" s="190">
        <f t="shared" si="169"/>
        <v>0</v>
      </c>
      <c r="AW537" s="190">
        <f t="shared" si="170"/>
        <v>0</v>
      </c>
      <c r="AX537" s="190">
        <f t="shared" si="171"/>
        <v>0</v>
      </c>
      <c r="AZ537" s="15"/>
      <c r="BP537" s="190"/>
    </row>
    <row r="538" spans="2:68" x14ac:dyDescent="0.25">
      <c r="B538" s="98" t="s">
        <v>111</v>
      </c>
      <c r="C538" s="98">
        <v>2014</v>
      </c>
      <c r="D538" s="98" t="s">
        <v>351</v>
      </c>
      <c r="E538" s="98" t="s">
        <v>51</v>
      </c>
      <c r="F538" s="98" t="s">
        <v>131</v>
      </c>
      <c r="G538" s="98">
        <v>74959.326000000001</v>
      </c>
      <c r="H538" s="299" t="str">
        <f>VLOOKUP(LEFT('Rev Adequacy'!D538,3),'Mapping B'!$D$2:$E$400,2,0)</f>
        <v>N</v>
      </c>
      <c r="J538" t="s">
        <v>434</v>
      </c>
      <c r="K538" s="15" t="s">
        <v>4</v>
      </c>
      <c r="L538">
        <v>1362.0249243824101</v>
      </c>
      <c r="O538" s="15">
        <f>_xlfn.IFNA(IF(VLOOKUP($J538&amp;O$12,'Mapping A'!$A$6:$G$1011,7,0)=1,$L538,""),0)</f>
        <v>0</v>
      </c>
      <c r="P538" s="15">
        <f>_xlfn.IFNA(IF(VLOOKUP($J538&amp;P$12,'Mapping A'!$A$6:$G$1011,7,0)=1,$L538,""),0)</f>
        <v>0</v>
      </c>
      <c r="Q538" s="15">
        <f>_xlfn.IFNA(IF(VLOOKUP($J538&amp;Q$12,'Mapping A'!$A$6:$G$1011,7,0)=1,$L538,""),0)</f>
        <v>0</v>
      </c>
      <c r="R538" s="15">
        <f>_xlfn.IFNA(IF(VLOOKUP($J538&amp;R$12,'Mapping A'!$A$6:$G$1011,7,0)=1,$L538,""),0)</f>
        <v>0</v>
      </c>
      <c r="S538" s="15">
        <f>_xlfn.IFNA(IF(VLOOKUP($J538&amp;S$12,'Mapping A'!$A$6:$G$1011,7,0)=1,$L538,""),0)</f>
        <v>0</v>
      </c>
      <c r="T538" s="15">
        <f>_xlfn.IFNA(IF(VLOOKUP($J538&amp;T$12,'Mapping A'!$A$6:$G$1011,7,0)=1,$L538,""),0)</f>
        <v>0</v>
      </c>
      <c r="U538" s="15">
        <f>_xlfn.IFNA(IF(VLOOKUP($J538&amp;U$12,'Mapping A'!$A$6:$G$1011,7,0)=1,$L538,""),0)</f>
        <v>0</v>
      </c>
      <c r="V538" s="15">
        <f>_xlfn.IFNA(IF(VLOOKUP($J538&amp;V$12,'Mapping A'!$A$6:$G$1011,7,0)=1,$L538,""),0)</f>
        <v>1362.0249243824101</v>
      </c>
      <c r="W538" s="15">
        <f>_xlfn.IFNA(IF(VLOOKUP($J538&amp;W$12,'Mapping A'!$A$6:$G$1011,7,0)=1,$L538,""),0)</f>
        <v>0</v>
      </c>
      <c r="X538" s="15">
        <f>_xlfn.IFNA(IF(VLOOKUP($J538&amp;X$12,'Mapping A'!$A$6:$G$1011,7,0)=1,$L538,""),0)</f>
        <v>0</v>
      </c>
      <c r="Y538" s="15">
        <f>_xlfn.IFNA(IF(VLOOKUP($J538&amp;Y$12,'Mapping A'!$A$6:$G$1011,7,0)=1,$L538,""),0)</f>
        <v>0</v>
      </c>
      <c r="Z538" s="15">
        <f>_xlfn.IFNA(IF(VLOOKUP($J538&amp;Z$12,'Mapping A'!$A$6:$G$1011,7,0)=1,$L538,""),0)</f>
        <v>0</v>
      </c>
      <c r="AA538" s="15">
        <f>_xlfn.IFNA(IF(VLOOKUP($J538&amp;AA$12,'Mapping A'!$A$6:$G$1011,7,0)=1,$L538,""),0)</f>
        <v>0</v>
      </c>
      <c r="AF538" s="155" t="str">
        <f t="shared" si="148"/>
        <v>OTA2202 OTC0Contact</v>
      </c>
      <c r="AG538" s="15" t="s">
        <v>434</v>
      </c>
      <c r="AH538" s="15" t="s">
        <v>4</v>
      </c>
      <c r="AI538" s="15">
        <v>1362.0249243824101</v>
      </c>
      <c r="AJ538" s="292" t="s">
        <v>95</v>
      </c>
      <c r="AK538" s="15"/>
      <c r="AL538" s="15">
        <f t="shared" si="172"/>
        <v>0</v>
      </c>
      <c r="AM538" s="15">
        <f t="shared" si="173"/>
        <v>0</v>
      </c>
      <c r="AN538" s="15">
        <f t="shared" si="174"/>
        <v>0</v>
      </c>
      <c r="AO538" s="15">
        <f t="shared" si="175"/>
        <v>0</v>
      </c>
      <c r="AP538" s="15">
        <f t="shared" si="176"/>
        <v>0</v>
      </c>
      <c r="AQ538" s="190">
        <f t="shared" ca="1" si="164"/>
        <v>0</v>
      </c>
      <c r="AR538" s="190">
        <f t="shared" si="165"/>
        <v>0</v>
      </c>
      <c r="AS538" s="190">
        <f t="shared" ca="1" si="166"/>
        <v>0.17934426079421462</v>
      </c>
      <c r="AT538" s="190">
        <f t="shared" si="167"/>
        <v>0</v>
      </c>
      <c r="AU538" s="190">
        <f t="shared" si="168"/>
        <v>0</v>
      </c>
      <c r="AV538" s="190">
        <f t="shared" si="169"/>
        <v>0</v>
      </c>
      <c r="AW538" s="190">
        <f t="shared" si="170"/>
        <v>0</v>
      </c>
      <c r="AX538" s="190">
        <f t="shared" si="171"/>
        <v>0</v>
      </c>
      <c r="AZ538" s="15"/>
      <c r="BP538" s="190"/>
    </row>
    <row r="539" spans="2:68" x14ac:dyDescent="0.25">
      <c r="B539" s="98" t="s">
        <v>552</v>
      </c>
      <c r="C539" s="98">
        <v>2014</v>
      </c>
      <c r="D539" s="98" t="s">
        <v>185</v>
      </c>
      <c r="E539" s="98" t="s">
        <v>102</v>
      </c>
      <c r="F539" s="98" t="s">
        <v>131</v>
      </c>
      <c r="G539" s="248">
        <v>172.82078476996301</v>
      </c>
      <c r="H539" s="299" t="str">
        <f>VLOOKUP(LEFT('Rev Adequacy'!D539,3),'Mapping B'!$D$2:$E$400,2,0)</f>
        <v>S</v>
      </c>
      <c r="J539" t="s">
        <v>304</v>
      </c>
      <c r="K539" s="15" t="s">
        <v>4</v>
      </c>
      <c r="L539">
        <v>393.79934817127099</v>
      </c>
      <c r="O539" s="15">
        <f>_xlfn.IFNA(IF(VLOOKUP($J539&amp;O$12,'Mapping A'!$A$6:$G$1011,7,0)=1,$L539,""),0)</f>
        <v>0</v>
      </c>
      <c r="P539" s="15">
        <f>_xlfn.IFNA(IF(VLOOKUP($J539&amp;P$12,'Mapping A'!$A$6:$G$1011,7,0)=1,$L539,""),0)</f>
        <v>0</v>
      </c>
      <c r="Q539" s="15">
        <f>_xlfn.IFNA(IF(VLOOKUP($J539&amp;Q$12,'Mapping A'!$A$6:$G$1011,7,0)=1,$L539,""),0)</f>
        <v>0</v>
      </c>
      <c r="R539" s="15">
        <f>_xlfn.IFNA(IF(VLOOKUP($J539&amp;R$12,'Mapping A'!$A$6:$G$1011,7,0)=1,$L539,""),0)</f>
        <v>0</v>
      </c>
      <c r="S539" s="15">
        <f>_xlfn.IFNA(IF(VLOOKUP($J539&amp;S$12,'Mapping A'!$A$6:$G$1011,7,0)=1,$L539,""),0)</f>
        <v>0</v>
      </c>
      <c r="T539" s="15">
        <f>_xlfn.IFNA(IF(VLOOKUP($J539&amp;T$12,'Mapping A'!$A$6:$G$1011,7,0)=1,$L539,""),0)</f>
        <v>393.79934817127099</v>
      </c>
      <c r="U539" s="15">
        <f>_xlfn.IFNA(IF(VLOOKUP($J539&amp;U$12,'Mapping A'!$A$6:$G$1011,7,0)=1,$L539,""),0)</f>
        <v>0</v>
      </c>
      <c r="V539" s="15">
        <f>_xlfn.IFNA(IF(VLOOKUP($J539&amp;V$12,'Mapping A'!$A$6:$G$1011,7,0)=1,$L539,""),0)</f>
        <v>393.79934817127099</v>
      </c>
      <c r="W539" s="15">
        <f>_xlfn.IFNA(IF(VLOOKUP($J539&amp;W$12,'Mapping A'!$A$6:$G$1011,7,0)=1,$L539,""),0)</f>
        <v>0</v>
      </c>
      <c r="X539" s="15">
        <f>_xlfn.IFNA(IF(VLOOKUP($J539&amp;X$12,'Mapping A'!$A$6:$G$1011,7,0)=1,$L539,""),0)</f>
        <v>0</v>
      </c>
      <c r="Y539" s="15">
        <f>_xlfn.IFNA(IF(VLOOKUP($J539&amp;Y$12,'Mapping A'!$A$6:$G$1011,7,0)=1,$L539,""),0)</f>
        <v>0</v>
      </c>
      <c r="Z539" s="15">
        <f>_xlfn.IFNA(IF(VLOOKUP($J539&amp;Z$12,'Mapping A'!$A$6:$G$1011,7,0)=1,$L539,""),0)</f>
        <v>0</v>
      </c>
      <c r="AA539" s="15">
        <f>_xlfn.IFNA(IF(VLOOKUP($J539&amp;AA$12,'Mapping A'!$A$6:$G$1011,7,0)=1,$L539,""),0)</f>
        <v>0</v>
      </c>
      <c r="AF539" s="155" t="str">
        <f t="shared" si="148"/>
        <v>PPI2201 PPI0Contact</v>
      </c>
      <c r="AG539" s="15" t="s">
        <v>304</v>
      </c>
      <c r="AH539" s="15" t="s">
        <v>4</v>
      </c>
      <c r="AI539" s="15">
        <v>393.79934817127099</v>
      </c>
      <c r="AJ539" s="292" t="s">
        <v>95</v>
      </c>
      <c r="AK539" s="15"/>
      <c r="AL539" s="15">
        <f t="shared" si="172"/>
        <v>0</v>
      </c>
      <c r="AM539" s="15">
        <f t="shared" si="173"/>
        <v>0</v>
      </c>
      <c r="AN539" s="15">
        <f t="shared" si="174"/>
        <v>0</v>
      </c>
      <c r="AO539" s="15">
        <f t="shared" si="175"/>
        <v>0</v>
      </c>
      <c r="AP539" s="15">
        <f t="shared" si="176"/>
        <v>0</v>
      </c>
      <c r="AQ539" s="190">
        <f t="shared" ca="1" si="164"/>
        <v>0</v>
      </c>
      <c r="AR539" s="190">
        <f t="shared" si="165"/>
        <v>0</v>
      </c>
      <c r="AS539" s="190">
        <f t="shared" ca="1" si="166"/>
        <v>5.1853421868211624E-2</v>
      </c>
      <c r="AT539" s="190">
        <f t="shared" si="167"/>
        <v>0</v>
      </c>
      <c r="AU539" s="190">
        <f t="shared" si="168"/>
        <v>0</v>
      </c>
      <c r="AV539" s="190">
        <f t="shared" si="169"/>
        <v>0</v>
      </c>
      <c r="AW539" s="190">
        <f t="shared" si="170"/>
        <v>0</v>
      </c>
      <c r="AX539" s="190">
        <f t="shared" si="171"/>
        <v>0</v>
      </c>
      <c r="AZ539" s="15"/>
      <c r="BP539" s="190"/>
    </row>
    <row r="540" spans="2:68" x14ac:dyDescent="0.25">
      <c r="B540" s="98" t="s">
        <v>553</v>
      </c>
      <c r="C540" s="98">
        <v>2014</v>
      </c>
      <c r="D540" s="98" t="s">
        <v>185</v>
      </c>
      <c r="E540" s="98" t="s">
        <v>102</v>
      </c>
      <c r="F540" s="98" t="s">
        <v>131</v>
      </c>
      <c r="G540" s="248">
        <v>3795.5413326992598</v>
      </c>
      <c r="H540" s="299" t="str">
        <f>VLOOKUP(LEFT('Rev Adequacy'!D540,3),'Mapping B'!$D$2:$E$400,2,0)</f>
        <v>S</v>
      </c>
      <c r="J540" t="s">
        <v>314</v>
      </c>
      <c r="K540" s="15" t="s">
        <v>35</v>
      </c>
      <c r="L540">
        <v>55.624128014370797</v>
      </c>
      <c r="O540" s="15">
        <f>_xlfn.IFNA(IF(VLOOKUP($J540&amp;O$12,'Mapping A'!$A$6:$G$1011,7,0)=1,$L540,""),0)</f>
        <v>0</v>
      </c>
      <c r="P540" s="15">
        <f>_xlfn.IFNA(IF(VLOOKUP($J540&amp;P$12,'Mapping A'!$A$6:$G$1011,7,0)=1,$L540,""),0)</f>
        <v>0</v>
      </c>
      <c r="Q540" s="15">
        <f>_xlfn.IFNA(IF(VLOOKUP($J540&amp;Q$12,'Mapping A'!$A$6:$G$1011,7,0)=1,$L540,""),0)</f>
        <v>0</v>
      </c>
      <c r="R540" s="15">
        <f>_xlfn.IFNA(IF(VLOOKUP($J540&amp;R$12,'Mapping A'!$A$6:$G$1011,7,0)=1,$L540,""),0)</f>
        <v>0</v>
      </c>
      <c r="S540" s="15">
        <f>_xlfn.IFNA(IF(VLOOKUP($J540&amp;S$12,'Mapping A'!$A$6:$G$1011,7,0)=1,$L540,""),0)</f>
        <v>0</v>
      </c>
      <c r="T540" s="15">
        <f>_xlfn.IFNA(IF(VLOOKUP($J540&amp;T$12,'Mapping A'!$A$6:$G$1011,7,0)=1,$L540,""),0)</f>
        <v>55.624128014370797</v>
      </c>
      <c r="U540" s="15">
        <f>_xlfn.IFNA(IF(VLOOKUP($J540&amp;U$12,'Mapping A'!$A$6:$G$1011,7,0)=1,$L540,""),0)</f>
        <v>0</v>
      </c>
      <c r="V540" s="15">
        <f>_xlfn.IFNA(IF(VLOOKUP($J540&amp;V$12,'Mapping A'!$A$6:$G$1011,7,0)=1,$L540,""),0)</f>
        <v>55.624128014370797</v>
      </c>
      <c r="W540" s="15">
        <f>_xlfn.IFNA(IF(VLOOKUP($J540&amp;W$12,'Mapping A'!$A$6:$G$1011,7,0)=1,$L540,""),0)</f>
        <v>0</v>
      </c>
      <c r="X540" s="15">
        <f>_xlfn.IFNA(IF(VLOOKUP($J540&amp;X$12,'Mapping A'!$A$6:$G$1011,7,0)=1,$L540,""),0)</f>
        <v>0</v>
      </c>
      <c r="Y540" s="15">
        <f>_xlfn.IFNA(IF(VLOOKUP($J540&amp;Y$12,'Mapping A'!$A$6:$G$1011,7,0)=1,$L540,""),0)</f>
        <v>0</v>
      </c>
      <c r="Z540" s="15">
        <f>_xlfn.IFNA(IF(VLOOKUP($J540&amp;Z$12,'Mapping A'!$A$6:$G$1011,7,0)=1,$L540,""),0)</f>
        <v>0</v>
      </c>
      <c r="AA540" s="15">
        <f>_xlfn.IFNA(IF(VLOOKUP($J540&amp;AA$12,'Mapping A'!$A$6:$G$1011,7,0)=1,$L540,""),0)</f>
        <v>0</v>
      </c>
      <c r="AF540" s="155" t="str">
        <f t="shared" si="148"/>
        <v>ROT1101 WHE0Trustpower</v>
      </c>
      <c r="AG540" s="15" t="s">
        <v>314</v>
      </c>
      <c r="AH540" s="15" t="s">
        <v>35</v>
      </c>
      <c r="AI540" s="15">
        <v>55.624128014370797</v>
      </c>
      <c r="AJ540" s="292" t="s">
        <v>95</v>
      </c>
      <c r="AK540" s="15"/>
      <c r="AL540" s="15">
        <f t="shared" si="172"/>
        <v>0</v>
      </c>
      <c r="AM540" s="15">
        <f t="shared" si="173"/>
        <v>0</v>
      </c>
      <c r="AN540" s="15">
        <f t="shared" si="174"/>
        <v>0</v>
      </c>
      <c r="AO540" s="15">
        <f t="shared" si="175"/>
        <v>0</v>
      </c>
      <c r="AP540" s="15">
        <f t="shared" si="176"/>
        <v>0</v>
      </c>
      <c r="AQ540" s="190">
        <f t="shared" ca="1" si="164"/>
        <v>0</v>
      </c>
      <c r="AR540" s="190">
        <f t="shared" si="165"/>
        <v>0</v>
      </c>
      <c r="AS540" s="190">
        <f t="shared" ca="1" si="166"/>
        <v>7.3242918998589574E-3</v>
      </c>
      <c r="AT540" s="190">
        <f t="shared" si="167"/>
        <v>0</v>
      </c>
      <c r="AU540" s="190">
        <f t="shared" si="168"/>
        <v>0</v>
      </c>
      <c r="AV540" s="190">
        <f t="shared" si="169"/>
        <v>0</v>
      </c>
      <c r="AW540" s="190">
        <f t="shared" si="170"/>
        <v>0</v>
      </c>
      <c r="AX540" s="190">
        <f t="shared" si="171"/>
        <v>0</v>
      </c>
      <c r="AZ540" s="15"/>
      <c r="BP540" s="190"/>
    </row>
    <row r="541" spans="2:68" x14ac:dyDescent="0.25">
      <c r="B541" s="98" t="s">
        <v>554</v>
      </c>
      <c r="C541" s="98">
        <v>2014</v>
      </c>
      <c r="D541" s="98" t="s">
        <v>185</v>
      </c>
      <c r="E541" s="98" t="s">
        <v>102</v>
      </c>
      <c r="F541" s="98" t="s">
        <v>131</v>
      </c>
      <c r="G541" s="98">
        <v>0</v>
      </c>
      <c r="H541" s="299" t="str">
        <f>VLOOKUP(LEFT('Rev Adequacy'!D541,3),'Mapping B'!$D$2:$E$400,2,0)</f>
        <v>S</v>
      </c>
      <c r="J541" t="s">
        <v>315</v>
      </c>
      <c r="K541" s="15" t="s">
        <v>4</v>
      </c>
      <c r="L541">
        <v>534.00503324985505</v>
      </c>
      <c r="O541" s="15">
        <f>_xlfn.IFNA(IF(VLOOKUP($J541&amp;O$12,'Mapping A'!$A$6:$G$1011,7,0)=1,$L541,""),0)</f>
        <v>0</v>
      </c>
      <c r="P541" s="15">
        <f>_xlfn.IFNA(IF(VLOOKUP($J541&amp;P$12,'Mapping A'!$A$6:$G$1011,7,0)=1,$L541,""),0)</f>
        <v>0</v>
      </c>
      <c r="Q541" s="15">
        <f>_xlfn.IFNA(IF(VLOOKUP($J541&amp;Q$12,'Mapping A'!$A$6:$G$1011,7,0)=1,$L541,""),0)</f>
        <v>0</v>
      </c>
      <c r="R541" s="15">
        <f>_xlfn.IFNA(IF(VLOOKUP($J541&amp;R$12,'Mapping A'!$A$6:$G$1011,7,0)=1,$L541,""),0)</f>
        <v>0</v>
      </c>
      <c r="S541" s="15">
        <f>_xlfn.IFNA(IF(VLOOKUP($J541&amp;S$12,'Mapping A'!$A$6:$G$1011,7,0)=1,$L541,""),0)</f>
        <v>534.00503324985505</v>
      </c>
      <c r="T541" s="15">
        <f>_xlfn.IFNA(IF(VLOOKUP($J541&amp;T$12,'Mapping A'!$A$6:$G$1011,7,0)=1,$L541,""),0)</f>
        <v>0</v>
      </c>
      <c r="U541" s="15">
        <f>_xlfn.IFNA(IF(VLOOKUP($J541&amp;U$12,'Mapping A'!$A$6:$G$1011,7,0)=1,$L541,""),0)</f>
        <v>0</v>
      </c>
      <c r="V541" s="15">
        <f>_xlfn.IFNA(IF(VLOOKUP($J541&amp;V$12,'Mapping A'!$A$6:$G$1011,7,0)=1,$L541,""),0)</f>
        <v>0</v>
      </c>
      <c r="W541" s="15">
        <f>_xlfn.IFNA(IF(VLOOKUP($J541&amp;W$12,'Mapping A'!$A$6:$G$1011,7,0)=1,$L541,""),0)</f>
        <v>0</v>
      </c>
      <c r="X541" s="15">
        <f>_xlfn.IFNA(IF(VLOOKUP($J541&amp;X$12,'Mapping A'!$A$6:$G$1011,7,0)=1,$L541,""),0)</f>
        <v>0</v>
      </c>
      <c r="Y541" s="15">
        <f>_xlfn.IFNA(IF(VLOOKUP($J541&amp;Y$12,'Mapping A'!$A$6:$G$1011,7,0)=1,$L541,""),0)</f>
        <v>0</v>
      </c>
      <c r="Z541" s="15">
        <f>_xlfn.IFNA(IF(VLOOKUP($J541&amp;Z$12,'Mapping A'!$A$6:$G$1011,7,0)=1,$L541,""),0)</f>
        <v>0</v>
      </c>
      <c r="AA541" s="15">
        <f>_xlfn.IFNA(IF(VLOOKUP($J541&amp;AA$12,'Mapping A'!$A$6:$G$1011,7,0)=1,$L541,""),0)</f>
        <v>0</v>
      </c>
      <c r="AF541" s="155" t="str">
        <f t="shared" si="148"/>
        <v>ROX1101 ROX0Contact</v>
      </c>
      <c r="AG541" s="15" t="s">
        <v>315</v>
      </c>
      <c r="AH541" s="15" t="s">
        <v>4</v>
      </c>
      <c r="AI541" s="15">
        <v>534.00503324985505</v>
      </c>
      <c r="AJ541" s="292" t="s">
        <v>96</v>
      </c>
      <c r="AK541" s="15"/>
      <c r="AL541" s="15">
        <f t="shared" si="172"/>
        <v>0</v>
      </c>
      <c r="AM541" s="15">
        <f t="shared" si="173"/>
        <v>0</v>
      </c>
      <c r="AN541" s="15">
        <f t="shared" si="174"/>
        <v>0</v>
      </c>
      <c r="AO541" s="15">
        <f t="shared" si="175"/>
        <v>0</v>
      </c>
      <c r="AP541" s="15">
        <f t="shared" si="176"/>
        <v>0</v>
      </c>
      <c r="AQ541" s="190">
        <f t="shared" ca="1" si="164"/>
        <v>0</v>
      </c>
      <c r="AR541" s="190">
        <f t="shared" si="165"/>
        <v>0</v>
      </c>
      <c r="AS541" s="190">
        <f t="shared" ca="1" si="166"/>
        <v>0</v>
      </c>
      <c r="AT541" s="190">
        <f t="shared" si="167"/>
        <v>0</v>
      </c>
      <c r="AU541" s="190">
        <f t="shared" si="168"/>
        <v>0</v>
      </c>
      <c r="AV541" s="190">
        <f t="shared" si="169"/>
        <v>0</v>
      </c>
      <c r="AW541" s="190">
        <f t="shared" si="170"/>
        <v>0</v>
      </c>
      <c r="AX541" s="190">
        <f t="shared" si="171"/>
        <v>0</v>
      </c>
      <c r="AZ541" s="15"/>
      <c r="BP541" s="190"/>
    </row>
    <row r="542" spans="2:68" x14ac:dyDescent="0.25">
      <c r="B542" s="98" t="s">
        <v>563</v>
      </c>
      <c r="C542" s="98">
        <v>2014</v>
      </c>
      <c r="D542" s="98" t="s">
        <v>185</v>
      </c>
      <c r="E542" s="98" t="s">
        <v>102</v>
      </c>
      <c r="F542" s="98" t="s">
        <v>131</v>
      </c>
      <c r="G542" s="98">
        <v>18026.8141523991</v>
      </c>
      <c r="H542" s="299" t="str">
        <f>VLOOKUP(LEFT('Rev Adequacy'!D542,3),'Mapping B'!$D$2:$E$400,2,0)</f>
        <v>S</v>
      </c>
      <c r="J542" t="s">
        <v>316</v>
      </c>
      <c r="K542" s="15" t="s">
        <v>4</v>
      </c>
      <c r="L542">
        <v>1277.1565298042201</v>
      </c>
      <c r="O542" s="15">
        <f>_xlfn.IFNA(IF(VLOOKUP($J542&amp;O$12,'Mapping A'!$A$6:$G$1011,7,0)=1,$L542,""),0)</f>
        <v>0</v>
      </c>
      <c r="P542" s="15">
        <f>_xlfn.IFNA(IF(VLOOKUP($J542&amp;P$12,'Mapping A'!$A$6:$G$1011,7,0)=1,$L542,""),0)</f>
        <v>0</v>
      </c>
      <c r="Q542" s="15">
        <f>_xlfn.IFNA(IF(VLOOKUP($J542&amp;Q$12,'Mapping A'!$A$6:$G$1011,7,0)=1,$L542,""),0)</f>
        <v>0</v>
      </c>
      <c r="R542" s="15">
        <f>_xlfn.IFNA(IF(VLOOKUP($J542&amp;R$12,'Mapping A'!$A$6:$G$1011,7,0)=1,$L542,""),0)</f>
        <v>0</v>
      </c>
      <c r="S542" s="15">
        <f>_xlfn.IFNA(IF(VLOOKUP($J542&amp;S$12,'Mapping A'!$A$6:$G$1011,7,0)=1,$L542,""),0)</f>
        <v>1277.1565298042201</v>
      </c>
      <c r="T542" s="15">
        <f>_xlfn.IFNA(IF(VLOOKUP($J542&amp;T$12,'Mapping A'!$A$6:$G$1011,7,0)=1,$L542,""),0)</f>
        <v>0</v>
      </c>
      <c r="U542" s="15">
        <f>_xlfn.IFNA(IF(VLOOKUP($J542&amp;U$12,'Mapping A'!$A$6:$G$1011,7,0)=1,$L542,""),0)</f>
        <v>0</v>
      </c>
      <c r="V542" s="15">
        <f>_xlfn.IFNA(IF(VLOOKUP($J542&amp;V$12,'Mapping A'!$A$6:$G$1011,7,0)=1,$L542,""),0)</f>
        <v>0</v>
      </c>
      <c r="W542" s="15">
        <f>_xlfn.IFNA(IF(VLOOKUP($J542&amp;W$12,'Mapping A'!$A$6:$G$1011,7,0)=1,$L542,""),0)</f>
        <v>0</v>
      </c>
      <c r="X542" s="15">
        <f>_xlfn.IFNA(IF(VLOOKUP($J542&amp;X$12,'Mapping A'!$A$6:$G$1011,7,0)=1,$L542,""),0)</f>
        <v>0</v>
      </c>
      <c r="Y542" s="15">
        <f>_xlfn.IFNA(IF(VLOOKUP($J542&amp;Y$12,'Mapping A'!$A$6:$G$1011,7,0)=1,$L542,""),0)</f>
        <v>0</v>
      </c>
      <c r="Z542" s="15">
        <f>_xlfn.IFNA(IF(VLOOKUP($J542&amp;Z$12,'Mapping A'!$A$6:$G$1011,7,0)=1,$L542,""),0)</f>
        <v>0</v>
      </c>
      <c r="AA542" s="15">
        <f>_xlfn.IFNA(IF(VLOOKUP($J542&amp;AA$12,'Mapping A'!$A$6:$G$1011,7,0)=1,$L542,""),0)</f>
        <v>0</v>
      </c>
      <c r="AF542" s="155" t="str">
        <f t="shared" si="148"/>
        <v>ROX2201 ROX0Contact</v>
      </c>
      <c r="AG542" s="15" t="s">
        <v>316</v>
      </c>
      <c r="AH542" s="15" t="s">
        <v>4</v>
      </c>
      <c r="AI542" s="15">
        <v>1277.1565298042201</v>
      </c>
      <c r="AJ542" s="292" t="s">
        <v>96</v>
      </c>
      <c r="AK542" s="15"/>
      <c r="AL542" s="15">
        <f t="shared" si="172"/>
        <v>0</v>
      </c>
      <c r="AM542" s="15">
        <f t="shared" si="173"/>
        <v>0</v>
      </c>
      <c r="AN542" s="15">
        <f t="shared" si="174"/>
        <v>0</v>
      </c>
      <c r="AO542" s="15">
        <f t="shared" si="175"/>
        <v>0</v>
      </c>
      <c r="AP542" s="15">
        <f t="shared" si="176"/>
        <v>0</v>
      </c>
      <c r="AQ542" s="190">
        <f t="shared" ca="1" si="164"/>
        <v>0</v>
      </c>
      <c r="AR542" s="190">
        <f t="shared" si="165"/>
        <v>0</v>
      </c>
      <c r="AS542" s="190">
        <f t="shared" ca="1" si="166"/>
        <v>0</v>
      </c>
      <c r="AT542" s="190">
        <f t="shared" si="167"/>
        <v>0</v>
      </c>
      <c r="AU542" s="190">
        <f t="shared" si="168"/>
        <v>0</v>
      </c>
      <c r="AV542" s="190">
        <f t="shared" si="169"/>
        <v>0</v>
      </c>
      <c r="AW542" s="190">
        <f t="shared" si="170"/>
        <v>0</v>
      </c>
      <c r="AX542" s="190">
        <f t="shared" si="171"/>
        <v>0</v>
      </c>
      <c r="AZ542" s="15"/>
      <c r="BP542" s="190"/>
    </row>
    <row r="543" spans="2:68" x14ac:dyDescent="0.25">
      <c r="B543" s="98" t="s">
        <v>555</v>
      </c>
      <c r="C543" s="98">
        <v>2014</v>
      </c>
      <c r="D543" s="98" t="s">
        <v>185</v>
      </c>
      <c r="E543" s="98" t="s">
        <v>102</v>
      </c>
      <c r="F543" s="98" t="s">
        <v>131</v>
      </c>
      <c r="G543" s="98">
        <v>7954.1057345169702</v>
      </c>
      <c r="H543" s="299" t="str">
        <f>VLOOKUP(LEFT('Rev Adequacy'!D543,3),'Mapping B'!$D$2:$E$400,2,0)</f>
        <v>S</v>
      </c>
      <c r="J543" t="s">
        <v>317</v>
      </c>
      <c r="K543" s="15" t="s">
        <v>10</v>
      </c>
      <c r="L543">
        <v>515.937463040956</v>
      </c>
      <c r="O543" s="15">
        <f>_xlfn.IFNA(IF(VLOOKUP($J543&amp;O$12,'Mapping A'!$A$6:$G$1011,7,0)=1,$L543,""),0)</f>
        <v>0</v>
      </c>
      <c r="P543" s="15">
        <f>_xlfn.IFNA(IF(VLOOKUP($J543&amp;P$12,'Mapping A'!$A$6:$G$1011,7,0)=1,$L543,""),0)</f>
        <v>0</v>
      </c>
      <c r="Q543" s="15">
        <f>_xlfn.IFNA(IF(VLOOKUP($J543&amp;Q$12,'Mapping A'!$A$6:$G$1011,7,0)=1,$L543,""),0)</f>
        <v>0</v>
      </c>
      <c r="R543" s="15">
        <f>_xlfn.IFNA(IF(VLOOKUP($J543&amp;R$12,'Mapping A'!$A$6:$G$1011,7,0)=1,$L543,""),0)</f>
        <v>0</v>
      </c>
      <c r="S543" s="15">
        <f>_xlfn.IFNA(IF(VLOOKUP($J543&amp;S$12,'Mapping A'!$A$6:$G$1011,7,0)=1,$L543,""),0)</f>
        <v>0</v>
      </c>
      <c r="T543" s="15">
        <f>_xlfn.IFNA(IF(VLOOKUP($J543&amp;T$12,'Mapping A'!$A$6:$G$1011,7,0)=1,$L543,""),0)</f>
        <v>0</v>
      </c>
      <c r="U543" s="15">
        <f>_xlfn.IFNA(IF(VLOOKUP($J543&amp;U$12,'Mapping A'!$A$6:$G$1011,7,0)=1,$L543,""),0)</f>
        <v>0</v>
      </c>
      <c r="V543" s="15">
        <f>_xlfn.IFNA(IF(VLOOKUP($J543&amp;V$12,'Mapping A'!$A$6:$G$1011,7,0)=1,$L543,""),0)</f>
        <v>515.937463040956</v>
      </c>
      <c r="W543" s="15">
        <f>_xlfn.IFNA(IF(VLOOKUP($J543&amp;W$12,'Mapping A'!$A$6:$G$1011,7,0)=1,$L543,""),0)</f>
        <v>0</v>
      </c>
      <c r="X543" s="15">
        <f>_xlfn.IFNA(IF(VLOOKUP($J543&amp;X$12,'Mapping A'!$A$6:$G$1011,7,0)=1,$L543,""),0)</f>
        <v>0</v>
      </c>
      <c r="Y543" s="15">
        <f>_xlfn.IFNA(IF(VLOOKUP($J543&amp;Y$12,'Mapping A'!$A$6:$G$1011,7,0)=1,$L543,""),0)</f>
        <v>0</v>
      </c>
      <c r="Z543" s="15">
        <f>_xlfn.IFNA(IF(VLOOKUP($J543&amp;Z$12,'Mapping A'!$A$6:$G$1011,7,0)=1,$L543,""),0)</f>
        <v>0</v>
      </c>
      <c r="AA543" s="15">
        <f>_xlfn.IFNA(IF(VLOOKUP($J543&amp;AA$12,'Mapping A'!$A$6:$G$1011,7,0)=1,$L543,""),0)</f>
        <v>0</v>
      </c>
      <c r="AF543" s="155" t="str">
        <f t="shared" si="148"/>
        <v>RPO2201 RPO0Genesis</v>
      </c>
      <c r="AG543" s="15" t="s">
        <v>317</v>
      </c>
      <c r="AH543" s="15" t="s">
        <v>10</v>
      </c>
      <c r="AI543" s="15">
        <v>515.937463040956</v>
      </c>
      <c r="AJ543" s="292" t="s">
        <v>95</v>
      </c>
      <c r="AK543" s="15"/>
      <c r="AL543" s="15">
        <f t="shared" si="172"/>
        <v>0</v>
      </c>
      <c r="AM543" s="15">
        <f t="shared" si="173"/>
        <v>0</v>
      </c>
      <c r="AN543" s="15">
        <f t="shared" si="174"/>
        <v>0</v>
      </c>
      <c r="AO543" s="15">
        <f t="shared" si="175"/>
        <v>0</v>
      </c>
      <c r="AP543" s="15">
        <f t="shared" si="176"/>
        <v>0</v>
      </c>
      <c r="AQ543" s="190">
        <f t="shared" ca="1" si="164"/>
        <v>0</v>
      </c>
      <c r="AR543" s="190">
        <f t="shared" si="165"/>
        <v>0</v>
      </c>
      <c r="AS543" s="190">
        <f t="shared" ca="1" si="166"/>
        <v>6.7935924863547728E-2</v>
      </c>
      <c r="AT543" s="190">
        <f t="shared" si="167"/>
        <v>0</v>
      </c>
      <c r="AU543" s="190">
        <f t="shared" si="168"/>
        <v>0</v>
      </c>
      <c r="AV543" s="190">
        <f t="shared" si="169"/>
        <v>0</v>
      </c>
      <c r="AW543" s="190">
        <f t="shared" si="170"/>
        <v>0</v>
      </c>
      <c r="AX543" s="190">
        <f t="shared" si="171"/>
        <v>0</v>
      </c>
      <c r="AZ543" s="15"/>
      <c r="BP543" s="190"/>
    </row>
    <row r="544" spans="2:68" x14ac:dyDescent="0.25">
      <c r="B544" s="98" t="s">
        <v>112</v>
      </c>
      <c r="C544" s="98">
        <v>2014</v>
      </c>
      <c r="D544" s="98" t="s">
        <v>185</v>
      </c>
      <c r="E544" s="98" t="s">
        <v>102</v>
      </c>
      <c r="F544" s="98" t="s">
        <v>131</v>
      </c>
      <c r="G544" s="98">
        <v>0</v>
      </c>
      <c r="H544" s="299" t="str">
        <f>VLOOKUP(LEFT('Rev Adequacy'!D544,3),'Mapping B'!$D$2:$E$400,2,0)</f>
        <v>S</v>
      </c>
      <c r="J544" t="s">
        <v>322</v>
      </c>
      <c r="K544" s="15" t="s">
        <v>4</v>
      </c>
      <c r="L544">
        <v>175.98891999671599</v>
      </c>
      <c r="O544" s="15">
        <f>_xlfn.IFNA(IF(VLOOKUP($J544&amp;O$12,'Mapping A'!$A$6:$G$1011,7,0)=1,$L544,""),0)</f>
        <v>0</v>
      </c>
      <c r="P544" s="15">
        <f>_xlfn.IFNA(IF(VLOOKUP($J544&amp;P$12,'Mapping A'!$A$6:$G$1011,7,0)=1,$L544,""),0)</f>
        <v>0</v>
      </c>
      <c r="Q544" s="15">
        <f>_xlfn.IFNA(IF(VLOOKUP($J544&amp;Q$12,'Mapping A'!$A$6:$G$1011,7,0)=1,$L544,""),0)</f>
        <v>0</v>
      </c>
      <c r="R544" s="15">
        <f>_xlfn.IFNA(IF(VLOOKUP($J544&amp;R$12,'Mapping A'!$A$6:$G$1011,7,0)=1,$L544,""),0)</f>
        <v>0</v>
      </c>
      <c r="S544" s="15">
        <f>_xlfn.IFNA(IF(VLOOKUP($J544&amp;S$12,'Mapping A'!$A$6:$G$1011,7,0)=1,$L544,""),0)</f>
        <v>0</v>
      </c>
      <c r="T544" s="15">
        <f>_xlfn.IFNA(IF(VLOOKUP($J544&amp;T$12,'Mapping A'!$A$6:$G$1011,7,0)=1,$L544,""),0)</f>
        <v>0</v>
      </c>
      <c r="U544" s="15">
        <f>_xlfn.IFNA(IF(VLOOKUP($J544&amp;U$12,'Mapping A'!$A$6:$G$1011,7,0)=1,$L544,""),0)</f>
        <v>0</v>
      </c>
      <c r="V544" s="15">
        <f>_xlfn.IFNA(IF(VLOOKUP($J544&amp;V$12,'Mapping A'!$A$6:$G$1011,7,0)=1,$L544,""),0)</f>
        <v>175.98891999671599</v>
      </c>
      <c r="W544" s="15">
        <f>_xlfn.IFNA(IF(VLOOKUP($J544&amp;W$12,'Mapping A'!$A$6:$G$1011,7,0)=1,$L544,""),0)</f>
        <v>0</v>
      </c>
      <c r="X544" s="15">
        <f>_xlfn.IFNA(IF(VLOOKUP($J544&amp;X$12,'Mapping A'!$A$6:$G$1011,7,0)=1,$L544,""),0)</f>
        <v>0</v>
      </c>
      <c r="Y544" s="15">
        <f>_xlfn.IFNA(IF(VLOOKUP($J544&amp;Y$12,'Mapping A'!$A$6:$G$1011,7,0)=1,$L544,""),0)</f>
        <v>0</v>
      </c>
      <c r="Z544" s="15">
        <f>_xlfn.IFNA(IF(VLOOKUP($J544&amp;Z$12,'Mapping A'!$A$6:$G$1011,7,0)=1,$L544,""),0)</f>
        <v>0</v>
      </c>
      <c r="AA544" s="15">
        <f>_xlfn.IFNA(IF(VLOOKUP($J544&amp;AA$12,'Mapping A'!$A$6:$G$1011,7,0)=1,$L544,""),0)</f>
        <v>0</v>
      </c>
      <c r="AF544" s="155" t="str">
        <f t="shared" si="148"/>
        <v>SFD2201 SFD21Contact</v>
      </c>
      <c r="AG544" s="15" t="s">
        <v>322</v>
      </c>
      <c r="AH544" s="15" t="s">
        <v>4</v>
      </c>
      <c r="AI544" s="15">
        <v>175.98891999671599</v>
      </c>
      <c r="AJ544" s="292" t="s">
        <v>95</v>
      </c>
      <c r="AK544" s="15"/>
      <c r="AL544" s="15">
        <f t="shared" si="172"/>
        <v>0</v>
      </c>
      <c r="AM544" s="15">
        <f t="shared" si="173"/>
        <v>0</v>
      </c>
      <c r="AN544" s="15">
        <f t="shared" si="174"/>
        <v>0</v>
      </c>
      <c r="AO544" s="15">
        <f t="shared" si="175"/>
        <v>0</v>
      </c>
      <c r="AP544" s="15">
        <f t="shared" si="176"/>
        <v>0</v>
      </c>
      <c r="AQ544" s="190">
        <f t="shared" ca="1" si="164"/>
        <v>0</v>
      </c>
      <c r="AR544" s="190">
        <f t="shared" si="165"/>
        <v>0</v>
      </c>
      <c r="AS544" s="190">
        <f t="shared" ca="1" si="166"/>
        <v>2.3173293087198676E-2</v>
      </c>
      <c r="AT544" s="190">
        <f t="shared" si="167"/>
        <v>0</v>
      </c>
      <c r="AU544" s="190">
        <f t="shared" si="168"/>
        <v>0</v>
      </c>
      <c r="AV544" s="190">
        <f t="shared" si="169"/>
        <v>0</v>
      </c>
      <c r="AW544" s="190">
        <f t="shared" si="170"/>
        <v>0</v>
      </c>
      <c r="AX544" s="190">
        <f t="shared" si="171"/>
        <v>0</v>
      </c>
      <c r="AZ544" s="15"/>
      <c r="BP544" s="190"/>
    </row>
    <row r="545" spans="2:68" x14ac:dyDescent="0.25">
      <c r="B545" s="98" t="s">
        <v>111</v>
      </c>
      <c r="C545" s="98">
        <v>2014</v>
      </c>
      <c r="D545" s="98" t="s">
        <v>185</v>
      </c>
      <c r="E545" s="98" t="s">
        <v>102</v>
      </c>
      <c r="F545" s="98" t="s">
        <v>131</v>
      </c>
      <c r="G545" s="98">
        <v>0</v>
      </c>
      <c r="H545" s="299" t="str">
        <f>VLOOKUP(LEFT('Rev Adequacy'!D545,3),'Mapping B'!$D$2:$E$400,2,0)</f>
        <v>S</v>
      </c>
      <c r="J545" t="s">
        <v>323</v>
      </c>
      <c r="K545" s="15" t="s">
        <v>4</v>
      </c>
      <c r="L545">
        <v>169.84708999464601</v>
      </c>
      <c r="O545" s="15">
        <f>_xlfn.IFNA(IF(VLOOKUP($J545&amp;O$12,'Mapping A'!$A$6:$G$1011,7,0)=1,$L545,""),0)</f>
        <v>0</v>
      </c>
      <c r="P545" s="15">
        <f>_xlfn.IFNA(IF(VLOOKUP($J545&amp;P$12,'Mapping A'!$A$6:$G$1011,7,0)=1,$L545,""),0)</f>
        <v>0</v>
      </c>
      <c r="Q545" s="15">
        <f>_xlfn.IFNA(IF(VLOOKUP($J545&amp;Q$12,'Mapping A'!$A$6:$G$1011,7,0)=1,$L545,""),0)</f>
        <v>0</v>
      </c>
      <c r="R545" s="15">
        <f>_xlfn.IFNA(IF(VLOOKUP($J545&amp;R$12,'Mapping A'!$A$6:$G$1011,7,0)=1,$L545,""),0)</f>
        <v>0</v>
      </c>
      <c r="S545" s="15">
        <f>_xlfn.IFNA(IF(VLOOKUP($J545&amp;S$12,'Mapping A'!$A$6:$G$1011,7,0)=1,$L545,""),0)</f>
        <v>0</v>
      </c>
      <c r="T545" s="15">
        <f>_xlfn.IFNA(IF(VLOOKUP($J545&amp;T$12,'Mapping A'!$A$6:$G$1011,7,0)=1,$L545,""),0)</f>
        <v>0</v>
      </c>
      <c r="U545" s="15">
        <f>_xlfn.IFNA(IF(VLOOKUP($J545&amp;U$12,'Mapping A'!$A$6:$G$1011,7,0)=1,$L545,""),0)</f>
        <v>0</v>
      </c>
      <c r="V545" s="15">
        <f>_xlfn.IFNA(IF(VLOOKUP($J545&amp;V$12,'Mapping A'!$A$6:$G$1011,7,0)=1,$L545,""),0)</f>
        <v>169.84708999464601</v>
      </c>
      <c r="W545" s="15">
        <f>_xlfn.IFNA(IF(VLOOKUP($J545&amp;W$12,'Mapping A'!$A$6:$G$1011,7,0)=1,$L545,""),0)</f>
        <v>0</v>
      </c>
      <c r="X545" s="15">
        <f>_xlfn.IFNA(IF(VLOOKUP($J545&amp;X$12,'Mapping A'!$A$6:$G$1011,7,0)=1,$L545,""),0)</f>
        <v>0</v>
      </c>
      <c r="Y545" s="15">
        <f>_xlfn.IFNA(IF(VLOOKUP($J545&amp;Y$12,'Mapping A'!$A$6:$G$1011,7,0)=1,$L545,""),0)</f>
        <v>0</v>
      </c>
      <c r="Z545" s="15">
        <f>_xlfn.IFNA(IF(VLOOKUP($J545&amp;Z$12,'Mapping A'!$A$6:$G$1011,7,0)=1,$L545,""),0)</f>
        <v>0</v>
      </c>
      <c r="AA545" s="15">
        <f>_xlfn.IFNA(IF(VLOOKUP($J545&amp;AA$12,'Mapping A'!$A$6:$G$1011,7,0)=1,$L545,""),0)</f>
        <v>0</v>
      </c>
      <c r="AF545" s="155" t="str">
        <f t="shared" si="148"/>
        <v>SFD2201 SFD22Contact</v>
      </c>
      <c r="AG545" s="15" t="s">
        <v>323</v>
      </c>
      <c r="AH545" s="15" t="s">
        <v>4</v>
      </c>
      <c r="AI545" s="15">
        <v>169.84708999464601</v>
      </c>
      <c r="AJ545" s="292" t="s">
        <v>95</v>
      </c>
      <c r="AK545" s="15"/>
      <c r="AL545" s="15">
        <f t="shared" si="172"/>
        <v>0</v>
      </c>
      <c r="AM545" s="15">
        <f t="shared" si="173"/>
        <v>0</v>
      </c>
      <c r="AN545" s="15">
        <f t="shared" si="174"/>
        <v>0</v>
      </c>
      <c r="AO545" s="15">
        <f t="shared" si="175"/>
        <v>0</v>
      </c>
      <c r="AP545" s="15">
        <f t="shared" si="176"/>
        <v>0</v>
      </c>
      <c r="AQ545" s="190">
        <f t="shared" ca="1" si="164"/>
        <v>0</v>
      </c>
      <c r="AR545" s="190">
        <f t="shared" si="165"/>
        <v>0</v>
      </c>
      <c r="AS545" s="190">
        <f t="shared" ca="1" si="166"/>
        <v>2.2364569295198741E-2</v>
      </c>
      <c r="AT545" s="190">
        <f t="shared" si="167"/>
        <v>0</v>
      </c>
      <c r="AU545" s="190">
        <f t="shared" si="168"/>
        <v>0</v>
      </c>
      <c r="AV545" s="190">
        <f t="shared" si="169"/>
        <v>0</v>
      </c>
      <c r="AW545" s="190">
        <f t="shared" si="170"/>
        <v>0</v>
      </c>
      <c r="AX545" s="190">
        <f t="shared" si="171"/>
        <v>0</v>
      </c>
      <c r="AZ545" s="15"/>
      <c r="BP545" s="190"/>
    </row>
    <row r="546" spans="2:68" x14ac:dyDescent="0.25">
      <c r="B546" s="98" t="s">
        <v>552</v>
      </c>
      <c r="C546" s="98">
        <v>2014</v>
      </c>
      <c r="D546" s="98" t="s">
        <v>175</v>
      </c>
      <c r="E546" s="98" t="s">
        <v>12</v>
      </c>
      <c r="F546" s="98" t="s">
        <v>131</v>
      </c>
      <c r="G546" s="248">
        <v>7970.6450000001996</v>
      </c>
      <c r="H546" s="299" t="str">
        <f>VLOOKUP(LEFT('Rev Adequacy'!D546,3),'Mapping B'!$D$2:$E$400,2,0)</f>
        <v>S</v>
      </c>
      <c r="J546" t="s">
        <v>324</v>
      </c>
      <c r="K546" s="15" t="s">
        <v>4</v>
      </c>
      <c r="L546">
        <v>607.45222940933695</v>
      </c>
      <c r="O546" s="15">
        <f>_xlfn.IFNA(IF(VLOOKUP($J546&amp;O$12,'Mapping A'!$A$6:$G$1011,7,0)=1,$L546,""),0)</f>
        <v>0</v>
      </c>
      <c r="P546" s="15">
        <f>_xlfn.IFNA(IF(VLOOKUP($J546&amp;P$12,'Mapping A'!$A$6:$G$1011,7,0)=1,$L546,""),0)</f>
        <v>0</v>
      </c>
      <c r="Q546" s="15">
        <f>_xlfn.IFNA(IF(VLOOKUP($J546&amp;Q$12,'Mapping A'!$A$6:$G$1011,7,0)=1,$L546,""),0)</f>
        <v>0</v>
      </c>
      <c r="R546" s="15">
        <f>_xlfn.IFNA(IF(VLOOKUP($J546&amp;R$12,'Mapping A'!$A$6:$G$1011,7,0)=1,$L546,""),0)</f>
        <v>0</v>
      </c>
      <c r="S546" s="15">
        <f>_xlfn.IFNA(IF(VLOOKUP($J546&amp;S$12,'Mapping A'!$A$6:$G$1011,7,0)=1,$L546,""),0)</f>
        <v>0</v>
      </c>
      <c r="T546" s="15">
        <f>_xlfn.IFNA(IF(VLOOKUP($J546&amp;T$12,'Mapping A'!$A$6:$G$1011,7,0)=1,$L546,""),0)</f>
        <v>0</v>
      </c>
      <c r="U546" s="15">
        <f>_xlfn.IFNA(IF(VLOOKUP($J546&amp;U$12,'Mapping A'!$A$6:$G$1011,7,0)=1,$L546,""),0)</f>
        <v>0</v>
      </c>
      <c r="V546" s="15">
        <f>_xlfn.IFNA(IF(VLOOKUP($J546&amp;V$12,'Mapping A'!$A$6:$G$1011,7,0)=1,$L546,""),0)</f>
        <v>607.45222940933695</v>
      </c>
      <c r="W546" s="15">
        <f>_xlfn.IFNA(IF(VLOOKUP($J546&amp;W$12,'Mapping A'!$A$6:$G$1011,7,0)=1,$L546,""),0)</f>
        <v>0</v>
      </c>
      <c r="X546" s="15">
        <f>_xlfn.IFNA(IF(VLOOKUP($J546&amp;X$12,'Mapping A'!$A$6:$G$1011,7,0)=1,$L546,""),0)</f>
        <v>0</v>
      </c>
      <c r="Y546" s="15">
        <f>_xlfn.IFNA(IF(VLOOKUP($J546&amp;Y$12,'Mapping A'!$A$6:$G$1011,7,0)=1,$L546,""),0)</f>
        <v>0</v>
      </c>
      <c r="Z546" s="15">
        <f>_xlfn.IFNA(IF(VLOOKUP($J546&amp;Z$12,'Mapping A'!$A$6:$G$1011,7,0)=1,$L546,""),0)</f>
        <v>0</v>
      </c>
      <c r="AA546" s="15">
        <f>_xlfn.IFNA(IF(VLOOKUP($J546&amp;AA$12,'Mapping A'!$A$6:$G$1011,7,0)=1,$L546,""),0)</f>
        <v>0</v>
      </c>
      <c r="AF546" s="155" t="str">
        <f t="shared" ref="AF546:AF609" si="177">AG546&amp;AH546</f>
        <v>SFD2201 SPL0Contact</v>
      </c>
      <c r="AG546" s="15" t="s">
        <v>324</v>
      </c>
      <c r="AH546" s="15" t="s">
        <v>4</v>
      </c>
      <c r="AI546" s="15">
        <v>607.45222940933695</v>
      </c>
      <c r="AJ546" s="292" t="s">
        <v>95</v>
      </c>
      <c r="AK546" s="15"/>
      <c r="AL546" s="15">
        <f t="shared" si="172"/>
        <v>0</v>
      </c>
      <c r="AM546" s="15">
        <f t="shared" si="173"/>
        <v>0</v>
      </c>
      <c r="AN546" s="15">
        <f t="shared" si="174"/>
        <v>0</v>
      </c>
      <c r="AO546" s="15">
        <f t="shared" si="175"/>
        <v>0</v>
      </c>
      <c r="AP546" s="15">
        <f t="shared" si="176"/>
        <v>0</v>
      </c>
      <c r="AQ546" s="190">
        <f t="shared" ca="1" si="164"/>
        <v>0</v>
      </c>
      <c r="AR546" s="190">
        <f t="shared" si="165"/>
        <v>0</v>
      </c>
      <c r="AS546" s="190">
        <f t="shared" ca="1" si="166"/>
        <v>7.9986106789208589E-2</v>
      </c>
      <c r="AT546" s="190">
        <f t="shared" si="167"/>
        <v>0</v>
      </c>
      <c r="AU546" s="190">
        <f t="shared" si="168"/>
        <v>0</v>
      </c>
      <c r="AV546" s="190">
        <f t="shared" si="169"/>
        <v>0</v>
      </c>
      <c r="AW546" s="190">
        <f t="shared" si="170"/>
        <v>0</v>
      </c>
      <c r="AX546" s="190">
        <f t="shared" si="171"/>
        <v>0</v>
      </c>
      <c r="AZ546" s="15"/>
      <c r="BP546" s="190"/>
    </row>
    <row r="547" spans="2:68" x14ac:dyDescent="0.25">
      <c r="B547" s="98" t="s">
        <v>552</v>
      </c>
      <c r="C547" s="98">
        <v>2014</v>
      </c>
      <c r="D547" s="98" t="s">
        <v>176</v>
      </c>
      <c r="E547" s="98" t="s">
        <v>12</v>
      </c>
      <c r="F547" s="98" t="s">
        <v>131</v>
      </c>
      <c r="G547" s="248">
        <v>4245.1770000000797</v>
      </c>
      <c r="H547" s="299" t="str">
        <f>VLOOKUP(LEFT('Rev Adequacy'!D547,3),'Mapping B'!$D$2:$E$400,2,0)</f>
        <v>S</v>
      </c>
      <c r="J547" t="s">
        <v>326</v>
      </c>
      <c r="K547" s="15" t="s">
        <v>35</v>
      </c>
      <c r="O547" s="15">
        <f>_xlfn.IFNA(IF(VLOOKUP($J547&amp;O$12,'Mapping A'!$A$6:$G$1011,7,0)=1,$L547,""),0)</f>
        <v>0</v>
      </c>
      <c r="P547" s="15">
        <f>_xlfn.IFNA(IF(VLOOKUP($J547&amp;P$12,'Mapping A'!$A$6:$G$1011,7,0)=1,$L547,""),0)</f>
        <v>0</v>
      </c>
      <c r="Q547" s="15">
        <f>_xlfn.IFNA(IF(VLOOKUP($J547&amp;Q$12,'Mapping A'!$A$6:$G$1011,7,0)=1,$L547,""),0)</f>
        <v>0</v>
      </c>
      <c r="R547" s="15">
        <f>_xlfn.IFNA(IF(VLOOKUP($J547&amp;R$12,'Mapping A'!$A$6:$G$1011,7,0)=1,$L547,""),0)</f>
        <v>0</v>
      </c>
      <c r="S547" s="15">
        <f>_xlfn.IFNA(IF(VLOOKUP($J547&amp;S$12,'Mapping A'!$A$6:$G$1011,7,0)=1,$L547,""),0)</f>
        <v>0</v>
      </c>
      <c r="T547" s="15">
        <f>_xlfn.IFNA(IF(VLOOKUP($J547&amp;T$12,'Mapping A'!$A$6:$G$1011,7,0)=1,$L547,""),0)</f>
        <v>0</v>
      </c>
      <c r="U547" s="15">
        <f>_xlfn.IFNA(IF(VLOOKUP($J547&amp;U$12,'Mapping A'!$A$6:$G$1011,7,0)=1,$L547,""),0)</f>
        <v>0</v>
      </c>
      <c r="V547" s="15">
        <f>_xlfn.IFNA(IF(VLOOKUP($J547&amp;V$12,'Mapping A'!$A$6:$G$1011,7,0)=1,$L547,""),0)</f>
        <v>0</v>
      </c>
      <c r="W547" s="15">
        <f>_xlfn.IFNA(IF(VLOOKUP($J547&amp;W$12,'Mapping A'!$A$6:$G$1011,7,0)=1,$L547,""),0)</f>
        <v>0</v>
      </c>
      <c r="X547" s="15">
        <f>_xlfn.IFNA(IF(VLOOKUP($J547&amp;X$12,'Mapping A'!$A$6:$G$1011,7,0)=1,$L547,""),0)</f>
        <v>0</v>
      </c>
      <c r="Y547" s="15">
        <f>_xlfn.IFNA(IF(VLOOKUP($J547&amp;Y$12,'Mapping A'!$A$6:$G$1011,7,0)=1,$L547,""),0)</f>
        <v>0</v>
      </c>
      <c r="Z547" s="15">
        <f>_xlfn.IFNA(IF(VLOOKUP($J547&amp;Z$12,'Mapping A'!$A$6:$G$1011,7,0)=1,$L547,""),0)</f>
        <v>0</v>
      </c>
      <c r="AA547" s="15">
        <f>_xlfn.IFNA(IF(VLOOKUP($J547&amp;AA$12,'Mapping A'!$A$6:$G$1011,7,0)=1,$L547,""),0)</f>
        <v>0</v>
      </c>
      <c r="AF547" s="155" t="str">
        <f t="shared" si="177"/>
        <v>STK0661 COB0Trustpower</v>
      </c>
      <c r="AG547" s="15" t="s">
        <v>326</v>
      </c>
      <c r="AH547" s="15" t="s">
        <v>35</v>
      </c>
      <c r="AI547" s="15"/>
      <c r="AJ547" s="292" t="s">
        <v>96</v>
      </c>
      <c r="AK547" s="15"/>
      <c r="AL547" s="15">
        <f t="shared" si="172"/>
        <v>0</v>
      </c>
      <c r="AM547" s="15">
        <f t="shared" si="173"/>
        <v>0</v>
      </c>
      <c r="AN547" s="15">
        <f t="shared" si="174"/>
        <v>0</v>
      </c>
      <c r="AO547" s="15">
        <f t="shared" si="175"/>
        <v>0</v>
      </c>
      <c r="AP547" s="15">
        <f t="shared" si="176"/>
        <v>0</v>
      </c>
      <c r="AQ547" s="190">
        <f t="shared" ca="1" si="164"/>
        <v>0</v>
      </c>
      <c r="AR547" s="190">
        <f t="shared" si="165"/>
        <v>0</v>
      </c>
      <c r="AS547" s="190">
        <f t="shared" ca="1" si="166"/>
        <v>0</v>
      </c>
      <c r="AT547" s="190">
        <f t="shared" si="167"/>
        <v>0</v>
      </c>
      <c r="AU547" s="190">
        <f t="shared" si="168"/>
        <v>0</v>
      </c>
      <c r="AV547" s="190">
        <f t="shared" si="169"/>
        <v>0</v>
      </c>
      <c r="AW547" s="190">
        <f t="shared" si="170"/>
        <v>0</v>
      </c>
      <c r="AX547" s="190">
        <f t="shared" si="171"/>
        <v>0</v>
      </c>
      <c r="AZ547" s="15"/>
      <c r="BP547" s="190"/>
    </row>
    <row r="548" spans="2:68" x14ac:dyDescent="0.25">
      <c r="B548" s="98" t="s">
        <v>552</v>
      </c>
      <c r="C548" s="98">
        <v>2014</v>
      </c>
      <c r="D548" s="98" t="s">
        <v>227</v>
      </c>
      <c r="E548" s="98" t="s">
        <v>12</v>
      </c>
      <c r="F548" s="98" t="s">
        <v>131</v>
      </c>
      <c r="G548" s="248">
        <v>15869.1260000003</v>
      </c>
      <c r="H548" s="299" t="str">
        <f>VLOOKUP(LEFT('Rev Adequacy'!D548,3),'Mapping B'!$D$2:$E$400,2,0)</f>
        <v>S</v>
      </c>
      <c r="J548" t="s">
        <v>435</v>
      </c>
      <c r="K548" s="15" t="s">
        <v>17</v>
      </c>
      <c r="L548">
        <v>331.476460149351</v>
      </c>
      <c r="O548" s="15">
        <f>_xlfn.IFNA(IF(VLOOKUP($J548&amp;O$12,'Mapping A'!$A$6:$G$1011,7,0)=1,$L548,""),0)</f>
        <v>0</v>
      </c>
      <c r="P548" s="15">
        <f>_xlfn.IFNA(IF(VLOOKUP($J548&amp;P$12,'Mapping A'!$A$6:$G$1011,7,0)=1,$L548,""),0)</f>
        <v>0</v>
      </c>
      <c r="Q548" s="15">
        <f>_xlfn.IFNA(IF(VLOOKUP($J548&amp;Q$12,'Mapping A'!$A$6:$G$1011,7,0)=1,$L548,""),0)</f>
        <v>0</v>
      </c>
      <c r="R548" s="15">
        <f>_xlfn.IFNA(IF(VLOOKUP($J548&amp;R$12,'Mapping A'!$A$6:$G$1011,7,0)=1,$L548,""),0)</f>
        <v>0</v>
      </c>
      <c r="S548" s="15">
        <f>_xlfn.IFNA(IF(VLOOKUP($J548&amp;S$12,'Mapping A'!$A$6:$G$1011,7,0)=1,$L548,""),0)</f>
        <v>0</v>
      </c>
      <c r="T548" s="15">
        <f>_xlfn.IFNA(IF(VLOOKUP($J548&amp;T$12,'Mapping A'!$A$6:$G$1011,7,0)=1,$L548,""),0)</f>
        <v>0</v>
      </c>
      <c r="U548" s="15">
        <f>_xlfn.IFNA(IF(VLOOKUP($J548&amp;U$12,'Mapping A'!$A$6:$G$1011,7,0)=1,$L548,""),0)</f>
        <v>0</v>
      </c>
      <c r="V548" s="15">
        <f>_xlfn.IFNA(IF(VLOOKUP($J548&amp;V$12,'Mapping A'!$A$6:$G$1011,7,0)=1,$L548,""),0)</f>
        <v>331.476460149351</v>
      </c>
      <c r="W548" s="15">
        <f>_xlfn.IFNA(IF(VLOOKUP($J548&amp;W$12,'Mapping A'!$A$6:$G$1011,7,0)=1,$L548,""),0)</f>
        <v>0</v>
      </c>
      <c r="X548" s="15">
        <f>_xlfn.IFNA(IF(VLOOKUP($J548&amp;X$12,'Mapping A'!$A$6:$G$1011,7,0)=1,$L548,""),0)</f>
        <v>0</v>
      </c>
      <c r="Y548" s="15">
        <f>_xlfn.IFNA(IF(VLOOKUP($J548&amp;Y$12,'Mapping A'!$A$6:$G$1011,7,0)=1,$L548,""),0)</f>
        <v>0</v>
      </c>
      <c r="Z548" s="15">
        <f>_xlfn.IFNA(IF(VLOOKUP($J548&amp;Z$12,'Mapping A'!$A$6:$G$1011,7,0)=1,$L548,""),0)</f>
        <v>0</v>
      </c>
      <c r="AA548" s="15">
        <f>_xlfn.IFNA(IF(VLOOKUP($J548&amp;AA$12,'Mapping A'!$A$6:$G$1011,7,0)=1,$L548,""),0)</f>
        <v>0</v>
      </c>
      <c r="AF548" s="155" t="str">
        <f t="shared" si="177"/>
        <v>SWN2201 SWN0MRP</v>
      </c>
      <c r="AG548" s="15" t="s">
        <v>435</v>
      </c>
      <c r="AH548" s="15" t="s">
        <v>17</v>
      </c>
      <c r="AI548" s="15">
        <v>331.476460149351</v>
      </c>
      <c r="AJ548" s="292" t="s">
        <v>95</v>
      </c>
      <c r="AK548" s="15"/>
      <c r="AL548" s="15">
        <f t="shared" si="172"/>
        <v>0</v>
      </c>
      <c r="AM548" s="15">
        <f t="shared" si="173"/>
        <v>0</v>
      </c>
      <c r="AN548" s="15">
        <f t="shared" si="174"/>
        <v>0</v>
      </c>
      <c r="AO548" s="15">
        <f t="shared" si="175"/>
        <v>0</v>
      </c>
      <c r="AP548" s="15">
        <f t="shared" si="176"/>
        <v>0</v>
      </c>
      <c r="AQ548" s="190">
        <f t="shared" ca="1" si="164"/>
        <v>0</v>
      </c>
      <c r="AR548" s="190">
        <f t="shared" si="165"/>
        <v>0</v>
      </c>
      <c r="AS548" s="190">
        <f t="shared" ca="1" si="166"/>
        <v>4.3647072569633252E-2</v>
      </c>
      <c r="AT548" s="190">
        <f t="shared" si="167"/>
        <v>0</v>
      </c>
      <c r="AU548" s="190">
        <f t="shared" si="168"/>
        <v>0</v>
      </c>
      <c r="AV548" s="190">
        <f t="shared" si="169"/>
        <v>0</v>
      </c>
      <c r="AW548" s="190">
        <f t="shared" si="170"/>
        <v>0</v>
      </c>
      <c r="AX548" s="190">
        <f t="shared" si="171"/>
        <v>0</v>
      </c>
      <c r="AZ548" s="15"/>
      <c r="BP548" s="190"/>
    </row>
    <row r="549" spans="2:68" x14ac:dyDescent="0.25">
      <c r="B549" s="98" t="s">
        <v>552</v>
      </c>
      <c r="C549" s="98">
        <v>2014</v>
      </c>
      <c r="D549" s="98" t="s">
        <v>318</v>
      </c>
      <c r="E549" s="98" t="s">
        <v>12</v>
      </c>
      <c r="F549" s="98" t="s">
        <v>131</v>
      </c>
      <c r="G549" s="248">
        <v>27139.572000000298</v>
      </c>
      <c r="H549" s="299" t="str">
        <f>VLOOKUP(LEFT('Rev Adequacy'!D549,3),'Mapping B'!$D$2:$E$400,2,0)</f>
        <v>S</v>
      </c>
      <c r="J549" t="s">
        <v>331</v>
      </c>
      <c r="K549" s="15" t="s">
        <v>17</v>
      </c>
      <c r="L549">
        <v>331.476460149351</v>
      </c>
      <c r="O549" s="15">
        <f>_xlfn.IFNA(IF(VLOOKUP($J549&amp;O$12,'Mapping A'!$A$6:$G$1011,7,0)=1,$L549,""),0)</f>
        <v>0</v>
      </c>
      <c r="P549" s="15">
        <f>_xlfn.IFNA(IF(VLOOKUP($J549&amp;P$12,'Mapping A'!$A$6:$G$1011,7,0)=1,$L549,""),0)</f>
        <v>0</v>
      </c>
      <c r="Q549" s="15">
        <f>_xlfn.IFNA(IF(VLOOKUP($J549&amp;Q$12,'Mapping A'!$A$6:$G$1011,7,0)=1,$L549,""),0)</f>
        <v>0</v>
      </c>
      <c r="R549" s="15">
        <f>_xlfn.IFNA(IF(VLOOKUP($J549&amp;R$12,'Mapping A'!$A$6:$G$1011,7,0)=1,$L549,""),0)</f>
        <v>0</v>
      </c>
      <c r="S549" s="15">
        <f>_xlfn.IFNA(IF(VLOOKUP($J549&amp;S$12,'Mapping A'!$A$6:$G$1011,7,0)=1,$L549,""),0)</f>
        <v>0</v>
      </c>
      <c r="T549" s="15">
        <f>_xlfn.IFNA(IF(VLOOKUP($J549&amp;T$12,'Mapping A'!$A$6:$G$1011,7,0)=1,$L549,""),0)</f>
        <v>0</v>
      </c>
      <c r="U549" s="15">
        <f>_xlfn.IFNA(IF(VLOOKUP($J549&amp;U$12,'Mapping A'!$A$6:$G$1011,7,0)=1,$L549,""),0)</f>
        <v>0</v>
      </c>
      <c r="V549" s="15">
        <f>_xlfn.IFNA(IF(VLOOKUP($J549&amp;V$12,'Mapping A'!$A$6:$G$1011,7,0)=1,$L549,""),0)</f>
        <v>331.476460149351</v>
      </c>
      <c r="W549" s="15">
        <f>_xlfn.IFNA(IF(VLOOKUP($J549&amp;W$12,'Mapping A'!$A$6:$G$1011,7,0)=1,$L549,""),0)</f>
        <v>0</v>
      </c>
      <c r="X549" s="15">
        <f>_xlfn.IFNA(IF(VLOOKUP($J549&amp;X$12,'Mapping A'!$A$6:$G$1011,7,0)=1,$L549,""),0)</f>
        <v>0</v>
      </c>
      <c r="Y549" s="15">
        <f>_xlfn.IFNA(IF(VLOOKUP($J549&amp;Y$12,'Mapping A'!$A$6:$G$1011,7,0)=1,$L549,""),0)</f>
        <v>0</v>
      </c>
      <c r="Z549" s="15">
        <f>_xlfn.IFNA(IF(VLOOKUP($J549&amp;Z$12,'Mapping A'!$A$6:$G$1011,7,0)=1,$L549,""),0)</f>
        <v>0</v>
      </c>
      <c r="AA549" s="15">
        <f>_xlfn.IFNA(IF(VLOOKUP($J549&amp;AA$12,'Mapping A'!$A$6:$G$1011,7,0)=1,$L549,""),0)</f>
        <v>0</v>
      </c>
      <c r="AF549" s="155" t="str">
        <f t="shared" si="177"/>
        <v>SWN2201 SWN5MRP</v>
      </c>
      <c r="AG549" s="15" t="s">
        <v>331</v>
      </c>
      <c r="AH549" s="15" t="s">
        <v>17</v>
      </c>
      <c r="AI549" s="15">
        <v>331.476460149351</v>
      </c>
      <c r="AJ549" s="292" t="s">
        <v>95</v>
      </c>
      <c r="AK549" s="15"/>
      <c r="AL549" s="15">
        <f t="shared" si="172"/>
        <v>0</v>
      </c>
      <c r="AM549" s="15">
        <f t="shared" si="173"/>
        <v>0</v>
      </c>
      <c r="AN549" s="15">
        <f t="shared" si="174"/>
        <v>0</v>
      </c>
      <c r="AO549" s="15">
        <f t="shared" si="175"/>
        <v>0</v>
      </c>
      <c r="AP549" s="15">
        <f t="shared" si="176"/>
        <v>0</v>
      </c>
      <c r="AQ549" s="190">
        <f t="shared" ca="1" si="164"/>
        <v>0</v>
      </c>
      <c r="AR549" s="190">
        <f t="shared" si="165"/>
        <v>0</v>
      </c>
      <c r="AS549" s="190">
        <f t="shared" ca="1" si="166"/>
        <v>4.3647072569633252E-2</v>
      </c>
      <c r="AT549" s="190">
        <f t="shared" si="167"/>
        <v>0</v>
      </c>
      <c r="AU549" s="190">
        <f t="shared" si="168"/>
        <v>0</v>
      </c>
      <c r="AV549" s="190">
        <f t="shared" si="169"/>
        <v>0</v>
      </c>
      <c r="AW549" s="190">
        <f t="shared" si="170"/>
        <v>0</v>
      </c>
      <c r="AX549" s="190">
        <f t="shared" si="171"/>
        <v>0</v>
      </c>
      <c r="AZ549" s="15"/>
      <c r="BP549" s="190"/>
    </row>
    <row r="550" spans="2:68" x14ac:dyDescent="0.25">
      <c r="B550" s="98" t="s">
        <v>552</v>
      </c>
      <c r="C550" s="98">
        <v>2014</v>
      </c>
      <c r="D550" s="98" t="s">
        <v>380</v>
      </c>
      <c r="E550" s="98" t="s">
        <v>12</v>
      </c>
      <c r="F550" s="98" t="s">
        <v>131</v>
      </c>
      <c r="G550" s="248">
        <v>4994.1500000001097</v>
      </c>
      <c r="H550" s="299" t="str">
        <f>VLOOKUP(LEFT('Rev Adequacy'!D550,3),'Mapping B'!$D$2:$E$400,2,0)</f>
        <v>S</v>
      </c>
      <c r="J550" t="s">
        <v>335</v>
      </c>
      <c r="K550" s="15" t="s">
        <v>35</v>
      </c>
      <c r="L550">
        <v>150.431774929597</v>
      </c>
      <c r="O550" s="15">
        <f>_xlfn.IFNA(IF(VLOOKUP($J550&amp;O$12,'Mapping A'!$A$6:$G$1011,7,0)=1,$L550,""),0)</f>
        <v>0</v>
      </c>
      <c r="P550" s="15">
        <f>_xlfn.IFNA(IF(VLOOKUP($J550&amp;P$12,'Mapping A'!$A$6:$G$1011,7,0)=1,$L550,""),0)</f>
        <v>0</v>
      </c>
      <c r="Q550" s="15">
        <f>_xlfn.IFNA(IF(VLOOKUP($J550&amp;Q$12,'Mapping A'!$A$6:$G$1011,7,0)=1,$L550,""),0)</f>
        <v>0</v>
      </c>
      <c r="R550" s="15">
        <f>_xlfn.IFNA(IF(VLOOKUP($J550&amp;R$12,'Mapping A'!$A$6:$G$1011,7,0)=1,$L550,""),0)</f>
        <v>0</v>
      </c>
      <c r="S550" s="15">
        <f>_xlfn.IFNA(IF(VLOOKUP($J550&amp;S$12,'Mapping A'!$A$6:$G$1011,7,0)=1,$L550,""),0)</f>
        <v>0</v>
      </c>
      <c r="T550" s="15">
        <f>_xlfn.IFNA(IF(VLOOKUP($J550&amp;T$12,'Mapping A'!$A$6:$G$1011,7,0)=1,$L550,""),0)</f>
        <v>150.431774929597</v>
      </c>
      <c r="U550" s="15">
        <f>_xlfn.IFNA(IF(VLOOKUP($J550&amp;U$12,'Mapping A'!$A$6:$G$1011,7,0)=1,$L550,""),0)</f>
        <v>0</v>
      </c>
      <c r="V550" s="15">
        <f>_xlfn.IFNA(IF(VLOOKUP($J550&amp;V$12,'Mapping A'!$A$6:$G$1011,7,0)=1,$L550,""),0)</f>
        <v>150.431774929597</v>
      </c>
      <c r="W550" s="15">
        <f>_xlfn.IFNA(IF(VLOOKUP($J550&amp;W$12,'Mapping A'!$A$6:$G$1011,7,0)=1,$L550,""),0)</f>
        <v>0</v>
      </c>
      <c r="X550" s="15">
        <f>_xlfn.IFNA(IF(VLOOKUP($J550&amp;X$12,'Mapping A'!$A$6:$G$1011,7,0)=1,$L550,""),0)</f>
        <v>0</v>
      </c>
      <c r="Y550" s="15">
        <f>_xlfn.IFNA(IF(VLOOKUP($J550&amp;Y$12,'Mapping A'!$A$6:$G$1011,7,0)=1,$L550,""),0)</f>
        <v>0</v>
      </c>
      <c r="Z550" s="15">
        <f>_xlfn.IFNA(IF(VLOOKUP($J550&amp;Z$12,'Mapping A'!$A$6:$G$1011,7,0)=1,$L550,""),0)</f>
        <v>0</v>
      </c>
      <c r="AA550" s="15">
        <f>_xlfn.IFNA(IF(VLOOKUP($J550&amp;AA$12,'Mapping A'!$A$6:$G$1011,7,0)=1,$L550,""),0)</f>
        <v>0</v>
      </c>
      <c r="AF550" s="155" t="str">
        <f t="shared" si="177"/>
        <v>TGA0331 KMI0Trustpower</v>
      </c>
      <c r="AG550" s="15" t="s">
        <v>335</v>
      </c>
      <c r="AH550" s="15" t="s">
        <v>35</v>
      </c>
      <c r="AI550" s="15">
        <v>150.431774929597</v>
      </c>
      <c r="AJ550" s="292" t="s">
        <v>95</v>
      </c>
      <c r="AK550" s="15"/>
      <c r="AL550" s="15">
        <f t="shared" si="172"/>
        <v>0</v>
      </c>
      <c r="AM550" s="15">
        <f t="shared" si="173"/>
        <v>0</v>
      </c>
      <c r="AN550" s="15">
        <f t="shared" si="174"/>
        <v>0</v>
      </c>
      <c r="AO550" s="15">
        <f t="shared" si="175"/>
        <v>0</v>
      </c>
      <c r="AP550" s="15">
        <f t="shared" si="176"/>
        <v>0</v>
      </c>
      <c r="AQ550" s="190">
        <f t="shared" ca="1" si="164"/>
        <v>0</v>
      </c>
      <c r="AR550" s="190">
        <f t="shared" si="165"/>
        <v>0</v>
      </c>
      <c r="AS550" s="190">
        <f t="shared" ca="1" si="166"/>
        <v>1.9808062974283312E-2</v>
      </c>
      <c r="AT550" s="190">
        <f t="shared" si="167"/>
        <v>0</v>
      </c>
      <c r="AU550" s="190">
        <f t="shared" si="168"/>
        <v>0</v>
      </c>
      <c r="AV550" s="190">
        <f t="shared" si="169"/>
        <v>0</v>
      </c>
      <c r="AW550" s="190">
        <f t="shared" si="170"/>
        <v>0</v>
      </c>
      <c r="AX550" s="190">
        <f t="shared" si="171"/>
        <v>0</v>
      </c>
      <c r="AZ550" s="15"/>
      <c r="BP550" s="190"/>
    </row>
    <row r="551" spans="2:68" x14ac:dyDescent="0.25">
      <c r="B551" s="98" t="s">
        <v>552</v>
      </c>
      <c r="C551" s="98">
        <v>2014</v>
      </c>
      <c r="D551" s="98" t="s">
        <v>381</v>
      </c>
      <c r="E551" s="98" t="s">
        <v>12</v>
      </c>
      <c r="F551" s="98" t="s">
        <v>131</v>
      </c>
      <c r="G551" s="248">
        <v>3183.1040000000899</v>
      </c>
      <c r="H551" s="299" t="str">
        <f>VLOOKUP(LEFT('Rev Adequacy'!D551,3),'Mapping B'!$D$2:$E$400,2,0)</f>
        <v>S</v>
      </c>
      <c r="J551" t="s">
        <v>337</v>
      </c>
      <c r="K551" s="15" t="s">
        <v>4</v>
      </c>
      <c r="L551">
        <v>758.92182277050597</v>
      </c>
      <c r="O551" s="15">
        <f>_xlfn.IFNA(IF(VLOOKUP($J551&amp;O$12,'Mapping A'!$A$6:$G$1011,7,0)=1,$L551,""),0)</f>
        <v>0</v>
      </c>
      <c r="P551" s="15">
        <f>_xlfn.IFNA(IF(VLOOKUP($J551&amp;P$12,'Mapping A'!$A$6:$G$1011,7,0)=1,$L551,""),0)</f>
        <v>0</v>
      </c>
      <c r="Q551" s="15">
        <f>_xlfn.IFNA(IF(VLOOKUP($J551&amp;Q$12,'Mapping A'!$A$6:$G$1011,7,0)=1,$L551,""),0)</f>
        <v>0</v>
      </c>
      <c r="R551" s="15">
        <f>_xlfn.IFNA(IF(VLOOKUP($J551&amp;R$12,'Mapping A'!$A$6:$G$1011,7,0)=1,$L551,""),0)</f>
        <v>0</v>
      </c>
      <c r="S551" s="15">
        <f>_xlfn.IFNA(IF(VLOOKUP($J551&amp;S$12,'Mapping A'!$A$6:$G$1011,7,0)=1,$L551,""),0)</f>
        <v>0</v>
      </c>
      <c r="T551" s="15">
        <f>_xlfn.IFNA(IF(VLOOKUP($J551&amp;T$12,'Mapping A'!$A$6:$G$1011,7,0)=1,$L551,""),0)</f>
        <v>758.92182277050597</v>
      </c>
      <c r="U551" s="15">
        <f>_xlfn.IFNA(IF(VLOOKUP($J551&amp;U$12,'Mapping A'!$A$6:$G$1011,7,0)=1,$L551,""),0)</f>
        <v>0</v>
      </c>
      <c r="V551" s="15">
        <f>_xlfn.IFNA(IF(VLOOKUP($J551&amp;V$12,'Mapping A'!$A$6:$G$1011,7,0)=1,$L551,""),0)</f>
        <v>758.92182277050597</v>
      </c>
      <c r="W551" s="15">
        <f>_xlfn.IFNA(IF(VLOOKUP($J551&amp;W$12,'Mapping A'!$A$6:$G$1011,7,0)=1,$L551,""),0)</f>
        <v>0</v>
      </c>
      <c r="X551" s="15">
        <f>_xlfn.IFNA(IF(VLOOKUP($J551&amp;X$12,'Mapping A'!$A$6:$G$1011,7,0)=1,$L551,""),0)</f>
        <v>0</v>
      </c>
      <c r="Y551" s="15">
        <f>_xlfn.IFNA(IF(VLOOKUP($J551&amp;Y$12,'Mapping A'!$A$6:$G$1011,7,0)=1,$L551,""),0)</f>
        <v>0</v>
      </c>
      <c r="Z551" s="15">
        <f>_xlfn.IFNA(IF(VLOOKUP($J551&amp;Z$12,'Mapping A'!$A$6:$G$1011,7,0)=1,$L551,""),0)</f>
        <v>0</v>
      </c>
      <c r="AA551" s="15">
        <f>_xlfn.IFNA(IF(VLOOKUP($J551&amp;AA$12,'Mapping A'!$A$6:$G$1011,7,0)=1,$L551,""),0)</f>
        <v>0</v>
      </c>
      <c r="AF551" s="155" t="str">
        <f t="shared" si="177"/>
        <v>THI2201 THI1Contact</v>
      </c>
      <c r="AG551" s="15" t="s">
        <v>337</v>
      </c>
      <c r="AH551" s="15" t="s">
        <v>4</v>
      </c>
      <c r="AI551" s="15">
        <v>758.92182277050597</v>
      </c>
      <c r="AJ551" s="292" t="s">
        <v>95</v>
      </c>
      <c r="AK551" s="15"/>
      <c r="AL551" s="15">
        <f t="shared" si="172"/>
        <v>0</v>
      </c>
      <c r="AM551" s="15">
        <f t="shared" si="173"/>
        <v>0</v>
      </c>
      <c r="AN551" s="15">
        <f t="shared" si="174"/>
        <v>0</v>
      </c>
      <c r="AO551" s="15">
        <f t="shared" si="175"/>
        <v>0</v>
      </c>
      <c r="AP551" s="15">
        <f t="shared" si="176"/>
        <v>0</v>
      </c>
      <c r="AQ551" s="190">
        <f t="shared" ca="1" si="164"/>
        <v>0</v>
      </c>
      <c r="AR551" s="190">
        <f t="shared" si="165"/>
        <v>0</v>
      </c>
      <c r="AS551" s="190">
        <f t="shared" ca="1" si="166"/>
        <v>9.9930824222684914E-2</v>
      </c>
      <c r="AT551" s="190">
        <f t="shared" si="167"/>
        <v>0</v>
      </c>
      <c r="AU551" s="190">
        <f t="shared" si="168"/>
        <v>0</v>
      </c>
      <c r="AV551" s="190">
        <f t="shared" si="169"/>
        <v>0</v>
      </c>
      <c r="AW551" s="190">
        <f t="shared" si="170"/>
        <v>0</v>
      </c>
      <c r="AX551" s="190">
        <f t="shared" si="171"/>
        <v>0</v>
      </c>
      <c r="AZ551" s="15"/>
      <c r="BP551" s="190"/>
    </row>
    <row r="552" spans="2:68" x14ac:dyDescent="0.25">
      <c r="B552" s="98" t="s">
        <v>553</v>
      </c>
      <c r="C552" s="98">
        <v>2014</v>
      </c>
      <c r="D552" s="98" t="s">
        <v>175</v>
      </c>
      <c r="E552" s="98" t="s">
        <v>12</v>
      </c>
      <c r="F552" s="98" t="s">
        <v>131</v>
      </c>
      <c r="G552" s="248">
        <v>21860.998999999501</v>
      </c>
      <c r="H552" s="299" t="str">
        <f>VLOOKUP(LEFT('Rev Adequacy'!D552,3),'Mapping B'!$D$2:$E$400,2,0)</f>
        <v>S</v>
      </c>
      <c r="J552" t="s">
        <v>338</v>
      </c>
      <c r="K552" s="15" t="s">
        <v>4</v>
      </c>
      <c r="L552">
        <v>758.92182277050597</v>
      </c>
      <c r="O552" s="15">
        <f>_xlfn.IFNA(IF(VLOOKUP($J552&amp;O$12,'Mapping A'!$A$6:$G$1011,7,0)=1,$L552,""),0)</f>
        <v>0</v>
      </c>
      <c r="P552" s="15">
        <f>_xlfn.IFNA(IF(VLOOKUP($J552&amp;P$12,'Mapping A'!$A$6:$G$1011,7,0)=1,$L552,""),0)</f>
        <v>0</v>
      </c>
      <c r="Q552" s="15">
        <f>_xlfn.IFNA(IF(VLOOKUP($J552&amp;Q$12,'Mapping A'!$A$6:$G$1011,7,0)=1,$L552,""),0)</f>
        <v>0</v>
      </c>
      <c r="R552" s="15">
        <f>_xlfn.IFNA(IF(VLOOKUP($J552&amp;R$12,'Mapping A'!$A$6:$G$1011,7,0)=1,$L552,""),0)</f>
        <v>0</v>
      </c>
      <c r="S552" s="15">
        <f>_xlfn.IFNA(IF(VLOOKUP($J552&amp;S$12,'Mapping A'!$A$6:$G$1011,7,0)=1,$L552,""),0)</f>
        <v>0</v>
      </c>
      <c r="T552" s="15">
        <f>_xlfn.IFNA(IF(VLOOKUP($J552&amp;T$12,'Mapping A'!$A$6:$G$1011,7,0)=1,$L552,""),0)</f>
        <v>758.92182277050597</v>
      </c>
      <c r="U552" s="15">
        <f>_xlfn.IFNA(IF(VLOOKUP($J552&amp;U$12,'Mapping A'!$A$6:$G$1011,7,0)=1,$L552,""),0)</f>
        <v>0</v>
      </c>
      <c r="V552" s="15">
        <f>_xlfn.IFNA(IF(VLOOKUP($J552&amp;V$12,'Mapping A'!$A$6:$G$1011,7,0)=1,$L552,""),0)</f>
        <v>758.92182277050597</v>
      </c>
      <c r="W552" s="15">
        <f>_xlfn.IFNA(IF(VLOOKUP($J552&amp;W$12,'Mapping A'!$A$6:$G$1011,7,0)=1,$L552,""),0)</f>
        <v>0</v>
      </c>
      <c r="X552" s="15">
        <f>_xlfn.IFNA(IF(VLOOKUP($J552&amp;X$12,'Mapping A'!$A$6:$G$1011,7,0)=1,$L552,""),0)</f>
        <v>0</v>
      </c>
      <c r="Y552" s="15">
        <f>_xlfn.IFNA(IF(VLOOKUP($J552&amp;Y$12,'Mapping A'!$A$6:$G$1011,7,0)=1,$L552,""),0)</f>
        <v>0</v>
      </c>
      <c r="Z552" s="15">
        <f>_xlfn.IFNA(IF(VLOOKUP($J552&amp;Z$12,'Mapping A'!$A$6:$G$1011,7,0)=1,$L552,""),0)</f>
        <v>0</v>
      </c>
      <c r="AA552" s="15">
        <f>_xlfn.IFNA(IF(VLOOKUP($J552&amp;AA$12,'Mapping A'!$A$6:$G$1011,7,0)=1,$L552,""),0)</f>
        <v>0</v>
      </c>
      <c r="AF552" s="155" t="str">
        <f t="shared" si="177"/>
        <v>THI2201 THI2Contact</v>
      </c>
      <c r="AG552" s="15" t="s">
        <v>338</v>
      </c>
      <c r="AH552" s="15" t="s">
        <v>4</v>
      </c>
      <c r="AI552" s="15">
        <v>758.92182277050597</v>
      </c>
      <c r="AJ552" s="292" t="s">
        <v>95</v>
      </c>
      <c r="AK552" s="15"/>
      <c r="AL552" s="15">
        <f t="shared" si="172"/>
        <v>0</v>
      </c>
      <c r="AM552" s="15">
        <f t="shared" si="173"/>
        <v>0</v>
      </c>
      <c r="AN552" s="15">
        <f t="shared" si="174"/>
        <v>0</v>
      </c>
      <c r="AO552" s="15">
        <f t="shared" si="175"/>
        <v>0</v>
      </c>
      <c r="AP552" s="15">
        <f t="shared" si="176"/>
        <v>0</v>
      </c>
      <c r="AQ552" s="190">
        <f t="shared" ca="1" si="164"/>
        <v>0</v>
      </c>
      <c r="AR552" s="190">
        <f t="shared" si="165"/>
        <v>0</v>
      </c>
      <c r="AS552" s="190">
        <f t="shared" ca="1" si="166"/>
        <v>9.9930824222684914E-2</v>
      </c>
      <c r="AT552" s="190">
        <f t="shared" si="167"/>
        <v>0</v>
      </c>
      <c r="AU552" s="190">
        <f t="shared" si="168"/>
        <v>0</v>
      </c>
      <c r="AV552" s="190">
        <f t="shared" si="169"/>
        <v>0</v>
      </c>
      <c r="AW552" s="190">
        <f t="shared" si="170"/>
        <v>0</v>
      </c>
      <c r="AX552" s="190">
        <f t="shared" si="171"/>
        <v>0</v>
      </c>
      <c r="AZ552" s="15"/>
      <c r="BP552" s="190"/>
    </row>
    <row r="553" spans="2:68" x14ac:dyDescent="0.25">
      <c r="B553" s="98" t="s">
        <v>553</v>
      </c>
      <c r="C553" s="98">
        <v>2014</v>
      </c>
      <c r="D553" s="98" t="s">
        <v>176</v>
      </c>
      <c r="E553" s="98" t="s">
        <v>12</v>
      </c>
      <c r="F553" s="98" t="s">
        <v>131</v>
      </c>
      <c r="G553" s="248">
        <v>12018.190999999701</v>
      </c>
      <c r="H553" s="299" t="str">
        <f>VLOOKUP(LEFT('Rev Adequacy'!D553,3),'Mapping B'!$D$2:$E$400,2,0)</f>
        <v>S</v>
      </c>
      <c r="J553" t="s">
        <v>436</v>
      </c>
      <c r="K553" s="15" t="s">
        <v>10</v>
      </c>
      <c r="L553">
        <v>51.431554977798299</v>
      </c>
      <c r="O553" s="15">
        <f>_xlfn.IFNA(IF(VLOOKUP($J553&amp;O$12,'Mapping A'!$A$6:$G$1011,7,0)=1,$L553,""),0)</f>
        <v>0</v>
      </c>
      <c r="P553" s="15">
        <f>_xlfn.IFNA(IF(VLOOKUP($J553&amp;P$12,'Mapping A'!$A$6:$G$1011,7,0)=1,$L553,""),0)</f>
        <v>0</v>
      </c>
      <c r="Q553" s="15">
        <f>_xlfn.IFNA(IF(VLOOKUP($J553&amp;Q$12,'Mapping A'!$A$6:$G$1011,7,0)=1,$L553,""),0)</f>
        <v>0</v>
      </c>
      <c r="R553" s="15">
        <f>_xlfn.IFNA(IF(VLOOKUP($J553&amp;R$12,'Mapping A'!$A$6:$G$1011,7,0)=1,$L553,""),0)</f>
        <v>0</v>
      </c>
      <c r="S553" s="15">
        <f>_xlfn.IFNA(IF(VLOOKUP($J553&amp;S$12,'Mapping A'!$A$6:$G$1011,7,0)=1,$L553,""),0)</f>
        <v>0</v>
      </c>
      <c r="T553" s="15">
        <f>_xlfn.IFNA(IF(VLOOKUP($J553&amp;T$12,'Mapping A'!$A$6:$G$1011,7,0)=1,$L553,""),0)</f>
        <v>0</v>
      </c>
      <c r="U553" s="15">
        <f>_xlfn.IFNA(IF(VLOOKUP($J553&amp;U$12,'Mapping A'!$A$6:$G$1011,7,0)=1,$L553,""),0)</f>
        <v>0</v>
      </c>
      <c r="V553" s="15">
        <f>_xlfn.IFNA(IF(VLOOKUP($J553&amp;V$12,'Mapping A'!$A$6:$G$1011,7,0)=1,$L553,""),0)</f>
        <v>0</v>
      </c>
      <c r="W553" s="15">
        <f>_xlfn.IFNA(IF(VLOOKUP($J553&amp;W$12,'Mapping A'!$A$6:$G$1011,7,0)=1,$L553,""),0)</f>
        <v>0</v>
      </c>
      <c r="X553" s="15">
        <f>_xlfn.IFNA(IF(VLOOKUP($J553&amp;X$12,'Mapping A'!$A$6:$G$1011,7,0)=1,$L553,""),0)</f>
        <v>0</v>
      </c>
      <c r="Y553" s="15">
        <f>_xlfn.IFNA(IF(VLOOKUP($J553&amp;Y$12,'Mapping A'!$A$6:$G$1011,7,0)=1,$L553,""),0)</f>
        <v>0</v>
      </c>
      <c r="Z553" s="15">
        <f>_xlfn.IFNA(IF(VLOOKUP($J553&amp;Z$12,'Mapping A'!$A$6:$G$1011,7,0)=1,$L553,""),0)</f>
        <v>0</v>
      </c>
      <c r="AA553" s="15">
        <f>_xlfn.IFNA(IF(VLOOKUP($J553&amp;AA$12,'Mapping A'!$A$6:$G$1011,7,0)=1,$L553,""),0)</f>
        <v>0</v>
      </c>
      <c r="AF553" s="155" t="str">
        <f t="shared" si="177"/>
        <v>TKA0111 TKA0Genesis</v>
      </c>
      <c r="AG553" s="15" t="s">
        <v>436</v>
      </c>
      <c r="AH553" s="15" t="s">
        <v>10</v>
      </c>
      <c r="AI553" s="15">
        <v>51.431554977798299</v>
      </c>
      <c r="AJ553" s="292" t="s">
        <v>96</v>
      </c>
      <c r="AK553" s="15"/>
      <c r="AL553" s="15">
        <f t="shared" si="172"/>
        <v>0</v>
      </c>
      <c r="AM553" s="15">
        <f t="shared" si="173"/>
        <v>0</v>
      </c>
      <c r="AN553" s="15">
        <f t="shared" si="174"/>
        <v>0</v>
      </c>
      <c r="AO553" s="15">
        <f t="shared" si="175"/>
        <v>0</v>
      </c>
      <c r="AP553" s="15">
        <f t="shared" si="176"/>
        <v>0</v>
      </c>
      <c r="AQ553" s="190">
        <f t="shared" ca="1" si="164"/>
        <v>0</v>
      </c>
      <c r="AR553" s="190">
        <f t="shared" si="165"/>
        <v>0</v>
      </c>
      <c r="AS553" s="190">
        <f t="shared" ca="1" si="166"/>
        <v>0</v>
      </c>
      <c r="AT553" s="190">
        <f t="shared" si="167"/>
        <v>0</v>
      </c>
      <c r="AU553" s="190">
        <f t="shared" si="168"/>
        <v>0</v>
      </c>
      <c r="AV553" s="190">
        <f t="shared" si="169"/>
        <v>0</v>
      </c>
      <c r="AW553" s="190">
        <f t="shared" si="170"/>
        <v>0</v>
      </c>
      <c r="AX553" s="190">
        <f t="shared" si="171"/>
        <v>0</v>
      </c>
      <c r="AZ553" s="15"/>
      <c r="BP553" s="190"/>
    </row>
    <row r="554" spans="2:68" x14ac:dyDescent="0.25">
      <c r="B554" s="98" t="s">
        <v>553</v>
      </c>
      <c r="C554" s="98">
        <v>2014</v>
      </c>
      <c r="D554" s="98" t="s">
        <v>227</v>
      </c>
      <c r="E554" s="98" t="s">
        <v>12</v>
      </c>
      <c r="F554" s="98" t="s">
        <v>131</v>
      </c>
      <c r="G554" s="248">
        <v>52545.795999999697</v>
      </c>
      <c r="H554" s="299" t="str">
        <f>VLOOKUP(LEFT('Rev Adequacy'!D554,3),'Mapping B'!$D$2:$E$400,2,0)</f>
        <v>S</v>
      </c>
      <c r="J554" t="s">
        <v>340</v>
      </c>
      <c r="K554" s="15" t="s">
        <v>10</v>
      </c>
      <c r="L554">
        <v>51.431554977798299</v>
      </c>
      <c r="O554" s="15">
        <f>_xlfn.IFNA(IF(VLOOKUP($J554&amp;O$12,'Mapping A'!$A$6:$G$1011,7,0)=1,$L554,""),0)</f>
        <v>0</v>
      </c>
      <c r="P554" s="15">
        <f>_xlfn.IFNA(IF(VLOOKUP($J554&amp;P$12,'Mapping A'!$A$6:$G$1011,7,0)=1,$L554,""),0)</f>
        <v>0</v>
      </c>
      <c r="Q554" s="15">
        <f>_xlfn.IFNA(IF(VLOOKUP($J554&amp;Q$12,'Mapping A'!$A$6:$G$1011,7,0)=1,$L554,""),0)</f>
        <v>0</v>
      </c>
      <c r="R554" s="15">
        <f>_xlfn.IFNA(IF(VLOOKUP($J554&amp;R$12,'Mapping A'!$A$6:$G$1011,7,0)=1,$L554,""),0)</f>
        <v>0</v>
      </c>
      <c r="S554" s="15">
        <f>_xlfn.IFNA(IF(VLOOKUP($J554&amp;S$12,'Mapping A'!$A$6:$G$1011,7,0)=1,$L554,""),0)</f>
        <v>0</v>
      </c>
      <c r="T554" s="15">
        <f>_xlfn.IFNA(IF(VLOOKUP($J554&amp;T$12,'Mapping A'!$A$6:$G$1011,7,0)=1,$L554,""),0)</f>
        <v>0</v>
      </c>
      <c r="U554" s="15">
        <f>_xlfn.IFNA(IF(VLOOKUP($J554&amp;U$12,'Mapping A'!$A$6:$G$1011,7,0)=1,$L554,""),0)</f>
        <v>0</v>
      </c>
      <c r="V554" s="15">
        <f>_xlfn.IFNA(IF(VLOOKUP($J554&amp;V$12,'Mapping A'!$A$6:$G$1011,7,0)=1,$L554,""),0)</f>
        <v>0</v>
      </c>
      <c r="W554" s="15">
        <f>_xlfn.IFNA(IF(VLOOKUP($J554&amp;W$12,'Mapping A'!$A$6:$G$1011,7,0)=1,$L554,""),0)</f>
        <v>0</v>
      </c>
      <c r="X554" s="15">
        <f>_xlfn.IFNA(IF(VLOOKUP($J554&amp;X$12,'Mapping A'!$A$6:$G$1011,7,0)=1,$L554,""),0)</f>
        <v>0</v>
      </c>
      <c r="Y554" s="15">
        <f>_xlfn.IFNA(IF(VLOOKUP($J554&amp;Y$12,'Mapping A'!$A$6:$G$1011,7,0)=1,$L554,""),0)</f>
        <v>0</v>
      </c>
      <c r="Z554" s="15">
        <f>_xlfn.IFNA(IF(VLOOKUP($J554&amp;Z$12,'Mapping A'!$A$6:$G$1011,7,0)=1,$L554,""),0)</f>
        <v>0</v>
      </c>
      <c r="AA554" s="15">
        <f>_xlfn.IFNA(IF(VLOOKUP($J554&amp;AA$12,'Mapping A'!$A$6:$G$1011,7,0)=1,$L554,""),0)</f>
        <v>0</v>
      </c>
      <c r="AF554" s="155" t="str">
        <f t="shared" si="177"/>
        <v>TKA0111 TKA1Genesis</v>
      </c>
      <c r="AG554" s="15" t="s">
        <v>340</v>
      </c>
      <c r="AH554" s="15" t="s">
        <v>10</v>
      </c>
      <c r="AI554" s="15">
        <v>51.431554977798299</v>
      </c>
      <c r="AJ554" s="292" t="s">
        <v>96</v>
      </c>
      <c r="AK554" s="15"/>
      <c r="AL554" s="15">
        <f t="shared" si="172"/>
        <v>0</v>
      </c>
      <c r="AM554" s="15">
        <f t="shared" si="173"/>
        <v>0</v>
      </c>
      <c r="AN554" s="15">
        <f t="shared" si="174"/>
        <v>0</v>
      </c>
      <c r="AO554" s="15">
        <f t="shared" si="175"/>
        <v>0</v>
      </c>
      <c r="AP554" s="15">
        <f t="shared" si="176"/>
        <v>0</v>
      </c>
      <c r="AQ554" s="190">
        <f t="shared" ca="1" si="164"/>
        <v>0</v>
      </c>
      <c r="AR554" s="190">
        <f t="shared" si="165"/>
        <v>0</v>
      </c>
      <c r="AS554" s="190">
        <f t="shared" ca="1" si="166"/>
        <v>0</v>
      </c>
      <c r="AT554" s="190">
        <f t="shared" si="167"/>
        <v>0</v>
      </c>
      <c r="AU554" s="190">
        <f t="shared" si="168"/>
        <v>0</v>
      </c>
      <c r="AV554" s="190">
        <f t="shared" si="169"/>
        <v>0</v>
      </c>
      <c r="AW554" s="190">
        <f t="shared" si="170"/>
        <v>0</v>
      </c>
      <c r="AX554" s="190">
        <f t="shared" si="171"/>
        <v>0</v>
      </c>
      <c r="AZ554" s="15"/>
      <c r="BP554" s="190"/>
    </row>
    <row r="555" spans="2:68" x14ac:dyDescent="0.25">
      <c r="B555" s="98" t="s">
        <v>553</v>
      </c>
      <c r="C555" s="98">
        <v>2014</v>
      </c>
      <c r="D555" s="98" t="s">
        <v>318</v>
      </c>
      <c r="E555" s="98" t="s">
        <v>12</v>
      </c>
      <c r="F555" s="98" t="s">
        <v>131</v>
      </c>
      <c r="G555" s="248">
        <v>86117.893000000098</v>
      </c>
      <c r="H555" s="299" t="str">
        <f>VLOOKUP(LEFT('Rev Adequacy'!D555,3),'Mapping B'!$D$2:$E$400,2,0)</f>
        <v>S</v>
      </c>
      <c r="J555" t="s">
        <v>437</v>
      </c>
      <c r="K555" s="15" t="s">
        <v>10</v>
      </c>
      <c r="L555">
        <v>793.71626065752002</v>
      </c>
      <c r="O555" s="15">
        <f>_xlfn.IFNA(IF(VLOOKUP($J555&amp;O$12,'Mapping A'!$A$6:$G$1011,7,0)=1,$L555,""),0)</f>
        <v>0</v>
      </c>
      <c r="P555" s="15">
        <f>_xlfn.IFNA(IF(VLOOKUP($J555&amp;P$12,'Mapping A'!$A$6:$G$1011,7,0)=1,$L555,""),0)</f>
        <v>0</v>
      </c>
      <c r="Q555" s="15">
        <f>_xlfn.IFNA(IF(VLOOKUP($J555&amp;Q$12,'Mapping A'!$A$6:$G$1011,7,0)=1,$L555,""),0)</f>
        <v>0</v>
      </c>
      <c r="R555" s="15">
        <f>_xlfn.IFNA(IF(VLOOKUP($J555&amp;R$12,'Mapping A'!$A$6:$G$1011,7,0)=1,$L555,""),0)</f>
        <v>0</v>
      </c>
      <c r="S555" s="15">
        <f>_xlfn.IFNA(IF(VLOOKUP($J555&amp;S$12,'Mapping A'!$A$6:$G$1011,7,0)=1,$L555,""),0)</f>
        <v>0</v>
      </c>
      <c r="T555" s="15">
        <f>_xlfn.IFNA(IF(VLOOKUP($J555&amp;T$12,'Mapping A'!$A$6:$G$1011,7,0)=1,$L555,""),0)</f>
        <v>0</v>
      </c>
      <c r="U555" s="15">
        <f>_xlfn.IFNA(IF(VLOOKUP($J555&amp;U$12,'Mapping A'!$A$6:$G$1011,7,0)=1,$L555,""),0)</f>
        <v>0</v>
      </c>
      <c r="V555" s="15">
        <f>_xlfn.IFNA(IF(VLOOKUP($J555&amp;V$12,'Mapping A'!$A$6:$G$1011,7,0)=1,$L555,""),0)</f>
        <v>0</v>
      </c>
      <c r="W555" s="15">
        <f>_xlfn.IFNA(IF(VLOOKUP($J555&amp;W$12,'Mapping A'!$A$6:$G$1011,7,0)=1,$L555,""),0)</f>
        <v>0</v>
      </c>
      <c r="X555" s="15">
        <f>_xlfn.IFNA(IF(VLOOKUP($J555&amp;X$12,'Mapping A'!$A$6:$G$1011,7,0)=1,$L555,""),0)</f>
        <v>0</v>
      </c>
      <c r="Y555" s="15">
        <f>_xlfn.IFNA(IF(VLOOKUP($J555&amp;Y$12,'Mapping A'!$A$6:$G$1011,7,0)=1,$L555,""),0)</f>
        <v>0</v>
      </c>
      <c r="Z555" s="15">
        <f>_xlfn.IFNA(IF(VLOOKUP($J555&amp;Z$12,'Mapping A'!$A$6:$G$1011,7,0)=1,$L555,""),0)</f>
        <v>0</v>
      </c>
      <c r="AA555" s="15">
        <f>_xlfn.IFNA(IF(VLOOKUP($J555&amp;AA$12,'Mapping A'!$A$6:$G$1011,7,0)=1,$L555,""),0)</f>
        <v>0</v>
      </c>
      <c r="AF555" s="155" t="str">
        <f t="shared" si="177"/>
        <v>TKB2201 TKB0Genesis</v>
      </c>
      <c r="AG555" s="15" t="s">
        <v>437</v>
      </c>
      <c r="AH555" s="15" t="s">
        <v>10</v>
      </c>
      <c r="AI555" s="15">
        <v>793.71626065752002</v>
      </c>
      <c r="AJ555" s="292" t="s">
        <v>96</v>
      </c>
      <c r="AK555" s="15"/>
      <c r="AL555" s="15">
        <f t="shared" si="172"/>
        <v>0</v>
      </c>
      <c r="AM555" s="15">
        <f t="shared" si="173"/>
        <v>0</v>
      </c>
      <c r="AN555" s="15">
        <f t="shared" si="174"/>
        <v>0</v>
      </c>
      <c r="AO555" s="15">
        <f t="shared" si="175"/>
        <v>0</v>
      </c>
      <c r="AP555" s="15">
        <f t="shared" si="176"/>
        <v>0</v>
      </c>
      <c r="AQ555" s="190">
        <f t="shared" ca="1" si="164"/>
        <v>0</v>
      </c>
      <c r="AR555" s="190">
        <f t="shared" si="165"/>
        <v>0</v>
      </c>
      <c r="AS555" s="190">
        <f t="shared" ca="1" si="166"/>
        <v>0</v>
      </c>
      <c r="AT555" s="190">
        <f t="shared" si="167"/>
        <v>0</v>
      </c>
      <c r="AU555" s="190">
        <f t="shared" si="168"/>
        <v>0</v>
      </c>
      <c r="AV555" s="190">
        <f t="shared" si="169"/>
        <v>0</v>
      </c>
      <c r="AW555" s="190">
        <f t="shared" si="170"/>
        <v>0</v>
      </c>
      <c r="AX555" s="190">
        <f t="shared" si="171"/>
        <v>0</v>
      </c>
      <c r="AZ555" s="15"/>
      <c r="BP555" s="190"/>
    </row>
    <row r="556" spans="2:68" x14ac:dyDescent="0.25">
      <c r="B556" s="98" t="s">
        <v>553</v>
      </c>
      <c r="C556" s="98">
        <v>2014</v>
      </c>
      <c r="D556" s="98" t="s">
        <v>380</v>
      </c>
      <c r="E556" s="98" t="s">
        <v>12</v>
      </c>
      <c r="F556" s="98" t="s">
        <v>131</v>
      </c>
      <c r="G556" s="248">
        <v>14316.211999999699</v>
      </c>
      <c r="H556" s="299" t="str">
        <f>VLOOKUP(LEFT('Rev Adequacy'!D556,3),'Mapping B'!$D$2:$E$400,2,0)</f>
        <v>S</v>
      </c>
      <c r="J556" t="s">
        <v>341</v>
      </c>
      <c r="K556" s="15" t="s">
        <v>10</v>
      </c>
      <c r="L556">
        <v>793.71626065752002</v>
      </c>
      <c r="O556" s="15">
        <f>_xlfn.IFNA(IF(VLOOKUP($J556&amp;O$12,'Mapping A'!$A$6:$G$1011,7,0)=1,$L556,""),0)</f>
        <v>0</v>
      </c>
      <c r="P556" s="15">
        <f>_xlfn.IFNA(IF(VLOOKUP($J556&amp;P$12,'Mapping A'!$A$6:$G$1011,7,0)=1,$L556,""),0)</f>
        <v>0</v>
      </c>
      <c r="Q556" s="15">
        <f>_xlfn.IFNA(IF(VLOOKUP($J556&amp;Q$12,'Mapping A'!$A$6:$G$1011,7,0)=1,$L556,""),0)</f>
        <v>0</v>
      </c>
      <c r="R556" s="15">
        <f>_xlfn.IFNA(IF(VLOOKUP($J556&amp;R$12,'Mapping A'!$A$6:$G$1011,7,0)=1,$L556,""),0)</f>
        <v>0</v>
      </c>
      <c r="S556" s="15">
        <f>_xlfn.IFNA(IF(VLOOKUP($J556&amp;S$12,'Mapping A'!$A$6:$G$1011,7,0)=1,$L556,""),0)</f>
        <v>0</v>
      </c>
      <c r="T556" s="15">
        <f>_xlfn.IFNA(IF(VLOOKUP($J556&amp;T$12,'Mapping A'!$A$6:$G$1011,7,0)=1,$L556,""),0)</f>
        <v>0</v>
      </c>
      <c r="U556" s="15">
        <f>_xlfn.IFNA(IF(VLOOKUP($J556&amp;U$12,'Mapping A'!$A$6:$G$1011,7,0)=1,$L556,""),0)</f>
        <v>0</v>
      </c>
      <c r="V556" s="15">
        <f>_xlfn.IFNA(IF(VLOOKUP($J556&amp;V$12,'Mapping A'!$A$6:$G$1011,7,0)=1,$L556,""),0)</f>
        <v>0</v>
      </c>
      <c r="W556" s="15">
        <f>_xlfn.IFNA(IF(VLOOKUP($J556&amp;W$12,'Mapping A'!$A$6:$G$1011,7,0)=1,$L556,""),0)</f>
        <v>0</v>
      </c>
      <c r="X556" s="15">
        <f>_xlfn.IFNA(IF(VLOOKUP($J556&amp;X$12,'Mapping A'!$A$6:$G$1011,7,0)=1,$L556,""),0)</f>
        <v>0</v>
      </c>
      <c r="Y556" s="15">
        <f>_xlfn.IFNA(IF(VLOOKUP($J556&amp;Y$12,'Mapping A'!$A$6:$G$1011,7,0)=1,$L556,""),0)</f>
        <v>0</v>
      </c>
      <c r="Z556" s="15">
        <f>_xlfn.IFNA(IF(VLOOKUP($J556&amp;Z$12,'Mapping A'!$A$6:$G$1011,7,0)=1,$L556,""),0)</f>
        <v>0</v>
      </c>
      <c r="AA556" s="15">
        <f>_xlfn.IFNA(IF(VLOOKUP($J556&amp;AA$12,'Mapping A'!$A$6:$G$1011,7,0)=1,$L556,""),0)</f>
        <v>0</v>
      </c>
      <c r="AF556" s="155" t="str">
        <f t="shared" si="177"/>
        <v>TKB2201 TKB1Genesis</v>
      </c>
      <c r="AG556" s="15" t="s">
        <v>341</v>
      </c>
      <c r="AH556" s="15" t="s">
        <v>10</v>
      </c>
      <c r="AI556" s="15">
        <v>793.71626065752002</v>
      </c>
      <c r="AJ556" s="292" t="s">
        <v>96</v>
      </c>
      <c r="AK556" s="15"/>
      <c r="AL556" s="15">
        <f t="shared" ref="AL556:AL569" si="178">IF(O$491=0,0,(O$13*O$7*O556/O$491))</f>
        <v>0</v>
      </c>
      <c r="AM556" s="15">
        <f t="shared" ref="AM556:AM569" si="179">IF(P$491=0,0,(P$13*P$7*P556/P$491))</f>
        <v>0</v>
      </c>
      <c r="AN556" s="15">
        <f t="shared" ref="AN556:AN569" si="180">IF(Q$491=0,0,(Q$13*Q$7*Q556/Q$491))</f>
        <v>0</v>
      </c>
      <c r="AO556" s="15">
        <f t="shared" ref="AO556:AO569" si="181">IF(R$491=0,0,(R$13*R$7*R556/R$491))</f>
        <v>0</v>
      </c>
      <c r="AP556" s="15">
        <f t="shared" ref="AP556:AP569" si="182">IF(S$491=0,0,(S$13*S$7*S556/S$491))</f>
        <v>0</v>
      </c>
      <c r="AQ556" s="190">
        <f t="shared" ca="1" si="164"/>
        <v>0</v>
      </c>
      <c r="AR556" s="190">
        <f t="shared" si="165"/>
        <v>0</v>
      </c>
      <c r="AS556" s="190">
        <f t="shared" ca="1" si="166"/>
        <v>0</v>
      </c>
      <c r="AT556" s="190">
        <f t="shared" si="167"/>
        <v>0</v>
      </c>
      <c r="AU556" s="190">
        <f t="shared" si="168"/>
        <v>0</v>
      </c>
      <c r="AV556" s="190">
        <f t="shared" si="169"/>
        <v>0</v>
      </c>
      <c r="AW556" s="190">
        <f t="shared" si="170"/>
        <v>0</v>
      </c>
      <c r="AX556" s="190">
        <f t="shared" si="171"/>
        <v>0</v>
      </c>
      <c r="AZ556" s="15"/>
      <c r="BP556" s="190"/>
    </row>
    <row r="557" spans="2:68" x14ac:dyDescent="0.25">
      <c r="B557" s="98" t="s">
        <v>553</v>
      </c>
      <c r="C557" s="98">
        <v>2014</v>
      </c>
      <c r="D557" s="98" t="s">
        <v>381</v>
      </c>
      <c r="E557" s="98" t="s">
        <v>12</v>
      </c>
      <c r="F557" s="98" t="s">
        <v>131</v>
      </c>
      <c r="G557" s="248">
        <v>9393.9839999998003</v>
      </c>
      <c r="H557" s="299" t="str">
        <f>VLOOKUP(LEFT('Rev Adequacy'!D557,3),'Mapping B'!$D$2:$E$400,2,0)</f>
        <v>S</v>
      </c>
      <c r="J557" t="s">
        <v>345</v>
      </c>
      <c r="K557" s="15" t="s">
        <v>10</v>
      </c>
      <c r="L557">
        <v>614.75492389370004</v>
      </c>
      <c r="O557" s="15">
        <f>_xlfn.IFNA(IF(VLOOKUP($J557&amp;O$12,'Mapping A'!$A$6:$G$1011,7,0)=1,$L557,""),0)</f>
        <v>0</v>
      </c>
      <c r="P557" s="15">
        <f>_xlfn.IFNA(IF(VLOOKUP($J557&amp;P$12,'Mapping A'!$A$6:$G$1011,7,0)=1,$L557,""),0)</f>
        <v>0</v>
      </c>
      <c r="Q557" s="15">
        <f>_xlfn.IFNA(IF(VLOOKUP($J557&amp;Q$12,'Mapping A'!$A$6:$G$1011,7,0)=1,$L557,""),0)</f>
        <v>0</v>
      </c>
      <c r="R557" s="15">
        <f>_xlfn.IFNA(IF(VLOOKUP($J557&amp;R$12,'Mapping A'!$A$6:$G$1011,7,0)=1,$L557,""),0)</f>
        <v>0</v>
      </c>
      <c r="S557" s="15">
        <f>_xlfn.IFNA(IF(VLOOKUP($J557&amp;S$12,'Mapping A'!$A$6:$G$1011,7,0)=1,$L557,""),0)</f>
        <v>0</v>
      </c>
      <c r="T557" s="15">
        <f>_xlfn.IFNA(IF(VLOOKUP($J557&amp;T$12,'Mapping A'!$A$6:$G$1011,7,0)=1,$L557,""),0)</f>
        <v>0</v>
      </c>
      <c r="U557" s="15">
        <f>_xlfn.IFNA(IF(VLOOKUP($J557&amp;U$12,'Mapping A'!$A$6:$G$1011,7,0)=1,$L557,""),0)</f>
        <v>0</v>
      </c>
      <c r="V557" s="15">
        <f>_xlfn.IFNA(IF(VLOOKUP($J557&amp;V$12,'Mapping A'!$A$6:$G$1011,7,0)=1,$L557,""),0)</f>
        <v>614.75492389370004</v>
      </c>
      <c r="W557" s="15">
        <f>_xlfn.IFNA(IF(VLOOKUP($J557&amp;W$12,'Mapping A'!$A$6:$G$1011,7,0)=1,$L557,""),0)</f>
        <v>0</v>
      </c>
      <c r="X557" s="15">
        <f>_xlfn.IFNA(IF(VLOOKUP($J557&amp;X$12,'Mapping A'!$A$6:$G$1011,7,0)=1,$L557,""),0)</f>
        <v>0</v>
      </c>
      <c r="Y557" s="15">
        <f>_xlfn.IFNA(IF(VLOOKUP($J557&amp;Y$12,'Mapping A'!$A$6:$G$1011,7,0)=1,$L557,""),0)</f>
        <v>0</v>
      </c>
      <c r="Z557" s="15">
        <f>_xlfn.IFNA(IF(VLOOKUP($J557&amp;Z$12,'Mapping A'!$A$6:$G$1011,7,0)=1,$L557,""),0)</f>
        <v>0</v>
      </c>
      <c r="AA557" s="15">
        <f>_xlfn.IFNA(IF(VLOOKUP($J557&amp;AA$12,'Mapping A'!$A$6:$G$1011,7,0)=1,$L557,""),0)</f>
        <v>0</v>
      </c>
      <c r="AF557" s="155" t="str">
        <f t="shared" si="177"/>
        <v>TKU2201 TKU0Genesis</v>
      </c>
      <c r="AG557" s="15" t="s">
        <v>345</v>
      </c>
      <c r="AH557" s="15" t="s">
        <v>10</v>
      </c>
      <c r="AI557" s="15">
        <v>614.75492389370004</v>
      </c>
      <c r="AJ557" s="292" t="s">
        <v>95</v>
      </c>
      <c r="AK557" s="15"/>
      <c r="AL557" s="15">
        <f t="shared" si="178"/>
        <v>0</v>
      </c>
      <c r="AM557" s="15">
        <f t="shared" si="179"/>
        <v>0</v>
      </c>
      <c r="AN557" s="15">
        <f t="shared" si="180"/>
        <v>0</v>
      </c>
      <c r="AO557" s="15">
        <f t="shared" si="181"/>
        <v>0</v>
      </c>
      <c r="AP557" s="15">
        <f t="shared" si="182"/>
        <v>0</v>
      </c>
      <c r="AQ557" s="190">
        <f t="shared" ref="AQ557:AQ569" ca="1" si="183">IF(T$491=0,0,(T$13*T$7*T557/T$491))</f>
        <v>0</v>
      </c>
      <c r="AR557" s="190">
        <f t="shared" ref="AR557:AR569" si="184">IF(U$491=0,0,(U$13*U$7*U557/U$491))</f>
        <v>0</v>
      </c>
      <c r="AS557" s="190">
        <f t="shared" ref="AS557:AS569" ca="1" si="185">IF(V$491=0,0,(V$13*V$7*V557/V$491))</f>
        <v>8.0947687095602724E-2</v>
      </c>
      <c r="AT557" s="190">
        <f t="shared" ref="AT557:AT569" si="186">IF(W$491=0,0,(W$13*W$7*W557/W$491))</f>
        <v>0</v>
      </c>
      <c r="AU557" s="190">
        <f t="shared" ref="AU557:AU569" si="187">IF(X$491=0,0,(X$13*X$7*X557/X$491))</f>
        <v>0</v>
      </c>
      <c r="AV557" s="190">
        <f t="shared" ref="AV557:AV569" si="188">IF(Y$491=0,0,(Y$13*Y$7*Y557/Y$491))</f>
        <v>0</v>
      </c>
      <c r="AW557" s="190">
        <f t="shared" ref="AW557:AW569" si="189">IF(Z$491=0,0,(Z$13*Z$7*Z557/Z$491))</f>
        <v>0</v>
      </c>
      <c r="AX557" s="190">
        <f t="shared" ref="AX557:AX569" si="190">IF(AA$491=0,0,(AA$13*AA$7*AA557/AA$491))</f>
        <v>0</v>
      </c>
      <c r="AZ557" s="15"/>
      <c r="BP557" s="190"/>
    </row>
    <row r="558" spans="2:68" x14ac:dyDescent="0.25">
      <c r="B558" s="98" t="s">
        <v>554</v>
      </c>
      <c r="C558" s="98">
        <v>2014</v>
      </c>
      <c r="D558" s="98" t="s">
        <v>175</v>
      </c>
      <c r="E558" s="98" t="s">
        <v>12</v>
      </c>
      <c r="F558" s="98" t="s">
        <v>131</v>
      </c>
      <c r="G558" s="98">
        <v>75768.123000000007</v>
      </c>
      <c r="H558" s="299" t="str">
        <f>VLOOKUP(LEFT('Rev Adequacy'!D558,3),'Mapping B'!$D$2:$E$400,2,0)</f>
        <v>S</v>
      </c>
      <c r="J558" t="s">
        <v>354</v>
      </c>
      <c r="K558" s="15" t="s">
        <v>10</v>
      </c>
      <c r="L558">
        <v>410.506085859216</v>
      </c>
      <c r="O558" s="15">
        <f>_xlfn.IFNA(IF(VLOOKUP($J558&amp;O$12,'Mapping A'!$A$6:$G$1011,7,0)=1,$L558,""),0)</f>
        <v>0</v>
      </c>
      <c r="P558" s="15">
        <f>_xlfn.IFNA(IF(VLOOKUP($J558&amp;P$12,'Mapping A'!$A$6:$G$1011,7,0)=1,$L558,""),0)</f>
        <v>0</v>
      </c>
      <c r="Q558" s="15">
        <f>_xlfn.IFNA(IF(VLOOKUP($J558&amp;Q$12,'Mapping A'!$A$6:$G$1011,7,0)=1,$L558,""),0)</f>
        <v>0</v>
      </c>
      <c r="R558" s="15">
        <f>_xlfn.IFNA(IF(VLOOKUP($J558&amp;R$12,'Mapping A'!$A$6:$G$1011,7,0)=1,$L558,""),0)</f>
        <v>0</v>
      </c>
      <c r="S558" s="15">
        <f>_xlfn.IFNA(IF(VLOOKUP($J558&amp;S$12,'Mapping A'!$A$6:$G$1011,7,0)=1,$L558,""),0)</f>
        <v>0</v>
      </c>
      <c r="T558" s="15">
        <f>_xlfn.IFNA(IF(VLOOKUP($J558&amp;T$12,'Mapping A'!$A$6:$G$1011,7,0)=1,$L558,""),0)</f>
        <v>0</v>
      </c>
      <c r="U558" s="15">
        <f>_xlfn.IFNA(IF(VLOOKUP($J558&amp;U$12,'Mapping A'!$A$6:$G$1011,7,0)=1,$L558,""),0)</f>
        <v>0</v>
      </c>
      <c r="V558" s="15">
        <f>_xlfn.IFNA(IF(VLOOKUP($J558&amp;V$12,'Mapping A'!$A$6:$G$1011,7,0)=1,$L558,""),0)</f>
        <v>410.506085859216</v>
      </c>
      <c r="W558" s="15">
        <f>_xlfn.IFNA(IF(VLOOKUP($J558&amp;W$12,'Mapping A'!$A$6:$G$1011,7,0)=1,$L558,""),0)</f>
        <v>0</v>
      </c>
      <c r="X558" s="15">
        <f>_xlfn.IFNA(IF(VLOOKUP($J558&amp;X$12,'Mapping A'!$A$6:$G$1011,7,0)=1,$L558,""),0)</f>
        <v>0</v>
      </c>
      <c r="Y558" s="15">
        <f>_xlfn.IFNA(IF(VLOOKUP($J558&amp;Y$12,'Mapping A'!$A$6:$G$1011,7,0)=1,$L558,""),0)</f>
        <v>0</v>
      </c>
      <c r="Z558" s="15">
        <f>_xlfn.IFNA(IF(VLOOKUP($J558&amp;Z$12,'Mapping A'!$A$6:$G$1011,7,0)=1,$L558,""),0)</f>
        <v>0</v>
      </c>
      <c r="AA558" s="15">
        <f>_xlfn.IFNA(IF(VLOOKUP($J558&amp;AA$12,'Mapping A'!$A$6:$G$1011,7,0)=1,$L558,""),0)</f>
        <v>0</v>
      </c>
      <c r="AF558" s="155" t="str">
        <f t="shared" si="177"/>
        <v>TUI1101 KTW0Genesis</v>
      </c>
      <c r="AG558" s="15" t="s">
        <v>354</v>
      </c>
      <c r="AH558" s="15" t="s">
        <v>10</v>
      </c>
      <c r="AI558" s="15">
        <v>410.506085859216</v>
      </c>
      <c r="AJ558" s="292" t="s">
        <v>95</v>
      </c>
      <c r="AK558" s="15"/>
      <c r="AL558" s="15">
        <f t="shared" si="178"/>
        <v>0</v>
      </c>
      <c r="AM558" s="15">
        <f t="shared" si="179"/>
        <v>0</v>
      </c>
      <c r="AN558" s="15">
        <f t="shared" si="180"/>
        <v>0</v>
      </c>
      <c r="AO558" s="15">
        <f t="shared" si="181"/>
        <v>0</v>
      </c>
      <c r="AP558" s="15">
        <f t="shared" si="182"/>
        <v>0</v>
      </c>
      <c r="AQ558" s="190">
        <f t="shared" ca="1" si="183"/>
        <v>0</v>
      </c>
      <c r="AR558" s="190">
        <f t="shared" si="184"/>
        <v>0</v>
      </c>
      <c r="AS558" s="190">
        <f t="shared" ca="1" si="185"/>
        <v>5.4053277001028639E-2</v>
      </c>
      <c r="AT558" s="190">
        <f t="shared" si="186"/>
        <v>0</v>
      </c>
      <c r="AU558" s="190">
        <f t="shared" si="187"/>
        <v>0</v>
      </c>
      <c r="AV558" s="190">
        <f t="shared" si="188"/>
        <v>0</v>
      </c>
      <c r="AW558" s="190">
        <f t="shared" si="189"/>
        <v>0</v>
      </c>
      <c r="AX558" s="190">
        <f t="shared" si="190"/>
        <v>0</v>
      </c>
      <c r="AZ558" s="15"/>
      <c r="BP558" s="190"/>
    </row>
    <row r="559" spans="2:68" x14ac:dyDescent="0.25">
      <c r="B559" s="98" t="s">
        <v>554</v>
      </c>
      <c r="C559" s="98">
        <v>2014</v>
      </c>
      <c r="D559" s="98" t="s">
        <v>176</v>
      </c>
      <c r="E559" s="98" t="s">
        <v>12</v>
      </c>
      <c r="F559" s="98" t="s">
        <v>131</v>
      </c>
      <c r="G559" s="98">
        <v>13509.336000000099</v>
      </c>
      <c r="H559" s="299" t="str">
        <f>VLOOKUP(LEFT('Rev Adequacy'!D559,3),'Mapping B'!$D$2:$E$400,2,0)</f>
        <v>S</v>
      </c>
      <c r="J559" t="s">
        <v>355</v>
      </c>
      <c r="K559" s="15" t="s">
        <v>10</v>
      </c>
      <c r="L559">
        <v>410.506085859216</v>
      </c>
      <c r="O559" s="15">
        <f>_xlfn.IFNA(IF(VLOOKUP($J559&amp;O$12,'Mapping A'!$A$6:$G$1011,7,0)=1,$L559,""),0)</f>
        <v>0</v>
      </c>
      <c r="P559" s="15">
        <f>_xlfn.IFNA(IF(VLOOKUP($J559&amp;P$12,'Mapping A'!$A$6:$G$1011,7,0)=1,$L559,""),0)</f>
        <v>0</v>
      </c>
      <c r="Q559" s="15">
        <f>_xlfn.IFNA(IF(VLOOKUP($J559&amp;Q$12,'Mapping A'!$A$6:$G$1011,7,0)=1,$L559,""),0)</f>
        <v>0</v>
      </c>
      <c r="R559" s="15">
        <f>_xlfn.IFNA(IF(VLOOKUP($J559&amp;R$12,'Mapping A'!$A$6:$G$1011,7,0)=1,$L559,""),0)</f>
        <v>0</v>
      </c>
      <c r="S559" s="15">
        <f>_xlfn.IFNA(IF(VLOOKUP($J559&amp;S$12,'Mapping A'!$A$6:$G$1011,7,0)=1,$L559,""),0)</f>
        <v>0</v>
      </c>
      <c r="T559" s="15">
        <f>_xlfn.IFNA(IF(VLOOKUP($J559&amp;T$12,'Mapping A'!$A$6:$G$1011,7,0)=1,$L559,""),0)</f>
        <v>0</v>
      </c>
      <c r="U559" s="15">
        <f>_xlfn.IFNA(IF(VLOOKUP($J559&amp;U$12,'Mapping A'!$A$6:$G$1011,7,0)=1,$L559,""),0)</f>
        <v>0</v>
      </c>
      <c r="V559" s="15">
        <f>_xlfn.IFNA(IF(VLOOKUP($J559&amp;V$12,'Mapping A'!$A$6:$G$1011,7,0)=1,$L559,""),0)</f>
        <v>410.506085859216</v>
      </c>
      <c r="W559" s="15">
        <f>_xlfn.IFNA(IF(VLOOKUP($J559&amp;W$12,'Mapping A'!$A$6:$G$1011,7,0)=1,$L559,""),0)</f>
        <v>0</v>
      </c>
      <c r="X559" s="15">
        <f>_xlfn.IFNA(IF(VLOOKUP($J559&amp;X$12,'Mapping A'!$A$6:$G$1011,7,0)=1,$L559,""),0)</f>
        <v>0</v>
      </c>
      <c r="Y559" s="15">
        <f>_xlfn.IFNA(IF(VLOOKUP($J559&amp;Y$12,'Mapping A'!$A$6:$G$1011,7,0)=1,$L559,""),0)</f>
        <v>0</v>
      </c>
      <c r="Z559" s="15">
        <f>_xlfn.IFNA(IF(VLOOKUP($J559&amp;Z$12,'Mapping A'!$A$6:$G$1011,7,0)=1,$L559,""),0)</f>
        <v>0</v>
      </c>
      <c r="AA559" s="15">
        <f>_xlfn.IFNA(IF(VLOOKUP($J559&amp;AA$12,'Mapping A'!$A$6:$G$1011,7,0)=1,$L559,""),0)</f>
        <v>0</v>
      </c>
      <c r="AF559" s="155" t="str">
        <f t="shared" si="177"/>
        <v>TUI1101 PRI0Genesis</v>
      </c>
      <c r="AG559" s="15" t="s">
        <v>355</v>
      </c>
      <c r="AH559" s="15" t="s">
        <v>10</v>
      </c>
      <c r="AI559" s="15">
        <v>410.506085859216</v>
      </c>
      <c r="AJ559" s="292" t="s">
        <v>95</v>
      </c>
      <c r="AK559" s="15"/>
      <c r="AL559" s="15">
        <f t="shared" si="178"/>
        <v>0</v>
      </c>
      <c r="AM559" s="15">
        <f t="shared" si="179"/>
        <v>0</v>
      </c>
      <c r="AN559" s="15">
        <f t="shared" si="180"/>
        <v>0</v>
      </c>
      <c r="AO559" s="15">
        <f t="shared" si="181"/>
        <v>0</v>
      </c>
      <c r="AP559" s="15">
        <f t="shared" si="182"/>
        <v>0</v>
      </c>
      <c r="AQ559" s="190">
        <f t="shared" ca="1" si="183"/>
        <v>0</v>
      </c>
      <c r="AR559" s="190">
        <f t="shared" si="184"/>
        <v>0</v>
      </c>
      <c r="AS559" s="190">
        <f t="shared" ca="1" si="185"/>
        <v>5.4053277001028639E-2</v>
      </c>
      <c r="AT559" s="190">
        <f t="shared" si="186"/>
        <v>0</v>
      </c>
      <c r="AU559" s="190">
        <f t="shared" si="187"/>
        <v>0</v>
      </c>
      <c r="AV559" s="190">
        <f t="shared" si="188"/>
        <v>0</v>
      </c>
      <c r="AW559" s="190">
        <f t="shared" si="189"/>
        <v>0</v>
      </c>
      <c r="AX559" s="190">
        <f t="shared" si="190"/>
        <v>0</v>
      </c>
      <c r="AZ559" s="15"/>
      <c r="BP559" s="190"/>
    </row>
    <row r="560" spans="2:68" x14ac:dyDescent="0.25">
      <c r="B560" s="98" t="s">
        <v>554</v>
      </c>
      <c r="C560" s="98">
        <v>2014</v>
      </c>
      <c r="D560" s="98" t="s">
        <v>227</v>
      </c>
      <c r="E560" s="98" t="s">
        <v>12</v>
      </c>
      <c r="F560" s="98" t="s">
        <v>131</v>
      </c>
      <c r="G560" s="98">
        <v>0</v>
      </c>
      <c r="H560" s="299" t="str">
        <f>VLOOKUP(LEFT('Rev Adequacy'!D560,3),'Mapping B'!$D$2:$E$400,2,0)</f>
        <v>S</v>
      </c>
      <c r="J560" t="s">
        <v>356</v>
      </c>
      <c r="K560" s="15" t="s">
        <v>10</v>
      </c>
      <c r="L560">
        <v>410.506085859216</v>
      </c>
      <c r="O560" s="15">
        <f>_xlfn.IFNA(IF(VLOOKUP($J560&amp;O$12,'Mapping A'!$A$6:$G$1011,7,0)=1,$L560,""),0)</f>
        <v>0</v>
      </c>
      <c r="P560" s="15">
        <f>_xlfn.IFNA(IF(VLOOKUP($J560&amp;P$12,'Mapping A'!$A$6:$G$1011,7,0)=1,$L560,""),0)</f>
        <v>0</v>
      </c>
      <c r="Q560" s="15">
        <f>_xlfn.IFNA(IF(VLOOKUP($J560&amp;Q$12,'Mapping A'!$A$6:$G$1011,7,0)=1,$L560,""),0)</f>
        <v>0</v>
      </c>
      <c r="R560" s="15">
        <f>_xlfn.IFNA(IF(VLOOKUP($J560&amp;R$12,'Mapping A'!$A$6:$G$1011,7,0)=1,$L560,""),0)</f>
        <v>0</v>
      </c>
      <c r="S560" s="15">
        <f>_xlfn.IFNA(IF(VLOOKUP($J560&amp;S$12,'Mapping A'!$A$6:$G$1011,7,0)=1,$L560,""),0)</f>
        <v>0</v>
      </c>
      <c r="T560" s="15">
        <f>_xlfn.IFNA(IF(VLOOKUP($J560&amp;T$12,'Mapping A'!$A$6:$G$1011,7,0)=1,$L560,""),0)</f>
        <v>0</v>
      </c>
      <c r="U560" s="15">
        <f>_xlfn.IFNA(IF(VLOOKUP($J560&amp;U$12,'Mapping A'!$A$6:$G$1011,7,0)=1,$L560,""),0)</f>
        <v>0</v>
      </c>
      <c r="V560" s="15">
        <f>_xlfn.IFNA(IF(VLOOKUP($J560&amp;V$12,'Mapping A'!$A$6:$G$1011,7,0)=1,$L560,""),0)</f>
        <v>410.506085859216</v>
      </c>
      <c r="W560" s="15">
        <f>_xlfn.IFNA(IF(VLOOKUP($J560&amp;W$12,'Mapping A'!$A$6:$G$1011,7,0)=1,$L560,""),0)</f>
        <v>0</v>
      </c>
      <c r="X560" s="15">
        <f>_xlfn.IFNA(IF(VLOOKUP($J560&amp;X$12,'Mapping A'!$A$6:$G$1011,7,0)=1,$L560,""),0)</f>
        <v>0</v>
      </c>
      <c r="Y560" s="15">
        <f>_xlfn.IFNA(IF(VLOOKUP($J560&amp;Y$12,'Mapping A'!$A$6:$G$1011,7,0)=1,$L560,""),0)</f>
        <v>0</v>
      </c>
      <c r="Z560" s="15">
        <f>_xlfn.IFNA(IF(VLOOKUP($J560&amp;Z$12,'Mapping A'!$A$6:$G$1011,7,0)=1,$L560,""),0)</f>
        <v>0</v>
      </c>
      <c r="AA560" s="15">
        <f>_xlfn.IFNA(IF(VLOOKUP($J560&amp;AA$12,'Mapping A'!$A$6:$G$1011,7,0)=1,$L560,""),0)</f>
        <v>0</v>
      </c>
      <c r="AF560" s="155" t="str">
        <f t="shared" si="177"/>
        <v>TUI1101 TUI0Genesis</v>
      </c>
      <c r="AG560" s="15" t="s">
        <v>356</v>
      </c>
      <c r="AH560" s="15" t="s">
        <v>10</v>
      </c>
      <c r="AI560" s="15">
        <v>410.506085859216</v>
      </c>
      <c r="AJ560" s="292" t="s">
        <v>95</v>
      </c>
      <c r="AK560" s="15"/>
      <c r="AL560" s="15">
        <f t="shared" si="178"/>
        <v>0</v>
      </c>
      <c r="AM560" s="15">
        <f t="shared" si="179"/>
        <v>0</v>
      </c>
      <c r="AN560" s="15">
        <f t="shared" si="180"/>
        <v>0</v>
      </c>
      <c r="AO560" s="15">
        <f t="shared" si="181"/>
        <v>0</v>
      </c>
      <c r="AP560" s="15">
        <f t="shared" si="182"/>
        <v>0</v>
      </c>
      <c r="AQ560" s="190">
        <f t="shared" ca="1" si="183"/>
        <v>0</v>
      </c>
      <c r="AR560" s="190">
        <f t="shared" si="184"/>
        <v>0</v>
      </c>
      <c r="AS560" s="190">
        <f t="shared" ca="1" si="185"/>
        <v>5.4053277001028639E-2</v>
      </c>
      <c r="AT560" s="190">
        <f t="shared" si="186"/>
        <v>0</v>
      </c>
      <c r="AU560" s="190">
        <f t="shared" si="187"/>
        <v>0</v>
      </c>
      <c r="AV560" s="190">
        <f t="shared" si="188"/>
        <v>0</v>
      </c>
      <c r="AW560" s="190">
        <f t="shared" si="189"/>
        <v>0</v>
      </c>
      <c r="AX560" s="190">
        <f t="shared" si="190"/>
        <v>0</v>
      </c>
      <c r="AZ560" s="15"/>
      <c r="BP560" s="190"/>
    </row>
    <row r="561" spans="1:68" s="15" customFormat="1" x14ac:dyDescent="0.25">
      <c r="A561" s="155"/>
      <c r="B561" s="98" t="s">
        <v>554</v>
      </c>
      <c r="C561" s="98">
        <v>2014</v>
      </c>
      <c r="D561" s="98" t="s">
        <v>318</v>
      </c>
      <c r="E561" s="98" t="s">
        <v>12</v>
      </c>
      <c r="F561" s="98" t="s">
        <v>131</v>
      </c>
      <c r="G561" s="98">
        <v>30372.859</v>
      </c>
      <c r="H561" s="299" t="str">
        <f>VLOOKUP(LEFT('Rev Adequacy'!D561,3),'Mapping B'!$D$2:$E$400,2,0)</f>
        <v>S</v>
      </c>
      <c r="J561" t="s">
        <v>359</v>
      </c>
      <c r="K561" s="15" t="s">
        <v>4</v>
      </c>
      <c r="L561">
        <v>204.40848616636299</v>
      </c>
      <c r="M561"/>
      <c r="N561"/>
      <c r="O561" s="15">
        <f>_xlfn.IFNA(IF(VLOOKUP($J561&amp;O$12,'Mapping A'!$A$6:$G$1011,7,0)=1,$L561,""),0)</f>
        <v>0</v>
      </c>
      <c r="P561" s="15">
        <f>_xlfn.IFNA(IF(VLOOKUP($J561&amp;P$12,'Mapping A'!$A$6:$G$1011,7,0)=1,$L561,""),0)</f>
        <v>0</v>
      </c>
      <c r="Q561" s="15">
        <f>_xlfn.IFNA(IF(VLOOKUP($J561&amp;Q$12,'Mapping A'!$A$6:$G$1011,7,0)=1,$L561,""),0)</f>
        <v>0</v>
      </c>
      <c r="R561" s="15">
        <f>_xlfn.IFNA(IF(VLOOKUP($J561&amp;R$12,'Mapping A'!$A$6:$G$1011,7,0)=1,$L561,""),0)</f>
        <v>0</v>
      </c>
      <c r="S561" s="15">
        <f>_xlfn.IFNA(IF(VLOOKUP($J561&amp;S$12,'Mapping A'!$A$6:$G$1011,7,0)=1,$L561,""),0)</f>
        <v>0</v>
      </c>
      <c r="T561" s="15">
        <f>_xlfn.IFNA(IF(VLOOKUP($J561&amp;T$12,'Mapping A'!$A$6:$G$1011,7,0)=1,$L561,""),0)</f>
        <v>0</v>
      </c>
      <c r="U561" s="15">
        <f>_xlfn.IFNA(IF(VLOOKUP($J561&amp;U$12,'Mapping A'!$A$6:$G$1011,7,0)=1,$L561,""),0)</f>
        <v>0</v>
      </c>
      <c r="V561" s="15">
        <f>_xlfn.IFNA(IF(VLOOKUP($J561&amp;V$12,'Mapping A'!$A$6:$G$1011,7,0)=1,$L561,""),0)</f>
        <v>204.40848616636299</v>
      </c>
      <c r="W561" s="15">
        <f>_xlfn.IFNA(IF(VLOOKUP($J561&amp;W$12,'Mapping A'!$A$6:$G$1011,7,0)=1,$L561,""),0)</f>
        <v>0</v>
      </c>
      <c r="X561" s="15">
        <f>_xlfn.IFNA(IF(VLOOKUP($J561&amp;X$12,'Mapping A'!$A$6:$G$1011,7,0)=1,$L561,""),0)</f>
        <v>0</v>
      </c>
      <c r="Y561" s="15">
        <f>_xlfn.IFNA(IF(VLOOKUP($J561&amp;Y$12,'Mapping A'!$A$6:$G$1011,7,0)=1,$L561,""),0)</f>
        <v>0</v>
      </c>
      <c r="Z561" s="15">
        <f>_xlfn.IFNA(IF(VLOOKUP($J561&amp;Z$12,'Mapping A'!$A$6:$G$1011,7,0)=1,$L561,""),0)</f>
        <v>0</v>
      </c>
      <c r="AA561" s="15">
        <f>_xlfn.IFNA(IF(VLOOKUP($J561&amp;AA$12,'Mapping A'!$A$6:$G$1011,7,0)=1,$L561,""),0)</f>
        <v>0</v>
      </c>
      <c r="AB561"/>
      <c r="AC561"/>
      <c r="AD561"/>
      <c r="AE561"/>
      <c r="AF561" s="155" t="str">
        <f t="shared" si="177"/>
        <v>TWH0331 TRC1Contact</v>
      </c>
      <c r="AG561" s="15" t="s">
        <v>359</v>
      </c>
      <c r="AH561" s="15" t="s">
        <v>4</v>
      </c>
      <c r="AI561" s="15">
        <v>204.40848616636299</v>
      </c>
      <c r="AJ561" s="292" t="s">
        <v>95</v>
      </c>
      <c r="AL561" s="15">
        <f t="shared" si="178"/>
        <v>0</v>
      </c>
      <c r="AM561" s="15">
        <f t="shared" si="179"/>
        <v>0</v>
      </c>
      <c r="AN561" s="15">
        <f t="shared" si="180"/>
        <v>0</v>
      </c>
      <c r="AO561" s="15">
        <f t="shared" si="181"/>
        <v>0</v>
      </c>
      <c r="AP561" s="15">
        <f t="shared" si="182"/>
        <v>0</v>
      </c>
      <c r="AQ561" s="190">
        <f t="shared" ca="1" si="183"/>
        <v>0</v>
      </c>
      <c r="AR561" s="190">
        <f t="shared" si="184"/>
        <v>0</v>
      </c>
      <c r="AS561" s="190">
        <f t="shared" ca="1" si="185"/>
        <v>2.6915431718838419E-2</v>
      </c>
      <c r="AT561" s="190">
        <f t="shared" si="186"/>
        <v>0</v>
      </c>
      <c r="AU561" s="190">
        <f t="shared" si="187"/>
        <v>0</v>
      </c>
      <c r="AV561" s="190">
        <f t="shared" si="188"/>
        <v>0</v>
      </c>
      <c r="AW561" s="190">
        <f t="shared" si="189"/>
        <v>0</v>
      </c>
      <c r="AX561" s="190">
        <f t="shared" si="190"/>
        <v>0</v>
      </c>
      <c r="AY561"/>
      <c r="BD561"/>
      <c r="BE561"/>
      <c r="BF561"/>
      <c r="BG561"/>
      <c r="BH561"/>
      <c r="BK561" s="190"/>
      <c r="BL561" s="190"/>
      <c r="BM561" s="28"/>
      <c r="BP561" s="190"/>
    </row>
    <row r="562" spans="1:68" s="15" customFormat="1" x14ac:dyDescent="0.25">
      <c r="A562" s="155"/>
      <c r="B562" s="98" t="s">
        <v>554</v>
      </c>
      <c r="C562" s="98">
        <v>2014</v>
      </c>
      <c r="D562" s="98" t="s">
        <v>380</v>
      </c>
      <c r="E562" s="98" t="s">
        <v>12</v>
      </c>
      <c r="F562" s="98" t="s">
        <v>131</v>
      </c>
      <c r="G562" s="98">
        <v>6203.6799999999403</v>
      </c>
      <c r="H562" s="299" t="str">
        <f>VLOOKUP(LEFT('Rev Adequacy'!D562,3),'Mapping B'!$D$2:$E$400,2,0)</f>
        <v>S</v>
      </c>
      <c r="J562" t="s">
        <v>371</v>
      </c>
      <c r="K562" s="15" t="s">
        <v>4</v>
      </c>
      <c r="L562">
        <v>1.1159019978698299</v>
      </c>
      <c r="M562"/>
      <c r="N562"/>
      <c r="O562" s="15">
        <f>_xlfn.IFNA(IF(VLOOKUP($J562&amp;O$12,'Mapping A'!$A$6:$G$1011,7,0)=1,$L562,""),0)</f>
        <v>0</v>
      </c>
      <c r="P562" s="15">
        <f>_xlfn.IFNA(IF(VLOOKUP($J562&amp;P$12,'Mapping A'!$A$6:$G$1011,7,0)=1,$L562,""),0)</f>
        <v>0</v>
      </c>
      <c r="Q562" s="15">
        <f>_xlfn.IFNA(IF(VLOOKUP($J562&amp;Q$12,'Mapping A'!$A$6:$G$1011,7,0)=1,$L562,""),0)</f>
        <v>0</v>
      </c>
      <c r="R562" s="15">
        <f>_xlfn.IFNA(IF(VLOOKUP($J562&amp;R$12,'Mapping A'!$A$6:$G$1011,7,0)=1,$L562,""),0)</f>
        <v>0</v>
      </c>
      <c r="S562" s="15">
        <f>_xlfn.IFNA(IF(VLOOKUP($J562&amp;S$12,'Mapping A'!$A$6:$G$1011,7,0)=1,$L562,""),0)</f>
        <v>0</v>
      </c>
      <c r="T562" s="15">
        <f>_xlfn.IFNA(IF(VLOOKUP($J562&amp;T$12,'Mapping A'!$A$6:$G$1011,7,0)=1,$L562,""),0)</f>
        <v>0</v>
      </c>
      <c r="U562" s="15">
        <f>_xlfn.IFNA(IF(VLOOKUP($J562&amp;U$12,'Mapping A'!$A$6:$G$1011,7,0)=1,$L562,""),0)</f>
        <v>0</v>
      </c>
      <c r="V562" s="15">
        <f>_xlfn.IFNA(IF(VLOOKUP($J562&amp;V$12,'Mapping A'!$A$6:$G$1011,7,0)=1,$L562,""),0)</f>
        <v>1.1159019978698299</v>
      </c>
      <c r="W562" s="15">
        <f>_xlfn.IFNA(IF(VLOOKUP($J562&amp;W$12,'Mapping A'!$A$6:$G$1011,7,0)=1,$L562,""),0)</f>
        <v>0</v>
      </c>
      <c r="X562" s="15">
        <f>_xlfn.IFNA(IF(VLOOKUP($J562&amp;X$12,'Mapping A'!$A$6:$G$1011,7,0)=1,$L562,""),0)</f>
        <v>0</v>
      </c>
      <c r="Y562" s="15">
        <f>_xlfn.IFNA(IF(VLOOKUP($J562&amp;Y$12,'Mapping A'!$A$6:$G$1011,7,0)=1,$L562,""),0)</f>
        <v>0</v>
      </c>
      <c r="Z562" s="15">
        <f>_xlfn.IFNA(IF(VLOOKUP($J562&amp;Z$12,'Mapping A'!$A$6:$G$1011,7,0)=1,$L562,""),0)</f>
        <v>0</v>
      </c>
      <c r="AA562" s="15">
        <f>_xlfn.IFNA(IF(VLOOKUP($J562&amp;AA$12,'Mapping A'!$A$6:$G$1011,7,0)=1,$L562,""),0)</f>
        <v>0</v>
      </c>
      <c r="AB562"/>
      <c r="AC562"/>
      <c r="AD562"/>
      <c r="AE562"/>
      <c r="AF562" s="155" t="str">
        <f t="shared" si="177"/>
        <v>WHI2201 WHI0Contact</v>
      </c>
      <c r="AG562" s="15" t="s">
        <v>371</v>
      </c>
      <c r="AH562" s="15" t="s">
        <v>4</v>
      </c>
      <c r="AI562" s="15">
        <v>1.1159019978698299</v>
      </c>
      <c r="AJ562" s="292" t="s">
        <v>95</v>
      </c>
      <c r="AL562" s="15">
        <f t="shared" si="178"/>
        <v>0</v>
      </c>
      <c r="AM562" s="15">
        <f t="shared" si="179"/>
        <v>0</v>
      </c>
      <c r="AN562" s="15">
        <f t="shared" si="180"/>
        <v>0</v>
      </c>
      <c r="AO562" s="15">
        <f t="shared" si="181"/>
        <v>0</v>
      </c>
      <c r="AP562" s="15">
        <f t="shared" si="182"/>
        <v>0</v>
      </c>
      <c r="AQ562" s="190">
        <f t="shared" ca="1" si="183"/>
        <v>0</v>
      </c>
      <c r="AR562" s="190">
        <f t="shared" si="184"/>
        <v>0</v>
      </c>
      <c r="AS562" s="190">
        <f t="shared" ca="1" si="185"/>
        <v>1.4693609150911695E-4</v>
      </c>
      <c r="AT562" s="190">
        <f t="shared" si="186"/>
        <v>0</v>
      </c>
      <c r="AU562" s="190">
        <f t="shared" si="187"/>
        <v>0</v>
      </c>
      <c r="AV562" s="190">
        <f t="shared" si="188"/>
        <v>0</v>
      </c>
      <c r="AW562" s="190">
        <f t="shared" si="189"/>
        <v>0</v>
      </c>
      <c r="AX562" s="190">
        <f t="shared" si="190"/>
        <v>0</v>
      </c>
      <c r="BK562" s="190"/>
      <c r="BL562" s="190"/>
      <c r="BM562" s="28"/>
      <c r="BP562" s="190"/>
    </row>
    <row r="563" spans="1:68" x14ac:dyDescent="0.25">
      <c r="B563" s="98" t="s">
        <v>554</v>
      </c>
      <c r="C563" s="98">
        <v>2014</v>
      </c>
      <c r="D563" s="98" t="s">
        <v>381</v>
      </c>
      <c r="E563" s="98" t="s">
        <v>12</v>
      </c>
      <c r="F563" s="98" t="s">
        <v>131</v>
      </c>
      <c r="G563" s="98">
        <v>6556.1570000000602</v>
      </c>
      <c r="H563" s="299" t="str">
        <f>VLOOKUP(LEFT('Rev Adequacy'!D563,3),'Mapping B'!$D$2:$E$400,2,0)</f>
        <v>S</v>
      </c>
      <c r="J563" t="s">
        <v>376</v>
      </c>
      <c r="K563" s="15" t="s">
        <v>16</v>
      </c>
      <c r="L563">
        <v>879.21220382672504</v>
      </c>
      <c r="O563" s="15">
        <f>_xlfn.IFNA(IF(VLOOKUP($J563&amp;O$12,'Mapping A'!$A$6:$G$1011,7,0)=1,$L563,""),0)</f>
        <v>0</v>
      </c>
      <c r="P563" s="15">
        <f>_xlfn.IFNA(IF(VLOOKUP($J563&amp;P$12,'Mapping A'!$A$6:$G$1011,7,0)=1,$L563,""),0)</f>
        <v>0</v>
      </c>
      <c r="Q563" s="15">
        <f>_xlfn.IFNA(IF(VLOOKUP($J563&amp;Q$12,'Mapping A'!$A$6:$G$1011,7,0)=1,$L563,""),0)</f>
        <v>0</v>
      </c>
      <c r="R563" s="15">
        <f>_xlfn.IFNA(IF(VLOOKUP($J563&amp;R$12,'Mapping A'!$A$6:$G$1011,7,0)=1,$L563,""),0)</f>
        <v>0</v>
      </c>
      <c r="S563" s="15">
        <f>_xlfn.IFNA(IF(VLOOKUP($J563&amp;S$12,'Mapping A'!$A$6:$G$1011,7,0)=1,$L563,""),0)</f>
        <v>0</v>
      </c>
      <c r="T563" s="15">
        <f>_xlfn.IFNA(IF(VLOOKUP($J563&amp;T$12,'Mapping A'!$A$6:$G$1011,7,0)=1,$L563,""),0)</f>
        <v>879.21220382672504</v>
      </c>
      <c r="U563" s="15">
        <f>_xlfn.IFNA(IF(VLOOKUP($J563&amp;U$12,'Mapping A'!$A$6:$G$1011,7,0)=1,$L563,""),0)</f>
        <v>0</v>
      </c>
      <c r="V563" s="15">
        <f>_xlfn.IFNA(IF(VLOOKUP($J563&amp;V$12,'Mapping A'!$A$6:$G$1011,7,0)=1,$L563,""),0)</f>
        <v>879.21220382672504</v>
      </c>
      <c r="W563" s="15">
        <f>_xlfn.IFNA(IF(VLOOKUP($J563&amp;W$12,'Mapping A'!$A$6:$G$1011,7,0)=1,$L563,""),0)</f>
        <v>0</v>
      </c>
      <c r="X563" s="15">
        <f>_xlfn.IFNA(IF(VLOOKUP($J563&amp;X$12,'Mapping A'!$A$6:$G$1011,7,0)=1,$L563,""),0)</f>
        <v>0</v>
      </c>
      <c r="Y563" s="15">
        <f>_xlfn.IFNA(IF(VLOOKUP($J563&amp;Y$12,'Mapping A'!$A$6:$G$1011,7,0)=1,$L563,""),0)</f>
        <v>0</v>
      </c>
      <c r="Z563" s="15">
        <f>_xlfn.IFNA(IF(VLOOKUP($J563&amp;Z$12,'Mapping A'!$A$6:$G$1011,7,0)=1,$L563,""),0)</f>
        <v>0</v>
      </c>
      <c r="AA563" s="15">
        <f>_xlfn.IFNA(IF(VLOOKUP($J563&amp;AA$12,'Mapping A'!$A$6:$G$1011,7,0)=1,$L563,""),0)</f>
        <v>0</v>
      </c>
      <c r="AF563" s="155" t="str">
        <f t="shared" si="177"/>
        <v>WKM2201 MOK0Mokai JV</v>
      </c>
      <c r="AG563" s="15" t="s">
        <v>376</v>
      </c>
      <c r="AH563" s="15" t="s">
        <v>16</v>
      </c>
      <c r="AI563" s="15">
        <v>879.21220382672504</v>
      </c>
      <c r="AJ563" s="292" t="s">
        <v>95</v>
      </c>
      <c r="AK563" s="15"/>
      <c r="AL563" s="15">
        <f t="shared" si="178"/>
        <v>0</v>
      </c>
      <c r="AM563" s="15">
        <f t="shared" si="179"/>
        <v>0</v>
      </c>
      <c r="AN563" s="15">
        <f t="shared" si="180"/>
        <v>0</v>
      </c>
      <c r="AO563" s="15">
        <f t="shared" si="181"/>
        <v>0</v>
      </c>
      <c r="AP563" s="15">
        <f t="shared" si="182"/>
        <v>0</v>
      </c>
      <c r="AQ563" s="190">
        <f t="shared" ca="1" si="183"/>
        <v>0</v>
      </c>
      <c r="AR563" s="190">
        <f t="shared" si="184"/>
        <v>0</v>
      </c>
      <c r="AS563" s="190">
        <f t="shared" ca="1" si="185"/>
        <v>0.11577002737160245</v>
      </c>
      <c r="AT563" s="190">
        <f t="shared" si="186"/>
        <v>0</v>
      </c>
      <c r="AU563" s="190">
        <f t="shared" si="187"/>
        <v>0</v>
      </c>
      <c r="AV563" s="190">
        <f t="shared" si="188"/>
        <v>0</v>
      </c>
      <c r="AW563" s="190">
        <f t="shared" si="189"/>
        <v>0</v>
      </c>
      <c r="AX563" s="190">
        <f t="shared" si="190"/>
        <v>0</v>
      </c>
      <c r="AY563" s="15"/>
      <c r="AZ563" s="15"/>
      <c r="BD563" s="15"/>
      <c r="BE563" s="15"/>
      <c r="BF563" s="15"/>
      <c r="BG563" s="15"/>
      <c r="BH563" s="15"/>
      <c r="BP563" s="190"/>
    </row>
    <row r="564" spans="1:68" x14ac:dyDescent="0.25">
      <c r="B564" s="98" t="s">
        <v>563</v>
      </c>
      <c r="C564" s="98">
        <v>2014</v>
      </c>
      <c r="D564" s="98" t="s">
        <v>175</v>
      </c>
      <c r="E564" s="98" t="s">
        <v>12</v>
      </c>
      <c r="F564" s="98" t="s">
        <v>131</v>
      </c>
      <c r="G564" s="98">
        <v>148252.73599999899</v>
      </c>
      <c r="H564" s="299" t="str">
        <f>VLOOKUP(LEFT('Rev Adequacy'!D564,3),'Mapping B'!$D$2:$E$400,2,0)</f>
        <v>S</v>
      </c>
      <c r="J564" t="s">
        <v>377</v>
      </c>
      <c r="K564" s="15" t="s">
        <v>17</v>
      </c>
      <c r="L564">
        <v>416.63007589362098</v>
      </c>
      <c r="O564" s="15">
        <f>_xlfn.IFNA(IF(VLOOKUP($J564&amp;O$12,'Mapping A'!$A$6:$G$1011,7,0)=1,$L564,""),0)</f>
        <v>0</v>
      </c>
      <c r="P564" s="15">
        <f>_xlfn.IFNA(IF(VLOOKUP($J564&amp;P$12,'Mapping A'!$A$6:$G$1011,7,0)=1,$L564,""),0)</f>
        <v>0</v>
      </c>
      <c r="Q564" s="15">
        <f>_xlfn.IFNA(IF(VLOOKUP($J564&amp;Q$12,'Mapping A'!$A$6:$G$1011,7,0)=1,$L564,""),0)</f>
        <v>0</v>
      </c>
      <c r="R564" s="15">
        <f>_xlfn.IFNA(IF(VLOOKUP($J564&amp;R$12,'Mapping A'!$A$6:$G$1011,7,0)=1,$L564,""),0)</f>
        <v>0</v>
      </c>
      <c r="S564" s="15">
        <f>_xlfn.IFNA(IF(VLOOKUP($J564&amp;S$12,'Mapping A'!$A$6:$G$1011,7,0)=1,$L564,""),0)</f>
        <v>0</v>
      </c>
      <c r="T564" s="15">
        <f>_xlfn.IFNA(IF(VLOOKUP($J564&amp;T$12,'Mapping A'!$A$6:$G$1011,7,0)=1,$L564,""),0)</f>
        <v>0</v>
      </c>
      <c r="U564" s="15">
        <f>_xlfn.IFNA(IF(VLOOKUP($J564&amp;U$12,'Mapping A'!$A$6:$G$1011,7,0)=1,$L564,""),0)</f>
        <v>0</v>
      </c>
      <c r="V564" s="15">
        <f>_xlfn.IFNA(IF(VLOOKUP($J564&amp;V$12,'Mapping A'!$A$6:$G$1011,7,0)=1,$L564,""),0)</f>
        <v>416.63007589362098</v>
      </c>
      <c r="W564" s="15">
        <f>_xlfn.IFNA(IF(VLOOKUP($J564&amp;W$12,'Mapping A'!$A$6:$G$1011,7,0)=1,$L564,""),0)</f>
        <v>0</v>
      </c>
      <c r="X564" s="15">
        <f>_xlfn.IFNA(IF(VLOOKUP($J564&amp;X$12,'Mapping A'!$A$6:$G$1011,7,0)=1,$L564,""),0)</f>
        <v>0</v>
      </c>
      <c r="Y564" s="15">
        <f>_xlfn.IFNA(IF(VLOOKUP($J564&amp;Y$12,'Mapping A'!$A$6:$G$1011,7,0)=1,$L564,""),0)</f>
        <v>0</v>
      </c>
      <c r="Z564" s="15">
        <f>_xlfn.IFNA(IF(VLOOKUP($J564&amp;Z$12,'Mapping A'!$A$6:$G$1011,7,0)=1,$L564,""),0)</f>
        <v>0</v>
      </c>
      <c r="AA564" s="15">
        <f>_xlfn.IFNA(IF(VLOOKUP($J564&amp;AA$12,'Mapping A'!$A$6:$G$1011,7,0)=1,$L564,""),0)</f>
        <v>0</v>
      </c>
      <c r="AF564" s="155" t="str">
        <f t="shared" si="177"/>
        <v>WKM2201 WKM0MRP</v>
      </c>
      <c r="AG564" s="15" t="s">
        <v>377</v>
      </c>
      <c r="AH564" s="15" t="s">
        <v>17</v>
      </c>
      <c r="AI564" s="15">
        <v>416.63007589362098</v>
      </c>
      <c r="AJ564" s="292" t="s">
        <v>95</v>
      </c>
      <c r="AK564" s="15"/>
      <c r="AL564" s="15">
        <f t="shared" si="178"/>
        <v>0</v>
      </c>
      <c r="AM564" s="15">
        <f t="shared" si="179"/>
        <v>0</v>
      </c>
      <c r="AN564" s="15">
        <f t="shared" si="180"/>
        <v>0</v>
      </c>
      <c r="AO564" s="15">
        <f t="shared" si="181"/>
        <v>0</v>
      </c>
      <c r="AP564" s="15">
        <f t="shared" si="182"/>
        <v>0</v>
      </c>
      <c r="AQ564" s="190">
        <f t="shared" ca="1" si="183"/>
        <v>0</v>
      </c>
      <c r="AR564" s="190">
        <f t="shared" si="184"/>
        <v>0</v>
      </c>
      <c r="AS564" s="190">
        <f t="shared" ca="1" si="185"/>
        <v>5.4859651720147312E-2</v>
      </c>
      <c r="AT564" s="190">
        <f t="shared" si="186"/>
        <v>0</v>
      </c>
      <c r="AU564" s="190">
        <f t="shared" si="187"/>
        <v>0</v>
      </c>
      <c r="AV564" s="190">
        <f t="shared" si="188"/>
        <v>0</v>
      </c>
      <c r="AW564" s="190">
        <f t="shared" si="189"/>
        <v>0</v>
      </c>
      <c r="AX564" s="190">
        <f t="shared" si="190"/>
        <v>0</v>
      </c>
      <c r="AZ564" s="15"/>
      <c r="BP564" s="190"/>
    </row>
    <row r="565" spans="1:68" x14ac:dyDescent="0.25">
      <c r="B565" s="98" t="s">
        <v>563</v>
      </c>
      <c r="C565" s="98">
        <v>2014</v>
      </c>
      <c r="D565" s="98" t="s">
        <v>176</v>
      </c>
      <c r="E565" s="98" t="s">
        <v>12</v>
      </c>
      <c r="F565" s="98" t="s">
        <v>131</v>
      </c>
      <c r="G565" s="98">
        <v>69563.823999999993</v>
      </c>
      <c r="H565" s="299" t="str">
        <f>VLOOKUP(LEFT('Rev Adequacy'!D565,3),'Mapping B'!$D$2:$E$400,2,0)</f>
        <v>S</v>
      </c>
      <c r="J565" t="s">
        <v>379</v>
      </c>
      <c r="K565" s="15" t="s">
        <v>17</v>
      </c>
      <c r="L565">
        <v>198.959324010644</v>
      </c>
      <c r="O565" s="15">
        <f>_xlfn.IFNA(IF(VLOOKUP($J565&amp;O$12,'Mapping A'!$A$6:$G$1011,7,0)=1,$L565,""),0)</f>
        <v>0</v>
      </c>
      <c r="P565" s="15">
        <f>_xlfn.IFNA(IF(VLOOKUP($J565&amp;P$12,'Mapping A'!$A$6:$G$1011,7,0)=1,$L565,""),0)</f>
        <v>0</v>
      </c>
      <c r="Q565" s="15">
        <f>_xlfn.IFNA(IF(VLOOKUP($J565&amp;Q$12,'Mapping A'!$A$6:$G$1011,7,0)=1,$L565,""),0)</f>
        <v>0</v>
      </c>
      <c r="R565" s="15">
        <f>_xlfn.IFNA(IF(VLOOKUP($J565&amp;R$12,'Mapping A'!$A$6:$G$1011,7,0)=1,$L565,""),0)</f>
        <v>0</v>
      </c>
      <c r="S565" s="15">
        <f>_xlfn.IFNA(IF(VLOOKUP($J565&amp;S$12,'Mapping A'!$A$6:$G$1011,7,0)=1,$L565,""),0)</f>
        <v>0</v>
      </c>
      <c r="T565" s="15">
        <f>_xlfn.IFNA(IF(VLOOKUP($J565&amp;T$12,'Mapping A'!$A$6:$G$1011,7,0)=1,$L565,""),0)</f>
        <v>0</v>
      </c>
      <c r="U565" s="15">
        <f>_xlfn.IFNA(IF(VLOOKUP($J565&amp;U$12,'Mapping A'!$A$6:$G$1011,7,0)=1,$L565,""),0)</f>
        <v>0</v>
      </c>
      <c r="V565" s="15">
        <f>_xlfn.IFNA(IF(VLOOKUP($J565&amp;V$12,'Mapping A'!$A$6:$G$1011,7,0)=1,$L565,""),0)</f>
        <v>198.959324010644</v>
      </c>
      <c r="W565" s="15">
        <f>_xlfn.IFNA(IF(VLOOKUP($J565&amp;W$12,'Mapping A'!$A$6:$G$1011,7,0)=1,$L565,""),0)</f>
        <v>0</v>
      </c>
      <c r="X565" s="15">
        <f>_xlfn.IFNA(IF(VLOOKUP($J565&amp;X$12,'Mapping A'!$A$6:$G$1011,7,0)=1,$L565,""),0)</f>
        <v>0</v>
      </c>
      <c r="Y565" s="15">
        <f>_xlfn.IFNA(IF(VLOOKUP($J565&amp;Y$12,'Mapping A'!$A$6:$G$1011,7,0)=1,$L565,""),0)</f>
        <v>0</v>
      </c>
      <c r="Z565" s="15">
        <f>_xlfn.IFNA(IF(VLOOKUP($J565&amp;Z$12,'Mapping A'!$A$6:$G$1011,7,0)=1,$L565,""),0)</f>
        <v>0</v>
      </c>
      <c r="AA565" s="15">
        <f>_xlfn.IFNA(IF(VLOOKUP($J565&amp;AA$12,'Mapping A'!$A$6:$G$1011,7,0)=1,$L565,""),0)</f>
        <v>0</v>
      </c>
      <c r="AF565" s="155" t="str">
        <f t="shared" si="177"/>
        <v>WPA2201 WPA0MRP</v>
      </c>
      <c r="AG565" s="15" t="s">
        <v>379</v>
      </c>
      <c r="AH565" s="15" t="s">
        <v>17</v>
      </c>
      <c r="AI565" s="15">
        <v>198.959324010644</v>
      </c>
      <c r="AJ565" s="292" t="s">
        <v>95</v>
      </c>
      <c r="AK565" s="15"/>
      <c r="AL565" s="15">
        <f t="shared" si="178"/>
        <v>0</v>
      </c>
      <c r="AM565" s="15">
        <f t="shared" si="179"/>
        <v>0</v>
      </c>
      <c r="AN565" s="15">
        <f t="shared" si="180"/>
        <v>0</v>
      </c>
      <c r="AO565" s="15">
        <f t="shared" si="181"/>
        <v>0</v>
      </c>
      <c r="AP565" s="15">
        <f t="shared" si="182"/>
        <v>0</v>
      </c>
      <c r="AQ565" s="190">
        <f t="shared" ca="1" si="183"/>
        <v>0</v>
      </c>
      <c r="AR565" s="190">
        <f t="shared" si="184"/>
        <v>0</v>
      </c>
      <c r="AS565" s="190">
        <f t="shared" ca="1" si="185"/>
        <v>2.6197914776768975E-2</v>
      </c>
      <c r="AT565" s="190">
        <f t="shared" si="186"/>
        <v>0</v>
      </c>
      <c r="AU565" s="190">
        <f t="shared" si="187"/>
        <v>0</v>
      </c>
      <c r="AV565" s="190">
        <f t="shared" si="188"/>
        <v>0</v>
      </c>
      <c r="AW565" s="190">
        <f t="shared" si="189"/>
        <v>0</v>
      </c>
      <c r="AX565" s="190">
        <f t="shared" si="190"/>
        <v>0</v>
      </c>
      <c r="AZ565" s="15"/>
      <c r="BP565" s="190"/>
    </row>
    <row r="566" spans="1:68" x14ac:dyDescent="0.25">
      <c r="B566" s="98" t="s">
        <v>563</v>
      </c>
      <c r="C566" s="98">
        <v>2014</v>
      </c>
      <c r="D566" s="98" t="s">
        <v>227</v>
      </c>
      <c r="E566" s="98" t="s">
        <v>12</v>
      </c>
      <c r="F566" s="98" t="s">
        <v>131</v>
      </c>
      <c r="G566" s="98">
        <v>257400.478999999</v>
      </c>
      <c r="H566" s="299" t="str">
        <f>VLOOKUP(LEFT('Rev Adequacy'!D566,3),'Mapping B'!$D$2:$E$400,2,0)</f>
        <v>S</v>
      </c>
      <c r="J566" t="s">
        <v>386</v>
      </c>
      <c r="K566" s="15" t="s">
        <v>17</v>
      </c>
      <c r="L566">
        <v>168.20010391317999</v>
      </c>
      <c r="O566" s="15">
        <f>_xlfn.IFNA(IF(VLOOKUP($J566&amp;O$12,'Mapping A'!$A$6:$G$1011,7,0)=1,$L566,""),0)</f>
        <v>0</v>
      </c>
      <c r="P566" s="15">
        <f>_xlfn.IFNA(IF(VLOOKUP($J566&amp;P$12,'Mapping A'!$A$6:$G$1011,7,0)=1,$L566,""),0)</f>
        <v>0</v>
      </c>
      <c r="Q566" s="15">
        <f>_xlfn.IFNA(IF(VLOOKUP($J566&amp;Q$12,'Mapping A'!$A$6:$G$1011,7,0)=1,$L566,""),0)</f>
        <v>0</v>
      </c>
      <c r="R566" s="15">
        <f>_xlfn.IFNA(IF(VLOOKUP($J566&amp;R$12,'Mapping A'!$A$6:$G$1011,7,0)=1,$L566,""),0)</f>
        <v>0</v>
      </c>
      <c r="S566" s="15">
        <f>_xlfn.IFNA(IF(VLOOKUP($J566&amp;S$12,'Mapping A'!$A$6:$G$1011,7,0)=1,$L566,""),0)</f>
        <v>0</v>
      </c>
      <c r="T566" s="15">
        <f>_xlfn.IFNA(IF(VLOOKUP($J566&amp;T$12,'Mapping A'!$A$6:$G$1011,7,0)=1,$L566,""),0)</f>
        <v>168.20010391317999</v>
      </c>
      <c r="U566" s="15">
        <f>_xlfn.IFNA(IF(VLOOKUP($J566&amp;U$12,'Mapping A'!$A$6:$G$1011,7,0)=1,$L566,""),0)</f>
        <v>0</v>
      </c>
      <c r="V566" s="15">
        <f>_xlfn.IFNA(IF(VLOOKUP($J566&amp;V$12,'Mapping A'!$A$6:$G$1011,7,0)=1,$L566,""),0)</f>
        <v>168.20010391317999</v>
      </c>
      <c r="W566" s="15">
        <f>_xlfn.IFNA(IF(VLOOKUP($J566&amp;W$12,'Mapping A'!$A$6:$G$1011,7,0)=1,$L566,""),0)</f>
        <v>0</v>
      </c>
      <c r="X566" s="15">
        <f>_xlfn.IFNA(IF(VLOOKUP($J566&amp;X$12,'Mapping A'!$A$6:$G$1011,7,0)=1,$L566,""),0)</f>
        <v>0</v>
      </c>
      <c r="Y566" s="15">
        <f>_xlfn.IFNA(IF(VLOOKUP($J566&amp;Y$12,'Mapping A'!$A$6:$G$1011,7,0)=1,$L566,""),0)</f>
        <v>0</v>
      </c>
      <c r="Z566" s="15">
        <f>_xlfn.IFNA(IF(VLOOKUP($J566&amp;Z$12,'Mapping A'!$A$6:$G$1011,7,0)=1,$L566,""),0)</f>
        <v>0</v>
      </c>
      <c r="AA566" s="15">
        <f>_xlfn.IFNA(IF(VLOOKUP($J566&amp;AA$12,'Mapping A'!$A$6:$G$1011,7,0)=1,$L566,""),0)</f>
        <v>0</v>
      </c>
      <c r="AF566" s="155" t="str">
        <f t="shared" si="177"/>
        <v>WRK0331 RKA0MRP</v>
      </c>
      <c r="AG566" s="15" t="s">
        <v>386</v>
      </c>
      <c r="AH566" s="15" t="s">
        <v>17</v>
      </c>
      <c r="AI566" s="15">
        <v>168.20010391317999</v>
      </c>
      <c r="AJ566" s="292" t="s">
        <v>95</v>
      </c>
      <c r="AK566" s="15"/>
      <c r="AL566" s="15">
        <f t="shared" si="178"/>
        <v>0</v>
      </c>
      <c r="AM566" s="15">
        <f t="shared" si="179"/>
        <v>0</v>
      </c>
      <c r="AN566" s="15">
        <f t="shared" si="180"/>
        <v>0</v>
      </c>
      <c r="AO566" s="15">
        <f t="shared" si="181"/>
        <v>0</v>
      </c>
      <c r="AP566" s="15">
        <f t="shared" si="182"/>
        <v>0</v>
      </c>
      <c r="AQ566" s="190">
        <f t="shared" ca="1" si="183"/>
        <v>0</v>
      </c>
      <c r="AR566" s="190">
        <f t="shared" si="184"/>
        <v>0</v>
      </c>
      <c r="AS566" s="190">
        <f t="shared" ca="1" si="185"/>
        <v>2.2147702851691608E-2</v>
      </c>
      <c r="AT566" s="190">
        <f t="shared" si="186"/>
        <v>0</v>
      </c>
      <c r="AU566" s="190">
        <f t="shared" si="187"/>
        <v>0</v>
      </c>
      <c r="AV566" s="190">
        <f t="shared" si="188"/>
        <v>0</v>
      </c>
      <c r="AW566" s="190">
        <f t="shared" si="189"/>
        <v>0</v>
      </c>
      <c r="AX566" s="190">
        <f t="shared" si="190"/>
        <v>0</v>
      </c>
      <c r="AZ566" s="15"/>
      <c r="BP566" s="190"/>
    </row>
    <row r="567" spans="1:68" x14ac:dyDescent="0.25">
      <c r="B567" s="98" t="s">
        <v>563</v>
      </c>
      <c r="C567" s="98">
        <v>2014</v>
      </c>
      <c r="D567" s="98" t="s">
        <v>318</v>
      </c>
      <c r="E567" s="98" t="s">
        <v>12</v>
      </c>
      <c r="F567" s="98" t="s">
        <v>131</v>
      </c>
      <c r="G567" s="98">
        <v>467239.136999999</v>
      </c>
      <c r="H567" s="299" t="str">
        <f>VLOOKUP(LEFT('Rev Adequacy'!D567,3),'Mapping B'!$D$2:$E$400,2,0)</f>
        <v>S</v>
      </c>
      <c r="J567" t="s">
        <v>387</v>
      </c>
      <c r="K567" s="15" t="s">
        <v>4</v>
      </c>
      <c r="L567">
        <v>208.63448443675</v>
      </c>
      <c r="O567" s="15">
        <f>_xlfn.IFNA(IF(VLOOKUP($J567&amp;O$12,'Mapping A'!$A$6:$G$1011,7,0)=1,$L567,""),0)</f>
        <v>0</v>
      </c>
      <c r="P567" s="15">
        <f>_xlfn.IFNA(IF(VLOOKUP($J567&amp;P$12,'Mapping A'!$A$6:$G$1011,7,0)=1,$L567,""),0)</f>
        <v>0</v>
      </c>
      <c r="Q567" s="15">
        <f>_xlfn.IFNA(IF(VLOOKUP($J567&amp;Q$12,'Mapping A'!$A$6:$G$1011,7,0)=1,$L567,""),0)</f>
        <v>0</v>
      </c>
      <c r="R567" s="15">
        <f>_xlfn.IFNA(IF(VLOOKUP($J567&amp;R$12,'Mapping A'!$A$6:$G$1011,7,0)=1,$L567,""),0)</f>
        <v>0</v>
      </c>
      <c r="S567" s="15">
        <f>_xlfn.IFNA(IF(VLOOKUP($J567&amp;S$12,'Mapping A'!$A$6:$G$1011,7,0)=1,$L567,""),0)</f>
        <v>0</v>
      </c>
      <c r="T567" s="15">
        <f>_xlfn.IFNA(IF(VLOOKUP($J567&amp;T$12,'Mapping A'!$A$6:$G$1011,7,0)=1,$L567,""),0)</f>
        <v>208.63448443675</v>
      </c>
      <c r="U567" s="15">
        <f>_xlfn.IFNA(IF(VLOOKUP($J567&amp;U$12,'Mapping A'!$A$6:$G$1011,7,0)=1,$L567,""),0)</f>
        <v>0</v>
      </c>
      <c r="V567" s="15">
        <f>_xlfn.IFNA(IF(VLOOKUP($J567&amp;V$12,'Mapping A'!$A$6:$G$1011,7,0)=1,$L567,""),0)</f>
        <v>208.63448443675</v>
      </c>
      <c r="W567" s="15">
        <f>_xlfn.IFNA(IF(VLOOKUP($J567&amp;W$12,'Mapping A'!$A$6:$G$1011,7,0)=1,$L567,""),0)</f>
        <v>0</v>
      </c>
      <c r="X567" s="15">
        <f>_xlfn.IFNA(IF(VLOOKUP($J567&amp;X$12,'Mapping A'!$A$6:$G$1011,7,0)=1,$L567,""),0)</f>
        <v>0</v>
      </c>
      <c r="Y567" s="15">
        <f>_xlfn.IFNA(IF(VLOOKUP($J567&amp;Y$12,'Mapping A'!$A$6:$G$1011,7,0)=1,$L567,""),0)</f>
        <v>0</v>
      </c>
      <c r="Z567" s="15">
        <f>_xlfn.IFNA(IF(VLOOKUP($J567&amp;Z$12,'Mapping A'!$A$6:$G$1011,7,0)=1,$L567,""),0)</f>
        <v>0</v>
      </c>
      <c r="AA567" s="15">
        <f>_xlfn.IFNA(IF(VLOOKUP($J567&amp;AA$12,'Mapping A'!$A$6:$G$1011,7,0)=1,$L567,""),0)</f>
        <v>0</v>
      </c>
      <c r="AF567" s="155" t="str">
        <f t="shared" si="177"/>
        <v>WRK0331 TAA0Contact</v>
      </c>
      <c r="AG567" s="15" t="s">
        <v>387</v>
      </c>
      <c r="AH567" s="15" t="s">
        <v>4</v>
      </c>
      <c r="AI567" s="15">
        <v>208.63448443675</v>
      </c>
      <c r="AJ567" s="292" t="s">
        <v>95</v>
      </c>
      <c r="AK567" s="15"/>
      <c r="AL567" s="15">
        <f t="shared" si="178"/>
        <v>0</v>
      </c>
      <c r="AM567" s="15">
        <f t="shared" si="179"/>
        <v>0</v>
      </c>
      <c r="AN567" s="15">
        <f t="shared" si="180"/>
        <v>0</v>
      </c>
      <c r="AO567" s="15">
        <f t="shared" si="181"/>
        <v>0</v>
      </c>
      <c r="AP567" s="15">
        <f t="shared" si="182"/>
        <v>0</v>
      </c>
      <c r="AQ567" s="190">
        <f t="shared" ca="1" si="183"/>
        <v>0</v>
      </c>
      <c r="AR567" s="190">
        <f t="shared" si="184"/>
        <v>0</v>
      </c>
      <c r="AS567" s="190">
        <f t="shared" ca="1" si="185"/>
        <v>2.7471888889593826E-2</v>
      </c>
      <c r="AT567" s="190">
        <f t="shared" si="186"/>
        <v>0</v>
      </c>
      <c r="AU567" s="190">
        <f t="shared" si="187"/>
        <v>0</v>
      </c>
      <c r="AV567" s="190">
        <f t="shared" si="188"/>
        <v>0</v>
      </c>
      <c r="AW567" s="190">
        <f t="shared" si="189"/>
        <v>0</v>
      </c>
      <c r="AX567" s="190">
        <f t="shared" si="190"/>
        <v>0</v>
      </c>
      <c r="AZ567" s="15"/>
      <c r="BP567" s="190"/>
    </row>
    <row r="568" spans="1:68" x14ac:dyDescent="0.25">
      <c r="B568" s="98" t="s">
        <v>563</v>
      </c>
      <c r="C568" s="98">
        <v>2014</v>
      </c>
      <c r="D568" s="98" t="s">
        <v>380</v>
      </c>
      <c r="E568" s="98" t="s">
        <v>12</v>
      </c>
      <c r="F568" s="98" t="s">
        <v>131</v>
      </c>
      <c r="G568" s="98">
        <v>77349.856</v>
      </c>
      <c r="H568" s="299" t="str">
        <f>VLOOKUP(LEFT('Rev Adequacy'!D568,3),'Mapping B'!$D$2:$E$400,2,0)</f>
        <v>S</v>
      </c>
      <c r="J568" t="s">
        <v>388</v>
      </c>
      <c r="K568" s="15" t="s">
        <v>4</v>
      </c>
      <c r="L568">
        <v>1152.35422760915</v>
      </c>
      <c r="O568" s="15">
        <f>_xlfn.IFNA(IF(VLOOKUP($J568&amp;O$12,'Mapping A'!$A$6:$G$1011,7,0)=1,$L568,""),0)</f>
        <v>0</v>
      </c>
      <c r="P568" s="15">
        <f>_xlfn.IFNA(IF(VLOOKUP($J568&amp;P$12,'Mapping A'!$A$6:$G$1011,7,0)=1,$L568,""),0)</f>
        <v>0</v>
      </c>
      <c r="Q568" s="15">
        <f>_xlfn.IFNA(IF(VLOOKUP($J568&amp;Q$12,'Mapping A'!$A$6:$G$1011,7,0)=1,$L568,""),0)</f>
        <v>0</v>
      </c>
      <c r="R568" s="15">
        <f>_xlfn.IFNA(IF(VLOOKUP($J568&amp;R$12,'Mapping A'!$A$6:$G$1011,7,0)=1,$L568,""),0)</f>
        <v>0</v>
      </c>
      <c r="S568" s="15">
        <f>_xlfn.IFNA(IF(VLOOKUP($J568&amp;S$12,'Mapping A'!$A$6:$G$1011,7,0)=1,$L568,""),0)</f>
        <v>0</v>
      </c>
      <c r="T568" s="15">
        <f>_xlfn.IFNA(IF(VLOOKUP($J568&amp;T$12,'Mapping A'!$A$6:$G$1011,7,0)=1,$L568,""),0)</f>
        <v>1152.35422760915</v>
      </c>
      <c r="U568" s="15">
        <f>_xlfn.IFNA(IF(VLOOKUP($J568&amp;U$12,'Mapping A'!$A$6:$G$1011,7,0)=1,$L568,""),0)</f>
        <v>0</v>
      </c>
      <c r="V568" s="15">
        <f>_xlfn.IFNA(IF(VLOOKUP($J568&amp;V$12,'Mapping A'!$A$6:$G$1011,7,0)=1,$L568,""),0)</f>
        <v>1152.35422760915</v>
      </c>
      <c r="W568" s="15">
        <f>_xlfn.IFNA(IF(VLOOKUP($J568&amp;W$12,'Mapping A'!$A$6:$G$1011,7,0)=1,$L568,""),0)</f>
        <v>0</v>
      </c>
      <c r="X568" s="15">
        <f>_xlfn.IFNA(IF(VLOOKUP($J568&amp;X$12,'Mapping A'!$A$6:$G$1011,7,0)=1,$L568,""),0)</f>
        <v>0</v>
      </c>
      <c r="Y568" s="15">
        <f>_xlfn.IFNA(IF(VLOOKUP($J568&amp;Y$12,'Mapping A'!$A$6:$G$1011,7,0)=1,$L568,""),0)</f>
        <v>0</v>
      </c>
      <c r="Z568" s="15">
        <f>_xlfn.IFNA(IF(VLOOKUP($J568&amp;Z$12,'Mapping A'!$A$6:$G$1011,7,0)=1,$L568,""),0)</f>
        <v>0</v>
      </c>
      <c r="AA568" s="15">
        <f>_xlfn.IFNA(IF(VLOOKUP($J568&amp;AA$12,'Mapping A'!$A$6:$G$1011,7,0)=1,$L568,""),0)</f>
        <v>0</v>
      </c>
      <c r="AF568" s="155" t="str">
        <f t="shared" si="177"/>
        <v>WRK2201 WRK0Contact</v>
      </c>
      <c r="AG568" s="15" t="s">
        <v>388</v>
      </c>
      <c r="AH568" s="15" t="s">
        <v>4</v>
      </c>
      <c r="AI568" s="15">
        <v>1152.35422760915</v>
      </c>
      <c r="AJ568" s="292" t="s">
        <v>95</v>
      </c>
      <c r="AK568" s="15"/>
      <c r="AL568" s="15">
        <f t="shared" si="178"/>
        <v>0</v>
      </c>
      <c r="AM568" s="15">
        <f t="shared" si="179"/>
        <v>0</v>
      </c>
      <c r="AN568" s="15">
        <f t="shared" si="180"/>
        <v>0</v>
      </c>
      <c r="AO568" s="15">
        <f t="shared" si="181"/>
        <v>0</v>
      </c>
      <c r="AP568" s="15">
        <f t="shared" si="182"/>
        <v>0</v>
      </c>
      <c r="AQ568" s="190">
        <f t="shared" ca="1" si="183"/>
        <v>0</v>
      </c>
      <c r="AR568" s="190">
        <f t="shared" si="184"/>
        <v>0</v>
      </c>
      <c r="AS568" s="190">
        <f t="shared" ca="1" si="185"/>
        <v>0.15173592892755744</v>
      </c>
      <c r="AT568" s="190">
        <f t="shared" si="186"/>
        <v>0</v>
      </c>
      <c r="AU568" s="190">
        <f t="shared" si="187"/>
        <v>0</v>
      </c>
      <c r="AV568" s="190">
        <f t="shared" si="188"/>
        <v>0</v>
      </c>
      <c r="AW568" s="190">
        <f t="shared" si="189"/>
        <v>0</v>
      </c>
      <c r="AX568" s="190">
        <f t="shared" si="190"/>
        <v>0</v>
      </c>
      <c r="AZ568" s="15"/>
      <c r="BP568" s="190"/>
    </row>
    <row r="569" spans="1:68" x14ac:dyDescent="0.25">
      <c r="B569" s="98" t="s">
        <v>563</v>
      </c>
      <c r="C569" s="98">
        <v>2014</v>
      </c>
      <c r="D569" s="98" t="s">
        <v>381</v>
      </c>
      <c r="E569" s="98" t="s">
        <v>12</v>
      </c>
      <c r="F569" s="98" t="s">
        <v>131</v>
      </c>
      <c r="G569" s="98">
        <v>50509.669999999802</v>
      </c>
      <c r="H569" s="299" t="str">
        <f>VLOOKUP(LEFT('Rev Adequacy'!D569,3),'Mapping B'!$D$2:$E$400,2,0)</f>
        <v>S</v>
      </c>
      <c r="J569" t="s">
        <v>390</v>
      </c>
      <c r="K569" s="15" t="s">
        <v>14</v>
      </c>
      <c r="L569">
        <v>550.33508910179103</v>
      </c>
      <c r="O569" s="15">
        <f>_xlfn.IFNA(IF(VLOOKUP($J569&amp;O$12,'Mapping A'!$A$6:$G$1011,7,0)=1,$L569,""),0)</f>
        <v>0</v>
      </c>
      <c r="P569" s="15">
        <f>_xlfn.IFNA(IF(VLOOKUP($J569&amp;P$12,'Mapping A'!$A$6:$G$1011,7,0)=1,$L569,""),0)</f>
        <v>0</v>
      </c>
      <c r="Q569" s="15">
        <f>_xlfn.IFNA(IF(VLOOKUP($J569&amp;Q$12,'Mapping A'!$A$6:$G$1011,7,0)=1,$L569,""),0)</f>
        <v>0</v>
      </c>
      <c r="R569" s="15">
        <f>_xlfn.IFNA(IF(VLOOKUP($J569&amp;R$12,'Mapping A'!$A$6:$G$1011,7,0)=1,$L569,""),0)</f>
        <v>0</v>
      </c>
      <c r="S569" s="15">
        <f>_xlfn.IFNA(IF(VLOOKUP($J569&amp;S$12,'Mapping A'!$A$6:$G$1011,7,0)=1,$L569,""),0)</f>
        <v>0</v>
      </c>
      <c r="T569" s="15">
        <f>_xlfn.IFNA(IF(VLOOKUP($J569&amp;T$12,'Mapping A'!$A$6:$G$1011,7,0)=1,$L569,""),0)</f>
        <v>0</v>
      </c>
      <c r="U569" s="15">
        <f>_xlfn.IFNA(IF(VLOOKUP($J569&amp;U$12,'Mapping A'!$A$6:$G$1011,7,0)=1,$L569,""),0)</f>
        <v>0</v>
      </c>
      <c r="V569" s="15">
        <f>_xlfn.IFNA(IF(VLOOKUP($J569&amp;V$12,'Mapping A'!$A$6:$G$1011,7,0)=1,$L569,""),0)</f>
        <v>0</v>
      </c>
      <c r="W569" s="15">
        <f>_xlfn.IFNA(IF(VLOOKUP($J569&amp;W$12,'Mapping A'!$A$6:$G$1011,7,0)=1,$L569,""),0)</f>
        <v>0</v>
      </c>
      <c r="X569" s="15">
        <f>_xlfn.IFNA(IF(VLOOKUP($J569&amp;X$12,'Mapping A'!$A$6:$G$1011,7,0)=1,$L569,""),0)</f>
        <v>0</v>
      </c>
      <c r="Y569" s="15">
        <f>_xlfn.IFNA(IF(VLOOKUP($J569&amp;Y$12,'Mapping A'!$A$6:$G$1011,7,0)=1,$L569,""),0)</f>
        <v>0</v>
      </c>
      <c r="Z569" s="15">
        <f>_xlfn.IFNA(IF(VLOOKUP($J569&amp;Z$12,'Mapping A'!$A$6:$G$1011,7,0)=1,$L569,""),0)</f>
        <v>0</v>
      </c>
      <c r="AA569" s="15">
        <f>_xlfn.IFNA(IF(VLOOKUP($J569&amp;AA$12,'Mapping A'!$A$6:$G$1011,7,0)=1,$L569,""),0)</f>
        <v>0</v>
      </c>
      <c r="AF569" s="155" t="str">
        <f t="shared" si="177"/>
        <v>WTK0111 WTK0Meridian</v>
      </c>
      <c r="AG569" s="15" t="s">
        <v>390</v>
      </c>
      <c r="AH569" s="15" t="s">
        <v>14</v>
      </c>
      <c r="AI569" s="15">
        <v>550.33508910179103</v>
      </c>
      <c r="AJ569" s="292" t="s">
        <v>96</v>
      </c>
      <c r="AK569" s="15"/>
      <c r="AL569" s="15">
        <f t="shared" si="178"/>
        <v>0</v>
      </c>
      <c r="AM569" s="15">
        <f t="shared" si="179"/>
        <v>0</v>
      </c>
      <c r="AN569" s="15">
        <f t="shared" si="180"/>
        <v>0</v>
      </c>
      <c r="AO569" s="15">
        <f t="shared" si="181"/>
        <v>0</v>
      </c>
      <c r="AP569" s="15">
        <f t="shared" si="182"/>
        <v>0</v>
      </c>
      <c r="AQ569" s="190">
        <f t="shared" ca="1" si="183"/>
        <v>0</v>
      </c>
      <c r="AR569" s="190">
        <f t="shared" si="184"/>
        <v>0</v>
      </c>
      <c r="AS569" s="190">
        <f t="shared" ca="1" si="185"/>
        <v>0</v>
      </c>
      <c r="AT569" s="190">
        <f t="shared" si="186"/>
        <v>0</v>
      </c>
      <c r="AU569" s="190">
        <f t="shared" si="187"/>
        <v>0</v>
      </c>
      <c r="AV569" s="190">
        <f t="shared" si="188"/>
        <v>0</v>
      </c>
      <c r="AW569" s="190">
        <f t="shared" si="189"/>
        <v>0</v>
      </c>
      <c r="AX569" s="190">
        <f t="shared" si="190"/>
        <v>0</v>
      </c>
      <c r="AZ569" s="15"/>
      <c r="BP569" s="190"/>
    </row>
    <row r="570" spans="1:68" x14ac:dyDescent="0.25">
      <c r="B570" s="98" t="s">
        <v>555</v>
      </c>
      <c r="C570" s="98">
        <v>2014</v>
      </c>
      <c r="D570" s="98" t="s">
        <v>175</v>
      </c>
      <c r="E570" s="98" t="s">
        <v>12</v>
      </c>
      <c r="F570" s="98" t="s">
        <v>131</v>
      </c>
      <c r="G570" s="98">
        <v>59179.771000000001</v>
      </c>
      <c r="H570" s="299" t="str">
        <f>VLOOKUP(LEFT('Rev Adequacy'!D570,3),'Mapping B'!$D$2:$E$400,2,0)</f>
        <v>S</v>
      </c>
      <c r="AB570" s="15"/>
      <c r="AC570" s="15"/>
      <c r="AD570" s="15"/>
      <c r="AE570" s="15"/>
      <c r="AF570" s="155" t="str">
        <f t="shared" si="177"/>
        <v/>
      </c>
      <c r="AN570" s="7"/>
      <c r="AO570" s="7"/>
      <c r="AP570" s="7"/>
      <c r="AQ570" s="7"/>
      <c r="AR570" s="7"/>
      <c r="AS570" s="7"/>
      <c r="AT570" s="7"/>
      <c r="AU570" s="7"/>
      <c r="AV570" s="7"/>
      <c r="AZ570" s="15"/>
      <c r="BP570" s="190"/>
    </row>
    <row r="571" spans="1:68" x14ac:dyDescent="0.25">
      <c r="B571" s="98" t="s">
        <v>555</v>
      </c>
      <c r="C571" s="98">
        <v>2014</v>
      </c>
      <c r="D571" s="98" t="s">
        <v>176</v>
      </c>
      <c r="E571" s="98" t="s">
        <v>12</v>
      </c>
      <c r="F571" s="98" t="s">
        <v>131</v>
      </c>
      <c r="G571" s="98">
        <v>31967.648999999899</v>
      </c>
      <c r="H571" s="299" t="str">
        <f>VLOOKUP(LEFT('Rev Adequacy'!D571,3),'Mapping B'!$D$2:$E$400,2,0)</f>
        <v>S</v>
      </c>
      <c r="AB571" s="15"/>
      <c r="AC571" s="15"/>
      <c r="AD571" s="15"/>
      <c r="AE571" s="15"/>
      <c r="AF571" s="155" t="str">
        <f t="shared" si="177"/>
        <v/>
      </c>
      <c r="AN571" s="7"/>
      <c r="AO571" s="7"/>
      <c r="AP571" s="7"/>
      <c r="AQ571" s="7"/>
      <c r="AR571" s="7"/>
      <c r="AS571" s="7"/>
      <c r="AT571" s="7"/>
      <c r="AU571" s="7"/>
      <c r="AV571" s="7"/>
      <c r="AZ571" s="15"/>
      <c r="BP571" s="190"/>
    </row>
    <row r="572" spans="1:68" x14ac:dyDescent="0.25">
      <c r="B572" s="98" t="s">
        <v>555</v>
      </c>
      <c r="C572" s="98">
        <v>2014</v>
      </c>
      <c r="D572" s="98" t="s">
        <v>227</v>
      </c>
      <c r="E572" s="98" t="s">
        <v>12</v>
      </c>
      <c r="F572" s="98" t="s">
        <v>131</v>
      </c>
      <c r="G572" s="98">
        <v>107556.486</v>
      </c>
      <c r="H572" s="299" t="str">
        <f>VLOOKUP(LEFT('Rev Adequacy'!D572,3),'Mapping B'!$D$2:$E$400,2,0)</f>
        <v>S</v>
      </c>
      <c r="J572" s="16" t="s">
        <v>546</v>
      </c>
      <c r="K572" s="15"/>
      <c r="L572" s="15"/>
      <c r="M572" s="15"/>
      <c r="N572" s="15"/>
      <c r="O572" s="15"/>
      <c r="P572" s="15"/>
      <c r="Q572" s="15"/>
      <c r="R572" s="15"/>
      <c r="S572" s="15"/>
      <c r="T572" s="15"/>
      <c r="U572" s="15"/>
      <c r="V572" s="15"/>
      <c r="W572" s="15"/>
      <c r="X572" s="15"/>
      <c r="Y572" s="15"/>
      <c r="Z572" s="15"/>
      <c r="AA572" s="15"/>
      <c r="AF572" s="155" t="str">
        <f t="shared" si="177"/>
        <v>Generation allocation 2</v>
      </c>
      <c r="AG572" s="16" t="s">
        <v>546</v>
      </c>
      <c r="AH572" s="15"/>
      <c r="AI572" s="15"/>
      <c r="AJ572" s="15"/>
      <c r="AK572" s="15"/>
      <c r="AL572" s="15"/>
      <c r="AM572" s="15"/>
      <c r="AN572" s="7"/>
      <c r="AO572" s="7"/>
      <c r="AP572" s="7"/>
      <c r="AQ572" s="7"/>
      <c r="AR572" s="7"/>
      <c r="AS572" s="7"/>
      <c r="AT572" s="7"/>
      <c r="AU572" s="7"/>
      <c r="AV572" s="7"/>
      <c r="AW572" s="15"/>
      <c r="AX572" s="15"/>
      <c r="AZ572" s="15"/>
      <c r="BP572" s="190"/>
    </row>
    <row r="573" spans="1:68" x14ac:dyDescent="0.25">
      <c r="B573" s="98" t="s">
        <v>555</v>
      </c>
      <c r="C573" s="98">
        <v>2014</v>
      </c>
      <c r="D573" s="98" t="s">
        <v>318</v>
      </c>
      <c r="E573" s="98" t="s">
        <v>12</v>
      </c>
      <c r="F573" s="98" t="s">
        <v>131</v>
      </c>
      <c r="G573" s="98">
        <v>217015.21099999899</v>
      </c>
      <c r="H573" s="299" t="str">
        <f>VLOOKUP(LEFT('Rev Adequacy'!D573,3),'Mapping B'!$D$2:$E$400,2,0)</f>
        <v>S</v>
      </c>
      <c r="J573" s="91" t="s">
        <v>500</v>
      </c>
      <c r="K573" s="15"/>
      <c r="L573" s="15"/>
      <c r="M573" s="15"/>
      <c r="N573" s="15"/>
      <c r="O573" s="15"/>
      <c r="P573" s="15"/>
      <c r="Q573" s="15"/>
      <c r="R573" s="15"/>
      <c r="S573" s="15"/>
      <c r="T573" s="15"/>
      <c r="U573" s="15"/>
      <c r="V573" s="15"/>
      <c r="W573" s="15"/>
      <c r="X573" s="15"/>
      <c r="Y573" s="15"/>
      <c r="Z573" s="15"/>
      <c r="AA573" s="15"/>
      <c r="AF573" s="155" t="str">
        <f t="shared" si="177"/>
        <v>offer_node_to_participant</v>
      </c>
      <c r="AG573" s="91" t="s">
        <v>500</v>
      </c>
      <c r="AH573" s="15"/>
      <c r="AI573" s="15"/>
      <c r="AJ573" s="15"/>
      <c r="AK573" s="15"/>
      <c r="AL573" s="15"/>
      <c r="AM573" s="15"/>
      <c r="AN573" s="7"/>
      <c r="AO573" s="7"/>
      <c r="AP573" s="7"/>
      <c r="AQ573" s="7"/>
      <c r="AR573" s="7"/>
      <c r="AS573" s="7"/>
      <c r="AT573" s="7"/>
      <c r="AU573" s="7"/>
      <c r="AV573" s="7"/>
      <c r="AW573" s="15"/>
      <c r="AX573" s="15"/>
      <c r="AZ573" s="15"/>
      <c r="BP573" s="190"/>
    </row>
    <row r="574" spans="1:68" x14ac:dyDescent="0.25">
      <c r="B574" s="98" t="s">
        <v>555</v>
      </c>
      <c r="C574" s="98">
        <v>2014</v>
      </c>
      <c r="D574" s="98" t="s">
        <v>380</v>
      </c>
      <c r="E574" s="98" t="s">
        <v>12</v>
      </c>
      <c r="F574" s="98" t="s">
        <v>131</v>
      </c>
      <c r="G574" s="98">
        <v>33290.758999999904</v>
      </c>
      <c r="H574" s="299" t="str">
        <f>VLOOKUP(LEFT('Rev Adequacy'!D574,3),'Mapping B'!$D$2:$E$400,2,0)</f>
        <v>S</v>
      </c>
      <c r="J574" s="91" t="s">
        <v>91</v>
      </c>
      <c r="K574" s="91" t="s">
        <v>426</v>
      </c>
      <c r="L574" s="91" t="s">
        <v>541</v>
      </c>
      <c r="M574" s="15"/>
      <c r="N574" s="15"/>
      <c r="O574" s="100">
        <f t="shared" ref="O574:AA574" si="191">SUM(O575:O652)</f>
        <v>0</v>
      </c>
      <c r="P574" s="100">
        <f t="shared" si="191"/>
        <v>18937.826047568662</v>
      </c>
      <c r="Q574" s="100">
        <f t="shared" si="191"/>
        <v>18937.826047568662</v>
      </c>
      <c r="R574" s="100">
        <f t="shared" si="191"/>
        <v>0</v>
      </c>
      <c r="S574" s="100">
        <f t="shared" si="191"/>
        <v>0</v>
      </c>
      <c r="T574" s="100">
        <f t="shared" si="191"/>
        <v>0</v>
      </c>
      <c r="U574" s="100">
        <f t="shared" si="191"/>
        <v>0</v>
      </c>
      <c r="V574" s="100">
        <f t="shared" si="191"/>
        <v>18937.826047568662</v>
      </c>
      <c r="W574" s="100">
        <f t="shared" si="191"/>
        <v>0</v>
      </c>
      <c r="X574" s="100">
        <f t="shared" si="191"/>
        <v>0</v>
      </c>
      <c r="Y574" s="100">
        <f t="shared" si="191"/>
        <v>0</v>
      </c>
      <c r="Z574" s="100">
        <f t="shared" si="191"/>
        <v>486.13775092227718</v>
      </c>
      <c r="AA574" s="100">
        <f t="shared" si="191"/>
        <v>0</v>
      </c>
      <c r="AF574" s="155" t="str">
        <f t="shared" si="177"/>
        <v>generatoroffer_code</v>
      </c>
      <c r="AG574" s="91" t="s">
        <v>91</v>
      </c>
      <c r="AH574" s="91" t="s">
        <v>426</v>
      </c>
      <c r="AI574" s="91" t="s">
        <v>541</v>
      </c>
      <c r="AJ574" s="15"/>
      <c r="AK574" s="15"/>
      <c r="AL574" s="100"/>
      <c r="AM574" s="100"/>
      <c r="AN574" s="100"/>
      <c r="AO574" s="100"/>
      <c r="AP574" s="100"/>
      <c r="AQ574" s="100"/>
      <c r="AR574" s="100"/>
      <c r="AS574" s="100"/>
      <c r="AT574" s="100"/>
      <c r="AU574" s="100"/>
      <c r="AV574" s="100"/>
      <c r="AW574" s="100"/>
      <c r="AX574" s="100"/>
      <c r="AZ574" s="15"/>
      <c r="BP574" s="190"/>
    </row>
    <row r="575" spans="1:68" x14ac:dyDescent="0.25">
      <c r="B575" s="98" t="s">
        <v>555</v>
      </c>
      <c r="C575" s="98">
        <v>2014</v>
      </c>
      <c r="D575" s="98" t="s">
        <v>381</v>
      </c>
      <c r="E575" s="98" t="s">
        <v>12</v>
      </c>
      <c r="F575" s="98" t="s">
        <v>131</v>
      </c>
      <c r="G575" s="98">
        <v>22823.100999999999</v>
      </c>
      <c r="H575" s="299" t="str">
        <f>VLOOKUP(LEFT('Rev Adequacy'!D575,3),'Mapping B'!$D$2:$E$400,2,0)</f>
        <v>S</v>
      </c>
      <c r="J575" s="15" t="s">
        <v>135</v>
      </c>
      <c r="K575" s="15" t="s">
        <v>17</v>
      </c>
      <c r="L575" s="15">
        <v>283.76828401230398</v>
      </c>
      <c r="M575" s="15"/>
      <c r="N575" s="15"/>
      <c r="O575" s="15">
        <f>_xlfn.IFNA(IF(VLOOKUP($J575&amp;O$14,'Mapping A'!$A$6:$G$1011,7,0)=1,$L575,""),0)+_xlfn.IFNA(IF(VLOOKUP($J575&amp;O$16,'Mapping A'!$A$6:$G$1011,7,0)=1,$L575,""),0)</f>
        <v>0</v>
      </c>
      <c r="P575" s="15">
        <f>_xlfn.IFNA(IF(VLOOKUP($J575&amp;P$14,'Mapping A'!$A$6:$G$1011,7,0)=1,$L575,""),0)+_xlfn.IFNA(IF(VLOOKUP($J575&amp;P$16,'Mapping A'!$A$6:$G$1011,7,0)=1,$L575,""),0)</f>
        <v>0</v>
      </c>
      <c r="Q575" s="15">
        <f>_xlfn.IFNA(IF(VLOOKUP($J575&amp;Q$14,'Mapping A'!$A$6:$G$1011,7,0)=1,$L575,""),0)+_xlfn.IFNA(IF(VLOOKUP($J575&amp;Q$16,'Mapping A'!$A$6:$G$1011,7,0)=1,$L575,""),0)</f>
        <v>0</v>
      </c>
      <c r="R575" s="15">
        <f>_xlfn.IFNA(IF(VLOOKUP($J575&amp;R$14,'Mapping A'!$A$6:$G$1011,7,0)=1,$L575,""),0)+_xlfn.IFNA(IF(VLOOKUP($J575&amp;R$16,'Mapping A'!$A$6:$G$1011,7,0)=1,$L575,""),0)</f>
        <v>0</v>
      </c>
      <c r="S575" s="15">
        <f>_xlfn.IFNA(IF(VLOOKUP($J575&amp;S$14,'Mapping A'!$A$6:$G$1011,7,0)=1,$L575,""),0)+_xlfn.IFNA(IF(VLOOKUP($J575&amp;S$16,'Mapping A'!$A$6:$G$1011,7,0)=1,$L575,""),0)</f>
        <v>0</v>
      </c>
      <c r="T575" s="15">
        <f>_xlfn.IFNA(IF(VLOOKUP($J575&amp;T$14,'Mapping A'!$A$6:$G$1011,7,0)=1,$L575,""),0)+_xlfn.IFNA(IF(VLOOKUP($J575&amp;T$16,'Mapping A'!$A$6:$G$1011,7,0)=1,$L575,""),0)</f>
        <v>0</v>
      </c>
      <c r="U575" s="15">
        <f>_xlfn.IFNA(IF(VLOOKUP($J575&amp;U$14,'Mapping A'!$A$6:$G$1011,7,0)=1,$L575,""),0)+_xlfn.IFNA(IF(VLOOKUP($J575&amp;U$16,'Mapping A'!$A$6:$G$1011,7,0)=1,$L575,""),0)</f>
        <v>0</v>
      </c>
      <c r="V575" s="15">
        <f>_xlfn.IFNA(IF(VLOOKUP($J575&amp;V$14,'Mapping A'!$A$6:$G$1011,7,0)=1,$L575,""),0)+_xlfn.IFNA(IF(VLOOKUP($J575&amp;V$16,'Mapping A'!$A$6:$G$1011,7,0)=1,$L575,""),0)</f>
        <v>0</v>
      </c>
      <c r="W575" s="15">
        <f>_xlfn.IFNA(IF(VLOOKUP($J575&amp;W$14,'Mapping A'!$A$6:$G$1011,7,0)=1,$L575,""),0)+_xlfn.IFNA(IF(VLOOKUP($J575&amp;W$16,'Mapping A'!$A$6:$G$1011,7,0)=1,$L575,""),0)</f>
        <v>0</v>
      </c>
      <c r="X575" s="15">
        <f>_xlfn.IFNA(IF(VLOOKUP($J575&amp;X$14,'Mapping A'!$A$6:$G$1011,7,0)=1,$L575,""),0)+_xlfn.IFNA(IF(VLOOKUP($J575&amp;X$16,'Mapping A'!$A$6:$G$1011,7,0)=1,$L575,""),0)</f>
        <v>0</v>
      </c>
      <c r="Y575" s="15">
        <f>_xlfn.IFNA(IF(VLOOKUP($J575&amp;Y$14,'Mapping A'!$A$6:$G$1011,7,0)=1,$L575,""),0)+_xlfn.IFNA(IF(VLOOKUP($J575&amp;Y$16,'Mapping A'!$A$6:$G$1011,7,0)=1,$L575,""),0)</f>
        <v>0</v>
      </c>
      <c r="Z575" s="15">
        <f>_xlfn.IFNA(IF(VLOOKUP($J575&amp;Z$14,'Mapping A'!$A$6:$G$1011,7,0)=1,$L575,""),0)+_xlfn.IFNA(IF(VLOOKUP($J575&amp;Z$16,'Mapping A'!$A$6:$G$1011,7,0)=1,$L575,""),0)</f>
        <v>0</v>
      </c>
      <c r="AA575" s="15">
        <f>_xlfn.IFNA(IF(VLOOKUP($J575&amp;AA$14,'Mapping A'!$A$6:$G$1011,7,0)=1,$L575,""),0)+_xlfn.IFNA(IF(VLOOKUP($J575&amp;AA$16,'Mapping A'!$A$6:$G$1011,7,0)=1,$L575,""),0)</f>
        <v>0</v>
      </c>
      <c r="AF575" s="155" t="str">
        <f t="shared" si="177"/>
        <v>ARA2201 ARA0MRP</v>
      </c>
      <c r="AG575" s="15" t="s">
        <v>135</v>
      </c>
      <c r="AH575" s="15" t="s">
        <v>17</v>
      </c>
      <c r="AI575" s="15">
        <v>283.76828401230398</v>
      </c>
      <c r="AJ575" s="292" t="s">
        <v>95</v>
      </c>
      <c r="AK575" s="15"/>
      <c r="AL575" s="15">
        <f t="shared" ref="AL575:AL606" si="192">IF(O$574=0,0,O$13*O$7*O575/O$574)</f>
        <v>0</v>
      </c>
      <c r="AM575" s="15">
        <f t="shared" ref="AM575:AM606" ca="1" si="193">IF(P$574=0,0,P$15*P$7*P575/P$574)</f>
        <v>0</v>
      </c>
      <c r="AN575" s="15">
        <f t="shared" ref="AN575:AN606" ca="1" si="194">IF(Q$574=0,0,Q$17*Q$7*Q575/Q$574)</f>
        <v>0</v>
      </c>
      <c r="AO575" s="15">
        <f t="shared" ref="AO575:AO606" si="195">IF(R$574=0,0,R$13*R$7*R575/R$574)</f>
        <v>0</v>
      </c>
      <c r="AP575" s="15">
        <f t="shared" ref="AP575:AP606" si="196">IF(S$574=0,0,S$13*S$7*S575/S$574)</f>
        <v>0</v>
      </c>
      <c r="AQ575" s="15">
        <f t="shared" ref="AQ575:AQ606" si="197">IF(T$574=0,0,T$13*T$7*T575/T$574)</f>
        <v>0</v>
      </c>
      <c r="AR575" s="190">
        <f t="shared" ref="AR575:AW575" si="198">IF(U$574=0,0,U$13*U$7*U575/U$574)</f>
        <v>0</v>
      </c>
      <c r="AS575" s="190">
        <f t="shared" ca="1" si="198"/>
        <v>0</v>
      </c>
      <c r="AT575" s="190">
        <f t="shared" si="198"/>
        <v>0</v>
      </c>
      <c r="AU575" s="190">
        <f t="shared" si="198"/>
        <v>0</v>
      </c>
      <c r="AV575" s="190">
        <f t="shared" si="198"/>
        <v>0</v>
      </c>
      <c r="AW575" s="190">
        <f t="shared" si="198"/>
        <v>0</v>
      </c>
      <c r="AX575" s="15">
        <f>IF(AA$574=0,0,AA$13*AA$7*AA575/AA$574)</f>
        <v>0</v>
      </c>
      <c r="AZ575" s="15"/>
      <c r="BP575" s="190"/>
    </row>
    <row r="576" spans="1:68" x14ac:dyDescent="0.25">
      <c r="B576" s="98" t="s">
        <v>112</v>
      </c>
      <c r="C576" s="98">
        <v>2014</v>
      </c>
      <c r="D576" s="98" t="s">
        <v>175</v>
      </c>
      <c r="E576" s="98" t="s">
        <v>12</v>
      </c>
      <c r="F576" s="98" t="s">
        <v>131</v>
      </c>
      <c r="G576" s="98">
        <v>0</v>
      </c>
      <c r="H576" s="299" t="str">
        <f>VLOOKUP(LEFT('Rev Adequacy'!D576,3),'Mapping B'!$D$2:$E$400,2,0)</f>
        <v>S</v>
      </c>
      <c r="J576" s="15" t="s">
        <v>139</v>
      </c>
      <c r="K576" s="15" t="s">
        <v>35</v>
      </c>
      <c r="L576" s="15">
        <v>47.561210994330203</v>
      </c>
      <c r="M576" s="15"/>
      <c r="N576" s="15"/>
      <c r="O576" s="15">
        <f>_xlfn.IFNA(IF(VLOOKUP($J576&amp;O$14,'Mapping A'!$A$6:$G$1011,7,0)=1,$L576,""),0)+_xlfn.IFNA(IF(VLOOKUP($J576&amp;O$16,'Mapping A'!$A$6:$G$1011,7,0)=1,$L576,""),0)</f>
        <v>0</v>
      </c>
      <c r="P576" s="15">
        <f>_xlfn.IFNA(IF(VLOOKUP($J576&amp;P$14,'Mapping A'!$A$6:$G$1011,7,0)=1,$L576,""),0)+_xlfn.IFNA(IF(VLOOKUP($J576&amp;P$16,'Mapping A'!$A$6:$G$1011,7,0)=1,$L576,""),0)</f>
        <v>47.561210994330203</v>
      </c>
      <c r="Q576" s="15">
        <f>_xlfn.IFNA(IF(VLOOKUP($J576&amp;Q$14,'Mapping A'!$A$6:$G$1011,7,0)=1,$L576,""),0)+_xlfn.IFNA(IF(VLOOKUP($J576&amp;Q$16,'Mapping A'!$A$6:$G$1011,7,0)=1,$L576,""),0)</f>
        <v>47.561210994330203</v>
      </c>
      <c r="R576" s="15">
        <f>_xlfn.IFNA(IF(VLOOKUP($J576&amp;R$14,'Mapping A'!$A$6:$G$1011,7,0)=1,$L576,""),0)+_xlfn.IFNA(IF(VLOOKUP($J576&amp;R$16,'Mapping A'!$A$6:$G$1011,7,0)=1,$L576,""),0)</f>
        <v>0</v>
      </c>
      <c r="S576" s="15">
        <f>_xlfn.IFNA(IF(VLOOKUP($J576&amp;S$14,'Mapping A'!$A$6:$G$1011,7,0)=1,$L576,""),0)+_xlfn.IFNA(IF(VLOOKUP($J576&amp;S$16,'Mapping A'!$A$6:$G$1011,7,0)=1,$L576,""),0)</f>
        <v>0</v>
      </c>
      <c r="T576" s="15">
        <f>_xlfn.IFNA(IF(VLOOKUP($J576&amp;T$14,'Mapping A'!$A$6:$G$1011,7,0)=1,$L576,""),0)+_xlfn.IFNA(IF(VLOOKUP($J576&amp;T$16,'Mapping A'!$A$6:$G$1011,7,0)=1,$L576,""),0)</f>
        <v>0</v>
      </c>
      <c r="U576" s="15">
        <f>_xlfn.IFNA(IF(VLOOKUP($J576&amp;U$14,'Mapping A'!$A$6:$G$1011,7,0)=1,$L576,""),0)+_xlfn.IFNA(IF(VLOOKUP($J576&amp;U$16,'Mapping A'!$A$6:$G$1011,7,0)=1,$L576,""),0)</f>
        <v>0</v>
      </c>
      <c r="V576" s="15">
        <f>_xlfn.IFNA(IF(VLOOKUP($J576&amp;V$14,'Mapping A'!$A$6:$G$1011,7,0)=1,$L576,""),0)+_xlfn.IFNA(IF(VLOOKUP($J576&amp;V$16,'Mapping A'!$A$6:$G$1011,7,0)=1,$L576,""),0)</f>
        <v>47.561210994330203</v>
      </c>
      <c r="W576" s="15">
        <f>_xlfn.IFNA(IF(VLOOKUP($J576&amp;W$14,'Mapping A'!$A$6:$G$1011,7,0)=1,$L576,""),0)+_xlfn.IFNA(IF(VLOOKUP($J576&amp;W$16,'Mapping A'!$A$6:$G$1011,7,0)=1,$L576,""),0)</f>
        <v>0</v>
      </c>
      <c r="X576" s="15">
        <f>_xlfn.IFNA(IF(VLOOKUP($J576&amp;X$14,'Mapping A'!$A$6:$G$1011,7,0)=1,$L576,""),0)+_xlfn.IFNA(IF(VLOOKUP($J576&amp;X$16,'Mapping A'!$A$6:$G$1011,7,0)=1,$L576,""),0)</f>
        <v>0</v>
      </c>
      <c r="Y576" s="15">
        <f>_xlfn.IFNA(IF(VLOOKUP($J576&amp;Y$14,'Mapping A'!$A$6:$G$1011,7,0)=1,$L576,""),0)+_xlfn.IFNA(IF(VLOOKUP($J576&amp;Y$16,'Mapping A'!$A$6:$G$1011,7,0)=1,$L576,""),0)</f>
        <v>0</v>
      </c>
      <c r="Z576" s="15">
        <f>_xlfn.IFNA(IF(VLOOKUP($J576&amp;Z$14,'Mapping A'!$A$6:$G$1011,7,0)=1,$L576,""),0)+_xlfn.IFNA(IF(VLOOKUP($J576&amp;Z$16,'Mapping A'!$A$6:$G$1011,7,0)=1,$L576,""),0)</f>
        <v>0</v>
      </c>
      <c r="AA576" s="15">
        <f>_xlfn.IFNA(IF(VLOOKUP($J576&amp;AA$14,'Mapping A'!$A$6:$G$1011,7,0)=1,$L576,""),0)+_xlfn.IFNA(IF(VLOOKUP($J576&amp;AA$16,'Mapping A'!$A$6:$G$1011,7,0)=1,$L576,""),0)</f>
        <v>0</v>
      </c>
      <c r="AF576" s="155" t="str">
        <f t="shared" si="177"/>
        <v>ARG1101 BRR0Trustpower</v>
      </c>
      <c r="AG576" s="15" t="s">
        <v>139</v>
      </c>
      <c r="AH576" s="15" t="s">
        <v>35</v>
      </c>
      <c r="AI576" s="15">
        <v>47.561210994330203</v>
      </c>
      <c r="AJ576" s="292" t="s">
        <v>96</v>
      </c>
      <c r="AK576" s="15"/>
      <c r="AL576" s="15">
        <f t="shared" si="192"/>
        <v>0</v>
      </c>
      <c r="AM576" s="15">
        <f t="shared" ca="1" si="193"/>
        <v>0</v>
      </c>
      <c r="AN576" s="15">
        <f t="shared" ca="1" si="194"/>
        <v>0</v>
      </c>
      <c r="AO576" s="15">
        <f t="shared" si="195"/>
        <v>0</v>
      </c>
      <c r="AP576" s="15">
        <f t="shared" si="196"/>
        <v>0</v>
      </c>
      <c r="AQ576" s="15">
        <f t="shared" si="197"/>
        <v>0</v>
      </c>
      <c r="AR576" s="190">
        <f t="shared" ref="AR576:AR639" si="199">IF(U$574=0,0,U$13*U$7*U576/U$574)</f>
        <v>0</v>
      </c>
      <c r="AS576" s="190">
        <f t="shared" ref="AS576:AS639" ca="1" si="200">IF(V$574=0,0,V$13*V$7*V576/V$574)</f>
        <v>6.9554803481087432E-3</v>
      </c>
      <c r="AT576" s="190">
        <f t="shared" ref="AT576:AT639" si="201">IF(W$574=0,0,W$13*W$7*W576/W$574)</f>
        <v>0</v>
      </c>
      <c r="AU576" s="190">
        <f t="shared" ref="AU576:AU639" si="202">IF(X$574=0,0,X$13*X$7*X576/X$574)</f>
        <v>0</v>
      </c>
      <c r="AV576" s="190">
        <f t="shared" ref="AV576:AV639" si="203">IF(Y$574=0,0,Y$13*Y$7*Y576/Y$574)</f>
        <v>0</v>
      </c>
      <c r="AW576" s="190">
        <f t="shared" ref="AW576:AW639" si="204">IF(Z$574=0,0,Z$13*Z$7*Z576/Z$574)</f>
        <v>0</v>
      </c>
      <c r="AX576" s="190">
        <f t="shared" ref="AX576:AX639" si="205">IF(AA$574=0,0,AA$13*AA$7*AA576/AA$574)</f>
        <v>0</v>
      </c>
      <c r="AZ576" s="15"/>
      <c r="BP576" s="190"/>
    </row>
    <row r="577" spans="2:68" x14ac:dyDescent="0.25">
      <c r="B577" s="98" t="s">
        <v>112</v>
      </c>
      <c r="C577" s="98">
        <v>2014</v>
      </c>
      <c r="D577" s="98" t="s">
        <v>176</v>
      </c>
      <c r="E577" s="98" t="s">
        <v>12</v>
      </c>
      <c r="F577" s="98" t="s">
        <v>131</v>
      </c>
      <c r="G577" s="98">
        <v>0</v>
      </c>
      <c r="H577" s="299" t="str">
        <f>VLOOKUP(LEFT('Rev Adequacy'!D577,3),'Mapping B'!$D$2:$E$400,2,0)</f>
        <v>S</v>
      </c>
      <c r="J577" s="15" t="s">
        <v>140</v>
      </c>
      <c r="K577" s="15" t="s">
        <v>17</v>
      </c>
      <c r="L577" s="15">
        <v>380.99533295943502</v>
      </c>
      <c r="M577" s="15"/>
      <c r="N577" s="15"/>
      <c r="O577" s="15">
        <f>_xlfn.IFNA(IF(VLOOKUP($J577&amp;O$14,'Mapping A'!$A$6:$G$1011,7,0)=1,$L577,""),0)+_xlfn.IFNA(IF(VLOOKUP($J577&amp;O$16,'Mapping A'!$A$6:$G$1011,7,0)=1,$L577,""),0)</f>
        <v>0</v>
      </c>
      <c r="P577" s="15">
        <f>_xlfn.IFNA(IF(VLOOKUP($J577&amp;P$14,'Mapping A'!$A$6:$G$1011,7,0)=1,$L577,""),0)+_xlfn.IFNA(IF(VLOOKUP($J577&amp;P$16,'Mapping A'!$A$6:$G$1011,7,0)=1,$L577,""),0)</f>
        <v>0</v>
      </c>
      <c r="Q577" s="15">
        <f>_xlfn.IFNA(IF(VLOOKUP($J577&amp;Q$14,'Mapping A'!$A$6:$G$1011,7,0)=1,$L577,""),0)+_xlfn.IFNA(IF(VLOOKUP($J577&amp;Q$16,'Mapping A'!$A$6:$G$1011,7,0)=1,$L577,""),0)</f>
        <v>0</v>
      </c>
      <c r="R577" s="15">
        <f>_xlfn.IFNA(IF(VLOOKUP($J577&amp;R$14,'Mapping A'!$A$6:$G$1011,7,0)=1,$L577,""),0)+_xlfn.IFNA(IF(VLOOKUP($J577&amp;R$16,'Mapping A'!$A$6:$G$1011,7,0)=1,$L577,""),0)</f>
        <v>0</v>
      </c>
      <c r="S577" s="15">
        <f>_xlfn.IFNA(IF(VLOOKUP($J577&amp;S$14,'Mapping A'!$A$6:$G$1011,7,0)=1,$L577,""),0)+_xlfn.IFNA(IF(VLOOKUP($J577&amp;S$16,'Mapping A'!$A$6:$G$1011,7,0)=1,$L577,""),0)</f>
        <v>0</v>
      </c>
      <c r="T577" s="15">
        <f>_xlfn.IFNA(IF(VLOOKUP($J577&amp;T$14,'Mapping A'!$A$6:$G$1011,7,0)=1,$L577,""),0)+_xlfn.IFNA(IF(VLOOKUP($J577&amp;T$16,'Mapping A'!$A$6:$G$1011,7,0)=1,$L577,""),0)</f>
        <v>0</v>
      </c>
      <c r="U577" s="15">
        <f>_xlfn.IFNA(IF(VLOOKUP($J577&amp;U$14,'Mapping A'!$A$6:$G$1011,7,0)=1,$L577,""),0)+_xlfn.IFNA(IF(VLOOKUP($J577&amp;U$16,'Mapping A'!$A$6:$G$1011,7,0)=1,$L577,""),0)</f>
        <v>0</v>
      </c>
      <c r="V577" s="15">
        <f>_xlfn.IFNA(IF(VLOOKUP($J577&amp;V$14,'Mapping A'!$A$6:$G$1011,7,0)=1,$L577,""),0)+_xlfn.IFNA(IF(VLOOKUP($J577&amp;V$16,'Mapping A'!$A$6:$G$1011,7,0)=1,$L577,""),0)</f>
        <v>0</v>
      </c>
      <c r="W577" s="15">
        <f>_xlfn.IFNA(IF(VLOOKUP($J577&amp;W$14,'Mapping A'!$A$6:$G$1011,7,0)=1,$L577,""),0)+_xlfn.IFNA(IF(VLOOKUP($J577&amp;W$16,'Mapping A'!$A$6:$G$1011,7,0)=1,$L577,""),0)</f>
        <v>0</v>
      </c>
      <c r="X577" s="15">
        <f>_xlfn.IFNA(IF(VLOOKUP($J577&amp;X$14,'Mapping A'!$A$6:$G$1011,7,0)=1,$L577,""),0)+_xlfn.IFNA(IF(VLOOKUP($J577&amp;X$16,'Mapping A'!$A$6:$G$1011,7,0)=1,$L577,""),0)</f>
        <v>0</v>
      </c>
      <c r="Y577" s="15">
        <f>_xlfn.IFNA(IF(VLOOKUP($J577&amp;Y$14,'Mapping A'!$A$6:$G$1011,7,0)=1,$L577,""),0)+_xlfn.IFNA(IF(VLOOKUP($J577&amp;Y$16,'Mapping A'!$A$6:$G$1011,7,0)=1,$L577,""),0)</f>
        <v>0</v>
      </c>
      <c r="Z577" s="15">
        <f>_xlfn.IFNA(IF(VLOOKUP($J577&amp;Z$14,'Mapping A'!$A$6:$G$1011,7,0)=1,$L577,""),0)+_xlfn.IFNA(IF(VLOOKUP($J577&amp;Z$16,'Mapping A'!$A$6:$G$1011,7,0)=1,$L577,""),0)</f>
        <v>0</v>
      </c>
      <c r="AA577" s="15">
        <f>_xlfn.IFNA(IF(VLOOKUP($J577&amp;AA$14,'Mapping A'!$A$6:$G$1011,7,0)=1,$L577,""),0)+_xlfn.IFNA(IF(VLOOKUP($J577&amp;AA$16,'Mapping A'!$A$6:$G$1011,7,0)=1,$L577,""),0)</f>
        <v>0</v>
      </c>
      <c r="AF577" s="155" t="str">
        <f t="shared" si="177"/>
        <v>ARI1101 ARI0MRP</v>
      </c>
      <c r="AG577" s="15" t="s">
        <v>140</v>
      </c>
      <c r="AH577" s="15" t="s">
        <v>17</v>
      </c>
      <c r="AI577" s="15">
        <v>380.99533295943502</v>
      </c>
      <c r="AJ577" s="292" t="s">
        <v>95</v>
      </c>
      <c r="AK577" s="15"/>
      <c r="AL577" s="15">
        <f t="shared" si="192"/>
        <v>0</v>
      </c>
      <c r="AM577" s="15">
        <f t="shared" ca="1" si="193"/>
        <v>0</v>
      </c>
      <c r="AN577" s="15">
        <f t="shared" ca="1" si="194"/>
        <v>0</v>
      </c>
      <c r="AO577" s="15">
        <f t="shared" si="195"/>
        <v>0</v>
      </c>
      <c r="AP577" s="15">
        <f t="shared" si="196"/>
        <v>0</v>
      </c>
      <c r="AQ577" s="15">
        <f t="shared" si="197"/>
        <v>0</v>
      </c>
      <c r="AR577" s="190">
        <f t="shared" si="199"/>
        <v>0</v>
      </c>
      <c r="AS577" s="190">
        <f t="shared" ca="1" si="200"/>
        <v>0</v>
      </c>
      <c r="AT577" s="190">
        <f t="shared" si="201"/>
        <v>0</v>
      </c>
      <c r="AU577" s="190">
        <f t="shared" si="202"/>
        <v>0</v>
      </c>
      <c r="AV577" s="190">
        <f t="shared" si="203"/>
        <v>0</v>
      </c>
      <c r="AW577" s="190">
        <f t="shared" si="204"/>
        <v>0</v>
      </c>
      <c r="AX577" s="190">
        <f t="shared" si="205"/>
        <v>0</v>
      </c>
      <c r="AZ577" s="15"/>
      <c r="BP577" s="190"/>
    </row>
    <row r="578" spans="2:68" x14ac:dyDescent="0.25">
      <c r="B578" s="98" t="s">
        <v>112</v>
      </c>
      <c r="C578" s="98">
        <v>2014</v>
      </c>
      <c r="D578" s="98" t="s">
        <v>227</v>
      </c>
      <c r="E578" s="98" t="s">
        <v>12</v>
      </c>
      <c r="F578" s="98" t="s">
        <v>131</v>
      </c>
      <c r="G578" s="98">
        <v>0</v>
      </c>
      <c r="H578" s="299" t="str">
        <f>VLOOKUP(LEFT('Rev Adequacy'!D578,3),'Mapping B'!$D$2:$E$400,2,0)</f>
        <v>S</v>
      </c>
      <c r="J578" s="15" t="s">
        <v>141</v>
      </c>
      <c r="K578" s="15" t="s">
        <v>17</v>
      </c>
      <c r="L578" s="15">
        <v>349.40184219352801</v>
      </c>
      <c r="M578" s="15"/>
      <c r="N578" s="15"/>
      <c r="O578" s="15">
        <f>_xlfn.IFNA(IF(VLOOKUP($J578&amp;O$14,'Mapping A'!$A$6:$G$1011,7,0)=1,$L578,""),0)+_xlfn.IFNA(IF(VLOOKUP($J578&amp;O$16,'Mapping A'!$A$6:$G$1011,7,0)=1,$L578,""),0)</f>
        <v>0</v>
      </c>
      <c r="P578" s="15">
        <f>_xlfn.IFNA(IF(VLOOKUP($J578&amp;P$14,'Mapping A'!$A$6:$G$1011,7,0)=1,$L578,""),0)+_xlfn.IFNA(IF(VLOOKUP($J578&amp;P$16,'Mapping A'!$A$6:$G$1011,7,0)=1,$L578,""),0)</f>
        <v>0</v>
      </c>
      <c r="Q578" s="15">
        <f>_xlfn.IFNA(IF(VLOOKUP($J578&amp;Q$14,'Mapping A'!$A$6:$G$1011,7,0)=1,$L578,""),0)+_xlfn.IFNA(IF(VLOOKUP($J578&amp;Q$16,'Mapping A'!$A$6:$G$1011,7,0)=1,$L578,""),0)</f>
        <v>0</v>
      </c>
      <c r="R578" s="15">
        <f>_xlfn.IFNA(IF(VLOOKUP($J578&amp;R$14,'Mapping A'!$A$6:$G$1011,7,0)=1,$L578,""),0)+_xlfn.IFNA(IF(VLOOKUP($J578&amp;R$16,'Mapping A'!$A$6:$G$1011,7,0)=1,$L578,""),0)</f>
        <v>0</v>
      </c>
      <c r="S578" s="15">
        <f>_xlfn.IFNA(IF(VLOOKUP($J578&amp;S$14,'Mapping A'!$A$6:$G$1011,7,0)=1,$L578,""),0)+_xlfn.IFNA(IF(VLOOKUP($J578&amp;S$16,'Mapping A'!$A$6:$G$1011,7,0)=1,$L578,""),0)</f>
        <v>0</v>
      </c>
      <c r="T578" s="15">
        <f>_xlfn.IFNA(IF(VLOOKUP($J578&amp;T$14,'Mapping A'!$A$6:$G$1011,7,0)=1,$L578,""),0)+_xlfn.IFNA(IF(VLOOKUP($J578&amp;T$16,'Mapping A'!$A$6:$G$1011,7,0)=1,$L578,""),0)</f>
        <v>0</v>
      </c>
      <c r="U578" s="15">
        <f>_xlfn.IFNA(IF(VLOOKUP($J578&amp;U$14,'Mapping A'!$A$6:$G$1011,7,0)=1,$L578,""),0)+_xlfn.IFNA(IF(VLOOKUP($J578&amp;U$16,'Mapping A'!$A$6:$G$1011,7,0)=1,$L578,""),0)</f>
        <v>0</v>
      </c>
      <c r="V578" s="15">
        <f>_xlfn.IFNA(IF(VLOOKUP($J578&amp;V$14,'Mapping A'!$A$6:$G$1011,7,0)=1,$L578,""),0)+_xlfn.IFNA(IF(VLOOKUP($J578&amp;V$16,'Mapping A'!$A$6:$G$1011,7,0)=1,$L578,""),0)</f>
        <v>0</v>
      </c>
      <c r="W578" s="15">
        <f>_xlfn.IFNA(IF(VLOOKUP($J578&amp;W$14,'Mapping A'!$A$6:$G$1011,7,0)=1,$L578,""),0)+_xlfn.IFNA(IF(VLOOKUP($J578&amp;W$16,'Mapping A'!$A$6:$G$1011,7,0)=1,$L578,""),0)</f>
        <v>0</v>
      </c>
      <c r="X578" s="15">
        <f>_xlfn.IFNA(IF(VLOOKUP($J578&amp;X$14,'Mapping A'!$A$6:$G$1011,7,0)=1,$L578,""),0)+_xlfn.IFNA(IF(VLOOKUP($J578&amp;X$16,'Mapping A'!$A$6:$G$1011,7,0)=1,$L578,""),0)</f>
        <v>0</v>
      </c>
      <c r="Y578" s="15">
        <f>_xlfn.IFNA(IF(VLOOKUP($J578&amp;Y$14,'Mapping A'!$A$6:$G$1011,7,0)=1,$L578,""),0)+_xlfn.IFNA(IF(VLOOKUP($J578&amp;Y$16,'Mapping A'!$A$6:$G$1011,7,0)=1,$L578,""),0)</f>
        <v>0</v>
      </c>
      <c r="Z578" s="15">
        <f>_xlfn.IFNA(IF(VLOOKUP($J578&amp;Z$14,'Mapping A'!$A$6:$G$1011,7,0)=1,$L578,""),0)+_xlfn.IFNA(IF(VLOOKUP($J578&amp;Z$16,'Mapping A'!$A$6:$G$1011,7,0)=1,$L578,""),0)</f>
        <v>0</v>
      </c>
      <c r="AA578" s="15">
        <f>_xlfn.IFNA(IF(VLOOKUP($J578&amp;AA$14,'Mapping A'!$A$6:$G$1011,7,0)=1,$L578,""),0)+_xlfn.IFNA(IF(VLOOKUP($J578&amp;AA$16,'Mapping A'!$A$6:$G$1011,7,0)=1,$L578,""),0)</f>
        <v>0</v>
      </c>
      <c r="AF578" s="155" t="str">
        <f t="shared" si="177"/>
        <v>ARI1102 ARI0MRP</v>
      </c>
      <c r="AG578" s="15" t="s">
        <v>141</v>
      </c>
      <c r="AH578" s="15" t="s">
        <v>17</v>
      </c>
      <c r="AI578" s="15">
        <v>349.40184219352801</v>
      </c>
      <c r="AJ578" s="292" t="s">
        <v>95</v>
      </c>
      <c r="AK578" s="15"/>
      <c r="AL578" s="15">
        <f t="shared" si="192"/>
        <v>0</v>
      </c>
      <c r="AM578" s="15">
        <f t="shared" ca="1" si="193"/>
        <v>0</v>
      </c>
      <c r="AN578" s="15">
        <f t="shared" ca="1" si="194"/>
        <v>0</v>
      </c>
      <c r="AO578" s="15">
        <f t="shared" si="195"/>
        <v>0</v>
      </c>
      <c r="AP578" s="15">
        <f t="shared" si="196"/>
        <v>0</v>
      </c>
      <c r="AQ578" s="15">
        <f t="shared" si="197"/>
        <v>0</v>
      </c>
      <c r="AR578" s="190">
        <f t="shared" si="199"/>
        <v>0</v>
      </c>
      <c r="AS578" s="190">
        <f t="shared" ca="1" si="200"/>
        <v>0</v>
      </c>
      <c r="AT578" s="190">
        <f t="shared" si="201"/>
        <v>0</v>
      </c>
      <c r="AU578" s="190">
        <f t="shared" si="202"/>
        <v>0</v>
      </c>
      <c r="AV578" s="190">
        <f t="shared" si="203"/>
        <v>0</v>
      </c>
      <c r="AW578" s="190">
        <f t="shared" si="204"/>
        <v>0</v>
      </c>
      <c r="AX578" s="190">
        <f t="shared" si="205"/>
        <v>0</v>
      </c>
      <c r="AZ578" s="15"/>
      <c r="BP578" s="190"/>
    </row>
    <row r="579" spans="2:68" x14ac:dyDescent="0.25">
      <c r="B579" s="98" t="s">
        <v>112</v>
      </c>
      <c r="C579" s="98">
        <v>2014</v>
      </c>
      <c r="D579" s="98" t="s">
        <v>318</v>
      </c>
      <c r="E579" s="98" t="s">
        <v>12</v>
      </c>
      <c r="F579" s="98" t="s">
        <v>131</v>
      </c>
      <c r="G579" s="98">
        <v>0</v>
      </c>
      <c r="H579" s="299" t="str">
        <f>VLOOKUP(LEFT('Rev Adequacy'!D579,3),'Mapping B'!$D$2:$E$400,2,0)</f>
        <v>S</v>
      </c>
      <c r="J579" s="15" t="s">
        <v>144</v>
      </c>
      <c r="K579" s="15" t="s">
        <v>35</v>
      </c>
      <c r="L579" s="15">
        <v>108.04398653577699</v>
      </c>
      <c r="M579" s="15"/>
      <c r="N579" s="15"/>
      <c r="O579" s="15">
        <f>_xlfn.IFNA(IF(VLOOKUP($J579&amp;O$14,'Mapping A'!$A$6:$G$1011,7,0)=1,$L579,""),0)+_xlfn.IFNA(IF(VLOOKUP($J579&amp;O$16,'Mapping A'!$A$6:$G$1011,7,0)=1,$L579,""),0)</f>
        <v>0</v>
      </c>
      <c r="P579" s="15">
        <f>_xlfn.IFNA(IF(VLOOKUP($J579&amp;P$14,'Mapping A'!$A$6:$G$1011,7,0)=1,$L579,""),0)+_xlfn.IFNA(IF(VLOOKUP($J579&amp;P$16,'Mapping A'!$A$6:$G$1011,7,0)=1,$L579,""),0)</f>
        <v>108.04398653577699</v>
      </c>
      <c r="Q579" s="15">
        <f>_xlfn.IFNA(IF(VLOOKUP($J579&amp;Q$14,'Mapping A'!$A$6:$G$1011,7,0)=1,$L579,""),0)+_xlfn.IFNA(IF(VLOOKUP($J579&amp;Q$16,'Mapping A'!$A$6:$G$1011,7,0)=1,$L579,""),0)</f>
        <v>108.04398653577699</v>
      </c>
      <c r="R579" s="15">
        <f>_xlfn.IFNA(IF(VLOOKUP($J579&amp;R$14,'Mapping A'!$A$6:$G$1011,7,0)=1,$L579,""),0)+_xlfn.IFNA(IF(VLOOKUP($J579&amp;R$16,'Mapping A'!$A$6:$G$1011,7,0)=1,$L579,""),0)</f>
        <v>0</v>
      </c>
      <c r="S579" s="15">
        <f>_xlfn.IFNA(IF(VLOOKUP($J579&amp;S$14,'Mapping A'!$A$6:$G$1011,7,0)=1,$L579,""),0)+_xlfn.IFNA(IF(VLOOKUP($J579&amp;S$16,'Mapping A'!$A$6:$G$1011,7,0)=1,$L579,""),0)</f>
        <v>0</v>
      </c>
      <c r="T579" s="15">
        <f>_xlfn.IFNA(IF(VLOOKUP($J579&amp;T$14,'Mapping A'!$A$6:$G$1011,7,0)=1,$L579,""),0)+_xlfn.IFNA(IF(VLOOKUP($J579&amp;T$16,'Mapping A'!$A$6:$G$1011,7,0)=1,$L579,""),0)</f>
        <v>0</v>
      </c>
      <c r="U579" s="15">
        <f>_xlfn.IFNA(IF(VLOOKUP($J579&amp;U$14,'Mapping A'!$A$6:$G$1011,7,0)=1,$L579,""),0)+_xlfn.IFNA(IF(VLOOKUP($J579&amp;U$16,'Mapping A'!$A$6:$G$1011,7,0)=1,$L579,""),0)</f>
        <v>0</v>
      </c>
      <c r="V579" s="15">
        <f>_xlfn.IFNA(IF(VLOOKUP($J579&amp;V$14,'Mapping A'!$A$6:$G$1011,7,0)=1,$L579,""),0)+_xlfn.IFNA(IF(VLOOKUP($J579&amp;V$16,'Mapping A'!$A$6:$G$1011,7,0)=1,$L579,""),0)</f>
        <v>108.04398653577699</v>
      </c>
      <c r="W579" s="15">
        <f>_xlfn.IFNA(IF(VLOOKUP($J579&amp;W$14,'Mapping A'!$A$6:$G$1011,7,0)=1,$L579,""),0)+_xlfn.IFNA(IF(VLOOKUP($J579&amp;W$16,'Mapping A'!$A$6:$G$1011,7,0)=1,$L579,""),0)</f>
        <v>0</v>
      </c>
      <c r="X579" s="15">
        <f>_xlfn.IFNA(IF(VLOOKUP($J579&amp;X$14,'Mapping A'!$A$6:$G$1011,7,0)=1,$L579,""),0)+_xlfn.IFNA(IF(VLOOKUP($J579&amp;X$16,'Mapping A'!$A$6:$G$1011,7,0)=1,$L579,""),0)</f>
        <v>0</v>
      </c>
      <c r="Y579" s="15">
        <f>_xlfn.IFNA(IF(VLOOKUP($J579&amp;Y$14,'Mapping A'!$A$6:$G$1011,7,0)=1,$L579,""),0)+_xlfn.IFNA(IF(VLOOKUP($J579&amp;Y$16,'Mapping A'!$A$6:$G$1011,7,0)=1,$L579,""),0)</f>
        <v>0</v>
      </c>
      <c r="Z579" s="15">
        <f>_xlfn.IFNA(IF(VLOOKUP($J579&amp;Z$14,'Mapping A'!$A$6:$G$1011,7,0)=1,$L579,""),0)+_xlfn.IFNA(IF(VLOOKUP($J579&amp;Z$16,'Mapping A'!$A$6:$G$1011,7,0)=1,$L579,""),0)</f>
        <v>0</v>
      </c>
      <c r="AA579" s="15">
        <f>_xlfn.IFNA(IF(VLOOKUP($J579&amp;AA$14,'Mapping A'!$A$6:$G$1011,7,0)=1,$L579,""),0)+_xlfn.IFNA(IF(VLOOKUP($J579&amp;AA$16,'Mapping A'!$A$6:$G$1011,7,0)=1,$L579,""),0)</f>
        <v>0</v>
      </c>
      <c r="AF579" s="155" t="str">
        <f t="shared" si="177"/>
        <v>ASB0661 HBK0Trustpower</v>
      </c>
      <c r="AG579" s="15" t="s">
        <v>144</v>
      </c>
      <c r="AH579" s="15" t="s">
        <v>35</v>
      </c>
      <c r="AI579" s="15">
        <v>108.04398653577699</v>
      </c>
      <c r="AJ579" s="292" t="s">
        <v>96</v>
      </c>
      <c r="AK579" s="15"/>
      <c r="AL579" s="15">
        <f t="shared" si="192"/>
        <v>0</v>
      </c>
      <c r="AM579" s="15">
        <f t="shared" ca="1" si="193"/>
        <v>0</v>
      </c>
      <c r="AN579" s="15">
        <f t="shared" ca="1" si="194"/>
        <v>0</v>
      </c>
      <c r="AO579" s="15">
        <f t="shared" si="195"/>
        <v>0</v>
      </c>
      <c r="AP579" s="15">
        <f t="shared" si="196"/>
        <v>0</v>
      </c>
      <c r="AQ579" s="15">
        <f t="shared" si="197"/>
        <v>0</v>
      </c>
      <c r="AR579" s="190">
        <f t="shared" si="199"/>
        <v>0</v>
      </c>
      <c r="AS579" s="190">
        <f t="shared" ca="1" si="200"/>
        <v>1.5800645302545158E-2</v>
      </c>
      <c r="AT579" s="190">
        <f t="shared" si="201"/>
        <v>0</v>
      </c>
      <c r="AU579" s="190">
        <f t="shared" si="202"/>
        <v>0</v>
      </c>
      <c r="AV579" s="190">
        <f t="shared" si="203"/>
        <v>0</v>
      </c>
      <c r="AW579" s="190">
        <f t="shared" si="204"/>
        <v>0</v>
      </c>
      <c r="AX579" s="190">
        <f t="shared" si="205"/>
        <v>0</v>
      </c>
      <c r="AZ579" s="15"/>
      <c r="BP579" s="190"/>
    </row>
    <row r="580" spans="2:68" x14ac:dyDescent="0.25">
      <c r="B580" s="98" t="s">
        <v>112</v>
      </c>
      <c r="C580" s="98">
        <v>2014</v>
      </c>
      <c r="D580" s="98" t="s">
        <v>380</v>
      </c>
      <c r="E580" s="98" t="s">
        <v>12</v>
      </c>
      <c r="F580" s="98" t="s">
        <v>131</v>
      </c>
      <c r="G580" s="98">
        <v>0</v>
      </c>
      <c r="H580" s="299" t="str">
        <f>VLOOKUP(LEFT('Rev Adequacy'!D580,3),'Mapping B'!$D$2:$E$400,2,0)</f>
        <v>S</v>
      </c>
      <c r="J580" s="15" t="s">
        <v>147</v>
      </c>
      <c r="K580" s="15" t="s">
        <v>17</v>
      </c>
      <c r="L580" s="15">
        <v>242.006416005147</v>
      </c>
      <c r="M580" s="15"/>
      <c r="N580" s="15"/>
      <c r="O580" s="15">
        <f>_xlfn.IFNA(IF(VLOOKUP($J580&amp;O$14,'Mapping A'!$A$6:$G$1011,7,0)=1,$L580,""),0)+_xlfn.IFNA(IF(VLOOKUP($J580&amp;O$16,'Mapping A'!$A$6:$G$1011,7,0)=1,$L580,""),0)</f>
        <v>0</v>
      </c>
      <c r="P580" s="15">
        <f>_xlfn.IFNA(IF(VLOOKUP($J580&amp;P$14,'Mapping A'!$A$6:$G$1011,7,0)=1,$L580,""),0)+_xlfn.IFNA(IF(VLOOKUP($J580&amp;P$16,'Mapping A'!$A$6:$G$1011,7,0)=1,$L580,""),0)</f>
        <v>0</v>
      </c>
      <c r="Q580" s="15">
        <f>_xlfn.IFNA(IF(VLOOKUP($J580&amp;Q$14,'Mapping A'!$A$6:$G$1011,7,0)=1,$L580,""),0)+_xlfn.IFNA(IF(VLOOKUP($J580&amp;Q$16,'Mapping A'!$A$6:$G$1011,7,0)=1,$L580,""),0)</f>
        <v>0</v>
      </c>
      <c r="R580" s="15">
        <f>_xlfn.IFNA(IF(VLOOKUP($J580&amp;R$14,'Mapping A'!$A$6:$G$1011,7,0)=1,$L580,""),0)+_xlfn.IFNA(IF(VLOOKUP($J580&amp;R$16,'Mapping A'!$A$6:$G$1011,7,0)=1,$L580,""),0)</f>
        <v>0</v>
      </c>
      <c r="S580" s="15">
        <f>_xlfn.IFNA(IF(VLOOKUP($J580&amp;S$14,'Mapping A'!$A$6:$G$1011,7,0)=1,$L580,""),0)+_xlfn.IFNA(IF(VLOOKUP($J580&amp;S$16,'Mapping A'!$A$6:$G$1011,7,0)=1,$L580,""),0)</f>
        <v>0</v>
      </c>
      <c r="T580" s="15">
        <f>_xlfn.IFNA(IF(VLOOKUP($J580&amp;T$14,'Mapping A'!$A$6:$G$1011,7,0)=1,$L580,""),0)+_xlfn.IFNA(IF(VLOOKUP($J580&amp;T$16,'Mapping A'!$A$6:$G$1011,7,0)=1,$L580,""),0)</f>
        <v>0</v>
      </c>
      <c r="U580" s="15">
        <f>_xlfn.IFNA(IF(VLOOKUP($J580&amp;U$14,'Mapping A'!$A$6:$G$1011,7,0)=1,$L580,""),0)+_xlfn.IFNA(IF(VLOOKUP($J580&amp;U$16,'Mapping A'!$A$6:$G$1011,7,0)=1,$L580,""),0)</f>
        <v>0</v>
      </c>
      <c r="V580" s="15">
        <f>_xlfn.IFNA(IF(VLOOKUP($J580&amp;V$14,'Mapping A'!$A$6:$G$1011,7,0)=1,$L580,""),0)+_xlfn.IFNA(IF(VLOOKUP($J580&amp;V$16,'Mapping A'!$A$6:$G$1011,7,0)=1,$L580,""),0)</f>
        <v>0</v>
      </c>
      <c r="W580" s="15">
        <f>_xlfn.IFNA(IF(VLOOKUP($J580&amp;W$14,'Mapping A'!$A$6:$G$1011,7,0)=1,$L580,""),0)+_xlfn.IFNA(IF(VLOOKUP($J580&amp;W$16,'Mapping A'!$A$6:$G$1011,7,0)=1,$L580,""),0)</f>
        <v>0</v>
      </c>
      <c r="X580" s="15">
        <f>_xlfn.IFNA(IF(VLOOKUP($J580&amp;X$14,'Mapping A'!$A$6:$G$1011,7,0)=1,$L580,""),0)+_xlfn.IFNA(IF(VLOOKUP($J580&amp;X$16,'Mapping A'!$A$6:$G$1011,7,0)=1,$L580,""),0)</f>
        <v>0</v>
      </c>
      <c r="Y580" s="15">
        <f>_xlfn.IFNA(IF(VLOOKUP($J580&amp;Y$14,'Mapping A'!$A$6:$G$1011,7,0)=1,$L580,""),0)+_xlfn.IFNA(IF(VLOOKUP($J580&amp;Y$16,'Mapping A'!$A$6:$G$1011,7,0)=1,$L580,""),0)</f>
        <v>0</v>
      </c>
      <c r="Z580" s="15">
        <f>_xlfn.IFNA(IF(VLOOKUP($J580&amp;Z$14,'Mapping A'!$A$6:$G$1011,7,0)=1,$L580,""),0)+_xlfn.IFNA(IF(VLOOKUP($J580&amp;Z$16,'Mapping A'!$A$6:$G$1011,7,0)=1,$L580,""),0)</f>
        <v>0</v>
      </c>
      <c r="AA580" s="15">
        <f>_xlfn.IFNA(IF(VLOOKUP($J580&amp;AA$14,'Mapping A'!$A$6:$G$1011,7,0)=1,$L580,""),0)+_xlfn.IFNA(IF(VLOOKUP($J580&amp;AA$16,'Mapping A'!$A$6:$G$1011,7,0)=1,$L580,""),0)</f>
        <v>0</v>
      </c>
      <c r="AF580" s="155" t="str">
        <f t="shared" si="177"/>
        <v>ATI2201 ATI0MRP</v>
      </c>
      <c r="AG580" s="15" t="s">
        <v>147</v>
      </c>
      <c r="AH580" s="15" t="s">
        <v>17</v>
      </c>
      <c r="AI580" s="15">
        <v>242.006416005147</v>
      </c>
      <c r="AJ580" s="292" t="s">
        <v>95</v>
      </c>
      <c r="AK580" s="15"/>
      <c r="AL580" s="15">
        <f t="shared" si="192"/>
        <v>0</v>
      </c>
      <c r="AM580" s="15">
        <f t="shared" ca="1" si="193"/>
        <v>0</v>
      </c>
      <c r="AN580" s="15">
        <f t="shared" ca="1" si="194"/>
        <v>0</v>
      </c>
      <c r="AO580" s="15">
        <f t="shared" si="195"/>
        <v>0</v>
      </c>
      <c r="AP580" s="15">
        <f t="shared" si="196"/>
        <v>0</v>
      </c>
      <c r="AQ580" s="15">
        <f t="shared" si="197"/>
        <v>0</v>
      </c>
      <c r="AR580" s="190">
        <f t="shared" si="199"/>
        <v>0</v>
      </c>
      <c r="AS580" s="190">
        <f t="shared" ca="1" si="200"/>
        <v>0</v>
      </c>
      <c r="AT580" s="190">
        <f t="shared" si="201"/>
        <v>0</v>
      </c>
      <c r="AU580" s="190">
        <f t="shared" si="202"/>
        <v>0</v>
      </c>
      <c r="AV580" s="190">
        <f t="shared" si="203"/>
        <v>0</v>
      </c>
      <c r="AW580" s="190">
        <f t="shared" si="204"/>
        <v>0</v>
      </c>
      <c r="AX580" s="190">
        <f t="shared" si="205"/>
        <v>0</v>
      </c>
      <c r="AZ580" s="15"/>
      <c r="BP580" s="190"/>
    </row>
    <row r="581" spans="2:68" x14ac:dyDescent="0.25">
      <c r="B581" s="98" t="s">
        <v>112</v>
      </c>
      <c r="C581" s="98">
        <v>2014</v>
      </c>
      <c r="D581" s="98" t="s">
        <v>381</v>
      </c>
      <c r="E581" s="98" t="s">
        <v>12</v>
      </c>
      <c r="F581" s="98" t="s">
        <v>131</v>
      </c>
      <c r="G581" s="98">
        <v>0</v>
      </c>
      <c r="H581" s="299" t="str">
        <f>VLOOKUP(LEFT('Rev Adequacy'!D581,3),'Mapping B'!$D$2:$E$400,2,0)</f>
        <v>S</v>
      </c>
      <c r="J581" s="15" t="s">
        <v>149</v>
      </c>
      <c r="K581" s="15" t="s">
        <v>14</v>
      </c>
      <c r="L581" s="15">
        <v>1049.8555707458299</v>
      </c>
      <c r="M581" s="15"/>
      <c r="N581" s="15"/>
      <c r="O581" s="15">
        <f>_xlfn.IFNA(IF(VLOOKUP($J581&amp;O$14,'Mapping A'!$A$6:$G$1011,7,0)=1,$L581,""),0)+_xlfn.IFNA(IF(VLOOKUP($J581&amp;O$16,'Mapping A'!$A$6:$G$1011,7,0)=1,$L581,""),0)</f>
        <v>0</v>
      </c>
      <c r="P581" s="15">
        <f>_xlfn.IFNA(IF(VLOOKUP($J581&amp;P$14,'Mapping A'!$A$6:$G$1011,7,0)=1,$L581,""),0)+_xlfn.IFNA(IF(VLOOKUP($J581&amp;P$16,'Mapping A'!$A$6:$G$1011,7,0)=1,$L581,""),0)</f>
        <v>1049.8555707458299</v>
      </c>
      <c r="Q581" s="15">
        <f>_xlfn.IFNA(IF(VLOOKUP($J581&amp;Q$14,'Mapping A'!$A$6:$G$1011,7,0)=1,$L581,""),0)+_xlfn.IFNA(IF(VLOOKUP($J581&amp;Q$16,'Mapping A'!$A$6:$G$1011,7,0)=1,$L581,""),0)</f>
        <v>1049.8555707458299</v>
      </c>
      <c r="R581" s="15">
        <f>_xlfn.IFNA(IF(VLOOKUP($J581&amp;R$14,'Mapping A'!$A$6:$G$1011,7,0)=1,$L581,""),0)+_xlfn.IFNA(IF(VLOOKUP($J581&amp;R$16,'Mapping A'!$A$6:$G$1011,7,0)=1,$L581,""),0)</f>
        <v>0</v>
      </c>
      <c r="S581" s="15">
        <f>_xlfn.IFNA(IF(VLOOKUP($J581&amp;S$14,'Mapping A'!$A$6:$G$1011,7,0)=1,$L581,""),0)+_xlfn.IFNA(IF(VLOOKUP($J581&amp;S$16,'Mapping A'!$A$6:$G$1011,7,0)=1,$L581,""),0)</f>
        <v>0</v>
      </c>
      <c r="T581" s="15">
        <f>_xlfn.IFNA(IF(VLOOKUP($J581&amp;T$14,'Mapping A'!$A$6:$G$1011,7,0)=1,$L581,""),0)+_xlfn.IFNA(IF(VLOOKUP($J581&amp;T$16,'Mapping A'!$A$6:$G$1011,7,0)=1,$L581,""),0)</f>
        <v>0</v>
      </c>
      <c r="U581" s="15">
        <f>_xlfn.IFNA(IF(VLOOKUP($J581&amp;U$14,'Mapping A'!$A$6:$G$1011,7,0)=1,$L581,""),0)+_xlfn.IFNA(IF(VLOOKUP($J581&amp;U$16,'Mapping A'!$A$6:$G$1011,7,0)=1,$L581,""),0)</f>
        <v>0</v>
      </c>
      <c r="V581" s="15">
        <f>_xlfn.IFNA(IF(VLOOKUP($J581&amp;V$14,'Mapping A'!$A$6:$G$1011,7,0)=1,$L581,""),0)+_xlfn.IFNA(IF(VLOOKUP($J581&amp;V$16,'Mapping A'!$A$6:$G$1011,7,0)=1,$L581,""),0)</f>
        <v>1049.8555707458299</v>
      </c>
      <c r="W581" s="15">
        <f>_xlfn.IFNA(IF(VLOOKUP($J581&amp;W$14,'Mapping A'!$A$6:$G$1011,7,0)=1,$L581,""),0)+_xlfn.IFNA(IF(VLOOKUP($J581&amp;W$16,'Mapping A'!$A$6:$G$1011,7,0)=1,$L581,""),0)</f>
        <v>0</v>
      </c>
      <c r="X581" s="15">
        <f>_xlfn.IFNA(IF(VLOOKUP($J581&amp;X$14,'Mapping A'!$A$6:$G$1011,7,0)=1,$L581,""),0)+_xlfn.IFNA(IF(VLOOKUP($J581&amp;X$16,'Mapping A'!$A$6:$G$1011,7,0)=1,$L581,""),0)</f>
        <v>0</v>
      </c>
      <c r="Y581" s="15">
        <f>_xlfn.IFNA(IF(VLOOKUP($J581&amp;Y$14,'Mapping A'!$A$6:$G$1011,7,0)=1,$L581,""),0)+_xlfn.IFNA(IF(VLOOKUP($J581&amp;Y$16,'Mapping A'!$A$6:$G$1011,7,0)=1,$L581,""),0)</f>
        <v>0</v>
      </c>
      <c r="Z581" s="15">
        <f>_xlfn.IFNA(IF(VLOOKUP($J581&amp;Z$14,'Mapping A'!$A$6:$G$1011,7,0)=1,$L581,""),0)+_xlfn.IFNA(IF(VLOOKUP($J581&amp;Z$16,'Mapping A'!$A$6:$G$1011,7,0)=1,$L581,""),0)</f>
        <v>0</v>
      </c>
      <c r="AA581" s="15">
        <f>_xlfn.IFNA(IF(VLOOKUP($J581&amp;AA$14,'Mapping A'!$A$6:$G$1011,7,0)=1,$L581,""),0)+_xlfn.IFNA(IF(VLOOKUP($J581&amp;AA$16,'Mapping A'!$A$6:$G$1011,7,0)=1,$L581,""),0)</f>
        <v>0</v>
      </c>
      <c r="AF581" s="155" t="str">
        <f t="shared" si="177"/>
        <v>AVI2201 AVI0Meridian</v>
      </c>
      <c r="AG581" s="15" t="s">
        <v>149</v>
      </c>
      <c r="AH581" s="15" t="s">
        <v>14</v>
      </c>
      <c r="AI581" s="15">
        <v>1049.8555707458299</v>
      </c>
      <c r="AJ581" s="292" t="s">
        <v>96</v>
      </c>
      <c r="AK581" s="15"/>
      <c r="AL581" s="15">
        <f t="shared" si="192"/>
        <v>0</v>
      </c>
      <c r="AM581" s="15">
        <f t="shared" ca="1" si="193"/>
        <v>0</v>
      </c>
      <c r="AN581" s="15">
        <f t="shared" ca="1" si="194"/>
        <v>0</v>
      </c>
      <c r="AO581" s="15">
        <f t="shared" si="195"/>
        <v>0</v>
      </c>
      <c r="AP581" s="15">
        <f t="shared" si="196"/>
        <v>0</v>
      </c>
      <c r="AQ581" s="15">
        <f t="shared" si="197"/>
        <v>0</v>
      </c>
      <c r="AR581" s="190">
        <f t="shared" si="199"/>
        <v>0</v>
      </c>
      <c r="AS581" s="190">
        <f t="shared" ca="1" si="200"/>
        <v>0.15353372292277451</v>
      </c>
      <c r="AT581" s="190">
        <f t="shared" si="201"/>
        <v>0</v>
      </c>
      <c r="AU581" s="190">
        <f t="shared" si="202"/>
        <v>0</v>
      </c>
      <c r="AV581" s="190">
        <f t="shared" si="203"/>
        <v>0</v>
      </c>
      <c r="AW581" s="190">
        <f t="shared" si="204"/>
        <v>0</v>
      </c>
      <c r="AX581" s="190">
        <f t="shared" si="205"/>
        <v>0</v>
      </c>
      <c r="AZ581" s="15"/>
      <c r="BP581" s="190"/>
    </row>
    <row r="582" spans="2:68" x14ac:dyDescent="0.25">
      <c r="B582" s="98" t="s">
        <v>111</v>
      </c>
      <c r="C582" s="98">
        <v>2014</v>
      </c>
      <c r="D582" s="98" t="s">
        <v>175</v>
      </c>
      <c r="E582" s="98" t="s">
        <v>12</v>
      </c>
      <c r="F582" s="98" t="s">
        <v>131</v>
      </c>
      <c r="G582" s="98">
        <v>0</v>
      </c>
      <c r="H582" s="299" t="str">
        <f>VLOOKUP(LEFT('Rev Adequacy'!D582,3),'Mapping B'!$D$2:$E$400,2,0)</f>
        <v>S</v>
      </c>
      <c r="J582" s="15" t="s">
        <v>427</v>
      </c>
      <c r="K582" s="15" t="s">
        <v>14</v>
      </c>
      <c r="L582" s="15"/>
      <c r="M582" s="15"/>
      <c r="N582" s="15"/>
      <c r="O582" s="15">
        <f>_xlfn.IFNA(IF(VLOOKUP($J582&amp;O$14,'Mapping A'!$A$6:$G$1011,7,0)=1,$L582,""),0)+_xlfn.IFNA(IF(VLOOKUP($J582&amp;O$16,'Mapping A'!$A$6:$G$1011,7,0)=1,$L582,""),0)</f>
        <v>0</v>
      </c>
      <c r="P582" s="15">
        <f>_xlfn.IFNA(IF(VLOOKUP($J582&amp;P$14,'Mapping A'!$A$6:$G$1011,7,0)=1,$L582,""),0)+_xlfn.IFNA(IF(VLOOKUP($J582&amp;P$16,'Mapping A'!$A$6:$G$1011,7,0)=1,$L582,""),0)</f>
        <v>0</v>
      </c>
      <c r="Q582" s="15">
        <f>_xlfn.IFNA(IF(VLOOKUP($J582&amp;Q$14,'Mapping A'!$A$6:$G$1011,7,0)=1,$L582,""),0)+_xlfn.IFNA(IF(VLOOKUP($J582&amp;Q$16,'Mapping A'!$A$6:$G$1011,7,0)=1,$L582,""),0)</f>
        <v>0</v>
      </c>
      <c r="R582" s="15">
        <f>_xlfn.IFNA(IF(VLOOKUP($J582&amp;R$14,'Mapping A'!$A$6:$G$1011,7,0)=1,$L582,""),0)+_xlfn.IFNA(IF(VLOOKUP($J582&amp;R$16,'Mapping A'!$A$6:$G$1011,7,0)=1,$L582,""),0)</f>
        <v>0</v>
      </c>
      <c r="S582" s="15">
        <f>_xlfn.IFNA(IF(VLOOKUP($J582&amp;S$14,'Mapping A'!$A$6:$G$1011,7,0)=1,$L582,""),0)+_xlfn.IFNA(IF(VLOOKUP($J582&amp;S$16,'Mapping A'!$A$6:$G$1011,7,0)=1,$L582,""),0)</f>
        <v>0</v>
      </c>
      <c r="T582" s="15">
        <f>_xlfn.IFNA(IF(VLOOKUP($J582&amp;T$14,'Mapping A'!$A$6:$G$1011,7,0)=1,$L582,""),0)+_xlfn.IFNA(IF(VLOOKUP($J582&amp;T$16,'Mapping A'!$A$6:$G$1011,7,0)=1,$L582,""),0)</f>
        <v>0</v>
      </c>
      <c r="U582" s="15">
        <f>_xlfn.IFNA(IF(VLOOKUP($J582&amp;U$14,'Mapping A'!$A$6:$G$1011,7,0)=1,$L582,""),0)+_xlfn.IFNA(IF(VLOOKUP($J582&amp;U$16,'Mapping A'!$A$6:$G$1011,7,0)=1,$L582,""),0)</f>
        <v>0</v>
      </c>
      <c r="V582" s="15">
        <f>_xlfn.IFNA(IF(VLOOKUP($J582&amp;V$14,'Mapping A'!$A$6:$G$1011,7,0)=1,$L582,""),0)+_xlfn.IFNA(IF(VLOOKUP($J582&amp;V$16,'Mapping A'!$A$6:$G$1011,7,0)=1,$L582,""),0)</f>
        <v>0</v>
      </c>
      <c r="W582" s="15">
        <f>_xlfn.IFNA(IF(VLOOKUP($J582&amp;W$14,'Mapping A'!$A$6:$G$1011,7,0)=1,$L582,""),0)+_xlfn.IFNA(IF(VLOOKUP($J582&amp;W$16,'Mapping A'!$A$6:$G$1011,7,0)=1,$L582,""),0)</f>
        <v>0</v>
      </c>
      <c r="X582" s="15">
        <f>_xlfn.IFNA(IF(VLOOKUP($J582&amp;X$14,'Mapping A'!$A$6:$G$1011,7,0)=1,$L582,""),0)+_xlfn.IFNA(IF(VLOOKUP($J582&amp;X$16,'Mapping A'!$A$6:$G$1011,7,0)=1,$L582,""),0)</f>
        <v>0</v>
      </c>
      <c r="Y582" s="15">
        <f>_xlfn.IFNA(IF(VLOOKUP($J582&amp;Y$14,'Mapping A'!$A$6:$G$1011,7,0)=1,$L582,""),0)+_xlfn.IFNA(IF(VLOOKUP($J582&amp;Y$16,'Mapping A'!$A$6:$G$1011,7,0)=1,$L582,""),0)</f>
        <v>0</v>
      </c>
      <c r="Z582" s="15">
        <f>_xlfn.IFNA(IF(VLOOKUP($J582&amp;Z$14,'Mapping A'!$A$6:$G$1011,7,0)=1,$L582,""),0)+_xlfn.IFNA(IF(VLOOKUP($J582&amp;Z$16,'Mapping A'!$A$6:$G$1011,7,0)=1,$L582,""),0)</f>
        <v>0</v>
      </c>
      <c r="AA582" s="15">
        <f>_xlfn.IFNA(IF(VLOOKUP($J582&amp;AA$14,'Mapping A'!$A$6:$G$1011,7,0)=1,$L582,""),0)+_xlfn.IFNA(IF(VLOOKUP($J582&amp;AA$16,'Mapping A'!$A$6:$G$1011,7,0)=1,$L582,""),0)</f>
        <v>0</v>
      </c>
      <c r="AF582" s="155" t="str">
        <f t="shared" si="177"/>
        <v>BEN0162 BEN0Meridian</v>
      </c>
      <c r="AG582" s="15" t="s">
        <v>427</v>
      </c>
      <c r="AH582" s="15" t="s">
        <v>14</v>
      </c>
      <c r="AI582" s="15"/>
      <c r="AJ582" s="292" t="s">
        <v>96</v>
      </c>
      <c r="AK582" s="15"/>
      <c r="AL582" s="15">
        <f t="shared" si="192"/>
        <v>0</v>
      </c>
      <c r="AM582" s="15">
        <f t="shared" ca="1" si="193"/>
        <v>0</v>
      </c>
      <c r="AN582" s="15">
        <f t="shared" ca="1" si="194"/>
        <v>0</v>
      </c>
      <c r="AO582" s="15">
        <f t="shared" si="195"/>
        <v>0</v>
      </c>
      <c r="AP582" s="15">
        <f t="shared" si="196"/>
        <v>0</v>
      </c>
      <c r="AQ582" s="15">
        <f t="shared" si="197"/>
        <v>0</v>
      </c>
      <c r="AR582" s="190">
        <f t="shared" si="199"/>
        <v>0</v>
      </c>
      <c r="AS582" s="190">
        <f t="shared" ca="1" si="200"/>
        <v>0</v>
      </c>
      <c r="AT582" s="190">
        <f t="shared" si="201"/>
        <v>0</v>
      </c>
      <c r="AU582" s="190">
        <f t="shared" si="202"/>
        <v>0</v>
      </c>
      <c r="AV582" s="190">
        <f t="shared" si="203"/>
        <v>0</v>
      </c>
      <c r="AW582" s="190">
        <f t="shared" si="204"/>
        <v>0</v>
      </c>
      <c r="AX582" s="190">
        <f t="shared" si="205"/>
        <v>0</v>
      </c>
      <c r="AZ582" s="15"/>
      <c r="BP582" s="190"/>
    </row>
    <row r="583" spans="2:68" x14ac:dyDescent="0.25">
      <c r="B583" s="98" t="s">
        <v>111</v>
      </c>
      <c r="C583" s="98">
        <v>2014</v>
      </c>
      <c r="D583" s="98" t="s">
        <v>176</v>
      </c>
      <c r="E583" s="98" t="s">
        <v>12</v>
      </c>
      <c r="F583" s="98" t="s">
        <v>131</v>
      </c>
      <c r="G583" s="98">
        <v>0</v>
      </c>
      <c r="H583" s="299" t="str">
        <f>VLOOKUP(LEFT('Rev Adequacy'!D583,3),'Mapping B'!$D$2:$E$400,2,0)</f>
        <v>S</v>
      </c>
      <c r="J583" s="15" t="s">
        <v>428</v>
      </c>
      <c r="K583" s="15" t="s">
        <v>14</v>
      </c>
      <c r="L583" s="15"/>
      <c r="M583" s="15"/>
      <c r="N583" s="15"/>
      <c r="O583" s="15">
        <f>_xlfn.IFNA(IF(VLOOKUP($J583&amp;O$14,'Mapping A'!$A$6:$G$1011,7,0)=1,$L583,""),0)+_xlfn.IFNA(IF(VLOOKUP($J583&amp;O$16,'Mapping A'!$A$6:$G$1011,7,0)=1,$L583,""),0)</f>
        <v>0</v>
      </c>
      <c r="P583" s="15">
        <f>_xlfn.IFNA(IF(VLOOKUP($J583&amp;P$14,'Mapping A'!$A$6:$G$1011,7,0)=1,$L583,""),0)+_xlfn.IFNA(IF(VLOOKUP($J583&amp;P$16,'Mapping A'!$A$6:$G$1011,7,0)=1,$L583,""),0)</f>
        <v>0</v>
      </c>
      <c r="Q583" s="15">
        <f>_xlfn.IFNA(IF(VLOOKUP($J583&amp;Q$14,'Mapping A'!$A$6:$G$1011,7,0)=1,$L583,""),0)+_xlfn.IFNA(IF(VLOOKUP($J583&amp;Q$16,'Mapping A'!$A$6:$G$1011,7,0)=1,$L583,""),0)</f>
        <v>0</v>
      </c>
      <c r="R583" s="15">
        <f>_xlfn.IFNA(IF(VLOOKUP($J583&amp;R$14,'Mapping A'!$A$6:$G$1011,7,0)=1,$L583,""),0)+_xlfn.IFNA(IF(VLOOKUP($J583&amp;R$16,'Mapping A'!$A$6:$G$1011,7,0)=1,$L583,""),0)</f>
        <v>0</v>
      </c>
      <c r="S583" s="15">
        <f>_xlfn.IFNA(IF(VLOOKUP($J583&amp;S$14,'Mapping A'!$A$6:$G$1011,7,0)=1,$L583,""),0)+_xlfn.IFNA(IF(VLOOKUP($J583&amp;S$16,'Mapping A'!$A$6:$G$1011,7,0)=1,$L583,""),0)</f>
        <v>0</v>
      </c>
      <c r="T583" s="15">
        <f>_xlfn.IFNA(IF(VLOOKUP($J583&amp;T$14,'Mapping A'!$A$6:$G$1011,7,0)=1,$L583,""),0)+_xlfn.IFNA(IF(VLOOKUP($J583&amp;T$16,'Mapping A'!$A$6:$G$1011,7,0)=1,$L583,""),0)</f>
        <v>0</v>
      </c>
      <c r="U583" s="15">
        <f>_xlfn.IFNA(IF(VLOOKUP($J583&amp;U$14,'Mapping A'!$A$6:$G$1011,7,0)=1,$L583,""),0)+_xlfn.IFNA(IF(VLOOKUP($J583&amp;U$16,'Mapping A'!$A$6:$G$1011,7,0)=1,$L583,""),0)</f>
        <v>0</v>
      </c>
      <c r="V583" s="15">
        <f>_xlfn.IFNA(IF(VLOOKUP($J583&amp;V$14,'Mapping A'!$A$6:$G$1011,7,0)=1,$L583,""),0)+_xlfn.IFNA(IF(VLOOKUP($J583&amp;V$16,'Mapping A'!$A$6:$G$1011,7,0)=1,$L583,""),0)</f>
        <v>0</v>
      </c>
      <c r="W583" s="15">
        <f>_xlfn.IFNA(IF(VLOOKUP($J583&amp;W$14,'Mapping A'!$A$6:$G$1011,7,0)=1,$L583,""),0)+_xlfn.IFNA(IF(VLOOKUP($J583&amp;W$16,'Mapping A'!$A$6:$G$1011,7,0)=1,$L583,""),0)</f>
        <v>0</v>
      </c>
      <c r="X583" s="15">
        <f>_xlfn.IFNA(IF(VLOOKUP($J583&amp;X$14,'Mapping A'!$A$6:$G$1011,7,0)=1,$L583,""),0)+_xlfn.IFNA(IF(VLOOKUP($J583&amp;X$16,'Mapping A'!$A$6:$G$1011,7,0)=1,$L583,""),0)</f>
        <v>0</v>
      </c>
      <c r="Y583" s="15">
        <f>_xlfn.IFNA(IF(VLOOKUP($J583&amp;Y$14,'Mapping A'!$A$6:$G$1011,7,0)=1,$L583,""),0)+_xlfn.IFNA(IF(VLOOKUP($J583&amp;Y$16,'Mapping A'!$A$6:$G$1011,7,0)=1,$L583,""),0)</f>
        <v>0</v>
      </c>
      <c r="Z583" s="15">
        <f>_xlfn.IFNA(IF(VLOOKUP($J583&amp;Z$14,'Mapping A'!$A$6:$G$1011,7,0)=1,$L583,""),0)+_xlfn.IFNA(IF(VLOOKUP($J583&amp;Z$16,'Mapping A'!$A$6:$G$1011,7,0)=1,$L583,""),0)</f>
        <v>0</v>
      </c>
      <c r="AA583" s="15">
        <f>_xlfn.IFNA(IF(VLOOKUP($J583&amp;AA$14,'Mapping A'!$A$6:$G$1011,7,0)=1,$L583,""),0)+_xlfn.IFNA(IF(VLOOKUP($J583&amp;AA$16,'Mapping A'!$A$6:$G$1011,7,0)=1,$L583,""),0)</f>
        <v>0</v>
      </c>
      <c r="AF583" s="155" t="str">
        <f t="shared" si="177"/>
        <v>BEN0163 BEN0Meridian</v>
      </c>
      <c r="AG583" s="15" t="s">
        <v>428</v>
      </c>
      <c r="AH583" s="15" t="s">
        <v>14</v>
      </c>
      <c r="AI583" s="15"/>
      <c r="AJ583" s="292" t="s">
        <v>96</v>
      </c>
      <c r="AK583" s="15"/>
      <c r="AL583" s="15">
        <f t="shared" si="192"/>
        <v>0</v>
      </c>
      <c r="AM583" s="15">
        <f t="shared" ca="1" si="193"/>
        <v>0</v>
      </c>
      <c r="AN583" s="15">
        <f t="shared" ca="1" si="194"/>
        <v>0</v>
      </c>
      <c r="AO583" s="15">
        <f t="shared" si="195"/>
        <v>0</v>
      </c>
      <c r="AP583" s="15">
        <f t="shared" si="196"/>
        <v>0</v>
      </c>
      <c r="AQ583" s="15">
        <f t="shared" si="197"/>
        <v>0</v>
      </c>
      <c r="AR583" s="190">
        <f t="shared" si="199"/>
        <v>0</v>
      </c>
      <c r="AS583" s="190">
        <f t="shared" ca="1" si="200"/>
        <v>0</v>
      </c>
      <c r="AT583" s="190">
        <f t="shared" si="201"/>
        <v>0</v>
      </c>
      <c r="AU583" s="190">
        <f t="shared" si="202"/>
        <v>0</v>
      </c>
      <c r="AV583" s="190">
        <f t="shared" si="203"/>
        <v>0</v>
      </c>
      <c r="AW583" s="190">
        <f t="shared" si="204"/>
        <v>0</v>
      </c>
      <c r="AX583" s="190">
        <f t="shared" si="205"/>
        <v>0</v>
      </c>
      <c r="AZ583" s="15"/>
      <c r="BP583" s="190"/>
    </row>
    <row r="584" spans="2:68" x14ac:dyDescent="0.25">
      <c r="B584" s="98" t="s">
        <v>111</v>
      </c>
      <c r="C584" s="98">
        <v>2014</v>
      </c>
      <c r="D584" s="98" t="s">
        <v>227</v>
      </c>
      <c r="E584" s="98" t="s">
        <v>12</v>
      </c>
      <c r="F584" s="98" t="s">
        <v>131</v>
      </c>
      <c r="G584" s="98">
        <v>0</v>
      </c>
      <c r="H584" s="299" t="str">
        <f>VLOOKUP(LEFT('Rev Adequacy'!D584,3),'Mapping B'!$D$2:$E$400,2,0)</f>
        <v>S</v>
      </c>
      <c r="J584" s="15" t="s">
        <v>152</v>
      </c>
      <c r="K584" s="15" t="s">
        <v>14</v>
      </c>
      <c r="L584" s="15">
        <v>2560.8304599466101</v>
      </c>
      <c r="M584" s="15"/>
      <c r="N584" s="15"/>
      <c r="O584" s="15">
        <f>_xlfn.IFNA(IF(VLOOKUP($J584&amp;O$14,'Mapping A'!$A$6:$G$1011,7,0)=1,$L584,""),0)+_xlfn.IFNA(IF(VLOOKUP($J584&amp;O$16,'Mapping A'!$A$6:$G$1011,7,0)=1,$L584,""),0)</f>
        <v>0</v>
      </c>
      <c r="P584" s="15">
        <f>_xlfn.IFNA(IF(VLOOKUP($J584&amp;P$14,'Mapping A'!$A$6:$G$1011,7,0)=1,$L584,""),0)+_xlfn.IFNA(IF(VLOOKUP($J584&amp;P$16,'Mapping A'!$A$6:$G$1011,7,0)=1,$L584,""),0)</f>
        <v>2560.8304599466101</v>
      </c>
      <c r="Q584" s="15">
        <f>_xlfn.IFNA(IF(VLOOKUP($J584&amp;Q$14,'Mapping A'!$A$6:$G$1011,7,0)=1,$L584,""),0)+_xlfn.IFNA(IF(VLOOKUP($J584&amp;Q$16,'Mapping A'!$A$6:$G$1011,7,0)=1,$L584,""),0)</f>
        <v>2560.8304599466101</v>
      </c>
      <c r="R584" s="15">
        <f>_xlfn.IFNA(IF(VLOOKUP($J584&amp;R$14,'Mapping A'!$A$6:$G$1011,7,0)=1,$L584,""),0)+_xlfn.IFNA(IF(VLOOKUP($J584&amp;R$16,'Mapping A'!$A$6:$G$1011,7,0)=1,$L584,""),0)</f>
        <v>0</v>
      </c>
      <c r="S584" s="15">
        <f>_xlfn.IFNA(IF(VLOOKUP($J584&amp;S$14,'Mapping A'!$A$6:$G$1011,7,0)=1,$L584,""),0)+_xlfn.IFNA(IF(VLOOKUP($J584&amp;S$16,'Mapping A'!$A$6:$G$1011,7,0)=1,$L584,""),0)</f>
        <v>0</v>
      </c>
      <c r="T584" s="15">
        <f>_xlfn.IFNA(IF(VLOOKUP($J584&amp;T$14,'Mapping A'!$A$6:$G$1011,7,0)=1,$L584,""),0)+_xlfn.IFNA(IF(VLOOKUP($J584&amp;T$16,'Mapping A'!$A$6:$G$1011,7,0)=1,$L584,""),0)</f>
        <v>0</v>
      </c>
      <c r="U584" s="15">
        <f>_xlfn.IFNA(IF(VLOOKUP($J584&amp;U$14,'Mapping A'!$A$6:$G$1011,7,0)=1,$L584,""),0)+_xlfn.IFNA(IF(VLOOKUP($J584&amp;U$16,'Mapping A'!$A$6:$G$1011,7,0)=1,$L584,""),0)</f>
        <v>0</v>
      </c>
      <c r="V584" s="15">
        <f>_xlfn.IFNA(IF(VLOOKUP($J584&amp;V$14,'Mapping A'!$A$6:$G$1011,7,0)=1,$L584,""),0)+_xlfn.IFNA(IF(VLOOKUP($J584&amp;V$16,'Mapping A'!$A$6:$G$1011,7,0)=1,$L584,""),0)</f>
        <v>2560.8304599466101</v>
      </c>
      <c r="W584" s="15">
        <f>_xlfn.IFNA(IF(VLOOKUP($J584&amp;W$14,'Mapping A'!$A$6:$G$1011,7,0)=1,$L584,""),0)+_xlfn.IFNA(IF(VLOOKUP($J584&amp;W$16,'Mapping A'!$A$6:$G$1011,7,0)=1,$L584,""),0)</f>
        <v>0</v>
      </c>
      <c r="X584" s="15">
        <f>_xlfn.IFNA(IF(VLOOKUP($J584&amp;X$14,'Mapping A'!$A$6:$G$1011,7,0)=1,$L584,""),0)+_xlfn.IFNA(IF(VLOOKUP($J584&amp;X$16,'Mapping A'!$A$6:$G$1011,7,0)=1,$L584,""),0)</f>
        <v>0</v>
      </c>
      <c r="Y584" s="15">
        <f>_xlfn.IFNA(IF(VLOOKUP($J584&amp;Y$14,'Mapping A'!$A$6:$G$1011,7,0)=1,$L584,""),0)+_xlfn.IFNA(IF(VLOOKUP($J584&amp;Y$16,'Mapping A'!$A$6:$G$1011,7,0)=1,$L584,""),0)</f>
        <v>0</v>
      </c>
      <c r="Z584" s="15">
        <f>_xlfn.IFNA(IF(VLOOKUP($J584&amp;Z$14,'Mapping A'!$A$6:$G$1011,7,0)=1,$L584,""),0)+_xlfn.IFNA(IF(VLOOKUP($J584&amp;Z$16,'Mapping A'!$A$6:$G$1011,7,0)=1,$L584,""),0)</f>
        <v>0</v>
      </c>
      <c r="AA584" s="15">
        <f>_xlfn.IFNA(IF(VLOOKUP($J584&amp;AA$14,'Mapping A'!$A$6:$G$1011,7,0)=1,$L584,""),0)+_xlfn.IFNA(IF(VLOOKUP($J584&amp;AA$16,'Mapping A'!$A$6:$G$1011,7,0)=1,$L584,""),0)</f>
        <v>0</v>
      </c>
      <c r="AF584" s="155" t="str">
        <f t="shared" si="177"/>
        <v>BEN2202 BEN0Meridian</v>
      </c>
      <c r="AG584" s="15" t="s">
        <v>152</v>
      </c>
      <c r="AH584" s="15" t="s">
        <v>14</v>
      </c>
      <c r="AI584" s="15">
        <v>2560.8304599466101</v>
      </c>
      <c r="AJ584" s="292" t="s">
        <v>96</v>
      </c>
      <c r="AK584" s="15"/>
      <c r="AL584" s="15">
        <f t="shared" si="192"/>
        <v>0</v>
      </c>
      <c r="AM584" s="15">
        <f t="shared" ca="1" si="193"/>
        <v>0</v>
      </c>
      <c r="AN584" s="15">
        <f t="shared" ca="1" si="194"/>
        <v>0</v>
      </c>
      <c r="AO584" s="15">
        <f t="shared" si="195"/>
        <v>0</v>
      </c>
      <c r="AP584" s="15">
        <f t="shared" si="196"/>
        <v>0</v>
      </c>
      <c r="AQ584" s="15">
        <f t="shared" si="197"/>
        <v>0</v>
      </c>
      <c r="AR584" s="190">
        <f t="shared" si="199"/>
        <v>0</v>
      </c>
      <c r="AS584" s="190">
        <f t="shared" ca="1" si="200"/>
        <v>0.37450278423567213</v>
      </c>
      <c r="AT584" s="190">
        <f t="shared" si="201"/>
        <v>0</v>
      </c>
      <c r="AU584" s="190">
        <f t="shared" si="202"/>
        <v>0</v>
      </c>
      <c r="AV584" s="190">
        <f t="shared" si="203"/>
        <v>0</v>
      </c>
      <c r="AW584" s="190">
        <f t="shared" si="204"/>
        <v>0</v>
      </c>
      <c r="AX584" s="190">
        <f t="shared" si="205"/>
        <v>0</v>
      </c>
      <c r="AZ584" s="15"/>
      <c r="BP584" s="190"/>
    </row>
    <row r="585" spans="2:68" x14ac:dyDescent="0.25">
      <c r="B585" s="98" t="s">
        <v>111</v>
      </c>
      <c r="C585" s="98">
        <v>2014</v>
      </c>
      <c r="D585" s="98" t="s">
        <v>318</v>
      </c>
      <c r="E585" s="98" t="s">
        <v>12</v>
      </c>
      <c r="F585" s="98" t="s">
        <v>131</v>
      </c>
      <c r="G585" s="98">
        <v>0</v>
      </c>
      <c r="H585" s="299" t="str">
        <f>VLOOKUP(LEFT('Rev Adequacy'!D585,3),'Mapping B'!$D$2:$E$400,2,0)</f>
        <v>S</v>
      </c>
      <c r="J585" s="15" t="s">
        <v>165</v>
      </c>
      <c r="K585" s="15" t="s">
        <v>35</v>
      </c>
      <c r="L585" s="15">
        <v>187.29975500306699</v>
      </c>
      <c r="M585" s="15"/>
      <c r="N585" s="15"/>
      <c r="O585" s="15">
        <f>_xlfn.IFNA(IF(VLOOKUP($J585&amp;O$14,'Mapping A'!$A$6:$G$1011,7,0)=1,$L585,""),0)+_xlfn.IFNA(IF(VLOOKUP($J585&amp;O$16,'Mapping A'!$A$6:$G$1011,7,0)=1,$L585,""),0)</f>
        <v>0</v>
      </c>
      <c r="P585" s="15">
        <f>_xlfn.IFNA(IF(VLOOKUP($J585&amp;P$14,'Mapping A'!$A$6:$G$1011,7,0)=1,$L585,""),0)+_xlfn.IFNA(IF(VLOOKUP($J585&amp;P$16,'Mapping A'!$A$6:$G$1011,7,0)=1,$L585,""),0)</f>
        <v>187.29975500306699</v>
      </c>
      <c r="Q585" s="15">
        <f>_xlfn.IFNA(IF(VLOOKUP($J585&amp;Q$14,'Mapping A'!$A$6:$G$1011,7,0)=1,$L585,""),0)+_xlfn.IFNA(IF(VLOOKUP($J585&amp;Q$16,'Mapping A'!$A$6:$G$1011,7,0)=1,$L585,""),0)</f>
        <v>187.29975500306699</v>
      </c>
      <c r="R585" s="15">
        <f>_xlfn.IFNA(IF(VLOOKUP($J585&amp;R$14,'Mapping A'!$A$6:$G$1011,7,0)=1,$L585,""),0)+_xlfn.IFNA(IF(VLOOKUP($J585&amp;R$16,'Mapping A'!$A$6:$G$1011,7,0)=1,$L585,""),0)</f>
        <v>0</v>
      </c>
      <c r="S585" s="15">
        <f>_xlfn.IFNA(IF(VLOOKUP($J585&amp;S$14,'Mapping A'!$A$6:$G$1011,7,0)=1,$L585,""),0)+_xlfn.IFNA(IF(VLOOKUP($J585&amp;S$16,'Mapping A'!$A$6:$G$1011,7,0)=1,$L585,""),0)</f>
        <v>0</v>
      </c>
      <c r="T585" s="15">
        <f>_xlfn.IFNA(IF(VLOOKUP($J585&amp;T$14,'Mapping A'!$A$6:$G$1011,7,0)=1,$L585,""),0)+_xlfn.IFNA(IF(VLOOKUP($J585&amp;T$16,'Mapping A'!$A$6:$G$1011,7,0)=1,$L585,""),0)</f>
        <v>0</v>
      </c>
      <c r="U585" s="15">
        <f>_xlfn.IFNA(IF(VLOOKUP($J585&amp;U$14,'Mapping A'!$A$6:$G$1011,7,0)=1,$L585,""),0)+_xlfn.IFNA(IF(VLOOKUP($J585&amp;U$16,'Mapping A'!$A$6:$G$1011,7,0)=1,$L585,""),0)</f>
        <v>0</v>
      </c>
      <c r="V585" s="15">
        <f>_xlfn.IFNA(IF(VLOOKUP($J585&amp;V$14,'Mapping A'!$A$6:$G$1011,7,0)=1,$L585,""),0)+_xlfn.IFNA(IF(VLOOKUP($J585&amp;V$16,'Mapping A'!$A$6:$G$1011,7,0)=1,$L585,""),0)</f>
        <v>187.29975500306699</v>
      </c>
      <c r="W585" s="15">
        <f>_xlfn.IFNA(IF(VLOOKUP($J585&amp;W$14,'Mapping A'!$A$6:$G$1011,7,0)=1,$L585,""),0)+_xlfn.IFNA(IF(VLOOKUP($J585&amp;W$16,'Mapping A'!$A$6:$G$1011,7,0)=1,$L585,""),0)</f>
        <v>0</v>
      </c>
      <c r="X585" s="15">
        <f>_xlfn.IFNA(IF(VLOOKUP($J585&amp;X$14,'Mapping A'!$A$6:$G$1011,7,0)=1,$L585,""),0)+_xlfn.IFNA(IF(VLOOKUP($J585&amp;X$16,'Mapping A'!$A$6:$G$1011,7,0)=1,$L585,""),0)</f>
        <v>0</v>
      </c>
      <c r="Y585" s="15">
        <f>_xlfn.IFNA(IF(VLOOKUP($J585&amp;Y$14,'Mapping A'!$A$6:$G$1011,7,0)=1,$L585,""),0)+_xlfn.IFNA(IF(VLOOKUP($J585&amp;Y$16,'Mapping A'!$A$6:$G$1011,7,0)=1,$L585,""),0)</f>
        <v>0</v>
      </c>
      <c r="Z585" s="15">
        <f>_xlfn.IFNA(IF(VLOOKUP($J585&amp;Z$14,'Mapping A'!$A$6:$G$1011,7,0)=1,$L585,""),0)+_xlfn.IFNA(IF(VLOOKUP($J585&amp;Z$16,'Mapping A'!$A$6:$G$1011,7,0)=1,$L585,""),0)</f>
        <v>0</v>
      </c>
      <c r="AA585" s="15">
        <f>_xlfn.IFNA(IF(VLOOKUP($J585&amp;AA$14,'Mapping A'!$A$6:$G$1011,7,0)=1,$L585,""),0)+_xlfn.IFNA(IF(VLOOKUP($J585&amp;AA$16,'Mapping A'!$A$6:$G$1011,7,0)=1,$L585,""),0)</f>
        <v>0</v>
      </c>
      <c r="AF585" s="155" t="str">
        <f t="shared" si="177"/>
        <v>BWK1101 WPI0Trustpower</v>
      </c>
      <c r="AG585" s="15" t="s">
        <v>165</v>
      </c>
      <c r="AH585" s="15" t="s">
        <v>35</v>
      </c>
      <c r="AI585" s="15">
        <v>187.29975500306699</v>
      </c>
      <c r="AJ585" s="292" t="s">
        <v>96</v>
      </c>
      <c r="AK585" s="15"/>
      <c r="AL585" s="15">
        <f t="shared" si="192"/>
        <v>0</v>
      </c>
      <c r="AM585" s="15">
        <f t="shared" ca="1" si="193"/>
        <v>0</v>
      </c>
      <c r="AN585" s="15">
        <f t="shared" ca="1" si="194"/>
        <v>0</v>
      </c>
      <c r="AO585" s="15">
        <f t="shared" si="195"/>
        <v>0</v>
      </c>
      <c r="AP585" s="15">
        <f t="shared" si="196"/>
        <v>0</v>
      </c>
      <c r="AQ585" s="15">
        <f t="shared" si="197"/>
        <v>0</v>
      </c>
      <c r="AR585" s="190">
        <f t="shared" si="199"/>
        <v>0</v>
      </c>
      <c r="AS585" s="190">
        <f t="shared" ca="1" si="200"/>
        <v>2.7391223602038172E-2</v>
      </c>
      <c r="AT585" s="190">
        <f t="shared" si="201"/>
        <v>0</v>
      </c>
      <c r="AU585" s="190">
        <f t="shared" si="202"/>
        <v>0</v>
      </c>
      <c r="AV585" s="190">
        <f t="shared" si="203"/>
        <v>0</v>
      </c>
      <c r="AW585" s="190">
        <f t="shared" si="204"/>
        <v>0</v>
      </c>
      <c r="AX585" s="190">
        <f t="shared" si="205"/>
        <v>0</v>
      </c>
      <c r="AZ585" s="15"/>
      <c r="BP585" s="190"/>
    </row>
    <row r="586" spans="2:68" x14ac:dyDescent="0.25">
      <c r="B586" s="98" t="s">
        <v>111</v>
      </c>
      <c r="C586" s="98">
        <v>2014</v>
      </c>
      <c r="D586" s="98" t="s">
        <v>380</v>
      </c>
      <c r="E586" s="98" t="s">
        <v>12</v>
      </c>
      <c r="F586" s="98" t="s">
        <v>131</v>
      </c>
      <c r="G586" s="98">
        <v>0</v>
      </c>
      <c r="H586" s="299" t="str">
        <f>VLOOKUP(LEFT('Rev Adequacy'!D586,3),'Mapping B'!$D$2:$E$400,2,0)</f>
        <v>S</v>
      </c>
      <c r="J586" s="15" t="s">
        <v>429</v>
      </c>
      <c r="K586" s="15" t="s">
        <v>35</v>
      </c>
      <c r="L586" s="15">
        <v>220.22513094343901</v>
      </c>
      <c r="M586" s="15"/>
      <c r="N586" s="15"/>
      <c r="O586" s="15">
        <f>_xlfn.IFNA(IF(VLOOKUP($J586&amp;O$14,'Mapping A'!$A$6:$G$1011,7,0)=1,$L586,""),0)+_xlfn.IFNA(IF(VLOOKUP($J586&amp;O$16,'Mapping A'!$A$6:$G$1011,7,0)=1,$L586,""),0)</f>
        <v>0</v>
      </c>
      <c r="P586" s="15">
        <f>_xlfn.IFNA(IF(VLOOKUP($J586&amp;P$14,'Mapping A'!$A$6:$G$1011,7,0)=1,$L586,""),0)+_xlfn.IFNA(IF(VLOOKUP($J586&amp;P$16,'Mapping A'!$A$6:$G$1011,7,0)=1,$L586,""),0)</f>
        <v>220.22513094343901</v>
      </c>
      <c r="Q586" s="15">
        <f>_xlfn.IFNA(IF(VLOOKUP($J586&amp;Q$14,'Mapping A'!$A$6:$G$1011,7,0)=1,$L586,""),0)+_xlfn.IFNA(IF(VLOOKUP($J586&amp;Q$16,'Mapping A'!$A$6:$G$1011,7,0)=1,$L586,""),0)</f>
        <v>220.22513094343901</v>
      </c>
      <c r="R586" s="15">
        <f>_xlfn.IFNA(IF(VLOOKUP($J586&amp;R$14,'Mapping A'!$A$6:$G$1011,7,0)=1,$L586,""),0)+_xlfn.IFNA(IF(VLOOKUP($J586&amp;R$16,'Mapping A'!$A$6:$G$1011,7,0)=1,$L586,""),0)</f>
        <v>0</v>
      </c>
      <c r="S586" s="15">
        <f>_xlfn.IFNA(IF(VLOOKUP($J586&amp;S$14,'Mapping A'!$A$6:$G$1011,7,0)=1,$L586,""),0)+_xlfn.IFNA(IF(VLOOKUP($J586&amp;S$16,'Mapping A'!$A$6:$G$1011,7,0)=1,$L586,""),0)</f>
        <v>0</v>
      </c>
      <c r="T586" s="15">
        <f>_xlfn.IFNA(IF(VLOOKUP($J586&amp;T$14,'Mapping A'!$A$6:$G$1011,7,0)=1,$L586,""),0)+_xlfn.IFNA(IF(VLOOKUP($J586&amp;T$16,'Mapping A'!$A$6:$G$1011,7,0)=1,$L586,""),0)</f>
        <v>0</v>
      </c>
      <c r="U586" s="15">
        <f>_xlfn.IFNA(IF(VLOOKUP($J586&amp;U$14,'Mapping A'!$A$6:$G$1011,7,0)=1,$L586,""),0)+_xlfn.IFNA(IF(VLOOKUP($J586&amp;U$16,'Mapping A'!$A$6:$G$1011,7,0)=1,$L586,""),0)</f>
        <v>0</v>
      </c>
      <c r="V586" s="15">
        <f>_xlfn.IFNA(IF(VLOOKUP($J586&amp;V$14,'Mapping A'!$A$6:$G$1011,7,0)=1,$L586,""),0)+_xlfn.IFNA(IF(VLOOKUP($J586&amp;V$16,'Mapping A'!$A$6:$G$1011,7,0)=1,$L586,""),0)</f>
        <v>220.22513094343901</v>
      </c>
      <c r="W586" s="15">
        <f>_xlfn.IFNA(IF(VLOOKUP($J586&amp;W$14,'Mapping A'!$A$6:$G$1011,7,0)=1,$L586,""),0)+_xlfn.IFNA(IF(VLOOKUP($J586&amp;W$16,'Mapping A'!$A$6:$G$1011,7,0)=1,$L586,""),0)</f>
        <v>0</v>
      </c>
      <c r="X586" s="15">
        <f>_xlfn.IFNA(IF(VLOOKUP($J586&amp;X$14,'Mapping A'!$A$6:$G$1011,7,0)=1,$L586,""),0)+_xlfn.IFNA(IF(VLOOKUP($J586&amp;X$16,'Mapping A'!$A$6:$G$1011,7,0)=1,$L586,""),0)</f>
        <v>0</v>
      </c>
      <c r="Y586" s="15">
        <f>_xlfn.IFNA(IF(VLOOKUP($J586&amp;Y$14,'Mapping A'!$A$6:$G$1011,7,0)=1,$L586,""),0)+_xlfn.IFNA(IF(VLOOKUP($J586&amp;Y$16,'Mapping A'!$A$6:$G$1011,7,0)=1,$L586,""),0)</f>
        <v>0</v>
      </c>
      <c r="Z586" s="15">
        <f>_xlfn.IFNA(IF(VLOOKUP($J586&amp;Z$14,'Mapping A'!$A$6:$G$1011,7,0)=1,$L586,""),0)+_xlfn.IFNA(IF(VLOOKUP($J586&amp;Z$16,'Mapping A'!$A$6:$G$1011,7,0)=1,$L586,""),0)</f>
        <v>0</v>
      </c>
      <c r="AA586" s="15">
        <f>_xlfn.IFNA(IF(VLOOKUP($J586&amp;AA$14,'Mapping A'!$A$6:$G$1011,7,0)=1,$L586,""),0)+_xlfn.IFNA(IF(VLOOKUP($J586&amp;AA$16,'Mapping A'!$A$6:$G$1011,7,0)=1,$L586,""),0)</f>
        <v>0</v>
      </c>
      <c r="AF586" s="155" t="str">
        <f t="shared" si="177"/>
        <v>COB0661 COB0Trustpower</v>
      </c>
      <c r="AG586" s="15" t="s">
        <v>429</v>
      </c>
      <c r="AH586" s="15" t="s">
        <v>35</v>
      </c>
      <c r="AI586" s="15">
        <v>220.22513094343901</v>
      </c>
      <c r="AJ586" s="292" t="s">
        <v>96</v>
      </c>
      <c r="AK586" s="15"/>
      <c r="AL586" s="15">
        <f t="shared" si="192"/>
        <v>0</v>
      </c>
      <c r="AM586" s="15">
        <f t="shared" ca="1" si="193"/>
        <v>0</v>
      </c>
      <c r="AN586" s="15">
        <f t="shared" ca="1" si="194"/>
        <v>0</v>
      </c>
      <c r="AO586" s="15">
        <f t="shared" si="195"/>
        <v>0</v>
      </c>
      <c r="AP586" s="15">
        <f t="shared" si="196"/>
        <v>0</v>
      </c>
      <c r="AQ586" s="15">
        <f t="shared" si="197"/>
        <v>0</v>
      </c>
      <c r="AR586" s="190">
        <f t="shared" si="199"/>
        <v>0</v>
      </c>
      <c r="AS586" s="190">
        <f t="shared" ca="1" si="200"/>
        <v>3.2206319780616353E-2</v>
      </c>
      <c r="AT586" s="190">
        <f t="shared" si="201"/>
        <v>0</v>
      </c>
      <c r="AU586" s="190">
        <f t="shared" si="202"/>
        <v>0</v>
      </c>
      <c r="AV586" s="190">
        <f t="shared" si="203"/>
        <v>0</v>
      </c>
      <c r="AW586" s="190">
        <f t="shared" si="204"/>
        <v>0</v>
      </c>
      <c r="AX586" s="190">
        <f t="shared" si="205"/>
        <v>0</v>
      </c>
      <c r="AZ586" s="15"/>
      <c r="BP586" s="190"/>
    </row>
    <row r="587" spans="2:68" x14ac:dyDescent="0.25">
      <c r="B587" s="98" t="s">
        <v>111</v>
      </c>
      <c r="C587" s="98">
        <v>2014</v>
      </c>
      <c r="D587" s="98" t="s">
        <v>381</v>
      </c>
      <c r="E587" s="98" t="s">
        <v>12</v>
      </c>
      <c r="F587" s="98" t="s">
        <v>131</v>
      </c>
      <c r="G587" s="98">
        <v>0</v>
      </c>
      <c r="H587" s="299" t="str">
        <f>VLOOKUP(LEFT('Rev Adequacy'!D587,3),'Mapping B'!$D$2:$E$400,2,0)</f>
        <v>S</v>
      </c>
      <c r="J587" s="15" t="s">
        <v>171</v>
      </c>
      <c r="K587" s="15" t="s">
        <v>35</v>
      </c>
      <c r="L587" s="15">
        <v>281.61375298419898</v>
      </c>
      <c r="M587" s="15"/>
      <c r="N587" s="15"/>
      <c r="O587" s="15">
        <f>_xlfn.IFNA(IF(VLOOKUP($J587&amp;O$14,'Mapping A'!$A$6:$G$1011,7,0)=1,$L587,""),0)+_xlfn.IFNA(IF(VLOOKUP($J587&amp;O$16,'Mapping A'!$A$6:$G$1011,7,0)=1,$L587,""),0)</f>
        <v>0</v>
      </c>
      <c r="P587" s="15">
        <f>_xlfn.IFNA(IF(VLOOKUP($J587&amp;P$14,'Mapping A'!$A$6:$G$1011,7,0)=1,$L587,""),0)+_xlfn.IFNA(IF(VLOOKUP($J587&amp;P$16,'Mapping A'!$A$6:$G$1011,7,0)=1,$L587,""),0)</f>
        <v>281.61375298419898</v>
      </c>
      <c r="Q587" s="15">
        <f>_xlfn.IFNA(IF(VLOOKUP($J587&amp;Q$14,'Mapping A'!$A$6:$G$1011,7,0)=1,$L587,""),0)+_xlfn.IFNA(IF(VLOOKUP($J587&amp;Q$16,'Mapping A'!$A$6:$G$1011,7,0)=1,$L587,""),0)</f>
        <v>281.61375298419898</v>
      </c>
      <c r="R587" s="15">
        <f>_xlfn.IFNA(IF(VLOOKUP($J587&amp;R$14,'Mapping A'!$A$6:$G$1011,7,0)=1,$L587,""),0)+_xlfn.IFNA(IF(VLOOKUP($J587&amp;R$16,'Mapping A'!$A$6:$G$1011,7,0)=1,$L587,""),0)</f>
        <v>0</v>
      </c>
      <c r="S587" s="15">
        <f>_xlfn.IFNA(IF(VLOOKUP($J587&amp;S$14,'Mapping A'!$A$6:$G$1011,7,0)=1,$L587,""),0)+_xlfn.IFNA(IF(VLOOKUP($J587&amp;S$16,'Mapping A'!$A$6:$G$1011,7,0)=1,$L587,""),0)</f>
        <v>0</v>
      </c>
      <c r="T587" s="15">
        <f>_xlfn.IFNA(IF(VLOOKUP($J587&amp;T$14,'Mapping A'!$A$6:$G$1011,7,0)=1,$L587,""),0)+_xlfn.IFNA(IF(VLOOKUP($J587&amp;T$16,'Mapping A'!$A$6:$G$1011,7,0)=1,$L587,""),0)</f>
        <v>0</v>
      </c>
      <c r="U587" s="15">
        <f>_xlfn.IFNA(IF(VLOOKUP($J587&amp;U$14,'Mapping A'!$A$6:$G$1011,7,0)=1,$L587,""),0)+_xlfn.IFNA(IF(VLOOKUP($J587&amp;U$16,'Mapping A'!$A$6:$G$1011,7,0)=1,$L587,""),0)</f>
        <v>0</v>
      </c>
      <c r="V587" s="15">
        <f>_xlfn.IFNA(IF(VLOOKUP($J587&amp;V$14,'Mapping A'!$A$6:$G$1011,7,0)=1,$L587,""),0)+_xlfn.IFNA(IF(VLOOKUP($J587&amp;V$16,'Mapping A'!$A$6:$G$1011,7,0)=1,$L587,""),0)</f>
        <v>281.61375298419898</v>
      </c>
      <c r="W587" s="15">
        <f>_xlfn.IFNA(IF(VLOOKUP($J587&amp;W$14,'Mapping A'!$A$6:$G$1011,7,0)=1,$L587,""),0)+_xlfn.IFNA(IF(VLOOKUP($J587&amp;W$16,'Mapping A'!$A$6:$G$1011,7,0)=1,$L587,""),0)</f>
        <v>0</v>
      </c>
      <c r="X587" s="15">
        <f>_xlfn.IFNA(IF(VLOOKUP($J587&amp;X$14,'Mapping A'!$A$6:$G$1011,7,0)=1,$L587,""),0)+_xlfn.IFNA(IF(VLOOKUP($J587&amp;X$16,'Mapping A'!$A$6:$G$1011,7,0)=1,$L587,""),0)</f>
        <v>0</v>
      </c>
      <c r="Y587" s="15">
        <f>_xlfn.IFNA(IF(VLOOKUP($J587&amp;Y$14,'Mapping A'!$A$6:$G$1011,7,0)=1,$L587,""),0)+_xlfn.IFNA(IF(VLOOKUP($J587&amp;Y$16,'Mapping A'!$A$6:$G$1011,7,0)=1,$L587,""),0)</f>
        <v>0</v>
      </c>
      <c r="Z587" s="15">
        <f>_xlfn.IFNA(IF(VLOOKUP($J587&amp;Z$14,'Mapping A'!$A$6:$G$1011,7,0)=1,$L587,""),0)+_xlfn.IFNA(IF(VLOOKUP($J587&amp;Z$16,'Mapping A'!$A$6:$G$1011,7,0)=1,$L587,""),0)</f>
        <v>0</v>
      </c>
      <c r="AA587" s="15">
        <f>_xlfn.IFNA(IF(VLOOKUP($J587&amp;AA$14,'Mapping A'!$A$6:$G$1011,7,0)=1,$L587,""),0)+_xlfn.IFNA(IF(VLOOKUP($J587&amp;AA$16,'Mapping A'!$A$6:$G$1011,7,0)=1,$L587,""),0)</f>
        <v>0</v>
      </c>
      <c r="AF587" s="155" t="str">
        <f t="shared" si="177"/>
        <v>COL0661 COL0Trustpower</v>
      </c>
      <c r="AG587" s="15" t="s">
        <v>171</v>
      </c>
      <c r="AH587" s="15" t="s">
        <v>35</v>
      </c>
      <c r="AI587" s="15">
        <v>281.61375298419898</v>
      </c>
      <c r="AJ587" s="292" t="s">
        <v>96</v>
      </c>
      <c r="AK587" s="15"/>
      <c r="AL587" s="15">
        <f t="shared" si="192"/>
        <v>0</v>
      </c>
      <c r="AM587" s="15">
        <f t="shared" ca="1" si="193"/>
        <v>0</v>
      </c>
      <c r="AN587" s="15">
        <f t="shared" ca="1" si="194"/>
        <v>0</v>
      </c>
      <c r="AO587" s="15">
        <f t="shared" si="195"/>
        <v>0</v>
      </c>
      <c r="AP587" s="15">
        <f t="shared" si="196"/>
        <v>0</v>
      </c>
      <c r="AQ587" s="15">
        <f t="shared" si="197"/>
        <v>0</v>
      </c>
      <c r="AR587" s="190">
        <f t="shared" si="199"/>
        <v>0</v>
      </c>
      <c r="AS587" s="190">
        <f t="shared" ca="1" si="200"/>
        <v>4.1183958181221475E-2</v>
      </c>
      <c r="AT587" s="190">
        <f t="shared" si="201"/>
        <v>0</v>
      </c>
      <c r="AU587" s="190">
        <f t="shared" si="202"/>
        <v>0</v>
      </c>
      <c r="AV587" s="190">
        <f t="shared" si="203"/>
        <v>0</v>
      </c>
      <c r="AW587" s="190">
        <f t="shared" si="204"/>
        <v>0</v>
      </c>
      <c r="AX587" s="190">
        <f t="shared" si="205"/>
        <v>0</v>
      </c>
      <c r="AZ587" s="15"/>
      <c r="BP587" s="190"/>
    </row>
    <row r="588" spans="2:68" x14ac:dyDescent="0.25">
      <c r="B588" s="98" t="s">
        <v>552</v>
      </c>
      <c r="C588" s="98">
        <v>2014</v>
      </c>
      <c r="D588" s="98" t="s">
        <v>153</v>
      </c>
      <c r="E588" s="98" t="s">
        <v>13</v>
      </c>
      <c r="F588" s="98" t="s">
        <v>131</v>
      </c>
      <c r="G588" s="248">
        <v>55039.723000000296</v>
      </c>
      <c r="H588" s="299" t="str">
        <f>VLOOKUP(LEFT('Rev Adequacy'!D588,3),'Mapping B'!$D$2:$E$400,2,0)</f>
        <v>S</v>
      </c>
      <c r="J588" s="15" t="s">
        <v>179</v>
      </c>
      <c r="K588" s="15" t="s">
        <v>4</v>
      </c>
      <c r="L588" s="15">
        <v>2286.3832726820301</v>
      </c>
      <c r="M588" s="15"/>
      <c r="N588" s="15"/>
      <c r="O588" s="15">
        <f>_xlfn.IFNA(IF(VLOOKUP($J588&amp;O$14,'Mapping A'!$A$6:$G$1011,7,0)=1,$L588,""),0)+_xlfn.IFNA(IF(VLOOKUP($J588&amp;O$16,'Mapping A'!$A$6:$G$1011,7,0)=1,$L588,""),0)</f>
        <v>0</v>
      </c>
      <c r="P588" s="15">
        <f>_xlfn.IFNA(IF(VLOOKUP($J588&amp;P$14,'Mapping A'!$A$6:$G$1011,7,0)=1,$L588,""),0)+_xlfn.IFNA(IF(VLOOKUP($J588&amp;P$16,'Mapping A'!$A$6:$G$1011,7,0)=1,$L588,""),0)</f>
        <v>2286.3832726820301</v>
      </c>
      <c r="Q588" s="15">
        <f>_xlfn.IFNA(IF(VLOOKUP($J588&amp;Q$14,'Mapping A'!$A$6:$G$1011,7,0)=1,$L588,""),0)+_xlfn.IFNA(IF(VLOOKUP($J588&amp;Q$16,'Mapping A'!$A$6:$G$1011,7,0)=1,$L588,""),0)</f>
        <v>2286.3832726820301</v>
      </c>
      <c r="R588" s="15">
        <f>_xlfn.IFNA(IF(VLOOKUP($J588&amp;R$14,'Mapping A'!$A$6:$G$1011,7,0)=1,$L588,""),0)+_xlfn.IFNA(IF(VLOOKUP($J588&amp;R$16,'Mapping A'!$A$6:$G$1011,7,0)=1,$L588,""),0)</f>
        <v>0</v>
      </c>
      <c r="S588" s="15">
        <f>_xlfn.IFNA(IF(VLOOKUP($J588&amp;S$14,'Mapping A'!$A$6:$G$1011,7,0)=1,$L588,""),0)+_xlfn.IFNA(IF(VLOOKUP($J588&amp;S$16,'Mapping A'!$A$6:$G$1011,7,0)=1,$L588,""),0)</f>
        <v>0</v>
      </c>
      <c r="T588" s="15">
        <f>_xlfn.IFNA(IF(VLOOKUP($J588&amp;T$14,'Mapping A'!$A$6:$G$1011,7,0)=1,$L588,""),0)+_xlfn.IFNA(IF(VLOOKUP($J588&amp;T$16,'Mapping A'!$A$6:$G$1011,7,0)=1,$L588,""),0)</f>
        <v>0</v>
      </c>
      <c r="U588" s="15">
        <f>_xlfn.IFNA(IF(VLOOKUP($J588&amp;U$14,'Mapping A'!$A$6:$G$1011,7,0)=1,$L588,""),0)+_xlfn.IFNA(IF(VLOOKUP($J588&amp;U$16,'Mapping A'!$A$6:$G$1011,7,0)=1,$L588,""),0)</f>
        <v>0</v>
      </c>
      <c r="V588" s="15">
        <f>_xlfn.IFNA(IF(VLOOKUP($J588&amp;V$14,'Mapping A'!$A$6:$G$1011,7,0)=1,$L588,""),0)+_xlfn.IFNA(IF(VLOOKUP($J588&amp;V$16,'Mapping A'!$A$6:$G$1011,7,0)=1,$L588,""),0)</f>
        <v>2286.3832726820301</v>
      </c>
      <c r="W588" s="15">
        <f>_xlfn.IFNA(IF(VLOOKUP($J588&amp;W$14,'Mapping A'!$A$6:$G$1011,7,0)=1,$L588,""),0)+_xlfn.IFNA(IF(VLOOKUP($J588&amp;W$16,'Mapping A'!$A$6:$G$1011,7,0)=1,$L588,""),0)</f>
        <v>0</v>
      </c>
      <c r="X588" s="15">
        <f>_xlfn.IFNA(IF(VLOOKUP($J588&amp;X$14,'Mapping A'!$A$6:$G$1011,7,0)=1,$L588,""),0)+_xlfn.IFNA(IF(VLOOKUP($J588&amp;X$16,'Mapping A'!$A$6:$G$1011,7,0)=1,$L588,""),0)</f>
        <v>0</v>
      </c>
      <c r="Y588" s="15">
        <f>_xlfn.IFNA(IF(VLOOKUP($J588&amp;Y$14,'Mapping A'!$A$6:$G$1011,7,0)=1,$L588,""),0)+_xlfn.IFNA(IF(VLOOKUP($J588&amp;Y$16,'Mapping A'!$A$6:$G$1011,7,0)=1,$L588,""),0)</f>
        <v>0</v>
      </c>
      <c r="Z588" s="15">
        <f>_xlfn.IFNA(IF(VLOOKUP($J588&amp;Z$14,'Mapping A'!$A$6:$G$1011,7,0)=1,$L588,""),0)+_xlfn.IFNA(IF(VLOOKUP($J588&amp;Z$16,'Mapping A'!$A$6:$G$1011,7,0)=1,$L588,""),0)</f>
        <v>0</v>
      </c>
      <c r="AA588" s="15">
        <f>_xlfn.IFNA(IF(VLOOKUP($J588&amp;AA$14,'Mapping A'!$A$6:$G$1011,7,0)=1,$L588,""),0)+_xlfn.IFNA(IF(VLOOKUP($J588&amp;AA$16,'Mapping A'!$A$6:$G$1011,7,0)=1,$L588,""),0)</f>
        <v>0</v>
      </c>
      <c r="AF588" s="155" t="str">
        <f t="shared" si="177"/>
        <v>CYD2201 CYD0Contact</v>
      </c>
      <c r="AG588" s="15" t="s">
        <v>179</v>
      </c>
      <c r="AH588" s="15" t="s">
        <v>4</v>
      </c>
      <c r="AI588" s="15">
        <v>2286.3832726820301</v>
      </c>
      <c r="AJ588" s="292" t="s">
        <v>96</v>
      </c>
      <c r="AK588" s="15"/>
      <c r="AL588" s="15">
        <f t="shared" si="192"/>
        <v>0</v>
      </c>
      <c r="AM588" s="15">
        <f t="shared" ca="1" si="193"/>
        <v>0</v>
      </c>
      <c r="AN588" s="15">
        <f t="shared" ca="1" si="194"/>
        <v>0</v>
      </c>
      <c r="AO588" s="15">
        <f t="shared" si="195"/>
        <v>0</v>
      </c>
      <c r="AP588" s="15">
        <f t="shared" si="196"/>
        <v>0</v>
      </c>
      <c r="AQ588" s="15">
        <f t="shared" si="197"/>
        <v>0</v>
      </c>
      <c r="AR588" s="190">
        <f t="shared" si="199"/>
        <v>0</v>
      </c>
      <c r="AS588" s="190">
        <f t="shared" ca="1" si="200"/>
        <v>0.33436688404086701</v>
      </c>
      <c r="AT588" s="190">
        <f t="shared" si="201"/>
        <v>0</v>
      </c>
      <c r="AU588" s="190">
        <f t="shared" si="202"/>
        <v>0</v>
      </c>
      <c r="AV588" s="190">
        <f t="shared" si="203"/>
        <v>0</v>
      </c>
      <c r="AW588" s="190">
        <f t="shared" si="204"/>
        <v>0</v>
      </c>
      <c r="AX588" s="190">
        <f t="shared" si="205"/>
        <v>0</v>
      </c>
      <c r="AZ588" s="15"/>
      <c r="BP588" s="190"/>
    </row>
    <row r="589" spans="2:68" x14ac:dyDescent="0.25">
      <c r="B589" s="98" t="s">
        <v>553</v>
      </c>
      <c r="C589" s="98">
        <v>2014</v>
      </c>
      <c r="D589" s="98" t="s">
        <v>153</v>
      </c>
      <c r="E589" s="98" t="s">
        <v>13</v>
      </c>
      <c r="F589" s="98" t="s">
        <v>131</v>
      </c>
      <c r="G589" s="248">
        <v>147293.612000002</v>
      </c>
      <c r="H589" s="299" t="str">
        <f>VLOOKUP(LEFT('Rev Adequacy'!D589,3),'Mapping B'!$D$2:$E$400,2,0)</f>
        <v>S</v>
      </c>
      <c r="J589" s="15" t="s">
        <v>430</v>
      </c>
      <c r="K589" s="15" t="s">
        <v>24</v>
      </c>
      <c r="L589" s="15">
        <v>155.968248897161</v>
      </c>
      <c r="M589" s="15"/>
      <c r="N589" s="15"/>
      <c r="O589" s="15">
        <f>_xlfn.IFNA(IF(VLOOKUP($J589&amp;O$14,'Mapping A'!$A$6:$G$1011,7,0)=1,$L589,""),0)+_xlfn.IFNA(IF(VLOOKUP($J589&amp;O$16,'Mapping A'!$A$6:$G$1011,7,0)=1,$L589,""),0)</f>
        <v>0</v>
      </c>
      <c r="P589" s="15">
        <f>_xlfn.IFNA(IF(VLOOKUP($J589&amp;P$14,'Mapping A'!$A$6:$G$1011,7,0)=1,$L589,""),0)+_xlfn.IFNA(IF(VLOOKUP($J589&amp;P$16,'Mapping A'!$A$6:$G$1011,7,0)=1,$L589,""),0)</f>
        <v>0</v>
      </c>
      <c r="Q589" s="15">
        <f>_xlfn.IFNA(IF(VLOOKUP($J589&amp;Q$14,'Mapping A'!$A$6:$G$1011,7,0)=1,$L589,""),0)+_xlfn.IFNA(IF(VLOOKUP($J589&amp;Q$16,'Mapping A'!$A$6:$G$1011,7,0)=1,$L589,""),0)</f>
        <v>0</v>
      </c>
      <c r="R589" s="15">
        <f>_xlfn.IFNA(IF(VLOOKUP($J589&amp;R$14,'Mapping A'!$A$6:$G$1011,7,0)=1,$L589,""),0)+_xlfn.IFNA(IF(VLOOKUP($J589&amp;R$16,'Mapping A'!$A$6:$G$1011,7,0)=1,$L589,""),0)</f>
        <v>0</v>
      </c>
      <c r="S589" s="15">
        <f>_xlfn.IFNA(IF(VLOOKUP($J589&amp;S$14,'Mapping A'!$A$6:$G$1011,7,0)=1,$L589,""),0)+_xlfn.IFNA(IF(VLOOKUP($J589&amp;S$16,'Mapping A'!$A$6:$G$1011,7,0)=1,$L589,""),0)</f>
        <v>0</v>
      </c>
      <c r="T589" s="15">
        <f>_xlfn.IFNA(IF(VLOOKUP($J589&amp;T$14,'Mapping A'!$A$6:$G$1011,7,0)=1,$L589,""),0)+_xlfn.IFNA(IF(VLOOKUP($J589&amp;T$16,'Mapping A'!$A$6:$G$1011,7,0)=1,$L589,""),0)</f>
        <v>0</v>
      </c>
      <c r="U589" s="15">
        <f>_xlfn.IFNA(IF(VLOOKUP($J589&amp;U$14,'Mapping A'!$A$6:$G$1011,7,0)=1,$L589,""),0)+_xlfn.IFNA(IF(VLOOKUP($J589&amp;U$16,'Mapping A'!$A$6:$G$1011,7,0)=1,$L589,""),0)</f>
        <v>0</v>
      </c>
      <c r="V589" s="15">
        <f>_xlfn.IFNA(IF(VLOOKUP($J589&amp;V$14,'Mapping A'!$A$6:$G$1011,7,0)=1,$L589,""),0)+_xlfn.IFNA(IF(VLOOKUP($J589&amp;V$16,'Mapping A'!$A$6:$G$1011,7,0)=1,$L589,""),0)</f>
        <v>0</v>
      </c>
      <c r="W589" s="15">
        <f>_xlfn.IFNA(IF(VLOOKUP($J589&amp;W$14,'Mapping A'!$A$6:$G$1011,7,0)=1,$L589,""),0)+_xlfn.IFNA(IF(VLOOKUP($J589&amp;W$16,'Mapping A'!$A$6:$G$1011,7,0)=1,$L589,""),0)</f>
        <v>0</v>
      </c>
      <c r="X589" s="15">
        <f>_xlfn.IFNA(IF(VLOOKUP($J589&amp;X$14,'Mapping A'!$A$6:$G$1011,7,0)=1,$L589,""),0)+_xlfn.IFNA(IF(VLOOKUP($J589&amp;X$16,'Mapping A'!$A$6:$G$1011,7,0)=1,$L589,""),0)</f>
        <v>0</v>
      </c>
      <c r="Y589" s="15">
        <f>_xlfn.IFNA(IF(VLOOKUP($J589&amp;Y$14,'Mapping A'!$A$6:$G$1011,7,0)=1,$L589,""),0)+_xlfn.IFNA(IF(VLOOKUP($J589&amp;Y$16,'Mapping A'!$A$6:$G$1011,7,0)=1,$L589,""),0)</f>
        <v>0</v>
      </c>
      <c r="Z589" s="15">
        <f>_xlfn.IFNA(IF(VLOOKUP($J589&amp;Z$14,'Mapping A'!$A$6:$G$1011,7,0)=1,$L589,""),0)+_xlfn.IFNA(IF(VLOOKUP($J589&amp;Z$16,'Mapping A'!$A$6:$G$1011,7,0)=1,$L589,""),0)</f>
        <v>0</v>
      </c>
      <c r="AA589" s="15">
        <f>_xlfn.IFNA(IF(VLOOKUP($J589&amp;AA$14,'Mapping A'!$A$6:$G$1011,7,0)=1,$L589,""),0)+_xlfn.IFNA(IF(VLOOKUP($J589&amp;AA$16,'Mapping A'!$A$6:$G$1011,7,0)=1,$L589,""),0)</f>
        <v>0</v>
      </c>
      <c r="AF589" s="155" t="str">
        <f t="shared" si="177"/>
        <v>GLN0332 GLN0NZ Steel</v>
      </c>
      <c r="AG589" s="15" t="s">
        <v>430</v>
      </c>
      <c r="AH589" s="15" t="s">
        <v>24</v>
      </c>
      <c r="AI589" s="15">
        <v>155.968248897161</v>
      </c>
      <c r="AJ589" s="292" t="s">
        <v>95</v>
      </c>
      <c r="AK589" s="15"/>
      <c r="AL589" s="15">
        <f t="shared" si="192"/>
        <v>0</v>
      </c>
      <c r="AM589" s="15">
        <f t="shared" ca="1" si="193"/>
        <v>0</v>
      </c>
      <c r="AN589" s="15">
        <f t="shared" ca="1" si="194"/>
        <v>0</v>
      </c>
      <c r="AO589" s="15">
        <f t="shared" si="195"/>
        <v>0</v>
      </c>
      <c r="AP589" s="15">
        <f t="shared" si="196"/>
        <v>0</v>
      </c>
      <c r="AQ589" s="15">
        <f t="shared" si="197"/>
        <v>0</v>
      </c>
      <c r="AR589" s="190">
        <f t="shared" si="199"/>
        <v>0</v>
      </c>
      <c r="AS589" s="190">
        <f t="shared" ca="1" si="200"/>
        <v>0</v>
      </c>
      <c r="AT589" s="190">
        <f t="shared" si="201"/>
        <v>0</v>
      </c>
      <c r="AU589" s="190">
        <f t="shared" si="202"/>
        <v>0</v>
      </c>
      <c r="AV589" s="190">
        <f t="shared" si="203"/>
        <v>0</v>
      </c>
      <c r="AW589" s="190">
        <f t="shared" si="204"/>
        <v>0</v>
      </c>
      <c r="AX589" s="190">
        <f t="shared" si="205"/>
        <v>0</v>
      </c>
      <c r="AZ589" s="15"/>
      <c r="BP589" s="190"/>
    </row>
    <row r="590" spans="2:68" x14ac:dyDescent="0.25">
      <c r="B590" s="98" t="s">
        <v>554</v>
      </c>
      <c r="C590" s="98">
        <v>2014</v>
      </c>
      <c r="D590" s="98" t="s">
        <v>153</v>
      </c>
      <c r="E590" s="98" t="s">
        <v>13</v>
      </c>
      <c r="F590" s="98" t="s">
        <v>131</v>
      </c>
      <c r="G590" s="98">
        <v>111475.888000001</v>
      </c>
      <c r="H590" s="299" t="str">
        <f>VLOOKUP(LEFT('Rev Adequacy'!D590,3),'Mapping B'!$D$2:$E$400,2,0)</f>
        <v>S</v>
      </c>
      <c r="J590" s="15" t="s">
        <v>202</v>
      </c>
      <c r="K590" s="15" t="s">
        <v>10</v>
      </c>
      <c r="L590" s="15">
        <v>71.517391051323202</v>
      </c>
      <c r="M590" s="15"/>
      <c r="N590" s="15"/>
      <c r="O590" s="15">
        <f>_xlfn.IFNA(IF(VLOOKUP($J590&amp;O$14,'Mapping A'!$A$6:$G$1011,7,0)=1,$L590,""),0)+_xlfn.IFNA(IF(VLOOKUP($J590&amp;O$16,'Mapping A'!$A$6:$G$1011,7,0)=1,$L590,""),0)</f>
        <v>0</v>
      </c>
      <c r="P590" s="15">
        <f>_xlfn.IFNA(IF(VLOOKUP($J590&amp;P$14,'Mapping A'!$A$6:$G$1011,7,0)=1,$L590,""),0)+_xlfn.IFNA(IF(VLOOKUP($J590&amp;P$16,'Mapping A'!$A$6:$G$1011,7,0)=1,$L590,""),0)</f>
        <v>0</v>
      </c>
      <c r="Q590" s="15">
        <f>_xlfn.IFNA(IF(VLOOKUP($J590&amp;Q$14,'Mapping A'!$A$6:$G$1011,7,0)=1,$L590,""),0)+_xlfn.IFNA(IF(VLOOKUP($J590&amp;Q$16,'Mapping A'!$A$6:$G$1011,7,0)=1,$L590,""),0)</f>
        <v>0</v>
      </c>
      <c r="R590" s="15">
        <f>_xlfn.IFNA(IF(VLOOKUP($J590&amp;R$14,'Mapping A'!$A$6:$G$1011,7,0)=1,$L590,""),0)+_xlfn.IFNA(IF(VLOOKUP($J590&amp;R$16,'Mapping A'!$A$6:$G$1011,7,0)=1,$L590,""),0)</f>
        <v>0</v>
      </c>
      <c r="S590" s="15">
        <f>_xlfn.IFNA(IF(VLOOKUP($J590&amp;S$14,'Mapping A'!$A$6:$G$1011,7,0)=1,$L590,""),0)+_xlfn.IFNA(IF(VLOOKUP($J590&amp;S$16,'Mapping A'!$A$6:$G$1011,7,0)=1,$L590,""),0)</f>
        <v>0</v>
      </c>
      <c r="T590" s="15">
        <f>_xlfn.IFNA(IF(VLOOKUP($J590&amp;T$14,'Mapping A'!$A$6:$G$1011,7,0)=1,$L590,""),0)+_xlfn.IFNA(IF(VLOOKUP($J590&amp;T$16,'Mapping A'!$A$6:$G$1011,7,0)=1,$L590,""),0)</f>
        <v>0</v>
      </c>
      <c r="U590" s="15">
        <f>_xlfn.IFNA(IF(VLOOKUP($J590&amp;U$14,'Mapping A'!$A$6:$G$1011,7,0)=1,$L590,""),0)+_xlfn.IFNA(IF(VLOOKUP($J590&amp;U$16,'Mapping A'!$A$6:$G$1011,7,0)=1,$L590,""),0)</f>
        <v>0</v>
      </c>
      <c r="V590" s="15">
        <f>_xlfn.IFNA(IF(VLOOKUP($J590&amp;V$14,'Mapping A'!$A$6:$G$1011,7,0)=1,$L590,""),0)+_xlfn.IFNA(IF(VLOOKUP($J590&amp;V$16,'Mapping A'!$A$6:$G$1011,7,0)=1,$L590,""),0)</f>
        <v>0</v>
      </c>
      <c r="W590" s="15">
        <f>_xlfn.IFNA(IF(VLOOKUP($J590&amp;W$14,'Mapping A'!$A$6:$G$1011,7,0)=1,$L590,""),0)+_xlfn.IFNA(IF(VLOOKUP($J590&amp;W$16,'Mapping A'!$A$6:$G$1011,7,0)=1,$L590,""),0)</f>
        <v>0</v>
      </c>
      <c r="X590" s="15">
        <f>_xlfn.IFNA(IF(VLOOKUP($J590&amp;X$14,'Mapping A'!$A$6:$G$1011,7,0)=1,$L590,""),0)+_xlfn.IFNA(IF(VLOOKUP($J590&amp;X$16,'Mapping A'!$A$6:$G$1011,7,0)=1,$L590,""),0)</f>
        <v>0</v>
      </c>
      <c r="Y590" s="15">
        <f>_xlfn.IFNA(IF(VLOOKUP($J590&amp;Y$14,'Mapping A'!$A$6:$G$1011,7,0)=1,$L590,""),0)+_xlfn.IFNA(IF(VLOOKUP($J590&amp;Y$16,'Mapping A'!$A$6:$G$1011,7,0)=1,$L590,""),0)</f>
        <v>0</v>
      </c>
      <c r="Z590" s="15">
        <f>_xlfn.IFNA(IF(VLOOKUP($J590&amp;Z$14,'Mapping A'!$A$6:$G$1011,7,0)=1,$L590,""),0)+_xlfn.IFNA(IF(VLOOKUP($J590&amp;Z$16,'Mapping A'!$A$6:$G$1011,7,0)=1,$L590,""),0)</f>
        <v>0</v>
      </c>
      <c r="AA590" s="15">
        <f>_xlfn.IFNA(IF(VLOOKUP($J590&amp;AA$14,'Mapping A'!$A$6:$G$1011,7,0)=1,$L590,""),0)+_xlfn.IFNA(IF(VLOOKUP($J590&amp;AA$16,'Mapping A'!$A$6:$G$1011,7,0)=1,$L590,""),0)</f>
        <v>0</v>
      </c>
      <c r="AF590" s="155" t="str">
        <f t="shared" si="177"/>
        <v>HLY2201 HLY1Genesis</v>
      </c>
      <c r="AG590" s="15" t="s">
        <v>202</v>
      </c>
      <c r="AH590" s="15" t="s">
        <v>10</v>
      </c>
      <c r="AI590" s="15">
        <v>71.517391051323202</v>
      </c>
      <c r="AJ590" s="292" t="s">
        <v>95</v>
      </c>
      <c r="AK590" s="15"/>
      <c r="AL590" s="15">
        <f t="shared" si="192"/>
        <v>0</v>
      </c>
      <c r="AM590" s="15">
        <f t="shared" ca="1" si="193"/>
        <v>0</v>
      </c>
      <c r="AN590" s="15">
        <f t="shared" ca="1" si="194"/>
        <v>0</v>
      </c>
      <c r="AO590" s="15">
        <f t="shared" si="195"/>
        <v>0</v>
      </c>
      <c r="AP590" s="15">
        <f t="shared" si="196"/>
        <v>0</v>
      </c>
      <c r="AQ590" s="15">
        <f t="shared" si="197"/>
        <v>0</v>
      </c>
      <c r="AR590" s="190">
        <f t="shared" si="199"/>
        <v>0</v>
      </c>
      <c r="AS590" s="190">
        <f t="shared" ca="1" si="200"/>
        <v>0</v>
      </c>
      <c r="AT590" s="190">
        <f t="shared" si="201"/>
        <v>0</v>
      </c>
      <c r="AU590" s="190">
        <f t="shared" si="202"/>
        <v>0</v>
      </c>
      <c r="AV590" s="190">
        <f t="shared" si="203"/>
        <v>0</v>
      </c>
      <c r="AW590" s="190">
        <f t="shared" si="204"/>
        <v>0</v>
      </c>
      <c r="AX590" s="190">
        <f t="shared" si="205"/>
        <v>0</v>
      </c>
      <c r="AZ590" s="15"/>
      <c r="BP590" s="190"/>
    </row>
    <row r="591" spans="2:68" x14ac:dyDescent="0.25">
      <c r="B591" s="98" t="s">
        <v>563</v>
      </c>
      <c r="C591" s="98">
        <v>2014</v>
      </c>
      <c r="D591" s="98" t="s">
        <v>153</v>
      </c>
      <c r="E591" s="98" t="s">
        <v>13</v>
      </c>
      <c r="F591" s="98" t="s">
        <v>131</v>
      </c>
      <c r="G591" s="98">
        <v>829631.13199999998</v>
      </c>
      <c r="H591" s="299" t="str">
        <f>VLOOKUP(LEFT('Rev Adequacy'!D591,3),'Mapping B'!$D$2:$E$400,2,0)</f>
        <v>S</v>
      </c>
      <c r="J591" s="15" t="s">
        <v>203</v>
      </c>
      <c r="K591" s="15" t="s">
        <v>10</v>
      </c>
      <c r="L591" s="15">
        <v>485.65329267722302</v>
      </c>
      <c r="M591" s="15"/>
      <c r="N591" s="15"/>
      <c r="O591" s="15">
        <f>_xlfn.IFNA(IF(VLOOKUP($J591&amp;O$14,'Mapping A'!$A$6:$G$1011,7,0)=1,$L591,""),0)+_xlfn.IFNA(IF(VLOOKUP($J591&amp;O$16,'Mapping A'!$A$6:$G$1011,7,0)=1,$L591,""),0)</f>
        <v>0</v>
      </c>
      <c r="P591" s="15">
        <f>_xlfn.IFNA(IF(VLOOKUP($J591&amp;P$14,'Mapping A'!$A$6:$G$1011,7,0)=1,$L591,""),0)+_xlfn.IFNA(IF(VLOOKUP($J591&amp;P$16,'Mapping A'!$A$6:$G$1011,7,0)=1,$L591,""),0)</f>
        <v>0</v>
      </c>
      <c r="Q591" s="15">
        <f>_xlfn.IFNA(IF(VLOOKUP($J591&amp;Q$14,'Mapping A'!$A$6:$G$1011,7,0)=1,$L591,""),0)+_xlfn.IFNA(IF(VLOOKUP($J591&amp;Q$16,'Mapping A'!$A$6:$G$1011,7,0)=1,$L591,""),0)</f>
        <v>0</v>
      </c>
      <c r="R591" s="15">
        <f>_xlfn.IFNA(IF(VLOOKUP($J591&amp;R$14,'Mapping A'!$A$6:$G$1011,7,0)=1,$L591,""),0)+_xlfn.IFNA(IF(VLOOKUP($J591&amp;R$16,'Mapping A'!$A$6:$G$1011,7,0)=1,$L591,""),0)</f>
        <v>0</v>
      </c>
      <c r="S591" s="15">
        <f>_xlfn.IFNA(IF(VLOOKUP($J591&amp;S$14,'Mapping A'!$A$6:$G$1011,7,0)=1,$L591,""),0)+_xlfn.IFNA(IF(VLOOKUP($J591&amp;S$16,'Mapping A'!$A$6:$G$1011,7,0)=1,$L591,""),0)</f>
        <v>0</v>
      </c>
      <c r="T591" s="15">
        <f>_xlfn.IFNA(IF(VLOOKUP($J591&amp;T$14,'Mapping A'!$A$6:$G$1011,7,0)=1,$L591,""),0)+_xlfn.IFNA(IF(VLOOKUP($J591&amp;T$16,'Mapping A'!$A$6:$G$1011,7,0)=1,$L591,""),0)</f>
        <v>0</v>
      </c>
      <c r="U591" s="15">
        <f>_xlfn.IFNA(IF(VLOOKUP($J591&amp;U$14,'Mapping A'!$A$6:$G$1011,7,0)=1,$L591,""),0)+_xlfn.IFNA(IF(VLOOKUP($J591&amp;U$16,'Mapping A'!$A$6:$G$1011,7,0)=1,$L591,""),0)</f>
        <v>0</v>
      </c>
      <c r="V591" s="15">
        <f>_xlfn.IFNA(IF(VLOOKUP($J591&amp;V$14,'Mapping A'!$A$6:$G$1011,7,0)=1,$L591,""),0)+_xlfn.IFNA(IF(VLOOKUP($J591&amp;V$16,'Mapping A'!$A$6:$G$1011,7,0)=1,$L591,""),0)</f>
        <v>0</v>
      </c>
      <c r="W591" s="15">
        <f>_xlfn.IFNA(IF(VLOOKUP($J591&amp;W$14,'Mapping A'!$A$6:$G$1011,7,0)=1,$L591,""),0)+_xlfn.IFNA(IF(VLOOKUP($J591&amp;W$16,'Mapping A'!$A$6:$G$1011,7,0)=1,$L591,""),0)</f>
        <v>0</v>
      </c>
      <c r="X591" s="15">
        <f>_xlfn.IFNA(IF(VLOOKUP($J591&amp;X$14,'Mapping A'!$A$6:$G$1011,7,0)=1,$L591,""),0)+_xlfn.IFNA(IF(VLOOKUP($J591&amp;X$16,'Mapping A'!$A$6:$G$1011,7,0)=1,$L591,""),0)</f>
        <v>0</v>
      </c>
      <c r="Y591" s="15">
        <f>_xlfn.IFNA(IF(VLOOKUP($J591&amp;Y$14,'Mapping A'!$A$6:$G$1011,7,0)=1,$L591,""),0)+_xlfn.IFNA(IF(VLOOKUP($J591&amp;Y$16,'Mapping A'!$A$6:$G$1011,7,0)=1,$L591,""),0)</f>
        <v>0</v>
      </c>
      <c r="Z591" s="15">
        <f>_xlfn.IFNA(IF(VLOOKUP($J591&amp;Z$14,'Mapping A'!$A$6:$G$1011,7,0)=1,$L591,""),0)+_xlfn.IFNA(IF(VLOOKUP($J591&amp;Z$16,'Mapping A'!$A$6:$G$1011,7,0)=1,$L591,""),0)</f>
        <v>0</v>
      </c>
      <c r="AA591" s="15">
        <f>_xlfn.IFNA(IF(VLOOKUP($J591&amp;AA$14,'Mapping A'!$A$6:$G$1011,7,0)=1,$L591,""),0)+_xlfn.IFNA(IF(VLOOKUP($J591&amp;AA$16,'Mapping A'!$A$6:$G$1011,7,0)=1,$L591,""),0)</f>
        <v>0</v>
      </c>
      <c r="AF591" s="155" t="str">
        <f t="shared" si="177"/>
        <v>HLY2201 HLY2Genesis</v>
      </c>
      <c r="AG591" s="15" t="s">
        <v>203</v>
      </c>
      <c r="AH591" s="15" t="s">
        <v>10</v>
      </c>
      <c r="AI591" s="15">
        <v>485.65329267722302</v>
      </c>
      <c r="AJ591" s="292" t="s">
        <v>95</v>
      </c>
      <c r="AK591" s="15"/>
      <c r="AL591" s="15">
        <f t="shared" si="192"/>
        <v>0</v>
      </c>
      <c r="AM591" s="15">
        <f t="shared" ca="1" si="193"/>
        <v>0</v>
      </c>
      <c r="AN591" s="15">
        <f t="shared" ca="1" si="194"/>
        <v>0</v>
      </c>
      <c r="AO591" s="15">
        <f t="shared" si="195"/>
        <v>0</v>
      </c>
      <c r="AP591" s="15">
        <f t="shared" si="196"/>
        <v>0</v>
      </c>
      <c r="AQ591" s="15">
        <f t="shared" si="197"/>
        <v>0</v>
      </c>
      <c r="AR591" s="190">
        <f t="shared" si="199"/>
        <v>0</v>
      </c>
      <c r="AS591" s="190">
        <f t="shared" ca="1" si="200"/>
        <v>0</v>
      </c>
      <c r="AT591" s="190">
        <f t="shared" si="201"/>
        <v>0</v>
      </c>
      <c r="AU591" s="190">
        <f t="shared" si="202"/>
        <v>0</v>
      </c>
      <c r="AV591" s="190">
        <f t="shared" si="203"/>
        <v>0</v>
      </c>
      <c r="AW591" s="190">
        <f t="shared" si="204"/>
        <v>0</v>
      </c>
      <c r="AX591" s="190">
        <f t="shared" si="205"/>
        <v>0</v>
      </c>
      <c r="AZ591" s="15"/>
      <c r="BP591" s="190"/>
    </row>
    <row r="592" spans="2:68" x14ac:dyDescent="0.25">
      <c r="B592" s="98" t="s">
        <v>555</v>
      </c>
      <c r="C592" s="98">
        <v>2014</v>
      </c>
      <c r="D592" s="98" t="s">
        <v>153</v>
      </c>
      <c r="E592" s="98" t="s">
        <v>13</v>
      </c>
      <c r="F592" s="98" t="s">
        <v>131</v>
      </c>
      <c r="G592" s="98">
        <v>359870.54800000001</v>
      </c>
      <c r="H592" s="299" t="str">
        <f>VLOOKUP(LEFT('Rev Adequacy'!D592,3),'Mapping B'!$D$2:$E$400,2,0)</f>
        <v>S</v>
      </c>
      <c r="J592" s="15" t="s">
        <v>204</v>
      </c>
      <c r="K592" s="15" t="s">
        <v>10</v>
      </c>
      <c r="L592" s="15">
        <v>2553.0601603844798</v>
      </c>
      <c r="M592" s="15"/>
      <c r="N592" s="15"/>
      <c r="O592" s="15">
        <f>_xlfn.IFNA(IF(VLOOKUP($J592&amp;O$14,'Mapping A'!$A$6:$G$1011,7,0)=1,$L592,""),0)+_xlfn.IFNA(IF(VLOOKUP($J592&amp;O$16,'Mapping A'!$A$6:$G$1011,7,0)=1,$L592,""),0)</f>
        <v>0</v>
      </c>
      <c r="P592" s="15">
        <f>_xlfn.IFNA(IF(VLOOKUP($J592&amp;P$14,'Mapping A'!$A$6:$G$1011,7,0)=1,$L592,""),0)+_xlfn.IFNA(IF(VLOOKUP($J592&amp;P$16,'Mapping A'!$A$6:$G$1011,7,0)=1,$L592,""),0)</f>
        <v>0</v>
      </c>
      <c r="Q592" s="15">
        <f>_xlfn.IFNA(IF(VLOOKUP($J592&amp;Q$14,'Mapping A'!$A$6:$G$1011,7,0)=1,$L592,""),0)+_xlfn.IFNA(IF(VLOOKUP($J592&amp;Q$16,'Mapping A'!$A$6:$G$1011,7,0)=1,$L592,""),0)</f>
        <v>0</v>
      </c>
      <c r="R592" s="15">
        <f>_xlfn.IFNA(IF(VLOOKUP($J592&amp;R$14,'Mapping A'!$A$6:$G$1011,7,0)=1,$L592,""),0)+_xlfn.IFNA(IF(VLOOKUP($J592&amp;R$16,'Mapping A'!$A$6:$G$1011,7,0)=1,$L592,""),0)</f>
        <v>0</v>
      </c>
      <c r="S592" s="15">
        <f>_xlfn.IFNA(IF(VLOOKUP($J592&amp;S$14,'Mapping A'!$A$6:$G$1011,7,0)=1,$L592,""),0)+_xlfn.IFNA(IF(VLOOKUP($J592&amp;S$16,'Mapping A'!$A$6:$G$1011,7,0)=1,$L592,""),0)</f>
        <v>0</v>
      </c>
      <c r="T592" s="15">
        <f>_xlfn.IFNA(IF(VLOOKUP($J592&amp;T$14,'Mapping A'!$A$6:$G$1011,7,0)=1,$L592,""),0)+_xlfn.IFNA(IF(VLOOKUP($J592&amp;T$16,'Mapping A'!$A$6:$G$1011,7,0)=1,$L592,""),0)</f>
        <v>0</v>
      </c>
      <c r="U592" s="15">
        <f>_xlfn.IFNA(IF(VLOOKUP($J592&amp;U$14,'Mapping A'!$A$6:$G$1011,7,0)=1,$L592,""),0)+_xlfn.IFNA(IF(VLOOKUP($J592&amp;U$16,'Mapping A'!$A$6:$G$1011,7,0)=1,$L592,""),0)</f>
        <v>0</v>
      </c>
      <c r="V592" s="15">
        <f>_xlfn.IFNA(IF(VLOOKUP($J592&amp;V$14,'Mapping A'!$A$6:$G$1011,7,0)=1,$L592,""),0)+_xlfn.IFNA(IF(VLOOKUP($J592&amp;V$16,'Mapping A'!$A$6:$G$1011,7,0)=1,$L592,""),0)</f>
        <v>0</v>
      </c>
      <c r="W592" s="15">
        <f>_xlfn.IFNA(IF(VLOOKUP($J592&amp;W$14,'Mapping A'!$A$6:$G$1011,7,0)=1,$L592,""),0)+_xlfn.IFNA(IF(VLOOKUP($J592&amp;W$16,'Mapping A'!$A$6:$G$1011,7,0)=1,$L592,""),0)</f>
        <v>0</v>
      </c>
      <c r="X592" s="15">
        <f>_xlfn.IFNA(IF(VLOOKUP($J592&amp;X$14,'Mapping A'!$A$6:$G$1011,7,0)=1,$L592,""),0)+_xlfn.IFNA(IF(VLOOKUP($J592&amp;X$16,'Mapping A'!$A$6:$G$1011,7,0)=1,$L592,""),0)</f>
        <v>0</v>
      </c>
      <c r="Y592" s="15">
        <f>_xlfn.IFNA(IF(VLOOKUP($J592&amp;Y$14,'Mapping A'!$A$6:$G$1011,7,0)=1,$L592,""),0)+_xlfn.IFNA(IF(VLOOKUP($J592&amp;Y$16,'Mapping A'!$A$6:$G$1011,7,0)=1,$L592,""),0)</f>
        <v>0</v>
      </c>
      <c r="Z592" s="15">
        <f>_xlfn.IFNA(IF(VLOOKUP($J592&amp;Z$14,'Mapping A'!$A$6:$G$1011,7,0)=1,$L592,""),0)+_xlfn.IFNA(IF(VLOOKUP($J592&amp;Z$16,'Mapping A'!$A$6:$G$1011,7,0)=1,$L592,""),0)</f>
        <v>0</v>
      </c>
      <c r="AA592" s="15">
        <f>_xlfn.IFNA(IF(VLOOKUP($J592&amp;AA$14,'Mapping A'!$A$6:$G$1011,7,0)=1,$L592,""),0)+_xlfn.IFNA(IF(VLOOKUP($J592&amp;AA$16,'Mapping A'!$A$6:$G$1011,7,0)=1,$L592,""),0)</f>
        <v>0</v>
      </c>
      <c r="AF592" s="155" t="str">
        <f t="shared" si="177"/>
        <v>HLY2201 HLY5Genesis</v>
      </c>
      <c r="AG592" s="15" t="s">
        <v>204</v>
      </c>
      <c r="AH592" s="15" t="s">
        <v>10</v>
      </c>
      <c r="AI592" s="15">
        <v>2553.0601603844798</v>
      </c>
      <c r="AJ592" s="292" t="s">
        <v>95</v>
      </c>
      <c r="AK592" s="15"/>
      <c r="AL592" s="15">
        <f t="shared" si="192"/>
        <v>0</v>
      </c>
      <c r="AM592" s="15">
        <f t="shared" ca="1" si="193"/>
        <v>0</v>
      </c>
      <c r="AN592" s="15">
        <f t="shared" ca="1" si="194"/>
        <v>0</v>
      </c>
      <c r="AO592" s="15">
        <f t="shared" si="195"/>
        <v>0</v>
      </c>
      <c r="AP592" s="15">
        <f t="shared" si="196"/>
        <v>0</v>
      </c>
      <c r="AQ592" s="15">
        <f t="shared" si="197"/>
        <v>0</v>
      </c>
      <c r="AR592" s="190">
        <f t="shared" si="199"/>
        <v>0</v>
      </c>
      <c r="AS592" s="190">
        <f t="shared" ca="1" si="200"/>
        <v>0</v>
      </c>
      <c r="AT592" s="190">
        <f t="shared" si="201"/>
        <v>0</v>
      </c>
      <c r="AU592" s="190">
        <f t="shared" si="202"/>
        <v>0</v>
      </c>
      <c r="AV592" s="190">
        <f t="shared" si="203"/>
        <v>0</v>
      </c>
      <c r="AW592" s="190">
        <f t="shared" si="204"/>
        <v>0</v>
      </c>
      <c r="AX592" s="190">
        <f t="shared" si="205"/>
        <v>0</v>
      </c>
      <c r="AZ592" s="15"/>
      <c r="BP592" s="190"/>
    </row>
    <row r="593" spans="2:68" x14ac:dyDescent="0.25">
      <c r="B593" s="98" t="s">
        <v>112</v>
      </c>
      <c r="C593" s="98">
        <v>2014</v>
      </c>
      <c r="D593" s="98" t="s">
        <v>153</v>
      </c>
      <c r="E593" s="98" t="s">
        <v>13</v>
      </c>
      <c r="F593" s="98" t="s">
        <v>131</v>
      </c>
      <c r="G593" s="98">
        <v>0</v>
      </c>
      <c r="H593" s="299" t="str">
        <f>VLOOKUP(LEFT('Rev Adequacy'!D593,3),'Mapping B'!$D$2:$E$400,2,0)</f>
        <v>S</v>
      </c>
      <c r="J593" s="15" t="s">
        <v>205</v>
      </c>
      <c r="K593" s="15" t="s">
        <v>10</v>
      </c>
      <c r="L593" s="15">
        <v>9.3521050122840101</v>
      </c>
      <c r="M593" s="15"/>
      <c r="N593" s="15"/>
      <c r="O593" s="15">
        <f>_xlfn.IFNA(IF(VLOOKUP($J593&amp;O$14,'Mapping A'!$A$6:$G$1011,7,0)=1,$L593,""),0)+_xlfn.IFNA(IF(VLOOKUP($J593&amp;O$16,'Mapping A'!$A$6:$G$1011,7,0)=1,$L593,""),0)</f>
        <v>0</v>
      </c>
      <c r="P593" s="15">
        <f>_xlfn.IFNA(IF(VLOOKUP($J593&amp;P$14,'Mapping A'!$A$6:$G$1011,7,0)=1,$L593,""),0)+_xlfn.IFNA(IF(VLOOKUP($J593&amp;P$16,'Mapping A'!$A$6:$G$1011,7,0)=1,$L593,""),0)</f>
        <v>0</v>
      </c>
      <c r="Q593" s="15">
        <f>_xlfn.IFNA(IF(VLOOKUP($J593&amp;Q$14,'Mapping A'!$A$6:$G$1011,7,0)=1,$L593,""),0)+_xlfn.IFNA(IF(VLOOKUP($J593&amp;Q$16,'Mapping A'!$A$6:$G$1011,7,0)=1,$L593,""),0)</f>
        <v>0</v>
      </c>
      <c r="R593" s="15">
        <f>_xlfn.IFNA(IF(VLOOKUP($J593&amp;R$14,'Mapping A'!$A$6:$G$1011,7,0)=1,$L593,""),0)+_xlfn.IFNA(IF(VLOOKUP($J593&amp;R$16,'Mapping A'!$A$6:$G$1011,7,0)=1,$L593,""),0)</f>
        <v>0</v>
      </c>
      <c r="S593" s="15">
        <f>_xlfn.IFNA(IF(VLOOKUP($J593&amp;S$14,'Mapping A'!$A$6:$G$1011,7,0)=1,$L593,""),0)+_xlfn.IFNA(IF(VLOOKUP($J593&amp;S$16,'Mapping A'!$A$6:$G$1011,7,0)=1,$L593,""),0)</f>
        <v>0</v>
      </c>
      <c r="T593" s="15">
        <f>_xlfn.IFNA(IF(VLOOKUP($J593&amp;T$14,'Mapping A'!$A$6:$G$1011,7,0)=1,$L593,""),0)+_xlfn.IFNA(IF(VLOOKUP($J593&amp;T$16,'Mapping A'!$A$6:$G$1011,7,0)=1,$L593,""),0)</f>
        <v>0</v>
      </c>
      <c r="U593" s="15">
        <f>_xlfn.IFNA(IF(VLOOKUP($J593&amp;U$14,'Mapping A'!$A$6:$G$1011,7,0)=1,$L593,""),0)+_xlfn.IFNA(IF(VLOOKUP($J593&amp;U$16,'Mapping A'!$A$6:$G$1011,7,0)=1,$L593,""),0)</f>
        <v>0</v>
      </c>
      <c r="V593" s="15">
        <f>_xlfn.IFNA(IF(VLOOKUP($J593&amp;V$14,'Mapping A'!$A$6:$G$1011,7,0)=1,$L593,""),0)+_xlfn.IFNA(IF(VLOOKUP($J593&amp;V$16,'Mapping A'!$A$6:$G$1011,7,0)=1,$L593,""),0)</f>
        <v>0</v>
      </c>
      <c r="W593" s="15">
        <f>_xlfn.IFNA(IF(VLOOKUP($J593&amp;W$14,'Mapping A'!$A$6:$G$1011,7,0)=1,$L593,""),0)+_xlfn.IFNA(IF(VLOOKUP($J593&amp;W$16,'Mapping A'!$A$6:$G$1011,7,0)=1,$L593,""),0)</f>
        <v>0</v>
      </c>
      <c r="X593" s="15">
        <f>_xlfn.IFNA(IF(VLOOKUP($J593&amp;X$14,'Mapping A'!$A$6:$G$1011,7,0)=1,$L593,""),0)+_xlfn.IFNA(IF(VLOOKUP($J593&amp;X$16,'Mapping A'!$A$6:$G$1011,7,0)=1,$L593,""),0)</f>
        <v>0</v>
      </c>
      <c r="Y593" s="15">
        <f>_xlfn.IFNA(IF(VLOOKUP($J593&amp;Y$14,'Mapping A'!$A$6:$G$1011,7,0)=1,$L593,""),0)+_xlfn.IFNA(IF(VLOOKUP($J593&amp;Y$16,'Mapping A'!$A$6:$G$1011,7,0)=1,$L593,""),0)</f>
        <v>0</v>
      </c>
      <c r="Z593" s="15">
        <f>_xlfn.IFNA(IF(VLOOKUP($J593&amp;Z$14,'Mapping A'!$A$6:$G$1011,7,0)=1,$L593,""),0)+_xlfn.IFNA(IF(VLOOKUP($J593&amp;Z$16,'Mapping A'!$A$6:$G$1011,7,0)=1,$L593,""),0)</f>
        <v>0</v>
      </c>
      <c r="AA593" s="15">
        <f>_xlfn.IFNA(IF(VLOOKUP($J593&amp;AA$14,'Mapping A'!$A$6:$G$1011,7,0)=1,$L593,""),0)+_xlfn.IFNA(IF(VLOOKUP($J593&amp;AA$16,'Mapping A'!$A$6:$G$1011,7,0)=1,$L593,""),0)</f>
        <v>0</v>
      </c>
      <c r="AF593" s="155" t="str">
        <f t="shared" si="177"/>
        <v>HLY2201 HLY6Genesis</v>
      </c>
      <c r="AG593" s="15" t="s">
        <v>205</v>
      </c>
      <c r="AH593" s="15" t="s">
        <v>10</v>
      </c>
      <c r="AI593" s="15">
        <v>9.3521050122840101</v>
      </c>
      <c r="AJ593" s="292" t="s">
        <v>95</v>
      </c>
      <c r="AK593" s="15"/>
      <c r="AL593" s="15">
        <f t="shared" si="192"/>
        <v>0</v>
      </c>
      <c r="AM593" s="15">
        <f t="shared" ca="1" si="193"/>
        <v>0</v>
      </c>
      <c r="AN593" s="15">
        <f t="shared" ca="1" si="194"/>
        <v>0</v>
      </c>
      <c r="AO593" s="15">
        <f t="shared" si="195"/>
        <v>0</v>
      </c>
      <c r="AP593" s="15">
        <f t="shared" si="196"/>
        <v>0</v>
      </c>
      <c r="AQ593" s="15">
        <f t="shared" si="197"/>
        <v>0</v>
      </c>
      <c r="AR593" s="190">
        <f t="shared" si="199"/>
        <v>0</v>
      </c>
      <c r="AS593" s="190">
        <f t="shared" ca="1" si="200"/>
        <v>0</v>
      </c>
      <c r="AT593" s="190">
        <f t="shared" si="201"/>
        <v>0</v>
      </c>
      <c r="AU593" s="190">
        <f t="shared" si="202"/>
        <v>0</v>
      </c>
      <c r="AV593" s="190">
        <f t="shared" si="203"/>
        <v>0</v>
      </c>
      <c r="AW593" s="190">
        <f t="shared" si="204"/>
        <v>0</v>
      </c>
      <c r="AX593" s="190">
        <f t="shared" si="205"/>
        <v>0</v>
      </c>
      <c r="AZ593" s="15"/>
      <c r="BP593" s="190"/>
    </row>
    <row r="594" spans="2:68" x14ac:dyDescent="0.25">
      <c r="B594" s="98" t="s">
        <v>111</v>
      </c>
      <c r="C594" s="98">
        <v>2014</v>
      </c>
      <c r="D594" s="98" t="s">
        <v>153</v>
      </c>
      <c r="E594" s="98" t="s">
        <v>13</v>
      </c>
      <c r="F594" s="98" t="s">
        <v>131</v>
      </c>
      <c r="G594" s="98">
        <v>0</v>
      </c>
      <c r="H594" s="299" t="str">
        <f>VLOOKUP(LEFT('Rev Adequacy'!D594,3),'Mapping B'!$D$2:$E$400,2,0)</f>
        <v>S</v>
      </c>
      <c r="J594" s="15" t="s">
        <v>214</v>
      </c>
      <c r="K594" s="15" t="s">
        <v>35</v>
      </c>
      <c r="L594" s="15">
        <v>82.357676991948395</v>
      </c>
      <c r="M594" s="15"/>
      <c r="N594" s="15"/>
      <c r="O594" s="15">
        <f>_xlfn.IFNA(IF(VLOOKUP($J594&amp;O$14,'Mapping A'!$A$6:$G$1011,7,0)=1,$L594,""),0)+_xlfn.IFNA(IF(VLOOKUP($J594&amp;O$16,'Mapping A'!$A$6:$G$1011,7,0)=1,$L594,""),0)</f>
        <v>0</v>
      </c>
      <c r="P594" s="15">
        <f>_xlfn.IFNA(IF(VLOOKUP($J594&amp;P$14,'Mapping A'!$A$6:$G$1011,7,0)=1,$L594,""),0)+_xlfn.IFNA(IF(VLOOKUP($J594&amp;P$16,'Mapping A'!$A$6:$G$1011,7,0)=1,$L594,""),0)</f>
        <v>0</v>
      </c>
      <c r="Q594" s="15">
        <f>_xlfn.IFNA(IF(VLOOKUP($J594&amp;Q$14,'Mapping A'!$A$6:$G$1011,7,0)=1,$L594,""),0)+_xlfn.IFNA(IF(VLOOKUP($J594&amp;Q$16,'Mapping A'!$A$6:$G$1011,7,0)=1,$L594,""),0)</f>
        <v>0</v>
      </c>
      <c r="R594" s="15">
        <f>_xlfn.IFNA(IF(VLOOKUP($J594&amp;R$14,'Mapping A'!$A$6:$G$1011,7,0)=1,$L594,""),0)+_xlfn.IFNA(IF(VLOOKUP($J594&amp;R$16,'Mapping A'!$A$6:$G$1011,7,0)=1,$L594,""),0)</f>
        <v>0</v>
      </c>
      <c r="S594" s="15">
        <f>_xlfn.IFNA(IF(VLOOKUP($J594&amp;S$14,'Mapping A'!$A$6:$G$1011,7,0)=1,$L594,""),0)+_xlfn.IFNA(IF(VLOOKUP($J594&amp;S$16,'Mapping A'!$A$6:$G$1011,7,0)=1,$L594,""),0)</f>
        <v>0</v>
      </c>
      <c r="T594" s="15">
        <f>_xlfn.IFNA(IF(VLOOKUP($J594&amp;T$14,'Mapping A'!$A$6:$G$1011,7,0)=1,$L594,""),0)+_xlfn.IFNA(IF(VLOOKUP($J594&amp;T$16,'Mapping A'!$A$6:$G$1011,7,0)=1,$L594,""),0)</f>
        <v>0</v>
      </c>
      <c r="U594" s="15">
        <f>_xlfn.IFNA(IF(VLOOKUP($J594&amp;U$14,'Mapping A'!$A$6:$G$1011,7,0)=1,$L594,""),0)+_xlfn.IFNA(IF(VLOOKUP($J594&amp;U$16,'Mapping A'!$A$6:$G$1011,7,0)=1,$L594,""),0)</f>
        <v>0</v>
      </c>
      <c r="V594" s="15">
        <f>_xlfn.IFNA(IF(VLOOKUP($J594&amp;V$14,'Mapping A'!$A$6:$G$1011,7,0)=1,$L594,""),0)+_xlfn.IFNA(IF(VLOOKUP($J594&amp;V$16,'Mapping A'!$A$6:$G$1011,7,0)=1,$L594,""),0)</f>
        <v>0</v>
      </c>
      <c r="W594" s="15">
        <f>_xlfn.IFNA(IF(VLOOKUP($J594&amp;W$14,'Mapping A'!$A$6:$G$1011,7,0)=1,$L594,""),0)+_xlfn.IFNA(IF(VLOOKUP($J594&amp;W$16,'Mapping A'!$A$6:$G$1011,7,0)=1,$L594,""),0)</f>
        <v>0</v>
      </c>
      <c r="X594" s="15">
        <f>_xlfn.IFNA(IF(VLOOKUP($J594&amp;X$14,'Mapping A'!$A$6:$G$1011,7,0)=1,$L594,""),0)+_xlfn.IFNA(IF(VLOOKUP($J594&amp;X$16,'Mapping A'!$A$6:$G$1011,7,0)=1,$L594,""),0)</f>
        <v>0</v>
      </c>
      <c r="Y594" s="15">
        <f>_xlfn.IFNA(IF(VLOOKUP($J594&amp;Y$14,'Mapping A'!$A$6:$G$1011,7,0)=1,$L594,""),0)+_xlfn.IFNA(IF(VLOOKUP($J594&amp;Y$16,'Mapping A'!$A$6:$G$1011,7,0)=1,$L594,""),0)</f>
        <v>0</v>
      </c>
      <c r="Z594" s="15">
        <f>_xlfn.IFNA(IF(VLOOKUP($J594&amp;Z$14,'Mapping A'!$A$6:$G$1011,7,0)=1,$L594,""),0)+_xlfn.IFNA(IF(VLOOKUP($J594&amp;Z$16,'Mapping A'!$A$6:$G$1011,7,0)=1,$L594,""),0)</f>
        <v>82.357676991948395</v>
      </c>
      <c r="AA594" s="15">
        <f>_xlfn.IFNA(IF(VLOOKUP($J594&amp;AA$14,'Mapping A'!$A$6:$G$1011,7,0)=1,$L594,""),0)+_xlfn.IFNA(IF(VLOOKUP($J594&amp;AA$16,'Mapping A'!$A$6:$G$1011,7,0)=1,$L594,""),0)</f>
        <v>0</v>
      </c>
      <c r="AF594" s="155" t="str">
        <f t="shared" si="177"/>
        <v>HWA1101 PTA1Trustpower</v>
      </c>
      <c r="AG594" s="15" t="s">
        <v>214</v>
      </c>
      <c r="AH594" s="15" t="s">
        <v>35</v>
      </c>
      <c r="AI594" s="15">
        <v>82.357676991948395</v>
      </c>
      <c r="AJ594" s="292" t="s">
        <v>95</v>
      </c>
      <c r="AK594" s="15"/>
      <c r="AL594" s="15">
        <f t="shared" si="192"/>
        <v>0</v>
      </c>
      <c r="AM594" s="15">
        <f t="shared" ca="1" si="193"/>
        <v>0</v>
      </c>
      <c r="AN594" s="15">
        <f t="shared" ca="1" si="194"/>
        <v>0</v>
      </c>
      <c r="AO594" s="15">
        <f t="shared" si="195"/>
        <v>0</v>
      </c>
      <c r="AP594" s="15">
        <f t="shared" si="196"/>
        <v>0</v>
      </c>
      <c r="AQ594" s="15">
        <f t="shared" si="197"/>
        <v>0</v>
      </c>
      <c r="AR594" s="190">
        <f t="shared" si="199"/>
        <v>0</v>
      </c>
      <c r="AS594" s="190">
        <f t="shared" ca="1" si="200"/>
        <v>0</v>
      </c>
      <c r="AT594" s="190">
        <f t="shared" si="201"/>
        <v>0</v>
      </c>
      <c r="AU594" s="190">
        <f t="shared" si="202"/>
        <v>0</v>
      </c>
      <c r="AV594" s="190">
        <f t="shared" si="203"/>
        <v>0</v>
      </c>
      <c r="AW594" s="190">
        <f t="shared" si="204"/>
        <v>0</v>
      </c>
      <c r="AX594" s="190">
        <f t="shared" si="205"/>
        <v>0</v>
      </c>
      <c r="AZ594" s="15"/>
      <c r="BP594" s="190"/>
    </row>
    <row r="595" spans="2:68" x14ac:dyDescent="0.25">
      <c r="B595" s="98" t="s">
        <v>552</v>
      </c>
      <c r="C595" s="98">
        <v>2014</v>
      </c>
      <c r="D595" s="98" t="s">
        <v>149</v>
      </c>
      <c r="E595" s="98" t="s">
        <v>14</v>
      </c>
      <c r="F595" s="98" t="s">
        <v>136</v>
      </c>
      <c r="G595" s="248">
        <v>113768.696999999</v>
      </c>
      <c r="H595" s="299" t="str">
        <f>VLOOKUP(LEFT('Rev Adequacy'!D595,3),'Mapping B'!$D$2:$E$400,2,0)</f>
        <v>S</v>
      </c>
      <c r="J595" s="15" t="s">
        <v>215</v>
      </c>
      <c r="K595" s="15" t="s">
        <v>35</v>
      </c>
      <c r="L595" s="15">
        <v>82.357676991948395</v>
      </c>
      <c r="M595" s="15"/>
      <c r="N595" s="15"/>
      <c r="O595" s="15">
        <f>_xlfn.IFNA(IF(VLOOKUP($J595&amp;O$14,'Mapping A'!$A$6:$G$1011,7,0)=1,$L595,""),0)+_xlfn.IFNA(IF(VLOOKUP($J595&amp;O$16,'Mapping A'!$A$6:$G$1011,7,0)=1,$L595,""),0)</f>
        <v>0</v>
      </c>
      <c r="P595" s="15">
        <f>_xlfn.IFNA(IF(VLOOKUP($J595&amp;P$14,'Mapping A'!$A$6:$G$1011,7,0)=1,$L595,""),0)+_xlfn.IFNA(IF(VLOOKUP($J595&amp;P$16,'Mapping A'!$A$6:$G$1011,7,0)=1,$L595,""),0)</f>
        <v>0</v>
      </c>
      <c r="Q595" s="15">
        <f>_xlfn.IFNA(IF(VLOOKUP($J595&amp;Q$14,'Mapping A'!$A$6:$G$1011,7,0)=1,$L595,""),0)+_xlfn.IFNA(IF(VLOOKUP($J595&amp;Q$16,'Mapping A'!$A$6:$G$1011,7,0)=1,$L595,""),0)</f>
        <v>0</v>
      </c>
      <c r="R595" s="15">
        <f>_xlfn.IFNA(IF(VLOOKUP($J595&amp;R$14,'Mapping A'!$A$6:$G$1011,7,0)=1,$L595,""),0)+_xlfn.IFNA(IF(VLOOKUP($J595&amp;R$16,'Mapping A'!$A$6:$G$1011,7,0)=1,$L595,""),0)</f>
        <v>0</v>
      </c>
      <c r="S595" s="15">
        <f>_xlfn.IFNA(IF(VLOOKUP($J595&amp;S$14,'Mapping A'!$A$6:$G$1011,7,0)=1,$L595,""),0)+_xlfn.IFNA(IF(VLOOKUP($J595&amp;S$16,'Mapping A'!$A$6:$G$1011,7,0)=1,$L595,""),0)</f>
        <v>0</v>
      </c>
      <c r="T595" s="15">
        <f>_xlfn.IFNA(IF(VLOOKUP($J595&amp;T$14,'Mapping A'!$A$6:$G$1011,7,0)=1,$L595,""),0)+_xlfn.IFNA(IF(VLOOKUP($J595&amp;T$16,'Mapping A'!$A$6:$G$1011,7,0)=1,$L595,""),0)</f>
        <v>0</v>
      </c>
      <c r="U595" s="15">
        <f>_xlfn.IFNA(IF(VLOOKUP($J595&amp;U$14,'Mapping A'!$A$6:$G$1011,7,0)=1,$L595,""),0)+_xlfn.IFNA(IF(VLOOKUP($J595&amp;U$16,'Mapping A'!$A$6:$G$1011,7,0)=1,$L595,""),0)</f>
        <v>0</v>
      </c>
      <c r="V595" s="15">
        <f>_xlfn.IFNA(IF(VLOOKUP($J595&amp;V$14,'Mapping A'!$A$6:$G$1011,7,0)=1,$L595,""),0)+_xlfn.IFNA(IF(VLOOKUP($J595&amp;V$16,'Mapping A'!$A$6:$G$1011,7,0)=1,$L595,""),0)</f>
        <v>0</v>
      </c>
      <c r="W595" s="15">
        <f>_xlfn.IFNA(IF(VLOOKUP($J595&amp;W$14,'Mapping A'!$A$6:$G$1011,7,0)=1,$L595,""),0)+_xlfn.IFNA(IF(VLOOKUP($J595&amp;W$16,'Mapping A'!$A$6:$G$1011,7,0)=1,$L595,""),0)</f>
        <v>0</v>
      </c>
      <c r="X595" s="15">
        <f>_xlfn.IFNA(IF(VLOOKUP($J595&amp;X$14,'Mapping A'!$A$6:$G$1011,7,0)=1,$L595,""),0)+_xlfn.IFNA(IF(VLOOKUP($J595&amp;X$16,'Mapping A'!$A$6:$G$1011,7,0)=1,$L595,""),0)</f>
        <v>0</v>
      </c>
      <c r="Y595" s="15">
        <f>_xlfn.IFNA(IF(VLOOKUP($J595&amp;Y$14,'Mapping A'!$A$6:$G$1011,7,0)=1,$L595,""),0)+_xlfn.IFNA(IF(VLOOKUP($J595&amp;Y$16,'Mapping A'!$A$6:$G$1011,7,0)=1,$L595,""),0)</f>
        <v>0</v>
      </c>
      <c r="Z595" s="15">
        <f>_xlfn.IFNA(IF(VLOOKUP($J595&amp;Z$14,'Mapping A'!$A$6:$G$1011,7,0)=1,$L595,""),0)+_xlfn.IFNA(IF(VLOOKUP($J595&amp;Z$16,'Mapping A'!$A$6:$G$1011,7,0)=1,$L595,""),0)</f>
        <v>82.357676991948395</v>
      </c>
      <c r="AA595" s="15">
        <f>_xlfn.IFNA(IF(VLOOKUP($J595&amp;AA$14,'Mapping A'!$A$6:$G$1011,7,0)=1,$L595,""),0)+_xlfn.IFNA(IF(VLOOKUP($J595&amp;AA$16,'Mapping A'!$A$6:$G$1011,7,0)=1,$L595,""),0)</f>
        <v>0</v>
      </c>
      <c r="AF595" s="155" t="str">
        <f t="shared" si="177"/>
        <v>HWA1101 PTA2Trustpower</v>
      </c>
      <c r="AG595" s="15" t="s">
        <v>215</v>
      </c>
      <c r="AH595" s="15" t="s">
        <v>35</v>
      </c>
      <c r="AI595" s="15">
        <v>82.357676991948395</v>
      </c>
      <c r="AJ595" s="292" t="s">
        <v>95</v>
      </c>
      <c r="AK595" s="15"/>
      <c r="AL595" s="15">
        <f t="shared" si="192"/>
        <v>0</v>
      </c>
      <c r="AM595" s="15">
        <f t="shared" ca="1" si="193"/>
        <v>0</v>
      </c>
      <c r="AN595" s="15">
        <f t="shared" ca="1" si="194"/>
        <v>0</v>
      </c>
      <c r="AO595" s="15">
        <f t="shared" si="195"/>
        <v>0</v>
      </c>
      <c r="AP595" s="15">
        <f t="shared" si="196"/>
        <v>0</v>
      </c>
      <c r="AQ595" s="15">
        <f t="shared" si="197"/>
        <v>0</v>
      </c>
      <c r="AR595" s="190">
        <f t="shared" si="199"/>
        <v>0</v>
      </c>
      <c r="AS595" s="190">
        <f t="shared" ca="1" si="200"/>
        <v>0</v>
      </c>
      <c r="AT595" s="190">
        <f t="shared" si="201"/>
        <v>0</v>
      </c>
      <c r="AU595" s="190">
        <f t="shared" si="202"/>
        <v>0</v>
      </c>
      <c r="AV595" s="190">
        <f t="shared" si="203"/>
        <v>0</v>
      </c>
      <c r="AW595" s="190">
        <f t="shared" si="204"/>
        <v>0</v>
      </c>
      <c r="AX595" s="190">
        <f t="shared" si="205"/>
        <v>0</v>
      </c>
      <c r="AZ595" s="15"/>
      <c r="BP595" s="190"/>
    </row>
    <row r="596" spans="2:68" x14ac:dyDescent="0.25">
      <c r="B596" s="98" t="s">
        <v>552</v>
      </c>
      <c r="C596" s="98">
        <v>2014</v>
      </c>
      <c r="D596" s="98" t="s">
        <v>152</v>
      </c>
      <c r="E596" s="98" t="s">
        <v>14</v>
      </c>
      <c r="F596" s="98" t="s">
        <v>136</v>
      </c>
      <c r="G596" s="248">
        <v>0</v>
      </c>
      <c r="H596" s="299" t="str">
        <f>VLOOKUP(LEFT('Rev Adequacy'!D596,3),'Mapping B'!$D$2:$E$400,2,0)</f>
        <v>S</v>
      </c>
      <c r="J596" s="15" t="s">
        <v>216</v>
      </c>
      <c r="K596" s="15" t="s">
        <v>35</v>
      </c>
      <c r="L596" s="15">
        <v>82.357676991948395</v>
      </c>
      <c r="M596" s="15"/>
      <c r="N596" s="15"/>
      <c r="O596" s="15">
        <f>_xlfn.IFNA(IF(VLOOKUP($J596&amp;O$14,'Mapping A'!$A$6:$G$1011,7,0)=1,$L596,""),0)+_xlfn.IFNA(IF(VLOOKUP($J596&amp;O$16,'Mapping A'!$A$6:$G$1011,7,0)=1,$L596,""),0)</f>
        <v>0</v>
      </c>
      <c r="P596" s="15">
        <f>_xlfn.IFNA(IF(VLOOKUP($J596&amp;P$14,'Mapping A'!$A$6:$G$1011,7,0)=1,$L596,""),0)+_xlfn.IFNA(IF(VLOOKUP($J596&amp;P$16,'Mapping A'!$A$6:$G$1011,7,0)=1,$L596,""),0)</f>
        <v>0</v>
      </c>
      <c r="Q596" s="15">
        <f>_xlfn.IFNA(IF(VLOOKUP($J596&amp;Q$14,'Mapping A'!$A$6:$G$1011,7,0)=1,$L596,""),0)+_xlfn.IFNA(IF(VLOOKUP($J596&amp;Q$16,'Mapping A'!$A$6:$G$1011,7,0)=1,$L596,""),0)</f>
        <v>0</v>
      </c>
      <c r="R596" s="15">
        <f>_xlfn.IFNA(IF(VLOOKUP($J596&amp;R$14,'Mapping A'!$A$6:$G$1011,7,0)=1,$L596,""),0)+_xlfn.IFNA(IF(VLOOKUP($J596&amp;R$16,'Mapping A'!$A$6:$G$1011,7,0)=1,$L596,""),0)</f>
        <v>0</v>
      </c>
      <c r="S596" s="15">
        <f>_xlfn.IFNA(IF(VLOOKUP($J596&amp;S$14,'Mapping A'!$A$6:$G$1011,7,0)=1,$L596,""),0)+_xlfn.IFNA(IF(VLOOKUP($J596&amp;S$16,'Mapping A'!$A$6:$G$1011,7,0)=1,$L596,""),0)</f>
        <v>0</v>
      </c>
      <c r="T596" s="15">
        <f>_xlfn.IFNA(IF(VLOOKUP($J596&amp;T$14,'Mapping A'!$A$6:$G$1011,7,0)=1,$L596,""),0)+_xlfn.IFNA(IF(VLOOKUP($J596&amp;T$16,'Mapping A'!$A$6:$G$1011,7,0)=1,$L596,""),0)</f>
        <v>0</v>
      </c>
      <c r="U596" s="15">
        <f>_xlfn.IFNA(IF(VLOOKUP($J596&amp;U$14,'Mapping A'!$A$6:$G$1011,7,0)=1,$L596,""),0)+_xlfn.IFNA(IF(VLOOKUP($J596&amp;U$16,'Mapping A'!$A$6:$G$1011,7,0)=1,$L596,""),0)</f>
        <v>0</v>
      </c>
      <c r="V596" s="15">
        <f>_xlfn.IFNA(IF(VLOOKUP($J596&amp;V$14,'Mapping A'!$A$6:$G$1011,7,0)=1,$L596,""),0)+_xlfn.IFNA(IF(VLOOKUP($J596&amp;V$16,'Mapping A'!$A$6:$G$1011,7,0)=1,$L596,""),0)</f>
        <v>0</v>
      </c>
      <c r="W596" s="15">
        <f>_xlfn.IFNA(IF(VLOOKUP($J596&amp;W$14,'Mapping A'!$A$6:$G$1011,7,0)=1,$L596,""),0)+_xlfn.IFNA(IF(VLOOKUP($J596&amp;W$16,'Mapping A'!$A$6:$G$1011,7,0)=1,$L596,""),0)</f>
        <v>0</v>
      </c>
      <c r="X596" s="15">
        <f>_xlfn.IFNA(IF(VLOOKUP($J596&amp;X$14,'Mapping A'!$A$6:$G$1011,7,0)=1,$L596,""),0)+_xlfn.IFNA(IF(VLOOKUP($J596&amp;X$16,'Mapping A'!$A$6:$G$1011,7,0)=1,$L596,""),0)</f>
        <v>0</v>
      </c>
      <c r="Y596" s="15">
        <f>_xlfn.IFNA(IF(VLOOKUP($J596&amp;Y$14,'Mapping A'!$A$6:$G$1011,7,0)=1,$L596,""),0)+_xlfn.IFNA(IF(VLOOKUP($J596&amp;Y$16,'Mapping A'!$A$6:$G$1011,7,0)=1,$L596,""),0)</f>
        <v>0</v>
      </c>
      <c r="Z596" s="15">
        <f>_xlfn.IFNA(IF(VLOOKUP($J596&amp;Z$14,'Mapping A'!$A$6:$G$1011,7,0)=1,$L596,""),0)+_xlfn.IFNA(IF(VLOOKUP($J596&amp;Z$16,'Mapping A'!$A$6:$G$1011,7,0)=1,$L596,""),0)</f>
        <v>82.357676991948395</v>
      </c>
      <c r="AA596" s="15">
        <f>_xlfn.IFNA(IF(VLOOKUP($J596&amp;AA$14,'Mapping A'!$A$6:$G$1011,7,0)=1,$L596,""),0)+_xlfn.IFNA(IF(VLOOKUP($J596&amp;AA$16,'Mapping A'!$A$6:$G$1011,7,0)=1,$L596,""),0)</f>
        <v>0</v>
      </c>
      <c r="AF596" s="155" t="str">
        <f t="shared" si="177"/>
        <v>HWA1101 PTA3Trustpower</v>
      </c>
      <c r="AG596" s="15" t="s">
        <v>216</v>
      </c>
      <c r="AH596" s="15" t="s">
        <v>35</v>
      </c>
      <c r="AI596" s="15">
        <v>82.357676991948395</v>
      </c>
      <c r="AJ596" s="292" t="s">
        <v>95</v>
      </c>
      <c r="AK596" s="15"/>
      <c r="AL596" s="15">
        <f t="shared" si="192"/>
        <v>0</v>
      </c>
      <c r="AM596" s="15">
        <f t="shared" ca="1" si="193"/>
        <v>0</v>
      </c>
      <c r="AN596" s="15">
        <f t="shared" ca="1" si="194"/>
        <v>0</v>
      </c>
      <c r="AO596" s="15">
        <f t="shared" si="195"/>
        <v>0</v>
      </c>
      <c r="AP596" s="15">
        <f t="shared" si="196"/>
        <v>0</v>
      </c>
      <c r="AQ596" s="15">
        <f t="shared" si="197"/>
        <v>0</v>
      </c>
      <c r="AR596" s="190">
        <f t="shared" si="199"/>
        <v>0</v>
      </c>
      <c r="AS596" s="190">
        <f t="shared" ca="1" si="200"/>
        <v>0</v>
      </c>
      <c r="AT596" s="190">
        <f t="shared" si="201"/>
        <v>0</v>
      </c>
      <c r="AU596" s="190">
        <f t="shared" si="202"/>
        <v>0</v>
      </c>
      <c r="AV596" s="190">
        <f t="shared" si="203"/>
        <v>0</v>
      </c>
      <c r="AW596" s="190">
        <f t="shared" si="204"/>
        <v>0</v>
      </c>
      <c r="AX596" s="190">
        <f t="shared" si="205"/>
        <v>0</v>
      </c>
      <c r="AZ596" s="15"/>
      <c r="BP596" s="190"/>
    </row>
    <row r="597" spans="2:68" x14ac:dyDescent="0.25">
      <c r="B597" s="98" t="s">
        <v>552</v>
      </c>
      <c r="C597" s="98">
        <v>2014</v>
      </c>
      <c r="D597" s="98" t="s">
        <v>217</v>
      </c>
      <c r="E597" s="98" t="s">
        <v>14</v>
      </c>
      <c r="F597" s="98" t="s">
        <v>131</v>
      </c>
      <c r="G597" s="248">
        <v>9.859</v>
      </c>
      <c r="H597" s="299" t="str">
        <f>VLOOKUP(LEFT('Rev Adequacy'!D597,3),'Mapping B'!$D$2:$E$400,2,0)</f>
        <v>N</v>
      </c>
      <c r="J597" s="15" t="s">
        <v>218</v>
      </c>
      <c r="K597" s="15" t="s">
        <v>49</v>
      </c>
      <c r="L597" s="15">
        <v>119.532359973216</v>
      </c>
      <c r="M597" s="15"/>
      <c r="N597" s="15"/>
      <c r="O597" s="15">
        <f>_xlfn.IFNA(IF(VLOOKUP($J597&amp;O$14,'Mapping A'!$A$6:$G$1011,7,0)=1,$L597,""),0)+_xlfn.IFNA(IF(VLOOKUP($J597&amp;O$16,'Mapping A'!$A$6:$G$1011,7,0)=1,$L597,""),0)</f>
        <v>0</v>
      </c>
      <c r="P597" s="15">
        <f>_xlfn.IFNA(IF(VLOOKUP($J597&amp;P$14,'Mapping A'!$A$6:$G$1011,7,0)=1,$L597,""),0)+_xlfn.IFNA(IF(VLOOKUP($J597&amp;P$16,'Mapping A'!$A$6:$G$1011,7,0)=1,$L597,""),0)</f>
        <v>0</v>
      </c>
      <c r="Q597" s="15">
        <f>_xlfn.IFNA(IF(VLOOKUP($J597&amp;Q$14,'Mapping A'!$A$6:$G$1011,7,0)=1,$L597,""),0)+_xlfn.IFNA(IF(VLOOKUP($J597&amp;Q$16,'Mapping A'!$A$6:$G$1011,7,0)=1,$L597,""),0)</f>
        <v>0</v>
      </c>
      <c r="R597" s="15">
        <f>_xlfn.IFNA(IF(VLOOKUP($J597&amp;R$14,'Mapping A'!$A$6:$G$1011,7,0)=1,$L597,""),0)+_xlfn.IFNA(IF(VLOOKUP($J597&amp;R$16,'Mapping A'!$A$6:$G$1011,7,0)=1,$L597,""),0)</f>
        <v>0</v>
      </c>
      <c r="S597" s="15">
        <f>_xlfn.IFNA(IF(VLOOKUP($J597&amp;S$14,'Mapping A'!$A$6:$G$1011,7,0)=1,$L597,""),0)+_xlfn.IFNA(IF(VLOOKUP($J597&amp;S$16,'Mapping A'!$A$6:$G$1011,7,0)=1,$L597,""),0)</f>
        <v>0</v>
      </c>
      <c r="T597" s="15">
        <f>_xlfn.IFNA(IF(VLOOKUP($J597&amp;T$14,'Mapping A'!$A$6:$G$1011,7,0)=1,$L597,""),0)+_xlfn.IFNA(IF(VLOOKUP($J597&amp;T$16,'Mapping A'!$A$6:$G$1011,7,0)=1,$L597,""),0)</f>
        <v>0</v>
      </c>
      <c r="U597" s="15">
        <f>_xlfn.IFNA(IF(VLOOKUP($J597&amp;U$14,'Mapping A'!$A$6:$G$1011,7,0)=1,$L597,""),0)+_xlfn.IFNA(IF(VLOOKUP($J597&amp;U$16,'Mapping A'!$A$6:$G$1011,7,0)=1,$L597,""),0)</f>
        <v>0</v>
      </c>
      <c r="V597" s="15">
        <f>_xlfn.IFNA(IF(VLOOKUP($J597&amp;V$14,'Mapping A'!$A$6:$G$1011,7,0)=1,$L597,""),0)+_xlfn.IFNA(IF(VLOOKUP($J597&amp;V$16,'Mapping A'!$A$6:$G$1011,7,0)=1,$L597,""),0)</f>
        <v>0</v>
      </c>
      <c r="W597" s="15">
        <f>_xlfn.IFNA(IF(VLOOKUP($J597&amp;W$14,'Mapping A'!$A$6:$G$1011,7,0)=1,$L597,""),0)+_xlfn.IFNA(IF(VLOOKUP($J597&amp;W$16,'Mapping A'!$A$6:$G$1011,7,0)=1,$L597,""),0)</f>
        <v>0</v>
      </c>
      <c r="X597" s="15">
        <f>_xlfn.IFNA(IF(VLOOKUP($J597&amp;X$14,'Mapping A'!$A$6:$G$1011,7,0)=1,$L597,""),0)+_xlfn.IFNA(IF(VLOOKUP($J597&amp;X$16,'Mapping A'!$A$6:$G$1011,7,0)=1,$L597,""),0)</f>
        <v>0</v>
      </c>
      <c r="Y597" s="15">
        <f>_xlfn.IFNA(IF(VLOOKUP($J597&amp;Y$14,'Mapping A'!$A$6:$G$1011,7,0)=1,$L597,""),0)+_xlfn.IFNA(IF(VLOOKUP($J597&amp;Y$16,'Mapping A'!$A$6:$G$1011,7,0)=1,$L597,""),0)</f>
        <v>0</v>
      </c>
      <c r="Z597" s="15">
        <f>_xlfn.IFNA(IF(VLOOKUP($J597&amp;Z$14,'Mapping A'!$A$6:$G$1011,7,0)=1,$L597,""),0)+_xlfn.IFNA(IF(VLOOKUP($J597&amp;Z$16,'Mapping A'!$A$6:$G$1011,7,0)=1,$L597,""),0)</f>
        <v>119.532359973216</v>
      </c>
      <c r="AA597" s="15">
        <f>_xlfn.IFNA(IF(VLOOKUP($J597&amp;AA$14,'Mapping A'!$A$6:$G$1011,7,0)=1,$L597,""),0)+_xlfn.IFNA(IF(VLOOKUP($J597&amp;AA$16,'Mapping A'!$A$6:$G$1011,7,0)=1,$L597,""),0)</f>
        <v>0</v>
      </c>
      <c r="AF597" s="155" t="str">
        <f t="shared" si="177"/>
        <v>HWA1102 WAA0Fonterra</v>
      </c>
      <c r="AG597" s="15" t="s">
        <v>218</v>
      </c>
      <c r="AH597" s="15" t="s">
        <v>49</v>
      </c>
      <c r="AI597" s="15">
        <v>119.532359973216</v>
      </c>
      <c r="AJ597" s="292" t="s">
        <v>95</v>
      </c>
      <c r="AK597" s="15"/>
      <c r="AL597" s="15">
        <f t="shared" si="192"/>
        <v>0</v>
      </c>
      <c r="AM597" s="15">
        <f t="shared" ca="1" si="193"/>
        <v>0</v>
      </c>
      <c r="AN597" s="15">
        <f t="shared" ca="1" si="194"/>
        <v>0</v>
      </c>
      <c r="AO597" s="15">
        <f t="shared" si="195"/>
        <v>0</v>
      </c>
      <c r="AP597" s="15">
        <f t="shared" si="196"/>
        <v>0</v>
      </c>
      <c r="AQ597" s="15">
        <f t="shared" si="197"/>
        <v>0</v>
      </c>
      <c r="AR597" s="190">
        <f t="shared" si="199"/>
        <v>0</v>
      </c>
      <c r="AS597" s="190">
        <f t="shared" ca="1" si="200"/>
        <v>0</v>
      </c>
      <c r="AT597" s="190">
        <f t="shared" si="201"/>
        <v>0</v>
      </c>
      <c r="AU597" s="190">
        <f t="shared" si="202"/>
        <v>0</v>
      </c>
      <c r="AV597" s="190">
        <f t="shared" si="203"/>
        <v>0</v>
      </c>
      <c r="AW597" s="190">
        <f t="shared" si="204"/>
        <v>0</v>
      </c>
      <c r="AX597" s="190">
        <f t="shared" si="205"/>
        <v>0</v>
      </c>
      <c r="AZ597" s="15"/>
      <c r="BP597" s="190"/>
    </row>
    <row r="598" spans="2:68" x14ac:dyDescent="0.25">
      <c r="B598" s="98" t="s">
        <v>552</v>
      </c>
      <c r="C598" s="98">
        <v>2014</v>
      </c>
      <c r="D598" s="98" t="s">
        <v>248</v>
      </c>
      <c r="E598" s="98" t="s">
        <v>14</v>
      </c>
      <c r="F598" s="98" t="s">
        <v>136</v>
      </c>
      <c r="G598" s="248">
        <v>0</v>
      </c>
      <c r="H598" s="299" t="str">
        <f>VLOOKUP(LEFT('Rev Adequacy'!D598,3),'Mapping B'!$D$2:$E$400,2,0)</f>
        <v>S</v>
      </c>
      <c r="J598" s="15" t="s">
        <v>219</v>
      </c>
      <c r="K598" s="15" t="s">
        <v>49</v>
      </c>
      <c r="L598" s="15">
        <v>119.532359973216</v>
      </c>
      <c r="M598" s="15"/>
      <c r="N598" s="15"/>
      <c r="O598" s="15">
        <f>_xlfn.IFNA(IF(VLOOKUP($J598&amp;O$14,'Mapping A'!$A$6:$G$1011,7,0)=1,$L598,""),0)+_xlfn.IFNA(IF(VLOOKUP($J598&amp;O$16,'Mapping A'!$A$6:$G$1011,7,0)=1,$L598,""),0)</f>
        <v>0</v>
      </c>
      <c r="P598" s="15">
        <f>_xlfn.IFNA(IF(VLOOKUP($J598&amp;P$14,'Mapping A'!$A$6:$G$1011,7,0)=1,$L598,""),0)+_xlfn.IFNA(IF(VLOOKUP($J598&amp;P$16,'Mapping A'!$A$6:$G$1011,7,0)=1,$L598,""),0)</f>
        <v>0</v>
      </c>
      <c r="Q598" s="15">
        <f>_xlfn.IFNA(IF(VLOOKUP($J598&amp;Q$14,'Mapping A'!$A$6:$G$1011,7,0)=1,$L598,""),0)+_xlfn.IFNA(IF(VLOOKUP($J598&amp;Q$16,'Mapping A'!$A$6:$G$1011,7,0)=1,$L598,""),0)</f>
        <v>0</v>
      </c>
      <c r="R598" s="15">
        <f>_xlfn.IFNA(IF(VLOOKUP($J598&amp;R$14,'Mapping A'!$A$6:$G$1011,7,0)=1,$L598,""),0)+_xlfn.IFNA(IF(VLOOKUP($J598&amp;R$16,'Mapping A'!$A$6:$G$1011,7,0)=1,$L598,""),0)</f>
        <v>0</v>
      </c>
      <c r="S598" s="15">
        <f>_xlfn.IFNA(IF(VLOOKUP($J598&amp;S$14,'Mapping A'!$A$6:$G$1011,7,0)=1,$L598,""),0)+_xlfn.IFNA(IF(VLOOKUP($J598&amp;S$16,'Mapping A'!$A$6:$G$1011,7,0)=1,$L598,""),0)</f>
        <v>0</v>
      </c>
      <c r="T598" s="15">
        <f>_xlfn.IFNA(IF(VLOOKUP($J598&amp;T$14,'Mapping A'!$A$6:$G$1011,7,0)=1,$L598,""),0)+_xlfn.IFNA(IF(VLOOKUP($J598&amp;T$16,'Mapping A'!$A$6:$G$1011,7,0)=1,$L598,""),0)</f>
        <v>0</v>
      </c>
      <c r="U598" s="15">
        <f>_xlfn.IFNA(IF(VLOOKUP($J598&amp;U$14,'Mapping A'!$A$6:$G$1011,7,0)=1,$L598,""),0)+_xlfn.IFNA(IF(VLOOKUP($J598&amp;U$16,'Mapping A'!$A$6:$G$1011,7,0)=1,$L598,""),0)</f>
        <v>0</v>
      </c>
      <c r="V598" s="15">
        <f>_xlfn.IFNA(IF(VLOOKUP($J598&amp;V$14,'Mapping A'!$A$6:$G$1011,7,0)=1,$L598,""),0)+_xlfn.IFNA(IF(VLOOKUP($J598&amp;V$16,'Mapping A'!$A$6:$G$1011,7,0)=1,$L598,""),0)</f>
        <v>0</v>
      </c>
      <c r="W598" s="15">
        <f>_xlfn.IFNA(IF(VLOOKUP($J598&amp;W$14,'Mapping A'!$A$6:$G$1011,7,0)=1,$L598,""),0)+_xlfn.IFNA(IF(VLOOKUP($J598&amp;W$16,'Mapping A'!$A$6:$G$1011,7,0)=1,$L598,""),0)</f>
        <v>0</v>
      </c>
      <c r="X598" s="15">
        <f>_xlfn.IFNA(IF(VLOOKUP($J598&amp;X$14,'Mapping A'!$A$6:$G$1011,7,0)=1,$L598,""),0)+_xlfn.IFNA(IF(VLOOKUP($J598&amp;X$16,'Mapping A'!$A$6:$G$1011,7,0)=1,$L598,""),0)</f>
        <v>0</v>
      </c>
      <c r="Y598" s="15">
        <f>_xlfn.IFNA(IF(VLOOKUP($J598&amp;Y$14,'Mapping A'!$A$6:$G$1011,7,0)=1,$L598,""),0)+_xlfn.IFNA(IF(VLOOKUP($J598&amp;Y$16,'Mapping A'!$A$6:$G$1011,7,0)=1,$L598,""),0)</f>
        <v>0</v>
      </c>
      <c r="Z598" s="15">
        <f>_xlfn.IFNA(IF(VLOOKUP($J598&amp;Z$14,'Mapping A'!$A$6:$G$1011,7,0)=1,$L598,""),0)+_xlfn.IFNA(IF(VLOOKUP($J598&amp;Z$16,'Mapping A'!$A$6:$G$1011,7,0)=1,$L598,""),0)</f>
        <v>119.532359973216</v>
      </c>
      <c r="AA598" s="15">
        <f>_xlfn.IFNA(IF(VLOOKUP($J598&amp;AA$14,'Mapping A'!$A$6:$G$1011,7,0)=1,$L598,""),0)+_xlfn.IFNA(IF(VLOOKUP($J598&amp;AA$16,'Mapping A'!$A$6:$G$1011,7,0)=1,$L598,""),0)</f>
        <v>0</v>
      </c>
      <c r="AF598" s="155" t="str">
        <f t="shared" si="177"/>
        <v>HWA1102 WAA1Fonterra</v>
      </c>
      <c r="AG598" s="15" t="s">
        <v>219</v>
      </c>
      <c r="AH598" s="15" t="s">
        <v>49</v>
      </c>
      <c r="AI598" s="15">
        <v>119.532359973216</v>
      </c>
      <c r="AJ598" s="292" t="s">
        <v>95</v>
      </c>
      <c r="AK598" s="15"/>
      <c r="AL598" s="15">
        <f t="shared" si="192"/>
        <v>0</v>
      </c>
      <c r="AM598" s="15">
        <f t="shared" ca="1" si="193"/>
        <v>0</v>
      </c>
      <c r="AN598" s="15">
        <f t="shared" ca="1" si="194"/>
        <v>0</v>
      </c>
      <c r="AO598" s="15">
        <f t="shared" si="195"/>
        <v>0</v>
      </c>
      <c r="AP598" s="15">
        <f t="shared" si="196"/>
        <v>0</v>
      </c>
      <c r="AQ598" s="15">
        <f t="shared" si="197"/>
        <v>0</v>
      </c>
      <c r="AR598" s="190">
        <f t="shared" si="199"/>
        <v>0</v>
      </c>
      <c r="AS598" s="190">
        <f t="shared" ca="1" si="200"/>
        <v>0</v>
      </c>
      <c r="AT598" s="190">
        <f t="shared" si="201"/>
        <v>0</v>
      </c>
      <c r="AU598" s="190">
        <f t="shared" si="202"/>
        <v>0</v>
      </c>
      <c r="AV598" s="190">
        <f t="shared" si="203"/>
        <v>0</v>
      </c>
      <c r="AW598" s="190">
        <f t="shared" si="204"/>
        <v>0</v>
      </c>
      <c r="AX598" s="190">
        <f t="shared" si="205"/>
        <v>0</v>
      </c>
      <c r="AZ598" s="15"/>
      <c r="BP598" s="190"/>
    </row>
    <row r="599" spans="2:68" x14ac:dyDescent="0.25">
      <c r="B599" s="98" t="s">
        <v>552</v>
      </c>
      <c r="C599" s="98">
        <v>2014</v>
      </c>
      <c r="D599" s="98" t="s">
        <v>277</v>
      </c>
      <c r="E599" s="98" t="s">
        <v>14</v>
      </c>
      <c r="F599" s="98" t="s">
        <v>145</v>
      </c>
      <c r="G599" s="248">
        <v>0</v>
      </c>
      <c r="H599" s="299" t="str">
        <f>VLOOKUP(LEFT('Rev Adequacy'!D599,3),'Mapping B'!$D$2:$E$400,2,0)</f>
        <v>S</v>
      </c>
      <c r="J599" s="15" t="s">
        <v>221</v>
      </c>
      <c r="K599" s="15" t="s">
        <v>35</v>
      </c>
      <c r="L599" s="15">
        <v>155.968548231874</v>
      </c>
      <c r="M599" s="15"/>
      <c r="N599" s="15"/>
      <c r="O599" s="15">
        <f>_xlfn.IFNA(IF(VLOOKUP($J599&amp;O$14,'Mapping A'!$A$6:$G$1011,7,0)=1,$L599,""),0)+_xlfn.IFNA(IF(VLOOKUP($J599&amp;O$16,'Mapping A'!$A$6:$G$1011,7,0)=1,$L599,""),0)</f>
        <v>0</v>
      </c>
      <c r="P599" s="15">
        <f>_xlfn.IFNA(IF(VLOOKUP($J599&amp;P$14,'Mapping A'!$A$6:$G$1011,7,0)=1,$L599,""),0)+_xlfn.IFNA(IF(VLOOKUP($J599&amp;P$16,'Mapping A'!$A$6:$G$1011,7,0)=1,$L599,""),0)</f>
        <v>155.968548231874</v>
      </c>
      <c r="Q599" s="15">
        <f>_xlfn.IFNA(IF(VLOOKUP($J599&amp;Q$14,'Mapping A'!$A$6:$G$1011,7,0)=1,$L599,""),0)+_xlfn.IFNA(IF(VLOOKUP($J599&amp;Q$16,'Mapping A'!$A$6:$G$1011,7,0)=1,$L599,""),0)</f>
        <v>155.968548231874</v>
      </c>
      <c r="R599" s="15">
        <f>_xlfn.IFNA(IF(VLOOKUP($J599&amp;R$14,'Mapping A'!$A$6:$G$1011,7,0)=1,$L599,""),0)+_xlfn.IFNA(IF(VLOOKUP($J599&amp;R$16,'Mapping A'!$A$6:$G$1011,7,0)=1,$L599,""),0)</f>
        <v>0</v>
      </c>
      <c r="S599" s="15">
        <f>_xlfn.IFNA(IF(VLOOKUP($J599&amp;S$14,'Mapping A'!$A$6:$G$1011,7,0)=1,$L599,""),0)+_xlfn.IFNA(IF(VLOOKUP($J599&amp;S$16,'Mapping A'!$A$6:$G$1011,7,0)=1,$L599,""),0)</f>
        <v>0</v>
      </c>
      <c r="T599" s="15">
        <f>_xlfn.IFNA(IF(VLOOKUP($J599&amp;T$14,'Mapping A'!$A$6:$G$1011,7,0)=1,$L599,""),0)+_xlfn.IFNA(IF(VLOOKUP($J599&amp;T$16,'Mapping A'!$A$6:$G$1011,7,0)=1,$L599,""),0)</f>
        <v>0</v>
      </c>
      <c r="U599" s="15">
        <f>_xlfn.IFNA(IF(VLOOKUP($J599&amp;U$14,'Mapping A'!$A$6:$G$1011,7,0)=1,$L599,""),0)+_xlfn.IFNA(IF(VLOOKUP($J599&amp;U$16,'Mapping A'!$A$6:$G$1011,7,0)=1,$L599,""),0)</f>
        <v>0</v>
      </c>
      <c r="V599" s="15">
        <f>_xlfn.IFNA(IF(VLOOKUP($J599&amp;V$14,'Mapping A'!$A$6:$G$1011,7,0)=1,$L599,""),0)+_xlfn.IFNA(IF(VLOOKUP($J599&amp;V$16,'Mapping A'!$A$6:$G$1011,7,0)=1,$L599,""),0)</f>
        <v>155.968548231874</v>
      </c>
      <c r="W599" s="15">
        <f>_xlfn.IFNA(IF(VLOOKUP($J599&amp;W$14,'Mapping A'!$A$6:$G$1011,7,0)=1,$L599,""),0)+_xlfn.IFNA(IF(VLOOKUP($J599&amp;W$16,'Mapping A'!$A$6:$G$1011,7,0)=1,$L599,""),0)</f>
        <v>0</v>
      </c>
      <c r="X599" s="15">
        <f>_xlfn.IFNA(IF(VLOOKUP($J599&amp;X$14,'Mapping A'!$A$6:$G$1011,7,0)=1,$L599,""),0)+_xlfn.IFNA(IF(VLOOKUP($J599&amp;X$16,'Mapping A'!$A$6:$G$1011,7,0)=1,$L599,""),0)</f>
        <v>0</v>
      </c>
      <c r="Y599" s="15">
        <f>_xlfn.IFNA(IF(VLOOKUP($J599&amp;Y$14,'Mapping A'!$A$6:$G$1011,7,0)=1,$L599,""),0)+_xlfn.IFNA(IF(VLOOKUP($J599&amp;Y$16,'Mapping A'!$A$6:$G$1011,7,0)=1,$L599,""),0)</f>
        <v>0</v>
      </c>
      <c r="Z599" s="15">
        <f>_xlfn.IFNA(IF(VLOOKUP($J599&amp;Z$14,'Mapping A'!$A$6:$G$1011,7,0)=1,$L599,""),0)+_xlfn.IFNA(IF(VLOOKUP($J599&amp;Z$16,'Mapping A'!$A$6:$G$1011,7,0)=1,$L599,""),0)</f>
        <v>0</v>
      </c>
      <c r="AA599" s="15">
        <f>_xlfn.IFNA(IF(VLOOKUP($J599&amp;AA$14,'Mapping A'!$A$6:$G$1011,7,0)=1,$L599,""),0)+_xlfn.IFNA(IF(VLOOKUP($J599&amp;AA$16,'Mapping A'!$A$6:$G$1011,7,0)=1,$L599,""),0)</f>
        <v>0</v>
      </c>
      <c r="AF599" s="155" t="str">
        <f t="shared" si="177"/>
        <v>HWB0331 WPI0Trustpower</v>
      </c>
      <c r="AG599" s="15" t="s">
        <v>221</v>
      </c>
      <c r="AH599" s="15" t="s">
        <v>35</v>
      </c>
      <c r="AI599" s="15">
        <v>155.968548231874</v>
      </c>
      <c r="AJ599" s="292" t="s">
        <v>96</v>
      </c>
      <c r="AK599" s="15"/>
      <c r="AL599" s="15">
        <f t="shared" si="192"/>
        <v>0</v>
      </c>
      <c r="AM599" s="15">
        <f t="shared" ca="1" si="193"/>
        <v>0</v>
      </c>
      <c r="AN599" s="15">
        <f t="shared" ca="1" si="194"/>
        <v>0</v>
      </c>
      <c r="AO599" s="15">
        <f t="shared" si="195"/>
        <v>0</v>
      </c>
      <c r="AP599" s="15">
        <f t="shared" si="196"/>
        <v>0</v>
      </c>
      <c r="AQ599" s="15">
        <f t="shared" si="197"/>
        <v>0</v>
      </c>
      <c r="AR599" s="190">
        <f t="shared" si="199"/>
        <v>0</v>
      </c>
      <c r="AS599" s="190">
        <f t="shared" ca="1" si="200"/>
        <v>2.2809263041665914E-2</v>
      </c>
      <c r="AT599" s="190">
        <f t="shared" si="201"/>
        <v>0</v>
      </c>
      <c r="AU599" s="190">
        <f t="shared" si="202"/>
        <v>0</v>
      </c>
      <c r="AV599" s="190">
        <f t="shared" si="203"/>
        <v>0</v>
      </c>
      <c r="AW599" s="190">
        <f t="shared" si="204"/>
        <v>0</v>
      </c>
      <c r="AX599" s="190">
        <f t="shared" si="205"/>
        <v>0</v>
      </c>
      <c r="AZ599" s="15"/>
      <c r="BP599" s="190"/>
    </row>
    <row r="600" spans="2:68" x14ac:dyDescent="0.25">
      <c r="B600" s="98" t="s">
        <v>552</v>
      </c>
      <c r="C600" s="98">
        <v>2014</v>
      </c>
      <c r="D600" s="98" t="s">
        <v>283</v>
      </c>
      <c r="E600" s="98" t="s">
        <v>14</v>
      </c>
      <c r="F600" s="98" t="s">
        <v>136</v>
      </c>
      <c r="G600" s="248">
        <v>0</v>
      </c>
      <c r="H600" s="299" t="str">
        <f>VLOOKUP(LEFT('Rev Adequacy'!D600,3),'Mapping B'!$D$2:$E$400,2,0)</f>
        <v>S</v>
      </c>
      <c r="J600" s="15" t="s">
        <v>431</v>
      </c>
      <c r="K600" s="15" t="s">
        <v>33</v>
      </c>
      <c r="L600" s="15"/>
      <c r="M600" s="15"/>
      <c r="N600" s="15"/>
      <c r="O600" s="15">
        <f>_xlfn.IFNA(IF(VLOOKUP($J600&amp;O$14,'Mapping A'!$A$6:$G$1011,7,0)=1,$L600,""),0)+_xlfn.IFNA(IF(VLOOKUP($J600&amp;O$16,'Mapping A'!$A$6:$G$1011,7,0)=1,$L600,""),0)</f>
        <v>0</v>
      </c>
      <c r="P600" s="15">
        <f>_xlfn.IFNA(IF(VLOOKUP($J600&amp;P$14,'Mapping A'!$A$6:$G$1011,7,0)=1,$L600,""),0)+_xlfn.IFNA(IF(VLOOKUP($J600&amp;P$16,'Mapping A'!$A$6:$G$1011,7,0)=1,$L600,""),0)</f>
        <v>0</v>
      </c>
      <c r="Q600" s="15">
        <f>_xlfn.IFNA(IF(VLOOKUP($J600&amp;Q$14,'Mapping A'!$A$6:$G$1011,7,0)=1,$L600,""),0)+_xlfn.IFNA(IF(VLOOKUP($J600&amp;Q$16,'Mapping A'!$A$6:$G$1011,7,0)=1,$L600,""),0)</f>
        <v>0</v>
      </c>
      <c r="R600" s="15">
        <f>_xlfn.IFNA(IF(VLOOKUP($J600&amp;R$14,'Mapping A'!$A$6:$G$1011,7,0)=1,$L600,""),0)+_xlfn.IFNA(IF(VLOOKUP($J600&amp;R$16,'Mapping A'!$A$6:$G$1011,7,0)=1,$L600,""),0)</f>
        <v>0</v>
      </c>
      <c r="S600" s="15">
        <f>_xlfn.IFNA(IF(VLOOKUP($J600&amp;S$14,'Mapping A'!$A$6:$G$1011,7,0)=1,$L600,""),0)+_xlfn.IFNA(IF(VLOOKUP($J600&amp;S$16,'Mapping A'!$A$6:$G$1011,7,0)=1,$L600,""),0)</f>
        <v>0</v>
      </c>
      <c r="T600" s="15">
        <f>_xlfn.IFNA(IF(VLOOKUP($J600&amp;T$14,'Mapping A'!$A$6:$G$1011,7,0)=1,$L600,""),0)+_xlfn.IFNA(IF(VLOOKUP($J600&amp;T$16,'Mapping A'!$A$6:$G$1011,7,0)=1,$L600,""),0)</f>
        <v>0</v>
      </c>
      <c r="U600" s="15">
        <f>_xlfn.IFNA(IF(VLOOKUP($J600&amp;U$14,'Mapping A'!$A$6:$G$1011,7,0)=1,$L600,""),0)+_xlfn.IFNA(IF(VLOOKUP($J600&amp;U$16,'Mapping A'!$A$6:$G$1011,7,0)=1,$L600,""),0)</f>
        <v>0</v>
      </c>
      <c r="V600" s="15">
        <f>_xlfn.IFNA(IF(VLOOKUP($J600&amp;V$14,'Mapping A'!$A$6:$G$1011,7,0)=1,$L600,""),0)+_xlfn.IFNA(IF(VLOOKUP($J600&amp;V$16,'Mapping A'!$A$6:$G$1011,7,0)=1,$L600,""),0)</f>
        <v>0</v>
      </c>
      <c r="W600" s="15">
        <f>_xlfn.IFNA(IF(VLOOKUP($J600&amp;W$14,'Mapping A'!$A$6:$G$1011,7,0)=1,$L600,""),0)+_xlfn.IFNA(IF(VLOOKUP($J600&amp;W$16,'Mapping A'!$A$6:$G$1011,7,0)=1,$L600,""),0)</f>
        <v>0</v>
      </c>
      <c r="X600" s="15">
        <f>_xlfn.IFNA(IF(VLOOKUP($J600&amp;X$14,'Mapping A'!$A$6:$G$1011,7,0)=1,$L600,""),0)+_xlfn.IFNA(IF(VLOOKUP($J600&amp;X$16,'Mapping A'!$A$6:$G$1011,7,0)=1,$L600,""),0)</f>
        <v>0</v>
      </c>
      <c r="Y600" s="15">
        <f>_xlfn.IFNA(IF(VLOOKUP($J600&amp;Y$14,'Mapping A'!$A$6:$G$1011,7,0)=1,$L600,""),0)+_xlfn.IFNA(IF(VLOOKUP($J600&amp;Y$16,'Mapping A'!$A$6:$G$1011,7,0)=1,$L600,""),0)</f>
        <v>0</v>
      </c>
      <c r="Z600" s="15">
        <f>_xlfn.IFNA(IF(VLOOKUP($J600&amp;Z$14,'Mapping A'!$A$6:$G$1011,7,0)=1,$L600,""),0)+_xlfn.IFNA(IF(VLOOKUP($J600&amp;Z$16,'Mapping A'!$A$6:$G$1011,7,0)=1,$L600,""),0)</f>
        <v>0</v>
      </c>
      <c r="AA600" s="15">
        <f>_xlfn.IFNA(IF(VLOOKUP($J600&amp;AA$14,'Mapping A'!$A$6:$G$1011,7,0)=1,$L600,""),0)+_xlfn.IFNA(IF(VLOOKUP($J600&amp;AA$16,'Mapping A'!$A$6:$G$1011,7,0)=1,$L600,""),0)</f>
        <v>0</v>
      </c>
      <c r="AF600" s="155" t="str">
        <f t="shared" si="177"/>
        <v>KAW0112 ONU0Todd</v>
      </c>
      <c r="AG600" s="15" t="s">
        <v>431</v>
      </c>
      <c r="AH600" s="15" t="s">
        <v>33</v>
      </c>
      <c r="AI600" s="15"/>
      <c r="AJ600" s="292" t="s">
        <v>95</v>
      </c>
      <c r="AK600" s="15"/>
      <c r="AL600" s="15">
        <f t="shared" si="192"/>
        <v>0</v>
      </c>
      <c r="AM600" s="15">
        <f t="shared" ca="1" si="193"/>
        <v>0</v>
      </c>
      <c r="AN600" s="15">
        <f t="shared" ca="1" si="194"/>
        <v>0</v>
      </c>
      <c r="AO600" s="15">
        <f t="shared" si="195"/>
        <v>0</v>
      </c>
      <c r="AP600" s="15">
        <f t="shared" si="196"/>
        <v>0</v>
      </c>
      <c r="AQ600" s="15">
        <f t="shared" si="197"/>
        <v>0</v>
      </c>
      <c r="AR600" s="190">
        <f t="shared" si="199"/>
        <v>0</v>
      </c>
      <c r="AS600" s="190">
        <f t="shared" ca="1" si="200"/>
        <v>0</v>
      </c>
      <c r="AT600" s="190">
        <f t="shared" si="201"/>
        <v>0</v>
      </c>
      <c r="AU600" s="190">
        <f t="shared" si="202"/>
        <v>0</v>
      </c>
      <c r="AV600" s="190">
        <f t="shared" si="203"/>
        <v>0</v>
      </c>
      <c r="AW600" s="190">
        <f t="shared" si="204"/>
        <v>0</v>
      </c>
      <c r="AX600" s="190">
        <f t="shared" si="205"/>
        <v>0</v>
      </c>
      <c r="AZ600" s="15"/>
      <c r="BP600" s="190"/>
    </row>
    <row r="601" spans="2:68" x14ac:dyDescent="0.25">
      <c r="B601" s="98" t="s">
        <v>552</v>
      </c>
      <c r="C601" s="98">
        <v>2014</v>
      </c>
      <c r="D601" s="98" t="s">
        <v>284</v>
      </c>
      <c r="E601" s="98" t="s">
        <v>14</v>
      </c>
      <c r="F601" s="98" t="s">
        <v>136</v>
      </c>
      <c r="G601" s="248">
        <v>0</v>
      </c>
      <c r="H601" s="299" t="str">
        <f>VLOOKUP(LEFT('Rev Adequacy'!D601,3),'Mapping B'!$D$2:$E$400,2,0)</f>
        <v>S</v>
      </c>
      <c r="J601" s="15" t="s">
        <v>432</v>
      </c>
      <c r="K601" s="15" t="s">
        <v>17</v>
      </c>
      <c r="L601" s="15">
        <v>901.28343496513298</v>
      </c>
      <c r="M601" s="15"/>
      <c r="N601" s="15"/>
      <c r="O601" s="15">
        <f>_xlfn.IFNA(IF(VLOOKUP($J601&amp;O$14,'Mapping A'!$A$6:$G$1011,7,0)=1,$L601,""),0)+_xlfn.IFNA(IF(VLOOKUP($J601&amp;O$16,'Mapping A'!$A$6:$G$1011,7,0)=1,$L601,""),0)</f>
        <v>0</v>
      </c>
      <c r="P601" s="15">
        <f>_xlfn.IFNA(IF(VLOOKUP($J601&amp;P$14,'Mapping A'!$A$6:$G$1011,7,0)=1,$L601,""),0)+_xlfn.IFNA(IF(VLOOKUP($J601&amp;P$16,'Mapping A'!$A$6:$G$1011,7,0)=1,$L601,""),0)</f>
        <v>0</v>
      </c>
      <c r="Q601" s="15">
        <f>_xlfn.IFNA(IF(VLOOKUP($J601&amp;Q$14,'Mapping A'!$A$6:$G$1011,7,0)=1,$L601,""),0)+_xlfn.IFNA(IF(VLOOKUP($J601&amp;Q$16,'Mapping A'!$A$6:$G$1011,7,0)=1,$L601,""),0)</f>
        <v>0</v>
      </c>
      <c r="R601" s="15">
        <f>_xlfn.IFNA(IF(VLOOKUP($J601&amp;R$14,'Mapping A'!$A$6:$G$1011,7,0)=1,$L601,""),0)+_xlfn.IFNA(IF(VLOOKUP($J601&amp;R$16,'Mapping A'!$A$6:$G$1011,7,0)=1,$L601,""),0)</f>
        <v>0</v>
      </c>
      <c r="S601" s="15">
        <f>_xlfn.IFNA(IF(VLOOKUP($J601&amp;S$14,'Mapping A'!$A$6:$G$1011,7,0)=1,$L601,""),0)+_xlfn.IFNA(IF(VLOOKUP($J601&amp;S$16,'Mapping A'!$A$6:$G$1011,7,0)=1,$L601,""),0)</f>
        <v>0</v>
      </c>
      <c r="T601" s="15">
        <f>_xlfn.IFNA(IF(VLOOKUP($J601&amp;T$14,'Mapping A'!$A$6:$G$1011,7,0)=1,$L601,""),0)+_xlfn.IFNA(IF(VLOOKUP($J601&amp;T$16,'Mapping A'!$A$6:$G$1011,7,0)=1,$L601,""),0)</f>
        <v>0</v>
      </c>
      <c r="U601" s="15">
        <f>_xlfn.IFNA(IF(VLOOKUP($J601&amp;U$14,'Mapping A'!$A$6:$G$1011,7,0)=1,$L601,""),0)+_xlfn.IFNA(IF(VLOOKUP($J601&amp;U$16,'Mapping A'!$A$6:$G$1011,7,0)=1,$L601,""),0)</f>
        <v>0</v>
      </c>
      <c r="V601" s="15">
        <f>_xlfn.IFNA(IF(VLOOKUP($J601&amp;V$14,'Mapping A'!$A$6:$G$1011,7,0)=1,$L601,""),0)+_xlfn.IFNA(IF(VLOOKUP($J601&amp;V$16,'Mapping A'!$A$6:$G$1011,7,0)=1,$L601,""),0)</f>
        <v>0</v>
      </c>
      <c r="W601" s="15">
        <f>_xlfn.IFNA(IF(VLOOKUP($J601&amp;W$14,'Mapping A'!$A$6:$G$1011,7,0)=1,$L601,""),0)+_xlfn.IFNA(IF(VLOOKUP($J601&amp;W$16,'Mapping A'!$A$6:$G$1011,7,0)=1,$L601,""),0)</f>
        <v>0</v>
      </c>
      <c r="X601" s="15">
        <f>_xlfn.IFNA(IF(VLOOKUP($J601&amp;X$14,'Mapping A'!$A$6:$G$1011,7,0)=1,$L601,""),0)+_xlfn.IFNA(IF(VLOOKUP($J601&amp;X$16,'Mapping A'!$A$6:$G$1011,7,0)=1,$L601,""),0)</f>
        <v>0</v>
      </c>
      <c r="Y601" s="15">
        <f>_xlfn.IFNA(IF(VLOOKUP($J601&amp;Y$14,'Mapping A'!$A$6:$G$1011,7,0)=1,$L601,""),0)+_xlfn.IFNA(IF(VLOOKUP($J601&amp;Y$16,'Mapping A'!$A$6:$G$1011,7,0)=1,$L601,""),0)</f>
        <v>0</v>
      </c>
      <c r="Z601" s="15">
        <f>_xlfn.IFNA(IF(VLOOKUP($J601&amp;Z$14,'Mapping A'!$A$6:$G$1011,7,0)=1,$L601,""),0)+_xlfn.IFNA(IF(VLOOKUP($J601&amp;Z$16,'Mapping A'!$A$6:$G$1011,7,0)=1,$L601,""),0)</f>
        <v>0</v>
      </c>
      <c r="AA601" s="15">
        <f>_xlfn.IFNA(IF(VLOOKUP($J601&amp;AA$14,'Mapping A'!$A$6:$G$1011,7,0)=1,$L601,""),0)+_xlfn.IFNA(IF(VLOOKUP($J601&amp;AA$16,'Mapping A'!$A$6:$G$1011,7,0)=1,$L601,""),0)</f>
        <v>0</v>
      </c>
      <c r="AF601" s="155" t="str">
        <f t="shared" si="177"/>
        <v>KAW1101 KAG0MRP</v>
      </c>
      <c r="AG601" s="15" t="s">
        <v>432</v>
      </c>
      <c r="AH601" s="15" t="s">
        <v>17</v>
      </c>
      <c r="AI601" s="15">
        <v>901.28343496513298</v>
      </c>
      <c r="AJ601" s="292" t="s">
        <v>95</v>
      </c>
      <c r="AK601" s="15"/>
      <c r="AL601" s="15">
        <f t="shared" si="192"/>
        <v>0</v>
      </c>
      <c r="AM601" s="15">
        <f t="shared" ca="1" si="193"/>
        <v>0</v>
      </c>
      <c r="AN601" s="15">
        <f t="shared" ca="1" si="194"/>
        <v>0</v>
      </c>
      <c r="AO601" s="15">
        <f t="shared" si="195"/>
        <v>0</v>
      </c>
      <c r="AP601" s="15">
        <f t="shared" si="196"/>
        <v>0</v>
      </c>
      <c r="AQ601" s="15">
        <f t="shared" si="197"/>
        <v>0</v>
      </c>
      <c r="AR601" s="190">
        <f t="shared" si="199"/>
        <v>0</v>
      </c>
      <c r="AS601" s="190">
        <f t="shared" ca="1" si="200"/>
        <v>0</v>
      </c>
      <c r="AT601" s="190">
        <f t="shared" si="201"/>
        <v>0</v>
      </c>
      <c r="AU601" s="190">
        <f t="shared" si="202"/>
        <v>0</v>
      </c>
      <c r="AV601" s="190">
        <f t="shared" si="203"/>
        <v>0</v>
      </c>
      <c r="AW601" s="190">
        <f t="shared" si="204"/>
        <v>0</v>
      </c>
      <c r="AX601" s="190">
        <f t="shared" si="205"/>
        <v>0</v>
      </c>
      <c r="AZ601" s="15"/>
      <c r="BP601" s="190"/>
    </row>
    <row r="602" spans="2:68" x14ac:dyDescent="0.25">
      <c r="B602" s="98" t="s">
        <v>552</v>
      </c>
      <c r="C602" s="98">
        <v>2014</v>
      </c>
      <c r="D602" s="98" t="s">
        <v>285</v>
      </c>
      <c r="E602" s="98" t="s">
        <v>14</v>
      </c>
      <c r="F602" s="98" t="s">
        <v>136</v>
      </c>
      <c r="G602" s="248">
        <v>1327.2319999992901</v>
      </c>
      <c r="H602" s="299" t="str">
        <f>VLOOKUP(LEFT('Rev Adequacy'!D602,3),'Mapping B'!$D$2:$E$400,2,0)</f>
        <v>S</v>
      </c>
      <c r="J602" s="15" t="s">
        <v>433</v>
      </c>
      <c r="K602" s="15" t="s">
        <v>3</v>
      </c>
      <c r="L602" s="15">
        <v>268.139049971774</v>
      </c>
      <c r="M602" s="15"/>
      <c r="N602" s="15"/>
      <c r="O602" s="15">
        <f>_xlfn.IFNA(IF(VLOOKUP($J602&amp;O$14,'Mapping A'!$A$6:$G$1011,7,0)=1,$L602,""),0)+_xlfn.IFNA(IF(VLOOKUP($J602&amp;O$16,'Mapping A'!$A$6:$G$1011,7,0)=1,$L602,""),0)</f>
        <v>0</v>
      </c>
      <c r="P602" s="15">
        <f>_xlfn.IFNA(IF(VLOOKUP($J602&amp;P$14,'Mapping A'!$A$6:$G$1011,7,0)=1,$L602,""),0)+_xlfn.IFNA(IF(VLOOKUP($J602&amp;P$16,'Mapping A'!$A$6:$G$1011,7,0)=1,$L602,""),0)</f>
        <v>0</v>
      </c>
      <c r="Q602" s="15">
        <f>_xlfn.IFNA(IF(VLOOKUP($J602&amp;Q$14,'Mapping A'!$A$6:$G$1011,7,0)=1,$L602,""),0)+_xlfn.IFNA(IF(VLOOKUP($J602&amp;Q$16,'Mapping A'!$A$6:$G$1011,7,0)=1,$L602,""),0)</f>
        <v>0</v>
      </c>
      <c r="R602" s="15">
        <f>_xlfn.IFNA(IF(VLOOKUP($J602&amp;R$14,'Mapping A'!$A$6:$G$1011,7,0)=1,$L602,""),0)+_xlfn.IFNA(IF(VLOOKUP($J602&amp;R$16,'Mapping A'!$A$6:$G$1011,7,0)=1,$L602,""),0)</f>
        <v>0</v>
      </c>
      <c r="S602" s="15">
        <f>_xlfn.IFNA(IF(VLOOKUP($J602&amp;S$14,'Mapping A'!$A$6:$G$1011,7,0)=1,$L602,""),0)+_xlfn.IFNA(IF(VLOOKUP($J602&amp;S$16,'Mapping A'!$A$6:$G$1011,7,0)=1,$L602,""),0)</f>
        <v>0</v>
      </c>
      <c r="T602" s="15">
        <f>_xlfn.IFNA(IF(VLOOKUP($J602&amp;T$14,'Mapping A'!$A$6:$G$1011,7,0)=1,$L602,""),0)+_xlfn.IFNA(IF(VLOOKUP($J602&amp;T$16,'Mapping A'!$A$6:$G$1011,7,0)=1,$L602,""),0)</f>
        <v>0</v>
      </c>
      <c r="U602" s="15">
        <f>_xlfn.IFNA(IF(VLOOKUP($J602&amp;U$14,'Mapping A'!$A$6:$G$1011,7,0)=1,$L602,""),0)+_xlfn.IFNA(IF(VLOOKUP($J602&amp;U$16,'Mapping A'!$A$6:$G$1011,7,0)=1,$L602,""),0)</f>
        <v>0</v>
      </c>
      <c r="V602" s="15">
        <f>_xlfn.IFNA(IF(VLOOKUP($J602&amp;V$14,'Mapping A'!$A$6:$G$1011,7,0)=1,$L602,""),0)+_xlfn.IFNA(IF(VLOOKUP($J602&amp;V$16,'Mapping A'!$A$6:$G$1011,7,0)=1,$L602,""),0)</f>
        <v>0</v>
      </c>
      <c r="W602" s="15">
        <f>_xlfn.IFNA(IF(VLOOKUP($J602&amp;W$14,'Mapping A'!$A$6:$G$1011,7,0)=1,$L602,""),0)+_xlfn.IFNA(IF(VLOOKUP($J602&amp;W$16,'Mapping A'!$A$6:$G$1011,7,0)=1,$L602,""),0)</f>
        <v>0</v>
      </c>
      <c r="X602" s="15">
        <f>_xlfn.IFNA(IF(VLOOKUP($J602&amp;X$14,'Mapping A'!$A$6:$G$1011,7,0)=1,$L602,""),0)+_xlfn.IFNA(IF(VLOOKUP($J602&amp;X$16,'Mapping A'!$A$6:$G$1011,7,0)=1,$L602,""),0)</f>
        <v>0</v>
      </c>
      <c r="Y602" s="15">
        <f>_xlfn.IFNA(IF(VLOOKUP($J602&amp;Y$14,'Mapping A'!$A$6:$G$1011,7,0)=1,$L602,""),0)+_xlfn.IFNA(IF(VLOOKUP($J602&amp;Y$16,'Mapping A'!$A$6:$G$1011,7,0)=1,$L602,""),0)</f>
        <v>0</v>
      </c>
      <c r="Z602" s="15">
        <f>_xlfn.IFNA(IF(VLOOKUP($J602&amp;Z$14,'Mapping A'!$A$6:$G$1011,7,0)=1,$L602,""),0)+_xlfn.IFNA(IF(VLOOKUP($J602&amp;Z$16,'Mapping A'!$A$6:$G$1011,7,0)=1,$L602,""),0)</f>
        <v>0</v>
      </c>
      <c r="AA602" s="15">
        <f>_xlfn.IFNA(IF(VLOOKUP($J602&amp;AA$14,'Mapping A'!$A$6:$G$1011,7,0)=1,$L602,""),0)+_xlfn.IFNA(IF(VLOOKUP($J602&amp;AA$16,'Mapping A'!$A$6:$G$1011,7,0)=1,$L602,""),0)</f>
        <v>0</v>
      </c>
      <c r="AF602" s="155" t="str">
        <f t="shared" si="177"/>
        <v>KIN0112 KIN0CHH</v>
      </c>
      <c r="AG602" s="15" t="s">
        <v>433</v>
      </c>
      <c r="AH602" s="15" t="s">
        <v>3</v>
      </c>
      <c r="AI602" s="15">
        <v>268.139049971774</v>
      </c>
      <c r="AJ602" s="292" t="s">
        <v>95</v>
      </c>
      <c r="AK602" s="15"/>
      <c r="AL602" s="15">
        <f t="shared" si="192"/>
        <v>0</v>
      </c>
      <c r="AM602" s="15">
        <f t="shared" ca="1" si="193"/>
        <v>0</v>
      </c>
      <c r="AN602" s="15">
        <f t="shared" ca="1" si="194"/>
        <v>0</v>
      </c>
      <c r="AO602" s="15">
        <f t="shared" si="195"/>
        <v>0</v>
      </c>
      <c r="AP602" s="15">
        <f t="shared" si="196"/>
        <v>0</v>
      </c>
      <c r="AQ602" s="15">
        <f t="shared" si="197"/>
        <v>0</v>
      </c>
      <c r="AR602" s="190">
        <f t="shared" si="199"/>
        <v>0</v>
      </c>
      <c r="AS602" s="190">
        <f t="shared" ca="1" si="200"/>
        <v>0</v>
      </c>
      <c r="AT602" s="190">
        <f t="shared" si="201"/>
        <v>0</v>
      </c>
      <c r="AU602" s="190">
        <f t="shared" si="202"/>
        <v>0</v>
      </c>
      <c r="AV602" s="190">
        <f t="shared" si="203"/>
        <v>0</v>
      </c>
      <c r="AW602" s="190">
        <f t="shared" si="204"/>
        <v>0</v>
      </c>
      <c r="AX602" s="190">
        <f t="shared" si="205"/>
        <v>0</v>
      </c>
      <c r="AZ602" s="15"/>
      <c r="BP602" s="190"/>
    </row>
    <row r="603" spans="2:68" x14ac:dyDescent="0.25">
      <c r="B603" s="98" t="s">
        <v>552</v>
      </c>
      <c r="C603" s="98">
        <v>2014</v>
      </c>
      <c r="D603" s="98" t="s">
        <v>360</v>
      </c>
      <c r="E603" s="98" t="s">
        <v>14</v>
      </c>
      <c r="F603" s="98" t="s">
        <v>145</v>
      </c>
      <c r="G603" s="248">
        <v>1581.903</v>
      </c>
      <c r="H603" s="299" t="str">
        <f>VLOOKUP(LEFT('Rev Adequacy'!D603,3),'Mapping B'!$D$2:$E$400,2,0)</f>
        <v>N</v>
      </c>
      <c r="J603" s="15" t="s">
        <v>238</v>
      </c>
      <c r="K603" s="15" t="s">
        <v>33</v>
      </c>
      <c r="L603" s="15">
        <v>134.55983698975299</v>
      </c>
      <c r="M603" s="15"/>
      <c r="N603" s="15"/>
      <c r="O603" s="15">
        <f>_xlfn.IFNA(IF(VLOOKUP($J603&amp;O$14,'Mapping A'!$A$6:$G$1011,7,0)=1,$L603,""),0)+_xlfn.IFNA(IF(VLOOKUP($J603&amp;O$16,'Mapping A'!$A$6:$G$1011,7,0)=1,$L603,""),0)</f>
        <v>0</v>
      </c>
      <c r="P603" s="15">
        <f>_xlfn.IFNA(IF(VLOOKUP($J603&amp;P$14,'Mapping A'!$A$6:$G$1011,7,0)=1,$L603,""),0)+_xlfn.IFNA(IF(VLOOKUP($J603&amp;P$16,'Mapping A'!$A$6:$G$1011,7,0)=1,$L603,""),0)</f>
        <v>0</v>
      </c>
      <c r="Q603" s="15">
        <f>_xlfn.IFNA(IF(VLOOKUP($J603&amp;Q$14,'Mapping A'!$A$6:$G$1011,7,0)=1,$L603,""),0)+_xlfn.IFNA(IF(VLOOKUP($J603&amp;Q$16,'Mapping A'!$A$6:$G$1011,7,0)=1,$L603,""),0)</f>
        <v>0</v>
      </c>
      <c r="R603" s="15">
        <f>_xlfn.IFNA(IF(VLOOKUP($J603&amp;R$14,'Mapping A'!$A$6:$G$1011,7,0)=1,$L603,""),0)+_xlfn.IFNA(IF(VLOOKUP($J603&amp;R$16,'Mapping A'!$A$6:$G$1011,7,0)=1,$L603,""),0)</f>
        <v>0</v>
      </c>
      <c r="S603" s="15">
        <f>_xlfn.IFNA(IF(VLOOKUP($J603&amp;S$14,'Mapping A'!$A$6:$G$1011,7,0)=1,$L603,""),0)+_xlfn.IFNA(IF(VLOOKUP($J603&amp;S$16,'Mapping A'!$A$6:$G$1011,7,0)=1,$L603,""),0)</f>
        <v>0</v>
      </c>
      <c r="T603" s="15">
        <f>_xlfn.IFNA(IF(VLOOKUP($J603&amp;T$14,'Mapping A'!$A$6:$G$1011,7,0)=1,$L603,""),0)+_xlfn.IFNA(IF(VLOOKUP($J603&amp;T$16,'Mapping A'!$A$6:$G$1011,7,0)=1,$L603,""),0)</f>
        <v>0</v>
      </c>
      <c r="U603" s="15">
        <f>_xlfn.IFNA(IF(VLOOKUP($J603&amp;U$14,'Mapping A'!$A$6:$G$1011,7,0)=1,$L603,""),0)+_xlfn.IFNA(IF(VLOOKUP($J603&amp;U$16,'Mapping A'!$A$6:$G$1011,7,0)=1,$L603,""),0)</f>
        <v>0</v>
      </c>
      <c r="V603" s="15">
        <f>_xlfn.IFNA(IF(VLOOKUP($J603&amp;V$14,'Mapping A'!$A$6:$G$1011,7,0)=1,$L603,""),0)+_xlfn.IFNA(IF(VLOOKUP($J603&amp;V$16,'Mapping A'!$A$6:$G$1011,7,0)=1,$L603,""),0)</f>
        <v>0</v>
      </c>
      <c r="W603" s="15">
        <f>_xlfn.IFNA(IF(VLOOKUP($J603&amp;W$14,'Mapping A'!$A$6:$G$1011,7,0)=1,$L603,""),0)+_xlfn.IFNA(IF(VLOOKUP($J603&amp;W$16,'Mapping A'!$A$6:$G$1011,7,0)=1,$L603,""),0)</f>
        <v>0</v>
      </c>
      <c r="X603" s="15">
        <f>_xlfn.IFNA(IF(VLOOKUP($J603&amp;X$14,'Mapping A'!$A$6:$G$1011,7,0)=1,$L603,""),0)+_xlfn.IFNA(IF(VLOOKUP($J603&amp;X$16,'Mapping A'!$A$6:$G$1011,7,0)=1,$L603,""),0)</f>
        <v>0</v>
      </c>
      <c r="Y603" s="15">
        <f>_xlfn.IFNA(IF(VLOOKUP($J603&amp;Y$14,'Mapping A'!$A$6:$G$1011,7,0)=1,$L603,""),0)+_xlfn.IFNA(IF(VLOOKUP($J603&amp;Y$16,'Mapping A'!$A$6:$G$1011,7,0)=1,$L603,""),0)</f>
        <v>0</v>
      </c>
      <c r="Z603" s="15">
        <f>_xlfn.IFNA(IF(VLOOKUP($J603&amp;Z$14,'Mapping A'!$A$6:$G$1011,7,0)=1,$L603,""),0)+_xlfn.IFNA(IF(VLOOKUP($J603&amp;Z$16,'Mapping A'!$A$6:$G$1011,7,0)=1,$L603,""),0)</f>
        <v>0</v>
      </c>
      <c r="AA603" s="15">
        <f>_xlfn.IFNA(IF(VLOOKUP($J603&amp;AA$14,'Mapping A'!$A$6:$G$1011,7,0)=1,$L603,""),0)+_xlfn.IFNA(IF(VLOOKUP($J603&amp;AA$16,'Mapping A'!$A$6:$G$1011,7,0)=1,$L603,""),0)</f>
        <v>0</v>
      </c>
      <c r="AF603" s="155" t="str">
        <f t="shared" si="177"/>
        <v>KPA1101 KPI1Todd</v>
      </c>
      <c r="AG603" s="15" t="s">
        <v>238</v>
      </c>
      <c r="AH603" s="15" t="s">
        <v>33</v>
      </c>
      <c r="AI603" s="15">
        <v>134.55983698975299</v>
      </c>
      <c r="AJ603" s="292" t="s">
        <v>95</v>
      </c>
      <c r="AK603" s="15"/>
      <c r="AL603" s="15">
        <f t="shared" si="192"/>
        <v>0</v>
      </c>
      <c r="AM603" s="15">
        <f t="shared" ca="1" si="193"/>
        <v>0</v>
      </c>
      <c r="AN603" s="15">
        <f t="shared" ca="1" si="194"/>
        <v>0</v>
      </c>
      <c r="AO603" s="15">
        <f t="shared" si="195"/>
        <v>0</v>
      </c>
      <c r="AP603" s="15">
        <f t="shared" si="196"/>
        <v>0</v>
      </c>
      <c r="AQ603" s="15">
        <f t="shared" si="197"/>
        <v>0</v>
      </c>
      <c r="AR603" s="190">
        <f t="shared" si="199"/>
        <v>0</v>
      </c>
      <c r="AS603" s="190">
        <f t="shared" ca="1" si="200"/>
        <v>0</v>
      </c>
      <c r="AT603" s="190">
        <f t="shared" si="201"/>
        <v>0</v>
      </c>
      <c r="AU603" s="190">
        <f t="shared" si="202"/>
        <v>0</v>
      </c>
      <c r="AV603" s="190">
        <f t="shared" si="203"/>
        <v>0</v>
      </c>
      <c r="AW603" s="190">
        <f t="shared" si="204"/>
        <v>0</v>
      </c>
      <c r="AX603" s="190">
        <f t="shared" si="205"/>
        <v>0</v>
      </c>
      <c r="AZ603" s="15"/>
      <c r="BP603" s="190"/>
    </row>
    <row r="604" spans="2:68" x14ac:dyDescent="0.25">
      <c r="B604" s="98" t="s">
        <v>552</v>
      </c>
      <c r="C604" s="98">
        <v>2014</v>
      </c>
      <c r="D604" s="98" t="s">
        <v>362</v>
      </c>
      <c r="E604" s="98" t="s">
        <v>14</v>
      </c>
      <c r="F604" s="98" t="s">
        <v>131</v>
      </c>
      <c r="G604" s="248">
        <v>64.499479268297904</v>
      </c>
      <c r="H604" s="299" t="str">
        <f>VLOOKUP(LEFT('Rev Adequacy'!D604,3),'Mapping B'!$D$2:$E$400,2,0)</f>
        <v>S</v>
      </c>
      <c r="J604" s="15" t="s">
        <v>239</v>
      </c>
      <c r="K604" s="15" t="s">
        <v>17</v>
      </c>
      <c r="L604" s="15">
        <v>435.108413841843</v>
      </c>
      <c r="M604" s="15"/>
      <c r="N604" s="15"/>
      <c r="O604" s="15">
        <f>_xlfn.IFNA(IF(VLOOKUP($J604&amp;O$14,'Mapping A'!$A$6:$G$1011,7,0)=1,$L604,""),0)+_xlfn.IFNA(IF(VLOOKUP($J604&amp;O$16,'Mapping A'!$A$6:$G$1011,7,0)=1,$L604,""),0)</f>
        <v>0</v>
      </c>
      <c r="P604" s="15">
        <f>_xlfn.IFNA(IF(VLOOKUP($J604&amp;P$14,'Mapping A'!$A$6:$G$1011,7,0)=1,$L604,""),0)+_xlfn.IFNA(IF(VLOOKUP($J604&amp;P$16,'Mapping A'!$A$6:$G$1011,7,0)=1,$L604,""),0)</f>
        <v>0</v>
      </c>
      <c r="Q604" s="15">
        <f>_xlfn.IFNA(IF(VLOOKUP($J604&amp;Q$14,'Mapping A'!$A$6:$G$1011,7,0)=1,$L604,""),0)+_xlfn.IFNA(IF(VLOOKUP($J604&amp;Q$16,'Mapping A'!$A$6:$G$1011,7,0)=1,$L604,""),0)</f>
        <v>0</v>
      </c>
      <c r="R604" s="15">
        <f>_xlfn.IFNA(IF(VLOOKUP($J604&amp;R$14,'Mapping A'!$A$6:$G$1011,7,0)=1,$L604,""),0)+_xlfn.IFNA(IF(VLOOKUP($J604&amp;R$16,'Mapping A'!$A$6:$G$1011,7,0)=1,$L604,""),0)</f>
        <v>0</v>
      </c>
      <c r="S604" s="15">
        <f>_xlfn.IFNA(IF(VLOOKUP($J604&amp;S$14,'Mapping A'!$A$6:$G$1011,7,0)=1,$L604,""),0)+_xlfn.IFNA(IF(VLOOKUP($J604&amp;S$16,'Mapping A'!$A$6:$G$1011,7,0)=1,$L604,""),0)</f>
        <v>0</v>
      </c>
      <c r="T604" s="15">
        <f>_xlfn.IFNA(IF(VLOOKUP($J604&amp;T$14,'Mapping A'!$A$6:$G$1011,7,0)=1,$L604,""),0)+_xlfn.IFNA(IF(VLOOKUP($J604&amp;T$16,'Mapping A'!$A$6:$G$1011,7,0)=1,$L604,""),0)</f>
        <v>0</v>
      </c>
      <c r="U604" s="15">
        <f>_xlfn.IFNA(IF(VLOOKUP($J604&amp;U$14,'Mapping A'!$A$6:$G$1011,7,0)=1,$L604,""),0)+_xlfn.IFNA(IF(VLOOKUP($J604&amp;U$16,'Mapping A'!$A$6:$G$1011,7,0)=1,$L604,""),0)</f>
        <v>0</v>
      </c>
      <c r="V604" s="15">
        <f>_xlfn.IFNA(IF(VLOOKUP($J604&amp;V$14,'Mapping A'!$A$6:$G$1011,7,0)=1,$L604,""),0)+_xlfn.IFNA(IF(VLOOKUP($J604&amp;V$16,'Mapping A'!$A$6:$G$1011,7,0)=1,$L604,""),0)</f>
        <v>0</v>
      </c>
      <c r="W604" s="15">
        <f>_xlfn.IFNA(IF(VLOOKUP($J604&amp;W$14,'Mapping A'!$A$6:$G$1011,7,0)=1,$L604,""),0)+_xlfn.IFNA(IF(VLOOKUP($J604&amp;W$16,'Mapping A'!$A$6:$G$1011,7,0)=1,$L604,""),0)</f>
        <v>0</v>
      </c>
      <c r="X604" s="15">
        <f>_xlfn.IFNA(IF(VLOOKUP($J604&amp;X$14,'Mapping A'!$A$6:$G$1011,7,0)=1,$L604,""),0)+_xlfn.IFNA(IF(VLOOKUP($J604&amp;X$16,'Mapping A'!$A$6:$G$1011,7,0)=1,$L604,""),0)</f>
        <v>0</v>
      </c>
      <c r="Y604" s="15">
        <f>_xlfn.IFNA(IF(VLOOKUP($J604&amp;Y$14,'Mapping A'!$A$6:$G$1011,7,0)=1,$L604,""),0)+_xlfn.IFNA(IF(VLOOKUP($J604&amp;Y$16,'Mapping A'!$A$6:$G$1011,7,0)=1,$L604,""),0)</f>
        <v>0</v>
      </c>
      <c r="Z604" s="15">
        <f>_xlfn.IFNA(IF(VLOOKUP($J604&amp;Z$14,'Mapping A'!$A$6:$G$1011,7,0)=1,$L604,""),0)+_xlfn.IFNA(IF(VLOOKUP($J604&amp;Z$16,'Mapping A'!$A$6:$G$1011,7,0)=1,$L604,""),0)</f>
        <v>0</v>
      </c>
      <c r="AA604" s="15">
        <f>_xlfn.IFNA(IF(VLOOKUP($J604&amp;AA$14,'Mapping A'!$A$6:$G$1011,7,0)=1,$L604,""),0)+_xlfn.IFNA(IF(VLOOKUP($J604&amp;AA$16,'Mapping A'!$A$6:$G$1011,7,0)=1,$L604,""),0)</f>
        <v>0</v>
      </c>
      <c r="AF604" s="155" t="str">
        <f t="shared" si="177"/>
        <v>KPO1101 KPO0MRP</v>
      </c>
      <c r="AG604" s="15" t="s">
        <v>239</v>
      </c>
      <c r="AH604" s="15" t="s">
        <v>17</v>
      </c>
      <c r="AI604" s="15">
        <v>435.108413841843</v>
      </c>
      <c r="AJ604" s="292" t="s">
        <v>95</v>
      </c>
      <c r="AK604" s="15"/>
      <c r="AL604" s="15">
        <f t="shared" si="192"/>
        <v>0</v>
      </c>
      <c r="AM604" s="15">
        <f t="shared" ca="1" si="193"/>
        <v>0</v>
      </c>
      <c r="AN604" s="15">
        <f t="shared" ca="1" si="194"/>
        <v>0</v>
      </c>
      <c r="AO604" s="15">
        <f t="shared" si="195"/>
        <v>0</v>
      </c>
      <c r="AP604" s="15">
        <f t="shared" si="196"/>
        <v>0</v>
      </c>
      <c r="AQ604" s="15">
        <f t="shared" si="197"/>
        <v>0</v>
      </c>
      <c r="AR604" s="190">
        <f t="shared" si="199"/>
        <v>0</v>
      </c>
      <c r="AS604" s="190">
        <f t="shared" ca="1" si="200"/>
        <v>0</v>
      </c>
      <c r="AT604" s="190">
        <f t="shared" si="201"/>
        <v>0</v>
      </c>
      <c r="AU604" s="190">
        <f t="shared" si="202"/>
        <v>0</v>
      </c>
      <c r="AV604" s="190">
        <f t="shared" si="203"/>
        <v>0</v>
      </c>
      <c r="AW604" s="190">
        <f t="shared" si="204"/>
        <v>0</v>
      </c>
      <c r="AX604" s="190">
        <f t="shared" si="205"/>
        <v>0</v>
      </c>
      <c r="AZ604" s="15"/>
      <c r="BP604" s="190"/>
    </row>
    <row r="605" spans="2:68" x14ac:dyDescent="0.25">
      <c r="B605" s="98" t="s">
        <v>552</v>
      </c>
      <c r="C605" s="98">
        <v>2014</v>
      </c>
      <c r="D605" s="98" t="s">
        <v>366</v>
      </c>
      <c r="E605" s="98" t="s">
        <v>14</v>
      </c>
      <c r="F605" s="98" t="s">
        <v>145</v>
      </c>
      <c r="G605" s="248">
        <v>0</v>
      </c>
      <c r="H605" s="299" t="str">
        <f>VLOOKUP(LEFT('Rev Adequacy'!D605,3),'Mapping B'!$D$2:$E$400,2,0)</f>
        <v>N</v>
      </c>
      <c r="J605" s="15" t="s">
        <v>242</v>
      </c>
      <c r="K605" s="15" t="s">
        <v>35</v>
      </c>
      <c r="L605" s="15"/>
      <c r="M605" s="15"/>
      <c r="N605" s="15"/>
      <c r="O605" s="15">
        <f>_xlfn.IFNA(IF(VLOOKUP($J605&amp;O$14,'Mapping A'!$A$6:$G$1011,7,0)=1,$L605,""),0)+_xlfn.IFNA(IF(VLOOKUP($J605&amp;O$16,'Mapping A'!$A$6:$G$1011,7,0)=1,$L605,""),0)</f>
        <v>0</v>
      </c>
      <c r="P605" s="15">
        <f>_xlfn.IFNA(IF(VLOOKUP($J605&amp;P$14,'Mapping A'!$A$6:$G$1011,7,0)=1,$L605,""),0)+_xlfn.IFNA(IF(VLOOKUP($J605&amp;P$16,'Mapping A'!$A$6:$G$1011,7,0)=1,$L605,""),0)</f>
        <v>0</v>
      </c>
      <c r="Q605" s="15">
        <f>_xlfn.IFNA(IF(VLOOKUP($J605&amp;Q$14,'Mapping A'!$A$6:$G$1011,7,0)=1,$L605,""),0)+_xlfn.IFNA(IF(VLOOKUP($J605&amp;Q$16,'Mapping A'!$A$6:$G$1011,7,0)=1,$L605,""),0)</f>
        <v>0</v>
      </c>
      <c r="R605" s="15">
        <f>_xlfn.IFNA(IF(VLOOKUP($J605&amp;R$14,'Mapping A'!$A$6:$G$1011,7,0)=1,$L605,""),0)+_xlfn.IFNA(IF(VLOOKUP($J605&amp;R$16,'Mapping A'!$A$6:$G$1011,7,0)=1,$L605,""),0)</f>
        <v>0</v>
      </c>
      <c r="S605" s="15">
        <f>_xlfn.IFNA(IF(VLOOKUP($J605&amp;S$14,'Mapping A'!$A$6:$G$1011,7,0)=1,$L605,""),0)+_xlfn.IFNA(IF(VLOOKUP($J605&amp;S$16,'Mapping A'!$A$6:$G$1011,7,0)=1,$L605,""),0)</f>
        <v>0</v>
      </c>
      <c r="T605" s="15">
        <f>_xlfn.IFNA(IF(VLOOKUP($J605&amp;T$14,'Mapping A'!$A$6:$G$1011,7,0)=1,$L605,""),0)+_xlfn.IFNA(IF(VLOOKUP($J605&amp;T$16,'Mapping A'!$A$6:$G$1011,7,0)=1,$L605,""),0)</f>
        <v>0</v>
      </c>
      <c r="U605" s="15">
        <f>_xlfn.IFNA(IF(VLOOKUP($J605&amp;U$14,'Mapping A'!$A$6:$G$1011,7,0)=1,$L605,""),0)+_xlfn.IFNA(IF(VLOOKUP($J605&amp;U$16,'Mapping A'!$A$6:$G$1011,7,0)=1,$L605,""),0)</f>
        <v>0</v>
      </c>
      <c r="V605" s="15">
        <f>_xlfn.IFNA(IF(VLOOKUP($J605&amp;V$14,'Mapping A'!$A$6:$G$1011,7,0)=1,$L605,""),0)+_xlfn.IFNA(IF(VLOOKUP($J605&amp;V$16,'Mapping A'!$A$6:$G$1011,7,0)=1,$L605,""),0)</f>
        <v>0</v>
      </c>
      <c r="W605" s="15">
        <f>_xlfn.IFNA(IF(VLOOKUP($J605&amp;W$14,'Mapping A'!$A$6:$G$1011,7,0)=1,$L605,""),0)+_xlfn.IFNA(IF(VLOOKUP($J605&amp;W$16,'Mapping A'!$A$6:$G$1011,7,0)=1,$L605,""),0)</f>
        <v>0</v>
      </c>
      <c r="X605" s="15">
        <f>_xlfn.IFNA(IF(VLOOKUP($J605&amp;X$14,'Mapping A'!$A$6:$G$1011,7,0)=1,$L605,""),0)+_xlfn.IFNA(IF(VLOOKUP($J605&amp;X$16,'Mapping A'!$A$6:$G$1011,7,0)=1,$L605,""),0)</f>
        <v>0</v>
      </c>
      <c r="Y605" s="15">
        <f>_xlfn.IFNA(IF(VLOOKUP($J605&amp;Y$14,'Mapping A'!$A$6:$G$1011,7,0)=1,$L605,""),0)+_xlfn.IFNA(IF(VLOOKUP($J605&amp;Y$16,'Mapping A'!$A$6:$G$1011,7,0)=1,$L605,""),0)</f>
        <v>0</v>
      </c>
      <c r="Z605" s="15">
        <f>_xlfn.IFNA(IF(VLOOKUP($J605&amp;Z$14,'Mapping A'!$A$6:$G$1011,7,0)=1,$L605,""),0)+_xlfn.IFNA(IF(VLOOKUP($J605&amp;Z$16,'Mapping A'!$A$6:$G$1011,7,0)=1,$L605,""),0)</f>
        <v>0</v>
      </c>
      <c r="AA605" s="15">
        <f>_xlfn.IFNA(IF(VLOOKUP($J605&amp;AA$14,'Mapping A'!$A$6:$G$1011,7,0)=1,$L605,""),0)+_xlfn.IFNA(IF(VLOOKUP($J605&amp;AA$16,'Mapping A'!$A$6:$G$1011,7,0)=1,$L605,""),0)</f>
        <v>0</v>
      </c>
      <c r="AF605" s="155" t="str">
        <f t="shared" si="177"/>
        <v>KUM0661 KUM0Trustpower</v>
      </c>
      <c r="AG605" s="15" t="s">
        <v>242</v>
      </c>
      <c r="AH605" s="15" t="s">
        <v>35</v>
      </c>
      <c r="AI605" s="15"/>
      <c r="AJ605" s="292" t="s">
        <v>96</v>
      </c>
      <c r="AK605" s="15"/>
      <c r="AL605" s="15">
        <f t="shared" si="192"/>
        <v>0</v>
      </c>
      <c r="AM605" s="15">
        <f t="shared" ca="1" si="193"/>
        <v>0</v>
      </c>
      <c r="AN605" s="15">
        <f t="shared" ca="1" si="194"/>
        <v>0</v>
      </c>
      <c r="AO605" s="15">
        <f t="shared" si="195"/>
        <v>0</v>
      </c>
      <c r="AP605" s="15">
        <f t="shared" si="196"/>
        <v>0</v>
      </c>
      <c r="AQ605" s="15">
        <f t="shared" si="197"/>
        <v>0</v>
      </c>
      <c r="AR605" s="190">
        <f t="shared" si="199"/>
        <v>0</v>
      </c>
      <c r="AS605" s="190">
        <f t="shared" ca="1" si="200"/>
        <v>0</v>
      </c>
      <c r="AT605" s="190">
        <f t="shared" si="201"/>
        <v>0</v>
      </c>
      <c r="AU605" s="190">
        <f t="shared" si="202"/>
        <v>0</v>
      </c>
      <c r="AV605" s="190">
        <f t="shared" si="203"/>
        <v>0</v>
      </c>
      <c r="AW605" s="190">
        <f t="shared" si="204"/>
        <v>0</v>
      </c>
      <c r="AX605" s="190">
        <f t="shared" si="205"/>
        <v>0</v>
      </c>
      <c r="AZ605" s="15"/>
      <c r="BP605" s="190"/>
    </row>
    <row r="606" spans="2:68" x14ac:dyDescent="0.25">
      <c r="B606" s="98" t="s">
        <v>552</v>
      </c>
      <c r="C606" s="98">
        <v>2014</v>
      </c>
      <c r="D606" s="98" t="s">
        <v>366</v>
      </c>
      <c r="E606" s="98" t="s">
        <v>14</v>
      </c>
      <c r="F606" s="98" t="s">
        <v>131</v>
      </c>
      <c r="G606" s="248">
        <v>0</v>
      </c>
      <c r="H606" s="299" t="str">
        <f>VLOOKUP(LEFT('Rev Adequacy'!D606,3),'Mapping B'!$D$2:$E$400,2,0)</f>
        <v>N</v>
      </c>
      <c r="J606" s="15" t="s">
        <v>248</v>
      </c>
      <c r="K606" s="15" t="s">
        <v>14</v>
      </c>
      <c r="L606" s="15">
        <v>4516.74994874191</v>
      </c>
      <c r="M606" s="15"/>
      <c r="N606" s="15"/>
      <c r="O606" s="15">
        <f>_xlfn.IFNA(IF(VLOOKUP($J606&amp;O$14,'Mapping A'!$A$6:$G$1011,7,0)=1,$L606,""),0)+_xlfn.IFNA(IF(VLOOKUP($J606&amp;O$16,'Mapping A'!$A$6:$G$1011,7,0)=1,$L606,""),0)</f>
        <v>0</v>
      </c>
      <c r="P606" s="15">
        <f>_xlfn.IFNA(IF(VLOOKUP($J606&amp;P$14,'Mapping A'!$A$6:$G$1011,7,0)=1,$L606,""),0)+_xlfn.IFNA(IF(VLOOKUP($J606&amp;P$16,'Mapping A'!$A$6:$G$1011,7,0)=1,$L606,""),0)</f>
        <v>4516.74994874191</v>
      </c>
      <c r="Q606" s="15">
        <f>_xlfn.IFNA(IF(VLOOKUP($J606&amp;Q$14,'Mapping A'!$A$6:$G$1011,7,0)=1,$L606,""),0)+_xlfn.IFNA(IF(VLOOKUP($J606&amp;Q$16,'Mapping A'!$A$6:$G$1011,7,0)=1,$L606,""),0)</f>
        <v>4516.74994874191</v>
      </c>
      <c r="R606" s="15">
        <f>_xlfn.IFNA(IF(VLOOKUP($J606&amp;R$14,'Mapping A'!$A$6:$G$1011,7,0)=1,$L606,""),0)+_xlfn.IFNA(IF(VLOOKUP($J606&amp;R$16,'Mapping A'!$A$6:$G$1011,7,0)=1,$L606,""),0)</f>
        <v>0</v>
      </c>
      <c r="S606" s="15">
        <f>_xlfn.IFNA(IF(VLOOKUP($J606&amp;S$14,'Mapping A'!$A$6:$G$1011,7,0)=1,$L606,""),0)+_xlfn.IFNA(IF(VLOOKUP($J606&amp;S$16,'Mapping A'!$A$6:$G$1011,7,0)=1,$L606,""),0)</f>
        <v>0</v>
      </c>
      <c r="T606" s="15">
        <f>_xlfn.IFNA(IF(VLOOKUP($J606&amp;T$14,'Mapping A'!$A$6:$G$1011,7,0)=1,$L606,""),0)+_xlfn.IFNA(IF(VLOOKUP($J606&amp;T$16,'Mapping A'!$A$6:$G$1011,7,0)=1,$L606,""),0)</f>
        <v>0</v>
      </c>
      <c r="U606" s="15">
        <f>_xlfn.IFNA(IF(VLOOKUP($J606&amp;U$14,'Mapping A'!$A$6:$G$1011,7,0)=1,$L606,""),0)+_xlfn.IFNA(IF(VLOOKUP($J606&amp;U$16,'Mapping A'!$A$6:$G$1011,7,0)=1,$L606,""),0)</f>
        <v>0</v>
      </c>
      <c r="V606" s="15">
        <f>_xlfn.IFNA(IF(VLOOKUP($J606&amp;V$14,'Mapping A'!$A$6:$G$1011,7,0)=1,$L606,""),0)+_xlfn.IFNA(IF(VLOOKUP($J606&amp;V$16,'Mapping A'!$A$6:$G$1011,7,0)=1,$L606,""),0)</f>
        <v>4516.74994874191</v>
      </c>
      <c r="W606" s="15">
        <f>_xlfn.IFNA(IF(VLOOKUP($J606&amp;W$14,'Mapping A'!$A$6:$G$1011,7,0)=1,$L606,""),0)+_xlfn.IFNA(IF(VLOOKUP($J606&amp;W$16,'Mapping A'!$A$6:$G$1011,7,0)=1,$L606,""),0)</f>
        <v>0</v>
      </c>
      <c r="X606" s="15">
        <f>_xlfn.IFNA(IF(VLOOKUP($J606&amp;X$14,'Mapping A'!$A$6:$G$1011,7,0)=1,$L606,""),0)+_xlfn.IFNA(IF(VLOOKUP($J606&amp;X$16,'Mapping A'!$A$6:$G$1011,7,0)=1,$L606,""),0)</f>
        <v>0</v>
      </c>
      <c r="Y606" s="15">
        <f>_xlfn.IFNA(IF(VLOOKUP($J606&amp;Y$14,'Mapping A'!$A$6:$G$1011,7,0)=1,$L606,""),0)+_xlfn.IFNA(IF(VLOOKUP($J606&amp;Y$16,'Mapping A'!$A$6:$G$1011,7,0)=1,$L606,""),0)</f>
        <v>0</v>
      </c>
      <c r="Z606" s="15">
        <f>_xlfn.IFNA(IF(VLOOKUP($J606&amp;Z$14,'Mapping A'!$A$6:$G$1011,7,0)=1,$L606,""),0)+_xlfn.IFNA(IF(VLOOKUP($J606&amp;Z$16,'Mapping A'!$A$6:$G$1011,7,0)=1,$L606,""),0)</f>
        <v>0</v>
      </c>
      <c r="AA606" s="15">
        <f>_xlfn.IFNA(IF(VLOOKUP($J606&amp;AA$14,'Mapping A'!$A$6:$G$1011,7,0)=1,$L606,""),0)+_xlfn.IFNA(IF(VLOOKUP($J606&amp;AA$16,'Mapping A'!$A$6:$G$1011,7,0)=1,$L606,""),0)</f>
        <v>0</v>
      </c>
      <c r="AF606" s="155" t="str">
        <f t="shared" si="177"/>
        <v>MAN2201 MAN0Meridian</v>
      </c>
      <c r="AG606" s="15" t="s">
        <v>248</v>
      </c>
      <c r="AH606" s="15" t="s">
        <v>14</v>
      </c>
      <c r="AI606" s="15">
        <v>4516.74994874191</v>
      </c>
      <c r="AJ606" s="292" t="s">
        <v>96</v>
      </c>
      <c r="AK606" s="15"/>
      <c r="AL606" s="15">
        <f t="shared" si="192"/>
        <v>0</v>
      </c>
      <c r="AM606" s="15">
        <f t="shared" ca="1" si="193"/>
        <v>0</v>
      </c>
      <c r="AN606" s="15">
        <f t="shared" ca="1" si="194"/>
        <v>0</v>
      </c>
      <c r="AO606" s="15">
        <f t="shared" si="195"/>
        <v>0</v>
      </c>
      <c r="AP606" s="15">
        <f t="shared" si="196"/>
        <v>0</v>
      </c>
      <c r="AQ606" s="15">
        <f t="shared" si="197"/>
        <v>0</v>
      </c>
      <c r="AR606" s="190">
        <f t="shared" si="199"/>
        <v>0</v>
      </c>
      <c r="AS606" s="190">
        <f t="shared" ca="1" si="200"/>
        <v>0.66054174923217723</v>
      </c>
      <c r="AT606" s="190">
        <f t="shared" si="201"/>
        <v>0</v>
      </c>
      <c r="AU606" s="190">
        <f t="shared" si="202"/>
        <v>0</v>
      </c>
      <c r="AV606" s="190">
        <f t="shared" si="203"/>
        <v>0</v>
      </c>
      <c r="AW606" s="190">
        <f t="shared" si="204"/>
        <v>0</v>
      </c>
      <c r="AX606" s="190">
        <f t="shared" si="205"/>
        <v>0</v>
      </c>
      <c r="AZ606" s="15"/>
      <c r="BP606" s="190"/>
    </row>
    <row r="607" spans="2:68" x14ac:dyDescent="0.25">
      <c r="B607" s="98" t="s">
        <v>552</v>
      </c>
      <c r="C607" s="98">
        <v>2014</v>
      </c>
      <c r="D607" s="98" t="s">
        <v>390</v>
      </c>
      <c r="E607" s="98" t="s">
        <v>14</v>
      </c>
      <c r="F607" s="98" t="s">
        <v>136</v>
      </c>
      <c r="G607" s="248">
        <v>0</v>
      </c>
      <c r="H607" s="299" t="str">
        <f>VLOOKUP(LEFT('Rev Adequacy'!D607,3),'Mapping B'!$D$2:$E$400,2,0)</f>
        <v>S</v>
      </c>
      <c r="J607" s="15" t="s">
        <v>250</v>
      </c>
      <c r="K607" s="15" t="s">
        <v>33</v>
      </c>
      <c r="L607" s="15">
        <v>88.417619371979896</v>
      </c>
      <c r="M607" s="15"/>
      <c r="N607" s="15"/>
      <c r="O607" s="15">
        <f>_xlfn.IFNA(IF(VLOOKUP($J607&amp;O$14,'Mapping A'!$A$6:$G$1011,7,0)=1,$L607,""),0)+_xlfn.IFNA(IF(VLOOKUP($J607&amp;O$16,'Mapping A'!$A$6:$G$1011,7,0)=1,$L607,""),0)</f>
        <v>0</v>
      </c>
      <c r="P607" s="15">
        <f>_xlfn.IFNA(IF(VLOOKUP($J607&amp;P$14,'Mapping A'!$A$6:$G$1011,7,0)=1,$L607,""),0)+_xlfn.IFNA(IF(VLOOKUP($J607&amp;P$16,'Mapping A'!$A$6:$G$1011,7,0)=1,$L607,""),0)</f>
        <v>0</v>
      </c>
      <c r="Q607" s="15">
        <f>_xlfn.IFNA(IF(VLOOKUP($J607&amp;Q$14,'Mapping A'!$A$6:$G$1011,7,0)=1,$L607,""),0)+_xlfn.IFNA(IF(VLOOKUP($J607&amp;Q$16,'Mapping A'!$A$6:$G$1011,7,0)=1,$L607,""),0)</f>
        <v>0</v>
      </c>
      <c r="R607" s="15">
        <f>_xlfn.IFNA(IF(VLOOKUP($J607&amp;R$14,'Mapping A'!$A$6:$G$1011,7,0)=1,$L607,""),0)+_xlfn.IFNA(IF(VLOOKUP($J607&amp;R$16,'Mapping A'!$A$6:$G$1011,7,0)=1,$L607,""),0)</f>
        <v>0</v>
      </c>
      <c r="S607" s="15">
        <f>_xlfn.IFNA(IF(VLOOKUP($J607&amp;S$14,'Mapping A'!$A$6:$G$1011,7,0)=1,$L607,""),0)+_xlfn.IFNA(IF(VLOOKUP($J607&amp;S$16,'Mapping A'!$A$6:$G$1011,7,0)=1,$L607,""),0)</f>
        <v>0</v>
      </c>
      <c r="T607" s="15">
        <f>_xlfn.IFNA(IF(VLOOKUP($J607&amp;T$14,'Mapping A'!$A$6:$G$1011,7,0)=1,$L607,""),0)+_xlfn.IFNA(IF(VLOOKUP($J607&amp;T$16,'Mapping A'!$A$6:$G$1011,7,0)=1,$L607,""),0)</f>
        <v>0</v>
      </c>
      <c r="U607" s="15">
        <f>_xlfn.IFNA(IF(VLOOKUP($J607&amp;U$14,'Mapping A'!$A$6:$G$1011,7,0)=1,$L607,""),0)+_xlfn.IFNA(IF(VLOOKUP($J607&amp;U$16,'Mapping A'!$A$6:$G$1011,7,0)=1,$L607,""),0)</f>
        <v>0</v>
      </c>
      <c r="V607" s="15">
        <f>_xlfn.IFNA(IF(VLOOKUP($J607&amp;V$14,'Mapping A'!$A$6:$G$1011,7,0)=1,$L607,""),0)+_xlfn.IFNA(IF(VLOOKUP($J607&amp;V$16,'Mapping A'!$A$6:$G$1011,7,0)=1,$L607,""),0)</f>
        <v>0</v>
      </c>
      <c r="W607" s="15">
        <f>_xlfn.IFNA(IF(VLOOKUP($J607&amp;W$14,'Mapping A'!$A$6:$G$1011,7,0)=1,$L607,""),0)+_xlfn.IFNA(IF(VLOOKUP($J607&amp;W$16,'Mapping A'!$A$6:$G$1011,7,0)=1,$L607,""),0)</f>
        <v>0</v>
      </c>
      <c r="X607" s="15">
        <f>_xlfn.IFNA(IF(VLOOKUP($J607&amp;X$14,'Mapping A'!$A$6:$G$1011,7,0)=1,$L607,""),0)+_xlfn.IFNA(IF(VLOOKUP($J607&amp;X$16,'Mapping A'!$A$6:$G$1011,7,0)=1,$L607,""),0)</f>
        <v>0</v>
      </c>
      <c r="Y607" s="15">
        <f>_xlfn.IFNA(IF(VLOOKUP($J607&amp;Y$14,'Mapping A'!$A$6:$G$1011,7,0)=1,$L607,""),0)+_xlfn.IFNA(IF(VLOOKUP($J607&amp;Y$16,'Mapping A'!$A$6:$G$1011,7,0)=1,$L607,""),0)</f>
        <v>0</v>
      </c>
      <c r="Z607" s="15">
        <f>_xlfn.IFNA(IF(VLOOKUP($J607&amp;Z$14,'Mapping A'!$A$6:$G$1011,7,0)=1,$L607,""),0)+_xlfn.IFNA(IF(VLOOKUP($J607&amp;Z$16,'Mapping A'!$A$6:$G$1011,7,0)=1,$L607,""),0)</f>
        <v>0</v>
      </c>
      <c r="AA607" s="15">
        <f>_xlfn.IFNA(IF(VLOOKUP($J607&amp;AA$14,'Mapping A'!$A$6:$G$1011,7,0)=1,$L607,""),0)+_xlfn.IFNA(IF(VLOOKUP($J607&amp;AA$16,'Mapping A'!$A$6:$G$1011,7,0)=1,$L607,""),0)</f>
        <v>0</v>
      </c>
      <c r="AF607" s="155" t="str">
        <f t="shared" si="177"/>
        <v>MAT1101 ANI0Todd</v>
      </c>
      <c r="AG607" s="15" t="s">
        <v>250</v>
      </c>
      <c r="AH607" s="15" t="s">
        <v>33</v>
      </c>
      <c r="AI607" s="15">
        <v>88.417619371979896</v>
      </c>
      <c r="AJ607" s="292" t="s">
        <v>95</v>
      </c>
      <c r="AK607" s="15"/>
      <c r="AL607" s="15">
        <f t="shared" ref="AL607:AL638" si="206">IF(O$574=0,0,O$13*O$7*O607/O$574)</f>
        <v>0</v>
      </c>
      <c r="AM607" s="15">
        <f t="shared" ref="AM607:AM638" ca="1" si="207">IF(P$574=0,0,P$15*P$7*P607/P$574)</f>
        <v>0</v>
      </c>
      <c r="AN607" s="15">
        <f t="shared" ref="AN607:AN638" ca="1" si="208">IF(Q$574=0,0,Q$17*Q$7*Q607/Q$574)</f>
        <v>0</v>
      </c>
      <c r="AO607" s="15">
        <f t="shared" ref="AO607:AO638" si="209">IF(R$574=0,0,R$13*R$7*R607/R$574)</f>
        <v>0</v>
      </c>
      <c r="AP607" s="15">
        <f t="shared" ref="AP607:AP638" si="210">IF(S$574=0,0,S$13*S$7*S607/S$574)</f>
        <v>0</v>
      </c>
      <c r="AQ607" s="15">
        <f t="shared" ref="AQ607:AQ638" si="211">IF(T$574=0,0,T$13*T$7*T607/T$574)</f>
        <v>0</v>
      </c>
      <c r="AR607" s="190">
        <f t="shared" si="199"/>
        <v>0</v>
      </c>
      <c r="AS607" s="190">
        <f t="shared" ca="1" si="200"/>
        <v>0</v>
      </c>
      <c r="AT607" s="190">
        <f t="shared" si="201"/>
        <v>0</v>
      </c>
      <c r="AU607" s="190">
        <f t="shared" si="202"/>
        <v>0</v>
      </c>
      <c r="AV607" s="190">
        <f t="shared" si="203"/>
        <v>0</v>
      </c>
      <c r="AW607" s="190">
        <f t="shared" si="204"/>
        <v>0</v>
      </c>
      <c r="AX607" s="190">
        <f t="shared" si="205"/>
        <v>0</v>
      </c>
      <c r="AZ607" s="15"/>
      <c r="BP607" s="190"/>
    </row>
    <row r="608" spans="2:68" x14ac:dyDescent="0.25">
      <c r="B608" s="98" t="s">
        <v>552</v>
      </c>
      <c r="C608" s="98">
        <v>2014</v>
      </c>
      <c r="D608" s="98" t="s">
        <v>393</v>
      </c>
      <c r="E608" s="98" t="s">
        <v>14</v>
      </c>
      <c r="F608" s="98" t="s">
        <v>145</v>
      </c>
      <c r="G608" s="248">
        <v>0</v>
      </c>
      <c r="H608" s="299" t="str">
        <f>VLOOKUP(LEFT('Rev Adequacy'!D608,3),'Mapping B'!$D$2:$E$400,2,0)</f>
        <v>N</v>
      </c>
      <c r="J608" s="15" t="s">
        <v>251</v>
      </c>
      <c r="K608" s="15" t="s">
        <v>35</v>
      </c>
      <c r="L608" s="15">
        <v>178.924775022745</v>
      </c>
      <c r="M608" s="15"/>
      <c r="N608" s="15"/>
      <c r="O608" s="15">
        <f>_xlfn.IFNA(IF(VLOOKUP($J608&amp;O$14,'Mapping A'!$A$6:$G$1011,7,0)=1,$L608,""),0)+_xlfn.IFNA(IF(VLOOKUP($J608&amp;O$16,'Mapping A'!$A$6:$G$1011,7,0)=1,$L608,""),0)</f>
        <v>0</v>
      </c>
      <c r="P608" s="15">
        <f>_xlfn.IFNA(IF(VLOOKUP($J608&amp;P$14,'Mapping A'!$A$6:$G$1011,7,0)=1,$L608,""),0)+_xlfn.IFNA(IF(VLOOKUP($J608&amp;P$16,'Mapping A'!$A$6:$G$1011,7,0)=1,$L608,""),0)</f>
        <v>0</v>
      </c>
      <c r="Q608" s="15">
        <f>_xlfn.IFNA(IF(VLOOKUP($J608&amp;Q$14,'Mapping A'!$A$6:$G$1011,7,0)=1,$L608,""),0)+_xlfn.IFNA(IF(VLOOKUP($J608&amp;Q$16,'Mapping A'!$A$6:$G$1011,7,0)=1,$L608,""),0)</f>
        <v>0</v>
      </c>
      <c r="R608" s="15">
        <f>_xlfn.IFNA(IF(VLOOKUP($J608&amp;R$14,'Mapping A'!$A$6:$G$1011,7,0)=1,$L608,""),0)+_xlfn.IFNA(IF(VLOOKUP($J608&amp;R$16,'Mapping A'!$A$6:$G$1011,7,0)=1,$L608,""),0)</f>
        <v>0</v>
      </c>
      <c r="S608" s="15">
        <f>_xlfn.IFNA(IF(VLOOKUP($J608&amp;S$14,'Mapping A'!$A$6:$G$1011,7,0)=1,$L608,""),0)+_xlfn.IFNA(IF(VLOOKUP($J608&amp;S$16,'Mapping A'!$A$6:$G$1011,7,0)=1,$L608,""),0)</f>
        <v>0</v>
      </c>
      <c r="T608" s="15">
        <f>_xlfn.IFNA(IF(VLOOKUP($J608&amp;T$14,'Mapping A'!$A$6:$G$1011,7,0)=1,$L608,""),0)+_xlfn.IFNA(IF(VLOOKUP($J608&amp;T$16,'Mapping A'!$A$6:$G$1011,7,0)=1,$L608,""),0)</f>
        <v>0</v>
      </c>
      <c r="U608" s="15">
        <f>_xlfn.IFNA(IF(VLOOKUP($J608&amp;U$14,'Mapping A'!$A$6:$G$1011,7,0)=1,$L608,""),0)+_xlfn.IFNA(IF(VLOOKUP($J608&amp;U$16,'Mapping A'!$A$6:$G$1011,7,0)=1,$L608,""),0)</f>
        <v>0</v>
      </c>
      <c r="V608" s="15">
        <f>_xlfn.IFNA(IF(VLOOKUP($J608&amp;V$14,'Mapping A'!$A$6:$G$1011,7,0)=1,$L608,""),0)+_xlfn.IFNA(IF(VLOOKUP($J608&amp;V$16,'Mapping A'!$A$6:$G$1011,7,0)=1,$L608,""),0)</f>
        <v>0</v>
      </c>
      <c r="W608" s="15">
        <f>_xlfn.IFNA(IF(VLOOKUP($J608&amp;W$14,'Mapping A'!$A$6:$G$1011,7,0)=1,$L608,""),0)+_xlfn.IFNA(IF(VLOOKUP($J608&amp;W$16,'Mapping A'!$A$6:$G$1011,7,0)=1,$L608,""),0)</f>
        <v>0</v>
      </c>
      <c r="X608" s="15">
        <f>_xlfn.IFNA(IF(VLOOKUP($J608&amp;X$14,'Mapping A'!$A$6:$G$1011,7,0)=1,$L608,""),0)+_xlfn.IFNA(IF(VLOOKUP($J608&amp;X$16,'Mapping A'!$A$6:$G$1011,7,0)=1,$L608,""),0)</f>
        <v>0</v>
      </c>
      <c r="Y608" s="15">
        <f>_xlfn.IFNA(IF(VLOOKUP($J608&amp;Y$14,'Mapping A'!$A$6:$G$1011,7,0)=1,$L608,""),0)+_xlfn.IFNA(IF(VLOOKUP($J608&amp;Y$16,'Mapping A'!$A$6:$G$1011,7,0)=1,$L608,""),0)</f>
        <v>0</v>
      </c>
      <c r="Z608" s="15">
        <f>_xlfn.IFNA(IF(VLOOKUP($J608&amp;Z$14,'Mapping A'!$A$6:$G$1011,7,0)=1,$L608,""),0)+_xlfn.IFNA(IF(VLOOKUP($J608&amp;Z$16,'Mapping A'!$A$6:$G$1011,7,0)=1,$L608,""),0)</f>
        <v>0</v>
      </c>
      <c r="AA608" s="15">
        <f>_xlfn.IFNA(IF(VLOOKUP($J608&amp;AA$14,'Mapping A'!$A$6:$G$1011,7,0)=1,$L608,""),0)+_xlfn.IFNA(IF(VLOOKUP($J608&amp;AA$16,'Mapping A'!$A$6:$G$1011,7,0)=1,$L608,""),0)</f>
        <v>0</v>
      </c>
      <c r="AF608" s="155" t="str">
        <f t="shared" si="177"/>
        <v>MAT1101 MAT0Trustpower</v>
      </c>
      <c r="AG608" s="15" t="s">
        <v>251</v>
      </c>
      <c r="AH608" s="15" t="s">
        <v>35</v>
      </c>
      <c r="AI608" s="15">
        <v>178.924775022745</v>
      </c>
      <c r="AJ608" s="292" t="s">
        <v>95</v>
      </c>
      <c r="AK608" s="15"/>
      <c r="AL608" s="15">
        <f t="shared" si="206"/>
        <v>0</v>
      </c>
      <c r="AM608" s="15">
        <f t="shared" ca="1" si="207"/>
        <v>0</v>
      </c>
      <c r="AN608" s="15">
        <f t="shared" ca="1" si="208"/>
        <v>0</v>
      </c>
      <c r="AO608" s="15">
        <f t="shared" si="209"/>
        <v>0</v>
      </c>
      <c r="AP608" s="15">
        <f t="shared" si="210"/>
        <v>0</v>
      </c>
      <c r="AQ608" s="15">
        <f t="shared" si="211"/>
        <v>0</v>
      </c>
      <c r="AR608" s="190">
        <f t="shared" si="199"/>
        <v>0</v>
      </c>
      <c r="AS608" s="190">
        <f t="shared" ca="1" si="200"/>
        <v>0</v>
      </c>
      <c r="AT608" s="190">
        <f t="shared" si="201"/>
        <v>0</v>
      </c>
      <c r="AU608" s="190">
        <f t="shared" si="202"/>
        <v>0</v>
      </c>
      <c r="AV608" s="190">
        <f t="shared" si="203"/>
        <v>0</v>
      </c>
      <c r="AW608" s="190">
        <f t="shared" si="204"/>
        <v>0</v>
      </c>
      <c r="AX608" s="190">
        <f t="shared" si="205"/>
        <v>0</v>
      </c>
      <c r="AZ608" s="15"/>
      <c r="BP608" s="190"/>
    </row>
    <row r="609" spans="2:68" x14ac:dyDescent="0.25">
      <c r="B609" s="98" t="s">
        <v>552</v>
      </c>
      <c r="C609" s="98">
        <v>2014</v>
      </c>
      <c r="D609" s="98" t="s">
        <v>393</v>
      </c>
      <c r="E609" s="98" t="s">
        <v>14</v>
      </c>
      <c r="F609" s="98" t="s">
        <v>131</v>
      </c>
      <c r="G609" s="248">
        <v>15.2609999999999</v>
      </c>
      <c r="H609" s="299" t="str">
        <f>VLOOKUP(LEFT('Rev Adequacy'!D609,3),'Mapping B'!$D$2:$E$400,2,0)</f>
        <v>N</v>
      </c>
      <c r="J609" s="15" t="s">
        <v>252</v>
      </c>
      <c r="K609" s="15" t="s">
        <v>35</v>
      </c>
      <c r="L609" s="15"/>
      <c r="M609" s="15"/>
      <c r="N609" s="15"/>
      <c r="O609" s="15">
        <f>_xlfn.IFNA(IF(VLOOKUP($J609&amp;O$14,'Mapping A'!$A$6:$G$1011,7,0)=1,$L609,""),0)+_xlfn.IFNA(IF(VLOOKUP($J609&amp;O$16,'Mapping A'!$A$6:$G$1011,7,0)=1,$L609,""),0)</f>
        <v>0</v>
      </c>
      <c r="P609" s="15">
        <f>_xlfn.IFNA(IF(VLOOKUP($J609&amp;P$14,'Mapping A'!$A$6:$G$1011,7,0)=1,$L609,""),0)+_xlfn.IFNA(IF(VLOOKUP($J609&amp;P$16,'Mapping A'!$A$6:$G$1011,7,0)=1,$L609,""),0)</f>
        <v>0</v>
      </c>
      <c r="Q609" s="15">
        <f>_xlfn.IFNA(IF(VLOOKUP($J609&amp;Q$14,'Mapping A'!$A$6:$G$1011,7,0)=1,$L609,""),0)+_xlfn.IFNA(IF(VLOOKUP($J609&amp;Q$16,'Mapping A'!$A$6:$G$1011,7,0)=1,$L609,""),0)</f>
        <v>0</v>
      </c>
      <c r="R609" s="15">
        <f>_xlfn.IFNA(IF(VLOOKUP($J609&amp;R$14,'Mapping A'!$A$6:$G$1011,7,0)=1,$L609,""),0)+_xlfn.IFNA(IF(VLOOKUP($J609&amp;R$16,'Mapping A'!$A$6:$G$1011,7,0)=1,$L609,""),0)</f>
        <v>0</v>
      </c>
      <c r="S609" s="15">
        <f>_xlfn.IFNA(IF(VLOOKUP($J609&amp;S$14,'Mapping A'!$A$6:$G$1011,7,0)=1,$L609,""),0)+_xlfn.IFNA(IF(VLOOKUP($J609&amp;S$16,'Mapping A'!$A$6:$G$1011,7,0)=1,$L609,""),0)</f>
        <v>0</v>
      </c>
      <c r="T609" s="15">
        <f>_xlfn.IFNA(IF(VLOOKUP($J609&amp;T$14,'Mapping A'!$A$6:$G$1011,7,0)=1,$L609,""),0)+_xlfn.IFNA(IF(VLOOKUP($J609&amp;T$16,'Mapping A'!$A$6:$G$1011,7,0)=1,$L609,""),0)</f>
        <v>0</v>
      </c>
      <c r="U609" s="15">
        <f>_xlfn.IFNA(IF(VLOOKUP($J609&amp;U$14,'Mapping A'!$A$6:$G$1011,7,0)=1,$L609,""),0)+_xlfn.IFNA(IF(VLOOKUP($J609&amp;U$16,'Mapping A'!$A$6:$G$1011,7,0)=1,$L609,""),0)</f>
        <v>0</v>
      </c>
      <c r="V609" s="15">
        <f>_xlfn.IFNA(IF(VLOOKUP($J609&amp;V$14,'Mapping A'!$A$6:$G$1011,7,0)=1,$L609,""),0)+_xlfn.IFNA(IF(VLOOKUP($J609&amp;V$16,'Mapping A'!$A$6:$G$1011,7,0)=1,$L609,""),0)</f>
        <v>0</v>
      </c>
      <c r="W609" s="15">
        <f>_xlfn.IFNA(IF(VLOOKUP($J609&amp;W$14,'Mapping A'!$A$6:$G$1011,7,0)=1,$L609,""),0)+_xlfn.IFNA(IF(VLOOKUP($J609&amp;W$16,'Mapping A'!$A$6:$G$1011,7,0)=1,$L609,""),0)</f>
        <v>0</v>
      </c>
      <c r="X609" s="15">
        <f>_xlfn.IFNA(IF(VLOOKUP($J609&amp;X$14,'Mapping A'!$A$6:$G$1011,7,0)=1,$L609,""),0)+_xlfn.IFNA(IF(VLOOKUP($J609&amp;X$16,'Mapping A'!$A$6:$G$1011,7,0)=1,$L609,""),0)</f>
        <v>0</v>
      </c>
      <c r="Y609" s="15">
        <f>_xlfn.IFNA(IF(VLOOKUP($J609&amp;Y$14,'Mapping A'!$A$6:$G$1011,7,0)=1,$L609,""),0)+_xlfn.IFNA(IF(VLOOKUP($J609&amp;Y$16,'Mapping A'!$A$6:$G$1011,7,0)=1,$L609,""),0)</f>
        <v>0</v>
      </c>
      <c r="Z609" s="15">
        <f>_xlfn.IFNA(IF(VLOOKUP($J609&amp;Z$14,'Mapping A'!$A$6:$G$1011,7,0)=1,$L609,""),0)+_xlfn.IFNA(IF(VLOOKUP($J609&amp;Z$16,'Mapping A'!$A$6:$G$1011,7,0)=1,$L609,""),0)</f>
        <v>0</v>
      </c>
      <c r="AA609" s="15">
        <f>_xlfn.IFNA(IF(VLOOKUP($J609&amp;AA$14,'Mapping A'!$A$6:$G$1011,7,0)=1,$L609,""),0)+_xlfn.IFNA(IF(VLOOKUP($J609&amp;AA$16,'Mapping A'!$A$6:$G$1011,7,0)=1,$L609,""),0)</f>
        <v>0</v>
      </c>
      <c r="AF609" s="155" t="str">
        <f t="shared" si="177"/>
        <v>MAT1102 MAT0Trustpower</v>
      </c>
      <c r="AG609" s="15" t="s">
        <v>252</v>
      </c>
      <c r="AH609" s="15" t="s">
        <v>35</v>
      </c>
      <c r="AI609" s="15"/>
      <c r="AJ609" s="292" t="s">
        <v>95</v>
      </c>
      <c r="AK609" s="15"/>
      <c r="AL609" s="15">
        <f t="shared" si="206"/>
        <v>0</v>
      </c>
      <c r="AM609" s="15">
        <f t="shared" ca="1" si="207"/>
        <v>0</v>
      </c>
      <c r="AN609" s="15">
        <f t="shared" ca="1" si="208"/>
        <v>0</v>
      </c>
      <c r="AO609" s="15">
        <f t="shared" si="209"/>
        <v>0</v>
      </c>
      <c r="AP609" s="15">
        <f t="shared" si="210"/>
        <v>0</v>
      </c>
      <c r="AQ609" s="15">
        <f t="shared" si="211"/>
        <v>0</v>
      </c>
      <c r="AR609" s="190">
        <f t="shared" si="199"/>
        <v>0</v>
      </c>
      <c r="AS609" s="190">
        <f t="shared" ca="1" si="200"/>
        <v>0</v>
      </c>
      <c r="AT609" s="190">
        <f t="shared" si="201"/>
        <v>0</v>
      </c>
      <c r="AU609" s="190">
        <f t="shared" si="202"/>
        <v>0</v>
      </c>
      <c r="AV609" s="190">
        <f t="shared" si="203"/>
        <v>0</v>
      </c>
      <c r="AW609" s="190">
        <f t="shared" si="204"/>
        <v>0</v>
      </c>
      <c r="AX609" s="190">
        <f t="shared" si="205"/>
        <v>0</v>
      </c>
      <c r="AZ609" s="15"/>
      <c r="BP609" s="190"/>
    </row>
    <row r="610" spans="2:68" x14ac:dyDescent="0.25">
      <c r="B610" s="98" t="s">
        <v>552</v>
      </c>
      <c r="C610" s="98">
        <v>2014</v>
      </c>
      <c r="D610" s="98" t="s">
        <v>394</v>
      </c>
      <c r="E610" s="98" t="s">
        <v>14</v>
      </c>
      <c r="F610" s="98" t="s">
        <v>145</v>
      </c>
      <c r="G610" s="248">
        <v>0</v>
      </c>
      <c r="H610" s="299" t="str">
        <f>VLOOKUP(LEFT('Rev Adequacy'!D610,3),'Mapping B'!$D$2:$E$400,2,0)</f>
        <v>N</v>
      </c>
      <c r="J610" s="15" t="s">
        <v>257</v>
      </c>
      <c r="K610" s="15" t="s">
        <v>33</v>
      </c>
      <c r="L610" s="15">
        <v>32.015692994677799</v>
      </c>
      <c r="M610" s="15"/>
      <c r="N610" s="15"/>
      <c r="O610" s="15">
        <f>_xlfn.IFNA(IF(VLOOKUP($J610&amp;O$14,'Mapping A'!$A$6:$G$1011,7,0)=1,$L610,""),0)+_xlfn.IFNA(IF(VLOOKUP($J610&amp;O$16,'Mapping A'!$A$6:$G$1011,7,0)=1,$L610,""),0)</f>
        <v>0</v>
      </c>
      <c r="P610" s="15">
        <f>_xlfn.IFNA(IF(VLOOKUP($J610&amp;P$14,'Mapping A'!$A$6:$G$1011,7,0)=1,$L610,""),0)+_xlfn.IFNA(IF(VLOOKUP($J610&amp;P$16,'Mapping A'!$A$6:$G$1011,7,0)=1,$L610,""),0)</f>
        <v>0</v>
      </c>
      <c r="Q610" s="15">
        <f>_xlfn.IFNA(IF(VLOOKUP($J610&amp;Q$14,'Mapping A'!$A$6:$G$1011,7,0)=1,$L610,""),0)+_xlfn.IFNA(IF(VLOOKUP($J610&amp;Q$16,'Mapping A'!$A$6:$G$1011,7,0)=1,$L610,""),0)</f>
        <v>0</v>
      </c>
      <c r="R610" s="15">
        <f>_xlfn.IFNA(IF(VLOOKUP($J610&amp;R$14,'Mapping A'!$A$6:$G$1011,7,0)=1,$L610,""),0)+_xlfn.IFNA(IF(VLOOKUP($J610&amp;R$16,'Mapping A'!$A$6:$G$1011,7,0)=1,$L610,""),0)</f>
        <v>0</v>
      </c>
      <c r="S610" s="15">
        <f>_xlfn.IFNA(IF(VLOOKUP($J610&amp;S$14,'Mapping A'!$A$6:$G$1011,7,0)=1,$L610,""),0)+_xlfn.IFNA(IF(VLOOKUP($J610&amp;S$16,'Mapping A'!$A$6:$G$1011,7,0)=1,$L610,""),0)</f>
        <v>0</v>
      </c>
      <c r="T610" s="15">
        <f>_xlfn.IFNA(IF(VLOOKUP($J610&amp;T$14,'Mapping A'!$A$6:$G$1011,7,0)=1,$L610,""),0)+_xlfn.IFNA(IF(VLOOKUP($J610&amp;T$16,'Mapping A'!$A$6:$G$1011,7,0)=1,$L610,""),0)</f>
        <v>0</v>
      </c>
      <c r="U610" s="15">
        <f>_xlfn.IFNA(IF(VLOOKUP($J610&amp;U$14,'Mapping A'!$A$6:$G$1011,7,0)=1,$L610,""),0)+_xlfn.IFNA(IF(VLOOKUP($J610&amp;U$16,'Mapping A'!$A$6:$G$1011,7,0)=1,$L610,""),0)</f>
        <v>0</v>
      </c>
      <c r="V610" s="15">
        <f>_xlfn.IFNA(IF(VLOOKUP($J610&amp;V$14,'Mapping A'!$A$6:$G$1011,7,0)=1,$L610,""),0)+_xlfn.IFNA(IF(VLOOKUP($J610&amp;V$16,'Mapping A'!$A$6:$G$1011,7,0)=1,$L610,""),0)</f>
        <v>0</v>
      </c>
      <c r="W610" s="15">
        <f>_xlfn.IFNA(IF(VLOOKUP($J610&amp;W$14,'Mapping A'!$A$6:$G$1011,7,0)=1,$L610,""),0)+_xlfn.IFNA(IF(VLOOKUP($J610&amp;W$16,'Mapping A'!$A$6:$G$1011,7,0)=1,$L610,""),0)</f>
        <v>0</v>
      </c>
      <c r="X610" s="15">
        <f>_xlfn.IFNA(IF(VLOOKUP($J610&amp;X$14,'Mapping A'!$A$6:$G$1011,7,0)=1,$L610,""),0)+_xlfn.IFNA(IF(VLOOKUP($J610&amp;X$16,'Mapping A'!$A$6:$G$1011,7,0)=1,$L610,""),0)</f>
        <v>0</v>
      </c>
      <c r="Y610" s="15">
        <f>_xlfn.IFNA(IF(VLOOKUP($J610&amp;Y$14,'Mapping A'!$A$6:$G$1011,7,0)=1,$L610,""),0)+_xlfn.IFNA(IF(VLOOKUP($J610&amp;Y$16,'Mapping A'!$A$6:$G$1011,7,0)=1,$L610,""),0)</f>
        <v>0</v>
      </c>
      <c r="Z610" s="15">
        <f>_xlfn.IFNA(IF(VLOOKUP($J610&amp;Z$14,'Mapping A'!$A$6:$G$1011,7,0)=1,$L610,""),0)+_xlfn.IFNA(IF(VLOOKUP($J610&amp;Z$16,'Mapping A'!$A$6:$G$1011,7,0)=1,$L610,""),0)</f>
        <v>0</v>
      </c>
      <c r="AA610" s="15">
        <f>_xlfn.IFNA(IF(VLOOKUP($J610&amp;AA$14,'Mapping A'!$A$6:$G$1011,7,0)=1,$L610,""),0)+_xlfn.IFNA(IF(VLOOKUP($J610&amp;AA$16,'Mapping A'!$A$6:$G$1011,7,0)=1,$L610,""),0)</f>
        <v>0</v>
      </c>
      <c r="AF610" s="155" t="str">
        <f t="shared" ref="AF610:AF652" si="212">AG610&amp;AH610</f>
        <v>MHO0331 MHO0Todd</v>
      </c>
      <c r="AG610" s="15" t="s">
        <v>257</v>
      </c>
      <c r="AH610" s="15" t="s">
        <v>33</v>
      </c>
      <c r="AI610" s="15">
        <v>32.015692994677799</v>
      </c>
      <c r="AJ610" s="292" t="s">
        <v>95</v>
      </c>
      <c r="AK610" s="15"/>
      <c r="AL610" s="15">
        <f t="shared" si="206"/>
        <v>0</v>
      </c>
      <c r="AM610" s="15">
        <f t="shared" ca="1" si="207"/>
        <v>0</v>
      </c>
      <c r="AN610" s="15">
        <f t="shared" ca="1" si="208"/>
        <v>0</v>
      </c>
      <c r="AO610" s="15">
        <f t="shared" si="209"/>
        <v>0</v>
      </c>
      <c r="AP610" s="15">
        <f t="shared" si="210"/>
        <v>0</v>
      </c>
      <c r="AQ610" s="15">
        <f t="shared" si="211"/>
        <v>0</v>
      </c>
      <c r="AR610" s="190">
        <f t="shared" si="199"/>
        <v>0</v>
      </c>
      <c r="AS610" s="190">
        <f t="shared" ca="1" si="200"/>
        <v>0</v>
      </c>
      <c r="AT610" s="190">
        <f t="shared" si="201"/>
        <v>0</v>
      </c>
      <c r="AU610" s="190">
        <f t="shared" si="202"/>
        <v>0</v>
      </c>
      <c r="AV610" s="190">
        <f t="shared" si="203"/>
        <v>0</v>
      </c>
      <c r="AW610" s="190">
        <f t="shared" si="204"/>
        <v>0</v>
      </c>
      <c r="AX610" s="190">
        <f t="shared" si="205"/>
        <v>0</v>
      </c>
      <c r="AZ610" s="15"/>
      <c r="BP610" s="190"/>
    </row>
    <row r="611" spans="2:68" x14ac:dyDescent="0.25">
      <c r="B611" s="98" t="s">
        <v>552</v>
      </c>
      <c r="C611" s="98">
        <v>2014</v>
      </c>
      <c r="D611" s="98" t="s">
        <v>394</v>
      </c>
      <c r="E611" s="98" t="s">
        <v>14</v>
      </c>
      <c r="F611" s="98" t="s">
        <v>131</v>
      </c>
      <c r="G611" s="248">
        <v>16.901999999999902</v>
      </c>
      <c r="H611" s="299" t="str">
        <f>VLOOKUP(LEFT('Rev Adequacy'!D611,3),'Mapping B'!$D$2:$E$400,2,0)</f>
        <v>N</v>
      </c>
      <c r="J611" s="15" t="s">
        <v>259</v>
      </c>
      <c r="K611" s="15" t="s">
        <v>33</v>
      </c>
      <c r="L611" s="15">
        <v>216.218150101883</v>
      </c>
      <c r="M611" s="15"/>
      <c r="N611" s="15"/>
      <c r="O611" s="15">
        <f>_xlfn.IFNA(IF(VLOOKUP($J611&amp;O$14,'Mapping A'!$A$6:$G$1011,7,0)=1,$L611,""),0)+_xlfn.IFNA(IF(VLOOKUP($J611&amp;O$16,'Mapping A'!$A$6:$G$1011,7,0)=1,$L611,""),0)</f>
        <v>0</v>
      </c>
      <c r="P611" s="15">
        <f>_xlfn.IFNA(IF(VLOOKUP($J611&amp;P$14,'Mapping A'!$A$6:$G$1011,7,0)=1,$L611,""),0)+_xlfn.IFNA(IF(VLOOKUP($J611&amp;P$16,'Mapping A'!$A$6:$G$1011,7,0)=1,$L611,""),0)</f>
        <v>0</v>
      </c>
      <c r="Q611" s="15">
        <f>_xlfn.IFNA(IF(VLOOKUP($J611&amp;Q$14,'Mapping A'!$A$6:$G$1011,7,0)=1,$L611,""),0)+_xlfn.IFNA(IF(VLOOKUP($J611&amp;Q$16,'Mapping A'!$A$6:$G$1011,7,0)=1,$L611,""),0)</f>
        <v>0</v>
      </c>
      <c r="R611" s="15">
        <f>_xlfn.IFNA(IF(VLOOKUP($J611&amp;R$14,'Mapping A'!$A$6:$G$1011,7,0)=1,$L611,""),0)+_xlfn.IFNA(IF(VLOOKUP($J611&amp;R$16,'Mapping A'!$A$6:$G$1011,7,0)=1,$L611,""),0)</f>
        <v>0</v>
      </c>
      <c r="S611" s="15">
        <f>_xlfn.IFNA(IF(VLOOKUP($J611&amp;S$14,'Mapping A'!$A$6:$G$1011,7,0)=1,$L611,""),0)+_xlfn.IFNA(IF(VLOOKUP($J611&amp;S$16,'Mapping A'!$A$6:$G$1011,7,0)=1,$L611,""),0)</f>
        <v>0</v>
      </c>
      <c r="T611" s="15">
        <f>_xlfn.IFNA(IF(VLOOKUP($J611&amp;T$14,'Mapping A'!$A$6:$G$1011,7,0)=1,$L611,""),0)+_xlfn.IFNA(IF(VLOOKUP($J611&amp;T$16,'Mapping A'!$A$6:$G$1011,7,0)=1,$L611,""),0)</f>
        <v>0</v>
      </c>
      <c r="U611" s="15">
        <f>_xlfn.IFNA(IF(VLOOKUP($J611&amp;U$14,'Mapping A'!$A$6:$G$1011,7,0)=1,$L611,""),0)+_xlfn.IFNA(IF(VLOOKUP($J611&amp;U$16,'Mapping A'!$A$6:$G$1011,7,0)=1,$L611,""),0)</f>
        <v>0</v>
      </c>
      <c r="V611" s="15">
        <f>_xlfn.IFNA(IF(VLOOKUP($J611&amp;V$14,'Mapping A'!$A$6:$G$1011,7,0)=1,$L611,""),0)+_xlfn.IFNA(IF(VLOOKUP($J611&amp;V$16,'Mapping A'!$A$6:$G$1011,7,0)=1,$L611,""),0)</f>
        <v>0</v>
      </c>
      <c r="W611" s="15">
        <f>_xlfn.IFNA(IF(VLOOKUP($J611&amp;W$14,'Mapping A'!$A$6:$G$1011,7,0)=1,$L611,""),0)+_xlfn.IFNA(IF(VLOOKUP($J611&amp;W$16,'Mapping A'!$A$6:$G$1011,7,0)=1,$L611,""),0)</f>
        <v>0</v>
      </c>
      <c r="X611" s="15">
        <f>_xlfn.IFNA(IF(VLOOKUP($J611&amp;X$14,'Mapping A'!$A$6:$G$1011,7,0)=1,$L611,""),0)+_xlfn.IFNA(IF(VLOOKUP($J611&amp;X$16,'Mapping A'!$A$6:$G$1011,7,0)=1,$L611,""),0)</f>
        <v>0</v>
      </c>
      <c r="Y611" s="15">
        <f>_xlfn.IFNA(IF(VLOOKUP($J611&amp;Y$14,'Mapping A'!$A$6:$G$1011,7,0)=1,$L611,""),0)+_xlfn.IFNA(IF(VLOOKUP($J611&amp;Y$16,'Mapping A'!$A$6:$G$1011,7,0)=1,$L611,""),0)</f>
        <v>0</v>
      </c>
      <c r="Z611" s="15">
        <f>_xlfn.IFNA(IF(VLOOKUP($J611&amp;Z$14,'Mapping A'!$A$6:$G$1011,7,0)=1,$L611,""),0)+_xlfn.IFNA(IF(VLOOKUP($J611&amp;Z$16,'Mapping A'!$A$6:$G$1011,7,0)=1,$L611,""),0)</f>
        <v>0</v>
      </c>
      <c r="AA611" s="15">
        <f>_xlfn.IFNA(IF(VLOOKUP($J611&amp;AA$14,'Mapping A'!$A$6:$G$1011,7,0)=1,$L611,""),0)+_xlfn.IFNA(IF(VLOOKUP($J611&amp;AA$16,'Mapping A'!$A$6:$G$1011,7,0)=1,$L611,""),0)</f>
        <v>0</v>
      </c>
      <c r="AF611" s="155" t="str">
        <f t="shared" si="212"/>
        <v>MKE1101 MKE1Todd</v>
      </c>
      <c r="AG611" s="15" t="s">
        <v>259</v>
      </c>
      <c r="AH611" s="15" t="s">
        <v>33</v>
      </c>
      <c r="AI611" s="15">
        <v>216.218150101883</v>
      </c>
      <c r="AJ611" s="292" t="s">
        <v>95</v>
      </c>
      <c r="AK611" s="15"/>
      <c r="AL611" s="15">
        <f t="shared" si="206"/>
        <v>0</v>
      </c>
      <c r="AM611" s="15">
        <f t="shared" ca="1" si="207"/>
        <v>0</v>
      </c>
      <c r="AN611" s="15">
        <f t="shared" ca="1" si="208"/>
        <v>0</v>
      </c>
      <c r="AO611" s="15">
        <f t="shared" si="209"/>
        <v>0</v>
      </c>
      <c r="AP611" s="15">
        <f t="shared" si="210"/>
        <v>0</v>
      </c>
      <c r="AQ611" s="15">
        <f t="shared" si="211"/>
        <v>0</v>
      </c>
      <c r="AR611" s="190">
        <f t="shared" si="199"/>
        <v>0</v>
      </c>
      <c r="AS611" s="190">
        <f t="shared" ca="1" si="200"/>
        <v>0</v>
      </c>
      <c r="AT611" s="190">
        <f t="shared" si="201"/>
        <v>0</v>
      </c>
      <c r="AU611" s="190">
        <f t="shared" si="202"/>
        <v>0</v>
      </c>
      <c r="AV611" s="190">
        <f t="shared" si="203"/>
        <v>0</v>
      </c>
      <c r="AW611" s="190">
        <f t="shared" si="204"/>
        <v>0</v>
      </c>
      <c r="AX611" s="190">
        <f t="shared" si="205"/>
        <v>0</v>
      </c>
      <c r="AZ611" s="15"/>
      <c r="BP611" s="190"/>
    </row>
    <row r="612" spans="2:68" x14ac:dyDescent="0.25">
      <c r="B612" s="98" t="s">
        <v>553</v>
      </c>
      <c r="C612" s="98">
        <v>2014</v>
      </c>
      <c r="D612" s="98" t="s">
        <v>149</v>
      </c>
      <c r="E612" s="98" t="s">
        <v>14</v>
      </c>
      <c r="F612" s="98" t="s">
        <v>136</v>
      </c>
      <c r="G612" s="248">
        <v>0</v>
      </c>
      <c r="H612" s="299" t="str">
        <f>VLOOKUP(LEFT('Rev Adequacy'!D612,3),'Mapping B'!$D$2:$E$400,2,0)</f>
        <v>S</v>
      </c>
      <c r="J612" s="15" t="s">
        <v>267</v>
      </c>
      <c r="K612" s="15" t="s">
        <v>17</v>
      </c>
      <c r="L612" s="15">
        <v>742.00809885956699</v>
      </c>
      <c r="M612" s="15"/>
      <c r="N612" s="15"/>
      <c r="O612" s="15">
        <f>_xlfn.IFNA(IF(VLOOKUP($J612&amp;O$14,'Mapping A'!$A$6:$G$1011,7,0)=1,$L612,""),0)+_xlfn.IFNA(IF(VLOOKUP($J612&amp;O$16,'Mapping A'!$A$6:$G$1011,7,0)=1,$L612,""),0)</f>
        <v>0</v>
      </c>
      <c r="P612" s="15">
        <f>_xlfn.IFNA(IF(VLOOKUP($J612&amp;P$14,'Mapping A'!$A$6:$G$1011,7,0)=1,$L612,""),0)+_xlfn.IFNA(IF(VLOOKUP($J612&amp;P$16,'Mapping A'!$A$6:$G$1011,7,0)=1,$L612,""),0)</f>
        <v>0</v>
      </c>
      <c r="Q612" s="15">
        <f>_xlfn.IFNA(IF(VLOOKUP($J612&amp;Q$14,'Mapping A'!$A$6:$G$1011,7,0)=1,$L612,""),0)+_xlfn.IFNA(IF(VLOOKUP($J612&amp;Q$16,'Mapping A'!$A$6:$G$1011,7,0)=1,$L612,""),0)</f>
        <v>0</v>
      </c>
      <c r="R612" s="15">
        <f>_xlfn.IFNA(IF(VLOOKUP($J612&amp;R$14,'Mapping A'!$A$6:$G$1011,7,0)=1,$L612,""),0)+_xlfn.IFNA(IF(VLOOKUP($J612&amp;R$16,'Mapping A'!$A$6:$G$1011,7,0)=1,$L612,""),0)</f>
        <v>0</v>
      </c>
      <c r="S612" s="15">
        <f>_xlfn.IFNA(IF(VLOOKUP($J612&amp;S$14,'Mapping A'!$A$6:$G$1011,7,0)=1,$L612,""),0)+_xlfn.IFNA(IF(VLOOKUP($J612&amp;S$16,'Mapping A'!$A$6:$G$1011,7,0)=1,$L612,""),0)</f>
        <v>0</v>
      </c>
      <c r="T612" s="15">
        <f>_xlfn.IFNA(IF(VLOOKUP($J612&amp;T$14,'Mapping A'!$A$6:$G$1011,7,0)=1,$L612,""),0)+_xlfn.IFNA(IF(VLOOKUP($J612&amp;T$16,'Mapping A'!$A$6:$G$1011,7,0)=1,$L612,""),0)</f>
        <v>0</v>
      </c>
      <c r="U612" s="15">
        <f>_xlfn.IFNA(IF(VLOOKUP($J612&amp;U$14,'Mapping A'!$A$6:$G$1011,7,0)=1,$L612,""),0)+_xlfn.IFNA(IF(VLOOKUP($J612&amp;U$16,'Mapping A'!$A$6:$G$1011,7,0)=1,$L612,""),0)</f>
        <v>0</v>
      </c>
      <c r="V612" s="15">
        <f>_xlfn.IFNA(IF(VLOOKUP($J612&amp;V$14,'Mapping A'!$A$6:$G$1011,7,0)=1,$L612,""),0)+_xlfn.IFNA(IF(VLOOKUP($J612&amp;V$16,'Mapping A'!$A$6:$G$1011,7,0)=1,$L612,""),0)</f>
        <v>0</v>
      </c>
      <c r="W612" s="15">
        <f>_xlfn.IFNA(IF(VLOOKUP($J612&amp;W$14,'Mapping A'!$A$6:$G$1011,7,0)=1,$L612,""),0)+_xlfn.IFNA(IF(VLOOKUP($J612&amp;W$16,'Mapping A'!$A$6:$G$1011,7,0)=1,$L612,""),0)</f>
        <v>0</v>
      </c>
      <c r="X612" s="15">
        <f>_xlfn.IFNA(IF(VLOOKUP($J612&amp;X$14,'Mapping A'!$A$6:$G$1011,7,0)=1,$L612,""),0)+_xlfn.IFNA(IF(VLOOKUP($J612&amp;X$16,'Mapping A'!$A$6:$G$1011,7,0)=1,$L612,""),0)</f>
        <v>0</v>
      </c>
      <c r="Y612" s="15">
        <f>_xlfn.IFNA(IF(VLOOKUP($J612&amp;Y$14,'Mapping A'!$A$6:$G$1011,7,0)=1,$L612,""),0)+_xlfn.IFNA(IF(VLOOKUP($J612&amp;Y$16,'Mapping A'!$A$6:$G$1011,7,0)=1,$L612,""),0)</f>
        <v>0</v>
      </c>
      <c r="Z612" s="15">
        <f>_xlfn.IFNA(IF(VLOOKUP($J612&amp;Z$14,'Mapping A'!$A$6:$G$1011,7,0)=1,$L612,""),0)+_xlfn.IFNA(IF(VLOOKUP($J612&amp;Z$16,'Mapping A'!$A$6:$G$1011,7,0)=1,$L612,""),0)</f>
        <v>0</v>
      </c>
      <c r="AA612" s="15">
        <f>_xlfn.IFNA(IF(VLOOKUP($J612&amp;AA$14,'Mapping A'!$A$6:$G$1011,7,0)=1,$L612,""),0)+_xlfn.IFNA(IF(VLOOKUP($J612&amp;AA$16,'Mapping A'!$A$6:$G$1011,7,0)=1,$L612,""),0)</f>
        <v>0</v>
      </c>
      <c r="AF612" s="155" t="str">
        <f t="shared" si="212"/>
        <v>MTI2201 MTI0MRP</v>
      </c>
      <c r="AG612" s="15" t="s">
        <v>267</v>
      </c>
      <c r="AH612" s="15" t="s">
        <v>17</v>
      </c>
      <c r="AI612" s="15">
        <v>742.00809885956699</v>
      </c>
      <c r="AJ612" s="292" t="s">
        <v>95</v>
      </c>
      <c r="AK612" s="15"/>
      <c r="AL612" s="15">
        <f t="shared" si="206"/>
        <v>0</v>
      </c>
      <c r="AM612" s="15">
        <f t="shared" ca="1" si="207"/>
        <v>0</v>
      </c>
      <c r="AN612" s="15">
        <f t="shared" ca="1" si="208"/>
        <v>0</v>
      </c>
      <c r="AO612" s="15">
        <f t="shared" si="209"/>
        <v>0</v>
      </c>
      <c r="AP612" s="15">
        <f t="shared" si="210"/>
        <v>0</v>
      </c>
      <c r="AQ612" s="15">
        <f t="shared" si="211"/>
        <v>0</v>
      </c>
      <c r="AR612" s="190">
        <f t="shared" si="199"/>
        <v>0</v>
      </c>
      <c r="AS612" s="190">
        <f t="shared" ca="1" si="200"/>
        <v>0</v>
      </c>
      <c r="AT612" s="190">
        <f t="shared" si="201"/>
        <v>0</v>
      </c>
      <c r="AU612" s="190">
        <f t="shared" si="202"/>
        <v>0</v>
      </c>
      <c r="AV612" s="190">
        <f t="shared" si="203"/>
        <v>0</v>
      </c>
      <c r="AW612" s="190">
        <f t="shared" si="204"/>
        <v>0</v>
      </c>
      <c r="AX612" s="190">
        <f t="shared" si="205"/>
        <v>0</v>
      </c>
      <c r="AZ612" s="15"/>
      <c r="BP612" s="190"/>
    </row>
    <row r="613" spans="2:68" x14ac:dyDescent="0.25">
      <c r="B613" s="98" t="s">
        <v>553</v>
      </c>
      <c r="C613" s="98">
        <v>2014</v>
      </c>
      <c r="D613" s="98" t="s">
        <v>152</v>
      </c>
      <c r="E613" s="98" t="s">
        <v>14</v>
      </c>
      <c r="F613" s="98" t="s">
        <v>136</v>
      </c>
      <c r="G613" s="248">
        <v>0</v>
      </c>
      <c r="H613" s="299" t="str">
        <f>VLOOKUP(LEFT('Rev Adequacy'!D613,3),'Mapping B'!$D$2:$E$400,2,0)</f>
        <v>S</v>
      </c>
      <c r="J613" s="15" t="s">
        <v>273</v>
      </c>
      <c r="K613" s="15" t="s">
        <v>18</v>
      </c>
      <c r="L613" s="15">
        <v>1082.29972885241</v>
      </c>
      <c r="M613" s="15"/>
      <c r="N613" s="15"/>
      <c r="O613" s="15">
        <f>_xlfn.IFNA(IF(VLOOKUP($J613&amp;O$14,'Mapping A'!$A$6:$G$1011,7,0)=1,$L613,""),0)+_xlfn.IFNA(IF(VLOOKUP($J613&amp;O$16,'Mapping A'!$A$6:$G$1011,7,0)=1,$L613,""),0)</f>
        <v>0</v>
      </c>
      <c r="P613" s="15">
        <f>_xlfn.IFNA(IF(VLOOKUP($J613&amp;P$14,'Mapping A'!$A$6:$G$1011,7,0)=1,$L613,""),0)+_xlfn.IFNA(IF(VLOOKUP($J613&amp;P$16,'Mapping A'!$A$6:$G$1011,7,0)=1,$L613,""),0)</f>
        <v>0</v>
      </c>
      <c r="Q613" s="15">
        <f>_xlfn.IFNA(IF(VLOOKUP($J613&amp;Q$14,'Mapping A'!$A$6:$G$1011,7,0)=1,$L613,""),0)+_xlfn.IFNA(IF(VLOOKUP($J613&amp;Q$16,'Mapping A'!$A$6:$G$1011,7,0)=1,$L613,""),0)</f>
        <v>0</v>
      </c>
      <c r="R613" s="15">
        <f>_xlfn.IFNA(IF(VLOOKUP($J613&amp;R$14,'Mapping A'!$A$6:$G$1011,7,0)=1,$L613,""),0)+_xlfn.IFNA(IF(VLOOKUP($J613&amp;R$16,'Mapping A'!$A$6:$G$1011,7,0)=1,$L613,""),0)</f>
        <v>0</v>
      </c>
      <c r="S613" s="15">
        <f>_xlfn.IFNA(IF(VLOOKUP($J613&amp;S$14,'Mapping A'!$A$6:$G$1011,7,0)=1,$L613,""),0)+_xlfn.IFNA(IF(VLOOKUP($J613&amp;S$16,'Mapping A'!$A$6:$G$1011,7,0)=1,$L613,""),0)</f>
        <v>0</v>
      </c>
      <c r="T613" s="15">
        <f>_xlfn.IFNA(IF(VLOOKUP($J613&amp;T$14,'Mapping A'!$A$6:$G$1011,7,0)=1,$L613,""),0)+_xlfn.IFNA(IF(VLOOKUP($J613&amp;T$16,'Mapping A'!$A$6:$G$1011,7,0)=1,$L613,""),0)</f>
        <v>0</v>
      </c>
      <c r="U613" s="15">
        <f>_xlfn.IFNA(IF(VLOOKUP($J613&amp;U$14,'Mapping A'!$A$6:$G$1011,7,0)=1,$L613,""),0)+_xlfn.IFNA(IF(VLOOKUP($J613&amp;U$16,'Mapping A'!$A$6:$G$1011,7,0)=1,$L613,""),0)</f>
        <v>0</v>
      </c>
      <c r="V613" s="15">
        <f>_xlfn.IFNA(IF(VLOOKUP($J613&amp;V$14,'Mapping A'!$A$6:$G$1011,7,0)=1,$L613,""),0)+_xlfn.IFNA(IF(VLOOKUP($J613&amp;V$16,'Mapping A'!$A$6:$G$1011,7,0)=1,$L613,""),0)</f>
        <v>0</v>
      </c>
      <c r="W613" s="15">
        <f>_xlfn.IFNA(IF(VLOOKUP($J613&amp;W$14,'Mapping A'!$A$6:$G$1011,7,0)=1,$L613,""),0)+_xlfn.IFNA(IF(VLOOKUP($J613&amp;W$16,'Mapping A'!$A$6:$G$1011,7,0)=1,$L613,""),0)</f>
        <v>0</v>
      </c>
      <c r="X613" s="15">
        <f>_xlfn.IFNA(IF(VLOOKUP($J613&amp;X$14,'Mapping A'!$A$6:$G$1011,7,0)=1,$L613,""),0)+_xlfn.IFNA(IF(VLOOKUP($J613&amp;X$16,'Mapping A'!$A$6:$G$1011,7,0)=1,$L613,""),0)</f>
        <v>0</v>
      </c>
      <c r="Y613" s="15">
        <f>_xlfn.IFNA(IF(VLOOKUP($J613&amp;Y$14,'Mapping A'!$A$6:$G$1011,7,0)=1,$L613,""),0)+_xlfn.IFNA(IF(VLOOKUP($J613&amp;Y$16,'Mapping A'!$A$6:$G$1011,7,0)=1,$L613,""),0)</f>
        <v>0</v>
      </c>
      <c r="Z613" s="15">
        <f>_xlfn.IFNA(IF(VLOOKUP($J613&amp;Z$14,'Mapping A'!$A$6:$G$1011,7,0)=1,$L613,""),0)+_xlfn.IFNA(IF(VLOOKUP($J613&amp;Z$16,'Mapping A'!$A$6:$G$1011,7,0)=1,$L613,""),0)</f>
        <v>0</v>
      </c>
      <c r="AA613" s="15">
        <f>_xlfn.IFNA(IF(VLOOKUP($J613&amp;AA$14,'Mapping A'!$A$6:$G$1011,7,0)=1,$L613,""),0)+_xlfn.IFNA(IF(VLOOKUP($J613&amp;AA$16,'Mapping A'!$A$6:$G$1011,7,0)=1,$L613,""),0)</f>
        <v>0</v>
      </c>
      <c r="AF613" s="155" t="str">
        <f t="shared" si="212"/>
        <v>NAP2201 NAP0NAP JV</v>
      </c>
      <c r="AG613" s="15" t="s">
        <v>273</v>
      </c>
      <c r="AH613" s="15" t="s">
        <v>18</v>
      </c>
      <c r="AI613" s="15">
        <v>1082.29972885241</v>
      </c>
      <c r="AJ613" s="292" t="s">
        <v>95</v>
      </c>
      <c r="AK613" s="15"/>
      <c r="AL613" s="15">
        <f t="shared" si="206"/>
        <v>0</v>
      </c>
      <c r="AM613" s="15">
        <f t="shared" ca="1" si="207"/>
        <v>0</v>
      </c>
      <c r="AN613" s="15">
        <f t="shared" ca="1" si="208"/>
        <v>0</v>
      </c>
      <c r="AO613" s="15">
        <f t="shared" si="209"/>
        <v>0</v>
      </c>
      <c r="AP613" s="15">
        <f t="shared" si="210"/>
        <v>0</v>
      </c>
      <c r="AQ613" s="15">
        <f t="shared" si="211"/>
        <v>0</v>
      </c>
      <c r="AR613" s="190">
        <f t="shared" si="199"/>
        <v>0</v>
      </c>
      <c r="AS613" s="190">
        <f t="shared" ca="1" si="200"/>
        <v>0</v>
      </c>
      <c r="AT613" s="190">
        <f t="shared" si="201"/>
        <v>0</v>
      </c>
      <c r="AU613" s="190">
        <f t="shared" si="202"/>
        <v>0</v>
      </c>
      <c r="AV613" s="190">
        <f t="shared" si="203"/>
        <v>0</v>
      </c>
      <c r="AW613" s="190">
        <f t="shared" si="204"/>
        <v>0</v>
      </c>
      <c r="AX613" s="190">
        <f t="shared" si="205"/>
        <v>0</v>
      </c>
      <c r="AZ613" s="15"/>
      <c r="BP613" s="190"/>
    </row>
    <row r="614" spans="2:68" x14ac:dyDescent="0.25">
      <c r="B614" s="98" t="s">
        <v>553</v>
      </c>
      <c r="C614" s="98">
        <v>2014</v>
      </c>
      <c r="D614" s="98" t="s">
        <v>217</v>
      </c>
      <c r="E614" s="98" t="s">
        <v>14</v>
      </c>
      <c r="F614" s="98" t="s">
        <v>131</v>
      </c>
      <c r="G614" s="248">
        <v>77.426000000000002</v>
      </c>
      <c r="H614" s="299" t="str">
        <f>VLOOKUP(LEFT('Rev Adequacy'!D614,3),'Mapping B'!$D$2:$E$400,2,0)</f>
        <v>N</v>
      </c>
      <c r="J614" s="15" t="s">
        <v>275</v>
      </c>
      <c r="K614" s="15" t="s">
        <v>21</v>
      </c>
      <c r="L614" s="15">
        <v>628.96513909769203</v>
      </c>
      <c r="M614" s="15"/>
      <c r="N614" s="15"/>
      <c r="O614" s="15">
        <f>_xlfn.IFNA(IF(VLOOKUP($J614&amp;O$14,'Mapping A'!$A$6:$G$1011,7,0)=1,$L614,""),0)+_xlfn.IFNA(IF(VLOOKUP($J614&amp;O$16,'Mapping A'!$A$6:$G$1011,7,0)=1,$L614,""),0)</f>
        <v>0</v>
      </c>
      <c r="P614" s="15">
        <f>_xlfn.IFNA(IF(VLOOKUP($J614&amp;P$14,'Mapping A'!$A$6:$G$1011,7,0)=1,$L614,""),0)+_xlfn.IFNA(IF(VLOOKUP($J614&amp;P$16,'Mapping A'!$A$6:$G$1011,7,0)=1,$L614,""),0)</f>
        <v>0</v>
      </c>
      <c r="Q614" s="15">
        <f>_xlfn.IFNA(IF(VLOOKUP($J614&amp;Q$14,'Mapping A'!$A$6:$G$1011,7,0)=1,$L614,""),0)+_xlfn.IFNA(IF(VLOOKUP($J614&amp;Q$16,'Mapping A'!$A$6:$G$1011,7,0)=1,$L614,""),0)</f>
        <v>0</v>
      </c>
      <c r="R614" s="15">
        <f>_xlfn.IFNA(IF(VLOOKUP($J614&amp;R$14,'Mapping A'!$A$6:$G$1011,7,0)=1,$L614,""),0)+_xlfn.IFNA(IF(VLOOKUP($J614&amp;R$16,'Mapping A'!$A$6:$G$1011,7,0)=1,$L614,""),0)</f>
        <v>0</v>
      </c>
      <c r="S614" s="15">
        <f>_xlfn.IFNA(IF(VLOOKUP($J614&amp;S$14,'Mapping A'!$A$6:$G$1011,7,0)=1,$L614,""),0)+_xlfn.IFNA(IF(VLOOKUP($J614&amp;S$16,'Mapping A'!$A$6:$G$1011,7,0)=1,$L614,""),0)</f>
        <v>0</v>
      </c>
      <c r="T614" s="15">
        <f>_xlfn.IFNA(IF(VLOOKUP($J614&amp;T$14,'Mapping A'!$A$6:$G$1011,7,0)=1,$L614,""),0)+_xlfn.IFNA(IF(VLOOKUP($J614&amp;T$16,'Mapping A'!$A$6:$G$1011,7,0)=1,$L614,""),0)</f>
        <v>0</v>
      </c>
      <c r="U614" s="15">
        <f>_xlfn.IFNA(IF(VLOOKUP($J614&amp;U$14,'Mapping A'!$A$6:$G$1011,7,0)=1,$L614,""),0)+_xlfn.IFNA(IF(VLOOKUP($J614&amp;U$16,'Mapping A'!$A$6:$G$1011,7,0)=1,$L614,""),0)</f>
        <v>0</v>
      </c>
      <c r="V614" s="15">
        <f>_xlfn.IFNA(IF(VLOOKUP($J614&amp;V$14,'Mapping A'!$A$6:$G$1011,7,0)=1,$L614,""),0)+_xlfn.IFNA(IF(VLOOKUP($J614&amp;V$16,'Mapping A'!$A$6:$G$1011,7,0)=1,$L614,""),0)</f>
        <v>0</v>
      </c>
      <c r="W614" s="15">
        <f>_xlfn.IFNA(IF(VLOOKUP($J614&amp;W$14,'Mapping A'!$A$6:$G$1011,7,0)=1,$L614,""),0)+_xlfn.IFNA(IF(VLOOKUP($J614&amp;W$16,'Mapping A'!$A$6:$G$1011,7,0)=1,$L614,""),0)</f>
        <v>0</v>
      </c>
      <c r="X614" s="15">
        <f>_xlfn.IFNA(IF(VLOOKUP($J614&amp;X$14,'Mapping A'!$A$6:$G$1011,7,0)=1,$L614,""),0)+_xlfn.IFNA(IF(VLOOKUP($J614&amp;X$16,'Mapping A'!$A$6:$G$1011,7,0)=1,$L614,""),0)</f>
        <v>0</v>
      </c>
      <c r="Y614" s="15">
        <f>_xlfn.IFNA(IF(VLOOKUP($J614&amp;Y$14,'Mapping A'!$A$6:$G$1011,7,0)=1,$L614,""),0)+_xlfn.IFNA(IF(VLOOKUP($J614&amp;Y$16,'Mapping A'!$A$6:$G$1011,7,0)=1,$L614,""),0)</f>
        <v>0</v>
      </c>
      <c r="Z614" s="15">
        <f>_xlfn.IFNA(IF(VLOOKUP($J614&amp;Z$14,'Mapping A'!$A$6:$G$1011,7,0)=1,$L614,""),0)+_xlfn.IFNA(IF(VLOOKUP($J614&amp;Z$16,'Mapping A'!$A$6:$G$1011,7,0)=1,$L614,""),0)</f>
        <v>0</v>
      </c>
      <c r="AA614" s="15">
        <f>_xlfn.IFNA(IF(VLOOKUP($J614&amp;AA$14,'Mapping A'!$A$6:$G$1011,7,0)=1,$L614,""),0)+_xlfn.IFNA(IF(VLOOKUP($J614&amp;AA$16,'Mapping A'!$A$6:$G$1011,7,0)=1,$L614,""),0)</f>
        <v>0</v>
      </c>
      <c r="AF614" s="155" t="str">
        <f t="shared" si="212"/>
        <v>NAP2202 NTM0Ngatamariki</v>
      </c>
      <c r="AG614" s="15" t="s">
        <v>275</v>
      </c>
      <c r="AH614" s="15" t="s">
        <v>21</v>
      </c>
      <c r="AI614" s="15">
        <v>628.96513909769203</v>
      </c>
      <c r="AJ614" s="292" t="s">
        <v>95</v>
      </c>
      <c r="AK614" s="15"/>
      <c r="AL614" s="15">
        <f t="shared" si="206"/>
        <v>0</v>
      </c>
      <c r="AM614" s="15">
        <f t="shared" ca="1" si="207"/>
        <v>0</v>
      </c>
      <c r="AN614" s="15">
        <f t="shared" ca="1" si="208"/>
        <v>0</v>
      </c>
      <c r="AO614" s="15">
        <f t="shared" si="209"/>
        <v>0</v>
      </c>
      <c r="AP614" s="15">
        <f t="shared" si="210"/>
        <v>0</v>
      </c>
      <c r="AQ614" s="15">
        <f t="shared" si="211"/>
        <v>0</v>
      </c>
      <c r="AR614" s="190">
        <f t="shared" si="199"/>
        <v>0</v>
      </c>
      <c r="AS614" s="190">
        <f t="shared" ca="1" si="200"/>
        <v>0</v>
      </c>
      <c r="AT614" s="190">
        <f t="shared" si="201"/>
        <v>0</v>
      </c>
      <c r="AU614" s="190">
        <f t="shared" si="202"/>
        <v>0</v>
      </c>
      <c r="AV614" s="190">
        <f t="shared" si="203"/>
        <v>0</v>
      </c>
      <c r="AW614" s="190">
        <f t="shared" si="204"/>
        <v>0</v>
      </c>
      <c r="AX614" s="190">
        <f t="shared" si="205"/>
        <v>0</v>
      </c>
      <c r="AZ614" s="15"/>
      <c r="BP614" s="190"/>
    </row>
    <row r="615" spans="2:68" x14ac:dyDescent="0.25">
      <c r="B615" s="98" t="s">
        <v>553</v>
      </c>
      <c r="C615" s="98">
        <v>2014</v>
      </c>
      <c r="D615" s="98" t="s">
        <v>248</v>
      </c>
      <c r="E615" s="98" t="s">
        <v>14</v>
      </c>
      <c r="F615" s="98" t="s">
        <v>136</v>
      </c>
      <c r="G615" s="248">
        <v>0</v>
      </c>
      <c r="H615" s="299" t="str">
        <f>VLOOKUP(LEFT('Rev Adequacy'!D615,3),'Mapping B'!$D$2:$E$400,2,0)</f>
        <v>S</v>
      </c>
      <c r="J615" s="15" t="s">
        <v>281</v>
      </c>
      <c r="K615" s="15" t="s">
        <v>35</v>
      </c>
      <c r="L615" s="15">
        <v>70.451260542821103</v>
      </c>
      <c r="M615" s="15"/>
      <c r="N615" s="15"/>
      <c r="O615" s="15">
        <f>_xlfn.IFNA(IF(VLOOKUP($J615&amp;O$14,'Mapping A'!$A$6:$G$1011,7,0)=1,$L615,""),0)+_xlfn.IFNA(IF(VLOOKUP($J615&amp;O$16,'Mapping A'!$A$6:$G$1011,7,0)=1,$L615,""),0)</f>
        <v>0</v>
      </c>
      <c r="P615" s="15">
        <f>_xlfn.IFNA(IF(VLOOKUP($J615&amp;P$14,'Mapping A'!$A$6:$G$1011,7,0)=1,$L615,""),0)+_xlfn.IFNA(IF(VLOOKUP($J615&amp;P$16,'Mapping A'!$A$6:$G$1011,7,0)=1,$L615,""),0)</f>
        <v>70.451260542821103</v>
      </c>
      <c r="Q615" s="15">
        <f>_xlfn.IFNA(IF(VLOOKUP($J615&amp;Q$14,'Mapping A'!$A$6:$G$1011,7,0)=1,$L615,""),0)+_xlfn.IFNA(IF(VLOOKUP($J615&amp;Q$16,'Mapping A'!$A$6:$G$1011,7,0)=1,$L615,""),0)</f>
        <v>70.451260542821103</v>
      </c>
      <c r="R615" s="15">
        <f>_xlfn.IFNA(IF(VLOOKUP($J615&amp;R$14,'Mapping A'!$A$6:$G$1011,7,0)=1,$L615,""),0)+_xlfn.IFNA(IF(VLOOKUP($J615&amp;R$16,'Mapping A'!$A$6:$G$1011,7,0)=1,$L615,""),0)</f>
        <v>0</v>
      </c>
      <c r="S615" s="15">
        <f>_xlfn.IFNA(IF(VLOOKUP($J615&amp;S$14,'Mapping A'!$A$6:$G$1011,7,0)=1,$L615,""),0)+_xlfn.IFNA(IF(VLOOKUP($J615&amp;S$16,'Mapping A'!$A$6:$G$1011,7,0)=1,$L615,""),0)</f>
        <v>0</v>
      </c>
      <c r="T615" s="15">
        <f>_xlfn.IFNA(IF(VLOOKUP($J615&amp;T$14,'Mapping A'!$A$6:$G$1011,7,0)=1,$L615,""),0)+_xlfn.IFNA(IF(VLOOKUP($J615&amp;T$16,'Mapping A'!$A$6:$G$1011,7,0)=1,$L615,""),0)</f>
        <v>0</v>
      </c>
      <c r="U615" s="15">
        <f>_xlfn.IFNA(IF(VLOOKUP($J615&amp;U$14,'Mapping A'!$A$6:$G$1011,7,0)=1,$L615,""),0)+_xlfn.IFNA(IF(VLOOKUP($J615&amp;U$16,'Mapping A'!$A$6:$G$1011,7,0)=1,$L615,""),0)</f>
        <v>0</v>
      </c>
      <c r="V615" s="15">
        <f>_xlfn.IFNA(IF(VLOOKUP($J615&amp;V$14,'Mapping A'!$A$6:$G$1011,7,0)=1,$L615,""),0)+_xlfn.IFNA(IF(VLOOKUP($J615&amp;V$16,'Mapping A'!$A$6:$G$1011,7,0)=1,$L615,""),0)</f>
        <v>70.451260542821103</v>
      </c>
      <c r="W615" s="15">
        <f>_xlfn.IFNA(IF(VLOOKUP($J615&amp;W$14,'Mapping A'!$A$6:$G$1011,7,0)=1,$L615,""),0)+_xlfn.IFNA(IF(VLOOKUP($J615&amp;W$16,'Mapping A'!$A$6:$G$1011,7,0)=1,$L615,""),0)</f>
        <v>0</v>
      </c>
      <c r="X615" s="15">
        <f>_xlfn.IFNA(IF(VLOOKUP($J615&amp;X$14,'Mapping A'!$A$6:$G$1011,7,0)=1,$L615,""),0)+_xlfn.IFNA(IF(VLOOKUP($J615&amp;X$16,'Mapping A'!$A$6:$G$1011,7,0)=1,$L615,""),0)</f>
        <v>0</v>
      </c>
      <c r="Y615" s="15">
        <f>_xlfn.IFNA(IF(VLOOKUP($J615&amp;Y$14,'Mapping A'!$A$6:$G$1011,7,0)=1,$L615,""),0)+_xlfn.IFNA(IF(VLOOKUP($J615&amp;Y$16,'Mapping A'!$A$6:$G$1011,7,0)=1,$L615,""),0)</f>
        <v>0</v>
      </c>
      <c r="Z615" s="15">
        <f>_xlfn.IFNA(IF(VLOOKUP($J615&amp;Z$14,'Mapping A'!$A$6:$G$1011,7,0)=1,$L615,""),0)+_xlfn.IFNA(IF(VLOOKUP($J615&amp;Z$16,'Mapping A'!$A$6:$G$1011,7,0)=1,$L615,""),0)</f>
        <v>0</v>
      </c>
      <c r="AA615" s="15">
        <f>_xlfn.IFNA(IF(VLOOKUP($J615&amp;AA$14,'Mapping A'!$A$6:$G$1011,7,0)=1,$L615,""),0)+_xlfn.IFNA(IF(VLOOKUP($J615&amp;AA$16,'Mapping A'!$A$6:$G$1011,7,0)=1,$L615,""),0)</f>
        <v>0</v>
      </c>
      <c r="AF615" s="155" t="str">
        <f t="shared" si="212"/>
        <v>NSY0331 PAE0Trustpower</v>
      </c>
      <c r="AG615" s="15" t="s">
        <v>281</v>
      </c>
      <c r="AH615" s="15" t="s">
        <v>35</v>
      </c>
      <c r="AI615" s="15">
        <v>70.451260542821103</v>
      </c>
      <c r="AJ615" s="292" t="s">
        <v>96</v>
      </c>
      <c r="AK615" s="15"/>
      <c r="AL615" s="15">
        <f t="shared" si="206"/>
        <v>0</v>
      </c>
      <c r="AM615" s="15">
        <f t="shared" ca="1" si="207"/>
        <v>0</v>
      </c>
      <c r="AN615" s="15">
        <f t="shared" ca="1" si="208"/>
        <v>0</v>
      </c>
      <c r="AO615" s="15">
        <f t="shared" si="209"/>
        <v>0</v>
      </c>
      <c r="AP615" s="15">
        <f t="shared" si="210"/>
        <v>0</v>
      </c>
      <c r="AQ615" s="15">
        <f t="shared" si="211"/>
        <v>0</v>
      </c>
      <c r="AR615" s="190">
        <f t="shared" si="199"/>
        <v>0</v>
      </c>
      <c r="AS615" s="190">
        <f t="shared" ca="1" si="200"/>
        <v>1.0302983207544841E-2</v>
      </c>
      <c r="AT615" s="190">
        <f t="shared" si="201"/>
        <v>0</v>
      </c>
      <c r="AU615" s="190">
        <f t="shared" si="202"/>
        <v>0</v>
      </c>
      <c r="AV615" s="190">
        <f t="shared" si="203"/>
        <v>0</v>
      </c>
      <c r="AW615" s="190">
        <f t="shared" si="204"/>
        <v>0</v>
      </c>
      <c r="AX615" s="190">
        <f t="shared" si="205"/>
        <v>0</v>
      </c>
      <c r="AZ615" s="15"/>
      <c r="BP615" s="190"/>
    </row>
    <row r="616" spans="2:68" x14ac:dyDescent="0.25">
      <c r="B616" s="98" t="s">
        <v>553</v>
      </c>
      <c r="C616" s="98">
        <v>2014</v>
      </c>
      <c r="D616" s="98" t="s">
        <v>277</v>
      </c>
      <c r="E616" s="98" t="s">
        <v>14</v>
      </c>
      <c r="F616" s="98" t="s">
        <v>145</v>
      </c>
      <c r="G616" s="248">
        <v>0</v>
      </c>
      <c r="H616" s="299" t="str">
        <f>VLOOKUP(LEFT('Rev Adequacy'!D616,3),'Mapping B'!$D$2:$E$400,2,0)</f>
        <v>S</v>
      </c>
      <c r="J616" s="15" t="s">
        <v>283</v>
      </c>
      <c r="K616" s="15" t="s">
        <v>14</v>
      </c>
      <c r="L616" s="15">
        <v>1279.4146033782099</v>
      </c>
      <c r="M616" s="15"/>
      <c r="N616" s="15"/>
      <c r="O616" s="15">
        <f>_xlfn.IFNA(IF(VLOOKUP($J616&amp;O$14,'Mapping A'!$A$6:$G$1011,7,0)=1,$L616,""),0)+_xlfn.IFNA(IF(VLOOKUP($J616&amp;O$16,'Mapping A'!$A$6:$G$1011,7,0)=1,$L616,""),0)</f>
        <v>0</v>
      </c>
      <c r="P616" s="15">
        <f>_xlfn.IFNA(IF(VLOOKUP($J616&amp;P$14,'Mapping A'!$A$6:$G$1011,7,0)=1,$L616,""),0)+_xlfn.IFNA(IF(VLOOKUP($J616&amp;P$16,'Mapping A'!$A$6:$G$1011,7,0)=1,$L616,""),0)</f>
        <v>1279.4146033782099</v>
      </c>
      <c r="Q616" s="15">
        <f>_xlfn.IFNA(IF(VLOOKUP($J616&amp;Q$14,'Mapping A'!$A$6:$G$1011,7,0)=1,$L616,""),0)+_xlfn.IFNA(IF(VLOOKUP($J616&amp;Q$16,'Mapping A'!$A$6:$G$1011,7,0)=1,$L616,""),0)</f>
        <v>1279.4146033782099</v>
      </c>
      <c r="R616" s="15">
        <f>_xlfn.IFNA(IF(VLOOKUP($J616&amp;R$14,'Mapping A'!$A$6:$G$1011,7,0)=1,$L616,""),0)+_xlfn.IFNA(IF(VLOOKUP($J616&amp;R$16,'Mapping A'!$A$6:$G$1011,7,0)=1,$L616,""),0)</f>
        <v>0</v>
      </c>
      <c r="S616" s="15">
        <f>_xlfn.IFNA(IF(VLOOKUP($J616&amp;S$14,'Mapping A'!$A$6:$G$1011,7,0)=1,$L616,""),0)+_xlfn.IFNA(IF(VLOOKUP($J616&amp;S$16,'Mapping A'!$A$6:$G$1011,7,0)=1,$L616,""),0)</f>
        <v>0</v>
      </c>
      <c r="T616" s="15">
        <f>_xlfn.IFNA(IF(VLOOKUP($J616&amp;T$14,'Mapping A'!$A$6:$G$1011,7,0)=1,$L616,""),0)+_xlfn.IFNA(IF(VLOOKUP($J616&amp;T$16,'Mapping A'!$A$6:$G$1011,7,0)=1,$L616,""),0)</f>
        <v>0</v>
      </c>
      <c r="U616" s="15">
        <f>_xlfn.IFNA(IF(VLOOKUP($J616&amp;U$14,'Mapping A'!$A$6:$G$1011,7,0)=1,$L616,""),0)+_xlfn.IFNA(IF(VLOOKUP($J616&amp;U$16,'Mapping A'!$A$6:$G$1011,7,0)=1,$L616,""),0)</f>
        <v>0</v>
      </c>
      <c r="V616" s="15">
        <f>_xlfn.IFNA(IF(VLOOKUP($J616&amp;V$14,'Mapping A'!$A$6:$G$1011,7,0)=1,$L616,""),0)+_xlfn.IFNA(IF(VLOOKUP($J616&amp;V$16,'Mapping A'!$A$6:$G$1011,7,0)=1,$L616,""),0)</f>
        <v>1279.4146033782099</v>
      </c>
      <c r="W616" s="15">
        <f>_xlfn.IFNA(IF(VLOOKUP($J616&amp;W$14,'Mapping A'!$A$6:$G$1011,7,0)=1,$L616,""),0)+_xlfn.IFNA(IF(VLOOKUP($J616&amp;W$16,'Mapping A'!$A$6:$G$1011,7,0)=1,$L616,""),0)</f>
        <v>0</v>
      </c>
      <c r="X616" s="15">
        <f>_xlfn.IFNA(IF(VLOOKUP($J616&amp;X$14,'Mapping A'!$A$6:$G$1011,7,0)=1,$L616,""),0)+_xlfn.IFNA(IF(VLOOKUP($J616&amp;X$16,'Mapping A'!$A$6:$G$1011,7,0)=1,$L616,""),0)</f>
        <v>0</v>
      </c>
      <c r="Y616" s="15">
        <f>_xlfn.IFNA(IF(VLOOKUP($J616&amp;Y$14,'Mapping A'!$A$6:$G$1011,7,0)=1,$L616,""),0)+_xlfn.IFNA(IF(VLOOKUP($J616&amp;Y$16,'Mapping A'!$A$6:$G$1011,7,0)=1,$L616,""),0)</f>
        <v>0</v>
      </c>
      <c r="Z616" s="15">
        <f>_xlfn.IFNA(IF(VLOOKUP($J616&amp;Z$14,'Mapping A'!$A$6:$G$1011,7,0)=1,$L616,""),0)+_xlfn.IFNA(IF(VLOOKUP($J616&amp;Z$16,'Mapping A'!$A$6:$G$1011,7,0)=1,$L616,""),0)</f>
        <v>0</v>
      </c>
      <c r="AA616" s="15">
        <f>_xlfn.IFNA(IF(VLOOKUP($J616&amp;AA$14,'Mapping A'!$A$6:$G$1011,7,0)=1,$L616,""),0)+_xlfn.IFNA(IF(VLOOKUP($J616&amp;AA$16,'Mapping A'!$A$6:$G$1011,7,0)=1,$L616,""),0)</f>
        <v>0</v>
      </c>
      <c r="AF616" s="155" t="str">
        <f t="shared" si="212"/>
        <v>OHA2201 OHA0Meridian</v>
      </c>
      <c r="AG616" s="15" t="s">
        <v>283</v>
      </c>
      <c r="AH616" s="15" t="s">
        <v>14</v>
      </c>
      <c r="AI616" s="15">
        <v>1279.4146033782099</v>
      </c>
      <c r="AJ616" s="292" t="s">
        <v>96</v>
      </c>
      <c r="AK616" s="15"/>
      <c r="AL616" s="15">
        <f t="shared" si="206"/>
        <v>0</v>
      </c>
      <c r="AM616" s="15">
        <f t="shared" ca="1" si="207"/>
        <v>0</v>
      </c>
      <c r="AN616" s="15">
        <f t="shared" ca="1" si="208"/>
        <v>0</v>
      </c>
      <c r="AO616" s="15">
        <f t="shared" si="209"/>
        <v>0</v>
      </c>
      <c r="AP616" s="15">
        <f t="shared" si="210"/>
        <v>0</v>
      </c>
      <c r="AQ616" s="15">
        <f t="shared" si="211"/>
        <v>0</v>
      </c>
      <c r="AR616" s="190">
        <f t="shared" si="199"/>
        <v>0</v>
      </c>
      <c r="AS616" s="190">
        <f t="shared" ca="1" si="200"/>
        <v>0.18710505777368305</v>
      </c>
      <c r="AT616" s="190">
        <f t="shared" si="201"/>
        <v>0</v>
      </c>
      <c r="AU616" s="190">
        <f t="shared" si="202"/>
        <v>0</v>
      </c>
      <c r="AV616" s="190">
        <f t="shared" si="203"/>
        <v>0</v>
      </c>
      <c r="AW616" s="190">
        <f t="shared" si="204"/>
        <v>0</v>
      </c>
      <c r="AX616" s="190">
        <f t="shared" si="205"/>
        <v>0</v>
      </c>
      <c r="AZ616" s="15"/>
      <c r="BP616" s="190"/>
    </row>
    <row r="617" spans="2:68" x14ac:dyDescent="0.25">
      <c r="B617" s="98" t="s">
        <v>553</v>
      </c>
      <c r="C617" s="98">
        <v>2014</v>
      </c>
      <c r="D617" s="98" t="s">
        <v>283</v>
      </c>
      <c r="E617" s="98" t="s">
        <v>14</v>
      </c>
      <c r="F617" s="98" t="s">
        <v>136</v>
      </c>
      <c r="G617" s="248">
        <v>0</v>
      </c>
      <c r="H617" s="299" t="str">
        <f>VLOOKUP(LEFT('Rev Adequacy'!D617,3),'Mapping B'!$D$2:$E$400,2,0)</f>
        <v>S</v>
      </c>
      <c r="J617" s="15" t="s">
        <v>284</v>
      </c>
      <c r="K617" s="15" t="s">
        <v>14</v>
      </c>
      <c r="L617" s="15">
        <v>1064.4580606325501</v>
      </c>
      <c r="M617" s="15"/>
      <c r="N617" s="15"/>
      <c r="O617" s="15">
        <f>_xlfn.IFNA(IF(VLOOKUP($J617&amp;O$14,'Mapping A'!$A$6:$G$1011,7,0)=1,$L617,""),0)+_xlfn.IFNA(IF(VLOOKUP($J617&amp;O$16,'Mapping A'!$A$6:$G$1011,7,0)=1,$L617,""),0)</f>
        <v>0</v>
      </c>
      <c r="P617" s="15">
        <f>_xlfn.IFNA(IF(VLOOKUP($J617&amp;P$14,'Mapping A'!$A$6:$G$1011,7,0)=1,$L617,""),0)+_xlfn.IFNA(IF(VLOOKUP($J617&amp;P$16,'Mapping A'!$A$6:$G$1011,7,0)=1,$L617,""),0)</f>
        <v>1064.4580606325501</v>
      </c>
      <c r="Q617" s="15">
        <f>_xlfn.IFNA(IF(VLOOKUP($J617&amp;Q$14,'Mapping A'!$A$6:$G$1011,7,0)=1,$L617,""),0)+_xlfn.IFNA(IF(VLOOKUP($J617&amp;Q$16,'Mapping A'!$A$6:$G$1011,7,0)=1,$L617,""),0)</f>
        <v>1064.4580606325501</v>
      </c>
      <c r="R617" s="15">
        <f>_xlfn.IFNA(IF(VLOOKUP($J617&amp;R$14,'Mapping A'!$A$6:$G$1011,7,0)=1,$L617,""),0)+_xlfn.IFNA(IF(VLOOKUP($J617&amp;R$16,'Mapping A'!$A$6:$G$1011,7,0)=1,$L617,""),0)</f>
        <v>0</v>
      </c>
      <c r="S617" s="15">
        <f>_xlfn.IFNA(IF(VLOOKUP($J617&amp;S$14,'Mapping A'!$A$6:$G$1011,7,0)=1,$L617,""),0)+_xlfn.IFNA(IF(VLOOKUP($J617&amp;S$16,'Mapping A'!$A$6:$G$1011,7,0)=1,$L617,""),0)</f>
        <v>0</v>
      </c>
      <c r="T617" s="15">
        <f>_xlfn.IFNA(IF(VLOOKUP($J617&amp;T$14,'Mapping A'!$A$6:$G$1011,7,0)=1,$L617,""),0)+_xlfn.IFNA(IF(VLOOKUP($J617&amp;T$16,'Mapping A'!$A$6:$G$1011,7,0)=1,$L617,""),0)</f>
        <v>0</v>
      </c>
      <c r="U617" s="15">
        <f>_xlfn.IFNA(IF(VLOOKUP($J617&amp;U$14,'Mapping A'!$A$6:$G$1011,7,0)=1,$L617,""),0)+_xlfn.IFNA(IF(VLOOKUP($J617&amp;U$16,'Mapping A'!$A$6:$G$1011,7,0)=1,$L617,""),0)</f>
        <v>0</v>
      </c>
      <c r="V617" s="15">
        <f>_xlfn.IFNA(IF(VLOOKUP($J617&amp;V$14,'Mapping A'!$A$6:$G$1011,7,0)=1,$L617,""),0)+_xlfn.IFNA(IF(VLOOKUP($J617&amp;V$16,'Mapping A'!$A$6:$G$1011,7,0)=1,$L617,""),0)</f>
        <v>1064.4580606325501</v>
      </c>
      <c r="W617" s="15">
        <f>_xlfn.IFNA(IF(VLOOKUP($J617&amp;W$14,'Mapping A'!$A$6:$G$1011,7,0)=1,$L617,""),0)+_xlfn.IFNA(IF(VLOOKUP($J617&amp;W$16,'Mapping A'!$A$6:$G$1011,7,0)=1,$L617,""),0)</f>
        <v>0</v>
      </c>
      <c r="X617" s="15">
        <f>_xlfn.IFNA(IF(VLOOKUP($J617&amp;X$14,'Mapping A'!$A$6:$G$1011,7,0)=1,$L617,""),0)+_xlfn.IFNA(IF(VLOOKUP($J617&amp;X$16,'Mapping A'!$A$6:$G$1011,7,0)=1,$L617,""),0)</f>
        <v>0</v>
      </c>
      <c r="Y617" s="15">
        <f>_xlfn.IFNA(IF(VLOOKUP($J617&amp;Y$14,'Mapping A'!$A$6:$G$1011,7,0)=1,$L617,""),0)+_xlfn.IFNA(IF(VLOOKUP($J617&amp;Y$16,'Mapping A'!$A$6:$G$1011,7,0)=1,$L617,""),0)</f>
        <v>0</v>
      </c>
      <c r="Z617" s="15">
        <f>_xlfn.IFNA(IF(VLOOKUP($J617&amp;Z$14,'Mapping A'!$A$6:$G$1011,7,0)=1,$L617,""),0)+_xlfn.IFNA(IF(VLOOKUP($J617&amp;Z$16,'Mapping A'!$A$6:$G$1011,7,0)=1,$L617,""),0)</f>
        <v>0</v>
      </c>
      <c r="AA617" s="15">
        <f>_xlfn.IFNA(IF(VLOOKUP($J617&amp;AA$14,'Mapping A'!$A$6:$G$1011,7,0)=1,$L617,""),0)+_xlfn.IFNA(IF(VLOOKUP($J617&amp;AA$16,'Mapping A'!$A$6:$G$1011,7,0)=1,$L617,""),0)</f>
        <v>0</v>
      </c>
      <c r="AF617" s="155" t="str">
        <f t="shared" si="212"/>
        <v>OHB2201 OHB0Meridian</v>
      </c>
      <c r="AG617" s="15" t="s">
        <v>284</v>
      </c>
      <c r="AH617" s="15" t="s">
        <v>14</v>
      </c>
      <c r="AI617" s="15">
        <v>1064.4580606325501</v>
      </c>
      <c r="AJ617" s="292" t="s">
        <v>96</v>
      </c>
      <c r="AK617" s="15"/>
      <c r="AL617" s="15">
        <f t="shared" si="206"/>
        <v>0</v>
      </c>
      <c r="AM617" s="15">
        <f t="shared" ca="1" si="207"/>
        <v>0</v>
      </c>
      <c r="AN617" s="15">
        <f t="shared" ca="1" si="208"/>
        <v>0</v>
      </c>
      <c r="AO617" s="15">
        <f t="shared" si="209"/>
        <v>0</v>
      </c>
      <c r="AP617" s="15">
        <f t="shared" si="210"/>
        <v>0</v>
      </c>
      <c r="AQ617" s="15">
        <f t="shared" si="211"/>
        <v>0</v>
      </c>
      <c r="AR617" s="190">
        <f t="shared" si="199"/>
        <v>0</v>
      </c>
      <c r="AS617" s="190">
        <f t="shared" ca="1" si="200"/>
        <v>0.1556692306047098</v>
      </c>
      <c r="AT617" s="190">
        <f t="shared" si="201"/>
        <v>0</v>
      </c>
      <c r="AU617" s="190">
        <f t="shared" si="202"/>
        <v>0</v>
      </c>
      <c r="AV617" s="190">
        <f t="shared" si="203"/>
        <v>0</v>
      </c>
      <c r="AW617" s="190">
        <f t="shared" si="204"/>
        <v>0</v>
      </c>
      <c r="AX617" s="190">
        <f t="shared" si="205"/>
        <v>0</v>
      </c>
      <c r="AZ617" s="15"/>
      <c r="BP617" s="190"/>
    </row>
    <row r="618" spans="2:68" x14ac:dyDescent="0.25">
      <c r="B618" s="98" t="s">
        <v>553</v>
      </c>
      <c r="C618" s="98">
        <v>2014</v>
      </c>
      <c r="D618" s="98" t="s">
        <v>284</v>
      </c>
      <c r="E618" s="98" t="s">
        <v>14</v>
      </c>
      <c r="F618" s="98" t="s">
        <v>136</v>
      </c>
      <c r="G618" s="248">
        <v>0</v>
      </c>
      <c r="H618" s="299" t="str">
        <f>VLOOKUP(LEFT('Rev Adequacy'!D618,3),'Mapping B'!$D$2:$E$400,2,0)</f>
        <v>S</v>
      </c>
      <c r="J618" s="15" t="s">
        <v>285</v>
      </c>
      <c r="K618" s="15" t="s">
        <v>14</v>
      </c>
      <c r="L618" s="15">
        <v>1057.17820277952</v>
      </c>
      <c r="M618" s="15"/>
      <c r="N618" s="15"/>
      <c r="O618" s="15">
        <f>_xlfn.IFNA(IF(VLOOKUP($J618&amp;O$14,'Mapping A'!$A$6:$G$1011,7,0)=1,$L618,""),0)+_xlfn.IFNA(IF(VLOOKUP($J618&amp;O$16,'Mapping A'!$A$6:$G$1011,7,0)=1,$L618,""),0)</f>
        <v>0</v>
      </c>
      <c r="P618" s="15">
        <f>_xlfn.IFNA(IF(VLOOKUP($J618&amp;P$14,'Mapping A'!$A$6:$G$1011,7,0)=1,$L618,""),0)+_xlfn.IFNA(IF(VLOOKUP($J618&amp;P$16,'Mapping A'!$A$6:$G$1011,7,0)=1,$L618,""),0)</f>
        <v>1057.17820277952</v>
      </c>
      <c r="Q618" s="15">
        <f>_xlfn.IFNA(IF(VLOOKUP($J618&amp;Q$14,'Mapping A'!$A$6:$G$1011,7,0)=1,$L618,""),0)+_xlfn.IFNA(IF(VLOOKUP($J618&amp;Q$16,'Mapping A'!$A$6:$G$1011,7,0)=1,$L618,""),0)</f>
        <v>1057.17820277952</v>
      </c>
      <c r="R618" s="15">
        <f>_xlfn.IFNA(IF(VLOOKUP($J618&amp;R$14,'Mapping A'!$A$6:$G$1011,7,0)=1,$L618,""),0)+_xlfn.IFNA(IF(VLOOKUP($J618&amp;R$16,'Mapping A'!$A$6:$G$1011,7,0)=1,$L618,""),0)</f>
        <v>0</v>
      </c>
      <c r="S618" s="15">
        <f>_xlfn.IFNA(IF(VLOOKUP($J618&amp;S$14,'Mapping A'!$A$6:$G$1011,7,0)=1,$L618,""),0)+_xlfn.IFNA(IF(VLOOKUP($J618&amp;S$16,'Mapping A'!$A$6:$G$1011,7,0)=1,$L618,""),0)</f>
        <v>0</v>
      </c>
      <c r="T618" s="15">
        <f>_xlfn.IFNA(IF(VLOOKUP($J618&amp;T$14,'Mapping A'!$A$6:$G$1011,7,0)=1,$L618,""),0)+_xlfn.IFNA(IF(VLOOKUP($J618&amp;T$16,'Mapping A'!$A$6:$G$1011,7,0)=1,$L618,""),0)</f>
        <v>0</v>
      </c>
      <c r="U618" s="15">
        <f>_xlfn.IFNA(IF(VLOOKUP($J618&amp;U$14,'Mapping A'!$A$6:$G$1011,7,0)=1,$L618,""),0)+_xlfn.IFNA(IF(VLOOKUP($J618&amp;U$16,'Mapping A'!$A$6:$G$1011,7,0)=1,$L618,""),0)</f>
        <v>0</v>
      </c>
      <c r="V618" s="15">
        <f>_xlfn.IFNA(IF(VLOOKUP($J618&amp;V$14,'Mapping A'!$A$6:$G$1011,7,0)=1,$L618,""),0)+_xlfn.IFNA(IF(VLOOKUP($J618&amp;V$16,'Mapping A'!$A$6:$G$1011,7,0)=1,$L618,""),0)</f>
        <v>1057.17820277952</v>
      </c>
      <c r="W618" s="15">
        <f>_xlfn.IFNA(IF(VLOOKUP($J618&amp;W$14,'Mapping A'!$A$6:$G$1011,7,0)=1,$L618,""),0)+_xlfn.IFNA(IF(VLOOKUP($J618&amp;W$16,'Mapping A'!$A$6:$G$1011,7,0)=1,$L618,""),0)</f>
        <v>0</v>
      </c>
      <c r="X618" s="15">
        <f>_xlfn.IFNA(IF(VLOOKUP($J618&amp;X$14,'Mapping A'!$A$6:$G$1011,7,0)=1,$L618,""),0)+_xlfn.IFNA(IF(VLOOKUP($J618&amp;X$16,'Mapping A'!$A$6:$G$1011,7,0)=1,$L618,""),0)</f>
        <v>0</v>
      </c>
      <c r="Y618" s="15">
        <f>_xlfn.IFNA(IF(VLOOKUP($J618&amp;Y$14,'Mapping A'!$A$6:$G$1011,7,0)=1,$L618,""),0)+_xlfn.IFNA(IF(VLOOKUP($J618&amp;Y$16,'Mapping A'!$A$6:$G$1011,7,0)=1,$L618,""),0)</f>
        <v>0</v>
      </c>
      <c r="Z618" s="15">
        <f>_xlfn.IFNA(IF(VLOOKUP($J618&amp;Z$14,'Mapping A'!$A$6:$G$1011,7,0)=1,$L618,""),0)+_xlfn.IFNA(IF(VLOOKUP($J618&amp;Z$16,'Mapping A'!$A$6:$G$1011,7,0)=1,$L618,""),0)</f>
        <v>0</v>
      </c>
      <c r="AA618" s="15">
        <f>_xlfn.IFNA(IF(VLOOKUP($J618&amp;AA$14,'Mapping A'!$A$6:$G$1011,7,0)=1,$L618,""),0)+_xlfn.IFNA(IF(VLOOKUP($J618&amp;AA$16,'Mapping A'!$A$6:$G$1011,7,0)=1,$L618,""),0)</f>
        <v>0</v>
      </c>
      <c r="AF618" s="155" t="str">
        <f t="shared" si="212"/>
        <v>OHC2201 OHC0Meridian</v>
      </c>
      <c r="AG618" s="15" t="s">
        <v>285</v>
      </c>
      <c r="AH618" s="15" t="s">
        <v>14</v>
      </c>
      <c r="AI618" s="15">
        <v>1057.17820277952</v>
      </c>
      <c r="AJ618" s="292" t="s">
        <v>96</v>
      </c>
      <c r="AK618" s="15"/>
      <c r="AL618" s="15">
        <f t="shared" si="206"/>
        <v>0</v>
      </c>
      <c r="AM618" s="15">
        <f t="shared" ca="1" si="207"/>
        <v>0</v>
      </c>
      <c r="AN618" s="15">
        <f t="shared" ca="1" si="208"/>
        <v>0</v>
      </c>
      <c r="AO618" s="15">
        <f t="shared" si="209"/>
        <v>0</v>
      </c>
      <c r="AP618" s="15">
        <f t="shared" si="210"/>
        <v>0</v>
      </c>
      <c r="AQ618" s="15">
        <f t="shared" si="211"/>
        <v>0</v>
      </c>
      <c r="AR618" s="190">
        <f t="shared" si="199"/>
        <v>0</v>
      </c>
      <c r="AS618" s="190">
        <f t="shared" ca="1" si="200"/>
        <v>0.15460460446977367</v>
      </c>
      <c r="AT618" s="190">
        <f t="shared" si="201"/>
        <v>0</v>
      </c>
      <c r="AU618" s="190">
        <f t="shared" si="202"/>
        <v>0</v>
      </c>
      <c r="AV618" s="190">
        <f t="shared" si="203"/>
        <v>0</v>
      </c>
      <c r="AW618" s="190">
        <f t="shared" si="204"/>
        <v>0</v>
      </c>
      <c r="AX618" s="190">
        <f t="shared" si="205"/>
        <v>0</v>
      </c>
      <c r="AZ618" s="15"/>
      <c r="BP618" s="190"/>
    </row>
    <row r="619" spans="2:68" x14ac:dyDescent="0.25">
      <c r="B619" s="98" t="s">
        <v>553</v>
      </c>
      <c r="C619" s="98">
        <v>2014</v>
      </c>
      <c r="D619" s="98" t="s">
        <v>285</v>
      </c>
      <c r="E619" s="98" t="s">
        <v>14</v>
      </c>
      <c r="F619" s="98" t="s">
        <v>136</v>
      </c>
      <c r="G619" s="248">
        <v>0</v>
      </c>
      <c r="H619" s="299" t="str">
        <f>VLOOKUP(LEFT('Rev Adequacy'!D619,3),'Mapping B'!$D$2:$E$400,2,0)</f>
        <v>S</v>
      </c>
      <c r="J619" s="15" t="s">
        <v>286</v>
      </c>
      <c r="K619" s="15" t="s">
        <v>17</v>
      </c>
      <c r="L619" s="15">
        <v>348.17607198286902</v>
      </c>
      <c r="M619" s="15"/>
      <c r="N619" s="15"/>
      <c r="O619" s="15">
        <f>_xlfn.IFNA(IF(VLOOKUP($J619&amp;O$14,'Mapping A'!$A$6:$G$1011,7,0)=1,$L619,""),0)+_xlfn.IFNA(IF(VLOOKUP($J619&amp;O$16,'Mapping A'!$A$6:$G$1011,7,0)=1,$L619,""),0)</f>
        <v>0</v>
      </c>
      <c r="P619" s="15">
        <f>_xlfn.IFNA(IF(VLOOKUP($J619&amp;P$14,'Mapping A'!$A$6:$G$1011,7,0)=1,$L619,""),0)+_xlfn.IFNA(IF(VLOOKUP($J619&amp;P$16,'Mapping A'!$A$6:$G$1011,7,0)=1,$L619,""),0)</f>
        <v>0</v>
      </c>
      <c r="Q619" s="15">
        <f>_xlfn.IFNA(IF(VLOOKUP($J619&amp;Q$14,'Mapping A'!$A$6:$G$1011,7,0)=1,$L619,""),0)+_xlfn.IFNA(IF(VLOOKUP($J619&amp;Q$16,'Mapping A'!$A$6:$G$1011,7,0)=1,$L619,""),0)</f>
        <v>0</v>
      </c>
      <c r="R619" s="15">
        <f>_xlfn.IFNA(IF(VLOOKUP($J619&amp;R$14,'Mapping A'!$A$6:$G$1011,7,0)=1,$L619,""),0)+_xlfn.IFNA(IF(VLOOKUP($J619&amp;R$16,'Mapping A'!$A$6:$G$1011,7,0)=1,$L619,""),0)</f>
        <v>0</v>
      </c>
      <c r="S619" s="15">
        <f>_xlfn.IFNA(IF(VLOOKUP($J619&amp;S$14,'Mapping A'!$A$6:$G$1011,7,0)=1,$L619,""),0)+_xlfn.IFNA(IF(VLOOKUP($J619&amp;S$16,'Mapping A'!$A$6:$G$1011,7,0)=1,$L619,""),0)</f>
        <v>0</v>
      </c>
      <c r="T619" s="15">
        <f>_xlfn.IFNA(IF(VLOOKUP($J619&amp;T$14,'Mapping A'!$A$6:$G$1011,7,0)=1,$L619,""),0)+_xlfn.IFNA(IF(VLOOKUP($J619&amp;T$16,'Mapping A'!$A$6:$G$1011,7,0)=1,$L619,""),0)</f>
        <v>0</v>
      </c>
      <c r="U619" s="15">
        <f>_xlfn.IFNA(IF(VLOOKUP($J619&amp;U$14,'Mapping A'!$A$6:$G$1011,7,0)=1,$L619,""),0)+_xlfn.IFNA(IF(VLOOKUP($J619&amp;U$16,'Mapping A'!$A$6:$G$1011,7,0)=1,$L619,""),0)</f>
        <v>0</v>
      </c>
      <c r="V619" s="15">
        <f>_xlfn.IFNA(IF(VLOOKUP($J619&amp;V$14,'Mapping A'!$A$6:$G$1011,7,0)=1,$L619,""),0)+_xlfn.IFNA(IF(VLOOKUP($J619&amp;V$16,'Mapping A'!$A$6:$G$1011,7,0)=1,$L619,""),0)</f>
        <v>0</v>
      </c>
      <c r="W619" s="15">
        <f>_xlfn.IFNA(IF(VLOOKUP($J619&amp;W$14,'Mapping A'!$A$6:$G$1011,7,0)=1,$L619,""),0)+_xlfn.IFNA(IF(VLOOKUP($J619&amp;W$16,'Mapping A'!$A$6:$G$1011,7,0)=1,$L619,""),0)</f>
        <v>0</v>
      </c>
      <c r="X619" s="15">
        <f>_xlfn.IFNA(IF(VLOOKUP($J619&amp;X$14,'Mapping A'!$A$6:$G$1011,7,0)=1,$L619,""),0)+_xlfn.IFNA(IF(VLOOKUP($J619&amp;X$16,'Mapping A'!$A$6:$G$1011,7,0)=1,$L619,""),0)</f>
        <v>0</v>
      </c>
      <c r="Y619" s="15">
        <f>_xlfn.IFNA(IF(VLOOKUP($J619&amp;Y$14,'Mapping A'!$A$6:$G$1011,7,0)=1,$L619,""),0)+_xlfn.IFNA(IF(VLOOKUP($J619&amp;Y$16,'Mapping A'!$A$6:$G$1011,7,0)=1,$L619,""),0)</f>
        <v>0</v>
      </c>
      <c r="Z619" s="15">
        <f>_xlfn.IFNA(IF(VLOOKUP($J619&amp;Z$14,'Mapping A'!$A$6:$G$1011,7,0)=1,$L619,""),0)+_xlfn.IFNA(IF(VLOOKUP($J619&amp;Z$16,'Mapping A'!$A$6:$G$1011,7,0)=1,$L619,""),0)</f>
        <v>0</v>
      </c>
      <c r="AA619" s="15">
        <f>_xlfn.IFNA(IF(VLOOKUP($J619&amp;AA$14,'Mapping A'!$A$6:$G$1011,7,0)=1,$L619,""),0)+_xlfn.IFNA(IF(VLOOKUP($J619&amp;AA$16,'Mapping A'!$A$6:$G$1011,7,0)=1,$L619,""),0)</f>
        <v>0</v>
      </c>
      <c r="AF619" s="155" t="str">
        <f t="shared" si="212"/>
        <v>OHK2201 OHK0MRP</v>
      </c>
      <c r="AG619" s="15" t="s">
        <v>286</v>
      </c>
      <c r="AH619" s="15" t="s">
        <v>17</v>
      </c>
      <c r="AI619" s="15">
        <v>348.17607198286902</v>
      </c>
      <c r="AJ619" s="292" t="s">
        <v>95</v>
      </c>
      <c r="AK619" s="15"/>
      <c r="AL619" s="15">
        <f t="shared" si="206"/>
        <v>0</v>
      </c>
      <c r="AM619" s="15">
        <f t="shared" ca="1" si="207"/>
        <v>0</v>
      </c>
      <c r="AN619" s="15">
        <f t="shared" ca="1" si="208"/>
        <v>0</v>
      </c>
      <c r="AO619" s="15">
        <f t="shared" si="209"/>
        <v>0</v>
      </c>
      <c r="AP619" s="15">
        <f t="shared" si="210"/>
        <v>0</v>
      </c>
      <c r="AQ619" s="15">
        <f t="shared" si="211"/>
        <v>0</v>
      </c>
      <c r="AR619" s="190">
        <f t="shared" si="199"/>
        <v>0</v>
      </c>
      <c r="AS619" s="190">
        <f t="shared" ca="1" si="200"/>
        <v>0</v>
      </c>
      <c r="AT619" s="190">
        <f t="shared" si="201"/>
        <v>0</v>
      </c>
      <c r="AU619" s="190">
        <f t="shared" si="202"/>
        <v>0</v>
      </c>
      <c r="AV619" s="190">
        <f t="shared" si="203"/>
        <v>0</v>
      </c>
      <c r="AW619" s="190">
        <f t="shared" si="204"/>
        <v>0</v>
      </c>
      <c r="AX619" s="190">
        <f t="shared" si="205"/>
        <v>0</v>
      </c>
      <c r="AZ619" s="15"/>
      <c r="BP619" s="190"/>
    </row>
    <row r="620" spans="2:68" x14ac:dyDescent="0.25">
      <c r="B620" s="98" t="s">
        <v>553</v>
      </c>
      <c r="C620" s="98">
        <v>2014</v>
      </c>
      <c r="D620" s="98" t="s">
        <v>360</v>
      </c>
      <c r="E620" s="98" t="s">
        <v>14</v>
      </c>
      <c r="F620" s="98" t="s">
        <v>145</v>
      </c>
      <c r="G620" s="248">
        <v>0</v>
      </c>
      <c r="H620" s="299" t="str">
        <f>VLOOKUP(LEFT('Rev Adequacy'!D620,3),'Mapping B'!$D$2:$E$400,2,0)</f>
        <v>N</v>
      </c>
      <c r="J620" s="15" t="s">
        <v>287</v>
      </c>
      <c r="K620" s="15" t="s">
        <v>4</v>
      </c>
      <c r="L620" s="15">
        <v>271.36647602353003</v>
      </c>
      <c r="M620" s="15"/>
      <c r="N620" s="15"/>
      <c r="O620" s="15">
        <f>_xlfn.IFNA(IF(VLOOKUP($J620&amp;O$14,'Mapping A'!$A$6:$G$1011,7,0)=1,$L620,""),0)+_xlfn.IFNA(IF(VLOOKUP($J620&amp;O$16,'Mapping A'!$A$6:$G$1011,7,0)=1,$L620,""),0)</f>
        <v>0</v>
      </c>
      <c r="P620" s="15">
        <f>_xlfn.IFNA(IF(VLOOKUP($J620&amp;P$14,'Mapping A'!$A$6:$G$1011,7,0)=1,$L620,""),0)+_xlfn.IFNA(IF(VLOOKUP($J620&amp;P$16,'Mapping A'!$A$6:$G$1011,7,0)=1,$L620,""),0)</f>
        <v>0</v>
      </c>
      <c r="Q620" s="15">
        <f>_xlfn.IFNA(IF(VLOOKUP($J620&amp;Q$14,'Mapping A'!$A$6:$G$1011,7,0)=1,$L620,""),0)+_xlfn.IFNA(IF(VLOOKUP($J620&amp;Q$16,'Mapping A'!$A$6:$G$1011,7,0)=1,$L620,""),0)</f>
        <v>0</v>
      </c>
      <c r="R620" s="15">
        <f>_xlfn.IFNA(IF(VLOOKUP($J620&amp;R$14,'Mapping A'!$A$6:$G$1011,7,0)=1,$L620,""),0)+_xlfn.IFNA(IF(VLOOKUP($J620&amp;R$16,'Mapping A'!$A$6:$G$1011,7,0)=1,$L620,""),0)</f>
        <v>0</v>
      </c>
      <c r="S620" s="15">
        <f>_xlfn.IFNA(IF(VLOOKUP($J620&amp;S$14,'Mapping A'!$A$6:$G$1011,7,0)=1,$L620,""),0)+_xlfn.IFNA(IF(VLOOKUP($J620&amp;S$16,'Mapping A'!$A$6:$G$1011,7,0)=1,$L620,""),0)</f>
        <v>0</v>
      </c>
      <c r="T620" s="15">
        <f>_xlfn.IFNA(IF(VLOOKUP($J620&amp;T$14,'Mapping A'!$A$6:$G$1011,7,0)=1,$L620,""),0)+_xlfn.IFNA(IF(VLOOKUP($J620&amp;T$16,'Mapping A'!$A$6:$G$1011,7,0)=1,$L620,""),0)</f>
        <v>0</v>
      </c>
      <c r="U620" s="15">
        <f>_xlfn.IFNA(IF(VLOOKUP($J620&amp;U$14,'Mapping A'!$A$6:$G$1011,7,0)=1,$L620,""),0)+_xlfn.IFNA(IF(VLOOKUP($J620&amp;U$16,'Mapping A'!$A$6:$G$1011,7,0)=1,$L620,""),0)</f>
        <v>0</v>
      </c>
      <c r="V620" s="15">
        <f>_xlfn.IFNA(IF(VLOOKUP($J620&amp;V$14,'Mapping A'!$A$6:$G$1011,7,0)=1,$L620,""),0)+_xlfn.IFNA(IF(VLOOKUP($J620&amp;V$16,'Mapping A'!$A$6:$G$1011,7,0)=1,$L620,""),0)</f>
        <v>0</v>
      </c>
      <c r="W620" s="15">
        <f>_xlfn.IFNA(IF(VLOOKUP($J620&amp;W$14,'Mapping A'!$A$6:$G$1011,7,0)=1,$L620,""),0)+_xlfn.IFNA(IF(VLOOKUP($J620&amp;W$16,'Mapping A'!$A$6:$G$1011,7,0)=1,$L620,""),0)</f>
        <v>0</v>
      </c>
      <c r="X620" s="15">
        <f>_xlfn.IFNA(IF(VLOOKUP($J620&amp;X$14,'Mapping A'!$A$6:$G$1011,7,0)=1,$L620,""),0)+_xlfn.IFNA(IF(VLOOKUP($J620&amp;X$16,'Mapping A'!$A$6:$G$1011,7,0)=1,$L620,""),0)</f>
        <v>0</v>
      </c>
      <c r="Y620" s="15">
        <f>_xlfn.IFNA(IF(VLOOKUP($J620&amp;Y$14,'Mapping A'!$A$6:$G$1011,7,0)=1,$L620,""),0)+_xlfn.IFNA(IF(VLOOKUP($J620&amp;Y$16,'Mapping A'!$A$6:$G$1011,7,0)=1,$L620,""),0)</f>
        <v>0</v>
      </c>
      <c r="Z620" s="15">
        <f>_xlfn.IFNA(IF(VLOOKUP($J620&amp;Z$14,'Mapping A'!$A$6:$G$1011,7,0)=1,$L620,""),0)+_xlfn.IFNA(IF(VLOOKUP($J620&amp;Z$16,'Mapping A'!$A$6:$G$1011,7,0)=1,$L620,""),0)</f>
        <v>0</v>
      </c>
      <c r="AA620" s="15">
        <f>_xlfn.IFNA(IF(VLOOKUP($J620&amp;AA$14,'Mapping A'!$A$6:$G$1011,7,0)=1,$L620,""),0)+_xlfn.IFNA(IF(VLOOKUP($J620&amp;AA$16,'Mapping A'!$A$6:$G$1011,7,0)=1,$L620,""),0)</f>
        <v>0</v>
      </c>
      <c r="AF620" s="155" t="str">
        <f t="shared" si="212"/>
        <v>OKI2201 OKI0Contact</v>
      </c>
      <c r="AG620" s="15" t="s">
        <v>287</v>
      </c>
      <c r="AH620" s="15" t="s">
        <v>4</v>
      </c>
      <c r="AI620" s="15">
        <v>271.36647602353003</v>
      </c>
      <c r="AJ620" s="292" t="s">
        <v>95</v>
      </c>
      <c r="AK620" s="15"/>
      <c r="AL620" s="15">
        <f t="shared" si="206"/>
        <v>0</v>
      </c>
      <c r="AM620" s="15">
        <f t="shared" ca="1" si="207"/>
        <v>0</v>
      </c>
      <c r="AN620" s="15">
        <f t="shared" ca="1" si="208"/>
        <v>0</v>
      </c>
      <c r="AO620" s="15">
        <f t="shared" si="209"/>
        <v>0</v>
      </c>
      <c r="AP620" s="15">
        <f t="shared" si="210"/>
        <v>0</v>
      </c>
      <c r="AQ620" s="15">
        <f t="shared" si="211"/>
        <v>0</v>
      </c>
      <c r="AR620" s="190">
        <f t="shared" si="199"/>
        <v>0</v>
      </c>
      <c r="AS620" s="190">
        <f t="shared" ca="1" si="200"/>
        <v>0</v>
      </c>
      <c r="AT620" s="190">
        <f t="shared" si="201"/>
        <v>0</v>
      </c>
      <c r="AU620" s="190">
        <f t="shared" si="202"/>
        <v>0</v>
      </c>
      <c r="AV620" s="190">
        <f t="shared" si="203"/>
        <v>0</v>
      </c>
      <c r="AW620" s="190">
        <f t="shared" si="204"/>
        <v>0</v>
      </c>
      <c r="AX620" s="190">
        <f t="shared" si="205"/>
        <v>0</v>
      </c>
      <c r="AZ620" s="15"/>
      <c r="BP620" s="190"/>
    </row>
    <row r="621" spans="2:68" x14ac:dyDescent="0.25">
      <c r="B621" s="98" t="s">
        <v>553</v>
      </c>
      <c r="C621" s="98">
        <v>2014</v>
      </c>
      <c r="D621" s="98" t="s">
        <v>362</v>
      </c>
      <c r="E621" s="98" t="s">
        <v>14</v>
      </c>
      <c r="F621" s="98" t="s">
        <v>131</v>
      </c>
      <c r="G621" s="248">
        <v>1185.1017137885699</v>
      </c>
      <c r="H621" s="299" t="str">
        <f>VLOOKUP(LEFT('Rev Adequacy'!D621,3),'Mapping B'!$D$2:$E$400,2,0)</f>
        <v>S</v>
      </c>
      <c r="J621" s="15" t="s">
        <v>434</v>
      </c>
      <c r="K621" s="15" t="s">
        <v>4</v>
      </c>
      <c r="L621" s="15">
        <v>1362.0249243824101</v>
      </c>
      <c r="M621" s="15"/>
      <c r="N621" s="15"/>
      <c r="O621" s="15">
        <f>_xlfn.IFNA(IF(VLOOKUP($J621&amp;O$14,'Mapping A'!$A$6:$G$1011,7,0)=1,$L621,""),0)+_xlfn.IFNA(IF(VLOOKUP($J621&amp;O$16,'Mapping A'!$A$6:$G$1011,7,0)=1,$L621,""),0)</f>
        <v>0</v>
      </c>
      <c r="P621" s="15">
        <f>_xlfn.IFNA(IF(VLOOKUP($J621&amp;P$14,'Mapping A'!$A$6:$G$1011,7,0)=1,$L621,""),0)+_xlfn.IFNA(IF(VLOOKUP($J621&amp;P$16,'Mapping A'!$A$6:$G$1011,7,0)=1,$L621,""),0)</f>
        <v>0</v>
      </c>
      <c r="Q621" s="15">
        <f>_xlfn.IFNA(IF(VLOOKUP($J621&amp;Q$14,'Mapping A'!$A$6:$G$1011,7,0)=1,$L621,""),0)+_xlfn.IFNA(IF(VLOOKUP($J621&amp;Q$16,'Mapping A'!$A$6:$G$1011,7,0)=1,$L621,""),0)</f>
        <v>0</v>
      </c>
      <c r="R621" s="15">
        <f>_xlfn.IFNA(IF(VLOOKUP($J621&amp;R$14,'Mapping A'!$A$6:$G$1011,7,0)=1,$L621,""),0)+_xlfn.IFNA(IF(VLOOKUP($J621&amp;R$16,'Mapping A'!$A$6:$G$1011,7,0)=1,$L621,""),0)</f>
        <v>0</v>
      </c>
      <c r="S621" s="15">
        <f>_xlfn.IFNA(IF(VLOOKUP($J621&amp;S$14,'Mapping A'!$A$6:$G$1011,7,0)=1,$L621,""),0)+_xlfn.IFNA(IF(VLOOKUP($J621&amp;S$16,'Mapping A'!$A$6:$G$1011,7,0)=1,$L621,""),0)</f>
        <v>0</v>
      </c>
      <c r="T621" s="15">
        <f>_xlfn.IFNA(IF(VLOOKUP($J621&amp;T$14,'Mapping A'!$A$6:$G$1011,7,0)=1,$L621,""),0)+_xlfn.IFNA(IF(VLOOKUP($J621&amp;T$16,'Mapping A'!$A$6:$G$1011,7,0)=1,$L621,""),0)</f>
        <v>0</v>
      </c>
      <c r="U621" s="15">
        <f>_xlfn.IFNA(IF(VLOOKUP($J621&amp;U$14,'Mapping A'!$A$6:$G$1011,7,0)=1,$L621,""),0)+_xlfn.IFNA(IF(VLOOKUP($J621&amp;U$16,'Mapping A'!$A$6:$G$1011,7,0)=1,$L621,""),0)</f>
        <v>0</v>
      </c>
      <c r="V621" s="15">
        <f>_xlfn.IFNA(IF(VLOOKUP($J621&amp;V$14,'Mapping A'!$A$6:$G$1011,7,0)=1,$L621,""),0)+_xlfn.IFNA(IF(VLOOKUP($J621&amp;V$16,'Mapping A'!$A$6:$G$1011,7,0)=1,$L621,""),0)</f>
        <v>0</v>
      </c>
      <c r="W621" s="15">
        <f>_xlfn.IFNA(IF(VLOOKUP($J621&amp;W$14,'Mapping A'!$A$6:$G$1011,7,0)=1,$L621,""),0)+_xlfn.IFNA(IF(VLOOKUP($J621&amp;W$16,'Mapping A'!$A$6:$G$1011,7,0)=1,$L621,""),0)</f>
        <v>0</v>
      </c>
      <c r="X621" s="15">
        <f>_xlfn.IFNA(IF(VLOOKUP($J621&amp;X$14,'Mapping A'!$A$6:$G$1011,7,0)=1,$L621,""),0)+_xlfn.IFNA(IF(VLOOKUP($J621&amp;X$16,'Mapping A'!$A$6:$G$1011,7,0)=1,$L621,""),0)</f>
        <v>0</v>
      </c>
      <c r="Y621" s="15">
        <f>_xlfn.IFNA(IF(VLOOKUP($J621&amp;Y$14,'Mapping A'!$A$6:$G$1011,7,0)=1,$L621,""),0)+_xlfn.IFNA(IF(VLOOKUP($J621&amp;Y$16,'Mapping A'!$A$6:$G$1011,7,0)=1,$L621,""),0)</f>
        <v>0</v>
      </c>
      <c r="Z621" s="15">
        <f>_xlfn.IFNA(IF(VLOOKUP($J621&amp;Z$14,'Mapping A'!$A$6:$G$1011,7,0)=1,$L621,""),0)+_xlfn.IFNA(IF(VLOOKUP($J621&amp;Z$16,'Mapping A'!$A$6:$G$1011,7,0)=1,$L621,""),0)</f>
        <v>0</v>
      </c>
      <c r="AA621" s="15">
        <f>_xlfn.IFNA(IF(VLOOKUP($J621&amp;AA$14,'Mapping A'!$A$6:$G$1011,7,0)=1,$L621,""),0)+_xlfn.IFNA(IF(VLOOKUP($J621&amp;AA$16,'Mapping A'!$A$6:$G$1011,7,0)=1,$L621,""),0)</f>
        <v>0</v>
      </c>
      <c r="AF621" s="155" t="str">
        <f t="shared" si="212"/>
        <v>OTA2202 OTC0Contact</v>
      </c>
      <c r="AG621" s="15" t="s">
        <v>434</v>
      </c>
      <c r="AH621" s="15" t="s">
        <v>4</v>
      </c>
      <c r="AI621" s="15">
        <v>1362.0249243824101</v>
      </c>
      <c r="AJ621" s="292" t="s">
        <v>95</v>
      </c>
      <c r="AK621" s="15"/>
      <c r="AL621" s="15">
        <f t="shared" si="206"/>
        <v>0</v>
      </c>
      <c r="AM621" s="15">
        <f t="shared" ca="1" si="207"/>
        <v>0</v>
      </c>
      <c r="AN621" s="15">
        <f t="shared" ca="1" si="208"/>
        <v>0</v>
      </c>
      <c r="AO621" s="15">
        <f t="shared" si="209"/>
        <v>0</v>
      </c>
      <c r="AP621" s="15">
        <f t="shared" si="210"/>
        <v>0</v>
      </c>
      <c r="AQ621" s="15">
        <f t="shared" si="211"/>
        <v>0</v>
      </c>
      <c r="AR621" s="190">
        <f t="shared" si="199"/>
        <v>0</v>
      </c>
      <c r="AS621" s="190">
        <f t="shared" ca="1" si="200"/>
        <v>0</v>
      </c>
      <c r="AT621" s="190">
        <f t="shared" si="201"/>
        <v>0</v>
      </c>
      <c r="AU621" s="190">
        <f t="shared" si="202"/>
        <v>0</v>
      </c>
      <c r="AV621" s="190">
        <f t="shared" si="203"/>
        <v>0</v>
      </c>
      <c r="AW621" s="190">
        <f t="shared" si="204"/>
        <v>0</v>
      </c>
      <c r="AX621" s="190">
        <f t="shared" si="205"/>
        <v>0</v>
      </c>
      <c r="AZ621" s="15"/>
      <c r="BP621" s="190"/>
    </row>
    <row r="622" spans="2:68" x14ac:dyDescent="0.25">
      <c r="B622" s="98" t="s">
        <v>553</v>
      </c>
      <c r="C622" s="98">
        <v>2014</v>
      </c>
      <c r="D622" s="98" t="s">
        <v>366</v>
      </c>
      <c r="E622" s="98" t="s">
        <v>14</v>
      </c>
      <c r="F622" s="98" t="s">
        <v>145</v>
      </c>
      <c r="G622" s="248">
        <v>0</v>
      </c>
      <c r="H622" s="299" t="str">
        <f>VLOOKUP(LEFT('Rev Adequacy'!D622,3),'Mapping B'!$D$2:$E$400,2,0)</f>
        <v>N</v>
      </c>
      <c r="J622" s="15" t="s">
        <v>304</v>
      </c>
      <c r="K622" s="15" t="s">
        <v>4</v>
      </c>
      <c r="L622" s="15">
        <v>393.79934817127099</v>
      </c>
      <c r="M622" s="15"/>
      <c r="N622" s="15"/>
      <c r="O622" s="15">
        <f>_xlfn.IFNA(IF(VLOOKUP($J622&amp;O$14,'Mapping A'!$A$6:$G$1011,7,0)=1,$L622,""),0)+_xlfn.IFNA(IF(VLOOKUP($J622&amp;O$16,'Mapping A'!$A$6:$G$1011,7,0)=1,$L622,""),0)</f>
        <v>0</v>
      </c>
      <c r="P622" s="15">
        <f>_xlfn.IFNA(IF(VLOOKUP($J622&amp;P$14,'Mapping A'!$A$6:$G$1011,7,0)=1,$L622,""),0)+_xlfn.IFNA(IF(VLOOKUP($J622&amp;P$16,'Mapping A'!$A$6:$G$1011,7,0)=1,$L622,""),0)</f>
        <v>0</v>
      </c>
      <c r="Q622" s="15">
        <f>_xlfn.IFNA(IF(VLOOKUP($J622&amp;Q$14,'Mapping A'!$A$6:$G$1011,7,0)=1,$L622,""),0)+_xlfn.IFNA(IF(VLOOKUP($J622&amp;Q$16,'Mapping A'!$A$6:$G$1011,7,0)=1,$L622,""),0)</f>
        <v>0</v>
      </c>
      <c r="R622" s="15">
        <f>_xlfn.IFNA(IF(VLOOKUP($J622&amp;R$14,'Mapping A'!$A$6:$G$1011,7,0)=1,$L622,""),0)+_xlfn.IFNA(IF(VLOOKUP($J622&amp;R$16,'Mapping A'!$A$6:$G$1011,7,0)=1,$L622,""),0)</f>
        <v>0</v>
      </c>
      <c r="S622" s="15">
        <f>_xlfn.IFNA(IF(VLOOKUP($J622&amp;S$14,'Mapping A'!$A$6:$G$1011,7,0)=1,$L622,""),0)+_xlfn.IFNA(IF(VLOOKUP($J622&amp;S$16,'Mapping A'!$A$6:$G$1011,7,0)=1,$L622,""),0)</f>
        <v>0</v>
      </c>
      <c r="T622" s="15">
        <f>_xlfn.IFNA(IF(VLOOKUP($J622&amp;T$14,'Mapping A'!$A$6:$G$1011,7,0)=1,$L622,""),0)+_xlfn.IFNA(IF(VLOOKUP($J622&amp;T$16,'Mapping A'!$A$6:$G$1011,7,0)=1,$L622,""),0)</f>
        <v>0</v>
      </c>
      <c r="U622" s="15">
        <f>_xlfn.IFNA(IF(VLOOKUP($J622&amp;U$14,'Mapping A'!$A$6:$G$1011,7,0)=1,$L622,""),0)+_xlfn.IFNA(IF(VLOOKUP($J622&amp;U$16,'Mapping A'!$A$6:$G$1011,7,0)=1,$L622,""),0)</f>
        <v>0</v>
      </c>
      <c r="V622" s="15">
        <f>_xlfn.IFNA(IF(VLOOKUP($J622&amp;V$14,'Mapping A'!$A$6:$G$1011,7,0)=1,$L622,""),0)+_xlfn.IFNA(IF(VLOOKUP($J622&amp;V$16,'Mapping A'!$A$6:$G$1011,7,0)=1,$L622,""),0)</f>
        <v>0</v>
      </c>
      <c r="W622" s="15">
        <f>_xlfn.IFNA(IF(VLOOKUP($J622&amp;W$14,'Mapping A'!$A$6:$G$1011,7,0)=1,$L622,""),0)+_xlfn.IFNA(IF(VLOOKUP($J622&amp;W$16,'Mapping A'!$A$6:$G$1011,7,0)=1,$L622,""),0)</f>
        <v>0</v>
      </c>
      <c r="X622" s="15">
        <f>_xlfn.IFNA(IF(VLOOKUP($J622&amp;X$14,'Mapping A'!$A$6:$G$1011,7,0)=1,$L622,""),0)+_xlfn.IFNA(IF(VLOOKUP($J622&amp;X$16,'Mapping A'!$A$6:$G$1011,7,0)=1,$L622,""),0)</f>
        <v>0</v>
      </c>
      <c r="Y622" s="15">
        <f>_xlfn.IFNA(IF(VLOOKUP($J622&amp;Y$14,'Mapping A'!$A$6:$G$1011,7,0)=1,$L622,""),0)+_xlfn.IFNA(IF(VLOOKUP($J622&amp;Y$16,'Mapping A'!$A$6:$G$1011,7,0)=1,$L622,""),0)</f>
        <v>0</v>
      </c>
      <c r="Z622" s="15">
        <f>_xlfn.IFNA(IF(VLOOKUP($J622&amp;Z$14,'Mapping A'!$A$6:$G$1011,7,0)=1,$L622,""),0)+_xlfn.IFNA(IF(VLOOKUP($J622&amp;Z$16,'Mapping A'!$A$6:$G$1011,7,0)=1,$L622,""),0)</f>
        <v>0</v>
      </c>
      <c r="AA622" s="15">
        <f>_xlfn.IFNA(IF(VLOOKUP($J622&amp;AA$14,'Mapping A'!$A$6:$G$1011,7,0)=1,$L622,""),0)+_xlfn.IFNA(IF(VLOOKUP($J622&amp;AA$16,'Mapping A'!$A$6:$G$1011,7,0)=1,$L622,""),0)</f>
        <v>0</v>
      </c>
      <c r="AF622" s="155" t="str">
        <f t="shared" si="212"/>
        <v>PPI2201 PPI0Contact</v>
      </c>
      <c r="AG622" s="15" t="s">
        <v>304</v>
      </c>
      <c r="AH622" s="15" t="s">
        <v>4</v>
      </c>
      <c r="AI622" s="15">
        <v>393.79934817127099</v>
      </c>
      <c r="AJ622" s="292" t="s">
        <v>95</v>
      </c>
      <c r="AK622" s="15"/>
      <c r="AL622" s="15">
        <f t="shared" si="206"/>
        <v>0</v>
      </c>
      <c r="AM622" s="15">
        <f t="shared" ca="1" si="207"/>
        <v>0</v>
      </c>
      <c r="AN622" s="15">
        <f t="shared" ca="1" si="208"/>
        <v>0</v>
      </c>
      <c r="AO622" s="15">
        <f t="shared" si="209"/>
        <v>0</v>
      </c>
      <c r="AP622" s="15">
        <f t="shared" si="210"/>
        <v>0</v>
      </c>
      <c r="AQ622" s="15">
        <f t="shared" si="211"/>
        <v>0</v>
      </c>
      <c r="AR622" s="190">
        <f t="shared" si="199"/>
        <v>0</v>
      </c>
      <c r="AS622" s="190">
        <f t="shared" ca="1" si="200"/>
        <v>0</v>
      </c>
      <c r="AT622" s="190">
        <f t="shared" si="201"/>
        <v>0</v>
      </c>
      <c r="AU622" s="190">
        <f t="shared" si="202"/>
        <v>0</v>
      </c>
      <c r="AV622" s="190">
        <f t="shared" si="203"/>
        <v>0</v>
      </c>
      <c r="AW622" s="190">
        <f t="shared" si="204"/>
        <v>0</v>
      </c>
      <c r="AX622" s="190">
        <f t="shared" si="205"/>
        <v>0</v>
      </c>
      <c r="AZ622" s="15"/>
      <c r="BP622" s="190"/>
    </row>
    <row r="623" spans="2:68" x14ac:dyDescent="0.25">
      <c r="B623" s="98" t="s">
        <v>553</v>
      </c>
      <c r="C623" s="98">
        <v>2014</v>
      </c>
      <c r="D623" s="98" t="s">
        <v>366</v>
      </c>
      <c r="E623" s="98" t="s">
        <v>14</v>
      </c>
      <c r="F623" s="98" t="s">
        <v>131</v>
      </c>
      <c r="G623" s="248">
        <v>224.98499999999899</v>
      </c>
      <c r="H623" s="299" t="str">
        <f>VLOOKUP(LEFT('Rev Adequacy'!D623,3),'Mapping B'!$D$2:$E$400,2,0)</f>
        <v>N</v>
      </c>
      <c r="J623" s="15" t="s">
        <v>314</v>
      </c>
      <c r="K623" s="15" t="s">
        <v>35</v>
      </c>
      <c r="L623" s="15">
        <v>55.624128014370797</v>
      </c>
      <c r="M623" s="15"/>
      <c r="N623" s="15"/>
      <c r="O623" s="15">
        <f>_xlfn.IFNA(IF(VLOOKUP($J623&amp;O$14,'Mapping A'!$A$6:$G$1011,7,0)=1,$L623,""),0)+_xlfn.IFNA(IF(VLOOKUP($J623&amp;O$16,'Mapping A'!$A$6:$G$1011,7,0)=1,$L623,""),0)</f>
        <v>0</v>
      </c>
      <c r="P623" s="15">
        <f>_xlfn.IFNA(IF(VLOOKUP($J623&amp;P$14,'Mapping A'!$A$6:$G$1011,7,0)=1,$L623,""),0)+_xlfn.IFNA(IF(VLOOKUP($J623&amp;P$16,'Mapping A'!$A$6:$G$1011,7,0)=1,$L623,""),0)</f>
        <v>0</v>
      </c>
      <c r="Q623" s="15">
        <f>_xlfn.IFNA(IF(VLOOKUP($J623&amp;Q$14,'Mapping A'!$A$6:$G$1011,7,0)=1,$L623,""),0)+_xlfn.IFNA(IF(VLOOKUP($J623&amp;Q$16,'Mapping A'!$A$6:$G$1011,7,0)=1,$L623,""),0)</f>
        <v>0</v>
      </c>
      <c r="R623" s="15">
        <f>_xlfn.IFNA(IF(VLOOKUP($J623&amp;R$14,'Mapping A'!$A$6:$G$1011,7,0)=1,$L623,""),0)+_xlfn.IFNA(IF(VLOOKUP($J623&amp;R$16,'Mapping A'!$A$6:$G$1011,7,0)=1,$L623,""),0)</f>
        <v>0</v>
      </c>
      <c r="S623" s="15">
        <f>_xlfn.IFNA(IF(VLOOKUP($J623&amp;S$14,'Mapping A'!$A$6:$G$1011,7,0)=1,$L623,""),0)+_xlfn.IFNA(IF(VLOOKUP($J623&amp;S$16,'Mapping A'!$A$6:$G$1011,7,0)=1,$L623,""),0)</f>
        <v>0</v>
      </c>
      <c r="T623" s="15">
        <f>_xlfn.IFNA(IF(VLOOKUP($J623&amp;T$14,'Mapping A'!$A$6:$G$1011,7,0)=1,$L623,""),0)+_xlfn.IFNA(IF(VLOOKUP($J623&amp;T$16,'Mapping A'!$A$6:$G$1011,7,0)=1,$L623,""),0)</f>
        <v>0</v>
      </c>
      <c r="U623" s="15">
        <f>_xlfn.IFNA(IF(VLOOKUP($J623&amp;U$14,'Mapping A'!$A$6:$G$1011,7,0)=1,$L623,""),0)+_xlfn.IFNA(IF(VLOOKUP($J623&amp;U$16,'Mapping A'!$A$6:$G$1011,7,0)=1,$L623,""),0)</f>
        <v>0</v>
      </c>
      <c r="V623" s="15">
        <f>_xlfn.IFNA(IF(VLOOKUP($J623&amp;V$14,'Mapping A'!$A$6:$G$1011,7,0)=1,$L623,""),0)+_xlfn.IFNA(IF(VLOOKUP($J623&amp;V$16,'Mapping A'!$A$6:$G$1011,7,0)=1,$L623,""),0)</f>
        <v>0</v>
      </c>
      <c r="W623" s="15">
        <f>_xlfn.IFNA(IF(VLOOKUP($J623&amp;W$14,'Mapping A'!$A$6:$G$1011,7,0)=1,$L623,""),0)+_xlfn.IFNA(IF(VLOOKUP($J623&amp;W$16,'Mapping A'!$A$6:$G$1011,7,0)=1,$L623,""),0)</f>
        <v>0</v>
      </c>
      <c r="X623" s="15">
        <f>_xlfn.IFNA(IF(VLOOKUP($J623&amp;X$14,'Mapping A'!$A$6:$G$1011,7,0)=1,$L623,""),0)+_xlfn.IFNA(IF(VLOOKUP($J623&amp;X$16,'Mapping A'!$A$6:$G$1011,7,0)=1,$L623,""),0)</f>
        <v>0</v>
      </c>
      <c r="Y623" s="15">
        <f>_xlfn.IFNA(IF(VLOOKUP($J623&amp;Y$14,'Mapping A'!$A$6:$G$1011,7,0)=1,$L623,""),0)+_xlfn.IFNA(IF(VLOOKUP($J623&amp;Y$16,'Mapping A'!$A$6:$G$1011,7,0)=1,$L623,""),0)</f>
        <v>0</v>
      </c>
      <c r="Z623" s="15">
        <f>_xlfn.IFNA(IF(VLOOKUP($J623&amp;Z$14,'Mapping A'!$A$6:$G$1011,7,0)=1,$L623,""),0)+_xlfn.IFNA(IF(VLOOKUP($J623&amp;Z$16,'Mapping A'!$A$6:$G$1011,7,0)=1,$L623,""),0)</f>
        <v>0</v>
      </c>
      <c r="AA623" s="15">
        <f>_xlfn.IFNA(IF(VLOOKUP($J623&amp;AA$14,'Mapping A'!$A$6:$G$1011,7,0)=1,$L623,""),0)+_xlfn.IFNA(IF(VLOOKUP($J623&amp;AA$16,'Mapping A'!$A$6:$G$1011,7,0)=1,$L623,""),0)</f>
        <v>0</v>
      </c>
      <c r="AF623" s="155" t="str">
        <f t="shared" si="212"/>
        <v>ROT1101 WHE0Trustpower</v>
      </c>
      <c r="AG623" s="15" t="s">
        <v>314</v>
      </c>
      <c r="AH623" s="15" t="s">
        <v>35</v>
      </c>
      <c r="AI623" s="15">
        <v>55.624128014370797</v>
      </c>
      <c r="AJ623" s="292" t="s">
        <v>95</v>
      </c>
      <c r="AK623" s="15"/>
      <c r="AL623" s="15">
        <f t="shared" si="206"/>
        <v>0</v>
      </c>
      <c r="AM623" s="15">
        <f t="shared" ca="1" si="207"/>
        <v>0</v>
      </c>
      <c r="AN623" s="15">
        <f t="shared" ca="1" si="208"/>
        <v>0</v>
      </c>
      <c r="AO623" s="15">
        <f t="shared" si="209"/>
        <v>0</v>
      </c>
      <c r="AP623" s="15">
        <f t="shared" si="210"/>
        <v>0</v>
      </c>
      <c r="AQ623" s="15">
        <f t="shared" si="211"/>
        <v>0</v>
      </c>
      <c r="AR623" s="190">
        <f t="shared" si="199"/>
        <v>0</v>
      </c>
      <c r="AS623" s="190">
        <f t="shared" ca="1" si="200"/>
        <v>0</v>
      </c>
      <c r="AT623" s="190">
        <f t="shared" si="201"/>
        <v>0</v>
      </c>
      <c r="AU623" s="190">
        <f t="shared" si="202"/>
        <v>0</v>
      </c>
      <c r="AV623" s="190">
        <f t="shared" si="203"/>
        <v>0</v>
      </c>
      <c r="AW623" s="190">
        <f t="shared" si="204"/>
        <v>0</v>
      </c>
      <c r="AX623" s="190">
        <f t="shared" si="205"/>
        <v>0</v>
      </c>
      <c r="AZ623" s="15"/>
      <c r="BP623" s="190"/>
    </row>
    <row r="624" spans="2:68" x14ac:dyDescent="0.25">
      <c r="B624" s="98" t="s">
        <v>553</v>
      </c>
      <c r="C624" s="98">
        <v>2014</v>
      </c>
      <c r="D624" s="98" t="s">
        <v>390</v>
      </c>
      <c r="E624" s="98" t="s">
        <v>14</v>
      </c>
      <c r="F624" s="98" t="s">
        <v>136</v>
      </c>
      <c r="G624" s="248">
        <v>0</v>
      </c>
      <c r="H624" s="299" t="str">
        <f>VLOOKUP(LEFT('Rev Adequacy'!D624,3),'Mapping B'!$D$2:$E$400,2,0)</f>
        <v>S</v>
      </c>
      <c r="J624" s="15" t="s">
        <v>315</v>
      </c>
      <c r="K624" s="15" t="s">
        <v>4</v>
      </c>
      <c r="L624" s="15">
        <v>534.00503324985505</v>
      </c>
      <c r="M624" s="15"/>
      <c r="N624" s="15"/>
      <c r="O624" s="15">
        <f>_xlfn.IFNA(IF(VLOOKUP($J624&amp;O$14,'Mapping A'!$A$6:$G$1011,7,0)=1,$L624,""),0)+_xlfn.IFNA(IF(VLOOKUP($J624&amp;O$16,'Mapping A'!$A$6:$G$1011,7,0)=1,$L624,""),0)</f>
        <v>0</v>
      </c>
      <c r="P624" s="15">
        <f>_xlfn.IFNA(IF(VLOOKUP($J624&amp;P$14,'Mapping A'!$A$6:$G$1011,7,0)=1,$L624,""),0)+_xlfn.IFNA(IF(VLOOKUP($J624&amp;P$16,'Mapping A'!$A$6:$G$1011,7,0)=1,$L624,""),0)</f>
        <v>534.00503324985505</v>
      </c>
      <c r="Q624" s="15">
        <f>_xlfn.IFNA(IF(VLOOKUP($J624&amp;Q$14,'Mapping A'!$A$6:$G$1011,7,0)=1,$L624,""),0)+_xlfn.IFNA(IF(VLOOKUP($J624&amp;Q$16,'Mapping A'!$A$6:$G$1011,7,0)=1,$L624,""),0)</f>
        <v>534.00503324985505</v>
      </c>
      <c r="R624" s="15">
        <f>_xlfn.IFNA(IF(VLOOKUP($J624&amp;R$14,'Mapping A'!$A$6:$G$1011,7,0)=1,$L624,""),0)+_xlfn.IFNA(IF(VLOOKUP($J624&amp;R$16,'Mapping A'!$A$6:$G$1011,7,0)=1,$L624,""),0)</f>
        <v>0</v>
      </c>
      <c r="S624" s="15">
        <f>_xlfn.IFNA(IF(VLOOKUP($J624&amp;S$14,'Mapping A'!$A$6:$G$1011,7,0)=1,$L624,""),0)+_xlfn.IFNA(IF(VLOOKUP($J624&amp;S$16,'Mapping A'!$A$6:$G$1011,7,0)=1,$L624,""),0)</f>
        <v>0</v>
      </c>
      <c r="T624" s="15">
        <f>_xlfn.IFNA(IF(VLOOKUP($J624&amp;T$14,'Mapping A'!$A$6:$G$1011,7,0)=1,$L624,""),0)+_xlfn.IFNA(IF(VLOOKUP($J624&amp;T$16,'Mapping A'!$A$6:$G$1011,7,0)=1,$L624,""),0)</f>
        <v>0</v>
      </c>
      <c r="U624" s="15">
        <f>_xlfn.IFNA(IF(VLOOKUP($J624&amp;U$14,'Mapping A'!$A$6:$G$1011,7,0)=1,$L624,""),0)+_xlfn.IFNA(IF(VLOOKUP($J624&amp;U$16,'Mapping A'!$A$6:$G$1011,7,0)=1,$L624,""),0)</f>
        <v>0</v>
      </c>
      <c r="V624" s="15">
        <f>_xlfn.IFNA(IF(VLOOKUP($J624&amp;V$14,'Mapping A'!$A$6:$G$1011,7,0)=1,$L624,""),0)+_xlfn.IFNA(IF(VLOOKUP($J624&amp;V$16,'Mapping A'!$A$6:$G$1011,7,0)=1,$L624,""),0)</f>
        <v>534.00503324985505</v>
      </c>
      <c r="W624" s="15">
        <f>_xlfn.IFNA(IF(VLOOKUP($J624&amp;W$14,'Mapping A'!$A$6:$G$1011,7,0)=1,$L624,""),0)+_xlfn.IFNA(IF(VLOOKUP($J624&amp;W$16,'Mapping A'!$A$6:$G$1011,7,0)=1,$L624,""),0)</f>
        <v>0</v>
      </c>
      <c r="X624" s="15">
        <f>_xlfn.IFNA(IF(VLOOKUP($J624&amp;X$14,'Mapping A'!$A$6:$G$1011,7,0)=1,$L624,""),0)+_xlfn.IFNA(IF(VLOOKUP($J624&amp;X$16,'Mapping A'!$A$6:$G$1011,7,0)=1,$L624,""),0)</f>
        <v>0</v>
      </c>
      <c r="Y624" s="15">
        <f>_xlfn.IFNA(IF(VLOOKUP($J624&amp;Y$14,'Mapping A'!$A$6:$G$1011,7,0)=1,$L624,""),0)+_xlfn.IFNA(IF(VLOOKUP($J624&amp;Y$16,'Mapping A'!$A$6:$G$1011,7,0)=1,$L624,""),0)</f>
        <v>0</v>
      </c>
      <c r="Z624" s="15">
        <f>_xlfn.IFNA(IF(VLOOKUP($J624&amp;Z$14,'Mapping A'!$A$6:$G$1011,7,0)=1,$L624,""),0)+_xlfn.IFNA(IF(VLOOKUP($J624&amp;Z$16,'Mapping A'!$A$6:$G$1011,7,0)=1,$L624,""),0)</f>
        <v>0</v>
      </c>
      <c r="AA624" s="15">
        <f>_xlfn.IFNA(IF(VLOOKUP($J624&amp;AA$14,'Mapping A'!$A$6:$G$1011,7,0)=1,$L624,""),0)+_xlfn.IFNA(IF(VLOOKUP($J624&amp;AA$16,'Mapping A'!$A$6:$G$1011,7,0)=1,$L624,""),0)</f>
        <v>0</v>
      </c>
      <c r="AF624" s="155" t="str">
        <f t="shared" si="212"/>
        <v>ROX1101 ROX0Contact</v>
      </c>
      <c r="AG624" s="15" t="s">
        <v>315</v>
      </c>
      <c r="AH624" s="15" t="s">
        <v>4</v>
      </c>
      <c r="AI624" s="15">
        <v>534.00503324985505</v>
      </c>
      <c r="AJ624" s="292" t="s">
        <v>96</v>
      </c>
      <c r="AK624" s="15"/>
      <c r="AL624" s="15">
        <f t="shared" si="206"/>
        <v>0</v>
      </c>
      <c r="AM624" s="15">
        <f t="shared" ca="1" si="207"/>
        <v>0</v>
      </c>
      <c r="AN624" s="15">
        <f t="shared" ca="1" si="208"/>
        <v>0</v>
      </c>
      <c r="AO624" s="15">
        <f t="shared" si="209"/>
        <v>0</v>
      </c>
      <c r="AP624" s="15">
        <f t="shared" si="210"/>
        <v>0</v>
      </c>
      <c r="AQ624" s="15">
        <f t="shared" si="211"/>
        <v>0</v>
      </c>
      <c r="AR624" s="190">
        <f t="shared" si="199"/>
        <v>0</v>
      </c>
      <c r="AS624" s="190">
        <f t="shared" ca="1" si="200"/>
        <v>7.809434278288882E-2</v>
      </c>
      <c r="AT624" s="190">
        <f t="shared" si="201"/>
        <v>0</v>
      </c>
      <c r="AU624" s="190">
        <f t="shared" si="202"/>
        <v>0</v>
      </c>
      <c r="AV624" s="190">
        <f t="shared" si="203"/>
        <v>0</v>
      </c>
      <c r="AW624" s="190">
        <f t="shared" si="204"/>
        <v>0</v>
      </c>
      <c r="AX624" s="190">
        <f t="shared" si="205"/>
        <v>0</v>
      </c>
      <c r="AZ624" s="15"/>
      <c r="BP624" s="190"/>
    </row>
    <row r="625" spans="2:68" x14ac:dyDescent="0.25">
      <c r="B625" s="98" t="s">
        <v>553</v>
      </c>
      <c r="C625" s="98">
        <v>2014</v>
      </c>
      <c r="D625" s="98" t="s">
        <v>393</v>
      </c>
      <c r="E625" s="98" t="s">
        <v>14</v>
      </c>
      <c r="F625" s="98" t="s">
        <v>145</v>
      </c>
      <c r="G625" s="248">
        <v>0</v>
      </c>
      <c r="H625" s="299" t="str">
        <f>VLOOKUP(LEFT('Rev Adequacy'!D625,3),'Mapping B'!$D$2:$E$400,2,0)</f>
        <v>N</v>
      </c>
      <c r="J625" s="15" t="s">
        <v>316</v>
      </c>
      <c r="K625" s="15" t="s">
        <v>4</v>
      </c>
      <c r="L625" s="15">
        <v>1277.1565298042201</v>
      </c>
      <c r="M625" s="15"/>
      <c r="N625" s="15"/>
      <c r="O625" s="15">
        <f>_xlfn.IFNA(IF(VLOOKUP($J625&amp;O$14,'Mapping A'!$A$6:$G$1011,7,0)=1,$L625,""),0)+_xlfn.IFNA(IF(VLOOKUP($J625&amp;O$16,'Mapping A'!$A$6:$G$1011,7,0)=1,$L625,""),0)</f>
        <v>0</v>
      </c>
      <c r="P625" s="15">
        <f>_xlfn.IFNA(IF(VLOOKUP($J625&amp;P$14,'Mapping A'!$A$6:$G$1011,7,0)=1,$L625,""),0)+_xlfn.IFNA(IF(VLOOKUP($J625&amp;P$16,'Mapping A'!$A$6:$G$1011,7,0)=1,$L625,""),0)</f>
        <v>1277.1565298042201</v>
      </c>
      <c r="Q625" s="15">
        <f>_xlfn.IFNA(IF(VLOOKUP($J625&amp;Q$14,'Mapping A'!$A$6:$G$1011,7,0)=1,$L625,""),0)+_xlfn.IFNA(IF(VLOOKUP($J625&amp;Q$16,'Mapping A'!$A$6:$G$1011,7,0)=1,$L625,""),0)</f>
        <v>1277.1565298042201</v>
      </c>
      <c r="R625" s="15">
        <f>_xlfn.IFNA(IF(VLOOKUP($J625&amp;R$14,'Mapping A'!$A$6:$G$1011,7,0)=1,$L625,""),0)+_xlfn.IFNA(IF(VLOOKUP($J625&amp;R$16,'Mapping A'!$A$6:$G$1011,7,0)=1,$L625,""),0)</f>
        <v>0</v>
      </c>
      <c r="S625" s="15">
        <f>_xlfn.IFNA(IF(VLOOKUP($J625&amp;S$14,'Mapping A'!$A$6:$G$1011,7,0)=1,$L625,""),0)+_xlfn.IFNA(IF(VLOOKUP($J625&amp;S$16,'Mapping A'!$A$6:$G$1011,7,0)=1,$L625,""),0)</f>
        <v>0</v>
      </c>
      <c r="T625" s="15">
        <f>_xlfn.IFNA(IF(VLOOKUP($J625&amp;T$14,'Mapping A'!$A$6:$G$1011,7,0)=1,$L625,""),0)+_xlfn.IFNA(IF(VLOOKUP($J625&amp;T$16,'Mapping A'!$A$6:$G$1011,7,0)=1,$L625,""),0)</f>
        <v>0</v>
      </c>
      <c r="U625" s="15">
        <f>_xlfn.IFNA(IF(VLOOKUP($J625&amp;U$14,'Mapping A'!$A$6:$G$1011,7,0)=1,$L625,""),0)+_xlfn.IFNA(IF(VLOOKUP($J625&amp;U$16,'Mapping A'!$A$6:$G$1011,7,0)=1,$L625,""),0)</f>
        <v>0</v>
      </c>
      <c r="V625" s="15">
        <f>_xlfn.IFNA(IF(VLOOKUP($J625&amp;V$14,'Mapping A'!$A$6:$G$1011,7,0)=1,$L625,""),0)+_xlfn.IFNA(IF(VLOOKUP($J625&amp;V$16,'Mapping A'!$A$6:$G$1011,7,0)=1,$L625,""),0)</f>
        <v>1277.1565298042201</v>
      </c>
      <c r="W625" s="15">
        <f>_xlfn.IFNA(IF(VLOOKUP($J625&amp;W$14,'Mapping A'!$A$6:$G$1011,7,0)=1,$L625,""),0)+_xlfn.IFNA(IF(VLOOKUP($J625&amp;W$16,'Mapping A'!$A$6:$G$1011,7,0)=1,$L625,""),0)</f>
        <v>0</v>
      </c>
      <c r="X625" s="15">
        <f>_xlfn.IFNA(IF(VLOOKUP($J625&amp;X$14,'Mapping A'!$A$6:$G$1011,7,0)=1,$L625,""),0)+_xlfn.IFNA(IF(VLOOKUP($J625&amp;X$16,'Mapping A'!$A$6:$G$1011,7,0)=1,$L625,""),0)</f>
        <v>0</v>
      </c>
      <c r="Y625" s="15">
        <f>_xlfn.IFNA(IF(VLOOKUP($J625&amp;Y$14,'Mapping A'!$A$6:$G$1011,7,0)=1,$L625,""),0)+_xlfn.IFNA(IF(VLOOKUP($J625&amp;Y$16,'Mapping A'!$A$6:$G$1011,7,0)=1,$L625,""),0)</f>
        <v>0</v>
      </c>
      <c r="Z625" s="15">
        <f>_xlfn.IFNA(IF(VLOOKUP($J625&amp;Z$14,'Mapping A'!$A$6:$G$1011,7,0)=1,$L625,""),0)+_xlfn.IFNA(IF(VLOOKUP($J625&amp;Z$16,'Mapping A'!$A$6:$G$1011,7,0)=1,$L625,""),0)</f>
        <v>0</v>
      </c>
      <c r="AA625" s="15">
        <f>_xlfn.IFNA(IF(VLOOKUP($J625&amp;AA$14,'Mapping A'!$A$6:$G$1011,7,0)=1,$L625,""),0)+_xlfn.IFNA(IF(VLOOKUP($J625&amp;AA$16,'Mapping A'!$A$6:$G$1011,7,0)=1,$L625,""),0)</f>
        <v>0</v>
      </c>
      <c r="AF625" s="155" t="str">
        <f t="shared" si="212"/>
        <v>ROX2201 ROX0Contact</v>
      </c>
      <c r="AG625" s="15" t="s">
        <v>316</v>
      </c>
      <c r="AH625" s="15" t="s">
        <v>4</v>
      </c>
      <c r="AI625" s="15">
        <v>1277.1565298042201</v>
      </c>
      <c r="AJ625" s="292" t="s">
        <v>96</v>
      </c>
      <c r="AK625" s="15"/>
      <c r="AL625" s="15">
        <f t="shared" si="206"/>
        <v>0</v>
      </c>
      <c r="AM625" s="15">
        <f t="shared" ca="1" si="207"/>
        <v>0</v>
      </c>
      <c r="AN625" s="15">
        <f t="shared" ca="1" si="208"/>
        <v>0</v>
      </c>
      <c r="AO625" s="15">
        <f t="shared" si="209"/>
        <v>0</v>
      </c>
      <c r="AP625" s="15">
        <f t="shared" si="210"/>
        <v>0</v>
      </c>
      <c r="AQ625" s="15">
        <f t="shared" si="211"/>
        <v>0</v>
      </c>
      <c r="AR625" s="190">
        <f t="shared" si="199"/>
        <v>0</v>
      </c>
      <c r="AS625" s="190">
        <f t="shared" ca="1" si="200"/>
        <v>0.18677483097667524</v>
      </c>
      <c r="AT625" s="190">
        <f t="shared" si="201"/>
        <v>0</v>
      </c>
      <c r="AU625" s="190">
        <f t="shared" si="202"/>
        <v>0</v>
      </c>
      <c r="AV625" s="190">
        <f t="shared" si="203"/>
        <v>0</v>
      </c>
      <c r="AW625" s="190">
        <f t="shared" si="204"/>
        <v>0</v>
      </c>
      <c r="AX625" s="190">
        <f t="shared" si="205"/>
        <v>0</v>
      </c>
      <c r="AZ625" s="15"/>
      <c r="BP625" s="190"/>
    </row>
    <row r="626" spans="2:68" x14ac:dyDescent="0.25">
      <c r="B626" s="98" t="s">
        <v>553</v>
      </c>
      <c r="C626" s="98">
        <v>2014</v>
      </c>
      <c r="D626" s="98" t="s">
        <v>393</v>
      </c>
      <c r="E626" s="98" t="s">
        <v>14</v>
      </c>
      <c r="F626" s="98" t="s">
        <v>131</v>
      </c>
      <c r="G626" s="248">
        <v>115.07599999999999</v>
      </c>
      <c r="H626" s="299" t="str">
        <f>VLOOKUP(LEFT('Rev Adequacy'!D626,3),'Mapping B'!$D$2:$E$400,2,0)</f>
        <v>N</v>
      </c>
      <c r="J626" s="15" t="s">
        <v>317</v>
      </c>
      <c r="K626" s="15" t="s">
        <v>10</v>
      </c>
      <c r="L626" s="15">
        <v>515.937463040956</v>
      </c>
      <c r="M626" s="15"/>
      <c r="N626" s="15"/>
      <c r="O626" s="15">
        <f>_xlfn.IFNA(IF(VLOOKUP($J626&amp;O$14,'Mapping A'!$A$6:$G$1011,7,0)=1,$L626,""),0)+_xlfn.IFNA(IF(VLOOKUP($J626&amp;O$16,'Mapping A'!$A$6:$G$1011,7,0)=1,$L626,""),0)</f>
        <v>0</v>
      </c>
      <c r="P626" s="15">
        <f>_xlfn.IFNA(IF(VLOOKUP($J626&amp;P$14,'Mapping A'!$A$6:$G$1011,7,0)=1,$L626,""),0)+_xlfn.IFNA(IF(VLOOKUP($J626&amp;P$16,'Mapping A'!$A$6:$G$1011,7,0)=1,$L626,""),0)</f>
        <v>0</v>
      </c>
      <c r="Q626" s="15">
        <f>_xlfn.IFNA(IF(VLOOKUP($J626&amp;Q$14,'Mapping A'!$A$6:$G$1011,7,0)=1,$L626,""),0)+_xlfn.IFNA(IF(VLOOKUP($J626&amp;Q$16,'Mapping A'!$A$6:$G$1011,7,0)=1,$L626,""),0)</f>
        <v>0</v>
      </c>
      <c r="R626" s="15">
        <f>_xlfn.IFNA(IF(VLOOKUP($J626&amp;R$14,'Mapping A'!$A$6:$G$1011,7,0)=1,$L626,""),0)+_xlfn.IFNA(IF(VLOOKUP($J626&amp;R$16,'Mapping A'!$A$6:$G$1011,7,0)=1,$L626,""),0)</f>
        <v>0</v>
      </c>
      <c r="S626" s="15">
        <f>_xlfn.IFNA(IF(VLOOKUP($J626&amp;S$14,'Mapping A'!$A$6:$G$1011,7,0)=1,$L626,""),0)+_xlfn.IFNA(IF(VLOOKUP($J626&amp;S$16,'Mapping A'!$A$6:$G$1011,7,0)=1,$L626,""),0)</f>
        <v>0</v>
      </c>
      <c r="T626" s="15">
        <f>_xlfn.IFNA(IF(VLOOKUP($J626&amp;T$14,'Mapping A'!$A$6:$G$1011,7,0)=1,$L626,""),0)+_xlfn.IFNA(IF(VLOOKUP($J626&amp;T$16,'Mapping A'!$A$6:$G$1011,7,0)=1,$L626,""),0)</f>
        <v>0</v>
      </c>
      <c r="U626" s="15">
        <f>_xlfn.IFNA(IF(VLOOKUP($J626&amp;U$14,'Mapping A'!$A$6:$G$1011,7,0)=1,$L626,""),0)+_xlfn.IFNA(IF(VLOOKUP($J626&amp;U$16,'Mapping A'!$A$6:$G$1011,7,0)=1,$L626,""),0)</f>
        <v>0</v>
      </c>
      <c r="V626" s="15">
        <f>_xlfn.IFNA(IF(VLOOKUP($J626&amp;V$14,'Mapping A'!$A$6:$G$1011,7,0)=1,$L626,""),0)+_xlfn.IFNA(IF(VLOOKUP($J626&amp;V$16,'Mapping A'!$A$6:$G$1011,7,0)=1,$L626,""),0)</f>
        <v>0</v>
      </c>
      <c r="W626" s="15">
        <f>_xlfn.IFNA(IF(VLOOKUP($J626&amp;W$14,'Mapping A'!$A$6:$G$1011,7,0)=1,$L626,""),0)+_xlfn.IFNA(IF(VLOOKUP($J626&amp;W$16,'Mapping A'!$A$6:$G$1011,7,0)=1,$L626,""),0)</f>
        <v>0</v>
      </c>
      <c r="X626" s="15">
        <f>_xlfn.IFNA(IF(VLOOKUP($J626&amp;X$14,'Mapping A'!$A$6:$G$1011,7,0)=1,$L626,""),0)+_xlfn.IFNA(IF(VLOOKUP($J626&amp;X$16,'Mapping A'!$A$6:$G$1011,7,0)=1,$L626,""),0)</f>
        <v>0</v>
      </c>
      <c r="Y626" s="15">
        <f>_xlfn.IFNA(IF(VLOOKUP($J626&amp;Y$14,'Mapping A'!$A$6:$G$1011,7,0)=1,$L626,""),0)+_xlfn.IFNA(IF(VLOOKUP($J626&amp;Y$16,'Mapping A'!$A$6:$G$1011,7,0)=1,$L626,""),0)</f>
        <v>0</v>
      </c>
      <c r="Z626" s="15">
        <f>_xlfn.IFNA(IF(VLOOKUP($J626&amp;Z$14,'Mapping A'!$A$6:$G$1011,7,0)=1,$L626,""),0)+_xlfn.IFNA(IF(VLOOKUP($J626&amp;Z$16,'Mapping A'!$A$6:$G$1011,7,0)=1,$L626,""),0)</f>
        <v>0</v>
      </c>
      <c r="AA626" s="15">
        <f>_xlfn.IFNA(IF(VLOOKUP($J626&amp;AA$14,'Mapping A'!$A$6:$G$1011,7,0)=1,$L626,""),0)+_xlfn.IFNA(IF(VLOOKUP($J626&amp;AA$16,'Mapping A'!$A$6:$G$1011,7,0)=1,$L626,""),0)</f>
        <v>0</v>
      </c>
      <c r="AF626" s="155" t="str">
        <f t="shared" si="212"/>
        <v>RPO2201 RPO0Genesis</v>
      </c>
      <c r="AG626" s="15" t="s">
        <v>317</v>
      </c>
      <c r="AH626" s="15" t="s">
        <v>10</v>
      </c>
      <c r="AI626" s="15">
        <v>515.937463040956</v>
      </c>
      <c r="AJ626" s="292" t="s">
        <v>95</v>
      </c>
      <c r="AK626" s="15"/>
      <c r="AL626" s="15">
        <f t="shared" si="206"/>
        <v>0</v>
      </c>
      <c r="AM626" s="15">
        <f t="shared" ca="1" si="207"/>
        <v>0</v>
      </c>
      <c r="AN626" s="15">
        <f t="shared" ca="1" si="208"/>
        <v>0</v>
      </c>
      <c r="AO626" s="15">
        <f t="shared" si="209"/>
        <v>0</v>
      </c>
      <c r="AP626" s="15">
        <f t="shared" si="210"/>
        <v>0</v>
      </c>
      <c r="AQ626" s="15">
        <f t="shared" si="211"/>
        <v>0</v>
      </c>
      <c r="AR626" s="190">
        <f t="shared" si="199"/>
        <v>0</v>
      </c>
      <c r="AS626" s="190">
        <f t="shared" ca="1" si="200"/>
        <v>0</v>
      </c>
      <c r="AT626" s="190">
        <f t="shared" si="201"/>
        <v>0</v>
      </c>
      <c r="AU626" s="190">
        <f t="shared" si="202"/>
        <v>0</v>
      </c>
      <c r="AV626" s="190">
        <f t="shared" si="203"/>
        <v>0</v>
      </c>
      <c r="AW626" s="190">
        <f t="shared" si="204"/>
        <v>0</v>
      </c>
      <c r="AX626" s="190">
        <f t="shared" si="205"/>
        <v>0</v>
      </c>
      <c r="AZ626" s="15"/>
      <c r="BP626" s="190"/>
    </row>
    <row r="627" spans="2:68" x14ac:dyDescent="0.25">
      <c r="B627" s="98" t="s">
        <v>553</v>
      </c>
      <c r="C627" s="98">
        <v>2014</v>
      </c>
      <c r="D627" s="98" t="s">
        <v>394</v>
      </c>
      <c r="E627" s="98" t="s">
        <v>14</v>
      </c>
      <c r="F627" s="98" t="s">
        <v>145</v>
      </c>
      <c r="G627" s="248">
        <v>0</v>
      </c>
      <c r="H627" s="299" t="str">
        <f>VLOOKUP(LEFT('Rev Adequacy'!D627,3),'Mapping B'!$D$2:$E$400,2,0)</f>
        <v>N</v>
      </c>
      <c r="J627" s="15" t="s">
        <v>322</v>
      </c>
      <c r="K627" s="15" t="s">
        <v>4</v>
      </c>
      <c r="L627" s="15">
        <v>175.98891999671599</v>
      </c>
      <c r="M627" s="15"/>
      <c r="N627" s="15"/>
      <c r="O627" s="15">
        <f>_xlfn.IFNA(IF(VLOOKUP($J627&amp;O$14,'Mapping A'!$A$6:$G$1011,7,0)=1,$L627,""),0)+_xlfn.IFNA(IF(VLOOKUP($J627&amp;O$16,'Mapping A'!$A$6:$G$1011,7,0)=1,$L627,""),0)</f>
        <v>0</v>
      </c>
      <c r="P627" s="15">
        <f>_xlfn.IFNA(IF(VLOOKUP($J627&amp;P$14,'Mapping A'!$A$6:$G$1011,7,0)=1,$L627,""),0)+_xlfn.IFNA(IF(VLOOKUP($J627&amp;P$16,'Mapping A'!$A$6:$G$1011,7,0)=1,$L627,""),0)</f>
        <v>0</v>
      </c>
      <c r="Q627" s="15">
        <f>_xlfn.IFNA(IF(VLOOKUP($J627&amp;Q$14,'Mapping A'!$A$6:$G$1011,7,0)=1,$L627,""),0)+_xlfn.IFNA(IF(VLOOKUP($J627&amp;Q$16,'Mapping A'!$A$6:$G$1011,7,0)=1,$L627,""),0)</f>
        <v>0</v>
      </c>
      <c r="R627" s="15">
        <f>_xlfn.IFNA(IF(VLOOKUP($J627&amp;R$14,'Mapping A'!$A$6:$G$1011,7,0)=1,$L627,""),0)+_xlfn.IFNA(IF(VLOOKUP($J627&amp;R$16,'Mapping A'!$A$6:$G$1011,7,0)=1,$L627,""),0)</f>
        <v>0</v>
      </c>
      <c r="S627" s="15">
        <f>_xlfn.IFNA(IF(VLOOKUP($J627&amp;S$14,'Mapping A'!$A$6:$G$1011,7,0)=1,$L627,""),0)+_xlfn.IFNA(IF(VLOOKUP($J627&amp;S$16,'Mapping A'!$A$6:$G$1011,7,0)=1,$L627,""),0)</f>
        <v>0</v>
      </c>
      <c r="T627" s="15">
        <f>_xlfn.IFNA(IF(VLOOKUP($J627&amp;T$14,'Mapping A'!$A$6:$G$1011,7,0)=1,$L627,""),0)+_xlfn.IFNA(IF(VLOOKUP($J627&amp;T$16,'Mapping A'!$A$6:$G$1011,7,0)=1,$L627,""),0)</f>
        <v>0</v>
      </c>
      <c r="U627" s="15">
        <f>_xlfn.IFNA(IF(VLOOKUP($J627&amp;U$14,'Mapping A'!$A$6:$G$1011,7,0)=1,$L627,""),0)+_xlfn.IFNA(IF(VLOOKUP($J627&amp;U$16,'Mapping A'!$A$6:$G$1011,7,0)=1,$L627,""),0)</f>
        <v>0</v>
      </c>
      <c r="V627" s="15">
        <f>_xlfn.IFNA(IF(VLOOKUP($J627&amp;V$14,'Mapping A'!$A$6:$G$1011,7,0)=1,$L627,""),0)+_xlfn.IFNA(IF(VLOOKUP($J627&amp;V$16,'Mapping A'!$A$6:$G$1011,7,0)=1,$L627,""),0)</f>
        <v>0</v>
      </c>
      <c r="W627" s="15">
        <f>_xlfn.IFNA(IF(VLOOKUP($J627&amp;W$14,'Mapping A'!$A$6:$G$1011,7,0)=1,$L627,""),0)+_xlfn.IFNA(IF(VLOOKUP($J627&amp;W$16,'Mapping A'!$A$6:$G$1011,7,0)=1,$L627,""),0)</f>
        <v>0</v>
      </c>
      <c r="X627" s="15">
        <f>_xlfn.IFNA(IF(VLOOKUP($J627&amp;X$14,'Mapping A'!$A$6:$G$1011,7,0)=1,$L627,""),0)+_xlfn.IFNA(IF(VLOOKUP($J627&amp;X$16,'Mapping A'!$A$6:$G$1011,7,0)=1,$L627,""),0)</f>
        <v>0</v>
      </c>
      <c r="Y627" s="15">
        <f>_xlfn.IFNA(IF(VLOOKUP($J627&amp;Y$14,'Mapping A'!$A$6:$G$1011,7,0)=1,$L627,""),0)+_xlfn.IFNA(IF(VLOOKUP($J627&amp;Y$16,'Mapping A'!$A$6:$G$1011,7,0)=1,$L627,""),0)</f>
        <v>0</v>
      </c>
      <c r="Z627" s="15">
        <f>_xlfn.IFNA(IF(VLOOKUP($J627&amp;Z$14,'Mapping A'!$A$6:$G$1011,7,0)=1,$L627,""),0)+_xlfn.IFNA(IF(VLOOKUP($J627&amp;Z$16,'Mapping A'!$A$6:$G$1011,7,0)=1,$L627,""),0)</f>
        <v>0</v>
      </c>
      <c r="AA627" s="15">
        <f>_xlfn.IFNA(IF(VLOOKUP($J627&amp;AA$14,'Mapping A'!$A$6:$G$1011,7,0)=1,$L627,""),0)+_xlfn.IFNA(IF(VLOOKUP($J627&amp;AA$16,'Mapping A'!$A$6:$G$1011,7,0)=1,$L627,""),0)</f>
        <v>0</v>
      </c>
      <c r="AF627" s="155" t="str">
        <f t="shared" si="212"/>
        <v>SFD2201 SFD21Contact</v>
      </c>
      <c r="AG627" s="15" t="s">
        <v>322</v>
      </c>
      <c r="AH627" s="15" t="s">
        <v>4</v>
      </c>
      <c r="AI627" s="15">
        <v>175.98891999671599</v>
      </c>
      <c r="AJ627" s="292" t="s">
        <v>95</v>
      </c>
      <c r="AK627" s="15"/>
      <c r="AL627" s="15">
        <f t="shared" si="206"/>
        <v>0</v>
      </c>
      <c r="AM627" s="15">
        <f t="shared" ca="1" si="207"/>
        <v>0</v>
      </c>
      <c r="AN627" s="15">
        <f t="shared" ca="1" si="208"/>
        <v>0</v>
      </c>
      <c r="AO627" s="15">
        <f t="shared" si="209"/>
        <v>0</v>
      </c>
      <c r="AP627" s="15">
        <f t="shared" si="210"/>
        <v>0</v>
      </c>
      <c r="AQ627" s="15">
        <f t="shared" si="211"/>
        <v>0</v>
      </c>
      <c r="AR627" s="190">
        <f t="shared" si="199"/>
        <v>0</v>
      </c>
      <c r="AS627" s="190">
        <f t="shared" ca="1" si="200"/>
        <v>0</v>
      </c>
      <c r="AT627" s="190">
        <f t="shared" si="201"/>
        <v>0</v>
      </c>
      <c r="AU627" s="190">
        <f t="shared" si="202"/>
        <v>0</v>
      </c>
      <c r="AV627" s="190">
        <f t="shared" si="203"/>
        <v>0</v>
      </c>
      <c r="AW627" s="190">
        <f t="shared" si="204"/>
        <v>0</v>
      </c>
      <c r="AX627" s="190">
        <f t="shared" si="205"/>
        <v>0</v>
      </c>
      <c r="AZ627" s="15"/>
      <c r="BP627" s="190"/>
    </row>
    <row r="628" spans="2:68" x14ac:dyDescent="0.25">
      <c r="B628" s="98" t="s">
        <v>553</v>
      </c>
      <c r="C628" s="98">
        <v>2014</v>
      </c>
      <c r="D628" s="98" t="s">
        <v>394</v>
      </c>
      <c r="E628" s="98" t="s">
        <v>14</v>
      </c>
      <c r="F628" s="98" t="s">
        <v>131</v>
      </c>
      <c r="G628" s="248">
        <v>110.355</v>
      </c>
      <c r="H628" s="299" t="str">
        <f>VLOOKUP(LEFT('Rev Adequacy'!D628,3),'Mapping B'!$D$2:$E$400,2,0)</f>
        <v>N</v>
      </c>
      <c r="J628" s="15" t="s">
        <v>323</v>
      </c>
      <c r="K628" s="15" t="s">
        <v>4</v>
      </c>
      <c r="L628" s="15">
        <v>169.84708999464601</v>
      </c>
      <c r="M628" s="15"/>
      <c r="N628" s="15"/>
      <c r="O628" s="15">
        <f>_xlfn.IFNA(IF(VLOOKUP($J628&amp;O$14,'Mapping A'!$A$6:$G$1011,7,0)=1,$L628,""),0)+_xlfn.IFNA(IF(VLOOKUP($J628&amp;O$16,'Mapping A'!$A$6:$G$1011,7,0)=1,$L628,""),0)</f>
        <v>0</v>
      </c>
      <c r="P628" s="15">
        <f>_xlfn.IFNA(IF(VLOOKUP($J628&amp;P$14,'Mapping A'!$A$6:$G$1011,7,0)=1,$L628,""),0)+_xlfn.IFNA(IF(VLOOKUP($J628&amp;P$16,'Mapping A'!$A$6:$G$1011,7,0)=1,$L628,""),0)</f>
        <v>0</v>
      </c>
      <c r="Q628" s="15">
        <f>_xlfn.IFNA(IF(VLOOKUP($J628&amp;Q$14,'Mapping A'!$A$6:$G$1011,7,0)=1,$L628,""),0)+_xlfn.IFNA(IF(VLOOKUP($J628&amp;Q$16,'Mapping A'!$A$6:$G$1011,7,0)=1,$L628,""),0)</f>
        <v>0</v>
      </c>
      <c r="R628" s="15">
        <f>_xlfn.IFNA(IF(VLOOKUP($J628&amp;R$14,'Mapping A'!$A$6:$G$1011,7,0)=1,$L628,""),0)+_xlfn.IFNA(IF(VLOOKUP($J628&amp;R$16,'Mapping A'!$A$6:$G$1011,7,0)=1,$L628,""),0)</f>
        <v>0</v>
      </c>
      <c r="S628" s="15">
        <f>_xlfn.IFNA(IF(VLOOKUP($J628&amp;S$14,'Mapping A'!$A$6:$G$1011,7,0)=1,$L628,""),0)+_xlfn.IFNA(IF(VLOOKUP($J628&amp;S$16,'Mapping A'!$A$6:$G$1011,7,0)=1,$L628,""),0)</f>
        <v>0</v>
      </c>
      <c r="T628" s="15">
        <f>_xlfn.IFNA(IF(VLOOKUP($J628&amp;T$14,'Mapping A'!$A$6:$G$1011,7,0)=1,$L628,""),0)+_xlfn.IFNA(IF(VLOOKUP($J628&amp;T$16,'Mapping A'!$A$6:$G$1011,7,0)=1,$L628,""),0)</f>
        <v>0</v>
      </c>
      <c r="U628" s="15">
        <f>_xlfn.IFNA(IF(VLOOKUP($J628&amp;U$14,'Mapping A'!$A$6:$G$1011,7,0)=1,$L628,""),0)+_xlfn.IFNA(IF(VLOOKUP($J628&amp;U$16,'Mapping A'!$A$6:$G$1011,7,0)=1,$L628,""),0)</f>
        <v>0</v>
      </c>
      <c r="V628" s="15">
        <f>_xlfn.IFNA(IF(VLOOKUP($J628&amp;V$14,'Mapping A'!$A$6:$G$1011,7,0)=1,$L628,""),0)+_xlfn.IFNA(IF(VLOOKUP($J628&amp;V$16,'Mapping A'!$A$6:$G$1011,7,0)=1,$L628,""),0)</f>
        <v>0</v>
      </c>
      <c r="W628" s="15">
        <f>_xlfn.IFNA(IF(VLOOKUP($J628&amp;W$14,'Mapping A'!$A$6:$G$1011,7,0)=1,$L628,""),0)+_xlfn.IFNA(IF(VLOOKUP($J628&amp;W$16,'Mapping A'!$A$6:$G$1011,7,0)=1,$L628,""),0)</f>
        <v>0</v>
      </c>
      <c r="X628" s="15">
        <f>_xlfn.IFNA(IF(VLOOKUP($J628&amp;X$14,'Mapping A'!$A$6:$G$1011,7,0)=1,$L628,""),0)+_xlfn.IFNA(IF(VLOOKUP($J628&amp;X$16,'Mapping A'!$A$6:$G$1011,7,0)=1,$L628,""),0)</f>
        <v>0</v>
      </c>
      <c r="Y628" s="15">
        <f>_xlfn.IFNA(IF(VLOOKUP($J628&amp;Y$14,'Mapping A'!$A$6:$G$1011,7,0)=1,$L628,""),0)+_xlfn.IFNA(IF(VLOOKUP($J628&amp;Y$16,'Mapping A'!$A$6:$G$1011,7,0)=1,$L628,""),0)</f>
        <v>0</v>
      </c>
      <c r="Z628" s="15">
        <f>_xlfn.IFNA(IF(VLOOKUP($J628&amp;Z$14,'Mapping A'!$A$6:$G$1011,7,0)=1,$L628,""),0)+_xlfn.IFNA(IF(VLOOKUP($J628&amp;Z$16,'Mapping A'!$A$6:$G$1011,7,0)=1,$L628,""),0)</f>
        <v>0</v>
      </c>
      <c r="AA628" s="15">
        <f>_xlfn.IFNA(IF(VLOOKUP($J628&amp;AA$14,'Mapping A'!$A$6:$G$1011,7,0)=1,$L628,""),0)+_xlfn.IFNA(IF(VLOOKUP($J628&amp;AA$16,'Mapping A'!$A$6:$G$1011,7,0)=1,$L628,""),0)</f>
        <v>0</v>
      </c>
      <c r="AF628" s="155" t="str">
        <f t="shared" si="212"/>
        <v>SFD2201 SFD22Contact</v>
      </c>
      <c r="AG628" s="15" t="s">
        <v>323</v>
      </c>
      <c r="AH628" s="15" t="s">
        <v>4</v>
      </c>
      <c r="AI628" s="15">
        <v>169.84708999464601</v>
      </c>
      <c r="AJ628" s="292" t="s">
        <v>95</v>
      </c>
      <c r="AK628" s="15"/>
      <c r="AL628" s="15">
        <f t="shared" si="206"/>
        <v>0</v>
      </c>
      <c r="AM628" s="15">
        <f t="shared" ca="1" si="207"/>
        <v>0</v>
      </c>
      <c r="AN628" s="15">
        <f t="shared" ca="1" si="208"/>
        <v>0</v>
      </c>
      <c r="AO628" s="15">
        <f t="shared" si="209"/>
        <v>0</v>
      </c>
      <c r="AP628" s="15">
        <f t="shared" si="210"/>
        <v>0</v>
      </c>
      <c r="AQ628" s="15">
        <f t="shared" si="211"/>
        <v>0</v>
      </c>
      <c r="AR628" s="190">
        <f t="shared" si="199"/>
        <v>0</v>
      </c>
      <c r="AS628" s="190">
        <f t="shared" ca="1" si="200"/>
        <v>0</v>
      </c>
      <c r="AT628" s="190">
        <f t="shared" si="201"/>
        <v>0</v>
      </c>
      <c r="AU628" s="190">
        <f t="shared" si="202"/>
        <v>0</v>
      </c>
      <c r="AV628" s="190">
        <f t="shared" si="203"/>
        <v>0</v>
      </c>
      <c r="AW628" s="190">
        <f t="shared" si="204"/>
        <v>0</v>
      </c>
      <c r="AX628" s="190">
        <f t="shared" si="205"/>
        <v>0</v>
      </c>
      <c r="AZ628" s="15"/>
      <c r="BP628" s="190"/>
    </row>
    <row r="629" spans="2:68" x14ac:dyDescent="0.25">
      <c r="B629" s="98" t="s">
        <v>554</v>
      </c>
      <c r="C629" s="98">
        <v>2014</v>
      </c>
      <c r="D629" s="98" t="s">
        <v>149</v>
      </c>
      <c r="E629" s="98" t="s">
        <v>14</v>
      </c>
      <c r="F629" s="98" t="s">
        <v>136</v>
      </c>
      <c r="G629" s="98">
        <v>0</v>
      </c>
      <c r="H629" s="299" t="str">
        <f>VLOOKUP(LEFT('Rev Adequacy'!D629,3),'Mapping B'!$D$2:$E$400,2,0)</f>
        <v>S</v>
      </c>
      <c r="J629" s="15" t="s">
        <v>324</v>
      </c>
      <c r="K629" s="15" t="s">
        <v>4</v>
      </c>
      <c r="L629" s="15">
        <v>607.45222940933695</v>
      </c>
      <c r="M629" s="15"/>
      <c r="N629" s="15"/>
      <c r="O629" s="15">
        <f>_xlfn.IFNA(IF(VLOOKUP($J629&amp;O$14,'Mapping A'!$A$6:$G$1011,7,0)=1,$L629,""),0)+_xlfn.IFNA(IF(VLOOKUP($J629&amp;O$16,'Mapping A'!$A$6:$G$1011,7,0)=1,$L629,""),0)</f>
        <v>0</v>
      </c>
      <c r="P629" s="15">
        <f>_xlfn.IFNA(IF(VLOOKUP($J629&amp;P$14,'Mapping A'!$A$6:$G$1011,7,0)=1,$L629,""),0)+_xlfn.IFNA(IF(VLOOKUP($J629&amp;P$16,'Mapping A'!$A$6:$G$1011,7,0)=1,$L629,""),0)</f>
        <v>0</v>
      </c>
      <c r="Q629" s="15">
        <f>_xlfn.IFNA(IF(VLOOKUP($J629&amp;Q$14,'Mapping A'!$A$6:$G$1011,7,0)=1,$L629,""),0)+_xlfn.IFNA(IF(VLOOKUP($J629&amp;Q$16,'Mapping A'!$A$6:$G$1011,7,0)=1,$L629,""),0)</f>
        <v>0</v>
      </c>
      <c r="R629" s="15">
        <f>_xlfn.IFNA(IF(VLOOKUP($J629&amp;R$14,'Mapping A'!$A$6:$G$1011,7,0)=1,$L629,""),0)+_xlfn.IFNA(IF(VLOOKUP($J629&amp;R$16,'Mapping A'!$A$6:$G$1011,7,0)=1,$L629,""),0)</f>
        <v>0</v>
      </c>
      <c r="S629" s="15">
        <f>_xlfn.IFNA(IF(VLOOKUP($J629&amp;S$14,'Mapping A'!$A$6:$G$1011,7,0)=1,$L629,""),0)+_xlfn.IFNA(IF(VLOOKUP($J629&amp;S$16,'Mapping A'!$A$6:$G$1011,7,0)=1,$L629,""),0)</f>
        <v>0</v>
      </c>
      <c r="T629" s="15">
        <f>_xlfn.IFNA(IF(VLOOKUP($J629&amp;T$14,'Mapping A'!$A$6:$G$1011,7,0)=1,$L629,""),0)+_xlfn.IFNA(IF(VLOOKUP($J629&amp;T$16,'Mapping A'!$A$6:$G$1011,7,0)=1,$L629,""),0)</f>
        <v>0</v>
      </c>
      <c r="U629" s="15">
        <f>_xlfn.IFNA(IF(VLOOKUP($J629&amp;U$14,'Mapping A'!$A$6:$G$1011,7,0)=1,$L629,""),0)+_xlfn.IFNA(IF(VLOOKUP($J629&amp;U$16,'Mapping A'!$A$6:$G$1011,7,0)=1,$L629,""),0)</f>
        <v>0</v>
      </c>
      <c r="V629" s="15">
        <f>_xlfn.IFNA(IF(VLOOKUP($J629&amp;V$14,'Mapping A'!$A$6:$G$1011,7,0)=1,$L629,""),0)+_xlfn.IFNA(IF(VLOOKUP($J629&amp;V$16,'Mapping A'!$A$6:$G$1011,7,0)=1,$L629,""),0)</f>
        <v>0</v>
      </c>
      <c r="W629" s="15">
        <f>_xlfn.IFNA(IF(VLOOKUP($J629&amp;W$14,'Mapping A'!$A$6:$G$1011,7,0)=1,$L629,""),0)+_xlfn.IFNA(IF(VLOOKUP($J629&amp;W$16,'Mapping A'!$A$6:$G$1011,7,0)=1,$L629,""),0)</f>
        <v>0</v>
      </c>
      <c r="X629" s="15">
        <f>_xlfn.IFNA(IF(VLOOKUP($J629&amp;X$14,'Mapping A'!$A$6:$G$1011,7,0)=1,$L629,""),0)+_xlfn.IFNA(IF(VLOOKUP($J629&amp;X$16,'Mapping A'!$A$6:$G$1011,7,0)=1,$L629,""),0)</f>
        <v>0</v>
      </c>
      <c r="Y629" s="15">
        <f>_xlfn.IFNA(IF(VLOOKUP($J629&amp;Y$14,'Mapping A'!$A$6:$G$1011,7,0)=1,$L629,""),0)+_xlfn.IFNA(IF(VLOOKUP($J629&amp;Y$16,'Mapping A'!$A$6:$G$1011,7,0)=1,$L629,""),0)</f>
        <v>0</v>
      </c>
      <c r="Z629" s="15">
        <f>_xlfn.IFNA(IF(VLOOKUP($J629&amp;Z$14,'Mapping A'!$A$6:$G$1011,7,0)=1,$L629,""),0)+_xlfn.IFNA(IF(VLOOKUP($J629&amp;Z$16,'Mapping A'!$A$6:$G$1011,7,0)=1,$L629,""),0)</f>
        <v>0</v>
      </c>
      <c r="AA629" s="15">
        <f>_xlfn.IFNA(IF(VLOOKUP($J629&amp;AA$14,'Mapping A'!$A$6:$G$1011,7,0)=1,$L629,""),0)+_xlfn.IFNA(IF(VLOOKUP($J629&amp;AA$16,'Mapping A'!$A$6:$G$1011,7,0)=1,$L629,""),0)</f>
        <v>0</v>
      </c>
      <c r="AF629" s="155" t="str">
        <f t="shared" si="212"/>
        <v>SFD2201 SPL0Contact</v>
      </c>
      <c r="AG629" s="15" t="s">
        <v>324</v>
      </c>
      <c r="AH629" s="15" t="s">
        <v>4</v>
      </c>
      <c r="AI629" s="15">
        <v>607.45222940933695</v>
      </c>
      <c r="AJ629" s="292" t="s">
        <v>95</v>
      </c>
      <c r="AK629" s="15"/>
      <c r="AL629" s="15">
        <f t="shared" si="206"/>
        <v>0</v>
      </c>
      <c r="AM629" s="15">
        <f t="shared" ca="1" si="207"/>
        <v>0</v>
      </c>
      <c r="AN629" s="15">
        <f t="shared" ca="1" si="208"/>
        <v>0</v>
      </c>
      <c r="AO629" s="15">
        <f t="shared" si="209"/>
        <v>0</v>
      </c>
      <c r="AP629" s="15">
        <f t="shared" si="210"/>
        <v>0</v>
      </c>
      <c r="AQ629" s="15">
        <f t="shared" si="211"/>
        <v>0</v>
      </c>
      <c r="AR629" s="190">
        <f t="shared" si="199"/>
        <v>0</v>
      </c>
      <c r="AS629" s="190">
        <f t="shared" ca="1" si="200"/>
        <v>0</v>
      </c>
      <c r="AT629" s="190">
        <f t="shared" si="201"/>
        <v>0</v>
      </c>
      <c r="AU629" s="190">
        <f t="shared" si="202"/>
        <v>0</v>
      </c>
      <c r="AV629" s="190">
        <f t="shared" si="203"/>
        <v>0</v>
      </c>
      <c r="AW629" s="190">
        <f t="shared" si="204"/>
        <v>0</v>
      </c>
      <c r="AX629" s="190">
        <f t="shared" si="205"/>
        <v>0</v>
      </c>
      <c r="AZ629" s="15"/>
      <c r="BP629" s="190"/>
    </row>
    <row r="630" spans="2:68" x14ac:dyDescent="0.25">
      <c r="B630" s="98" t="s">
        <v>554</v>
      </c>
      <c r="C630" s="98">
        <v>2014</v>
      </c>
      <c r="D630" s="98" t="s">
        <v>152</v>
      </c>
      <c r="E630" s="98" t="s">
        <v>14</v>
      </c>
      <c r="F630" s="98" t="s">
        <v>136</v>
      </c>
      <c r="G630" s="98">
        <v>0</v>
      </c>
      <c r="H630" s="299" t="str">
        <f>VLOOKUP(LEFT('Rev Adequacy'!D630,3),'Mapping B'!$D$2:$E$400,2,0)</f>
        <v>S</v>
      </c>
      <c r="J630" s="15" t="s">
        <v>326</v>
      </c>
      <c r="K630" s="15" t="s">
        <v>35</v>
      </c>
      <c r="L630" s="15"/>
      <c r="M630" s="15"/>
      <c r="N630" s="15"/>
      <c r="O630" s="15">
        <f>_xlfn.IFNA(IF(VLOOKUP($J630&amp;O$14,'Mapping A'!$A$6:$G$1011,7,0)=1,$L630,""),0)+_xlfn.IFNA(IF(VLOOKUP($J630&amp;O$16,'Mapping A'!$A$6:$G$1011,7,0)=1,$L630,""),0)</f>
        <v>0</v>
      </c>
      <c r="P630" s="15">
        <f>_xlfn.IFNA(IF(VLOOKUP($J630&amp;P$14,'Mapping A'!$A$6:$G$1011,7,0)=1,$L630,""),0)+_xlfn.IFNA(IF(VLOOKUP($J630&amp;P$16,'Mapping A'!$A$6:$G$1011,7,0)=1,$L630,""),0)</f>
        <v>0</v>
      </c>
      <c r="Q630" s="15">
        <f>_xlfn.IFNA(IF(VLOOKUP($J630&amp;Q$14,'Mapping A'!$A$6:$G$1011,7,0)=1,$L630,""),0)+_xlfn.IFNA(IF(VLOOKUP($J630&amp;Q$16,'Mapping A'!$A$6:$G$1011,7,0)=1,$L630,""),0)</f>
        <v>0</v>
      </c>
      <c r="R630" s="15">
        <f>_xlfn.IFNA(IF(VLOOKUP($J630&amp;R$14,'Mapping A'!$A$6:$G$1011,7,0)=1,$L630,""),0)+_xlfn.IFNA(IF(VLOOKUP($J630&amp;R$16,'Mapping A'!$A$6:$G$1011,7,0)=1,$L630,""),0)</f>
        <v>0</v>
      </c>
      <c r="S630" s="15">
        <f>_xlfn.IFNA(IF(VLOOKUP($J630&amp;S$14,'Mapping A'!$A$6:$G$1011,7,0)=1,$L630,""),0)+_xlfn.IFNA(IF(VLOOKUP($J630&amp;S$16,'Mapping A'!$A$6:$G$1011,7,0)=1,$L630,""),0)</f>
        <v>0</v>
      </c>
      <c r="T630" s="15">
        <f>_xlfn.IFNA(IF(VLOOKUP($J630&amp;T$14,'Mapping A'!$A$6:$G$1011,7,0)=1,$L630,""),0)+_xlfn.IFNA(IF(VLOOKUP($J630&amp;T$16,'Mapping A'!$A$6:$G$1011,7,0)=1,$L630,""),0)</f>
        <v>0</v>
      </c>
      <c r="U630" s="15">
        <f>_xlfn.IFNA(IF(VLOOKUP($J630&amp;U$14,'Mapping A'!$A$6:$G$1011,7,0)=1,$L630,""),0)+_xlfn.IFNA(IF(VLOOKUP($J630&amp;U$16,'Mapping A'!$A$6:$G$1011,7,0)=1,$L630,""),0)</f>
        <v>0</v>
      </c>
      <c r="V630" s="15">
        <f>_xlfn.IFNA(IF(VLOOKUP($J630&amp;V$14,'Mapping A'!$A$6:$G$1011,7,0)=1,$L630,""),0)+_xlfn.IFNA(IF(VLOOKUP($J630&amp;V$16,'Mapping A'!$A$6:$G$1011,7,0)=1,$L630,""),0)</f>
        <v>0</v>
      </c>
      <c r="W630" s="15">
        <f>_xlfn.IFNA(IF(VLOOKUP($J630&amp;W$14,'Mapping A'!$A$6:$G$1011,7,0)=1,$L630,""),0)+_xlfn.IFNA(IF(VLOOKUP($J630&amp;W$16,'Mapping A'!$A$6:$G$1011,7,0)=1,$L630,""),0)</f>
        <v>0</v>
      </c>
      <c r="X630" s="15">
        <f>_xlfn.IFNA(IF(VLOOKUP($J630&amp;X$14,'Mapping A'!$A$6:$G$1011,7,0)=1,$L630,""),0)+_xlfn.IFNA(IF(VLOOKUP($J630&amp;X$16,'Mapping A'!$A$6:$G$1011,7,0)=1,$L630,""),0)</f>
        <v>0</v>
      </c>
      <c r="Y630" s="15">
        <f>_xlfn.IFNA(IF(VLOOKUP($J630&amp;Y$14,'Mapping A'!$A$6:$G$1011,7,0)=1,$L630,""),0)+_xlfn.IFNA(IF(VLOOKUP($J630&amp;Y$16,'Mapping A'!$A$6:$G$1011,7,0)=1,$L630,""),0)</f>
        <v>0</v>
      </c>
      <c r="Z630" s="15">
        <f>_xlfn.IFNA(IF(VLOOKUP($J630&amp;Z$14,'Mapping A'!$A$6:$G$1011,7,0)=1,$L630,""),0)+_xlfn.IFNA(IF(VLOOKUP($J630&amp;Z$16,'Mapping A'!$A$6:$G$1011,7,0)=1,$L630,""),0)</f>
        <v>0</v>
      </c>
      <c r="AA630" s="15">
        <f>_xlfn.IFNA(IF(VLOOKUP($J630&amp;AA$14,'Mapping A'!$A$6:$G$1011,7,0)=1,$L630,""),0)+_xlfn.IFNA(IF(VLOOKUP($J630&amp;AA$16,'Mapping A'!$A$6:$G$1011,7,0)=1,$L630,""),0)</f>
        <v>0</v>
      </c>
      <c r="AF630" s="155" t="str">
        <f t="shared" si="212"/>
        <v>STK0661 COB0Trustpower</v>
      </c>
      <c r="AG630" s="15" t="s">
        <v>326</v>
      </c>
      <c r="AH630" s="15" t="s">
        <v>35</v>
      </c>
      <c r="AI630" s="15"/>
      <c r="AJ630" s="292" t="s">
        <v>96</v>
      </c>
      <c r="AK630" s="15"/>
      <c r="AL630" s="15">
        <f t="shared" si="206"/>
        <v>0</v>
      </c>
      <c r="AM630" s="15">
        <f t="shared" ca="1" si="207"/>
        <v>0</v>
      </c>
      <c r="AN630" s="15">
        <f t="shared" ca="1" si="208"/>
        <v>0</v>
      </c>
      <c r="AO630" s="15">
        <f t="shared" si="209"/>
        <v>0</v>
      </c>
      <c r="AP630" s="15">
        <f t="shared" si="210"/>
        <v>0</v>
      </c>
      <c r="AQ630" s="15">
        <f t="shared" si="211"/>
        <v>0</v>
      </c>
      <c r="AR630" s="190">
        <f t="shared" si="199"/>
        <v>0</v>
      </c>
      <c r="AS630" s="190">
        <f t="shared" ca="1" si="200"/>
        <v>0</v>
      </c>
      <c r="AT630" s="190">
        <f t="shared" si="201"/>
        <v>0</v>
      </c>
      <c r="AU630" s="190">
        <f t="shared" si="202"/>
        <v>0</v>
      </c>
      <c r="AV630" s="190">
        <f t="shared" si="203"/>
        <v>0</v>
      </c>
      <c r="AW630" s="190">
        <f t="shared" si="204"/>
        <v>0</v>
      </c>
      <c r="AX630" s="190">
        <f t="shared" si="205"/>
        <v>0</v>
      </c>
      <c r="AZ630" s="15"/>
      <c r="BP630" s="190"/>
    </row>
    <row r="631" spans="2:68" x14ac:dyDescent="0.25">
      <c r="B631" s="98" t="s">
        <v>554</v>
      </c>
      <c r="C631" s="98">
        <v>2014</v>
      </c>
      <c r="D631" s="98" t="s">
        <v>217</v>
      </c>
      <c r="E631" s="98" t="s">
        <v>14</v>
      </c>
      <c r="F631" s="98" t="s">
        <v>131</v>
      </c>
      <c r="G631" s="98">
        <v>1125.2329999999999</v>
      </c>
      <c r="H631" s="299" t="str">
        <f>VLOOKUP(LEFT('Rev Adequacy'!D631,3),'Mapping B'!$D$2:$E$400,2,0)</f>
        <v>N</v>
      </c>
      <c r="J631" s="15" t="s">
        <v>435</v>
      </c>
      <c r="K631" s="15" t="s">
        <v>17</v>
      </c>
      <c r="L631" s="15">
        <v>331.476460149351</v>
      </c>
      <c r="M631" s="15"/>
      <c r="N631" s="15"/>
      <c r="O631" s="15">
        <f>_xlfn.IFNA(IF(VLOOKUP($J631&amp;O$14,'Mapping A'!$A$6:$G$1011,7,0)=1,$L631,""),0)+_xlfn.IFNA(IF(VLOOKUP($J631&amp;O$16,'Mapping A'!$A$6:$G$1011,7,0)=1,$L631,""),0)</f>
        <v>0</v>
      </c>
      <c r="P631" s="15">
        <f>_xlfn.IFNA(IF(VLOOKUP($J631&amp;P$14,'Mapping A'!$A$6:$G$1011,7,0)=1,$L631,""),0)+_xlfn.IFNA(IF(VLOOKUP($J631&amp;P$16,'Mapping A'!$A$6:$G$1011,7,0)=1,$L631,""),0)</f>
        <v>0</v>
      </c>
      <c r="Q631" s="15">
        <f>_xlfn.IFNA(IF(VLOOKUP($J631&amp;Q$14,'Mapping A'!$A$6:$G$1011,7,0)=1,$L631,""),0)+_xlfn.IFNA(IF(VLOOKUP($J631&amp;Q$16,'Mapping A'!$A$6:$G$1011,7,0)=1,$L631,""),0)</f>
        <v>0</v>
      </c>
      <c r="R631" s="15">
        <f>_xlfn.IFNA(IF(VLOOKUP($J631&amp;R$14,'Mapping A'!$A$6:$G$1011,7,0)=1,$L631,""),0)+_xlfn.IFNA(IF(VLOOKUP($J631&amp;R$16,'Mapping A'!$A$6:$G$1011,7,0)=1,$L631,""),0)</f>
        <v>0</v>
      </c>
      <c r="S631" s="15">
        <f>_xlfn.IFNA(IF(VLOOKUP($J631&amp;S$14,'Mapping A'!$A$6:$G$1011,7,0)=1,$L631,""),0)+_xlfn.IFNA(IF(VLOOKUP($J631&amp;S$16,'Mapping A'!$A$6:$G$1011,7,0)=1,$L631,""),0)</f>
        <v>0</v>
      </c>
      <c r="T631" s="15">
        <f>_xlfn.IFNA(IF(VLOOKUP($J631&amp;T$14,'Mapping A'!$A$6:$G$1011,7,0)=1,$L631,""),0)+_xlfn.IFNA(IF(VLOOKUP($J631&amp;T$16,'Mapping A'!$A$6:$G$1011,7,0)=1,$L631,""),0)</f>
        <v>0</v>
      </c>
      <c r="U631" s="15">
        <f>_xlfn.IFNA(IF(VLOOKUP($J631&amp;U$14,'Mapping A'!$A$6:$G$1011,7,0)=1,$L631,""),0)+_xlfn.IFNA(IF(VLOOKUP($J631&amp;U$16,'Mapping A'!$A$6:$G$1011,7,0)=1,$L631,""),0)</f>
        <v>0</v>
      </c>
      <c r="V631" s="15">
        <f>_xlfn.IFNA(IF(VLOOKUP($J631&amp;V$14,'Mapping A'!$A$6:$G$1011,7,0)=1,$L631,""),0)+_xlfn.IFNA(IF(VLOOKUP($J631&amp;V$16,'Mapping A'!$A$6:$G$1011,7,0)=1,$L631,""),0)</f>
        <v>0</v>
      </c>
      <c r="W631" s="15">
        <f>_xlfn.IFNA(IF(VLOOKUP($J631&amp;W$14,'Mapping A'!$A$6:$G$1011,7,0)=1,$L631,""),0)+_xlfn.IFNA(IF(VLOOKUP($J631&amp;W$16,'Mapping A'!$A$6:$G$1011,7,0)=1,$L631,""),0)</f>
        <v>0</v>
      </c>
      <c r="X631" s="15">
        <f>_xlfn.IFNA(IF(VLOOKUP($J631&amp;X$14,'Mapping A'!$A$6:$G$1011,7,0)=1,$L631,""),0)+_xlfn.IFNA(IF(VLOOKUP($J631&amp;X$16,'Mapping A'!$A$6:$G$1011,7,0)=1,$L631,""),0)</f>
        <v>0</v>
      </c>
      <c r="Y631" s="15">
        <f>_xlfn.IFNA(IF(VLOOKUP($J631&amp;Y$14,'Mapping A'!$A$6:$G$1011,7,0)=1,$L631,""),0)+_xlfn.IFNA(IF(VLOOKUP($J631&amp;Y$16,'Mapping A'!$A$6:$G$1011,7,0)=1,$L631,""),0)</f>
        <v>0</v>
      </c>
      <c r="Z631" s="15">
        <f>_xlfn.IFNA(IF(VLOOKUP($J631&amp;Z$14,'Mapping A'!$A$6:$G$1011,7,0)=1,$L631,""),0)+_xlfn.IFNA(IF(VLOOKUP($J631&amp;Z$16,'Mapping A'!$A$6:$G$1011,7,0)=1,$L631,""),0)</f>
        <v>0</v>
      </c>
      <c r="AA631" s="15">
        <f>_xlfn.IFNA(IF(VLOOKUP($J631&amp;AA$14,'Mapping A'!$A$6:$G$1011,7,0)=1,$L631,""),0)+_xlfn.IFNA(IF(VLOOKUP($J631&amp;AA$16,'Mapping A'!$A$6:$G$1011,7,0)=1,$L631,""),0)</f>
        <v>0</v>
      </c>
      <c r="AF631" s="155" t="str">
        <f t="shared" si="212"/>
        <v>SWN2201 SWN0MRP</v>
      </c>
      <c r="AG631" s="15" t="s">
        <v>435</v>
      </c>
      <c r="AH631" s="15" t="s">
        <v>17</v>
      </c>
      <c r="AI631" s="15">
        <v>331.476460149351</v>
      </c>
      <c r="AJ631" s="292" t="s">
        <v>95</v>
      </c>
      <c r="AK631" s="15"/>
      <c r="AL631" s="15">
        <f t="shared" si="206"/>
        <v>0</v>
      </c>
      <c r="AM631" s="15">
        <f t="shared" ca="1" si="207"/>
        <v>0</v>
      </c>
      <c r="AN631" s="15">
        <f t="shared" ca="1" si="208"/>
        <v>0</v>
      </c>
      <c r="AO631" s="15">
        <f t="shared" si="209"/>
        <v>0</v>
      </c>
      <c r="AP631" s="15">
        <f t="shared" si="210"/>
        <v>0</v>
      </c>
      <c r="AQ631" s="15">
        <f t="shared" si="211"/>
        <v>0</v>
      </c>
      <c r="AR631" s="190">
        <f t="shared" si="199"/>
        <v>0</v>
      </c>
      <c r="AS631" s="190">
        <f t="shared" ca="1" si="200"/>
        <v>0</v>
      </c>
      <c r="AT631" s="190">
        <f t="shared" si="201"/>
        <v>0</v>
      </c>
      <c r="AU631" s="190">
        <f t="shared" si="202"/>
        <v>0</v>
      </c>
      <c r="AV631" s="190">
        <f t="shared" si="203"/>
        <v>0</v>
      </c>
      <c r="AW631" s="190">
        <f t="shared" si="204"/>
        <v>0</v>
      </c>
      <c r="AX631" s="190">
        <f t="shared" si="205"/>
        <v>0</v>
      </c>
      <c r="AZ631" s="15"/>
      <c r="BP631" s="190"/>
    </row>
    <row r="632" spans="2:68" x14ac:dyDescent="0.25">
      <c r="B632" s="98" t="s">
        <v>554</v>
      </c>
      <c r="C632" s="98">
        <v>2014</v>
      </c>
      <c r="D632" s="98" t="s">
        <v>248</v>
      </c>
      <c r="E632" s="98" t="s">
        <v>14</v>
      </c>
      <c r="F632" s="98" t="s">
        <v>136</v>
      </c>
      <c r="G632" s="98">
        <v>0</v>
      </c>
      <c r="H632" s="299" t="str">
        <f>VLOOKUP(LEFT('Rev Adequacy'!D632,3),'Mapping B'!$D$2:$E$400,2,0)</f>
        <v>S</v>
      </c>
      <c r="J632" s="15" t="s">
        <v>331</v>
      </c>
      <c r="K632" s="15" t="s">
        <v>17</v>
      </c>
      <c r="L632" s="15">
        <v>331.476460149351</v>
      </c>
      <c r="M632" s="15"/>
      <c r="N632" s="15"/>
      <c r="O632" s="15">
        <f>_xlfn.IFNA(IF(VLOOKUP($J632&amp;O$14,'Mapping A'!$A$6:$G$1011,7,0)=1,$L632,""),0)+_xlfn.IFNA(IF(VLOOKUP($J632&amp;O$16,'Mapping A'!$A$6:$G$1011,7,0)=1,$L632,""),0)</f>
        <v>0</v>
      </c>
      <c r="P632" s="15">
        <f>_xlfn.IFNA(IF(VLOOKUP($J632&amp;P$14,'Mapping A'!$A$6:$G$1011,7,0)=1,$L632,""),0)+_xlfn.IFNA(IF(VLOOKUP($J632&amp;P$16,'Mapping A'!$A$6:$G$1011,7,0)=1,$L632,""),0)</f>
        <v>0</v>
      </c>
      <c r="Q632" s="15">
        <f>_xlfn.IFNA(IF(VLOOKUP($J632&amp;Q$14,'Mapping A'!$A$6:$G$1011,7,0)=1,$L632,""),0)+_xlfn.IFNA(IF(VLOOKUP($J632&amp;Q$16,'Mapping A'!$A$6:$G$1011,7,0)=1,$L632,""),0)</f>
        <v>0</v>
      </c>
      <c r="R632" s="15">
        <f>_xlfn.IFNA(IF(VLOOKUP($J632&amp;R$14,'Mapping A'!$A$6:$G$1011,7,0)=1,$L632,""),0)+_xlfn.IFNA(IF(VLOOKUP($J632&amp;R$16,'Mapping A'!$A$6:$G$1011,7,0)=1,$L632,""),0)</f>
        <v>0</v>
      </c>
      <c r="S632" s="15">
        <f>_xlfn.IFNA(IF(VLOOKUP($J632&amp;S$14,'Mapping A'!$A$6:$G$1011,7,0)=1,$L632,""),0)+_xlfn.IFNA(IF(VLOOKUP($J632&amp;S$16,'Mapping A'!$A$6:$G$1011,7,0)=1,$L632,""),0)</f>
        <v>0</v>
      </c>
      <c r="T632" s="15">
        <f>_xlfn.IFNA(IF(VLOOKUP($J632&amp;T$14,'Mapping A'!$A$6:$G$1011,7,0)=1,$L632,""),0)+_xlfn.IFNA(IF(VLOOKUP($J632&amp;T$16,'Mapping A'!$A$6:$G$1011,7,0)=1,$L632,""),0)</f>
        <v>0</v>
      </c>
      <c r="U632" s="15">
        <f>_xlfn.IFNA(IF(VLOOKUP($J632&amp;U$14,'Mapping A'!$A$6:$G$1011,7,0)=1,$L632,""),0)+_xlfn.IFNA(IF(VLOOKUP($J632&amp;U$16,'Mapping A'!$A$6:$G$1011,7,0)=1,$L632,""),0)</f>
        <v>0</v>
      </c>
      <c r="V632" s="15">
        <f>_xlfn.IFNA(IF(VLOOKUP($J632&amp;V$14,'Mapping A'!$A$6:$G$1011,7,0)=1,$L632,""),0)+_xlfn.IFNA(IF(VLOOKUP($J632&amp;V$16,'Mapping A'!$A$6:$G$1011,7,0)=1,$L632,""),0)</f>
        <v>0</v>
      </c>
      <c r="W632" s="15">
        <f>_xlfn.IFNA(IF(VLOOKUP($J632&amp;W$14,'Mapping A'!$A$6:$G$1011,7,0)=1,$L632,""),0)+_xlfn.IFNA(IF(VLOOKUP($J632&amp;W$16,'Mapping A'!$A$6:$G$1011,7,0)=1,$L632,""),0)</f>
        <v>0</v>
      </c>
      <c r="X632" s="15">
        <f>_xlfn.IFNA(IF(VLOOKUP($J632&amp;X$14,'Mapping A'!$A$6:$G$1011,7,0)=1,$L632,""),0)+_xlfn.IFNA(IF(VLOOKUP($J632&amp;X$16,'Mapping A'!$A$6:$G$1011,7,0)=1,$L632,""),0)</f>
        <v>0</v>
      </c>
      <c r="Y632" s="15">
        <f>_xlfn.IFNA(IF(VLOOKUP($J632&amp;Y$14,'Mapping A'!$A$6:$G$1011,7,0)=1,$L632,""),0)+_xlfn.IFNA(IF(VLOOKUP($J632&amp;Y$16,'Mapping A'!$A$6:$G$1011,7,0)=1,$L632,""),0)</f>
        <v>0</v>
      </c>
      <c r="Z632" s="15">
        <f>_xlfn.IFNA(IF(VLOOKUP($J632&amp;Z$14,'Mapping A'!$A$6:$G$1011,7,0)=1,$L632,""),0)+_xlfn.IFNA(IF(VLOOKUP($J632&amp;Z$16,'Mapping A'!$A$6:$G$1011,7,0)=1,$L632,""),0)</f>
        <v>0</v>
      </c>
      <c r="AA632" s="15">
        <f>_xlfn.IFNA(IF(VLOOKUP($J632&amp;AA$14,'Mapping A'!$A$6:$G$1011,7,0)=1,$L632,""),0)+_xlfn.IFNA(IF(VLOOKUP($J632&amp;AA$16,'Mapping A'!$A$6:$G$1011,7,0)=1,$L632,""),0)</f>
        <v>0</v>
      </c>
      <c r="AF632" s="155" t="str">
        <f t="shared" si="212"/>
        <v>SWN2201 SWN5MRP</v>
      </c>
      <c r="AG632" s="15" t="s">
        <v>331</v>
      </c>
      <c r="AH632" s="15" t="s">
        <v>17</v>
      </c>
      <c r="AI632" s="15">
        <v>331.476460149351</v>
      </c>
      <c r="AJ632" s="292" t="s">
        <v>95</v>
      </c>
      <c r="AK632" s="15"/>
      <c r="AL632" s="15">
        <f t="shared" si="206"/>
        <v>0</v>
      </c>
      <c r="AM632" s="15">
        <f t="shared" ca="1" si="207"/>
        <v>0</v>
      </c>
      <c r="AN632" s="15">
        <f t="shared" ca="1" si="208"/>
        <v>0</v>
      </c>
      <c r="AO632" s="15">
        <f t="shared" si="209"/>
        <v>0</v>
      </c>
      <c r="AP632" s="15">
        <f t="shared" si="210"/>
        <v>0</v>
      </c>
      <c r="AQ632" s="15">
        <f t="shared" si="211"/>
        <v>0</v>
      </c>
      <c r="AR632" s="190">
        <f t="shared" si="199"/>
        <v>0</v>
      </c>
      <c r="AS632" s="190">
        <f t="shared" ca="1" si="200"/>
        <v>0</v>
      </c>
      <c r="AT632" s="190">
        <f t="shared" si="201"/>
        <v>0</v>
      </c>
      <c r="AU632" s="190">
        <f t="shared" si="202"/>
        <v>0</v>
      </c>
      <c r="AV632" s="190">
        <f t="shared" si="203"/>
        <v>0</v>
      </c>
      <c r="AW632" s="190">
        <f t="shared" si="204"/>
        <v>0</v>
      </c>
      <c r="AX632" s="190">
        <f t="shared" si="205"/>
        <v>0</v>
      </c>
      <c r="AZ632" s="15"/>
      <c r="BP632" s="190"/>
    </row>
    <row r="633" spans="2:68" x14ac:dyDescent="0.25">
      <c r="B633" s="98" t="s">
        <v>554</v>
      </c>
      <c r="C633" s="98">
        <v>2014</v>
      </c>
      <c r="D633" s="98" t="s">
        <v>277</v>
      </c>
      <c r="E633" s="98" t="s">
        <v>14</v>
      </c>
      <c r="F633" s="98" t="s">
        <v>145</v>
      </c>
      <c r="G633" s="98">
        <v>0</v>
      </c>
      <c r="H633" s="299" t="str">
        <f>VLOOKUP(LEFT('Rev Adequacy'!D633,3),'Mapping B'!$D$2:$E$400,2,0)</f>
        <v>S</v>
      </c>
      <c r="J633" s="15" t="s">
        <v>335</v>
      </c>
      <c r="K633" s="15" t="s">
        <v>35</v>
      </c>
      <c r="L633" s="15">
        <v>150.431774929597</v>
      </c>
      <c r="M633" s="15"/>
      <c r="N633" s="15"/>
      <c r="O633" s="15">
        <f>_xlfn.IFNA(IF(VLOOKUP($J633&amp;O$14,'Mapping A'!$A$6:$G$1011,7,0)=1,$L633,""),0)+_xlfn.IFNA(IF(VLOOKUP($J633&amp;O$16,'Mapping A'!$A$6:$G$1011,7,0)=1,$L633,""),0)</f>
        <v>0</v>
      </c>
      <c r="P633" s="15">
        <f>_xlfn.IFNA(IF(VLOOKUP($J633&amp;P$14,'Mapping A'!$A$6:$G$1011,7,0)=1,$L633,""),0)+_xlfn.IFNA(IF(VLOOKUP($J633&amp;P$16,'Mapping A'!$A$6:$G$1011,7,0)=1,$L633,""),0)</f>
        <v>0</v>
      </c>
      <c r="Q633" s="15">
        <f>_xlfn.IFNA(IF(VLOOKUP($J633&amp;Q$14,'Mapping A'!$A$6:$G$1011,7,0)=1,$L633,""),0)+_xlfn.IFNA(IF(VLOOKUP($J633&amp;Q$16,'Mapping A'!$A$6:$G$1011,7,0)=1,$L633,""),0)</f>
        <v>0</v>
      </c>
      <c r="R633" s="15">
        <f>_xlfn.IFNA(IF(VLOOKUP($J633&amp;R$14,'Mapping A'!$A$6:$G$1011,7,0)=1,$L633,""),0)+_xlfn.IFNA(IF(VLOOKUP($J633&amp;R$16,'Mapping A'!$A$6:$G$1011,7,0)=1,$L633,""),0)</f>
        <v>0</v>
      </c>
      <c r="S633" s="15">
        <f>_xlfn.IFNA(IF(VLOOKUP($J633&amp;S$14,'Mapping A'!$A$6:$G$1011,7,0)=1,$L633,""),0)+_xlfn.IFNA(IF(VLOOKUP($J633&amp;S$16,'Mapping A'!$A$6:$G$1011,7,0)=1,$L633,""),0)</f>
        <v>0</v>
      </c>
      <c r="T633" s="15">
        <f>_xlfn.IFNA(IF(VLOOKUP($J633&amp;T$14,'Mapping A'!$A$6:$G$1011,7,0)=1,$L633,""),0)+_xlfn.IFNA(IF(VLOOKUP($J633&amp;T$16,'Mapping A'!$A$6:$G$1011,7,0)=1,$L633,""),0)</f>
        <v>0</v>
      </c>
      <c r="U633" s="15">
        <f>_xlfn.IFNA(IF(VLOOKUP($J633&amp;U$14,'Mapping A'!$A$6:$G$1011,7,0)=1,$L633,""),0)+_xlfn.IFNA(IF(VLOOKUP($J633&amp;U$16,'Mapping A'!$A$6:$G$1011,7,0)=1,$L633,""),0)</f>
        <v>0</v>
      </c>
      <c r="V633" s="15">
        <f>_xlfn.IFNA(IF(VLOOKUP($J633&amp;V$14,'Mapping A'!$A$6:$G$1011,7,0)=1,$L633,""),0)+_xlfn.IFNA(IF(VLOOKUP($J633&amp;V$16,'Mapping A'!$A$6:$G$1011,7,0)=1,$L633,""),0)</f>
        <v>0</v>
      </c>
      <c r="W633" s="15">
        <f>_xlfn.IFNA(IF(VLOOKUP($J633&amp;W$14,'Mapping A'!$A$6:$G$1011,7,0)=1,$L633,""),0)+_xlfn.IFNA(IF(VLOOKUP($J633&amp;W$16,'Mapping A'!$A$6:$G$1011,7,0)=1,$L633,""),0)</f>
        <v>0</v>
      </c>
      <c r="X633" s="15">
        <f>_xlfn.IFNA(IF(VLOOKUP($J633&amp;X$14,'Mapping A'!$A$6:$G$1011,7,0)=1,$L633,""),0)+_xlfn.IFNA(IF(VLOOKUP($J633&amp;X$16,'Mapping A'!$A$6:$G$1011,7,0)=1,$L633,""),0)</f>
        <v>0</v>
      </c>
      <c r="Y633" s="15">
        <f>_xlfn.IFNA(IF(VLOOKUP($J633&amp;Y$14,'Mapping A'!$A$6:$G$1011,7,0)=1,$L633,""),0)+_xlfn.IFNA(IF(VLOOKUP($J633&amp;Y$16,'Mapping A'!$A$6:$G$1011,7,0)=1,$L633,""),0)</f>
        <v>0</v>
      </c>
      <c r="Z633" s="15">
        <f>_xlfn.IFNA(IF(VLOOKUP($J633&amp;Z$14,'Mapping A'!$A$6:$G$1011,7,0)=1,$L633,""),0)+_xlfn.IFNA(IF(VLOOKUP($J633&amp;Z$16,'Mapping A'!$A$6:$G$1011,7,0)=1,$L633,""),0)</f>
        <v>0</v>
      </c>
      <c r="AA633" s="15">
        <f>_xlfn.IFNA(IF(VLOOKUP($J633&amp;AA$14,'Mapping A'!$A$6:$G$1011,7,0)=1,$L633,""),0)+_xlfn.IFNA(IF(VLOOKUP($J633&amp;AA$16,'Mapping A'!$A$6:$G$1011,7,0)=1,$L633,""),0)</f>
        <v>0</v>
      </c>
      <c r="AF633" s="155" t="str">
        <f t="shared" si="212"/>
        <v>TGA0331 KMI0Trustpower</v>
      </c>
      <c r="AG633" s="15" t="s">
        <v>335</v>
      </c>
      <c r="AH633" s="15" t="s">
        <v>35</v>
      </c>
      <c r="AI633" s="15">
        <v>150.431774929597</v>
      </c>
      <c r="AJ633" s="292" t="s">
        <v>95</v>
      </c>
      <c r="AK633" s="15"/>
      <c r="AL633" s="15">
        <f t="shared" si="206"/>
        <v>0</v>
      </c>
      <c r="AM633" s="15">
        <f t="shared" ca="1" si="207"/>
        <v>0</v>
      </c>
      <c r="AN633" s="15">
        <f t="shared" ca="1" si="208"/>
        <v>0</v>
      </c>
      <c r="AO633" s="15">
        <f t="shared" si="209"/>
        <v>0</v>
      </c>
      <c r="AP633" s="15">
        <f t="shared" si="210"/>
        <v>0</v>
      </c>
      <c r="AQ633" s="15">
        <f t="shared" si="211"/>
        <v>0</v>
      </c>
      <c r="AR633" s="190">
        <f t="shared" si="199"/>
        <v>0</v>
      </c>
      <c r="AS633" s="190">
        <f t="shared" ca="1" si="200"/>
        <v>0</v>
      </c>
      <c r="AT633" s="190">
        <f t="shared" si="201"/>
        <v>0</v>
      </c>
      <c r="AU633" s="190">
        <f t="shared" si="202"/>
        <v>0</v>
      </c>
      <c r="AV633" s="190">
        <f t="shared" si="203"/>
        <v>0</v>
      </c>
      <c r="AW633" s="190">
        <f t="shared" si="204"/>
        <v>0</v>
      </c>
      <c r="AX633" s="190">
        <f t="shared" si="205"/>
        <v>0</v>
      </c>
      <c r="AZ633" s="15"/>
      <c r="BP633" s="190"/>
    </row>
    <row r="634" spans="2:68" x14ac:dyDescent="0.25">
      <c r="B634" s="98" t="s">
        <v>554</v>
      </c>
      <c r="C634" s="98">
        <v>2014</v>
      </c>
      <c r="D634" s="98" t="s">
        <v>283</v>
      </c>
      <c r="E634" s="98" t="s">
        <v>14</v>
      </c>
      <c r="F634" s="98" t="s">
        <v>136</v>
      </c>
      <c r="G634" s="98">
        <v>43486.276000002399</v>
      </c>
      <c r="H634" s="299" t="str">
        <f>VLOOKUP(LEFT('Rev Adequacy'!D634,3),'Mapping B'!$D$2:$E$400,2,0)</f>
        <v>S</v>
      </c>
      <c r="J634" s="15" t="s">
        <v>337</v>
      </c>
      <c r="K634" s="15" t="s">
        <v>4</v>
      </c>
      <c r="L634" s="15">
        <v>758.92182277050597</v>
      </c>
      <c r="M634" s="15"/>
      <c r="N634" s="15"/>
      <c r="O634" s="15">
        <f>_xlfn.IFNA(IF(VLOOKUP($J634&amp;O$14,'Mapping A'!$A$6:$G$1011,7,0)=1,$L634,""),0)+_xlfn.IFNA(IF(VLOOKUP($J634&amp;O$16,'Mapping A'!$A$6:$G$1011,7,0)=1,$L634,""),0)</f>
        <v>0</v>
      </c>
      <c r="P634" s="15">
        <f>_xlfn.IFNA(IF(VLOOKUP($J634&amp;P$14,'Mapping A'!$A$6:$G$1011,7,0)=1,$L634,""),0)+_xlfn.IFNA(IF(VLOOKUP($J634&amp;P$16,'Mapping A'!$A$6:$G$1011,7,0)=1,$L634,""),0)</f>
        <v>0</v>
      </c>
      <c r="Q634" s="15">
        <f>_xlfn.IFNA(IF(VLOOKUP($J634&amp;Q$14,'Mapping A'!$A$6:$G$1011,7,0)=1,$L634,""),0)+_xlfn.IFNA(IF(VLOOKUP($J634&amp;Q$16,'Mapping A'!$A$6:$G$1011,7,0)=1,$L634,""),0)</f>
        <v>0</v>
      </c>
      <c r="R634" s="15">
        <f>_xlfn.IFNA(IF(VLOOKUP($J634&amp;R$14,'Mapping A'!$A$6:$G$1011,7,0)=1,$L634,""),0)+_xlfn.IFNA(IF(VLOOKUP($J634&amp;R$16,'Mapping A'!$A$6:$G$1011,7,0)=1,$L634,""),0)</f>
        <v>0</v>
      </c>
      <c r="S634" s="15">
        <f>_xlfn.IFNA(IF(VLOOKUP($J634&amp;S$14,'Mapping A'!$A$6:$G$1011,7,0)=1,$L634,""),0)+_xlfn.IFNA(IF(VLOOKUP($J634&amp;S$16,'Mapping A'!$A$6:$G$1011,7,0)=1,$L634,""),0)</f>
        <v>0</v>
      </c>
      <c r="T634" s="15">
        <f>_xlfn.IFNA(IF(VLOOKUP($J634&amp;T$14,'Mapping A'!$A$6:$G$1011,7,0)=1,$L634,""),0)+_xlfn.IFNA(IF(VLOOKUP($J634&amp;T$16,'Mapping A'!$A$6:$G$1011,7,0)=1,$L634,""),0)</f>
        <v>0</v>
      </c>
      <c r="U634" s="15">
        <f>_xlfn.IFNA(IF(VLOOKUP($J634&amp;U$14,'Mapping A'!$A$6:$G$1011,7,0)=1,$L634,""),0)+_xlfn.IFNA(IF(VLOOKUP($J634&amp;U$16,'Mapping A'!$A$6:$G$1011,7,0)=1,$L634,""),0)</f>
        <v>0</v>
      </c>
      <c r="V634" s="15">
        <f>_xlfn.IFNA(IF(VLOOKUP($J634&amp;V$14,'Mapping A'!$A$6:$G$1011,7,0)=1,$L634,""),0)+_xlfn.IFNA(IF(VLOOKUP($J634&amp;V$16,'Mapping A'!$A$6:$G$1011,7,0)=1,$L634,""),0)</f>
        <v>0</v>
      </c>
      <c r="W634" s="15">
        <f>_xlfn.IFNA(IF(VLOOKUP($J634&amp;W$14,'Mapping A'!$A$6:$G$1011,7,0)=1,$L634,""),0)+_xlfn.IFNA(IF(VLOOKUP($J634&amp;W$16,'Mapping A'!$A$6:$G$1011,7,0)=1,$L634,""),0)</f>
        <v>0</v>
      </c>
      <c r="X634" s="15">
        <f>_xlfn.IFNA(IF(VLOOKUP($J634&amp;X$14,'Mapping A'!$A$6:$G$1011,7,0)=1,$L634,""),0)+_xlfn.IFNA(IF(VLOOKUP($J634&amp;X$16,'Mapping A'!$A$6:$G$1011,7,0)=1,$L634,""),0)</f>
        <v>0</v>
      </c>
      <c r="Y634" s="15">
        <f>_xlfn.IFNA(IF(VLOOKUP($J634&amp;Y$14,'Mapping A'!$A$6:$G$1011,7,0)=1,$L634,""),0)+_xlfn.IFNA(IF(VLOOKUP($J634&amp;Y$16,'Mapping A'!$A$6:$G$1011,7,0)=1,$L634,""),0)</f>
        <v>0</v>
      </c>
      <c r="Z634" s="15">
        <f>_xlfn.IFNA(IF(VLOOKUP($J634&amp;Z$14,'Mapping A'!$A$6:$G$1011,7,0)=1,$L634,""),0)+_xlfn.IFNA(IF(VLOOKUP($J634&amp;Z$16,'Mapping A'!$A$6:$G$1011,7,0)=1,$L634,""),0)</f>
        <v>0</v>
      </c>
      <c r="AA634" s="15">
        <f>_xlfn.IFNA(IF(VLOOKUP($J634&amp;AA$14,'Mapping A'!$A$6:$G$1011,7,0)=1,$L634,""),0)+_xlfn.IFNA(IF(VLOOKUP($J634&amp;AA$16,'Mapping A'!$A$6:$G$1011,7,0)=1,$L634,""),0)</f>
        <v>0</v>
      </c>
      <c r="AF634" s="155" t="str">
        <f t="shared" si="212"/>
        <v>THI2201 THI1Contact</v>
      </c>
      <c r="AG634" s="15" t="s">
        <v>337</v>
      </c>
      <c r="AH634" s="15" t="s">
        <v>4</v>
      </c>
      <c r="AI634" s="15">
        <v>758.92182277050597</v>
      </c>
      <c r="AJ634" s="292" t="s">
        <v>95</v>
      </c>
      <c r="AK634" s="15"/>
      <c r="AL634" s="15">
        <f t="shared" si="206"/>
        <v>0</v>
      </c>
      <c r="AM634" s="15">
        <f t="shared" ca="1" si="207"/>
        <v>0</v>
      </c>
      <c r="AN634" s="15">
        <f t="shared" ca="1" si="208"/>
        <v>0</v>
      </c>
      <c r="AO634" s="15">
        <f t="shared" si="209"/>
        <v>0</v>
      </c>
      <c r="AP634" s="15">
        <f t="shared" si="210"/>
        <v>0</v>
      </c>
      <c r="AQ634" s="15">
        <f t="shared" si="211"/>
        <v>0</v>
      </c>
      <c r="AR634" s="190">
        <f t="shared" si="199"/>
        <v>0</v>
      </c>
      <c r="AS634" s="190">
        <f t="shared" ca="1" si="200"/>
        <v>0</v>
      </c>
      <c r="AT634" s="190">
        <f t="shared" si="201"/>
        <v>0</v>
      </c>
      <c r="AU634" s="190">
        <f t="shared" si="202"/>
        <v>0</v>
      </c>
      <c r="AV634" s="190">
        <f t="shared" si="203"/>
        <v>0</v>
      </c>
      <c r="AW634" s="190">
        <f t="shared" si="204"/>
        <v>0</v>
      </c>
      <c r="AX634" s="190">
        <f t="shared" si="205"/>
        <v>0</v>
      </c>
      <c r="AZ634" s="15"/>
      <c r="BP634" s="190"/>
    </row>
    <row r="635" spans="2:68" x14ac:dyDescent="0.25">
      <c r="B635" s="98" t="s">
        <v>554</v>
      </c>
      <c r="C635" s="98">
        <v>2014</v>
      </c>
      <c r="D635" s="98" t="s">
        <v>284</v>
      </c>
      <c r="E635" s="98" t="s">
        <v>14</v>
      </c>
      <c r="F635" s="98" t="s">
        <v>136</v>
      </c>
      <c r="G635" s="98">
        <v>0</v>
      </c>
      <c r="H635" s="299" t="str">
        <f>VLOOKUP(LEFT('Rev Adequacy'!D635,3),'Mapping B'!$D$2:$E$400,2,0)</f>
        <v>S</v>
      </c>
      <c r="J635" s="15" t="s">
        <v>338</v>
      </c>
      <c r="K635" s="15" t="s">
        <v>4</v>
      </c>
      <c r="L635" s="15">
        <v>758.92182277050597</v>
      </c>
      <c r="M635" s="15"/>
      <c r="N635" s="15"/>
      <c r="O635" s="15">
        <f>_xlfn.IFNA(IF(VLOOKUP($J635&amp;O$14,'Mapping A'!$A$6:$G$1011,7,0)=1,$L635,""),0)+_xlfn.IFNA(IF(VLOOKUP($J635&amp;O$16,'Mapping A'!$A$6:$G$1011,7,0)=1,$L635,""),0)</f>
        <v>0</v>
      </c>
      <c r="P635" s="15">
        <f>_xlfn.IFNA(IF(VLOOKUP($J635&amp;P$14,'Mapping A'!$A$6:$G$1011,7,0)=1,$L635,""),0)+_xlfn.IFNA(IF(VLOOKUP($J635&amp;P$16,'Mapping A'!$A$6:$G$1011,7,0)=1,$L635,""),0)</f>
        <v>0</v>
      </c>
      <c r="Q635" s="15">
        <f>_xlfn.IFNA(IF(VLOOKUP($J635&amp;Q$14,'Mapping A'!$A$6:$G$1011,7,0)=1,$L635,""),0)+_xlfn.IFNA(IF(VLOOKUP($J635&amp;Q$16,'Mapping A'!$A$6:$G$1011,7,0)=1,$L635,""),0)</f>
        <v>0</v>
      </c>
      <c r="R635" s="15">
        <f>_xlfn.IFNA(IF(VLOOKUP($J635&amp;R$14,'Mapping A'!$A$6:$G$1011,7,0)=1,$L635,""),0)+_xlfn.IFNA(IF(VLOOKUP($J635&amp;R$16,'Mapping A'!$A$6:$G$1011,7,0)=1,$L635,""),0)</f>
        <v>0</v>
      </c>
      <c r="S635" s="15">
        <f>_xlfn.IFNA(IF(VLOOKUP($J635&amp;S$14,'Mapping A'!$A$6:$G$1011,7,0)=1,$L635,""),0)+_xlfn.IFNA(IF(VLOOKUP($J635&amp;S$16,'Mapping A'!$A$6:$G$1011,7,0)=1,$L635,""),0)</f>
        <v>0</v>
      </c>
      <c r="T635" s="15">
        <f>_xlfn.IFNA(IF(VLOOKUP($J635&amp;T$14,'Mapping A'!$A$6:$G$1011,7,0)=1,$L635,""),0)+_xlfn.IFNA(IF(VLOOKUP($J635&amp;T$16,'Mapping A'!$A$6:$G$1011,7,0)=1,$L635,""),0)</f>
        <v>0</v>
      </c>
      <c r="U635" s="15">
        <f>_xlfn.IFNA(IF(VLOOKUP($J635&amp;U$14,'Mapping A'!$A$6:$G$1011,7,0)=1,$L635,""),0)+_xlfn.IFNA(IF(VLOOKUP($J635&amp;U$16,'Mapping A'!$A$6:$G$1011,7,0)=1,$L635,""),0)</f>
        <v>0</v>
      </c>
      <c r="V635" s="15">
        <f>_xlfn.IFNA(IF(VLOOKUP($J635&amp;V$14,'Mapping A'!$A$6:$G$1011,7,0)=1,$L635,""),0)+_xlfn.IFNA(IF(VLOOKUP($J635&amp;V$16,'Mapping A'!$A$6:$G$1011,7,0)=1,$L635,""),0)</f>
        <v>0</v>
      </c>
      <c r="W635" s="15">
        <f>_xlfn.IFNA(IF(VLOOKUP($J635&amp;W$14,'Mapping A'!$A$6:$G$1011,7,0)=1,$L635,""),0)+_xlfn.IFNA(IF(VLOOKUP($J635&amp;W$16,'Mapping A'!$A$6:$G$1011,7,0)=1,$L635,""),0)</f>
        <v>0</v>
      </c>
      <c r="X635" s="15">
        <f>_xlfn.IFNA(IF(VLOOKUP($J635&amp;X$14,'Mapping A'!$A$6:$G$1011,7,0)=1,$L635,""),0)+_xlfn.IFNA(IF(VLOOKUP($J635&amp;X$16,'Mapping A'!$A$6:$G$1011,7,0)=1,$L635,""),0)</f>
        <v>0</v>
      </c>
      <c r="Y635" s="15">
        <f>_xlfn.IFNA(IF(VLOOKUP($J635&amp;Y$14,'Mapping A'!$A$6:$G$1011,7,0)=1,$L635,""),0)+_xlfn.IFNA(IF(VLOOKUP($J635&amp;Y$16,'Mapping A'!$A$6:$G$1011,7,0)=1,$L635,""),0)</f>
        <v>0</v>
      </c>
      <c r="Z635" s="15">
        <f>_xlfn.IFNA(IF(VLOOKUP($J635&amp;Z$14,'Mapping A'!$A$6:$G$1011,7,0)=1,$L635,""),0)+_xlfn.IFNA(IF(VLOOKUP($J635&amp;Z$16,'Mapping A'!$A$6:$G$1011,7,0)=1,$L635,""),0)</f>
        <v>0</v>
      </c>
      <c r="AA635" s="15">
        <f>_xlfn.IFNA(IF(VLOOKUP($J635&amp;AA$14,'Mapping A'!$A$6:$G$1011,7,0)=1,$L635,""),0)+_xlfn.IFNA(IF(VLOOKUP($J635&amp;AA$16,'Mapping A'!$A$6:$G$1011,7,0)=1,$L635,""),0)</f>
        <v>0</v>
      </c>
      <c r="AF635" s="155" t="str">
        <f t="shared" si="212"/>
        <v>THI2201 THI2Contact</v>
      </c>
      <c r="AG635" s="15" t="s">
        <v>338</v>
      </c>
      <c r="AH635" s="15" t="s">
        <v>4</v>
      </c>
      <c r="AI635" s="15">
        <v>758.92182277050597</v>
      </c>
      <c r="AJ635" s="292" t="s">
        <v>95</v>
      </c>
      <c r="AK635" s="15"/>
      <c r="AL635" s="15">
        <f t="shared" si="206"/>
        <v>0</v>
      </c>
      <c r="AM635" s="15">
        <f t="shared" ca="1" si="207"/>
        <v>0</v>
      </c>
      <c r="AN635" s="15">
        <f t="shared" ca="1" si="208"/>
        <v>0</v>
      </c>
      <c r="AO635" s="15">
        <f t="shared" si="209"/>
        <v>0</v>
      </c>
      <c r="AP635" s="15">
        <f t="shared" si="210"/>
        <v>0</v>
      </c>
      <c r="AQ635" s="15">
        <f t="shared" si="211"/>
        <v>0</v>
      </c>
      <c r="AR635" s="190">
        <f t="shared" si="199"/>
        <v>0</v>
      </c>
      <c r="AS635" s="190">
        <f t="shared" ca="1" si="200"/>
        <v>0</v>
      </c>
      <c r="AT635" s="190">
        <f t="shared" si="201"/>
        <v>0</v>
      </c>
      <c r="AU635" s="190">
        <f t="shared" si="202"/>
        <v>0</v>
      </c>
      <c r="AV635" s="190">
        <f t="shared" si="203"/>
        <v>0</v>
      </c>
      <c r="AW635" s="190">
        <f t="shared" si="204"/>
        <v>0</v>
      </c>
      <c r="AX635" s="190">
        <f t="shared" si="205"/>
        <v>0</v>
      </c>
      <c r="AZ635" s="15"/>
      <c r="BP635" s="190"/>
    </row>
    <row r="636" spans="2:68" x14ac:dyDescent="0.25">
      <c r="B636" s="98" t="s">
        <v>554</v>
      </c>
      <c r="C636" s="98">
        <v>2014</v>
      </c>
      <c r="D636" s="98" t="s">
        <v>285</v>
      </c>
      <c r="E636" s="98" t="s">
        <v>14</v>
      </c>
      <c r="F636" s="98" t="s">
        <v>136</v>
      </c>
      <c r="G636" s="98">
        <v>0</v>
      </c>
      <c r="H636" s="299" t="str">
        <f>VLOOKUP(LEFT('Rev Adequacy'!D636,3),'Mapping B'!$D$2:$E$400,2,0)</f>
        <v>S</v>
      </c>
      <c r="J636" s="15" t="s">
        <v>436</v>
      </c>
      <c r="K636" s="15" t="s">
        <v>10</v>
      </c>
      <c r="L636" s="15">
        <v>51.431554977798299</v>
      </c>
      <c r="M636" s="15"/>
      <c r="N636" s="15"/>
      <c r="O636" s="15">
        <f>_xlfn.IFNA(IF(VLOOKUP($J636&amp;O$14,'Mapping A'!$A$6:$G$1011,7,0)=1,$L636,""),0)+_xlfn.IFNA(IF(VLOOKUP($J636&amp;O$16,'Mapping A'!$A$6:$G$1011,7,0)=1,$L636,""),0)</f>
        <v>0</v>
      </c>
      <c r="P636" s="15">
        <f>_xlfn.IFNA(IF(VLOOKUP($J636&amp;P$14,'Mapping A'!$A$6:$G$1011,7,0)=1,$L636,""),0)+_xlfn.IFNA(IF(VLOOKUP($J636&amp;P$16,'Mapping A'!$A$6:$G$1011,7,0)=1,$L636,""),0)</f>
        <v>51.431554977798299</v>
      </c>
      <c r="Q636" s="15">
        <f>_xlfn.IFNA(IF(VLOOKUP($J636&amp;Q$14,'Mapping A'!$A$6:$G$1011,7,0)=1,$L636,""),0)+_xlfn.IFNA(IF(VLOOKUP($J636&amp;Q$16,'Mapping A'!$A$6:$G$1011,7,0)=1,$L636,""),0)</f>
        <v>51.431554977798299</v>
      </c>
      <c r="R636" s="15">
        <f>_xlfn.IFNA(IF(VLOOKUP($J636&amp;R$14,'Mapping A'!$A$6:$G$1011,7,0)=1,$L636,""),0)+_xlfn.IFNA(IF(VLOOKUP($J636&amp;R$16,'Mapping A'!$A$6:$G$1011,7,0)=1,$L636,""),0)</f>
        <v>0</v>
      </c>
      <c r="S636" s="15">
        <f>_xlfn.IFNA(IF(VLOOKUP($J636&amp;S$14,'Mapping A'!$A$6:$G$1011,7,0)=1,$L636,""),0)+_xlfn.IFNA(IF(VLOOKUP($J636&amp;S$16,'Mapping A'!$A$6:$G$1011,7,0)=1,$L636,""),0)</f>
        <v>0</v>
      </c>
      <c r="T636" s="15">
        <f>_xlfn.IFNA(IF(VLOOKUP($J636&amp;T$14,'Mapping A'!$A$6:$G$1011,7,0)=1,$L636,""),0)+_xlfn.IFNA(IF(VLOOKUP($J636&amp;T$16,'Mapping A'!$A$6:$G$1011,7,0)=1,$L636,""),0)</f>
        <v>0</v>
      </c>
      <c r="U636" s="15">
        <f>_xlfn.IFNA(IF(VLOOKUP($J636&amp;U$14,'Mapping A'!$A$6:$G$1011,7,0)=1,$L636,""),0)+_xlfn.IFNA(IF(VLOOKUP($J636&amp;U$16,'Mapping A'!$A$6:$G$1011,7,0)=1,$L636,""),0)</f>
        <v>0</v>
      </c>
      <c r="V636" s="15">
        <f>_xlfn.IFNA(IF(VLOOKUP($J636&amp;V$14,'Mapping A'!$A$6:$G$1011,7,0)=1,$L636,""),0)+_xlfn.IFNA(IF(VLOOKUP($J636&amp;V$16,'Mapping A'!$A$6:$G$1011,7,0)=1,$L636,""),0)</f>
        <v>51.431554977798299</v>
      </c>
      <c r="W636" s="15">
        <f>_xlfn.IFNA(IF(VLOOKUP($J636&amp;W$14,'Mapping A'!$A$6:$G$1011,7,0)=1,$L636,""),0)+_xlfn.IFNA(IF(VLOOKUP($J636&amp;W$16,'Mapping A'!$A$6:$G$1011,7,0)=1,$L636,""),0)</f>
        <v>0</v>
      </c>
      <c r="X636" s="15">
        <f>_xlfn.IFNA(IF(VLOOKUP($J636&amp;X$14,'Mapping A'!$A$6:$G$1011,7,0)=1,$L636,""),0)+_xlfn.IFNA(IF(VLOOKUP($J636&amp;X$16,'Mapping A'!$A$6:$G$1011,7,0)=1,$L636,""),0)</f>
        <v>0</v>
      </c>
      <c r="Y636" s="15">
        <f>_xlfn.IFNA(IF(VLOOKUP($J636&amp;Y$14,'Mapping A'!$A$6:$G$1011,7,0)=1,$L636,""),0)+_xlfn.IFNA(IF(VLOOKUP($J636&amp;Y$16,'Mapping A'!$A$6:$G$1011,7,0)=1,$L636,""),0)</f>
        <v>0</v>
      </c>
      <c r="Z636" s="15">
        <f>_xlfn.IFNA(IF(VLOOKUP($J636&amp;Z$14,'Mapping A'!$A$6:$G$1011,7,0)=1,$L636,""),0)+_xlfn.IFNA(IF(VLOOKUP($J636&amp;Z$16,'Mapping A'!$A$6:$G$1011,7,0)=1,$L636,""),0)</f>
        <v>0</v>
      </c>
      <c r="AA636" s="15">
        <f>_xlfn.IFNA(IF(VLOOKUP($J636&amp;AA$14,'Mapping A'!$A$6:$G$1011,7,0)=1,$L636,""),0)+_xlfn.IFNA(IF(VLOOKUP($J636&amp;AA$16,'Mapping A'!$A$6:$G$1011,7,0)=1,$L636,""),0)</f>
        <v>0</v>
      </c>
      <c r="AF636" s="155" t="str">
        <f t="shared" si="212"/>
        <v>TKA0111 TKA0Genesis</v>
      </c>
      <c r="AG636" s="15" t="s">
        <v>436</v>
      </c>
      <c r="AH636" s="15" t="s">
        <v>10</v>
      </c>
      <c r="AI636" s="15">
        <v>51.431554977798299</v>
      </c>
      <c r="AJ636" s="292" t="s">
        <v>96</v>
      </c>
      <c r="AK636" s="15"/>
      <c r="AL636" s="15">
        <f t="shared" si="206"/>
        <v>0</v>
      </c>
      <c r="AM636" s="15">
        <f t="shared" ca="1" si="207"/>
        <v>0</v>
      </c>
      <c r="AN636" s="15">
        <f t="shared" ca="1" si="208"/>
        <v>0</v>
      </c>
      <c r="AO636" s="15">
        <f t="shared" si="209"/>
        <v>0</v>
      </c>
      <c r="AP636" s="15">
        <f t="shared" si="210"/>
        <v>0</v>
      </c>
      <c r="AQ636" s="15">
        <f t="shared" si="211"/>
        <v>0</v>
      </c>
      <c r="AR636" s="190">
        <f t="shared" si="199"/>
        <v>0</v>
      </c>
      <c r="AS636" s="190">
        <f t="shared" ca="1" si="200"/>
        <v>7.521489937743508E-3</v>
      </c>
      <c r="AT636" s="190">
        <f t="shared" si="201"/>
        <v>0</v>
      </c>
      <c r="AU636" s="190">
        <f t="shared" si="202"/>
        <v>0</v>
      </c>
      <c r="AV636" s="190">
        <f t="shared" si="203"/>
        <v>0</v>
      </c>
      <c r="AW636" s="190">
        <f t="shared" si="204"/>
        <v>0</v>
      </c>
      <c r="AX636" s="190">
        <f t="shared" si="205"/>
        <v>0</v>
      </c>
      <c r="AZ636" s="15"/>
      <c r="BP636" s="190"/>
    </row>
    <row r="637" spans="2:68" x14ac:dyDescent="0.25">
      <c r="B637" s="98" t="s">
        <v>554</v>
      </c>
      <c r="C637" s="98">
        <v>2014</v>
      </c>
      <c r="D637" s="98" t="s">
        <v>360</v>
      </c>
      <c r="E637" s="98" t="s">
        <v>14</v>
      </c>
      <c r="F637" s="98" t="s">
        <v>145</v>
      </c>
      <c r="G637" s="98">
        <v>0</v>
      </c>
      <c r="H637" s="299" t="str">
        <f>VLOOKUP(LEFT('Rev Adequacy'!D637,3),'Mapping B'!$D$2:$E$400,2,0)</f>
        <v>N</v>
      </c>
      <c r="J637" s="15" t="s">
        <v>340</v>
      </c>
      <c r="K637" s="15" t="s">
        <v>10</v>
      </c>
      <c r="L637" s="15">
        <v>51.431554977798299</v>
      </c>
      <c r="M637" s="15"/>
      <c r="N637" s="15"/>
      <c r="O637" s="15">
        <f>_xlfn.IFNA(IF(VLOOKUP($J637&amp;O$14,'Mapping A'!$A$6:$G$1011,7,0)=1,$L637,""),0)+_xlfn.IFNA(IF(VLOOKUP($J637&amp;O$16,'Mapping A'!$A$6:$G$1011,7,0)=1,$L637,""),0)</f>
        <v>0</v>
      </c>
      <c r="P637" s="15">
        <f>_xlfn.IFNA(IF(VLOOKUP($J637&amp;P$14,'Mapping A'!$A$6:$G$1011,7,0)=1,$L637,""),0)+_xlfn.IFNA(IF(VLOOKUP($J637&amp;P$16,'Mapping A'!$A$6:$G$1011,7,0)=1,$L637,""),0)</f>
        <v>51.431554977798299</v>
      </c>
      <c r="Q637" s="15">
        <f>_xlfn.IFNA(IF(VLOOKUP($J637&amp;Q$14,'Mapping A'!$A$6:$G$1011,7,0)=1,$L637,""),0)+_xlfn.IFNA(IF(VLOOKUP($J637&amp;Q$16,'Mapping A'!$A$6:$G$1011,7,0)=1,$L637,""),0)</f>
        <v>51.431554977798299</v>
      </c>
      <c r="R637" s="15">
        <f>_xlfn.IFNA(IF(VLOOKUP($J637&amp;R$14,'Mapping A'!$A$6:$G$1011,7,0)=1,$L637,""),0)+_xlfn.IFNA(IF(VLOOKUP($J637&amp;R$16,'Mapping A'!$A$6:$G$1011,7,0)=1,$L637,""),0)</f>
        <v>0</v>
      </c>
      <c r="S637" s="15">
        <f>_xlfn.IFNA(IF(VLOOKUP($J637&amp;S$14,'Mapping A'!$A$6:$G$1011,7,0)=1,$L637,""),0)+_xlfn.IFNA(IF(VLOOKUP($J637&amp;S$16,'Mapping A'!$A$6:$G$1011,7,0)=1,$L637,""),0)</f>
        <v>0</v>
      </c>
      <c r="T637" s="15">
        <f>_xlfn.IFNA(IF(VLOOKUP($J637&amp;T$14,'Mapping A'!$A$6:$G$1011,7,0)=1,$L637,""),0)+_xlfn.IFNA(IF(VLOOKUP($J637&amp;T$16,'Mapping A'!$A$6:$G$1011,7,0)=1,$L637,""),0)</f>
        <v>0</v>
      </c>
      <c r="U637" s="15">
        <f>_xlfn.IFNA(IF(VLOOKUP($J637&amp;U$14,'Mapping A'!$A$6:$G$1011,7,0)=1,$L637,""),0)+_xlfn.IFNA(IF(VLOOKUP($J637&amp;U$16,'Mapping A'!$A$6:$G$1011,7,0)=1,$L637,""),0)</f>
        <v>0</v>
      </c>
      <c r="V637" s="15">
        <f>_xlfn.IFNA(IF(VLOOKUP($J637&amp;V$14,'Mapping A'!$A$6:$G$1011,7,0)=1,$L637,""),0)+_xlfn.IFNA(IF(VLOOKUP($J637&amp;V$16,'Mapping A'!$A$6:$G$1011,7,0)=1,$L637,""),0)</f>
        <v>51.431554977798299</v>
      </c>
      <c r="W637" s="15">
        <f>_xlfn.IFNA(IF(VLOOKUP($J637&amp;W$14,'Mapping A'!$A$6:$G$1011,7,0)=1,$L637,""),0)+_xlfn.IFNA(IF(VLOOKUP($J637&amp;W$16,'Mapping A'!$A$6:$G$1011,7,0)=1,$L637,""),0)</f>
        <v>0</v>
      </c>
      <c r="X637" s="15">
        <f>_xlfn.IFNA(IF(VLOOKUP($J637&amp;X$14,'Mapping A'!$A$6:$G$1011,7,0)=1,$L637,""),0)+_xlfn.IFNA(IF(VLOOKUP($J637&amp;X$16,'Mapping A'!$A$6:$G$1011,7,0)=1,$L637,""),0)</f>
        <v>0</v>
      </c>
      <c r="Y637" s="15">
        <f>_xlfn.IFNA(IF(VLOOKUP($J637&amp;Y$14,'Mapping A'!$A$6:$G$1011,7,0)=1,$L637,""),0)+_xlfn.IFNA(IF(VLOOKUP($J637&amp;Y$16,'Mapping A'!$A$6:$G$1011,7,0)=1,$L637,""),0)</f>
        <v>0</v>
      </c>
      <c r="Z637" s="15">
        <f>_xlfn.IFNA(IF(VLOOKUP($J637&amp;Z$14,'Mapping A'!$A$6:$G$1011,7,0)=1,$L637,""),0)+_xlfn.IFNA(IF(VLOOKUP($J637&amp;Z$16,'Mapping A'!$A$6:$G$1011,7,0)=1,$L637,""),0)</f>
        <v>0</v>
      </c>
      <c r="AA637" s="15">
        <f>_xlfn.IFNA(IF(VLOOKUP($J637&amp;AA$14,'Mapping A'!$A$6:$G$1011,7,0)=1,$L637,""),0)+_xlfn.IFNA(IF(VLOOKUP($J637&amp;AA$16,'Mapping A'!$A$6:$G$1011,7,0)=1,$L637,""),0)</f>
        <v>0</v>
      </c>
      <c r="AF637" s="155" t="str">
        <f t="shared" si="212"/>
        <v>TKA0111 TKA1Genesis</v>
      </c>
      <c r="AG637" s="15" t="s">
        <v>340</v>
      </c>
      <c r="AH637" s="15" t="s">
        <v>10</v>
      </c>
      <c r="AI637" s="15">
        <v>51.431554977798299</v>
      </c>
      <c r="AJ637" s="292" t="s">
        <v>96</v>
      </c>
      <c r="AK637" s="15"/>
      <c r="AL637" s="15">
        <f t="shared" si="206"/>
        <v>0</v>
      </c>
      <c r="AM637" s="15">
        <f t="shared" ca="1" si="207"/>
        <v>0</v>
      </c>
      <c r="AN637" s="15">
        <f t="shared" ca="1" si="208"/>
        <v>0</v>
      </c>
      <c r="AO637" s="15">
        <f t="shared" si="209"/>
        <v>0</v>
      </c>
      <c r="AP637" s="15">
        <f t="shared" si="210"/>
        <v>0</v>
      </c>
      <c r="AQ637" s="15">
        <f t="shared" si="211"/>
        <v>0</v>
      </c>
      <c r="AR637" s="190">
        <f t="shared" si="199"/>
        <v>0</v>
      </c>
      <c r="AS637" s="190">
        <f t="shared" ca="1" si="200"/>
        <v>7.521489937743508E-3</v>
      </c>
      <c r="AT637" s="190">
        <f t="shared" si="201"/>
        <v>0</v>
      </c>
      <c r="AU637" s="190">
        <f t="shared" si="202"/>
        <v>0</v>
      </c>
      <c r="AV637" s="190">
        <f t="shared" si="203"/>
        <v>0</v>
      </c>
      <c r="AW637" s="190">
        <f t="shared" si="204"/>
        <v>0</v>
      </c>
      <c r="AX637" s="190">
        <f t="shared" si="205"/>
        <v>0</v>
      </c>
      <c r="AZ637" s="15"/>
      <c r="BP637" s="190"/>
    </row>
    <row r="638" spans="2:68" x14ac:dyDescent="0.25">
      <c r="B638" s="98" t="s">
        <v>554</v>
      </c>
      <c r="C638" s="98">
        <v>2014</v>
      </c>
      <c r="D638" s="98" t="s">
        <v>362</v>
      </c>
      <c r="E638" s="98" t="s">
        <v>14</v>
      </c>
      <c r="F638" s="98" t="s">
        <v>131</v>
      </c>
      <c r="G638" s="98">
        <v>1646.54765892152</v>
      </c>
      <c r="H638" s="299" t="str">
        <f>VLOOKUP(LEFT('Rev Adequacy'!D638,3),'Mapping B'!$D$2:$E$400,2,0)</f>
        <v>S</v>
      </c>
      <c r="J638" s="15" t="s">
        <v>437</v>
      </c>
      <c r="K638" s="15" t="s">
        <v>10</v>
      </c>
      <c r="L638" s="15">
        <v>793.71626065752002</v>
      </c>
      <c r="M638" s="15"/>
      <c r="N638" s="15"/>
      <c r="O638" s="15">
        <f>_xlfn.IFNA(IF(VLOOKUP($J638&amp;O$14,'Mapping A'!$A$6:$G$1011,7,0)=1,$L638,""),0)+_xlfn.IFNA(IF(VLOOKUP($J638&amp;O$16,'Mapping A'!$A$6:$G$1011,7,0)=1,$L638,""),0)</f>
        <v>0</v>
      </c>
      <c r="P638" s="15">
        <f>_xlfn.IFNA(IF(VLOOKUP($J638&amp;P$14,'Mapping A'!$A$6:$G$1011,7,0)=1,$L638,""),0)+_xlfn.IFNA(IF(VLOOKUP($J638&amp;P$16,'Mapping A'!$A$6:$G$1011,7,0)=1,$L638,""),0)</f>
        <v>793.71626065752002</v>
      </c>
      <c r="Q638" s="15">
        <f>_xlfn.IFNA(IF(VLOOKUP($J638&amp;Q$14,'Mapping A'!$A$6:$G$1011,7,0)=1,$L638,""),0)+_xlfn.IFNA(IF(VLOOKUP($J638&amp;Q$16,'Mapping A'!$A$6:$G$1011,7,0)=1,$L638,""),0)</f>
        <v>793.71626065752002</v>
      </c>
      <c r="R638" s="15">
        <f>_xlfn.IFNA(IF(VLOOKUP($J638&amp;R$14,'Mapping A'!$A$6:$G$1011,7,0)=1,$L638,""),0)+_xlfn.IFNA(IF(VLOOKUP($J638&amp;R$16,'Mapping A'!$A$6:$G$1011,7,0)=1,$L638,""),0)</f>
        <v>0</v>
      </c>
      <c r="S638" s="15">
        <f>_xlfn.IFNA(IF(VLOOKUP($J638&amp;S$14,'Mapping A'!$A$6:$G$1011,7,0)=1,$L638,""),0)+_xlfn.IFNA(IF(VLOOKUP($J638&amp;S$16,'Mapping A'!$A$6:$G$1011,7,0)=1,$L638,""),0)</f>
        <v>0</v>
      </c>
      <c r="T638" s="15">
        <f>_xlfn.IFNA(IF(VLOOKUP($J638&amp;T$14,'Mapping A'!$A$6:$G$1011,7,0)=1,$L638,""),0)+_xlfn.IFNA(IF(VLOOKUP($J638&amp;T$16,'Mapping A'!$A$6:$G$1011,7,0)=1,$L638,""),0)</f>
        <v>0</v>
      </c>
      <c r="U638" s="15">
        <f>_xlfn.IFNA(IF(VLOOKUP($J638&amp;U$14,'Mapping A'!$A$6:$G$1011,7,0)=1,$L638,""),0)+_xlfn.IFNA(IF(VLOOKUP($J638&amp;U$16,'Mapping A'!$A$6:$G$1011,7,0)=1,$L638,""),0)</f>
        <v>0</v>
      </c>
      <c r="V638" s="15">
        <f>_xlfn.IFNA(IF(VLOOKUP($J638&amp;V$14,'Mapping A'!$A$6:$G$1011,7,0)=1,$L638,""),0)+_xlfn.IFNA(IF(VLOOKUP($J638&amp;V$16,'Mapping A'!$A$6:$G$1011,7,0)=1,$L638,""),0)</f>
        <v>793.71626065752002</v>
      </c>
      <c r="W638" s="15">
        <f>_xlfn.IFNA(IF(VLOOKUP($J638&amp;W$14,'Mapping A'!$A$6:$G$1011,7,0)=1,$L638,""),0)+_xlfn.IFNA(IF(VLOOKUP($J638&amp;W$16,'Mapping A'!$A$6:$G$1011,7,0)=1,$L638,""),0)</f>
        <v>0</v>
      </c>
      <c r="X638" s="15">
        <f>_xlfn.IFNA(IF(VLOOKUP($J638&amp;X$14,'Mapping A'!$A$6:$G$1011,7,0)=1,$L638,""),0)+_xlfn.IFNA(IF(VLOOKUP($J638&amp;X$16,'Mapping A'!$A$6:$G$1011,7,0)=1,$L638,""),0)</f>
        <v>0</v>
      </c>
      <c r="Y638" s="15">
        <f>_xlfn.IFNA(IF(VLOOKUP($J638&amp;Y$14,'Mapping A'!$A$6:$G$1011,7,0)=1,$L638,""),0)+_xlfn.IFNA(IF(VLOOKUP($J638&amp;Y$16,'Mapping A'!$A$6:$G$1011,7,0)=1,$L638,""),0)</f>
        <v>0</v>
      </c>
      <c r="Z638" s="15">
        <f>_xlfn.IFNA(IF(VLOOKUP($J638&amp;Z$14,'Mapping A'!$A$6:$G$1011,7,0)=1,$L638,""),0)+_xlfn.IFNA(IF(VLOOKUP($J638&amp;Z$16,'Mapping A'!$A$6:$G$1011,7,0)=1,$L638,""),0)</f>
        <v>0</v>
      </c>
      <c r="AA638" s="15">
        <f>_xlfn.IFNA(IF(VLOOKUP($J638&amp;AA$14,'Mapping A'!$A$6:$G$1011,7,0)=1,$L638,""),0)+_xlfn.IFNA(IF(VLOOKUP($J638&amp;AA$16,'Mapping A'!$A$6:$G$1011,7,0)=1,$L638,""),0)</f>
        <v>0</v>
      </c>
      <c r="AF638" s="155" t="str">
        <f t="shared" si="212"/>
        <v>TKB2201 TKB0Genesis</v>
      </c>
      <c r="AG638" s="15" t="s">
        <v>437</v>
      </c>
      <c r="AH638" s="15" t="s">
        <v>10</v>
      </c>
      <c r="AI638" s="15">
        <v>793.71626065752002</v>
      </c>
      <c r="AJ638" s="292" t="s">
        <v>96</v>
      </c>
      <c r="AK638" s="15"/>
      <c r="AL638" s="15">
        <f t="shared" si="206"/>
        <v>0</v>
      </c>
      <c r="AM638" s="15">
        <f t="shared" ca="1" si="207"/>
        <v>0</v>
      </c>
      <c r="AN638" s="15">
        <f t="shared" ca="1" si="208"/>
        <v>0</v>
      </c>
      <c r="AO638" s="15">
        <f t="shared" si="209"/>
        <v>0</v>
      </c>
      <c r="AP638" s="15">
        <f t="shared" si="210"/>
        <v>0</v>
      </c>
      <c r="AQ638" s="15">
        <f t="shared" si="211"/>
        <v>0</v>
      </c>
      <c r="AR638" s="190">
        <f t="shared" si="199"/>
        <v>0</v>
      </c>
      <c r="AS638" s="190">
        <f t="shared" ca="1" si="200"/>
        <v>0.11607521628572201</v>
      </c>
      <c r="AT638" s="190">
        <f t="shared" si="201"/>
        <v>0</v>
      </c>
      <c r="AU638" s="190">
        <f t="shared" si="202"/>
        <v>0</v>
      </c>
      <c r="AV638" s="190">
        <f t="shared" si="203"/>
        <v>0</v>
      </c>
      <c r="AW638" s="190">
        <f t="shared" si="204"/>
        <v>0</v>
      </c>
      <c r="AX638" s="190">
        <f t="shared" si="205"/>
        <v>0</v>
      </c>
      <c r="AZ638" s="15"/>
      <c r="BP638" s="190"/>
    </row>
    <row r="639" spans="2:68" x14ac:dyDescent="0.25">
      <c r="B639" s="98" t="s">
        <v>554</v>
      </c>
      <c r="C639" s="98">
        <v>2014</v>
      </c>
      <c r="D639" s="98" t="s">
        <v>366</v>
      </c>
      <c r="E639" s="98" t="s">
        <v>14</v>
      </c>
      <c r="F639" s="98" t="s">
        <v>145</v>
      </c>
      <c r="G639" s="98">
        <v>0</v>
      </c>
      <c r="H639" s="299" t="str">
        <f>VLOOKUP(LEFT('Rev Adequacy'!D639,3),'Mapping B'!$D$2:$E$400,2,0)</f>
        <v>N</v>
      </c>
      <c r="J639" s="15" t="s">
        <v>341</v>
      </c>
      <c r="K639" s="15" t="s">
        <v>10</v>
      </c>
      <c r="L639" s="15">
        <v>793.71626065752002</v>
      </c>
      <c r="M639" s="15"/>
      <c r="N639" s="15"/>
      <c r="O639" s="15">
        <f>_xlfn.IFNA(IF(VLOOKUP($J639&amp;O$14,'Mapping A'!$A$6:$G$1011,7,0)=1,$L639,""),0)+_xlfn.IFNA(IF(VLOOKUP($J639&amp;O$16,'Mapping A'!$A$6:$G$1011,7,0)=1,$L639,""),0)</f>
        <v>0</v>
      </c>
      <c r="P639" s="15">
        <f>_xlfn.IFNA(IF(VLOOKUP($J639&amp;P$14,'Mapping A'!$A$6:$G$1011,7,0)=1,$L639,""),0)+_xlfn.IFNA(IF(VLOOKUP($J639&amp;P$16,'Mapping A'!$A$6:$G$1011,7,0)=1,$L639,""),0)</f>
        <v>793.71626065752002</v>
      </c>
      <c r="Q639" s="15">
        <f>_xlfn.IFNA(IF(VLOOKUP($J639&amp;Q$14,'Mapping A'!$A$6:$G$1011,7,0)=1,$L639,""),0)+_xlfn.IFNA(IF(VLOOKUP($J639&amp;Q$16,'Mapping A'!$A$6:$G$1011,7,0)=1,$L639,""),0)</f>
        <v>793.71626065752002</v>
      </c>
      <c r="R639" s="15">
        <f>_xlfn.IFNA(IF(VLOOKUP($J639&amp;R$14,'Mapping A'!$A$6:$G$1011,7,0)=1,$L639,""),0)+_xlfn.IFNA(IF(VLOOKUP($J639&amp;R$16,'Mapping A'!$A$6:$G$1011,7,0)=1,$L639,""),0)</f>
        <v>0</v>
      </c>
      <c r="S639" s="15">
        <f>_xlfn.IFNA(IF(VLOOKUP($J639&amp;S$14,'Mapping A'!$A$6:$G$1011,7,0)=1,$L639,""),0)+_xlfn.IFNA(IF(VLOOKUP($J639&amp;S$16,'Mapping A'!$A$6:$G$1011,7,0)=1,$L639,""),0)</f>
        <v>0</v>
      </c>
      <c r="T639" s="15">
        <f>_xlfn.IFNA(IF(VLOOKUP($J639&amp;T$14,'Mapping A'!$A$6:$G$1011,7,0)=1,$L639,""),0)+_xlfn.IFNA(IF(VLOOKUP($J639&amp;T$16,'Mapping A'!$A$6:$G$1011,7,0)=1,$L639,""),0)</f>
        <v>0</v>
      </c>
      <c r="U639" s="15">
        <f>_xlfn.IFNA(IF(VLOOKUP($J639&amp;U$14,'Mapping A'!$A$6:$G$1011,7,0)=1,$L639,""),0)+_xlfn.IFNA(IF(VLOOKUP($J639&amp;U$16,'Mapping A'!$A$6:$G$1011,7,0)=1,$L639,""),0)</f>
        <v>0</v>
      </c>
      <c r="V639" s="15">
        <f>_xlfn.IFNA(IF(VLOOKUP($J639&amp;V$14,'Mapping A'!$A$6:$G$1011,7,0)=1,$L639,""),0)+_xlfn.IFNA(IF(VLOOKUP($J639&amp;V$16,'Mapping A'!$A$6:$G$1011,7,0)=1,$L639,""),0)</f>
        <v>793.71626065752002</v>
      </c>
      <c r="W639" s="15">
        <f>_xlfn.IFNA(IF(VLOOKUP($J639&amp;W$14,'Mapping A'!$A$6:$G$1011,7,0)=1,$L639,""),0)+_xlfn.IFNA(IF(VLOOKUP($J639&amp;W$16,'Mapping A'!$A$6:$G$1011,7,0)=1,$L639,""),0)</f>
        <v>0</v>
      </c>
      <c r="X639" s="15">
        <f>_xlfn.IFNA(IF(VLOOKUP($J639&amp;X$14,'Mapping A'!$A$6:$G$1011,7,0)=1,$L639,""),0)+_xlfn.IFNA(IF(VLOOKUP($J639&amp;X$16,'Mapping A'!$A$6:$G$1011,7,0)=1,$L639,""),0)</f>
        <v>0</v>
      </c>
      <c r="Y639" s="15">
        <f>_xlfn.IFNA(IF(VLOOKUP($J639&amp;Y$14,'Mapping A'!$A$6:$G$1011,7,0)=1,$L639,""),0)+_xlfn.IFNA(IF(VLOOKUP($J639&amp;Y$16,'Mapping A'!$A$6:$G$1011,7,0)=1,$L639,""),0)</f>
        <v>0</v>
      </c>
      <c r="Z639" s="15">
        <f>_xlfn.IFNA(IF(VLOOKUP($J639&amp;Z$14,'Mapping A'!$A$6:$G$1011,7,0)=1,$L639,""),0)+_xlfn.IFNA(IF(VLOOKUP($J639&amp;Z$16,'Mapping A'!$A$6:$G$1011,7,0)=1,$L639,""),0)</f>
        <v>0</v>
      </c>
      <c r="AA639" s="15">
        <f>_xlfn.IFNA(IF(VLOOKUP($J639&amp;AA$14,'Mapping A'!$A$6:$G$1011,7,0)=1,$L639,""),0)+_xlfn.IFNA(IF(VLOOKUP($J639&amp;AA$16,'Mapping A'!$A$6:$G$1011,7,0)=1,$L639,""),0)</f>
        <v>0</v>
      </c>
      <c r="AF639" s="155" t="str">
        <f t="shared" si="212"/>
        <v>TKB2201 TKB1Genesis</v>
      </c>
      <c r="AG639" s="15" t="s">
        <v>341</v>
      </c>
      <c r="AH639" s="15" t="s">
        <v>10</v>
      </c>
      <c r="AI639" s="15">
        <v>793.71626065752002</v>
      </c>
      <c r="AJ639" s="292" t="s">
        <v>96</v>
      </c>
      <c r="AK639" s="15"/>
      <c r="AL639" s="15">
        <f t="shared" ref="AL639:AL652" si="213">IF(O$574=0,0,O$13*O$7*O639/O$574)</f>
        <v>0</v>
      </c>
      <c r="AM639" s="15">
        <f t="shared" ref="AM639:AM652" ca="1" si="214">IF(P$574=0,0,P$15*P$7*P639/P$574)</f>
        <v>0</v>
      </c>
      <c r="AN639" s="15">
        <f t="shared" ref="AN639:AN652" ca="1" si="215">IF(Q$574=0,0,Q$17*Q$7*Q639/Q$574)</f>
        <v>0</v>
      </c>
      <c r="AO639" s="15">
        <f t="shared" ref="AO639:AO652" si="216">IF(R$574=0,0,R$13*R$7*R639/R$574)</f>
        <v>0</v>
      </c>
      <c r="AP639" s="15">
        <f t="shared" ref="AP639:AP652" si="217">IF(S$574=0,0,S$13*S$7*S639/S$574)</f>
        <v>0</v>
      </c>
      <c r="AQ639" s="15">
        <f t="shared" ref="AQ639:AQ652" si="218">IF(T$574=0,0,T$13*T$7*T639/T$574)</f>
        <v>0</v>
      </c>
      <c r="AR639" s="190">
        <f t="shared" si="199"/>
        <v>0</v>
      </c>
      <c r="AS639" s="190">
        <f t="shared" ca="1" si="200"/>
        <v>0.11607521628572201</v>
      </c>
      <c r="AT639" s="190">
        <f t="shared" si="201"/>
        <v>0</v>
      </c>
      <c r="AU639" s="190">
        <f t="shared" si="202"/>
        <v>0</v>
      </c>
      <c r="AV639" s="190">
        <f t="shared" si="203"/>
        <v>0</v>
      </c>
      <c r="AW639" s="190">
        <f t="shared" si="204"/>
        <v>0</v>
      </c>
      <c r="AX639" s="190">
        <f t="shared" si="205"/>
        <v>0</v>
      </c>
      <c r="AZ639" s="15"/>
      <c r="BP639" s="190"/>
    </row>
    <row r="640" spans="2:68" x14ac:dyDescent="0.25">
      <c r="B640" s="98" t="s">
        <v>554</v>
      </c>
      <c r="C640" s="98">
        <v>2014</v>
      </c>
      <c r="D640" s="98" t="s">
        <v>366</v>
      </c>
      <c r="E640" s="98" t="s">
        <v>14</v>
      </c>
      <c r="F640" s="98" t="s">
        <v>131</v>
      </c>
      <c r="G640" s="98">
        <v>0</v>
      </c>
      <c r="H640" s="299" t="str">
        <f>VLOOKUP(LEFT('Rev Adequacy'!D640,3),'Mapping B'!$D$2:$E$400,2,0)</f>
        <v>N</v>
      </c>
      <c r="J640" s="15" t="s">
        <v>345</v>
      </c>
      <c r="K640" s="15" t="s">
        <v>10</v>
      </c>
      <c r="L640" s="15">
        <v>614.75492389370004</v>
      </c>
      <c r="M640" s="15"/>
      <c r="N640" s="15"/>
      <c r="O640" s="15">
        <f>_xlfn.IFNA(IF(VLOOKUP($J640&amp;O$14,'Mapping A'!$A$6:$G$1011,7,0)=1,$L640,""),0)+_xlfn.IFNA(IF(VLOOKUP($J640&amp;O$16,'Mapping A'!$A$6:$G$1011,7,0)=1,$L640,""),0)</f>
        <v>0</v>
      </c>
      <c r="P640" s="15">
        <f>_xlfn.IFNA(IF(VLOOKUP($J640&amp;P$14,'Mapping A'!$A$6:$G$1011,7,0)=1,$L640,""),0)+_xlfn.IFNA(IF(VLOOKUP($J640&amp;P$16,'Mapping A'!$A$6:$G$1011,7,0)=1,$L640,""),0)</f>
        <v>0</v>
      </c>
      <c r="Q640" s="15">
        <f>_xlfn.IFNA(IF(VLOOKUP($J640&amp;Q$14,'Mapping A'!$A$6:$G$1011,7,0)=1,$L640,""),0)+_xlfn.IFNA(IF(VLOOKUP($J640&amp;Q$16,'Mapping A'!$A$6:$G$1011,7,0)=1,$L640,""),0)</f>
        <v>0</v>
      </c>
      <c r="R640" s="15">
        <f>_xlfn.IFNA(IF(VLOOKUP($J640&amp;R$14,'Mapping A'!$A$6:$G$1011,7,0)=1,$L640,""),0)+_xlfn.IFNA(IF(VLOOKUP($J640&amp;R$16,'Mapping A'!$A$6:$G$1011,7,0)=1,$L640,""),0)</f>
        <v>0</v>
      </c>
      <c r="S640" s="15">
        <f>_xlfn.IFNA(IF(VLOOKUP($J640&amp;S$14,'Mapping A'!$A$6:$G$1011,7,0)=1,$L640,""),0)+_xlfn.IFNA(IF(VLOOKUP($J640&amp;S$16,'Mapping A'!$A$6:$G$1011,7,0)=1,$L640,""),0)</f>
        <v>0</v>
      </c>
      <c r="T640" s="15">
        <f>_xlfn.IFNA(IF(VLOOKUP($J640&amp;T$14,'Mapping A'!$A$6:$G$1011,7,0)=1,$L640,""),0)+_xlfn.IFNA(IF(VLOOKUP($J640&amp;T$16,'Mapping A'!$A$6:$G$1011,7,0)=1,$L640,""),0)</f>
        <v>0</v>
      </c>
      <c r="U640" s="15">
        <f>_xlfn.IFNA(IF(VLOOKUP($J640&amp;U$14,'Mapping A'!$A$6:$G$1011,7,0)=1,$L640,""),0)+_xlfn.IFNA(IF(VLOOKUP($J640&amp;U$16,'Mapping A'!$A$6:$G$1011,7,0)=1,$L640,""),0)</f>
        <v>0</v>
      </c>
      <c r="V640" s="15">
        <f>_xlfn.IFNA(IF(VLOOKUP($J640&amp;V$14,'Mapping A'!$A$6:$G$1011,7,0)=1,$L640,""),0)+_xlfn.IFNA(IF(VLOOKUP($J640&amp;V$16,'Mapping A'!$A$6:$G$1011,7,0)=1,$L640,""),0)</f>
        <v>0</v>
      </c>
      <c r="W640" s="15">
        <f>_xlfn.IFNA(IF(VLOOKUP($J640&amp;W$14,'Mapping A'!$A$6:$G$1011,7,0)=1,$L640,""),0)+_xlfn.IFNA(IF(VLOOKUP($J640&amp;W$16,'Mapping A'!$A$6:$G$1011,7,0)=1,$L640,""),0)</f>
        <v>0</v>
      </c>
      <c r="X640" s="15">
        <f>_xlfn.IFNA(IF(VLOOKUP($J640&amp;X$14,'Mapping A'!$A$6:$G$1011,7,0)=1,$L640,""),0)+_xlfn.IFNA(IF(VLOOKUP($J640&amp;X$16,'Mapping A'!$A$6:$G$1011,7,0)=1,$L640,""),0)</f>
        <v>0</v>
      </c>
      <c r="Y640" s="15">
        <f>_xlfn.IFNA(IF(VLOOKUP($J640&amp;Y$14,'Mapping A'!$A$6:$G$1011,7,0)=1,$L640,""),0)+_xlfn.IFNA(IF(VLOOKUP($J640&amp;Y$16,'Mapping A'!$A$6:$G$1011,7,0)=1,$L640,""),0)</f>
        <v>0</v>
      </c>
      <c r="Z640" s="15">
        <f>_xlfn.IFNA(IF(VLOOKUP($J640&amp;Z$14,'Mapping A'!$A$6:$G$1011,7,0)=1,$L640,""),0)+_xlfn.IFNA(IF(VLOOKUP($J640&amp;Z$16,'Mapping A'!$A$6:$G$1011,7,0)=1,$L640,""),0)</f>
        <v>0</v>
      </c>
      <c r="AA640" s="15">
        <f>_xlfn.IFNA(IF(VLOOKUP($J640&amp;AA$14,'Mapping A'!$A$6:$G$1011,7,0)=1,$L640,""),0)+_xlfn.IFNA(IF(VLOOKUP($J640&amp;AA$16,'Mapping A'!$A$6:$G$1011,7,0)=1,$L640,""),0)</f>
        <v>0</v>
      </c>
      <c r="AF640" s="155" t="str">
        <f t="shared" si="212"/>
        <v>TKU2201 TKU0Genesis</v>
      </c>
      <c r="AG640" s="15" t="s">
        <v>345</v>
      </c>
      <c r="AH640" s="15" t="s">
        <v>10</v>
      </c>
      <c r="AI640" s="15">
        <v>614.75492389370004</v>
      </c>
      <c r="AJ640" s="292" t="s">
        <v>95</v>
      </c>
      <c r="AK640" s="15"/>
      <c r="AL640" s="15">
        <f t="shared" si="213"/>
        <v>0</v>
      </c>
      <c r="AM640" s="15">
        <f t="shared" ca="1" si="214"/>
        <v>0</v>
      </c>
      <c r="AN640" s="15">
        <f t="shared" ca="1" si="215"/>
        <v>0</v>
      </c>
      <c r="AO640" s="15">
        <f t="shared" si="216"/>
        <v>0</v>
      </c>
      <c r="AP640" s="15">
        <f t="shared" si="217"/>
        <v>0</v>
      </c>
      <c r="AQ640" s="15">
        <f t="shared" si="218"/>
        <v>0</v>
      </c>
      <c r="AR640" s="190">
        <f t="shared" ref="AR640:AR652" si="219">IF(U$574=0,0,U$13*U$7*U640/U$574)</f>
        <v>0</v>
      </c>
      <c r="AS640" s="190">
        <f t="shared" ref="AS640:AS652" ca="1" si="220">IF(V$574=0,0,V$13*V$7*V640/V$574)</f>
        <v>0</v>
      </c>
      <c r="AT640" s="190">
        <f t="shared" ref="AT640:AT652" si="221">IF(W$574=0,0,W$13*W$7*W640/W$574)</f>
        <v>0</v>
      </c>
      <c r="AU640" s="190">
        <f t="shared" ref="AU640:AU652" si="222">IF(X$574=0,0,X$13*X$7*X640/X$574)</f>
        <v>0</v>
      </c>
      <c r="AV640" s="190">
        <f t="shared" ref="AV640:AV652" si="223">IF(Y$574=0,0,Y$13*Y$7*Y640/Y$574)</f>
        <v>0</v>
      </c>
      <c r="AW640" s="190">
        <f t="shared" ref="AW640:AW652" si="224">IF(Z$574=0,0,Z$13*Z$7*Z640/Z$574)</f>
        <v>0</v>
      </c>
      <c r="AX640" s="190">
        <f t="shared" ref="AX640:AX652" si="225">IF(AA$574=0,0,AA$13*AA$7*AA640/AA$574)</f>
        <v>0</v>
      </c>
      <c r="AZ640" s="15"/>
      <c r="BP640" s="190"/>
    </row>
    <row r="641" spans="2:68" x14ac:dyDescent="0.25">
      <c r="B641" s="98" t="s">
        <v>554</v>
      </c>
      <c r="C641" s="98">
        <v>2014</v>
      </c>
      <c r="D641" s="98" t="s">
        <v>390</v>
      </c>
      <c r="E641" s="98" t="s">
        <v>14</v>
      </c>
      <c r="F641" s="98" t="s">
        <v>136</v>
      </c>
      <c r="G641" s="98">
        <v>0</v>
      </c>
      <c r="H641" s="299" t="str">
        <f>VLOOKUP(LEFT('Rev Adequacy'!D641,3),'Mapping B'!$D$2:$E$400,2,0)</f>
        <v>S</v>
      </c>
      <c r="J641" s="15" t="s">
        <v>354</v>
      </c>
      <c r="K641" s="15" t="s">
        <v>10</v>
      </c>
      <c r="L641" s="15">
        <v>410.506085859216</v>
      </c>
      <c r="M641" s="15"/>
      <c r="N641" s="15"/>
      <c r="O641" s="15">
        <f>_xlfn.IFNA(IF(VLOOKUP($J641&amp;O$14,'Mapping A'!$A$6:$G$1011,7,0)=1,$L641,""),0)+_xlfn.IFNA(IF(VLOOKUP($J641&amp;O$16,'Mapping A'!$A$6:$G$1011,7,0)=1,$L641,""),0)</f>
        <v>0</v>
      </c>
      <c r="P641" s="15">
        <f>_xlfn.IFNA(IF(VLOOKUP($J641&amp;P$14,'Mapping A'!$A$6:$G$1011,7,0)=1,$L641,""),0)+_xlfn.IFNA(IF(VLOOKUP($J641&amp;P$16,'Mapping A'!$A$6:$G$1011,7,0)=1,$L641,""),0)</f>
        <v>0</v>
      </c>
      <c r="Q641" s="15">
        <f>_xlfn.IFNA(IF(VLOOKUP($J641&amp;Q$14,'Mapping A'!$A$6:$G$1011,7,0)=1,$L641,""),0)+_xlfn.IFNA(IF(VLOOKUP($J641&amp;Q$16,'Mapping A'!$A$6:$G$1011,7,0)=1,$L641,""),0)</f>
        <v>0</v>
      </c>
      <c r="R641" s="15">
        <f>_xlfn.IFNA(IF(VLOOKUP($J641&amp;R$14,'Mapping A'!$A$6:$G$1011,7,0)=1,$L641,""),0)+_xlfn.IFNA(IF(VLOOKUP($J641&amp;R$16,'Mapping A'!$A$6:$G$1011,7,0)=1,$L641,""),0)</f>
        <v>0</v>
      </c>
      <c r="S641" s="15">
        <f>_xlfn.IFNA(IF(VLOOKUP($J641&amp;S$14,'Mapping A'!$A$6:$G$1011,7,0)=1,$L641,""),0)+_xlfn.IFNA(IF(VLOOKUP($J641&amp;S$16,'Mapping A'!$A$6:$G$1011,7,0)=1,$L641,""),0)</f>
        <v>0</v>
      </c>
      <c r="T641" s="15">
        <f>_xlfn.IFNA(IF(VLOOKUP($J641&amp;T$14,'Mapping A'!$A$6:$G$1011,7,0)=1,$L641,""),0)+_xlfn.IFNA(IF(VLOOKUP($J641&amp;T$16,'Mapping A'!$A$6:$G$1011,7,0)=1,$L641,""),0)</f>
        <v>0</v>
      </c>
      <c r="U641" s="15">
        <f>_xlfn.IFNA(IF(VLOOKUP($J641&amp;U$14,'Mapping A'!$A$6:$G$1011,7,0)=1,$L641,""),0)+_xlfn.IFNA(IF(VLOOKUP($J641&amp;U$16,'Mapping A'!$A$6:$G$1011,7,0)=1,$L641,""),0)</f>
        <v>0</v>
      </c>
      <c r="V641" s="15">
        <f>_xlfn.IFNA(IF(VLOOKUP($J641&amp;V$14,'Mapping A'!$A$6:$G$1011,7,0)=1,$L641,""),0)+_xlfn.IFNA(IF(VLOOKUP($J641&amp;V$16,'Mapping A'!$A$6:$G$1011,7,0)=1,$L641,""),0)</f>
        <v>0</v>
      </c>
      <c r="W641" s="15">
        <f>_xlfn.IFNA(IF(VLOOKUP($J641&amp;W$14,'Mapping A'!$A$6:$G$1011,7,0)=1,$L641,""),0)+_xlfn.IFNA(IF(VLOOKUP($J641&amp;W$16,'Mapping A'!$A$6:$G$1011,7,0)=1,$L641,""),0)</f>
        <v>0</v>
      </c>
      <c r="X641" s="15">
        <f>_xlfn.IFNA(IF(VLOOKUP($J641&amp;X$14,'Mapping A'!$A$6:$G$1011,7,0)=1,$L641,""),0)+_xlfn.IFNA(IF(VLOOKUP($J641&amp;X$16,'Mapping A'!$A$6:$G$1011,7,0)=1,$L641,""),0)</f>
        <v>0</v>
      </c>
      <c r="Y641" s="15">
        <f>_xlfn.IFNA(IF(VLOOKUP($J641&amp;Y$14,'Mapping A'!$A$6:$G$1011,7,0)=1,$L641,""),0)+_xlfn.IFNA(IF(VLOOKUP($J641&amp;Y$16,'Mapping A'!$A$6:$G$1011,7,0)=1,$L641,""),0)</f>
        <v>0</v>
      </c>
      <c r="Z641" s="15">
        <f>_xlfn.IFNA(IF(VLOOKUP($J641&amp;Z$14,'Mapping A'!$A$6:$G$1011,7,0)=1,$L641,""),0)+_xlfn.IFNA(IF(VLOOKUP($J641&amp;Z$16,'Mapping A'!$A$6:$G$1011,7,0)=1,$L641,""),0)</f>
        <v>0</v>
      </c>
      <c r="AA641" s="15">
        <f>_xlfn.IFNA(IF(VLOOKUP($J641&amp;AA$14,'Mapping A'!$A$6:$G$1011,7,0)=1,$L641,""),0)+_xlfn.IFNA(IF(VLOOKUP($J641&amp;AA$16,'Mapping A'!$A$6:$G$1011,7,0)=1,$L641,""),0)</f>
        <v>0</v>
      </c>
      <c r="AF641" s="155" t="str">
        <f t="shared" si="212"/>
        <v>TUI1101 KTW0Genesis</v>
      </c>
      <c r="AG641" s="15" t="s">
        <v>354</v>
      </c>
      <c r="AH641" s="15" t="s">
        <v>10</v>
      </c>
      <c r="AI641" s="15">
        <v>410.506085859216</v>
      </c>
      <c r="AJ641" s="292" t="s">
        <v>95</v>
      </c>
      <c r="AK641" s="15"/>
      <c r="AL641" s="15">
        <f t="shared" si="213"/>
        <v>0</v>
      </c>
      <c r="AM641" s="15">
        <f t="shared" ca="1" si="214"/>
        <v>0</v>
      </c>
      <c r="AN641" s="15">
        <f t="shared" ca="1" si="215"/>
        <v>0</v>
      </c>
      <c r="AO641" s="15">
        <f t="shared" si="216"/>
        <v>0</v>
      </c>
      <c r="AP641" s="15">
        <f t="shared" si="217"/>
        <v>0</v>
      </c>
      <c r="AQ641" s="15">
        <f t="shared" si="218"/>
        <v>0</v>
      </c>
      <c r="AR641" s="190">
        <f t="shared" si="219"/>
        <v>0</v>
      </c>
      <c r="AS641" s="190">
        <f t="shared" ca="1" si="220"/>
        <v>0</v>
      </c>
      <c r="AT641" s="190">
        <f t="shared" si="221"/>
        <v>0</v>
      </c>
      <c r="AU641" s="190">
        <f t="shared" si="222"/>
        <v>0</v>
      </c>
      <c r="AV641" s="190">
        <f t="shared" si="223"/>
        <v>0</v>
      </c>
      <c r="AW641" s="190">
        <f t="shared" si="224"/>
        <v>0</v>
      </c>
      <c r="AX641" s="190">
        <f t="shared" si="225"/>
        <v>0</v>
      </c>
      <c r="AZ641" s="15"/>
      <c r="BP641" s="190"/>
    </row>
    <row r="642" spans="2:68" x14ac:dyDescent="0.25">
      <c r="B642" s="98" t="s">
        <v>554</v>
      </c>
      <c r="C642" s="98">
        <v>2014</v>
      </c>
      <c r="D642" s="98" t="s">
        <v>393</v>
      </c>
      <c r="E642" s="98" t="s">
        <v>14</v>
      </c>
      <c r="F642" s="98" t="s">
        <v>145</v>
      </c>
      <c r="G642" s="98">
        <v>0</v>
      </c>
      <c r="H642" s="299" t="str">
        <f>VLOOKUP(LEFT('Rev Adequacy'!D642,3),'Mapping B'!$D$2:$E$400,2,0)</f>
        <v>N</v>
      </c>
      <c r="J642" s="15" t="s">
        <v>355</v>
      </c>
      <c r="K642" s="15" t="s">
        <v>10</v>
      </c>
      <c r="L642" s="15">
        <v>410.506085859216</v>
      </c>
      <c r="M642" s="15"/>
      <c r="N642" s="15"/>
      <c r="O642" s="15">
        <f>_xlfn.IFNA(IF(VLOOKUP($J642&amp;O$14,'Mapping A'!$A$6:$G$1011,7,0)=1,$L642,""),0)+_xlfn.IFNA(IF(VLOOKUP($J642&amp;O$16,'Mapping A'!$A$6:$G$1011,7,0)=1,$L642,""),0)</f>
        <v>0</v>
      </c>
      <c r="P642" s="15">
        <f>_xlfn.IFNA(IF(VLOOKUP($J642&amp;P$14,'Mapping A'!$A$6:$G$1011,7,0)=1,$L642,""),0)+_xlfn.IFNA(IF(VLOOKUP($J642&amp;P$16,'Mapping A'!$A$6:$G$1011,7,0)=1,$L642,""),0)</f>
        <v>0</v>
      </c>
      <c r="Q642" s="15">
        <f>_xlfn.IFNA(IF(VLOOKUP($J642&amp;Q$14,'Mapping A'!$A$6:$G$1011,7,0)=1,$L642,""),0)+_xlfn.IFNA(IF(VLOOKUP($J642&amp;Q$16,'Mapping A'!$A$6:$G$1011,7,0)=1,$L642,""),0)</f>
        <v>0</v>
      </c>
      <c r="R642" s="15">
        <f>_xlfn.IFNA(IF(VLOOKUP($J642&amp;R$14,'Mapping A'!$A$6:$G$1011,7,0)=1,$L642,""),0)+_xlfn.IFNA(IF(VLOOKUP($J642&amp;R$16,'Mapping A'!$A$6:$G$1011,7,0)=1,$L642,""),0)</f>
        <v>0</v>
      </c>
      <c r="S642" s="15">
        <f>_xlfn.IFNA(IF(VLOOKUP($J642&amp;S$14,'Mapping A'!$A$6:$G$1011,7,0)=1,$L642,""),0)+_xlfn.IFNA(IF(VLOOKUP($J642&amp;S$16,'Mapping A'!$A$6:$G$1011,7,0)=1,$L642,""),0)</f>
        <v>0</v>
      </c>
      <c r="T642" s="15">
        <f>_xlfn.IFNA(IF(VLOOKUP($J642&amp;T$14,'Mapping A'!$A$6:$G$1011,7,0)=1,$L642,""),0)+_xlfn.IFNA(IF(VLOOKUP($J642&amp;T$16,'Mapping A'!$A$6:$G$1011,7,0)=1,$L642,""),0)</f>
        <v>0</v>
      </c>
      <c r="U642" s="15">
        <f>_xlfn.IFNA(IF(VLOOKUP($J642&amp;U$14,'Mapping A'!$A$6:$G$1011,7,0)=1,$L642,""),0)+_xlfn.IFNA(IF(VLOOKUP($J642&amp;U$16,'Mapping A'!$A$6:$G$1011,7,0)=1,$L642,""),0)</f>
        <v>0</v>
      </c>
      <c r="V642" s="15">
        <f>_xlfn.IFNA(IF(VLOOKUP($J642&amp;V$14,'Mapping A'!$A$6:$G$1011,7,0)=1,$L642,""),0)+_xlfn.IFNA(IF(VLOOKUP($J642&amp;V$16,'Mapping A'!$A$6:$G$1011,7,0)=1,$L642,""),0)</f>
        <v>0</v>
      </c>
      <c r="W642" s="15">
        <f>_xlfn.IFNA(IF(VLOOKUP($J642&amp;W$14,'Mapping A'!$A$6:$G$1011,7,0)=1,$L642,""),0)+_xlfn.IFNA(IF(VLOOKUP($J642&amp;W$16,'Mapping A'!$A$6:$G$1011,7,0)=1,$L642,""),0)</f>
        <v>0</v>
      </c>
      <c r="X642" s="15">
        <f>_xlfn.IFNA(IF(VLOOKUP($J642&amp;X$14,'Mapping A'!$A$6:$G$1011,7,0)=1,$L642,""),0)+_xlfn.IFNA(IF(VLOOKUP($J642&amp;X$16,'Mapping A'!$A$6:$G$1011,7,0)=1,$L642,""),0)</f>
        <v>0</v>
      </c>
      <c r="Y642" s="15">
        <f>_xlfn.IFNA(IF(VLOOKUP($J642&amp;Y$14,'Mapping A'!$A$6:$G$1011,7,0)=1,$L642,""),0)+_xlfn.IFNA(IF(VLOOKUP($J642&amp;Y$16,'Mapping A'!$A$6:$G$1011,7,0)=1,$L642,""),0)</f>
        <v>0</v>
      </c>
      <c r="Z642" s="15">
        <f>_xlfn.IFNA(IF(VLOOKUP($J642&amp;Z$14,'Mapping A'!$A$6:$G$1011,7,0)=1,$L642,""),0)+_xlfn.IFNA(IF(VLOOKUP($J642&amp;Z$16,'Mapping A'!$A$6:$G$1011,7,0)=1,$L642,""),0)</f>
        <v>0</v>
      </c>
      <c r="AA642" s="15">
        <f>_xlfn.IFNA(IF(VLOOKUP($J642&amp;AA$14,'Mapping A'!$A$6:$G$1011,7,0)=1,$L642,""),0)+_xlfn.IFNA(IF(VLOOKUP($J642&amp;AA$16,'Mapping A'!$A$6:$G$1011,7,0)=1,$L642,""),0)</f>
        <v>0</v>
      </c>
      <c r="AF642" s="155" t="str">
        <f t="shared" si="212"/>
        <v>TUI1101 PRI0Genesis</v>
      </c>
      <c r="AG642" s="15" t="s">
        <v>355</v>
      </c>
      <c r="AH642" s="15" t="s">
        <v>10</v>
      </c>
      <c r="AI642" s="15">
        <v>410.506085859216</v>
      </c>
      <c r="AJ642" s="292" t="s">
        <v>95</v>
      </c>
      <c r="AK642" s="15"/>
      <c r="AL642" s="15">
        <f t="shared" si="213"/>
        <v>0</v>
      </c>
      <c r="AM642" s="15">
        <f t="shared" ca="1" si="214"/>
        <v>0</v>
      </c>
      <c r="AN642" s="15">
        <f t="shared" ca="1" si="215"/>
        <v>0</v>
      </c>
      <c r="AO642" s="15">
        <f t="shared" si="216"/>
        <v>0</v>
      </c>
      <c r="AP642" s="15">
        <f t="shared" si="217"/>
        <v>0</v>
      </c>
      <c r="AQ642" s="15">
        <f t="shared" si="218"/>
        <v>0</v>
      </c>
      <c r="AR642" s="190">
        <f t="shared" si="219"/>
        <v>0</v>
      </c>
      <c r="AS642" s="190">
        <f t="shared" ca="1" si="220"/>
        <v>0</v>
      </c>
      <c r="AT642" s="190">
        <f t="shared" si="221"/>
        <v>0</v>
      </c>
      <c r="AU642" s="190">
        <f t="shared" si="222"/>
        <v>0</v>
      </c>
      <c r="AV642" s="190">
        <f t="shared" si="223"/>
        <v>0</v>
      </c>
      <c r="AW642" s="190">
        <f t="shared" si="224"/>
        <v>0</v>
      </c>
      <c r="AX642" s="190">
        <f t="shared" si="225"/>
        <v>0</v>
      </c>
      <c r="BP642" s="190"/>
    </row>
    <row r="643" spans="2:68" x14ac:dyDescent="0.25">
      <c r="B643" s="98" t="s">
        <v>554</v>
      </c>
      <c r="C643" s="98">
        <v>2014</v>
      </c>
      <c r="D643" s="98" t="s">
        <v>393</v>
      </c>
      <c r="E643" s="98" t="s">
        <v>14</v>
      </c>
      <c r="F643" s="98" t="s">
        <v>131</v>
      </c>
      <c r="G643" s="98">
        <v>471.435</v>
      </c>
      <c r="H643" s="299" t="str">
        <f>VLOOKUP(LEFT('Rev Adequacy'!D643,3),'Mapping B'!$D$2:$E$400,2,0)</f>
        <v>N</v>
      </c>
      <c r="J643" s="15" t="s">
        <v>356</v>
      </c>
      <c r="K643" s="15" t="s">
        <v>10</v>
      </c>
      <c r="L643" s="15">
        <v>410.506085859216</v>
      </c>
      <c r="M643" s="15"/>
      <c r="N643" s="15"/>
      <c r="O643" s="15">
        <f>_xlfn.IFNA(IF(VLOOKUP($J643&amp;O$14,'Mapping A'!$A$6:$G$1011,7,0)=1,$L643,""),0)+_xlfn.IFNA(IF(VLOOKUP($J643&amp;O$16,'Mapping A'!$A$6:$G$1011,7,0)=1,$L643,""),0)</f>
        <v>0</v>
      </c>
      <c r="P643" s="15">
        <f>_xlfn.IFNA(IF(VLOOKUP($J643&amp;P$14,'Mapping A'!$A$6:$G$1011,7,0)=1,$L643,""),0)+_xlfn.IFNA(IF(VLOOKUP($J643&amp;P$16,'Mapping A'!$A$6:$G$1011,7,0)=1,$L643,""),0)</f>
        <v>0</v>
      </c>
      <c r="Q643" s="15">
        <f>_xlfn.IFNA(IF(VLOOKUP($J643&amp;Q$14,'Mapping A'!$A$6:$G$1011,7,0)=1,$L643,""),0)+_xlfn.IFNA(IF(VLOOKUP($J643&amp;Q$16,'Mapping A'!$A$6:$G$1011,7,0)=1,$L643,""),0)</f>
        <v>0</v>
      </c>
      <c r="R643" s="15">
        <f>_xlfn.IFNA(IF(VLOOKUP($J643&amp;R$14,'Mapping A'!$A$6:$G$1011,7,0)=1,$L643,""),0)+_xlfn.IFNA(IF(VLOOKUP($J643&amp;R$16,'Mapping A'!$A$6:$G$1011,7,0)=1,$L643,""),0)</f>
        <v>0</v>
      </c>
      <c r="S643" s="15">
        <f>_xlfn.IFNA(IF(VLOOKUP($J643&amp;S$14,'Mapping A'!$A$6:$G$1011,7,0)=1,$L643,""),0)+_xlfn.IFNA(IF(VLOOKUP($J643&amp;S$16,'Mapping A'!$A$6:$G$1011,7,0)=1,$L643,""),0)</f>
        <v>0</v>
      </c>
      <c r="T643" s="15">
        <f>_xlfn.IFNA(IF(VLOOKUP($J643&amp;T$14,'Mapping A'!$A$6:$G$1011,7,0)=1,$L643,""),0)+_xlfn.IFNA(IF(VLOOKUP($J643&amp;T$16,'Mapping A'!$A$6:$G$1011,7,0)=1,$L643,""),0)</f>
        <v>0</v>
      </c>
      <c r="U643" s="15">
        <f>_xlfn.IFNA(IF(VLOOKUP($J643&amp;U$14,'Mapping A'!$A$6:$G$1011,7,0)=1,$L643,""),0)+_xlfn.IFNA(IF(VLOOKUP($J643&amp;U$16,'Mapping A'!$A$6:$G$1011,7,0)=1,$L643,""),0)</f>
        <v>0</v>
      </c>
      <c r="V643" s="15">
        <f>_xlfn.IFNA(IF(VLOOKUP($J643&amp;V$14,'Mapping A'!$A$6:$G$1011,7,0)=1,$L643,""),0)+_xlfn.IFNA(IF(VLOOKUP($J643&amp;V$16,'Mapping A'!$A$6:$G$1011,7,0)=1,$L643,""),0)</f>
        <v>0</v>
      </c>
      <c r="W643" s="15">
        <f>_xlfn.IFNA(IF(VLOOKUP($J643&amp;W$14,'Mapping A'!$A$6:$G$1011,7,0)=1,$L643,""),0)+_xlfn.IFNA(IF(VLOOKUP($J643&amp;W$16,'Mapping A'!$A$6:$G$1011,7,0)=1,$L643,""),0)</f>
        <v>0</v>
      </c>
      <c r="X643" s="15">
        <f>_xlfn.IFNA(IF(VLOOKUP($J643&amp;X$14,'Mapping A'!$A$6:$G$1011,7,0)=1,$L643,""),0)+_xlfn.IFNA(IF(VLOOKUP($J643&amp;X$16,'Mapping A'!$A$6:$G$1011,7,0)=1,$L643,""),0)</f>
        <v>0</v>
      </c>
      <c r="Y643" s="15">
        <f>_xlfn.IFNA(IF(VLOOKUP($J643&amp;Y$14,'Mapping A'!$A$6:$G$1011,7,0)=1,$L643,""),0)+_xlfn.IFNA(IF(VLOOKUP($J643&amp;Y$16,'Mapping A'!$A$6:$G$1011,7,0)=1,$L643,""),0)</f>
        <v>0</v>
      </c>
      <c r="Z643" s="15">
        <f>_xlfn.IFNA(IF(VLOOKUP($J643&amp;Z$14,'Mapping A'!$A$6:$G$1011,7,0)=1,$L643,""),0)+_xlfn.IFNA(IF(VLOOKUP($J643&amp;Z$16,'Mapping A'!$A$6:$G$1011,7,0)=1,$L643,""),0)</f>
        <v>0</v>
      </c>
      <c r="AA643" s="15">
        <f>_xlfn.IFNA(IF(VLOOKUP($J643&amp;AA$14,'Mapping A'!$A$6:$G$1011,7,0)=1,$L643,""),0)+_xlfn.IFNA(IF(VLOOKUP($J643&amp;AA$16,'Mapping A'!$A$6:$G$1011,7,0)=1,$L643,""),0)</f>
        <v>0</v>
      </c>
      <c r="AF643" s="155" t="str">
        <f t="shared" si="212"/>
        <v>TUI1101 TUI0Genesis</v>
      </c>
      <c r="AG643" s="15" t="s">
        <v>356</v>
      </c>
      <c r="AH643" s="15" t="s">
        <v>10</v>
      </c>
      <c r="AI643" s="15">
        <v>410.506085859216</v>
      </c>
      <c r="AJ643" s="292" t="s">
        <v>95</v>
      </c>
      <c r="AK643" s="15"/>
      <c r="AL643" s="15">
        <f t="shared" si="213"/>
        <v>0</v>
      </c>
      <c r="AM643" s="15">
        <f t="shared" ca="1" si="214"/>
        <v>0</v>
      </c>
      <c r="AN643" s="15">
        <f t="shared" ca="1" si="215"/>
        <v>0</v>
      </c>
      <c r="AO643" s="15">
        <f t="shared" si="216"/>
        <v>0</v>
      </c>
      <c r="AP643" s="15">
        <f t="shared" si="217"/>
        <v>0</v>
      </c>
      <c r="AQ643" s="15">
        <f t="shared" si="218"/>
        <v>0</v>
      </c>
      <c r="AR643" s="190">
        <f t="shared" si="219"/>
        <v>0</v>
      </c>
      <c r="AS643" s="190">
        <f t="shared" ca="1" si="220"/>
        <v>0</v>
      </c>
      <c r="AT643" s="190">
        <f t="shared" si="221"/>
        <v>0</v>
      </c>
      <c r="AU643" s="190">
        <f t="shared" si="222"/>
        <v>0</v>
      </c>
      <c r="AV643" s="190">
        <f t="shared" si="223"/>
        <v>0</v>
      </c>
      <c r="AW643" s="190">
        <f t="shared" si="224"/>
        <v>0</v>
      </c>
      <c r="AX643" s="190">
        <f t="shared" si="225"/>
        <v>0</v>
      </c>
      <c r="BP643" s="190"/>
    </row>
    <row r="644" spans="2:68" x14ac:dyDescent="0.25">
      <c r="B644" s="98" t="s">
        <v>554</v>
      </c>
      <c r="C644" s="98">
        <v>2014</v>
      </c>
      <c r="D644" s="98" t="s">
        <v>394</v>
      </c>
      <c r="E644" s="98" t="s">
        <v>14</v>
      </c>
      <c r="F644" s="98" t="s">
        <v>145</v>
      </c>
      <c r="G644" s="98">
        <v>0</v>
      </c>
      <c r="H644" s="299" t="str">
        <f>VLOOKUP(LEFT('Rev Adequacy'!D644,3),'Mapping B'!$D$2:$E$400,2,0)</f>
        <v>N</v>
      </c>
      <c r="J644" s="15" t="s">
        <v>359</v>
      </c>
      <c r="K644" s="15" t="s">
        <v>4</v>
      </c>
      <c r="L644" s="15">
        <v>204.40848616636299</v>
      </c>
      <c r="M644" s="15"/>
      <c r="N644" s="15"/>
      <c r="O644" s="15">
        <f>_xlfn.IFNA(IF(VLOOKUP($J644&amp;O$14,'Mapping A'!$A$6:$G$1011,7,0)=1,$L644,""),0)+_xlfn.IFNA(IF(VLOOKUP($J644&amp;O$16,'Mapping A'!$A$6:$G$1011,7,0)=1,$L644,""),0)</f>
        <v>0</v>
      </c>
      <c r="P644" s="15">
        <f>_xlfn.IFNA(IF(VLOOKUP($J644&amp;P$14,'Mapping A'!$A$6:$G$1011,7,0)=1,$L644,""),0)+_xlfn.IFNA(IF(VLOOKUP($J644&amp;P$16,'Mapping A'!$A$6:$G$1011,7,0)=1,$L644,""),0)</f>
        <v>0</v>
      </c>
      <c r="Q644" s="15">
        <f>_xlfn.IFNA(IF(VLOOKUP($J644&amp;Q$14,'Mapping A'!$A$6:$G$1011,7,0)=1,$L644,""),0)+_xlfn.IFNA(IF(VLOOKUP($J644&amp;Q$16,'Mapping A'!$A$6:$G$1011,7,0)=1,$L644,""),0)</f>
        <v>0</v>
      </c>
      <c r="R644" s="15">
        <f>_xlfn.IFNA(IF(VLOOKUP($J644&amp;R$14,'Mapping A'!$A$6:$G$1011,7,0)=1,$L644,""),0)+_xlfn.IFNA(IF(VLOOKUP($J644&amp;R$16,'Mapping A'!$A$6:$G$1011,7,0)=1,$L644,""),0)</f>
        <v>0</v>
      </c>
      <c r="S644" s="15">
        <f>_xlfn.IFNA(IF(VLOOKUP($J644&amp;S$14,'Mapping A'!$A$6:$G$1011,7,0)=1,$L644,""),0)+_xlfn.IFNA(IF(VLOOKUP($J644&amp;S$16,'Mapping A'!$A$6:$G$1011,7,0)=1,$L644,""),0)</f>
        <v>0</v>
      </c>
      <c r="T644" s="15">
        <f>_xlfn.IFNA(IF(VLOOKUP($J644&amp;T$14,'Mapping A'!$A$6:$G$1011,7,0)=1,$L644,""),0)+_xlfn.IFNA(IF(VLOOKUP($J644&amp;T$16,'Mapping A'!$A$6:$G$1011,7,0)=1,$L644,""),0)</f>
        <v>0</v>
      </c>
      <c r="U644" s="15">
        <f>_xlfn.IFNA(IF(VLOOKUP($J644&amp;U$14,'Mapping A'!$A$6:$G$1011,7,0)=1,$L644,""),0)+_xlfn.IFNA(IF(VLOOKUP($J644&amp;U$16,'Mapping A'!$A$6:$G$1011,7,0)=1,$L644,""),0)</f>
        <v>0</v>
      </c>
      <c r="V644" s="15">
        <f>_xlfn.IFNA(IF(VLOOKUP($J644&amp;V$14,'Mapping A'!$A$6:$G$1011,7,0)=1,$L644,""),0)+_xlfn.IFNA(IF(VLOOKUP($J644&amp;V$16,'Mapping A'!$A$6:$G$1011,7,0)=1,$L644,""),0)</f>
        <v>0</v>
      </c>
      <c r="W644" s="15">
        <f>_xlfn.IFNA(IF(VLOOKUP($J644&amp;W$14,'Mapping A'!$A$6:$G$1011,7,0)=1,$L644,""),0)+_xlfn.IFNA(IF(VLOOKUP($J644&amp;W$16,'Mapping A'!$A$6:$G$1011,7,0)=1,$L644,""),0)</f>
        <v>0</v>
      </c>
      <c r="X644" s="15">
        <f>_xlfn.IFNA(IF(VLOOKUP($J644&amp;X$14,'Mapping A'!$A$6:$G$1011,7,0)=1,$L644,""),0)+_xlfn.IFNA(IF(VLOOKUP($J644&amp;X$16,'Mapping A'!$A$6:$G$1011,7,0)=1,$L644,""),0)</f>
        <v>0</v>
      </c>
      <c r="Y644" s="15">
        <f>_xlfn.IFNA(IF(VLOOKUP($J644&amp;Y$14,'Mapping A'!$A$6:$G$1011,7,0)=1,$L644,""),0)+_xlfn.IFNA(IF(VLOOKUP($J644&amp;Y$16,'Mapping A'!$A$6:$G$1011,7,0)=1,$L644,""),0)</f>
        <v>0</v>
      </c>
      <c r="Z644" s="15">
        <f>_xlfn.IFNA(IF(VLOOKUP($J644&amp;Z$14,'Mapping A'!$A$6:$G$1011,7,0)=1,$L644,""),0)+_xlfn.IFNA(IF(VLOOKUP($J644&amp;Z$16,'Mapping A'!$A$6:$G$1011,7,0)=1,$L644,""),0)</f>
        <v>0</v>
      </c>
      <c r="AA644" s="15">
        <f>_xlfn.IFNA(IF(VLOOKUP($J644&amp;AA$14,'Mapping A'!$A$6:$G$1011,7,0)=1,$L644,""),0)+_xlfn.IFNA(IF(VLOOKUP($J644&amp;AA$16,'Mapping A'!$A$6:$G$1011,7,0)=1,$L644,""),0)</f>
        <v>0</v>
      </c>
      <c r="AF644" s="155" t="str">
        <f t="shared" si="212"/>
        <v>TWH0331 TRC1Contact</v>
      </c>
      <c r="AG644" s="15" t="s">
        <v>359</v>
      </c>
      <c r="AH644" s="15" t="s">
        <v>4</v>
      </c>
      <c r="AI644" s="15">
        <v>204.40848616636299</v>
      </c>
      <c r="AJ644" s="292" t="s">
        <v>95</v>
      </c>
      <c r="AK644" s="15"/>
      <c r="AL644" s="15">
        <f t="shared" si="213"/>
        <v>0</v>
      </c>
      <c r="AM644" s="15">
        <f t="shared" ca="1" si="214"/>
        <v>0</v>
      </c>
      <c r="AN644" s="15">
        <f t="shared" ca="1" si="215"/>
        <v>0</v>
      </c>
      <c r="AO644" s="15">
        <f t="shared" si="216"/>
        <v>0</v>
      </c>
      <c r="AP644" s="15">
        <f t="shared" si="217"/>
        <v>0</v>
      </c>
      <c r="AQ644" s="15">
        <f t="shared" si="218"/>
        <v>0</v>
      </c>
      <c r="AR644" s="190">
        <f t="shared" si="219"/>
        <v>0</v>
      </c>
      <c r="AS644" s="190">
        <f t="shared" ca="1" si="220"/>
        <v>0</v>
      </c>
      <c r="AT644" s="190">
        <f t="shared" si="221"/>
        <v>0</v>
      </c>
      <c r="AU644" s="190">
        <f t="shared" si="222"/>
        <v>0</v>
      </c>
      <c r="AV644" s="190">
        <f t="shared" si="223"/>
        <v>0</v>
      </c>
      <c r="AW644" s="190">
        <f t="shared" si="224"/>
        <v>0</v>
      </c>
      <c r="AX644" s="190">
        <f t="shared" si="225"/>
        <v>0</v>
      </c>
      <c r="BP644" s="190"/>
    </row>
    <row r="645" spans="2:68" x14ac:dyDescent="0.25">
      <c r="B645" s="98" t="s">
        <v>554</v>
      </c>
      <c r="C645" s="98">
        <v>2014</v>
      </c>
      <c r="D645" s="98" t="s">
        <v>394</v>
      </c>
      <c r="E645" s="98" t="s">
        <v>14</v>
      </c>
      <c r="F645" s="98" t="s">
        <v>131</v>
      </c>
      <c r="G645" s="98">
        <v>458.815</v>
      </c>
      <c r="H645" s="299" t="str">
        <f>VLOOKUP(LEFT('Rev Adequacy'!D645,3),'Mapping B'!$D$2:$E$400,2,0)</f>
        <v>N</v>
      </c>
      <c r="J645" s="15" t="s">
        <v>371</v>
      </c>
      <c r="K645" s="15" t="s">
        <v>4</v>
      </c>
      <c r="L645" s="15">
        <v>1.1159019978698299</v>
      </c>
      <c r="M645" s="15"/>
      <c r="N645" s="15"/>
      <c r="O645" s="15">
        <f>_xlfn.IFNA(IF(VLOOKUP($J645&amp;O$14,'Mapping A'!$A$6:$G$1011,7,0)=1,$L645,""),0)+_xlfn.IFNA(IF(VLOOKUP($J645&amp;O$16,'Mapping A'!$A$6:$G$1011,7,0)=1,$L645,""),0)</f>
        <v>0</v>
      </c>
      <c r="P645" s="15">
        <f>_xlfn.IFNA(IF(VLOOKUP($J645&amp;P$14,'Mapping A'!$A$6:$G$1011,7,0)=1,$L645,""),0)+_xlfn.IFNA(IF(VLOOKUP($J645&amp;P$16,'Mapping A'!$A$6:$G$1011,7,0)=1,$L645,""),0)</f>
        <v>0</v>
      </c>
      <c r="Q645" s="15">
        <f>_xlfn.IFNA(IF(VLOOKUP($J645&amp;Q$14,'Mapping A'!$A$6:$G$1011,7,0)=1,$L645,""),0)+_xlfn.IFNA(IF(VLOOKUP($J645&amp;Q$16,'Mapping A'!$A$6:$G$1011,7,0)=1,$L645,""),0)</f>
        <v>0</v>
      </c>
      <c r="R645" s="15">
        <f>_xlfn.IFNA(IF(VLOOKUP($J645&amp;R$14,'Mapping A'!$A$6:$G$1011,7,0)=1,$L645,""),0)+_xlfn.IFNA(IF(VLOOKUP($J645&amp;R$16,'Mapping A'!$A$6:$G$1011,7,0)=1,$L645,""),0)</f>
        <v>0</v>
      </c>
      <c r="S645" s="15">
        <f>_xlfn.IFNA(IF(VLOOKUP($J645&amp;S$14,'Mapping A'!$A$6:$G$1011,7,0)=1,$L645,""),0)+_xlfn.IFNA(IF(VLOOKUP($J645&amp;S$16,'Mapping A'!$A$6:$G$1011,7,0)=1,$L645,""),0)</f>
        <v>0</v>
      </c>
      <c r="T645" s="15">
        <f>_xlfn.IFNA(IF(VLOOKUP($J645&amp;T$14,'Mapping A'!$A$6:$G$1011,7,0)=1,$L645,""),0)+_xlfn.IFNA(IF(VLOOKUP($J645&amp;T$16,'Mapping A'!$A$6:$G$1011,7,0)=1,$L645,""),0)</f>
        <v>0</v>
      </c>
      <c r="U645" s="15">
        <f>_xlfn.IFNA(IF(VLOOKUP($J645&amp;U$14,'Mapping A'!$A$6:$G$1011,7,0)=1,$L645,""),0)+_xlfn.IFNA(IF(VLOOKUP($J645&amp;U$16,'Mapping A'!$A$6:$G$1011,7,0)=1,$L645,""),0)</f>
        <v>0</v>
      </c>
      <c r="V645" s="15">
        <f>_xlfn.IFNA(IF(VLOOKUP($J645&amp;V$14,'Mapping A'!$A$6:$G$1011,7,0)=1,$L645,""),0)+_xlfn.IFNA(IF(VLOOKUP($J645&amp;V$16,'Mapping A'!$A$6:$G$1011,7,0)=1,$L645,""),0)</f>
        <v>0</v>
      </c>
      <c r="W645" s="15">
        <f>_xlfn.IFNA(IF(VLOOKUP($J645&amp;W$14,'Mapping A'!$A$6:$G$1011,7,0)=1,$L645,""),0)+_xlfn.IFNA(IF(VLOOKUP($J645&amp;W$16,'Mapping A'!$A$6:$G$1011,7,0)=1,$L645,""),0)</f>
        <v>0</v>
      </c>
      <c r="X645" s="15">
        <f>_xlfn.IFNA(IF(VLOOKUP($J645&amp;X$14,'Mapping A'!$A$6:$G$1011,7,0)=1,$L645,""),0)+_xlfn.IFNA(IF(VLOOKUP($J645&amp;X$16,'Mapping A'!$A$6:$G$1011,7,0)=1,$L645,""),0)</f>
        <v>0</v>
      </c>
      <c r="Y645" s="15">
        <f>_xlfn.IFNA(IF(VLOOKUP($J645&amp;Y$14,'Mapping A'!$A$6:$G$1011,7,0)=1,$L645,""),0)+_xlfn.IFNA(IF(VLOOKUP($J645&amp;Y$16,'Mapping A'!$A$6:$G$1011,7,0)=1,$L645,""),0)</f>
        <v>0</v>
      </c>
      <c r="Z645" s="15">
        <f>_xlfn.IFNA(IF(VLOOKUP($J645&amp;Z$14,'Mapping A'!$A$6:$G$1011,7,0)=1,$L645,""),0)+_xlfn.IFNA(IF(VLOOKUP($J645&amp;Z$16,'Mapping A'!$A$6:$G$1011,7,0)=1,$L645,""),0)</f>
        <v>0</v>
      </c>
      <c r="AA645" s="15">
        <f>_xlfn.IFNA(IF(VLOOKUP($J645&amp;AA$14,'Mapping A'!$A$6:$G$1011,7,0)=1,$L645,""),0)+_xlfn.IFNA(IF(VLOOKUP($J645&amp;AA$16,'Mapping A'!$A$6:$G$1011,7,0)=1,$L645,""),0)</f>
        <v>0</v>
      </c>
      <c r="AF645" s="155" t="str">
        <f t="shared" si="212"/>
        <v>WHI2201 WHI0Contact</v>
      </c>
      <c r="AG645" s="15" t="s">
        <v>371</v>
      </c>
      <c r="AH645" s="15" t="s">
        <v>4</v>
      </c>
      <c r="AI645" s="15">
        <v>1.1159019978698299</v>
      </c>
      <c r="AJ645" s="292" t="s">
        <v>95</v>
      </c>
      <c r="AK645" s="15"/>
      <c r="AL645" s="15">
        <f t="shared" si="213"/>
        <v>0</v>
      </c>
      <c r="AM645" s="15">
        <f t="shared" ca="1" si="214"/>
        <v>0</v>
      </c>
      <c r="AN645" s="15">
        <f t="shared" ca="1" si="215"/>
        <v>0</v>
      </c>
      <c r="AO645" s="15">
        <f t="shared" si="216"/>
        <v>0</v>
      </c>
      <c r="AP645" s="15">
        <f t="shared" si="217"/>
        <v>0</v>
      </c>
      <c r="AQ645" s="15">
        <f t="shared" si="218"/>
        <v>0</v>
      </c>
      <c r="AR645" s="190">
        <f t="shared" si="219"/>
        <v>0</v>
      </c>
      <c r="AS645" s="190">
        <f t="shared" ca="1" si="220"/>
        <v>0</v>
      </c>
      <c r="AT645" s="190">
        <f t="shared" si="221"/>
        <v>0</v>
      </c>
      <c r="AU645" s="190">
        <f t="shared" si="222"/>
        <v>0</v>
      </c>
      <c r="AV645" s="190">
        <f t="shared" si="223"/>
        <v>0</v>
      </c>
      <c r="AW645" s="190">
        <f t="shared" si="224"/>
        <v>0</v>
      </c>
      <c r="AX645" s="190">
        <f t="shared" si="225"/>
        <v>0</v>
      </c>
      <c r="BP645" s="190"/>
    </row>
    <row r="646" spans="2:68" x14ac:dyDescent="0.25">
      <c r="B646" s="98" t="s">
        <v>563</v>
      </c>
      <c r="C646" s="98">
        <v>2014</v>
      </c>
      <c r="D646" s="98" t="s">
        <v>149</v>
      </c>
      <c r="E646" s="98" t="s">
        <v>14</v>
      </c>
      <c r="F646" s="98" t="s">
        <v>136</v>
      </c>
      <c r="G646" s="98">
        <v>0</v>
      </c>
      <c r="H646" s="299" t="str">
        <f>VLOOKUP(LEFT('Rev Adequacy'!D646,3),'Mapping B'!$D$2:$E$400,2,0)</f>
        <v>S</v>
      </c>
      <c r="J646" s="15" t="s">
        <v>376</v>
      </c>
      <c r="K646" s="15" t="s">
        <v>16</v>
      </c>
      <c r="L646" s="15">
        <v>879.21220382672504</v>
      </c>
      <c r="M646" s="15"/>
      <c r="N646" s="15"/>
      <c r="O646" s="15">
        <f>_xlfn.IFNA(IF(VLOOKUP($J646&amp;O$14,'Mapping A'!$A$6:$G$1011,7,0)=1,$L646,""),0)+_xlfn.IFNA(IF(VLOOKUP($J646&amp;O$16,'Mapping A'!$A$6:$G$1011,7,0)=1,$L646,""),0)</f>
        <v>0</v>
      </c>
      <c r="P646" s="15">
        <f>_xlfn.IFNA(IF(VLOOKUP($J646&amp;P$14,'Mapping A'!$A$6:$G$1011,7,0)=1,$L646,""),0)+_xlfn.IFNA(IF(VLOOKUP($J646&amp;P$16,'Mapping A'!$A$6:$G$1011,7,0)=1,$L646,""),0)</f>
        <v>0</v>
      </c>
      <c r="Q646" s="15">
        <f>_xlfn.IFNA(IF(VLOOKUP($J646&amp;Q$14,'Mapping A'!$A$6:$G$1011,7,0)=1,$L646,""),0)+_xlfn.IFNA(IF(VLOOKUP($J646&amp;Q$16,'Mapping A'!$A$6:$G$1011,7,0)=1,$L646,""),0)</f>
        <v>0</v>
      </c>
      <c r="R646" s="15">
        <f>_xlfn.IFNA(IF(VLOOKUP($J646&amp;R$14,'Mapping A'!$A$6:$G$1011,7,0)=1,$L646,""),0)+_xlfn.IFNA(IF(VLOOKUP($J646&amp;R$16,'Mapping A'!$A$6:$G$1011,7,0)=1,$L646,""),0)</f>
        <v>0</v>
      </c>
      <c r="S646" s="15">
        <f>_xlfn.IFNA(IF(VLOOKUP($J646&amp;S$14,'Mapping A'!$A$6:$G$1011,7,0)=1,$L646,""),0)+_xlfn.IFNA(IF(VLOOKUP($J646&amp;S$16,'Mapping A'!$A$6:$G$1011,7,0)=1,$L646,""),0)</f>
        <v>0</v>
      </c>
      <c r="T646" s="15">
        <f>_xlfn.IFNA(IF(VLOOKUP($J646&amp;T$14,'Mapping A'!$A$6:$G$1011,7,0)=1,$L646,""),0)+_xlfn.IFNA(IF(VLOOKUP($J646&amp;T$16,'Mapping A'!$A$6:$G$1011,7,0)=1,$L646,""),0)</f>
        <v>0</v>
      </c>
      <c r="U646" s="15">
        <f>_xlfn.IFNA(IF(VLOOKUP($J646&amp;U$14,'Mapping A'!$A$6:$G$1011,7,0)=1,$L646,""),0)+_xlfn.IFNA(IF(VLOOKUP($J646&amp;U$16,'Mapping A'!$A$6:$G$1011,7,0)=1,$L646,""),0)</f>
        <v>0</v>
      </c>
      <c r="V646" s="15">
        <f>_xlfn.IFNA(IF(VLOOKUP($J646&amp;V$14,'Mapping A'!$A$6:$G$1011,7,0)=1,$L646,""),0)+_xlfn.IFNA(IF(VLOOKUP($J646&amp;V$16,'Mapping A'!$A$6:$G$1011,7,0)=1,$L646,""),0)</f>
        <v>0</v>
      </c>
      <c r="W646" s="15">
        <f>_xlfn.IFNA(IF(VLOOKUP($J646&amp;W$14,'Mapping A'!$A$6:$G$1011,7,0)=1,$L646,""),0)+_xlfn.IFNA(IF(VLOOKUP($J646&amp;W$16,'Mapping A'!$A$6:$G$1011,7,0)=1,$L646,""),0)</f>
        <v>0</v>
      </c>
      <c r="X646" s="15">
        <f>_xlfn.IFNA(IF(VLOOKUP($J646&amp;X$14,'Mapping A'!$A$6:$G$1011,7,0)=1,$L646,""),0)+_xlfn.IFNA(IF(VLOOKUP($J646&amp;X$16,'Mapping A'!$A$6:$G$1011,7,0)=1,$L646,""),0)</f>
        <v>0</v>
      </c>
      <c r="Y646" s="15">
        <f>_xlfn.IFNA(IF(VLOOKUP($J646&amp;Y$14,'Mapping A'!$A$6:$G$1011,7,0)=1,$L646,""),0)+_xlfn.IFNA(IF(VLOOKUP($J646&amp;Y$16,'Mapping A'!$A$6:$G$1011,7,0)=1,$L646,""),0)</f>
        <v>0</v>
      </c>
      <c r="Z646" s="15">
        <f>_xlfn.IFNA(IF(VLOOKUP($J646&amp;Z$14,'Mapping A'!$A$6:$G$1011,7,0)=1,$L646,""),0)+_xlfn.IFNA(IF(VLOOKUP($J646&amp;Z$16,'Mapping A'!$A$6:$G$1011,7,0)=1,$L646,""),0)</f>
        <v>0</v>
      </c>
      <c r="AA646" s="15">
        <f>_xlfn.IFNA(IF(VLOOKUP($J646&amp;AA$14,'Mapping A'!$A$6:$G$1011,7,0)=1,$L646,""),0)+_xlfn.IFNA(IF(VLOOKUP($J646&amp;AA$16,'Mapping A'!$A$6:$G$1011,7,0)=1,$L646,""),0)</f>
        <v>0</v>
      </c>
      <c r="AF646" s="155" t="str">
        <f t="shared" si="212"/>
        <v>WKM2201 MOK0Mokai JV</v>
      </c>
      <c r="AG646" s="15" t="s">
        <v>376</v>
      </c>
      <c r="AH646" s="15" t="s">
        <v>16</v>
      </c>
      <c r="AI646" s="15">
        <v>879.21220382672504</v>
      </c>
      <c r="AJ646" s="292" t="s">
        <v>95</v>
      </c>
      <c r="AK646" s="15"/>
      <c r="AL646" s="15">
        <f t="shared" si="213"/>
        <v>0</v>
      </c>
      <c r="AM646" s="15">
        <f t="shared" ca="1" si="214"/>
        <v>0</v>
      </c>
      <c r="AN646" s="15">
        <f t="shared" ca="1" si="215"/>
        <v>0</v>
      </c>
      <c r="AO646" s="15">
        <f t="shared" si="216"/>
        <v>0</v>
      </c>
      <c r="AP646" s="15">
        <f t="shared" si="217"/>
        <v>0</v>
      </c>
      <c r="AQ646" s="15">
        <f t="shared" si="218"/>
        <v>0</v>
      </c>
      <c r="AR646" s="190">
        <f t="shared" si="219"/>
        <v>0</v>
      </c>
      <c r="AS646" s="190">
        <f t="shared" ca="1" si="220"/>
        <v>0</v>
      </c>
      <c r="AT646" s="190">
        <f t="shared" si="221"/>
        <v>0</v>
      </c>
      <c r="AU646" s="190">
        <f t="shared" si="222"/>
        <v>0</v>
      </c>
      <c r="AV646" s="190">
        <f t="shared" si="223"/>
        <v>0</v>
      </c>
      <c r="AW646" s="190">
        <f t="shared" si="224"/>
        <v>0</v>
      </c>
      <c r="AX646" s="190">
        <f t="shared" si="225"/>
        <v>0</v>
      </c>
      <c r="BP646" s="190"/>
    </row>
    <row r="647" spans="2:68" x14ac:dyDescent="0.25">
      <c r="B647" s="98" t="s">
        <v>563</v>
      </c>
      <c r="C647" s="98">
        <v>2014</v>
      </c>
      <c r="D647" s="98" t="s">
        <v>152</v>
      </c>
      <c r="E647" s="98" t="s">
        <v>14</v>
      </c>
      <c r="F647" s="98" t="s">
        <v>136</v>
      </c>
      <c r="G647" s="98">
        <v>0</v>
      </c>
      <c r="H647" s="299" t="str">
        <f>VLOOKUP(LEFT('Rev Adequacy'!D647,3),'Mapping B'!$D$2:$E$400,2,0)</f>
        <v>S</v>
      </c>
      <c r="J647" s="15" t="s">
        <v>377</v>
      </c>
      <c r="K647" s="15" t="s">
        <v>17</v>
      </c>
      <c r="L647" s="15">
        <v>416.63007589362098</v>
      </c>
      <c r="M647" s="15"/>
      <c r="N647" s="15"/>
      <c r="O647" s="15">
        <f>_xlfn.IFNA(IF(VLOOKUP($J647&amp;O$14,'Mapping A'!$A$6:$G$1011,7,0)=1,$L647,""),0)+_xlfn.IFNA(IF(VLOOKUP($J647&amp;O$16,'Mapping A'!$A$6:$G$1011,7,0)=1,$L647,""),0)</f>
        <v>0</v>
      </c>
      <c r="P647" s="15">
        <f>_xlfn.IFNA(IF(VLOOKUP($J647&amp;P$14,'Mapping A'!$A$6:$G$1011,7,0)=1,$L647,""),0)+_xlfn.IFNA(IF(VLOOKUP($J647&amp;P$16,'Mapping A'!$A$6:$G$1011,7,0)=1,$L647,""),0)</f>
        <v>0</v>
      </c>
      <c r="Q647" s="15">
        <f>_xlfn.IFNA(IF(VLOOKUP($J647&amp;Q$14,'Mapping A'!$A$6:$G$1011,7,0)=1,$L647,""),0)+_xlfn.IFNA(IF(VLOOKUP($J647&amp;Q$16,'Mapping A'!$A$6:$G$1011,7,0)=1,$L647,""),0)</f>
        <v>0</v>
      </c>
      <c r="R647" s="15">
        <f>_xlfn.IFNA(IF(VLOOKUP($J647&amp;R$14,'Mapping A'!$A$6:$G$1011,7,0)=1,$L647,""),0)+_xlfn.IFNA(IF(VLOOKUP($J647&amp;R$16,'Mapping A'!$A$6:$G$1011,7,0)=1,$L647,""),0)</f>
        <v>0</v>
      </c>
      <c r="S647" s="15">
        <f>_xlfn.IFNA(IF(VLOOKUP($J647&amp;S$14,'Mapping A'!$A$6:$G$1011,7,0)=1,$L647,""),0)+_xlfn.IFNA(IF(VLOOKUP($J647&amp;S$16,'Mapping A'!$A$6:$G$1011,7,0)=1,$L647,""),0)</f>
        <v>0</v>
      </c>
      <c r="T647" s="15">
        <f>_xlfn.IFNA(IF(VLOOKUP($J647&amp;T$14,'Mapping A'!$A$6:$G$1011,7,0)=1,$L647,""),0)+_xlfn.IFNA(IF(VLOOKUP($J647&amp;T$16,'Mapping A'!$A$6:$G$1011,7,0)=1,$L647,""),0)</f>
        <v>0</v>
      </c>
      <c r="U647" s="15">
        <f>_xlfn.IFNA(IF(VLOOKUP($J647&amp;U$14,'Mapping A'!$A$6:$G$1011,7,0)=1,$L647,""),0)+_xlfn.IFNA(IF(VLOOKUP($J647&amp;U$16,'Mapping A'!$A$6:$G$1011,7,0)=1,$L647,""),0)</f>
        <v>0</v>
      </c>
      <c r="V647" s="15">
        <f>_xlfn.IFNA(IF(VLOOKUP($J647&amp;V$14,'Mapping A'!$A$6:$G$1011,7,0)=1,$L647,""),0)+_xlfn.IFNA(IF(VLOOKUP($J647&amp;V$16,'Mapping A'!$A$6:$G$1011,7,0)=1,$L647,""),0)</f>
        <v>0</v>
      </c>
      <c r="W647" s="15">
        <f>_xlfn.IFNA(IF(VLOOKUP($J647&amp;W$14,'Mapping A'!$A$6:$G$1011,7,0)=1,$L647,""),0)+_xlfn.IFNA(IF(VLOOKUP($J647&amp;W$16,'Mapping A'!$A$6:$G$1011,7,0)=1,$L647,""),0)</f>
        <v>0</v>
      </c>
      <c r="X647" s="15">
        <f>_xlfn.IFNA(IF(VLOOKUP($J647&amp;X$14,'Mapping A'!$A$6:$G$1011,7,0)=1,$L647,""),0)+_xlfn.IFNA(IF(VLOOKUP($J647&amp;X$16,'Mapping A'!$A$6:$G$1011,7,0)=1,$L647,""),0)</f>
        <v>0</v>
      </c>
      <c r="Y647" s="15">
        <f>_xlfn.IFNA(IF(VLOOKUP($J647&amp;Y$14,'Mapping A'!$A$6:$G$1011,7,0)=1,$L647,""),0)+_xlfn.IFNA(IF(VLOOKUP($J647&amp;Y$16,'Mapping A'!$A$6:$G$1011,7,0)=1,$L647,""),0)</f>
        <v>0</v>
      </c>
      <c r="Z647" s="15">
        <f>_xlfn.IFNA(IF(VLOOKUP($J647&amp;Z$14,'Mapping A'!$A$6:$G$1011,7,0)=1,$L647,""),0)+_xlfn.IFNA(IF(VLOOKUP($J647&amp;Z$16,'Mapping A'!$A$6:$G$1011,7,0)=1,$L647,""),0)</f>
        <v>0</v>
      </c>
      <c r="AA647" s="15">
        <f>_xlfn.IFNA(IF(VLOOKUP($J647&amp;AA$14,'Mapping A'!$A$6:$G$1011,7,0)=1,$L647,""),0)+_xlfn.IFNA(IF(VLOOKUP($J647&amp;AA$16,'Mapping A'!$A$6:$G$1011,7,0)=1,$L647,""),0)</f>
        <v>0</v>
      </c>
      <c r="AF647" s="155" t="str">
        <f t="shared" si="212"/>
        <v>WKM2201 WKM0MRP</v>
      </c>
      <c r="AG647" s="15" t="s">
        <v>377</v>
      </c>
      <c r="AH647" s="15" t="s">
        <v>17</v>
      </c>
      <c r="AI647" s="15">
        <v>416.63007589362098</v>
      </c>
      <c r="AJ647" s="292" t="s">
        <v>95</v>
      </c>
      <c r="AK647" s="15"/>
      <c r="AL647" s="15">
        <f t="shared" si="213"/>
        <v>0</v>
      </c>
      <c r="AM647" s="15">
        <f t="shared" ca="1" si="214"/>
        <v>0</v>
      </c>
      <c r="AN647" s="15">
        <f t="shared" ca="1" si="215"/>
        <v>0</v>
      </c>
      <c r="AO647" s="15">
        <f t="shared" si="216"/>
        <v>0</v>
      </c>
      <c r="AP647" s="15">
        <f t="shared" si="217"/>
        <v>0</v>
      </c>
      <c r="AQ647" s="15">
        <f t="shared" si="218"/>
        <v>0</v>
      </c>
      <c r="AR647" s="190">
        <f t="shared" si="219"/>
        <v>0</v>
      </c>
      <c r="AS647" s="190">
        <f t="shared" ca="1" si="220"/>
        <v>0</v>
      </c>
      <c r="AT647" s="190">
        <f t="shared" si="221"/>
        <v>0</v>
      </c>
      <c r="AU647" s="190">
        <f t="shared" si="222"/>
        <v>0</v>
      </c>
      <c r="AV647" s="190">
        <f t="shared" si="223"/>
        <v>0</v>
      </c>
      <c r="AW647" s="190">
        <f t="shared" si="224"/>
        <v>0</v>
      </c>
      <c r="AX647" s="190">
        <f t="shared" si="225"/>
        <v>0</v>
      </c>
      <c r="BP647" s="190"/>
    </row>
    <row r="648" spans="2:68" x14ac:dyDescent="0.25">
      <c r="B648" s="98" t="s">
        <v>563</v>
      </c>
      <c r="C648" s="98">
        <v>2014</v>
      </c>
      <c r="D648" s="98" t="s">
        <v>217</v>
      </c>
      <c r="E648" s="98" t="s">
        <v>14</v>
      </c>
      <c r="F648" s="98" t="s">
        <v>131</v>
      </c>
      <c r="G648" s="98">
        <v>1199.271</v>
      </c>
      <c r="H648" s="299" t="str">
        <f>VLOOKUP(LEFT('Rev Adequacy'!D648,3),'Mapping B'!$D$2:$E$400,2,0)</f>
        <v>N</v>
      </c>
      <c r="J648" s="15" t="s">
        <v>379</v>
      </c>
      <c r="K648" s="15" t="s">
        <v>17</v>
      </c>
      <c r="L648" s="15">
        <v>198.959324010644</v>
      </c>
      <c r="M648" s="15"/>
      <c r="N648" s="15"/>
      <c r="O648" s="15">
        <f>_xlfn.IFNA(IF(VLOOKUP($J648&amp;O$14,'Mapping A'!$A$6:$G$1011,7,0)=1,$L648,""),0)+_xlfn.IFNA(IF(VLOOKUP($J648&amp;O$16,'Mapping A'!$A$6:$G$1011,7,0)=1,$L648,""),0)</f>
        <v>0</v>
      </c>
      <c r="P648" s="15">
        <f>_xlfn.IFNA(IF(VLOOKUP($J648&amp;P$14,'Mapping A'!$A$6:$G$1011,7,0)=1,$L648,""),0)+_xlfn.IFNA(IF(VLOOKUP($J648&amp;P$16,'Mapping A'!$A$6:$G$1011,7,0)=1,$L648,""),0)</f>
        <v>0</v>
      </c>
      <c r="Q648" s="15">
        <f>_xlfn.IFNA(IF(VLOOKUP($J648&amp;Q$14,'Mapping A'!$A$6:$G$1011,7,0)=1,$L648,""),0)+_xlfn.IFNA(IF(VLOOKUP($J648&amp;Q$16,'Mapping A'!$A$6:$G$1011,7,0)=1,$L648,""),0)</f>
        <v>0</v>
      </c>
      <c r="R648" s="15">
        <f>_xlfn.IFNA(IF(VLOOKUP($J648&amp;R$14,'Mapping A'!$A$6:$G$1011,7,0)=1,$L648,""),0)+_xlfn.IFNA(IF(VLOOKUP($J648&amp;R$16,'Mapping A'!$A$6:$G$1011,7,0)=1,$L648,""),0)</f>
        <v>0</v>
      </c>
      <c r="S648" s="15">
        <f>_xlfn.IFNA(IF(VLOOKUP($J648&amp;S$14,'Mapping A'!$A$6:$G$1011,7,0)=1,$L648,""),0)+_xlfn.IFNA(IF(VLOOKUP($J648&amp;S$16,'Mapping A'!$A$6:$G$1011,7,0)=1,$L648,""),0)</f>
        <v>0</v>
      </c>
      <c r="T648" s="15">
        <f>_xlfn.IFNA(IF(VLOOKUP($J648&amp;T$14,'Mapping A'!$A$6:$G$1011,7,0)=1,$L648,""),0)+_xlfn.IFNA(IF(VLOOKUP($J648&amp;T$16,'Mapping A'!$A$6:$G$1011,7,0)=1,$L648,""),0)</f>
        <v>0</v>
      </c>
      <c r="U648" s="15">
        <f>_xlfn.IFNA(IF(VLOOKUP($J648&amp;U$14,'Mapping A'!$A$6:$G$1011,7,0)=1,$L648,""),0)+_xlfn.IFNA(IF(VLOOKUP($J648&amp;U$16,'Mapping A'!$A$6:$G$1011,7,0)=1,$L648,""),0)</f>
        <v>0</v>
      </c>
      <c r="V648" s="15">
        <f>_xlfn.IFNA(IF(VLOOKUP($J648&amp;V$14,'Mapping A'!$A$6:$G$1011,7,0)=1,$L648,""),0)+_xlfn.IFNA(IF(VLOOKUP($J648&amp;V$16,'Mapping A'!$A$6:$G$1011,7,0)=1,$L648,""),0)</f>
        <v>0</v>
      </c>
      <c r="W648" s="15">
        <f>_xlfn.IFNA(IF(VLOOKUP($J648&amp;W$14,'Mapping A'!$A$6:$G$1011,7,0)=1,$L648,""),0)+_xlfn.IFNA(IF(VLOOKUP($J648&amp;W$16,'Mapping A'!$A$6:$G$1011,7,0)=1,$L648,""),0)</f>
        <v>0</v>
      </c>
      <c r="X648" s="15">
        <f>_xlfn.IFNA(IF(VLOOKUP($J648&amp;X$14,'Mapping A'!$A$6:$G$1011,7,0)=1,$L648,""),0)+_xlfn.IFNA(IF(VLOOKUP($J648&amp;X$16,'Mapping A'!$A$6:$G$1011,7,0)=1,$L648,""),0)</f>
        <v>0</v>
      </c>
      <c r="Y648" s="15">
        <f>_xlfn.IFNA(IF(VLOOKUP($J648&amp;Y$14,'Mapping A'!$A$6:$G$1011,7,0)=1,$L648,""),0)+_xlfn.IFNA(IF(VLOOKUP($J648&amp;Y$16,'Mapping A'!$A$6:$G$1011,7,0)=1,$L648,""),0)</f>
        <v>0</v>
      </c>
      <c r="Z648" s="15">
        <f>_xlfn.IFNA(IF(VLOOKUP($J648&amp;Z$14,'Mapping A'!$A$6:$G$1011,7,0)=1,$L648,""),0)+_xlfn.IFNA(IF(VLOOKUP($J648&amp;Z$16,'Mapping A'!$A$6:$G$1011,7,0)=1,$L648,""),0)</f>
        <v>0</v>
      </c>
      <c r="AA648" s="15">
        <f>_xlfn.IFNA(IF(VLOOKUP($J648&amp;AA$14,'Mapping A'!$A$6:$G$1011,7,0)=1,$L648,""),0)+_xlfn.IFNA(IF(VLOOKUP($J648&amp;AA$16,'Mapping A'!$A$6:$G$1011,7,0)=1,$L648,""),0)</f>
        <v>0</v>
      </c>
      <c r="AF648" s="155" t="str">
        <f t="shared" si="212"/>
        <v>WPA2201 WPA0MRP</v>
      </c>
      <c r="AG648" s="15" t="s">
        <v>379</v>
      </c>
      <c r="AH648" s="15" t="s">
        <v>17</v>
      </c>
      <c r="AI648" s="15">
        <v>198.959324010644</v>
      </c>
      <c r="AJ648" s="292" t="s">
        <v>95</v>
      </c>
      <c r="AK648" s="15"/>
      <c r="AL648" s="15">
        <f t="shared" si="213"/>
        <v>0</v>
      </c>
      <c r="AM648" s="15">
        <f t="shared" ca="1" si="214"/>
        <v>0</v>
      </c>
      <c r="AN648" s="15">
        <f t="shared" ca="1" si="215"/>
        <v>0</v>
      </c>
      <c r="AO648" s="15">
        <f t="shared" si="216"/>
        <v>0</v>
      </c>
      <c r="AP648" s="15">
        <f t="shared" si="217"/>
        <v>0</v>
      </c>
      <c r="AQ648" s="15">
        <f t="shared" si="218"/>
        <v>0</v>
      </c>
      <c r="AR648" s="190">
        <f t="shared" si="219"/>
        <v>0</v>
      </c>
      <c r="AS648" s="190">
        <f t="shared" ca="1" si="220"/>
        <v>0</v>
      </c>
      <c r="AT648" s="190">
        <f t="shared" si="221"/>
        <v>0</v>
      </c>
      <c r="AU648" s="190">
        <f t="shared" si="222"/>
        <v>0</v>
      </c>
      <c r="AV648" s="190">
        <f t="shared" si="223"/>
        <v>0</v>
      </c>
      <c r="AW648" s="190">
        <f t="shared" si="224"/>
        <v>0</v>
      </c>
      <c r="AX648" s="190">
        <f t="shared" si="225"/>
        <v>0</v>
      </c>
      <c r="BP648" s="190"/>
    </row>
    <row r="649" spans="2:68" x14ac:dyDescent="0.25">
      <c r="B649" s="98" t="s">
        <v>563</v>
      </c>
      <c r="C649" s="98">
        <v>2014</v>
      </c>
      <c r="D649" s="98" t="s">
        <v>248</v>
      </c>
      <c r="E649" s="98" t="s">
        <v>14</v>
      </c>
      <c r="F649" s="98" t="s">
        <v>136</v>
      </c>
      <c r="G649" s="98">
        <v>0</v>
      </c>
      <c r="H649" s="299" t="str">
        <f>VLOOKUP(LEFT('Rev Adequacy'!D649,3),'Mapping B'!$D$2:$E$400,2,0)</f>
        <v>S</v>
      </c>
      <c r="J649" s="15" t="s">
        <v>386</v>
      </c>
      <c r="K649" s="15" t="s">
        <v>17</v>
      </c>
      <c r="L649" s="15">
        <v>168.20010391317999</v>
      </c>
      <c r="M649" s="15"/>
      <c r="N649" s="15"/>
      <c r="O649" s="15">
        <f>_xlfn.IFNA(IF(VLOOKUP($J649&amp;O$14,'Mapping A'!$A$6:$G$1011,7,0)=1,$L649,""),0)+_xlfn.IFNA(IF(VLOOKUP($J649&amp;O$16,'Mapping A'!$A$6:$G$1011,7,0)=1,$L649,""),0)</f>
        <v>0</v>
      </c>
      <c r="P649" s="15">
        <f>_xlfn.IFNA(IF(VLOOKUP($J649&amp;P$14,'Mapping A'!$A$6:$G$1011,7,0)=1,$L649,""),0)+_xlfn.IFNA(IF(VLOOKUP($J649&amp;P$16,'Mapping A'!$A$6:$G$1011,7,0)=1,$L649,""),0)</f>
        <v>0</v>
      </c>
      <c r="Q649" s="15">
        <f>_xlfn.IFNA(IF(VLOOKUP($J649&amp;Q$14,'Mapping A'!$A$6:$G$1011,7,0)=1,$L649,""),0)+_xlfn.IFNA(IF(VLOOKUP($J649&amp;Q$16,'Mapping A'!$A$6:$G$1011,7,0)=1,$L649,""),0)</f>
        <v>0</v>
      </c>
      <c r="R649" s="15">
        <f>_xlfn.IFNA(IF(VLOOKUP($J649&amp;R$14,'Mapping A'!$A$6:$G$1011,7,0)=1,$L649,""),0)+_xlfn.IFNA(IF(VLOOKUP($J649&amp;R$16,'Mapping A'!$A$6:$G$1011,7,0)=1,$L649,""),0)</f>
        <v>0</v>
      </c>
      <c r="S649" s="15">
        <f>_xlfn.IFNA(IF(VLOOKUP($J649&amp;S$14,'Mapping A'!$A$6:$G$1011,7,0)=1,$L649,""),0)+_xlfn.IFNA(IF(VLOOKUP($J649&amp;S$16,'Mapping A'!$A$6:$G$1011,7,0)=1,$L649,""),0)</f>
        <v>0</v>
      </c>
      <c r="T649" s="15">
        <f>_xlfn.IFNA(IF(VLOOKUP($J649&amp;T$14,'Mapping A'!$A$6:$G$1011,7,0)=1,$L649,""),0)+_xlfn.IFNA(IF(VLOOKUP($J649&amp;T$16,'Mapping A'!$A$6:$G$1011,7,0)=1,$L649,""),0)</f>
        <v>0</v>
      </c>
      <c r="U649" s="15">
        <f>_xlfn.IFNA(IF(VLOOKUP($J649&amp;U$14,'Mapping A'!$A$6:$G$1011,7,0)=1,$L649,""),0)+_xlfn.IFNA(IF(VLOOKUP($J649&amp;U$16,'Mapping A'!$A$6:$G$1011,7,0)=1,$L649,""),0)</f>
        <v>0</v>
      </c>
      <c r="V649" s="15">
        <f>_xlfn.IFNA(IF(VLOOKUP($J649&amp;V$14,'Mapping A'!$A$6:$G$1011,7,0)=1,$L649,""),0)+_xlfn.IFNA(IF(VLOOKUP($J649&amp;V$16,'Mapping A'!$A$6:$G$1011,7,0)=1,$L649,""),0)</f>
        <v>0</v>
      </c>
      <c r="W649" s="15">
        <f>_xlfn.IFNA(IF(VLOOKUP($J649&amp;W$14,'Mapping A'!$A$6:$G$1011,7,0)=1,$L649,""),0)+_xlfn.IFNA(IF(VLOOKUP($J649&amp;W$16,'Mapping A'!$A$6:$G$1011,7,0)=1,$L649,""),0)</f>
        <v>0</v>
      </c>
      <c r="X649" s="15">
        <f>_xlfn.IFNA(IF(VLOOKUP($J649&amp;X$14,'Mapping A'!$A$6:$G$1011,7,0)=1,$L649,""),0)+_xlfn.IFNA(IF(VLOOKUP($J649&amp;X$16,'Mapping A'!$A$6:$G$1011,7,0)=1,$L649,""),0)</f>
        <v>0</v>
      </c>
      <c r="Y649" s="15">
        <f>_xlfn.IFNA(IF(VLOOKUP($J649&amp;Y$14,'Mapping A'!$A$6:$G$1011,7,0)=1,$L649,""),0)+_xlfn.IFNA(IF(VLOOKUP($J649&amp;Y$16,'Mapping A'!$A$6:$G$1011,7,0)=1,$L649,""),0)</f>
        <v>0</v>
      </c>
      <c r="Z649" s="15">
        <f>_xlfn.IFNA(IF(VLOOKUP($J649&amp;Z$14,'Mapping A'!$A$6:$G$1011,7,0)=1,$L649,""),0)+_xlfn.IFNA(IF(VLOOKUP($J649&amp;Z$16,'Mapping A'!$A$6:$G$1011,7,0)=1,$L649,""),0)</f>
        <v>0</v>
      </c>
      <c r="AA649" s="15">
        <f>_xlfn.IFNA(IF(VLOOKUP($J649&amp;AA$14,'Mapping A'!$A$6:$G$1011,7,0)=1,$L649,""),0)+_xlfn.IFNA(IF(VLOOKUP($J649&amp;AA$16,'Mapping A'!$A$6:$G$1011,7,0)=1,$L649,""),0)</f>
        <v>0</v>
      </c>
      <c r="AF649" s="155" t="str">
        <f t="shared" si="212"/>
        <v>WRK0331 RKA0MRP</v>
      </c>
      <c r="AG649" s="15" t="s">
        <v>386</v>
      </c>
      <c r="AH649" s="15" t="s">
        <v>17</v>
      </c>
      <c r="AI649" s="15">
        <v>168.20010391317999</v>
      </c>
      <c r="AJ649" s="292" t="s">
        <v>95</v>
      </c>
      <c r="AK649" s="15"/>
      <c r="AL649" s="15">
        <f t="shared" si="213"/>
        <v>0</v>
      </c>
      <c r="AM649" s="15">
        <f t="shared" ca="1" si="214"/>
        <v>0</v>
      </c>
      <c r="AN649" s="15">
        <f t="shared" ca="1" si="215"/>
        <v>0</v>
      </c>
      <c r="AO649" s="15">
        <f t="shared" si="216"/>
        <v>0</v>
      </c>
      <c r="AP649" s="15">
        <f t="shared" si="217"/>
        <v>0</v>
      </c>
      <c r="AQ649" s="15">
        <f t="shared" si="218"/>
        <v>0</v>
      </c>
      <c r="AR649" s="190">
        <f t="shared" si="219"/>
        <v>0</v>
      </c>
      <c r="AS649" s="190">
        <f t="shared" ca="1" si="220"/>
        <v>0</v>
      </c>
      <c r="AT649" s="190">
        <f t="shared" si="221"/>
        <v>0</v>
      </c>
      <c r="AU649" s="190">
        <f t="shared" si="222"/>
        <v>0</v>
      </c>
      <c r="AV649" s="190">
        <f t="shared" si="223"/>
        <v>0</v>
      </c>
      <c r="AW649" s="190">
        <f t="shared" si="224"/>
        <v>0</v>
      </c>
      <c r="AX649" s="190">
        <f t="shared" si="225"/>
        <v>0</v>
      </c>
      <c r="BP649" s="190"/>
    </row>
    <row r="650" spans="2:68" x14ac:dyDescent="0.25">
      <c r="B650" s="98" t="s">
        <v>563</v>
      </c>
      <c r="C650" s="98">
        <v>2014</v>
      </c>
      <c r="D650" s="98" t="s">
        <v>277</v>
      </c>
      <c r="E650" s="98" t="s">
        <v>14</v>
      </c>
      <c r="F650" s="98" t="s">
        <v>145</v>
      </c>
      <c r="G650" s="98">
        <v>0</v>
      </c>
      <c r="H650" s="299" t="str">
        <f>VLOOKUP(LEFT('Rev Adequacy'!D650,3),'Mapping B'!$D$2:$E$400,2,0)</f>
        <v>S</v>
      </c>
      <c r="J650" s="15" t="s">
        <v>387</v>
      </c>
      <c r="K650" s="15" t="s">
        <v>4</v>
      </c>
      <c r="L650" s="15">
        <v>208.63448443675</v>
      </c>
      <c r="M650" s="15"/>
      <c r="N650" s="15"/>
      <c r="O650" s="15">
        <f>_xlfn.IFNA(IF(VLOOKUP($J650&amp;O$14,'Mapping A'!$A$6:$G$1011,7,0)=1,$L650,""),0)+_xlfn.IFNA(IF(VLOOKUP($J650&amp;O$16,'Mapping A'!$A$6:$G$1011,7,0)=1,$L650,""),0)</f>
        <v>0</v>
      </c>
      <c r="P650" s="15">
        <f>_xlfn.IFNA(IF(VLOOKUP($J650&amp;P$14,'Mapping A'!$A$6:$G$1011,7,0)=1,$L650,""),0)+_xlfn.IFNA(IF(VLOOKUP($J650&amp;P$16,'Mapping A'!$A$6:$G$1011,7,0)=1,$L650,""),0)</f>
        <v>0</v>
      </c>
      <c r="Q650" s="15">
        <f>_xlfn.IFNA(IF(VLOOKUP($J650&amp;Q$14,'Mapping A'!$A$6:$G$1011,7,0)=1,$L650,""),0)+_xlfn.IFNA(IF(VLOOKUP($J650&amp;Q$16,'Mapping A'!$A$6:$G$1011,7,0)=1,$L650,""),0)</f>
        <v>0</v>
      </c>
      <c r="R650" s="15">
        <f>_xlfn.IFNA(IF(VLOOKUP($J650&amp;R$14,'Mapping A'!$A$6:$G$1011,7,0)=1,$L650,""),0)+_xlfn.IFNA(IF(VLOOKUP($J650&amp;R$16,'Mapping A'!$A$6:$G$1011,7,0)=1,$L650,""),0)</f>
        <v>0</v>
      </c>
      <c r="S650" s="15">
        <f>_xlfn.IFNA(IF(VLOOKUP($J650&amp;S$14,'Mapping A'!$A$6:$G$1011,7,0)=1,$L650,""),0)+_xlfn.IFNA(IF(VLOOKUP($J650&amp;S$16,'Mapping A'!$A$6:$G$1011,7,0)=1,$L650,""),0)</f>
        <v>0</v>
      </c>
      <c r="T650" s="15">
        <f>_xlfn.IFNA(IF(VLOOKUP($J650&amp;T$14,'Mapping A'!$A$6:$G$1011,7,0)=1,$L650,""),0)+_xlfn.IFNA(IF(VLOOKUP($J650&amp;T$16,'Mapping A'!$A$6:$G$1011,7,0)=1,$L650,""),0)</f>
        <v>0</v>
      </c>
      <c r="U650" s="15">
        <f>_xlfn.IFNA(IF(VLOOKUP($J650&amp;U$14,'Mapping A'!$A$6:$G$1011,7,0)=1,$L650,""),0)+_xlfn.IFNA(IF(VLOOKUP($J650&amp;U$16,'Mapping A'!$A$6:$G$1011,7,0)=1,$L650,""),0)</f>
        <v>0</v>
      </c>
      <c r="V650" s="15">
        <f>_xlfn.IFNA(IF(VLOOKUP($J650&amp;V$14,'Mapping A'!$A$6:$G$1011,7,0)=1,$L650,""),0)+_xlfn.IFNA(IF(VLOOKUP($J650&amp;V$16,'Mapping A'!$A$6:$G$1011,7,0)=1,$L650,""),0)</f>
        <v>0</v>
      </c>
      <c r="W650" s="15">
        <f>_xlfn.IFNA(IF(VLOOKUP($J650&amp;W$14,'Mapping A'!$A$6:$G$1011,7,0)=1,$L650,""),0)+_xlfn.IFNA(IF(VLOOKUP($J650&amp;W$16,'Mapping A'!$A$6:$G$1011,7,0)=1,$L650,""),0)</f>
        <v>0</v>
      </c>
      <c r="X650" s="15">
        <f>_xlfn.IFNA(IF(VLOOKUP($J650&amp;X$14,'Mapping A'!$A$6:$G$1011,7,0)=1,$L650,""),0)+_xlfn.IFNA(IF(VLOOKUP($J650&amp;X$16,'Mapping A'!$A$6:$G$1011,7,0)=1,$L650,""),0)</f>
        <v>0</v>
      </c>
      <c r="Y650" s="15">
        <f>_xlfn.IFNA(IF(VLOOKUP($J650&amp;Y$14,'Mapping A'!$A$6:$G$1011,7,0)=1,$L650,""),0)+_xlfn.IFNA(IF(VLOOKUP($J650&amp;Y$16,'Mapping A'!$A$6:$G$1011,7,0)=1,$L650,""),0)</f>
        <v>0</v>
      </c>
      <c r="Z650" s="15">
        <f>_xlfn.IFNA(IF(VLOOKUP($J650&amp;Z$14,'Mapping A'!$A$6:$G$1011,7,0)=1,$L650,""),0)+_xlfn.IFNA(IF(VLOOKUP($J650&amp;Z$16,'Mapping A'!$A$6:$G$1011,7,0)=1,$L650,""),0)</f>
        <v>0</v>
      </c>
      <c r="AA650" s="15">
        <f>_xlfn.IFNA(IF(VLOOKUP($J650&amp;AA$14,'Mapping A'!$A$6:$G$1011,7,0)=1,$L650,""),0)+_xlfn.IFNA(IF(VLOOKUP($J650&amp;AA$16,'Mapping A'!$A$6:$G$1011,7,0)=1,$L650,""),0)</f>
        <v>0</v>
      </c>
      <c r="AF650" s="155" t="str">
        <f t="shared" si="212"/>
        <v>WRK0331 TAA0Contact</v>
      </c>
      <c r="AG650" s="15" t="s">
        <v>387</v>
      </c>
      <c r="AH650" s="15" t="s">
        <v>4</v>
      </c>
      <c r="AI650" s="15">
        <v>208.63448443675</v>
      </c>
      <c r="AJ650" s="292" t="s">
        <v>95</v>
      </c>
      <c r="AK650" s="15"/>
      <c r="AL650" s="15">
        <f t="shared" si="213"/>
        <v>0</v>
      </c>
      <c r="AM650" s="15">
        <f t="shared" ca="1" si="214"/>
        <v>0</v>
      </c>
      <c r="AN650" s="15">
        <f t="shared" ca="1" si="215"/>
        <v>0</v>
      </c>
      <c r="AO650" s="15">
        <f t="shared" si="216"/>
        <v>0</v>
      </c>
      <c r="AP650" s="15">
        <f t="shared" si="217"/>
        <v>0</v>
      </c>
      <c r="AQ650" s="15">
        <f t="shared" si="218"/>
        <v>0</v>
      </c>
      <c r="AR650" s="190">
        <f t="shared" si="219"/>
        <v>0</v>
      </c>
      <c r="AS650" s="190">
        <f t="shared" ca="1" si="220"/>
        <v>0</v>
      </c>
      <c r="AT650" s="190">
        <f t="shared" si="221"/>
        <v>0</v>
      </c>
      <c r="AU650" s="190">
        <f t="shared" si="222"/>
        <v>0</v>
      </c>
      <c r="AV650" s="190">
        <f t="shared" si="223"/>
        <v>0</v>
      </c>
      <c r="AW650" s="190">
        <f t="shared" si="224"/>
        <v>0</v>
      </c>
      <c r="AX650" s="190">
        <f t="shared" si="225"/>
        <v>0</v>
      </c>
      <c r="BP650" s="190"/>
    </row>
    <row r="651" spans="2:68" x14ac:dyDescent="0.25">
      <c r="B651" s="98" t="s">
        <v>563</v>
      </c>
      <c r="C651" s="98">
        <v>2014</v>
      </c>
      <c r="D651" s="98" t="s">
        <v>283</v>
      </c>
      <c r="E651" s="98" t="s">
        <v>14</v>
      </c>
      <c r="F651" s="98" t="s">
        <v>136</v>
      </c>
      <c r="G651" s="98">
        <v>0</v>
      </c>
      <c r="H651" s="299" t="str">
        <f>VLOOKUP(LEFT('Rev Adequacy'!D651,3),'Mapping B'!$D$2:$E$400,2,0)</f>
        <v>S</v>
      </c>
      <c r="J651" s="15" t="s">
        <v>388</v>
      </c>
      <c r="K651" s="15" t="s">
        <v>4</v>
      </c>
      <c r="L651" s="15">
        <v>1152.35422760915</v>
      </c>
      <c r="M651" s="15"/>
      <c r="N651" s="15"/>
      <c r="O651" s="15">
        <f>_xlfn.IFNA(IF(VLOOKUP($J651&amp;O$14,'Mapping A'!$A$6:$G$1011,7,0)=1,$L651,""),0)+_xlfn.IFNA(IF(VLOOKUP($J651&amp;O$16,'Mapping A'!$A$6:$G$1011,7,0)=1,$L651,""),0)</f>
        <v>0</v>
      </c>
      <c r="P651" s="15">
        <f>_xlfn.IFNA(IF(VLOOKUP($J651&amp;P$14,'Mapping A'!$A$6:$G$1011,7,0)=1,$L651,""),0)+_xlfn.IFNA(IF(VLOOKUP($J651&amp;P$16,'Mapping A'!$A$6:$G$1011,7,0)=1,$L651,""),0)</f>
        <v>0</v>
      </c>
      <c r="Q651" s="15">
        <f>_xlfn.IFNA(IF(VLOOKUP($J651&amp;Q$14,'Mapping A'!$A$6:$G$1011,7,0)=1,$L651,""),0)+_xlfn.IFNA(IF(VLOOKUP($J651&amp;Q$16,'Mapping A'!$A$6:$G$1011,7,0)=1,$L651,""),0)</f>
        <v>0</v>
      </c>
      <c r="R651" s="15">
        <f>_xlfn.IFNA(IF(VLOOKUP($J651&amp;R$14,'Mapping A'!$A$6:$G$1011,7,0)=1,$L651,""),0)+_xlfn.IFNA(IF(VLOOKUP($J651&amp;R$16,'Mapping A'!$A$6:$G$1011,7,0)=1,$L651,""),0)</f>
        <v>0</v>
      </c>
      <c r="S651" s="15">
        <f>_xlfn.IFNA(IF(VLOOKUP($J651&amp;S$14,'Mapping A'!$A$6:$G$1011,7,0)=1,$L651,""),0)+_xlfn.IFNA(IF(VLOOKUP($J651&amp;S$16,'Mapping A'!$A$6:$G$1011,7,0)=1,$L651,""),0)</f>
        <v>0</v>
      </c>
      <c r="T651" s="15">
        <f>_xlfn.IFNA(IF(VLOOKUP($J651&amp;T$14,'Mapping A'!$A$6:$G$1011,7,0)=1,$L651,""),0)+_xlfn.IFNA(IF(VLOOKUP($J651&amp;T$16,'Mapping A'!$A$6:$G$1011,7,0)=1,$L651,""),0)</f>
        <v>0</v>
      </c>
      <c r="U651" s="15">
        <f>_xlfn.IFNA(IF(VLOOKUP($J651&amp;U$14,'Mapping A'!$A$6:$G$1011,7,0)=1,$L651,""),0)+_xlfn.IFNA(IF(VLOOKUP($J651&amp;U$16,'Mapping A'!$A$6:$G$1011,7,0)=1,$L651,""),0)</f>
        <v>0</v>
      </c>
      <c r="V651" s="15">
        <f>_xlfn.IFNA(IF(VLOOKUP($J651&amp;V$14,'Mapping A'!$A$6:$G$1011,7,0)=1,$L651,""),0)+_xlfn.IFNA(IF(VLOOKUP($J651&amp;V$16,'Mapping A'!$A$6:$G$1011,7,0)=1,$L651,""),0)</f>
        <v>0</v>
      </c>
      <c r="W651" s="15">
        <f>_xlfn.IFNA(IF(VLOOKUP($J651&amp;W$14,'Mapping A'!$A$6:$G$1011,7,0)=1,$L651,""),0)+_xlfn.IFNA(IF(VLOOKUP($J651&amp;W$16,'Mapping A'!$A$6:$G$1011,7,0)=1,$L651,""),0)</f>
        <v>0</v>
      </c>
      <c r="X651" s="15">
        <f>_xlfn.IFNA(IF(VLOOKUP($J651&amp;X$14,'Mapping A'!$A$6:$G$1011,7,0)=1,$L651,""),0)+_xlfn.IFNA(IF(VLOOKUP($J651&amp;X$16,'Mapping A'!$A$6:$G$1011,7,0)=1,$L651,""),0)</f>
        <v>0</v>
      </c>
      <c r="Y651" s="15">
        <f>_xlfn.IFNA(IF(VLOOKUP($J651&amp;Y$14,'Mapping A'!$A$6:$G$1011,7,0)=1,$L651,""),0)+_xlfn.IFNA(IF(VLOOKUP($J651&amp;Y$16,'Mapping A'!$A$6:$G$1011,7,0)=1,$L651,""),0)</f>
        <v>0</v>
      </c>
      <c r="Z651" s="15">
        <f>_xlfn.IFNA(IF(VLOOKUP($J651&amp;Z$14,'Mapping A'!$A$6:$G$1011,7,0)=1,$L651,""),0)+_xlfn.IFNA(IF(VLOOKUP($J651&amp;Z$16,'Mapping A'!$A$6:$G$1011,7,0)=1,$L651,""),0)</f>
        <v>0</v>
      </c>
      <c r="AA651" s="15">
        <f>_xlfn.IFNA(IF(VLOOKUP($J651&amp;AA$14,'Mapping A'!$A$6:$G$1011,7,0)=1,$L651,""),0)+_xlfn.IFNA(IF(VLOOKUP($J651&amp;AA$16,'Mapping A'!$A$6:$G$1011,7,0)=1,$L651,""),0)</f>
        <v>0</v>
      </c>
      <c r="AF651" s="155" t="str">
        <f t="shared" si="212"/>
        <v>WRK2201 WRK0Contact</v>
      </c>
      <c r="AG651" s="15" t="s">
        <v>388</v>
      </c>
      <c r="AH651" s="15" t="s">
        <v>4</v>
      </c>
      <c r="AI651" s="15">
        <v>1152.35422760915</v>
      </c>
      <c r="AJ651" s="292" t="s">
        <v>95</v>
      </c>
      <c r="AK651" s="15"/>
      <c r="AL651" s="15">
        <f t="shared" si="213"/>
        <v>0</v>
      </c>
      <c r="AM651" s="15">
        <f t="shared" ca="1" si="214"/>
        <v>0</v>
      </c>
      <c r="AN651" s="15">
        <f t="shared" ca="1" si="215"/>
        <v>0</v>
      </c>
      <c r="AO651" s="15">
        <f t="shared" si="216"/>
        <v>0</v>
      </c>
      <c r="AP651" s="15">
        <f t="shared" si="217"/>
        <v>0</v>
      </c>
      <c r="AQ651" s="15">
        <f t="shared" si="218"/>
        <v>0</v>
      </c>
      <c r="AR651" s="190">
        <f t="shared" si="219"/>
        <v>0</v>
      </c>
      <c r="AS651" s="190">
        <f t="shared" ca="1" si="220"/>
        <v>0</v>
      </c>
      <c r="AT651" s="190">
        <f t="shared" si="221"/>
        <v>0</v>
      </c>
      <c r="AU651" s="190">
        <f t="shared" si="222"/>
        <v>0</v>
      </c>
      <c r="AV651" s="190">
        <f t="shared" si="223"/>
        <v>0</v>
      </c>
      <c r="AW651" s="190">
        <f t="shared" si="224"/>
        <v>0</v>
      </c>
      <c r="AX651" s="190">
        <f t="shared" si="225"/>
        <v>0</v>
      </c>
      <c r="BP651" s="190"/>
    </row>
    <row r="652" spans="2:68" x14ac:dyDescent="0.25">
      <c r="B652" s="98" t="s">
        <v>563</v>
      </c>
      <c r="C652" s="98">
        <v>2014</v>
      </c>
      <c r="D652" s="98" t="s">
        <v>284</v>
      </c>
      <c r="E652" s="98" t="s">
        <v>14</v>
      </c>
      <c r="F652" s="98" t="s">
        <v>136</v>
      </c>
      <c r="G652" s="98">
        <v>0</v>
      </c>
      <c r="H652" s="299" t="str">
        <f>VLOOKUP(LEFT('Rev Adequacy'!D652,3),'Mapping B'!$D$2:$E$400,2,0)</f>
        <v>S</v>
      </c>
      <c r="J652" s="15" t="s">
        <v>390</v>
      </c>
      <c r="K652" s="15" t="s">
        <v>14</v>
      </c>
      <c r="L652" s="15">
        <v>550.33508910179103</v>
      </c>
      <c r="M652" s="15"/>
      <c r="N652" s="15"/>
      <c r="O652" s="15">
        <f>_xlfn.IFNA(IF(VLOOKUP($J652&amp;O$14,'Mapping A'!$A$6:$G$1011,7,0)=1,$L652,""),0)+_xlfn.IFNA(IF(VLOOKUP($J652&amp;O$16,'Mapping A'!$A$6:$G$1011,7,0)=1,$L652,""),0)</f>
        <v>0</v>
      </c>
      <c r="P652" s="15">
        <f>_xlfn.IFNA(IF(VLOOKUP($J652&amp;P$14,'Mapping A'!$A$6:$G$1011,7,0)=1,$L652,""),0)+_xlfn.IFNA(IF(VLOOKUP($J652&amp;P$16,'Mapping A'!$A$6:$G$1011,7,0)=1,$L652,""),0)</f>
        <v>550.33508910179103</v>
      </c>
      <c r="Q652" s="15">
        <f>_xlfn.IFNA(IF(VLOOKUP($J652&amp;Q$14,'Mapping A'!$A$6:$G$1011,7,0)=1,$L652,""),0)+_xlfn.IFNA(IF(VLOOKUP($J652&amp;Q$16,'Mapping A'!$A$6:$G$1011,7,0)=1,$L652,""),0)</f>
        <v>550.33508910179103</v>
      </c>
      <c r="R652" s="15">
        <f>_xlfn.IFNA(IF(VLOOKUP($J652&amp;R$14,'Mapping A'!$A$6:$G$1011,7,0)=1,$L652,""),0)+_xlfn.IFNA(IF(VLOOKUP($J652&amp;R$16,'Mapping A'!$A$6:$G$1011,7,0)=1,$L652,""),0)</f>
        <v>0</v>
      </c>
      <c r="S652" s="15">
        <f>_xlfn.IFNA(IF(VLOOKUP($J652&amp;S$14,'Mapping A'!$A$6:$G$1011,7,0)=1,$L652,""),0)+_xlfn.IFNA(IF(VLOOKUP($J652&amp;S$16,'Mapping A'!$A$6:$G$1011,7,0)=1,$L652,""),0)</f>
        <v>0</v>
      </c>
      <c r="T652" s="15">
        <f>_xlfn.IFNA(IF(VLOOKUP($J652&amp;T$14,'Mapping A'!$A$6:$G$1011,7,0)=1,$L652,""),0)+_xlfn.IFNA(IF(VLOOKUP($J652&amp;T$16,'Mapping A'!$A$6:$G$1011,7,0)=1,$L652,""),0)</f>
        <v>0</v>
      </c>
      <c r="U652" s="15">
        <f>_xlfn.IFNA(IF(VLOOKUP($J652&amp;U$14,'Mapping A'!$A$6:$G$1011,7,0)=1,$L652,""),0)+_xlfn.IFNA(IF(VLOOKUP($J652&amp;U$16,'Mapping A'!$A$6:$G$1011,7,0)=1,$L652,""),0)</f>
        <v>0</v>
      </c>
      <c r="V652" s="15">
        <f>_xlfn.IFNA(IF(VLOOKUP($J652&amp;V$14,'Mapping A'!$A$6:$G$1011,7,0)=1,$L652,""),0)+_xlfn.IFNA(IF(VLOOKUP($J652&amp;V$16,'Mapping A'!$A$6:$G$1011,7,0)=1,$L652,""),0)</f>
        <v>550.33508910179103</v>
      </c>
      <c r="W652" s="15">
        <f>_xlfn.IFNA(IF(VLOOKUP($J652&amp;W$14,'Mapping A'!$A$6:$G$1011,7,0)=1,$L652,""),0)+_xlfn.IFNA(IF(VLOOKUP($J652&amp;W$16,'Mapping A'!$A$6:$G$1011,7,0)=1,$L652,""),0)</f>
        <v>0</v>
      </c>
      <c r="X652" s="15">
        <f>_xlfn.IFNA(IF(VLOOKUP($J652&amp;X$14,'Mapping A'!$A$6:$G$1011,7,0)=1,$L652,""),0)+_xlfn.IFNA(IF(VLOOKUP($J652&amp;X$16,'Mapping A'!$A$6:$G$1011,7,0)=1,$L652,""),0)</f>
        <v>0</v>
      </c>
      <c r="Y652" s="15">
        <f>_xlfn.IFNA(IF(VLOOKUP($J652&amp;Y$14,'Mapping A'!$A$6:$G$1011,7,0)=1,$L652,""),0)+_xlfn.IFNA(IF(VLOOKUP($J652&amp;Y$16,'Mapping A'!$A$6:$G$1011,7,0)=1,$L652,""),0)</f>
        <v>0</v>
      </c>
      <c r="Z652" s="15">
        <f>_xlfn.IFNA(IF(VLOOKUP($J652&amp;Z$14,'Mapping A'!$A$6:$G$1011,7,0)=1,$L652,""),0)+_xlfn.IFNA(IF(VLOOKUP($J652&amp;Z$16,'Mapping A'!$A$6:$G$1011,7,0)=1,$L652,""),0)</f>
        <v>0</v>
      </c>
      <c r="AA652" s="15">
        <f>_xlfn.IFNA(IF(VLOOKUP($J652&amp;AA$14,'Mapping A'!$A$6:$G$1011,7,0)=1,$L652,""),0)+_xlfn.IFNA(IF(VLOOKUP($J652&amp;AA$16,'Mapping A'!$A$6:$G$1011,7,0)=1,$L652,""),0)</f>
        <v>0</v>
      </c>
      <c r="AF652" s="155" t="str">
        <f t="shared" si="212"/>
        <v>WTK0111 WTK0Meridian</v>
      </c>
      <c r="AG652" s="15" t="s">
        <v>390</v>
      </c>
      <c r="AH652" s="15" t="s">
        <v>14</v>
      </c>
      <c r="AI652" s="15">
        <v>550.33508910179103</v>
      </c>
      <c r="AJ652" s="292" t="s">
        <v>96</v>
      </c>
      <c r="AK652" s="15"/>
      <c r="AL652" s="15">
        <f t="shared" si="213"/>
        <v>0</v>
      </c>
      <c r="AM652" s="15">
        <f t="shared" ca="1" si="214"/>
        <v>0</v>
      </c>
      <c r="AN652" s="15">
        <f t="shared" ca="1" si="215"/>
        <v>0</v>
      </c>
      <c r="AO652" s="15">
        <f t="shared" si="216"/>
        <v>0</v>
      </c>
      <c r="AP652" s="15">
        <f t="shared" si="217"/>
        <v>0</v>
      </c>
      <c r="AQ652" s="15">
        <f t="shared" si="218"/>
        <v>0</v>
      </c>
      <c r="AR652" s="190">
        <f t="shared" si="219"/>
        <v>0</v>
      </c>
      <c r="AS652" s="190">
        <f t="shared" ca="1" si="220"/>
        <v>8.0482494391879586E-2</v>
      </c>
      <c r="AT652" s="190">
        <f t="shared" si="221"/>
        <v>0</v>
      </c>
      <c r="AU652" s="190">
        <f t="shared" si="222"/>
        <v>0</v>
      </c>
      <c r="AV652" s="190">
        <f t="shared" si="223"/>
        <v>0</v>
      </c>
      <c r="AW652" s="190">
        <f t="shared" si="224"/>
        <v>0</v>
      </c>
      <c r="AX652" s="190">
        <f t="shared" si="225"/>
        <v>0</v>
      </c>
      <c r="BP652" s="190"/>
    </row>
    <row r="653" spans="2:68" x14ac:dyDescent="0.25">
      <c r="B653" s="98" t="s">
        <v>563</v>
      </c>
      <c r="C653" s="98">
        <v>2014</v>
      </c>
      <c r="D653" s="98" t="s">
        <v>285</v>
      </c>
      <c r="E653" s="98" t="s">
        <v>14</v>
      </c>
      <c r="F653" s="98" t="s">
        <v>136</v>
      </c>
      <c r="G653" s="98">
        <v>0</v>
      </c>
      <c r="H653" s="299" t="str">
        <f>VLOOKUP(LEFT('Rev Adequacy'!D653,3),'Mapping B'!$D$2:$E$400,2,0)</f>
        <v>S</v>
      </c>
      <c r="J653" s="20"/>
      <c r="K653" s="20"/>
      <c r="L653" s="20"/>
      <c r="M653" s="20"/>
      <c r="N653" s="20"/>
      <c r="O653" s="97"/>
      <c r="P653" s="97"/>
      <c r="Q653" s="97"/>
      <c r="R653" s="97"/>
      <c r="S653" s="97"/>
      <c r="T653" s="97"/>
      <c r="U653" s="97"/>
      <c r="V653" s="97"/>
      <c r="W653" s="97"/>
      <c r="X653" s="97"/>
      <c r="Y653" s="97"/>
      <c r="Z653" s="97"/>
      <c r="AA653" s="97"/>
      <c r="AQ653" s="7"/>
      <c r="AS653" s="7"/>
      <c r="BP653" s="190"/>
    </row>
    <row r="654" spans="2:68" x14ac:dyDescent="0.25">
      <c r="B654" s="98" t="s">
        <v>563</v>
      </c>
      <c r="C654" s="98">
        <v>2014</v>
      </c>
      <c r="D654" s="98" t="s">
        <v>360</v>
      </c>
      <c r="E654" s="98" t="s">
        <v>14</v>
      </c>
      <c r="F654" s="98" t="s">
        <v>145</v>
      </c>
      <c r="G654" s="98">
        <v>0</v>
      </c>
      <c r="H654" s="299" t="str">
        <f>VLOOKUP(LEFT('Rev Adequacy'!D654,3),'Mapping B'!$D$2:$E$400,2,0)</f>
        <v>N</v>
      </c>
      <c r="J654" s="20"/>
      <c r="K654" s="20"/>
      <c r="L654" s="20"/>
      <c r="M654" s="20"/>
      <c r="N654" s="20"/>
      <c r="O654" s="97"/>
      <c r="P654" s="97"/>
      <c r="Q654" s="97"/>
      <c r="R654" s="97"/>
      <c r="S654" s="97"/>
      <c r="T654" s="97"/>
      <c r="U654" s="97"/>
      <c r="V654" s="97"/>
      <c r="W654" s="97"/>
      <c r="X654" s="97"/>
      <c r="Y654" s="97"/>
      <c r="Z654" s="97"/>
      <c r="AA654" s="97"/>
      <c r="AQ654" s="7"/>
      <c r="BP654" s="190"/>
    </row>
    <row r="655" spans="2:68" x14ac:dyDescent="0.25">
      <c r="B655" s="98" t="s">
        <v>563</v>
      </c>
      <c r="C655" s="98">
        <v>2014</v>
      </c>
      <c r="D655" s="98" t="s">
        <v>362</v>
      </c>
      <c r="E655" s="98" t="s">
        <v>14</v>
      </c>
      <c r="F655" s="98" t="s">
        <v>131</v>
      </c>
      <c r="G655" s="98">
        <v>6994.85746602366</v>
      </c>
      <c r="H655" s="299" t="str">
        <f>VLOOKUP(LEFT('Rev Adequacy'!D655,3),'Mapping B'!$D$2:$E$400,2,0)</f>
        <v>S</v>
      </c>
      <c r="J655" s="20"/>
      <c r="K655" s="20"/>
      <c r="L655" s="20"/>
      <c r="M655" s="20"/>
      <c r="N655" s="20"/>
      <c r="O655" s="97"/>
      <c r="P655" s="97"/>
      <c r="Q655" s="97"/>
      <c r="R655" s="97"/>
      <c r="S655" s="97"/>
      <c r="T655" s="97"/>
      <c r="U655" s="97"/>
      <c r="V655" s="97"/>
      <c r="W655" s="97"/>
      <c r="X655" s="97"/>
      <c r="Y655" s="97"/>
      <c r="Z655" s="97"/>
      <c r="AA655" s="97"/>
      <c r="AQ655" s="7"/>
      <c r="BP655" s="190"/>
    </row>
    <row r="656" spans="2:68" x14ac:dyDescent="0.25">
      <c r="B656" s="98" t="s">
        <v>563</v>
      </c>
      <c r="C656" s="98">
        <v>2014</v>
      </c>
      <c r="D656" s="98" t="s">
        <v>366</v>
      </c>
      <c r="E656" s="98" t="s">
        <v>14</v>
      </c>
      <c r="F656" s="98" t="s">
        <v>145</v>
      </c>
      <c r="G656" s="98">
        <v>0</v>
      </c>
      <c r="H656" s="299" t="str">
        <f>VLOOKUP(LEFT('Rev Adequacy'!D656,3),'Mapping B'!$D$2:$E$400,2,0)</f>
        <v>N</v>
      </c>
      <c r="J656" s="20"/>
      <c r="K656" s="20"/>
      <c r="L656" s="20"/>
      <c r="M656" s="20"/>
      <c r="N656" s="20"/>
      <c r="O656" s="97"/>
      <c r="P656" s="97"/>
      <c r="Q656" s="97"/>
      <c r="R656" s="97"/>
      <c r="S656" s="97"/>
      <c r="T656" s="97"/>
      <c r="U656" s="97"/>
      <c r="V656" s="97"/>
      <c r="W656" s="97"/>
      <c r="X656" s="97"/>
      <c r="Y656" s="97"/>
      <c r="Z656" s="97"/>
      <c r="AA656" s="97"/>
      <c r="BP656" s="190"/>
    </row>
    <row r="657" spans="2:68" x14ac:dyDescent="0.25">
      <c r="B657" s="98" t="s">
        <v>563</v>
      </c>
      <c r="C657" s="98">
        <v>2014</v>
      </c>
      <c r="D657" s="98" t="s">
        <v>366</v>
      </c>
      <c r="E657" s="98" t="s">
        <v>14</v>
      </c>
      <c r="F657" s="98" t="s">
        <v>131</v>
      </c>
      <c r="G657" s="98">
        <v>905.84299999999905</v>
      </c>
      <c r="H657" s="299" t="str">
        <f>VLOOKUP(LEFT('Rev Adequacy'!D657,3),'Mapping B'!$D$2:$E$400,2,0)</f>
        <v>N</v>
      </c>
      <c r="J657" s="20"/>
      <c r="K657" s="20"/>
      <c r="L657" s="20"/>
      <c r="M657" s="20"/>
      <c r="N657" s="20"/>
      <c r="O657" s="97"/>
      <c r="P657" s="97"/>
      <c r="Q657" s="97"/>
      <c r="R657" s="97"/>
      <c r="S657" s="97"/>
      <c r="T657" s="97"/>
      <c r="U657" s="97"/>
      <c r="V657" s="97"/>
      <c r="W657" s="97"/>
      <c r="X657" s="97"/>
      <c r="Y657" s="97"/>
      <c r="Z657" s="97"/>
      <c r="AA657" s="97"/>
      <c r="BP657" s="190"/>
    </row>
    <row r="658" spans="2:68" x14ac:dyDescent="0.25">
      <c r="B658" s="98" t="s">
        <v>563</v>
      </c>
      <c r="C658" s="98">
        <v>2014</v>
      </c>
      <c r="D658" s="98" t="s">
        <v>390</v>
      </c>
      <c r="E658" s="98" t="s">
        <v>14</v>
      </c>
      <c r="F658" s="98" t="s">
        <v>136</v>
      </c>
      <c r="G658" s="98">
        <v>0</v>
      </c>
      <c r="H658" s="299" t="str">
        <f>VLOOKUP(LEFT('Rev Adequacy'!D658,3),'Mapping B'!$D$2:$E$400,2,0)</f>
        <v>S</v>
      </c>
      <c r="J658" s="20"/>
      <c r="K658" s="20"/>
      <c r="L658" s="20"/>
      <c r="M658" s="20"/>
      <c r="N658" s="20"/>
      <c r="O658" s="97"/>
      <c r="P658" s="97"/>
      <c r="Q658" s="97"/>
      <c r="R658" s="97"/>
      <c r="S658" s="97"/>
      <c r="T658" s="97"/>
      <c r="U658" s="97"/>
      <c r="V658" s="97"/>
      <c r="W658" s="97"/>
      <c r="X658" s="97"/>
      <c r="Y658" s="97"/>
      <c r="Z658" s="97"/>
      <c r="AA658" s="97"/>
      <c r="AG658" s="102"/>
      <c r="BP658" s="190"/>
    </row>
    <row r="659" spans="2:68" x14ac:dyDescent="0.25">
      <c r="B659" s="98" t="s">
        <v>563</v>
      </c>
      <c r="C659" s="98">
        <v>2014</v>
      </c>
      <c r="D659" s="98" t="s">
        <v>393</v>
      </c>
      <c r="E659" s="98" t="s">
        <v>14</v>
      </c>
      <c r="F659" s="98" t="s">
        <v>145</v>
      </c>
      <c r="G659" s="98">
        <v>0</v>
      </c>
      <c r="H659" s="299" t="str">
        <f>VLOOKUP(LEFT('Rev Adequacy'!D659,3),'Mapping B'!$D$2:$E$400,2,0)</f>
        <v>N</v>
      </c>
      <c r="J659" s="20"/>
      <c r="K659" s="20"/>
      <c r="L659" s="20"/>
      <c r="M659" s="20"/>
      <c r="N659" s="20"/>
      <c r="O659" s="97"/>
      <c r="P659" s="97"/>
      <c r="Q659" s="97"/>
      <c r="R659" s="97"/>
      <c r="S659" s="97"/>
      <c r="T659" s="97"/>
      <c r="U659" s="97"/>
      <c r="V659" s="97"/>
      <c r="W659" s="97"/>
      <c r="X659" s="97"/>
      <c r="Y659" s="97"/>
      <c r="Z659" s="97"/>
      <c r="AA659" s="97"/>
      <c r="AG659" s="56"/>
      <c r="BP659" s="190"/>
    </row>
    <row r="660" spans="2:68" x14ac:dyDescent="0.25">
      <c r="B660" s="98" t="s">
        <v>563</v>
      </c>
      <c r="C660" s="98">
        <v>2014</v>
      </c>
      <c r="D660" s="98" t="s">
        <v>393</v>
      </c>
      <c r="E660" s="98" t="s">
        <v>14</v>
      </c>
      <c r="F660" s="98" t="s">
        <v>131</v>
      </c>
      <c r="G660" s="98">
        <v>635.30600000000004</v>
      </c>
      <c r="H660" s="299" t="str">
        <f>VLOOKUP(LEFT('Rev Adequacy'!D660,3),'Mapping B'!$D$2:$E$400,2,0)</f>
        <v>N</v>
      </c>
      <c r="J660" s="20"/>
      <c r="K660" s="20"/>
      <c r="L660" s="20"/>
      <c r="M660" s="20"/>
      <c r="N660" s="20"/>
      <c r="O660" s="97"/>
      <c r="P660" s="97"/>
      <c r="Q660" s="97"/>
      <c r="R660" s="97"/>
      <c r="S660" s="97"/>
      <c r="T660" s="97"/>
      <c r="U660" s="97"/>
      <c r="V660" s="97"/>
      <c r="W660" s="97"/>
      <c r="X660" s="97"/>
      <c r="Y660" s="97"/>
      <c r="Z660" s="97"/>
      <c r="AA660" s="97"/>
      <c r="AG660" s="56"/>
      <c r="BP660" s="190"/>
    </row>
    <row r="661" spans="2:68" x14ac:dyDescent="0.25">
      <c r="B661" s="98" t="s">
        <v>563</v>
      </c>
      <c r="C661" s="98">
        <v>2014</v>
      </c>
      <c r="D661" s="98" t="s">
        <v>394</v>
      </c>
      <c r="E661" s="98" t="s">
        <v>14</v>
      </c>
      <c r="F661" s="98" t="s">
        <v>145</v>
      </c>
      <c r="G661" s="98">
        <v>0</v>
      </c>
      <c r="H661" s="299" t="str">
        <f>VLOOKUP(LEFT('Rev Adequacy'!D661,3),'Mapping B'!$D$2:$E$400,2,0)</f>
        <v>N</v>
      </c>
      <c r="J661" s="20"/>
      <c r="K661" s="20"/>
      <c r="L661" s="20"/>
      <c r="M661" s="20"/>
      <c r="N661" s="20"/>
      <c r="O661" s="97"/>
      <c r="P661" s="97"/>
      <c r="Q661" s="97"/>
      <c r="R661" s="97"/>
      <c r="S661" s="97"/>
      <c r="T661" s="97"/>
      <c r="U661" s="97"/>
      <c r="V661" s="97"/>
      <c r="W661" s="97"/>
      <c r="X661" s="97"/>
      <c r="Y661" s="97"/>
      <c r="Z661" s="97"/>
      <c r="AA661" s="97"/>
      <c r="AG661" s="56"/>
      <c r="BP661" s="190"/>
    </row>
    <row r="662" spans="2:68" x14ac:dyDescent="0.25">
      <c r="B662" s="98" t="s">
        <v>563</v>
      </c>
      <c r="C662" s="98">
        <v>2014</v>
      </c>
      <c r="D662" s="98" t="s">
        <v>394</v>
      </c>
      <c r="E662" s="98" t="s">
        <v>14</v>
      </c>
      <c r="F662" s="98" t="s">
        <v>131</v>
      </c>
      <c r="G662" s="98">
        <v>628.42899999999895</v>
      </c>
      <c r="H662" s="299" t="str">
        <f>VLOOKUP(LEFT('Rev Adequacy'!D662,3),'Mapping B'!$D$2:$E$400,2,0)</f>
        <v>N</v>
      </c>
      <c r="J662" s="20"/>
      <c r="K662" s="20"/>
      <c r="L662" s="20"/>
      <c r="M662" s="20"/>
      <c r="N662" s="20"/>
      <c r="O662" s="97"/>
      <c r="P662" s="97"/>
      <c r="Q662" s="97"/>
      <c r="R662" s="97"/>
      <c r="S662" s="97"/>
      <c r="T662" s="97"/>
      <c r="U662" s="97"/>
      <c r="V662" s="97"/>
      <c r="W662" s="97"/>
      <c r="X662" s="97"/>
      <c r="Y662" s="97"/>
      <c r="Z662" s="97"/>
      <c r="AA662" s="97"/>
      <c r="AG662" s="56"/>
      <c r="BP662" s="190"/>
    </row>
    <row r="663" spans="2:68" x14ac:dyDescent="0.25">
      <c r="B663" s="98" t="s">
        <v>555</v>
      </c>
      <c r="C663" s="98">
        <v>2014</v>
      </c>
      <c r="D663" s="98" t="s">
        <v>149</v>
      </c>
      <c r="E663" s="98" t="s">
        <v>14</v>
      </c>
      <c r="F663" s="98" t="s">
        <v>136</v>
      </c>
      <c r="G663" s="98">
        <v>0</v>
      </c>
      <c r="H663" s="299" t="str">
        <f>VLOOKUP(LEFT('Rev Adequacy'!D663,3),'Mapping B'!$D$2:$E$400,2,0)</f>
        <v>S</v>
      </c>
      <c r="J663" s="20"/>
      <c r="K663" s="20"/>
      <c r="L663" s="20"/>
      <c r="M663" s="20"/>
      <c r="N663" s="20"/>
      <c r="O663" s="97"/>
      <c r="P663" s="97"/>
      <c r="Q663" s="97"/>
      <c r="R663" s="97"/>
      <c r="S663" s="97"/>
      <c r="T663" s="97"/>
      <c r="U663" s="97"/>
      <c r="V663" s="97"/>
      <c r="W663" s="97"/>
      <c r="X663" s="97"/>
      <c r="Y663" s="97"/>
      <c r="Z663" s="97"/>
      <c r="AA663" s="97"/>
      <c r="AG663" s="56"/>
      <c r="AS663" s="392"/>
      <c r="BP663" s="190"/>
    </row>
    <row r="664" spans="2:68" x14ac:dyDescent="0.25">
      <c r="B664" s="98" t="s">
        <v>555</v>
      </c>
      <c r="C664" s="98">
        <v>2014</v>
      </c>
      <c r="D664" s="98" t="s">
        <v>152</v>
      </c>
      <c r="E664" s="98" t="s">
        <v>14</v>
      </c>
      <c r="F664" s="98" t="s">
        <v>136</v>
      </c>
      <c r="G664" s="98">
        <v>0</v>
      </c>
      <c r="H664" s="299" t="str">
        <f>VLOOKUP(LEFT('Rev Adequacy'!D664,3),'Mapping B'!$D$2:$E$400,2,0)</f>
        <v>S</v>
      </c>
      <c r="J664" s="20"/>
      <c r="K664" s="20"/>
      <c r="L664" s="20"/>
      <c r="M664" s="20"/>
      <c r="N664" s="20"/>
      <c r="O664" s="97"/>
      <c r="P664" s="97"/>
      <c r="Q664" s="97"/>
      <c r="R664" s="97"/>
      <c r="S664" s="97"/>
      <c r="T664" s="97"/>
      <c r="U664" s="97"/>
      <c r="V664" s="97"/>
      <c r="W664" s="97"/>
      <c r="X664" s="97"/>
      <c r="Y664" s="97"/>
      <c r="Z664" s="97"/>
      <c r="AA664" s="97"/>
      <c r="AG664" s="56"/>
      <c r="BP664" s="190"/>
    </row>
    <row r="665" spans="2:68" x14ac:dyDescent="0.25">
      <c r="B665" s="98" t="s">
        <v>555</v>
      </c>
      <c r="C665" s="98">
        <v>2014</v>
      </c>
      <c r="D665" s="98" t="s">
        <v>217</v>
      </c>
      <c r="E665" s="98" t="s">
        <v>14</v>
      </c>
      <c r="F665" s="98" t="s">
        <v>131</v>
      </c>
      <c r="G665" s="98">
        <v>129.885999999999</v>
      </c>
      <c r="H665" s="299" t="str">
        <f>VLOOKUP(LEFT('Rev Adequacy'!D665,3),'Mapping B'!$D$2:$E$400,2,0)</f>
        <v>N</v>
      </c>
      <c r="J665" s="20"/>
      <c r="K665" s="20"/>
      <c r="L665" s="20"/>
      <c r="M665" s="20"/>
      <c r="N665" s="20"/>
      <c r="O665" s="97"/>
      <c r="P665" s="97"/>
      <c r="Q665" s="97"/>
      <c r="R665" s="97"/>
      <c r="S665" s="97"/>
      <c r="T665" s="97"/>
      <c r="U665" s="97"/>
      <c r="V665" s="97"/>
      <c r="W665" s="97"/>
      <c r="X665" s="97"/>
      <c r="Y665" s="97"/>
      <c r="Z665" s="97"/>
      <c r="AA665" s="97"/>
      <c r="AG665" s="5"/>
      <c r="BP665" s="190"/>
    </row>
    <row r="666" spans="2:68" x14ac:dyDescent="0.25">
      <c r="B666" s="98" t="s">
        <v>555</v>
      </c>
      <c r="C666" s="98">
        <v>2014</v>
      </c>
      <c r="D666" s="98" t="s">
        <v>248</v>
      </c>
      <c r="E666" s="98" t="s">
        <v>14</v>
      </c>
      <c r="F666" s="98" t="s">
        <v>136</v>
      </c>
      <c r="G666" s="98">
        <v>0</v>
      </c>
      <c r="H666" s="299" t="str">
        <f>VLOOKUP(LEFT('Rev Adequacy'!D666,3),'Mapping B'!$D$2:$E$400,2,0)</f>
        <v>S</v>
      </c>
      <c r="J666" s="20"/>
      <c r="K666" s="20"/>
      <c r="L666" s="20"/>
      <c r="M666" s="20"/>
      <c r="N666" s="20"/>
      <c r="O666" s="97"/>
      <c r="P666" s="97"/>
      <c r="Q666" s="97"/>
      <c r="R666" s="97"/>
      <c r="S666" s="97"/>
      <c r="T666" s="97"/>
      <c r="U666" s="97"/>
      <c r="V666" s="97"/>
      <c r="W666" s="97"/>
      <c r="X666" s="97"/>
      <c r="Y666" s="97"/>
      <c r="Z666" s="97"/>
      <c r="AA666" s="97"/>
      <c r="AG666" s="5"/>
      <c r="BP666" s="190"/>
    </row>
    <row r="667" spans="2:68" x14ac:dyDescent="0.25">
      <c r="B667" s="98" t="s">
        <v>555</v>
      </c>
      <c r="C667" s="98">
        <v>2014</v>
      </c>
      <c r="D667" s="98" t="s">
        <v>277</v>
      </c>
      <c r="E667" s="98" t="s">
        <v>14</v>
      </c>
      <c r="F667" s="98" t="s">
        <v>145</v>
      </c>
      <c r="G667" s="98">
        <v>0</v>
      </c>
      <c r="H667" s="299" t="str">
        <f>VLOOKUP(LEFT('Rev Adequacy'!D667,3),'Mapping B'!$D$2:$E$400,2,0)</f>
        <v>S</v>
      </c>
      <c r="J667" s="20"/>
      <c r="K667" s="20"/>
      <c r="L667" s="20"/>
      <c r="M667" s="20"/>
      <c r="N667" s="20"/>
      <c r="O667" s="97"/>
      <c r="P667" s="97"/>
      <c r="Q667" s="97"/>
      <c r="R667" s="97"/>
      <c r="S667" s="97"/>
      <c r="T667" s="97"/>
      <c r="U667" s="97"/>
      <c r="V667" s="97"/>
      <c r="W667" s="97"/>
      <c r="X667" s="97"/>
      <c r="Y667" s="97"/>
      <c r="Z667" s="97"/>
      <c r="AA667" s="97"/>
      <c r="AG667" s="5"/>
      <c r="BP667" s="190"/>
    </row>
    <row r="668" spans="2:68" x14ac:dyDescent="0.25">
      <c r="B668" s="98" t="s">
        <v>555</v>
      </c>
      <c r="C668" s="98">
        <v>2014</v>
      </c>
      <c r="D668" s="98" t="s">
        <v>283</v>
      </c>
      <c r="E668" s="98" t="s">
        <v>14</v>
      </c>
      <c r="F668" s="98" t="s">
        <v>136</v>
      </c>
      <c r="G668" s="98">
        <v>0</v>
      </c>
      <c r="H668" s="299" t="str">
        <f>VLOOKUP(LEFT('Rev Adequacy'!D668,3),'Mapping B'!$D$2:$E$400,2,0)</f>
        <v>S</v>
      </c>
      <c r="J668" s="20"/>
      <c r="K668" s="20"/>
      <c r="L668" s="20"/>
      <c r="M668" s="20"/>
      <c r="N668" s="20"/>
      <c r="O668" s="97"/>
      <c r="P668" s="97"/>
      <c r="Q668" s="97"/>
      <c r="R668" s="97"/>
      <c r="S668" s="97"/>
      <c r="T668" s="97"/>
      <c r="U668" s="97"/>
      <c r="V668" s="97"/>
      <c r="W668" s="97"/>
      <c r="X668" s="97"/>
      <c r="Y668" s="97"/>
      <c r="Z668" s="97"/>
      <c r="AA668" s="97"/>
      <c r="AG668" s="5"/>
      <c r="BP668" s="190"/>
    </row>
    <row r="669" spans="2:68" x14ac:dyDescent="0.25">
      <c r="B669" s="98" t="s">
        <v>555</v>
      </c>
      <c r="C669" s="98">
        <v>2014</v>
      </c>
      <c r="D669" s="98" t="s">
        <v>284</v>
      </c>
      <c r="E669" s="98" t="s">
        <v>14</v>
      </c>
      <c r="F669" s="98" t="s">
        <v>136</v>
      </c>
      <c r="G669" s="98">
        <v>0</v>
      </c>
      <c r="H669" s="299" t="str">
        <f>VLOOKUP(LEFT('Rev Adequacy'!D669,3),'Mapping B'!$D$2:$E$400,2,0)</f>
        <v>S</v>
      </c>
      <c r="J669" s="20"/>
      <c r="K669" s="20"/>
      <c r="L669" s="20"/>
      <c r="M669" s="20"/>
      <c r="N669" s="20"/>
      <c r="O669" s="97"/>
      <c r="P669" s="97"/>
      <c r="Q669" s="97"/>
      <c r="R669" s="97"/>
      <c r="S669" s="97"/>
      <c r="T669" s="97"/>
      <c r="U669" s="97"/>
      <c r="V669" s="97"/>
      <c r="W669" s="97"/>
      <c r="X669" s="97"/>
      <c r="Y669" s="97"/>
      <c r="Z669" s="97"/>
      <c r="AA669" s="97"/>
      <c r="AG669" s="5"/>
      <c r="BP669" s="190"/>
    </row>
    <row r="670" spans="2:68" x14ac:dyDescent="0.25">
      <c r="B670" s="98" t="s">
        <v>555</v>
      </c>
      <c r="C670" s="98">
        <v>2014</v>
      </c>
      <c r="D670" s="98" t="s">
        <v>285</v>
      </c>
      <c r="E670" s="98" t="s">
        <v>14</v>
      </c>
      <c r="F670" s="98" t="s">
        <v>136</v>
      </c>
      <c r="G670" s="98">
        <v>0</v>
      </c>
      <c r="H670" s="299" t="str">
        <f>VLOOKUP(LEFT('Rev Adequacy'!D670,3),'Mapping B'!$D$2:$E$400,2,0)</f>
        <v>S</v>
      </c>
      <c r="J670" s="20"/>
      <c r="K670" s="20"/>
      <c r="L670" s="20"/>
      <c r="M670" s="20"/>
      <c r="N670" s="20"/>
      <c r="O670" s="97"/>
      <c r="P670" s="97"/>
      <c r="Q670" s="97"/>
      <c r="R670" s="97"/>
      <c r="S670" s="97"/>
      <c r="T670" s="97"/>
      <c r="U670" s="97"/>
      <c r="V670" s="97"/>
      <c r="W670" s="97"/>
      <c r="X670" s="97"/>
      <c r="Y670" s="97"/>
      <c r="Z670" s="97"/>
      <c r="AA670" s="97"/>
      <c r="AG670" s="5"/>
      <c r="BP670" s="190"/>
    </row>
    <row r="671" spans="2:68" x14ac:dyDescent="0.25">
      <c r="B671" s="98" t="s">
        <v>555</v>
      </c>
      <c r="C671" s="98">
        <v>2014</v>
      </c>
      <c r="D671" s="98" t="s">
        <v>360</v>
      </c>
      <c r="E671" s="98" t="s">
        <v>14</v>
      </c>
      <c r="F671" s="98" t="s">
        <v>145</v>
      </c>
      <c r="G671" s="98">
        <v>0</v>
      </c>
      <c r="H671" s="299" t="str">
        <f>VLOOKUP(LEFT('Rev Adequacy'!D671,3),'Mapping B'!$D$2:$E$400,2,0)</f>
        <v>N</v>
      </c>
      <c r="J671" s="20"/>
      <c r="K671" s="20"/>
      <c r="L671" s="20"/>
      <c r="M671" s="20"/>
      <c r="N671" s="20"/>
      <c r="O671" s="97"/>
      <c r="P671" s="97"/>
      <c r="Q671" s="97"/>
      <c r="R671" s="97"/>
      <c r="S671" s="97"/>
      <c r="T671" s="97"/>
      <c r="U671" s="97"/>
      <c r="V671" s="97"/>
      <c r="W671" s="97"/>
      <c r="X671" s="97"/>
      <c r="Y671" s="97"/>
      <c r="Z671" s="97"/>
      <c r="AA671" s="97"/>
      <c r="AG671" s="5"/>
      <c r="BP671" s="190"/>
    </row>
    <row r="672" spans="2:68" x14ac:dyDescent="0.25">
      <c r="B672" s="98" t="s">
        <v>555</v>
      </c>
      <c r="C672" s="98">
        <v>2014</v>
      </c>
      <c r="D672" s="98" t="s">
        <v>362</v>
      </c>
      <c r="E672" s="98" t="s">
        <v>14</v>
      </c>
      <c r="F672" s="98" t="s">
        <v>131</v>
      </c>
      <c r="G672" s="98">
        <v>3256.2208198158701</v>
      </c>
      <c r="H672" s="299" t="str">
        <f>VLOOKUP(LEFT('Rev Adequacy'!D672,3),'Mapping B'!$D$2:$E$400,2,0)</f>
        <v>S</v>
      </c>
      <c r="J672" s="20"/>
      <c r="K672" s="20"/>
      <c r="L672" s="20"/>
      <c r="M672" s="20"/>
      <c r="N672" s="20"/>
      <c r="O672" s="97"/>
      <c r="P672" s="97"/>
      <c r="Q672" s="97"/>
      <c r="R672" s="97"/>
      <c r="S672" s="97"/>
      <c r="T672" s="97"/>
      <c r="U672" s="97"/>
      <c r="V672" s="97"/>
      <c r="W672" s="97"/>
      <c r="X672" s="97"/>
      <c r="Y672" s="97"/>
      <c r="Z672" s="97"/>
      <c r="AA672" s="97"/>
      <c r="AG672" s="5"/>
      <c r="BP672" s="190"/>
    </row>
    <row r="673" spans="2:68" x14ac:dyDescent="0.25">
      <c r="B673" s="98" t="s">
        <v>555</v>
      </c>
      <c r="C673" s="98">
        <v>2014</v>
      </c>
      <c r="D673" s="98" t="s">
        <v>366</v>
      </c>
      <c r="E673" s="98" t="s">
        <v>14</v>
      </c>
      <c r="F673" s="98" t="s">
        <v>145</v>
      </c>
      <c r="G673" s="98">
        <v>0</v>
      </c>
      <c r="H673" s="299" t="str">
        <f>VLOOKUP(LEFT('Rev Adequacy'!D673,3),'Mapping B'!$D$2:$E$400,2,0)</f>
        <v>N</v>
      </c>
      <c r="J673" s="20"/>
      <c r="K673" s="20"/>
      <c r="L673" s="20"/>
      <c r="M673" s="20"/>
      <c r="N673" s="20"/>
      <c r="O673" s="97"/>
      <c r="P673" s="97"/>
      <c r="Q673" s="97"/>
      <c r="R673" s="97"/>
      <c r="S673" s="97"/>
      <c r="T673" s="97"/>
      <c r="U673" s="97"/>
      <c r="V673" s="97"/>
      <c r="W673" s="97"/>
      <c r="X673" s="97"/>
      <c r="Y673" s="97"/>
      <c r="Z673" s="97"/>
      <c r="AA673" s="97"/>
      <c r="AG673" s="5"/>
      <c r="BP673" s="190"/>
    </row>
    <row r="674" spans="2:68" x14ac:dyDescent="0.25">
      <c r="B674" s="98" t="s">
        <v>555</v>
      </c>
      <c r="C674" s="98">
        <v>2014</v>
      </c>
      <c r="D674" s="98" t="s">
        <v>366</v>
      </c>
      <c r="E674" s="98" t="s">
        <v>14</v>
      </c>
      <c r="F674" s="98" t="s">
        <v>131</v>
      </c>
      <c r="G674" s="98">
        <v>301.51</v>
      </c>
      <c r="H674" s="299" t="str">
        <f>VLOOKUP(LEFT('Rev Adequacy'!D674,3),'Mapping B'!$D$2:$E$400,2,0)</f>
        <v>N</v>
      </c>
      <c r="J674" s="20"/>
      <c r="K674" s="20"/>
      <c r="L674" s="20"/>
      <c r="M674" s="20"/>
      <c r="N674" s="20"/>
      <c r="O674" s="97"/>
      <c r="P674" s="97"/>
      <c r="Q674" s="97"/>
      <c r="R674" s="97"/>
      <c r="S674" s="97"/>
      <c r="T674" s="97"/>
      <c r="U674" s="97"/>
      <c r="V674" s="97"/>
      <c r="W674" s="97"/>
      <c r="X674" s="97"/>
      <c r="Y674" s="97"/>
      <c r="Z674" s="97"/>
      <c r="AA674" s="97"/>
      <c r="AG674" s="5"/>
      <c r="BP674" s="190"/>
    </row>
    <row r="675" spans="2:68" x14ac:dyDescent="0.25">
      <c r="B675" s="98" t="s">
        <v>555</v>
      </c>
      <c r="C675" s="98">
        <v>2014</v>
      </c>
      <c r="D675" s="98" t="s">
        <v>390</v>
      </c>
      <c r="E675" s="98" t="s">
        <v>14</v>
      </c>
      <c r="F675" s="98" t="s">
        <v>136</v>
      </c>
      <c r="G675" s="98">
        <v>0</v>
      </c>
      <c r="H675" s="299" t="str">
        <f>VLOOKUP(LEFT('Rev Adequacy'!D675,3),'Mapping B'!$D$2:$E$400,2,0)</f>
        <v>S</v>
      </c>
      <c r="J675" s="20"/>
      <c r="K675" s="20"/>
      <c r="L675" s="20"/>
      <c r="M675" s="20"/>
      <c r="N675" s="20"/>
      <c r="O675" s="97"/>
      <c r="P675" s="97"/>
      <c r="Q675" s="97"/>
      <c r="R675" s="97"/>
      <c r="S675" s="97"/>
      <c r="T675" s="97"/>
      <c r="U675" s="97"/>
      <c r="V675" s="97"/>
      <c r="W675" s="97"/>
      <c r="X675" s="97"/>
      <c r="Y675" s="97"/>
      <c r="Z675" s="97"/>
      <c r="AA675" s="97"/>
      <c r="AG675" s="5"/>
      <c r="BP675" s="190"/>
    </row>
    <row r="676" spans="2:68" x14ac:dyDescent="0.25">
      <c r="B676" s="98" t="s">
        <v>555</v>
      </c>
      <c r="C676" s="98">
        <v>2014</v>
      </c>
      <c r="D676" s="98" t="s">
        <v>393</v>
      </c>
      <c r="E676" s="98" t="s">
        <v>14</v>
      </c>
      <c r="F676" s="98" t="s">
        <v>145</v>
      </c>
      <c r="G676" s="98">
        <v>0</v>
      </c>
      <c r="H676" s="299" t="str">
        <f>VLOOKUP(LEFT('Rev Adequacy'!D676,3),'Mapping B'!$D$2:$E$400,2,0)</f>
        <v>N</v>
      </c>
      <c r="J676" s="20"/>
      <c r="K676" s="20"/>
      <c r="L676" s="20"/>
      <c r="M676" s="20"/>
      <c r="N676" s="20"/>
      <c r="O676" s="97"/>
      <c r="P676" s="97"/>
      <c r="Q676" s="97"/>
      <c r="R676" s="97"/>
      <c r="S676" s="97"/>
      <c r="T676" s="97"/>
      <c r="U676" s="97"/>
      <c r="V676" s="97"/>
      <c r="W676" s="97"/>
      <c r="X676" s="97"/>
      <c r="Y676" s="97"/>
      <c r="Z676" s="97"/>
      <c r="AA676" s="97"/>
      <c r="AG676" s="5"/>
      <c r="BP676" s="190"/>
    </row>
    <row r="677" spans="2:68" x14ac:dyDescent="0.25">
      <c r="B677" s="98" t="s">
        <v>555</v>
      </c>
      <c r="C677" s="98">
        <v>2014</v>
      </c>
      <c r="D677" s="98" t="s">
        <v>393</v>
      </c>
      <c r="E677" s="98" t="s">
        <v>14</v>
      </c>
      <c r="F677" s="98" t="s">
        <v>131</v>
      </c>
      <c r="G677" s="98">
        <v>219.69499999999999</v>
      </c>
      <c r="H677" s="299" t="str">
        <f>VLOOKUP(LEFT('Rev Adequacy'!D677,3),'Mapping B'!$D$2:$E$400,2,0)</f>
        <v>N</v>
      </c>
      <c r="J677" s="20"/>
      <c r="K677" s="20"/>
      <c r="L677" s="20"/>
      <c r="M677" s="20"/>
      <c r="N677" s="20"/>
      <c r="O677" s="97"/>
      <c r="P677" s="97"/>
      <c r="Q677" s="97"/>
      <c r="R677" s="97"/>
      <c r="S677" s="97"/>
      <c r="T677" s="97"/>
      <c r="U677" s="97"/>
      <c r="V677" s="97"/>
      <c r="W677" s="97"/>
      <c r="X677" s="97"/>
      <c r="Y677" s="97"/>
      <c r="Z677" s="97"/>
      <c r="AA677" s="97"/>
      <c r="AG677" s="5"/>
      <c r="BP677" s="190"/>
    </row>
    <row r="678" spans="2:68" x14ac:dyDescent="0.25">
      <c r="B678" s="98" t="s">
        <v>555</v>
      </c>
      <c r="C678" s="98">
        <v>2014</v>
      </c>
      <c r="D678" s="98" t="s">
        <v>394</v>
      </c>
      <c r="E678" s="98" t="s">
        <v>14</v>
      </c>
      <c r="F678" s="98" t="s">
        <v>145</v>
      </c>
      <c r="G678" s="98">
        <v>0</v>
      </c>
      <c r="H678" s="299" t="str">
        <f>VLOOKUP(LEFT('Rev Adequacy'!D678,3),'Mapping B'!$D$2:$E$400,2,0)</f>
        <v>N</v>
      </c>
      <c r="J678" s="20"/>
      <c r="K678" s="20"/>
      <c r="L678" s="20"/>
      <c r="M678" s="20"/>
      <c r="N678" s="20"/>
      <c r="O678" s="97"/>
      <c r="P678" s="97"/>
      <c r="Q678" s="97"/>
      <c r="R678" s="97"/>
      <c r="S678" s="97"/>
      <c r="T678" s="97"/>
      <c r="U678" s="97"/>
      <c r="V678" s="97"/>
      <c r="W678" s="97"/>
      <c r="X678" s="97"/>
      <c r="Y678" s="97"/>
      <c r="Z678" s="97"/>
      <c r="AA678" s="97"/>
      <c r="AG678" s="5"/>
      <c r="BP678" s="190"/>
    </row>
    <row r="679" spans="2:68" x14ac:dyDescent="0.25">
      <c r="B679" s="98" t="s">
        <v>555</v>
      </c>
      <c r="C679" s="98">
        <v>2014</v>
      </c>
      <c r="D679" s="98" t="s">
        <v>394</v>
      </c>
      <c r="E679" s="98" t="s">
        <v>14</v>
      </c>
      <c r="F679" s="98" t="s">
        <v>131</v>
      </c>
      <c r="G679" s="98">
        <v>181.79400000000001</v>
      </c>
      <c r="H679" s="299" t="str">
        <f>VLOOKUP(LEFT('Rev Adequacy'!D679,3),'Mapping B'!$D$2:$E$400,2,0)</f>
        <v>N</v>
      </c>
      <c r="J679" s="20"/>
      <c r="K679" s="20"/>
      <c r="L679" s="20"/>
      <c r="M679" s="20"/>
      <c r="N679" s="20"/>
      <c r="O679" s="97"/>
      <c r="P679" s="97"/>
      <c r="Q679" s="97"/>
      <c r="R679" s="97"/>
      <c r="S679" s="97"/>
      <c r="T679" s="97"/>
      <c r="U679" s="97"/>
      <c r="V679" s="97"/>
      <c r="W679" s="97"/>
      <c r="X679" s="97"/>
      <c r="Y679" s="97"/>
      <c r="Z679" s="97"/>
      <c r="AA679" s="97"/>
      <c r="AG679" s="5"/>
      <c r="BP679" s="190"/>
    </row>
    <row r="680" spans="2:68" x14ac:dyDescent="0.25">
      <c r="B680" s="98" t="s">
        <v>112</v>
      </c>
      <c r="C680" s="98">
        <v>2014</v>
      </c>
      <c r="D680" s="98" t="s">
        <v>149</v>
      </c>
      <c r="E680" s="98" t="s">
        <v>14</v>
      </c>
      <c r="F680" s="98" t="s">
        <v>136</v>
      </c>
      <c r="G680" s="98">
        <v>15429246.6</v>
      </c>
      <c r="H680" s="299" t="str">
        <f>VLOOKUP(LEFT('Rev Adequacy'!D680,3),'Mapping B'!$D$2:$E$400,2,0)</f>
        <v>S</v>
      </c>
      <c r="J680" s="20"/>
      <c r="K680" s="20"/>
      <c r="L680" s="20"/>
      <c r="M680" s="20"/>
      <c r="N680" s="20"/>
      <c r="O680" s="97"/>
      <c r="P680" s="97"/>
      <c r="Q680" s="97"/>
      <c r="R680" s="97"/>
      <c r="S680" s="97"/>
      <c r="T680" s="97"/>
      <c r="U680" s="97"/>
      <c r="V680" s="97"/>
      <c r="W680" s="97"/>
      <c r="X680" s="97"/>
      <c r="Y680" s="97"/>
      <c r="Z680" s="97"/>
      <c r="AA680" s="97"/>
      <c r="AG680" s="5"/>
      <c r="BP680" s="190"/>
    </row>
    <row r="681" spans="2:68" x14ac:dyDescent="0.25">
      <c r="B681" s="98" t="s">
        <v>112</v>
      </c>
      <c r="C681" s="98">
        <v>2014</v>
      </c>
      <c r="D681" s="98" t="s">
        <v>152</v>
      </c>
      <c r="E681" s="98" t="s">
        <v>14</v>
      </c>
      <c r="F681" s="98" t="s">
        <v>136</v>
      </c>
      <c r="G681" s="98">
        <v>57563805.111999802</v>
      </c>
      <c r="H681" s="299" t="str">
        <f>VLOOKUP(LEFT('Rev Adequacy'!D681,3),'Mapping B'!$D$2:$E$400,2,0)</f>
        <v>S</v>
      </c>
      <c r="J681" s="20"/>
      <c r="K681" s="20"/>
      <c r="L681" s="20"/>
      <c r="M681" s="20"/>
      <c r="N681" s="20"/>
      <c r="O681" s="97"/>
      <c r="P681" s="97"/>
      <c r="Q681" s="97"/>
      <c r="R681" s="97"/>
      <c r="S681" s="97"/>
      <c r="T681" s="97"/>
      <c r="U681" s="97"/>
      <c r="V681" s="97"/>
      <c r="W681" s="97"/>
      <c r="X681" s="97"/>
      <c r="Y681" s="97"/>
      <c r="Z681" s="97"/>
      <c r="AA681" s="97"/>
      <c r="AG681" s="5"/>
      <c r="BP681" s="190"/>
    </row>
    <row r="682" spans="2:68" x14ac:dyDescent="0.25">
      <c r="B682" s="98" t="s">
        <v>112</v>
      </c>
      <c r="C682" s="98">
        <v>2014</v>
      </c>
      <c r="D682" s="98" t="s">
        <v>217</v>
      </c>
      <c r="E682" s="98" t="s">
        <v>14</v>
      </c>
      <c r="F682" s="98" t="s">
        <v>131</v>
      </c>
      <c r="G682" s="98">
        <v>15800.5429999999</v>
      </c>
      <c r="H682" s="299" t="str">
        <f>VLOOKUP(LEFT('Rev Adequacy'!D682,3),'Mapping B'!$D$2:$E$400,2,0)</f>
        <v>N</v>
      </c>
      <c r="J682" s="20"/>
      <c r="K682" s="20"/>
      <c r="L682" s="20"/>
      <c r="M682" s="20"/>
      <c r="N682" s="20"/>
      <c r="O682" s="97"/>
      <c r="P682" s="97"/>
      <c r="Q682" s="97"/>
      <c r="R682" s="97"/>
      <c r="S682" s="97"/>
      <c r="T682" s="97"/>
      <c r="U682" s="97"/>
      <c r="V682" s="97"/>
      <c r="W682" s="97"/>
      <c r="X682" s="97"/>
      <c r="Y682" s="97"/>
      <c r="Z682" s="97"/>
      <c r="AA682" s="97"/>
      <c r="AG682" s="56"/>
      <c r="BP682" s="190"/>
    </row>
    <row r="683" spans="2:68" x14ac:dyDescent="0.25">
      <c r="B683" s="98" t="s">
        <v>112</v>
      </c>
      <c r="C683" s="98">
        <v>2014</v>
      </c>
      <c r="D683" s="98" t="s">
        <v>248</v>
      </c>
      <c r="E683" s="98" t="s">
        <v>14</v>
      </c>
      <c r="F683" s="98" t="s">
        <v>136</v>
      </c>
      <c r="G683" s="98">
        <v>79547068.185999796</v>
      </c>
      <c r="H683" s="299" t="str">
        <f>VLOOKUP(LEFT('Rev Adequacy'!D683,3),'Mapping B'!$D$2:$E$400,2,0)</f>
        <v>S</v>
      </c>
      <c r="J683" s="20"/>
      <c r="K683" s="20"/>
      <c r="L683" s="20"/>
      <c r="M683" s="20"/>
      <c r="N683" s="20"/>
      <c r="O683" s="97"/>
      <c r="P683" s="97"/>
      <c r="Q683" s="97"/>
      <c r="R683" s="97"/>
      <c r="S683" s="97"/>
      <c r="T683" s="97"/>
      <c r="U683" s="97"/>
      <c r="V683" s="97"/>
      <c r="W683" s="97"/>
      <c r="X683" s="97"/>
      <c r="Y683" s="97"/>
      <c r="Z683" s="97"/>
      <c r="AA683" s="97"/>
      <c r="AG683" s="56"/>
      <c r="BP683" s="190"/>
    </row>
    <row r="684" spans="2:68" x14ac:dyDescent="0.25">
      <c r="B684" s="98" t="s">
        <v>112</v>
      </c>
      <c r="C684" s="98">
        <v>2014</v>
      </c>
      <c r="D684" s="98" t="s">
        <v>277</v>
      </c>
      <c r="E684" s="98" t="s">
        <v>14</v>
      </c>
      <c r="F684" s="98" t="s">
        <v>145</v>
      </c>
      <c r="G684" s="98">
        <v>2092393.07799999</v>
      </c>
      <c r="H684" s="299" t="str">
        <f>VLOOKUP(LEFT('Rev Adequacy'!D684,3),'Mapping B'!$D$2:$E$400,2,0)</f>
        <v>S</v>
      </c>
      <c r="J684" s="20"/>
      <c r="K684" s="20"/>
      <c r="L684" s="20"/>
      <c r="M684" s="20"/>
      <c r="N684" s="20"/>
      <c r="O684" s="97"/>
      <c r="P684" s="97"/>
      <c r="Q684" s="97"/>
      <c r="R684" s="97"/>
      <c r="S684" s="97"/>
      <c r="T684" s="97"/>
      <c r="U684" s="97"/>
      <c r="V684" s="97"/>
      <c r="W684" s="97"/>
      <c r="X684" s="97"/>
      <c r="Y684" s="97"/>
      <c r="Z684" s="97"/>
      <c r="AA684" s="97"/>
      <c r="AG684" s="56"/>
      <c r="BP684" s="190"/>
    </row>
    <row r="685" spans="2:68" x14ac:dyDescent="0.25">
      <c r="B685" s="98" t="s">
        <v>112</v>
      </c>
      <c r="C685" s="98">
        <v>2014</v>
      </c>
      <c r="D685" s="98" t="s">
        <v>283</v>
      </c>
      <c r="E685" s="98" t="s">
        <v>14</v>
      </c>
      <c r="F685" s="98" t="s">
        <v>136</v>
      </c>
      <c r="G685" s="98">
        <v>20190460.708999299</v>
      </c>
      <c r="H685" s="299" t="str">
        <f>VLOOKUP(LEFT('Rev Adequacy'!D685,3),'Mapping B'!$D$2:$E$400,2,0)</f>
        <v>S</v>
      </c>
      <c r="J685" s="20"/>
      <c r="K685" s="20"/>
      <c r="L685" s="20"/>
      <c r="M685" s="20"/>
      <c r="N685" s="20"/>
      <c r="O685" s="97"/>
      <c r="P685" s="97"/>
      <c r="Q685" s="97"/>
      <c r="R685" s="97"/>
      <c r="S685" s="97"/>
      <c r="T685" s="97"/>
      <c r="U685" s="97"/>
      <c r="V685" s="97"/>
      <c r="W685" s="97"/>
      <c r="X685" s="97"/>
      <c r="Y685" s="97"/>
      <c r="Z685" s="97"/>
      <c r="AA685" s="97"/>
      <c r="AG685" s="56"/>
      <c r="BP685" s="190"/>
    </row>
    <row r="686" spans="2:68" x14ac:dyDescent="0.25">
      <c r="B686" s="98" t="s">
        <v>112</v>
      </c>
      <c r="C686" s="98">
        <v>2014</v>
      </c>
      <c r="D686" s="98" t="s">
        <v>284</v>
      </c>
      <c r="E686" s="98" t="s">
        <v>14</v>
      </c>
      <c r="F686" s="98" t="s">
        <v>136</v>
      </c>
      <c r="G686" s="98">
        <v>16843914.406999301</v>
      </c>
      <c r="H686" s="299" t="str">
        <f>VLOOKUP(LEFT('Rev Adequacy'!D686,3),'Mapping B'!$D$2:$E$400,2,0)</f>
        <v>S</v>
      </c>
      <c r="J686" s="20"/>
      <c r="K686" s="20"/>
      <c r="L686" s="20"/>
      <c r="M686" s="20"/>
      <c r="N686" s="20"/>
      <c r="O686" s="97"/>
      <c r="P686" s="97"/>
      <c r="Q686" s="97"/>
      <c r="R686" s="97"/>
      <c r="S686" s="97"/>
      <c r="T686" s="97"/>
      <c r="U686" s="97"/>
      <c r="V686" s="97"/>
      <c r="W686" s="97"/>
      <c r="X686" s="97"/>
      <c r="Y686" s="97"/>
      <c r="Z686" s="97"/>
      <c r="AA686" s="97"/>
      <c r="AG686" s="56"/>
      <c r="BP686" s="190"/>
    </row>
    <row r="687" spans="2:68" x14ac:dyDescent="0.25">
      <c r="B687" s="98" t="s">
        <v>112</v>
      </c>
      <c r="C687" s="98">
        <v>2014</v>
      </c>
      <c r="D687" s="98" t="s">
        <v>285</v>
      </c>
      <c r="E687" s="98" t="s">
        <v>14</v>
      </c>
      <c r="F687" s="98" t="s">
        <v>136</v>
      </c>
      <c r="G687" s="98">
        <v>16644603.7629997</v>
      </c>
      <c r="H687" s="299" t="str">
        <f>VLOOKUP(LEFT('Rev Adequacy'!D687,3),'Mapping B'!$D$2:$E$400,2,0)</f>
        <v>S</v>
      </c>
      <c r="J687" s="20"/>
      <c r="K687" s="20"/>
      <c r="L687" s="20"/>
      <c r="M687" s="20"/>
      <c r="N687" s="20"/>
      <c r="O687" s="97"/>
      <c r="P687" s="97"/>
      <c r="Q687" s="97"/>
      <c r="R687" s="97"/>
      <c r="S687" s="97"/>
      <c r="T687" s="97"/>
      <c r="U687" s="97"/>
      <c r="V687" s="97"/>
      <c r="W687" s="97"/>
      <c r="X687" s="97"/>
      <c r="Y687" s="97"/>
      <c r="Z687" s="97"/>
      <c r="AA687" s="97"/>
      <c r="AG687" s="56"/>
      <c r="BP687" s="190"/>
    </row>
    <row r="688" spans="2:68" x14ac:dyDescent="0.25">
      <c r="B688" s="98" t="s">
        <v>112</v>
      </c>
      <c r="C688" s="98">
        <v>2014</v>
      </c>
      <c r="D688" s="98" t="s">
        <v>360</v>
      </c>
      <c r="E688" s="98" t="s">
        <v>14</v>
      </c>
      <c r="F688" s="98" t="s">
        <v>145</v>
      </c>
      <c r="G688" s="98">
        <v>0</v>
      </c>
      <c r="H688" s="299" t="str">
        <f>VLOOKUP(LEFT('Rev Adequacy'!D688,3),'Mapping B'!$D$2:$E$400,2,0)</f>
        <v>N</v>
      </c>
      <c r="J688" s="20"/>
      <c r="K688" s="20"/>
      <c r="L688" s="20"/>
      <c r="M688" s="20"/>
      <c r="N688" s="20"/>
      <c r="O688" s="97"/>
      <c r="P688" s="97"/>
      <c r="Q688" s="97"/>
      <c r="R688" s="97"/>
      <c r="S688" s="97"/>
      <c r="T688" s="97"/>
      <c r="U688" s="97"/>
      <c r="V688" s="97"/>
      <c r="W688" s="97"/>
      <c r="X688" s="97"/>
      <c r="Y688" s="97"/>
      <c r="Z688" s="97"/>
      <c r="AA688" s="97"/>
      <c r="AG688" s="103"/>
      <c r="BP688" s="190"/>
    </row>
    <row r="689" spans="2:68" x14ac:dyDescent="0.25">
      <c r="B689" s="98" t="s">
        <v>112</v>
      </c>
      <c r="C689" s="98">
        <v>2014</v>
      </c>
      <c r="D689" s="98" t="s">
        <v>362</v>
      </c>
      <c r="E689" s="98" t="s">
        <v>14</v>
      </c>
      <c r="F689" s="98" t="s">
        <v>131</v>
      </c>
      <c r="G689" s="98">
        <v>0</v>
      </c>
      <c r="H689" s="299" t="str">
        <f>VLOOKUP(LEFT('Rev Adequacy'!D689,3),'Mapping B'!$D$2:$E$400,2,0)</f>
        <v>S</v>
      </c>
      <c r="J689" s="20"/>
      <c r="K689" s="20"/>
      <c r="L689" s="20"/>
      <c r="M689" s="20"/>
      <c r="N689" s="20"/>
      <c r="O689" s="97"/>
      <c r="P689" s="97"/>
      <c r="Q689" s="97"/>
      <c r="R689" s="97"/>
      <c r="S689" s="97"/>
      <c r="T689" s="97"/>
      <c r="U689" s="97"/>
      <c r="V689" s="97"/>
      <c r="W689" s="97"/>
      <c r="X689" s="97"/>
      <c r="Y689" s="97"/>
      <c r="Z689" s="97"/>
      <c r="AA689" s="97"/>
      <c r="AG689" s="102"/>
      <c r="BP689" s="190"/>
    </row>
    <row r="690" spans="2:68" x14ac:dyDescent="0.25">
      <c r="B690" s="98" t="s">
        <v>112</v>
      </c>
      <c r="C690" s="98">
        <v>2014</v>
      </c>
      <c r="D690" s="98" t="s">
        <v>366</v>
      </c>
      <c r="E690" s="98" t="s">
        <v>14</v>
      </c>
      <c r="F690" s="98" t="s">
        <v>145</v>
      </c>
      <c r="G690" s="98">
        <v>0</v>
      </c>
      <c r="H690" s="299" t="str">
        <f>VLOOKUP(LEFT('Rev Adequacy'!D690,3),'Mapping B'!$D$2:$E$400,2,0)</f>
        <v>N</v>
      </c>
      <c r="J690" s="20"/>
      <c r="K690" s="20"/>
      <c r="L690" s="20"/>
      <c r="M690" s="20"/>
      <c r="N690" s="20"/>
      <c r="O690" s="97"/>
      <c r="P690" s="97"/>
      <c r="Q690" s="97"/>
      <c r="R690" s="97"/>
      <c r="S690" s="97"/>
      <c r="T690" s="97"/>
      <c r="U690" s="97"/>
      <c r="V690" s="97"/>
      <c r="W690" s="97"/>
      <c r="X690" s="97"/>
      <c r="Y690" s="97"/>
      <c r="Z690" s="97"/>
      <c r="AA690" s="97"/>
      <c r="AG690" s="56"/>
      <c r="BP690" s="190"/>
    </row>
    <row r="691" spans="2:68" x14ac:dyDescent="0.25">
      <c r="B691" s="98" t="s">
        <v>112</v>
      </c>
      <c r="C691" s="98">
        <v>2014</v>
      </c>
      <c r="D691" s="98" t="s">
        <v>366</v>
      </c>
      <c r="E691" s="98" t="s">
        <v>14</v>
      </c>
      <c r="F691" s="98" t="s">
        <v>131</v>
      </c>
      <c r="G691" s="98">
        <v>28975.17</v>
      </c>
      <c r="H691" s="299" t="str">
        <f>VLOOKUP(LEFT('Rev Adequacy'!D691,3),'Mapping B'!$D$2:$E$400,2,0)</f>
        <v>N</v>
      </c>
      <c r="J691" s="20"/>
      <c r="K691" s="20"/>
      <c r="L691" s="20"/>
      <c r="M691" s="20"/>
      <c r="N691" s="20"/>
      <c r="O691" s="97"/>
      <c r="P691" s="97"/>
      <c r="Q691" s="97"/>
      <c r="R691" s="97"/>
      <c r="S691" s="97"/>
      <c r="T691" s="97"/>
      <c r="U691" s="97"/>
      <c r="V691" s="97"/>
      <c r="W691" s="97"/>
      <c r="X691" s="97"/>
      <c r="Y691" s="97"/>
      <c r="Z691" s="97"/>
      <c r="AA691" s="97"/>
      <c r="AG691" s="56"/>
      <c r="BP691" s="190"/>
    </row>
    <row r="692" spans="2:68" x14ac:dyDescent="0.25">
      <c r="B692" s="98" t="s">
        <v>112</v>
      </c>
      <c r="C692" s="98">
        <v>2014</v>
      </c>
      <c r="D692" s="98" t="s">
        <v>390</v>
      </c>
      <c r="E692" s="98" t="s">
        <v>14</v>
      </c>
      <c r="F692" s="98" t="s">
        <v>136</v>
      </c>
      <c r="G692" s="98">
        <v>8077103.5520000402</v>
      </c>
      <c r="H692" s="299" t="str">
        <f>VLOOKUP(LEFT('Rev Adequacy'!D692,3),'Mapping B'!$D$2:$E$400,2,0)</f>
        <v>S</v>
      </c>
      <c r="J692" s="20"/>
      <c r="K692" s="20"/>
      <c r="L692" s="20"/>
      <c r="M692" s="20"/>
      <c r="N692" s="20"/>
      <c r="O692" s="97"/>
      <c r="P692" s="97"/>
      <c r="Q692" s="97"/>
      <c r="R692" s="97"/>
      <c r="S692" s="97"/>
      <c r="T692" s="97"/>
      <c r="U692" s="97"/>
      <c r="V692" s="97"/>
      <c r="W692" s="97"/>
      <c r="X692" s="97"/>
      <c r="Y692" s="97"/>
      <c r="Z692" s="97"/>
      <c r="AA692" s="97"/>
      <c r="AG692" s="56"/>
      <c r="BP692" s="190"/>
    </row>
    <row r="693" spans="2:68" x14ac:dyDescent="0.25">
      <c r="B693" s="98" t="s">
        <v>112</v>
      </c>
      <c r="C693" s="98">
        <v>2014</v>
      </c>
      <c r="D693" s="98" t="s">
        <v>393</v>
      </c>
      <c r="E693" s="98" t="s">
        <v>14</v>
      </c>
      <c r="F693" s="98" t="s">
        <v>145</v>
      </c>
      <c r="G693" s="98">
        <v>0</v>
      </c>
      <c r="H693" s="299" t="str">
        <f>VLOOKUP(LEFT('Rev Adequacy'!D693,3),'Mapping B'!$D$2:$E$400,2,0)</f>
        <v>N</v>
      </c>
      <c r="J693" s="20"/>
      <c r="K693" s="20"/>
      <c r="L693" s="20"/>
      <c r="M693" s="20"/>
      <c r="N693" s="20"/>
      <c r="O693" s="97"/>
      <c r="P693" s="97"/>
      <c r="Q693" s="97"/>
      <c r="R693" s="97"/>
      <c r="S693" s="97"/>
      <c r="T693" s="97"/>
      <c r="U693" s="97"/>
      <c r="V693" s="97"/>
      <c r="W693" s="97"/>
      <c r="X693" s="97"/>
      <c r="Y693" s="97"/>
      <c r="Z693" s="97"/>
      <c r="AA693" s="97"/>
      <c r="AG693" s="56"/>
      <c r="BP693" s="190"/>
    </row>
    <row r="694" spans="2:68" x14ac:dyDescent="0.25">
      <c r="B694" s="98" t="s">
        <v>112</v>
      </c>
      <c r="C694" s="98">
        <v>2014</v>
      </c>
      <c r="D694" s="98" t="s">
        <v>393</v>
      </c>
      <c r="E694" s="98" t="s">
        <v>14</v>
      </c>
      <c r="F694" s="98" t="s">
        <v>131</v>
      </c>
      <c r="G694" s="98">
        <v>21583.441999999901</v>
      </c>
      <c r="H694" s="299" t="str">
        <f>VLOOKUP(LEFT('Rev Adequacy'!D694,3),'Mapping B'!$D$2:$E$400,2,0)</f>
        <v>N</v>
      </c>
      <c r="J694" s="20"/>
      <c r="K694" s="20"/>
      <c r="L694" s="20"/>
      <c r="M694" s="20"/>
      <c r="N694" s="20"/>
      <c r="O694" s="97"/>
      <c r="P694" s="97"/>
      <c r="Q694" s="97"/>
      <c r="R694" s="97"/>
      <c r="S694" s="97"/>
      <c r="T694" s="97"/>
      <c r="U694" s="97"/>
      <c r="V694" s="97"/>
      <c r="W694" s="97"/>
      <c r="X694" s="97"/>
      <c r="Y694" s="97"/>
      <c r="Z694" s="97"/>
      <c r="AA694" s="97"/>
      <c r="AG694" s="56"/>
      <c r="BP694" s="190"/>
    </row>
    <row r="695" spans="2:68" x14ac:dyDescent="0.25">
      <c r="B695" s="98" t="s">
        <v>112</v>
      </c>
      <c r="C695" s="98">
        <v>2014</v>
      </c>
      <c r="D695" s="98" t="s">
        <v>394</v>
      </c>
      <c r="E695" s="98" t="s">
        <v>14</v>
      </c>
      <c r="F695" s="98" t="s">
        <v>145</v>
      </c>
      <c r="G695" s="98">
        <v>0</v>
      </c>
      <c r="H695" s="299" t="str">
        <f>VLOOKUP(LEFT('Rev Adequacy'!D695,3),'Mapping B'!$D$2:$E$400,2,0)</f>
        <v>N</v>
      </c>
      <c r="J695" s="20"/>
      <c r="K695" s="20"/>
      <c r="L695" s="20"/>
      <c r="M695" s="20"/>
      <c r="N695" s="20"/>
      <c r="O695" s="97"/>
      <c r="P695" s="97"/>
      <c r="Q695" s="97"/>
      <c r="R695" s="97"/>
      <c r="S695" s="97"/>
      <c r="T695" s="97"/>
      <c r="U695" s="97"/>
      <c r="V695" s="97"/>
      <c r="W695" s="97"/>
      <c r="X695" s="97"/>
      <c r="Y695" s="97"/>
      <c r="Z695" s="97"/>
      <c r="AA695" s="97"/>
      <c r="AG695" s="56"/>
      <c r="BP695" s="190"/>
    </row>
    <row r="696" spans="2:68" x14ac:dyDescent="0.25">
      <c r="B696" s="98" t="s">
        <v>112</v>
      </c>
      <c r="C696" s="98">
        <v>2014</v>
      </c>
      <c r="D696" s="98" t="s">
        <v>394</v>
      </c>
      <c r="E696" s="98" t="s">
        <v>14</v>
      </c>
      <c r="F696" s="98" t="s">
        <v>131</v>
      </c>
      <c r="G696" s="98">
        <v>17367.8119999999</v>
      </c>
      <c r="H696" s="299" t="str">
        <f>VLOOKUP(LEFT('Rev Adequacy'!D696,3),'Mapping B'!$D$2:$E$400,2,0)</f>
        <v>N</v>
      </c>
      <c r="J696" s="20"/>
      <c r="K696" s="20"/>
      <c r="L696" s="20"/>
      <c r="M696" s="20"/>
      <c r="N696" s="20"/>
      <c r="O696" s="97"/>
      <c r="P696" s="97"/>
      <c r="Q696" s="97"/>
      <c r="R696" s="97"/>
      <c r="S696" s="97"/>
      <c r="T696" s="97"/>
      <c r="U696" s="97"/>
      <c r="V696" s="97"/>
      <c r="W696" s="97"/>
      <c r="X696" s="97"/>
      <c r="Y696" s="97"/>
      <c r="Z696" s="97"/>
      <c r="AA696" s="97"/>
      <c r="AG696" s="56"/>
      <c r="BP696" s="190"/>
    </row>
    <row r="697" spans="2:68" x14ac:dyDescent="0.25">
      <c r="B697" s="98" t="s">
        <v>111</v>
      </c>
      <c r="C697" s="98">
        <v>2014</v>
      </c>
      <c r="D697" s="98" t="s">
        <v>149</v>
      </c>
      <c r="E697" s="98" t="s">
        <v>14</v>
      </c>
      <c r="F697" s="98" t="s">
        <v>136</v>
      </c>
      <c r="G697" s="98">
        <v>17179522.000999998</v>
      </c>
      <c r="H697" s="299" t="str">
        <f>VLOOKUP(LEFT('Rev Adequacy'!D697,3),'Mapping B'!$D$2:$E$400,2,0)</f>
        <v>S</v>
      </c>
      <c r="J697" s="20"/>
      <c r="K697" s="20"/>
      <c r="L697" s="20"/>
      <c r="M697" s="20"/>
      <c r="N697" s="20"/>
      <c r="O697" s="97"/>
      <c r="P697" s="97"/>
      <c r="Q697" s="97"/>
      <c r="R697" s="97"/>
      <c r="S697" s="97"/>
      <c r="T697" s="97"/>
      <c r="U697" s="97"/>
      <c r="V697" s="97"/>
      <c r="W697" s="97"/>
      <c r="X697" s="97"/>
      <c r="Y697" s="97"/>
      <c r="Z697" s="97"/>
      <c r="AA697" s="97"/>
      <c r="AG697" s="56"/>
      <c r="BP697" s="190"/>
    </row>
    <row r="698" spans="2:68" x14ac:dyDescent="0.25">
      <c r="B698" s="98" t="s">
        <v>111</v>
      </c>
      <c r="C698" s="98">
        <v>2014</v>
      </c>
      <c r="D698" s="98" t="s">
        <v>152</v>
      </c>
      <c r="E698" s="98" t="s">
        <v>14</v>
      </c>
      <c r="F698" s="98" t="s">
        <v>136</v>
      </c>
      <c r="G698" s="98">
        <v>61354530.285999902</v>
      </c>
      <c r="H698" s="299" t="str">
        <f>VLOOKUP(LEFT('Rev Adequacy'!D698,3),'Mapping B'!$D$2:$E$400,2,0)</f>
        <v>S</v>
      </c>
      <c r="J698" s="20"/>
      <c r="K698" s="20"/>
      <c r="L698" s="20"/>
      <c r="M698" s="20"/>
      <c r="N698" s="20"/>
      <c r="O698" s="97"/>
      <c r="P698" s="97"/>
      <c r="Q698" s="97"/>
      <c r="R698" s="97"/>
      <c r="S698" s="97"/>
      <c r="T698" s="97"/>
      <c r="U698" s="97"/>
      <c r="V698" s="97"/>
      <c r="W698" s="97"/>
      <c r="X698" s="97"/>
      <c r="Y698" s="97"/>
      <c r="Z698" s="97"/>
      <c r="AA698" s="97"/>
      <c r="AG698" s="56"/>
      <c r="BP698" s="190"/>
    </row>
    <row r="699" spans="2:68" x14ac:dyDescent="0.25">
      <c r="B699" s="98" t="s">
        <v>111</v>
      </c>
      <c r="C699" s="98">
        <v>2014</v>
      </c>
      <c r="D699" s="98" t="s">
        <v>217</v>
      </c>
      <c r="E699" s="98" t="s">
        <v>14</v>
      </c>
      <c r="F699" s="98" t="s">
        <v>131</v>
      </c>
      <c r="G699" s="98">
        <v>8186.45</v>
      </c>
      <c r="H699" s="299" t="str">
        <f>VLOOKUP(LEFT('Rev Adequacy'!D699,3),'Mapping B'!$D$2:$E$400,2,0)</f>
        <v>N</v>
      </c>
      <c r="J699" s="20"/>
      <c r="K699" s="20"/>
      <c r="L699" s="20"/>
      <c r="M699" s="20"/>
      <c r="N699" s="20"/>
      <c r="O699" s="97"/>
      <c r="P699" s="97"/>
      <c r="Q699" s="97"/>
      <c r="R699" s="97"/>
      <c r="S699" s="97"/>
      <c r="T699" s="97"/>
      <c r="U699" s="97"/>
      <c r="V699" s="97"/>
      <c r="W699" s="97"/>
      <c r="X699" s="97"/>
      <c r="Y699" s="97"/>
      <c r="Z699" s="97"/>
      <c r="AA699" s="97"/>
      <c r="AG699" s="56"/>
      <c r="BP699" s="190"/>
    </row>
    <row r="700" spans="2:68" x14ac:dyDescent="0.25">
      <c r="B700" s="98" t="s">
        <v>111</v>
      </c>
      <c r="C700" s="98">
        <v>2014</v>
      </c>
      <c r="D700" s="98" t="s">
        <v>248</v>
      </c>
      <c r="E700" s="98" t="s">
        <v>14</v>
      </c>
      <c r="F700" s="98" t="s">
        <v>136</v>
      </c>
      <c r="G700" s="98">
        <v>73542964.504999995</v>
      </c>
      <c r="H700" s="299" t="str">
        <f>VLOOKUP(LEFT('Rev Adequacy'!D700,3),'Mapping B'!$D$2:$E$400,2,0)</f>
        <v>S</v>
      </c>
      <c r="J700" s="20"/>
      <c r="K700" s="20"/>
      <c r="L700" s="20"/>
      <c r="M700" s="20"/>
      <c r="N700" s="20"/>
      <c r="O700" s="97"/>
      <c r="P700" s="97"/>
      <c r="Q700" s="97"/>
      <c r="R700" s="97"/>
      <c r="S700" s="97"/>
      <c r="T700" s="97"/>
      <c r="U700" s="97"/>
      <c r="V700" s="97"/>
      <c r="W700" s="97"/>
      <c r="X700" s="97"/>
      <c r="Y700" s="97"/>
      <c r="Z700" s="97"/>
      <c r="AA700" s="97"/>
      <c r="AG700" s="56"/>
      <c r="BP700" s="190"/>
    </row>
    <row r="701" spans="2:68" x14ac:dyDescent="0.25">
      <c r="B701" s="98" t="s">
        <v>111</v>
      </c>
      <c r="C701" s="98">
        <v>2014</v>
      </c>
      <c r="D701" s="98" t="s">
        <v>277</v>
      </c>
      <c r="E701" s="98" t="s">
        <v>14</v>
      </c>
      <c r="F701" s="98" t="s">
        <v>145</v>
      </c>
      <c r="G701" s="98">
        <v>2202034.9599999902</v>
      </c>
      <c r="H701" s="299" t="str">
        <f>VLOOKUP(LEFT('Rev Adequacy'!D701,3),'Mapping B'!$D$2:$E$400,2,0)</f>
        <v>S</v>
      </c>
      <c r="J701" s="20"/>
      <c r="K701" s="20"/>
      <c r="L701" s="20"/>
      <c r="M701" s="20"/>
      <c r="N701" s="20"/>
      <c r="O701" s="97"/>
      <c r="P701" s="97"/>
      <c r="Q701" s="97"/>
      <c r="R701" s="97"/>
      <c r="S701" s="97"/>
      <c r="T701" s="97"/>
      <c r="U701" s="97"/>
      <c r="V701" s="97"/>
      <c r="W701" s="97"/>
      <c r="X701" s="97"/>
      <c r="Y701" s="97"/>
      <c r="Z701" s="97"/>
      <c r="AA701" s="97"/>
      <c r="AG701" s="103"/>
      <c r="BP701" s="190"/>
    </row>
    <row r="702" spans="2:68" x14ac:dyDescent="0.25">
      <c r="B702" s="98" t="s">
        <v>111</v>
      </c>
      <c r="C702" s="98">
        <v>2014</v>
      </c>
      <c r="D702" s="98" t="s">
        <v>283</v>
      </c>
      <c r="E702" s="98" t="s">
        <v>14</v>
      </c>
      <c r="F702" s="98" t="s">
        <v>136</v>
      </c>
      <c r="G702" s="98">
        <v>24019598.213999901</v>
      </c>
      <c r="H702" s="299" t="str">
        <f>VLOOKUP(LEFT('Rev Adequacy'!D702,3),'Mapping B'!$D$2:$E$400,2,0)</f>
        <v>S</v>
      </c>
      <c r="J702" s="20"/>
      <c r="K702" s="20"/>
      <c r="L702" s="20"/>
      <c r="M702" s="20"/>
      <c r="N702" s="20"/>
      <c r="O702" s="97"/>
      <c r="P702" s="97"/>
      <c r="Q702" s="97"/>
      <c r="R702" s="97"/>
      <c r="S702" s="97"/>
      <c r="T702" s="97"/>
      <c r="U702" s="97"/>
      <c r="V702" s="97"/>
      <c r="W702" s="97"/>
      <c r="X702" s="97"/>
      <c r="Y702" s="97"/>
      <c r="Z702" s="97"/>
      <c r="AA702" s="97"/>
      <c r="AG702" s="102"/>
      <c r="BP702" s="190"/>
    </row>
    <row r="703" spans="2:68" x14ac:dyDescent="0.25">
      <c r="B703" s="98" t="s">
        <v>111</v>
      </c>
      <c r="C703" s="98">
        <v>2014</v>
      </c>
      <c r="D703" s="98" t="s">
        <v>284</v>
      </c>
      <c r="E703" s="98" t="s">
        <v>14</v>
      </c>
      <c r="F703" s="98" t="s">
        <v>136</v>
      </c>
      <c r="G703" s="98">
        <v>20096908.213999901</v>
      </c>
      <c r="H703" s="299" t="str">
        <f>VLOOKUP(LEFT('Rev Adequacy'!D703,3),'Mapping B'!$D$2:$E$400,2,0)</f>
        <v>S</v>
      </c>
      <c r="J703" s="20"/>
      <c r="K703" s="20"/>
      <c r="L703" s="20"/>
      <c r="M703" s="20"/>
      <c r="N703" s="20"/>
      <c r="O703" s="97"/>
      <c r="P703" s="97"/>
      <c r="Q703" s="97"/>
      <c r="R703" s="97"/>
      <c r="S703" s="97"/>
      <c r="T703" s="97"/>
      <c r="U703" s="97"/>
      <c r="V703" s="97"/>
      <c r="W703" s="97"/>
      <c r="X703" s="97"/>
      <c r="Y703" s="97"/>
      <c r="Z703" s="97"/>
      <c r="AA703" s="97"/>
      <c r="AG703" s="56"/>
      <c r="BP703" s="190"/>
    </row>
    <row r="704" spans="2:68" x14ac:dyDescent="0.25">
      <c r="B704" s="98" t="s">
        <v>111</v>
      </c>
      <c r="C704" s="98">
        <v>2014</v>
      </c>
      <c r="D704" s="98" t="s">
        <v>285</v>
      </c>
      <c r="E704" s="98" t="s">
        <v>14</v>
      </c>
      <c r="F704" s="98" t="s">
        <v>136</v>
      </c>
      <c r="G704" s="98">
        <v>19777556.495000001</v>
      </c>
      <c r="H704" s="299" t="str">
        <f>VLOOKUP(LEFT('Rev Adequacy'!D704,3),'Mapping B'!$D$2:$E$400,2,0)</f>
        <v>S</v>
      </c>
      <c r="J704" s="20"/>
      <c r="K704" s="20"/>
      <c r="L704" s="20"/>
      <c r="M704" s="20"/>
      <c r="N704" s="20"/>
      <c r="O704" s="97"/>
      <c r="P704" s="97"/>
      <c r="Q704" s="97"/>
      <c r="R704" s="97"/>
      <c r="S704" s="97"/>
      <c r="T704" s="97"/>
      <c r="U704" s="97"/>
      <c r="V704" s="97"/>
      <c r="W704" s="97"/>
      <c r="X704" s="97"/>
      <c r="Y704" s="97"/>
      <c r="Z704" s="97"/>
      <c r="AA704" s="97"/>
      <c r="AG704" s="56"/>
      <c r="BP704" s="190"/>
    </row>
    <row r="705" spans="2:68" x14ac:dyDescent="0.25">
      <c r="B705" s="98" t="s">
        <v>111</v>
      </c>
      <c r="C705" s="98">
        <v>2014</v>
      </c>
      <c r="D705" s="98" t="s">
        <v>360</v>
      </c>
      <c r="E705" s="98" t="s">
        <v>14</v>
      </c>
      <c r="F705" s="98" t="s">
        <v>145</v>
      </c>
      <c r="G705" s="98">
        <v>0</v>
      </c>
      <c r="H705" s="299" t="str">
        <f>VLOOKUP(LEFT('Rev Adequacy'!D705,3),'Mapping B'!$D$2:$E$400,2,0)</f>
        <v>N</v>
      </c>
      <c r="J705" s="20"/>
      <c r="K705" s="20"/>
      <c r="L705" s="20"/>
      <c r="M705" s="20"/>
      <c r="N705" s="20"/>
      <c r="O705" s="97"/>
      <c r="P705" s="97"/>
      <c r="Q705" s="97"/>
      <c r="R705" s="97"/>
      <c r="S705" s="97"/>
      <c r="T705" s="97"/>
      <c r="U705" s="97"/>
      <c r="V705" s="97"/>
      <c r="W705" s="97"/>
      <c r="X705" s="97"/>
      <c r="Y705" s="97"/>
      <c r="Z705" s="97"/>
      <c r="AA705" s="97"/>
      <c r="AG705" s="56"/>
      <c r="BP705" s="190"/>
    </row>
    <row r="706" spans="2:68" x14ac:dyDescent="0.25">
      <c r="B706" s="98" t="s">
        <v>111</v>
      </c>
      <c r="C706" s="98">
        <v>2014</v>
      </c>
      <c r="D706" s="98" t="s">
        <v>362</v>
      </c>
      <c r="E706" s="98" t="s">
        <v>14</v>
      </c>
      <c r="F706" s="98" t="s">
        <v>131</v>
      </c>
      <c r="G706" s="98">
        <v>0</v>
      </c>
      <c r="H706" s="299" t="str">
        <f>VLOOKUP(LEFT('Rev Adequacy'!D706,3),'Mapping B'!$D$2:$E$400,2,0)</f>
        <v>S</v>
      </c>
      <c r="J706" s="20"/>
      <c r="K706" s="20"/>
      <c r="L706" s="20"/>
      <c r="M706" s="20"/>
      <c r="N706" s="20"/>
      <c r="O706" s="97"/>
      <c r="P706" s="97"/>
      <c r="Q706" s="97"/>
      <c r="R706" s="97"/>
      <c r="S706" s="97"/>
      <c r="T706" s="97"/>
      <c r="U706" s="97"/>
      <c r="V706" s="97"/>
      <c r="W706" s="97"/>
      <c r="X706" s="97"/>
      <c r="Y706" s="97"/>
      <c r="Z706" s="97"/>
      <c r="AA706" s="97"/>
      <c r="AG706" s="56"/>
      <c r="BP706" s="190"/>
    </row>
    <row r="707" spans="2:68" x14ac:dyDescent="0.25">
      <c r="B707" s="98" t="s">
        <v>111</v>
      </c>
      <c r="C707" s="98">
        <v>2014</v>
      </c>
      <c r="D707" s="98" t="s">
        <v>366</v>
      </c>
      <c r="E707" s="98" t="s">
        <v>14</v>
      </c>
      <c r="F707" s="98" t="s">
        <v>145</v>
      </c>
      <c r="G707" s="98">
        <v>0</v>
      </c>
      <c r="H707" s="299" t="str">
        <f>VLOOKUP(LEFT('Rev Adequacy'!D707,3),'Mapping B'!$D$2:$E$400,2,0)</f>
        <v>N</v>
      </c>
      <c r="J707" s="20"/>
      <c r="K707" s="20"/>
      <c r="L707" s="20"/>
      <c r="M707" s="20"/>
      <c r="N707" s="20"/>
      <c r="O707" s="97"/>
      <c r="P707" s="97"/>
      <c r="Q707" s="97"/>
      <c r="R707" s="97"/>
      <c r="S707" s="97"/>
      <c r="T707" s="97"/>
      <c r="U707" s="97"/>
      <c r="V707" s="97"/>
      <c r="W707" s="97"/>
      <c r="X707" s="97"/>
      <c r="Y707" s="97"/>
      <c r="Z707" s="97"/>
      <c r="AA707" s="97"/>
      <c r="AG707" s="56"/>
      <c r="BP707" s="190"/>
    </row>
    <row r="708" spans="2:68" x14ac:dyDescent="0.25">
      <c r="B708" s="98" t="s">
        <v>111</v>
      </c>
      <c r="C708" s="98">
        <v>2014</v>
      </c>
      <c r="D708" s="98" t="s">
        <v>366</v>
      </c>
      <c r="E708" s="98" t="s">
        <v>14</v>
      </c>
      <c r="F708" s="98" t="s">
        <v>131</v>
      </c>
      <c r="G708" s="98">
        <v>6190.3739999999898</v>
      </c>
      <c r="H708" s="299" t="str">
        <f>VLOOKUP(LEFT('Rev Adequacy'!D708,3),'Mapping B'!$D$2:$E$400,2,0)</f>
        <v>N</v>
      </c>
      <c r="J708" s="20"/>
      <c r="K708" s="20"/>
      <c r="L708" s="20"/>
      <c r="M708" s="20"/>
      <c r="N708" s="20"/>
      <c r="O708" s="97"/>
      <c r="P708" s="97"/>
      <c r="Q708" s="97"/>
      <c r="R708" s="97"/>
      <c r="S708" s="97"/>
      <c r="T708" s="97"/>
      <c r="U708" s="97"/>
      <c r="V708" s="97"/>
      <c r="W708" s="97"/>
      <c r="X708" s="97"/>
      <c r="Y708" s="97"/>
      <c r="Z708" s="97"/>
      <c r="AA708" s="97"/>
      <c r="AG708" s="56"/>
      <c r="BP708" s="190"/>
    </row>
    <row r="709" spans="2:68" x14ac:dyDescent="0.25">
      <c r="B709" s="98" t="s">
        <v>111</v>
      </c>
      <c r="C709" s="98">
        <v>2014</v>
      </c>
      <c r="D709" s="98" t="s">
        <v>390</v>
      </c>
      <c r="E709" s="98" t="s">
        <v>14</v>
      </c>
      <c r="F709" s="98" t="s">
        <v>136</v>
      </c>
      <c r="G709" s="98">
        <v>9020195.3219999894</v>
      </c>
      <c r="H709" s="299" t="str">
        <f>VLOOKUP(LEFT('Rev Adequacy'!D709,3),'Mapping B'!$D$2:$E$400,2,0)</f>
        <v>S</v>
      </c>
      <c r="J709" s="20"/>
      <c r="K709" s="20"/>
      <c r="L709" s="20"/>
      <c r="M709" s="20"/>
      <c r="N709" s="20"/>
      <c r="O709" s="97"/>
      <c r="P709" s="97"/>
      <c r="Q709" s="97"/>
      <c r="R709" s="97"/>
      <c r="S709" s="97"/>
      <c r="T709" s="97"/>
      <c r="U709" s="97"/>
      <c r="V709" s="97"/>
      <c r="W709" s="97"/>
      <c r="X709" s="97"/>
      <c r="Y709" s="97"/>
      <c r="Z709" s="97"/>
      <c r="AA709" s="97"/>
      <c r="AG709" s="56"/>
      <c r="BP709" s="190"/>
    </row>
    <row r="710" spans="2:68" x14ac:dyDescent="0.25">
      <c r="B710" s="98" t="s">
        <v>111</v>
      </c>
      <c r="C710" s="98">
        <v>2014</v>
      </c>
      <c r="D710" s="98" t="s">
        <v>393</v>
      </c>
      <c r="E710" s="98" t="s">
        <v>14</v>
      </c>
      <c r="F710" s="98" t="s">
        <v>145</v>
      </c>
      <c r="G710" s="98">
        <v>0</v>
      </c>
      <c r="H710" s="299" t="str">
        <f>VLOOKUP(LEFT('Rev Adequacy'!D710,3),'Mapping B'!$D$2:$E$400,2,0)</f>
        <v>N</v>
      </c>
      <c r="J710" s="20"/>
      <c r="K710" s="20"/>
      <c r="L710" s="20"/>
      <c r="M710" s="20"/>
      <c r="N710" s="20"/>
      <c r="O710" s="97"/>
      <c r="P710" s="97"/>
      <c r="Q710" s="97"/>
      <c r="R710" s="97"/>
      <c r="S710" s="97"/>
      <c r="T710" s="97"/>
      <c r="U710" s="97"/>
      <c r="V710" s="97"/>
      <c r="W710" s="97"/>
      <c r="X710" s="97"/>
      <c r="Y710" s="97"/>
      <c r="Z710" s="97"/>
      <c r="AA710" s="97"/>
      <c r="AG710" s="56"/>
      <c r="BP710" s="190"/>
    </row>
    <row r="711" spans="2:68" x14ac:dyDescent="0.25">
      <c r="B711" s="98" t="s">
        <v>111</v>
      </c>
      <c r="C711" s="98">
        <v>2014</v>
      </c>
      <c r="D711" s="98" t="s">
        <v>393</v>
      </c>
      <c r="E711" s="98" t="s">
        <v>14</v>
      </c>
      <c r="F711" s="98" t="s">
        <v>131</v>
      </c>
      <c r="G711" s="98">
        <v>3686.6149999999898</v>
      </c>
      <c r="H711" s="299" t="str">
        <f>VLOOKUP(LEFT('Rev Adequacy'!D711,3),'Mapping B'!$D$2:$E$400,2,0)</f>
        <v>N</v>
      </c>
      <c r="J711" s="20"/>
      <c r="K711" s="20"/>
      <c r="L711" s="20"/>
      <c r="M711" s="20"/>
      <c r="N711" s="20"/>
      <c r="O711" s="97"/>
      <c r="P711" s="97"/>
      <c r="Q711" s="97"/>
      <c r="R711" s="97"/>
      <c r="S711" s="97"/>
      <c r="T711" s="97"/>
      <c r="U711" s="97"/>
      <c r="V711" s="97"/>
      <c r="W711" s="97"/>
      <c r="X711" s="97"/>
      <c r="Y711" s="97"/>
      <c r="Z711" s="97"/>
      <c r="AA711" s="97"/>
      <c r="AG711" s="56"/>
      <c r="BP711" s="190"/>
    </row>
    <row r="712" spans="2:68" x14ac:dyDescent="0.25">
      <c r="B712" s="98" t="s">
        <v>111</v>
      </c>
      <c r="C712" s="98">
        <v>2014</v>
      </c>
      <c r="D712" s="98" t="s">
        <v>394</v>
      </c>
      <c r="E712" s="98" t="s">
        <v>14</v>
      </c>
      <c r="F712" s="98" t="s">
        <v>145</v>
      </c>
      <c r="G712" s="98">
        <v>0</v>
      </c>
      <c r="H712" s="299" t="str">
        <f>VLOOKUP(LEFT('Rev Adequacy'!D712,3),'Mapping B'!$D$2:$E$400,2,0)</f>
        <v>N</v>
      </c>
      <c r="J712" s="20"/>
      <c r="K712" s="20"/>
      <c r="L712" s="20"/>
      <c r="M712" s="20"/>
      <c r="N712" s="20"/>
      <c r="O712" s="97"/>
      <c r="P712" s="97"/>
      <c r="Q712" s="97"/>
      <c r="R712" s="97"/>
      <c r="S712" s="97"/>
      <c r="T712" s="97"/>
      <c r="U712" s="97"/>
      <c r="V712" s="97"/>
      <c r="W712" s="97"/>
      <c r="X712" s="97"/>
      <c r="Y712" s="97"/>
      <c r="Z712" s="97"/>
      <c r="AA712" s="97"/>
      <c r="AG712" s="56"/>
      <c r="BP712" s="190"/>
    </row>
    <row r="713" spans="2:68" x14ac:dyDescent="0.25">
      <c r="B713" s="98" t="s">
        <v>111</v>
      </c>
      <c r="C713" s="98">
        <v>2014</v>
      </c>
      <c r="D713" s="98" t="s">
        <v>394</v>
      </c>
      <c r="E713" s="98" t="s">
        <v>14</v>
      </c>
      <c r="F713" s="98" t="s">
        <v>131</v>
      </c>
      <c r="G713" s="98">
        <v>3215.2519999999899</v>
      </c>
      <c r="H713" s="299" t="str">
        <f>VLOOKUP(LEFT('Rev Adequacy'!D713,3),'Mapping B'!$D$2:$E$400,2,0)</f>
        <v>N</v>
      </c>
      <c r="J713" s="20"/>
      <c r="K713" s="20"/>
      <c r="L713" s="20"/>
      <c r="M713" s="20"/>
      <c r="N713" s="20"/>
      <c r="O713" s="97"/>
      <c r="P713" s="97"/>
      <c r="Q713" s="97"/>
      <c r="R713" s="97"/>
      <c r="S713" s="97"/>
      <c r="T713" s="97"/>
      <c r="U713" s="97"/>
      <c r="V713" s="97"/>
      <c r="W713" s="97"/>
      <c r="X713" s="97"/>
      <c r="Y713" s="97"/>
      <c r="Z713" s="97"/>
      <c r="AA713" s="97"/>
      <c r="AG713" s="56"/>
      <c r="BP713" s="190"/>
    </row>
    <row r="714" spans="2:68" x14ac:dyDescent="0.25">
      <c r="B714" s="98" t="s">
        <v>552</v>
      </c>
      <c r="C714" s="98">
        <v>2014</v>
      </c>
      <c r="D714" s="98" t="s">
        <v>264</v>
      </c>
      <c r="E714" s="98" t="s">
        <v>15</v>
      </c>
      <c r="F714" s="98" t="s">
        <v>131</v>
      </c>
      <c r="G714" s="248">
        <v>461.81400000000298</v>
      </c>
      <c r="H714" s="299" t="str">
        <f>VLOOKUP(LEFT('Rev Adequacy'!D714,3),'Mapping B'!$D$2:$E$400,2,0)</f>
        <v>N</v>
      </c>
      <c r="J714" s="20"/>
      <c r="K714" s="20"/>
      <c r="L714" s="20"/>
      <c r="M714" s="20"/>
      <c r="N714" s="20"/>
      <c r="O714" s="97"/>
      <c r="P714" s="97"/>
      <c r="Q714" s="97"/>
      <c r="R714" s="97"/>
      <c r="S714" s="97"/>
      <c r="T714" s="97"/>
      <c r="U714" s="97"/>
      <c r="V714" s="97"/>
      <c r="W714" s="97"/>
      <c r="X714" s="97"/>
      <c r="Y714" s="97"/>
      <c r="Z714" s="97"/>
      <c r="AA714" s="97"/>
      <c r="AG714" s="56"/>
      <c r="BP714" s="190"/>
    </row>
    <row r="715" spans="2:68" x14ac:dyDescent="0.25">
      <c r="B715" s="98" t="s">
        <v>553</v>
      </c>
      <c r="C715" s="98">
        <v>2014</v>
      </c>
      <c r="D715" s="98" t="s">
        <v>264</v>
      </c>
      <c r="E715" s="98" t="s">
        <v>15</v>
      </c>
      <c r="F715" s="98" t="s">
        <v>131</v>
      </c>
      <c r="G715" s="248">
        <v>15189.425999999799</v>
      </c>
      <c r="H715" s="299" t="str">
        <f>VLOOKUP(LEFT('Rev Adequacy'!D715,3),'Mapping B'!$D$2:$E$400,2,0)</f>
        <v>N</v>
      </c>
      <c r="J715" s="20"/>
      <c r="K715" s="20"/>
      <c r="L715" s="20"/>
      <c r="M715" s="20"/>
      <c r="N715" s="20"/>
      <c r="O715" s="97"/>
      <c r="P715" s="97"/>
      <c r="Q715" s="97"/>
      <c r="R715" s="97"/>
      <c r="S715" s="97"/>
      <c r="T715" s="97"/>
      <c r="U715" s="97"/>
      <c r="V715" s="97"/>
      <c r="W715" s="97"/>
      <c r="X715" s="97"/>
      <c r="Y715" s="97"/>
      <c r="Z715" s="97"/>
      <c r="AA715" s="97"/>
      <c r="AG715" s="104"/>
      <c r="BP715" s="190"/>
    </row>
    <row r="716" spans="2:68" x14ac:dyDescent="0.25">
      <c r="B716" s="98" t="s">
        <v>554</v>
      </c>
      <c r="C716" s="98">
        <v>2014</v>
      </c>
      <c r="D716" s="98" t="s">
        <v>264</v>
      </c>
      <c r="E716" s="98" t="s">
        <v>15</v>
      </c>
      <c r="F716" s="98" t="s">
        <v>131</v>
      </c>
      <c r="G716" s="98">
        <v>61859.466000000102</v>
      </c>
      <c r="H716" s="299" t="str">
        <f>VLOOKUP(LEFT('Rev Adequacy'!D716,3),'Mapping B'!$D$2:$E$400,2,0)</f>
        <v>N</v>
      </c>
      <c r="J716" s="20"/>
      <c r="K716" s="20"/>
      <c r="L716" s="20"/>
      <c r="M716" s="20"/>
      <c r="N716" s="20"/>
      <c r="O716" s="97"/>
      <c r="P716" s="97"/>
      <c r="Q716" s="97"/>
      <c r="R716" s="97"/>
      <c r="S716" s="97"/>
      <c r="T716" s="97"/>
      <c r="U716" s="97"/>
      <c r="V716" s="97"/>
      <c r="W716" s="97"/>
      <c r="X716" s="97"/>
      <c r="Y716" s="97"/>
      <c r="Z716" s="97"/>
      <c r="AA716" s="97"/>
      <c r="BP716" s="190"/>
    </row>
    <row r="717" spans="2:68" x14ac:dyDescent="0.25">
      <c r="B717" s="98" t="s">
        <v>563</v>
      </c>
      <c r="C717" s="98">
        <v>2014</v>
      </c>
      <c r="D717" s="98" t="s">
        <v>264</v>
      </c>
      <c r="E717" s="98" t="s">
        <v>15</v>
      </c>
      <c r="F717" s="98" t="s">
        <v>131</v>
      </c>
      <c r="G717" s="98">
        <v>118555.174999999</v>
      </c>
      <c r="H717" s="299" t="str">
        <f>VLOOKUP(LEFT('Rev Adequacy'!D717,3),'Mapping B'!$D$2:$E$400,2,0)</f>
        <v>N</v>
      </c>
      <c r="J717" s="20"/>
      <c r="K717" s="20"/>
      <c r="L717" s="20"/>
      <c r="M717" s="20"/>
      <c r="N717" s="20"/>
      <c r="O717" s="97"/>
      <c r="P717" s="97"/>
      <c r="Q717" s="97"/>
      <c r="R717" s="97"/>
      <c r="S717" s="97"/>
      <c r="T717" s="97"/>
      <c r="U717" s="97"/>
      <c r="V717" s="97"/>
      <c r="W717" s="97"/>
      <c r="X717" s="97"/>
      <c r="Y717" s="97"/>
      <c r="Z717" s="97"/>
      <c r="AA717" s="97"/>
      <c r="BP717" s="190"/>
    </row>
    <row r="718" spans="2:68" x14ac:dyDescent="0.25">
      <c r="B718" s="98" t="s">
        <v>555</v>
      </c>
      <c r="C718" s="98">
        <v>2014</v>
      </c>
      <c r="D718" s="98" t="s">
        <v>264</v>
      </c>
      <c r="E718" s="98" t="s">
        <v>15</v>
      </c>
      <c r="F718" s="98" t="s">
        <v>131</v>
      </c>
      <c r="G718" s="98">
        <v>48227.061999999998</v>
      </c>
      <c r="H718" s="299" t="str">
        <f>VLOOKUP(LEFT('Rev Adequacy'!D718,3),'Mapping B'!$D$2:$E$400,2,0)</f>
        <v>N</v>
      </c>
      <c r="J718" s="20"/>
      <c r="K718" s="20"/>
      <c r="L718" s="20"/>
      <c r="M718" s="20"/>
      <c r="N718" s="20"/>
      <c r="O718" s="97"/>
      <c r="P718" s="97"/>
      <c r="Q718" s="97"/>
      <c r="R718" s="97"/>
      <c r="S718" s="97"/>
      <c r="T718" s="97"/>
      <c r="U718" s="97"/>
      <c r="V718" s="97"/>
      <c r="W718" s="97"/>
      <c r="X718" s="97"/>
      <c r="Y718" s="97"/>
      <c r="Z718" s="97"/>
      <c r="AA718" s="97"/>
      <c r="BP718" s="190"/>
    </row>
    <row r="719" spans="2:68" x14ac:dyDescent="0.25">
      <c r="B719" s="98" t="s">
        <v>112</v>
      </c>
      <c r="C719" s="98">
        <v>2014</v>
      </c>
      <c r="D719" s="98" t="s">
        <v>264</v>
      </c>
      <c r="E719" s="98" t="s">
        <v>15</v>
      </c>
      <c r="F719" s="98" t="s">
        <v>131</v>
      </c>
      <c r="G719" s="98">
        <v>1752767.5259999901</v>
      </c>
      <c r="H719" s="299" t="str">
        <f>VLOOKUP(LEFT('Rev Adequacy'!D719,3),'Mapping B'!$D$2:$E$400,2,0)</f>
        <v>N</v>
      </c>
      <c r="J719" s="20"/>
      <c r="K719" s="20"/>
      <c r="L719" s="20"/>
      <c r="M719" s="20"/>
      <c r="N719" s="20"/>
      <c r="O719" s="97"/>
      <c r="P719" s="97"/>
      <c r="Q719" s="97"/>
      <c r="R719" s="97"/>
      <c r="S719" s="97"/>
      <c r="T719" s="97"/>
      <c r="U719" s="97"/>
      <c r="V719" s="97"/>
      <c r="W719" s="97"/>
      <c r="X719" s="97"/>
      <c r="Y719" s="97"/>
      <c r="Z719" s="97"/>
      <c r="AA719" s="97"/>
      <c r="BP719" s="190"/>
    </row>
    <row r="720" spans="2:68" x14ac:dyDescent="0.25">
      <c r="B720" s="98" t="s">
        <v>111</v>
      </c>
      <c r="C720" s="98">
        <v>2014</v>
      </c>
      <c r="D720" s="98" t="s">
        <v>264</v>
      </c>
      <c r="E720" s="98" t="s">
        <v>15</v>
      </c>
      <c r="F720" s="98" t="s">
        <v>131</v>
      </c>
      <c r="G720" s="98">
        <v>419059.98400000099</v>
      </c>
      <c r="H720" s="299" t="str">
        <f>VLOOKUP(LEFT('Rev Adequacy'!D720,3),'Mapping B'!$D$2:$E$400,2,0)</f>
        <v>N</v>
      </c>
      <c r="J720" s="20"/>
      <c r="K720" s="20"/>
      <c r="L720" s="20"/>
      <c r="M720" s="20"/>
      <c r="N720" s="20"/>
      <c r="O720" s="97"/>
      <c r="P720" s="97"/>
      <c r="Q720" s="97"/>
      <c r="R720" s="97"/>
      <c r="S720" s="97"/>
      <c r="T720" s="97"/>
      <c r="U720" s="97"/>
      <c r="V720" s="97"/>
      <c r="W720" s="97"/>
      <c r="X720" s="97"/>
      <c r="Y720" s="97"/>
      <c r="Z720" s="97"/>
      <c r="AA720" s="97"/>
      <c r="BP720" s="190"/>
    </row>
    <row r="721" spans="2:68" x14ac:dyDescent="0.25">
      <c r="B721" s="98" t="s">
        <v>552</v>
      </c>
      <c r="C721" s="98">
        <v>2014</v>
      </c>
      <c r="D721" s="98" t="s">
        <v>376</v>
      </c>
      <c r="E721" s="98" t="s">
        <v>16</v>
      </c>
      <c r="F721" s="98" t="s">
        <v>136</v>
      </c>
      <c r="G721" s="248">
        <v>0</v>
      </c>
      <c r="H721" s="299" t="str">
        <f>VLOOKUP(LEFT('Rev Adequacy'!D721,3),'Mapping B'!$D$2:$E$400,2,0)</f>
        <v>N</v>
      </c>
      <c r="J721" s="20"/>
      <c r="K721" s="20"/>
      <c r="L721" s="20"/>
      <c r="M721" s="20"/>
      <c r="N721" s="20"/>
      <c r="O721" s="97"/>
      <c r="P721" s="97"/>
      <c r="Q721" s="97"/>
      <c r="R721" s="97"/>
      <c r="S721" s="97"/>
      <c r="T721" s="97"/>
      <c r="U721" s="97"/>
      <c r="V721" s="97"/>
      <c r="W721" s="97"/>
      <c r="X721" s="97"/>
      <c r="Y721" s="97"/>
      <c r="Z721" s="97"/>
      <c r="AA721" s="97"/>
      <c r="BP721" s="190"/>
    </row>
    <row r="722" spans="2:68" x14ac:dyDescent="0.25">
      <c r="B722" s="98" t="s">
        <v>553</v>
      </c>
      <c r="C722" s="98">
        <v>2014</v>
      </c>
      <c r="D722" s="98" t="s">
        <v>376</v>
      </c>
      <c r="E722" s="98" t="s">
        <v>16</v>
      </c>
      <c r="F722" s="98" t="s">
        <v>136</v>
      </c>
      <c r="G722" s="248">
        <v>0</v>
      </c>
      <c r="H722" s="299" t="str">
        <f>VLOOKUP(LEFT('Rev Adequacy'!D722,3),'Mapping B'!$D$2:$E$400,2,0)</f>
        <v>N</v>
      </c>
      <c r="J722" s="20"/>
      <c r="K722" s="20"/>
      <c r="L722" s="20"/>
      <c r="M722" s="20"/>
      <c r="N722" s="20"/>
      <c r="O722" s="97"/>
      <c r="P722" s="97"/>
      <c r="Q722" s="97"/>
      <c r="R722" s="97"/>
      <c r="S722" s="97"/>
      <c r="T722" s="97"/>
      <c r="U722" s="97"/>
      <c r="V722" s="97"/>
      <c r="W722" s="97"/>
      <c r="X722" s="97"/>
      <c r="Y722" s="97"/>
      <c r="Z722" s="97"/>
      <c r="AA722" s="97"/>
      <c r="BP722" s="190"/>
    </row>
    <row r="723" spans="2:68" x14ac:dyDescent="0.25">
      <c r="B723" s="98" t="s">
        <v>554</v>
      </c>
      <c r="C723" s="98">
        <v>2014</v>
      </c>
      <c r="D723" s="98" t="s">
        <v>376</v>
      </c>
      <c r="E723" s="98" t="s">
        <v>16</v>
      </c>
      <c r="F723" s="98" t="s">
        <v>136</v>
      </c>
      <c r="G723" s="98">
        <v>274837.23099999898</v>
      </c>
      <c r="H723" s="299" t="str">
        <f>VLOOKUP(LEFT('Rev Adequacy'!D723,3),'Mapping B'!$D$2:$E$400,2,0)</f>
        <v>N</v>
      </c>
      <c r="J723" s="20"/>
      <c r="K723" s="20"/>
      <c r="L723" s="20"/>
      <c r="M723" s="20"/>
      <c r="N723" s="20"/>
      <c r="O723" s="97"/>
      <c r="P723" s="97"/>
      <c r="Q723" s="97"/>
      <c r="R723" s="97"/>
      <c r="S723" s="97"/>
      <c r="T723" s="97"/>
      <c r="U723" s="97"/>
      <c r="V723" s="97"/>
      <c r="W723" s="97"/>
      <c r="X723" s="97"/>
      <c r="Y723" s="97"/>
      <c r="Z723" s="97"/>
      <c r="AA723" s="97"/>
      <c r="BP723" s="190"/>
    </row>
    <row r="724" spans="2:68" x14ac:dyDescent="0.25">
      <c r="B724" s="98" t="s">
        <v>563</v>
      </c>
      <c r="C724" s="98">
        <v>2014</v>
      </c>
      <c r="D724" s="98" t="s">
        <v>376</v>
      </c>
      <c r="E724" s="98" t="s">
        <v>16</v>
      </c>
      <c r="F724" s="98" t="s">
        <v>136</v>
      </c>
      <c r="G724" s="98">
        <v>0</v>
      </c>
      <c r="H724" s="299" t="str">
        <f>VLOOKUP(LEFT('Rev Adequacy'!D724,3),'Mapping B'!$D$2:$E$400,2,0)</f>
        <v>N</v>
      </c>
      <c r="J724" s="20"/>
      <c r="K724" s="20"/>
      <c r="L724" s="20"/>
      <c r="M724" s="20"/>
      <c r="N724" s="20"/>
      <c r="O724" s="97"/>
      <c r="P724" s="97"/>
      <c r="Q724" s="97"/>
      <c r="R724" s="97"/>
      <c r="S724" s="97"/>
      <c r="T724" s="97"/>
      <c r="U724" s="97"/>
      <c r="V724" s="97"/>
      <c r="W724" s="97"/>
      <c r="X724" s="97"/>
      <c r="Y724" s="97"/>
      <c r="Z724" s="97"/>
      <c r="AA724" s="97"/>
      <c r="BP724" s="190"/>
    </row>
    <row r="725" spans="2:68" x14ac:dyDescent="0.25">
      <c r="B725" s="98" t="s">
        <v>555</v>
      </c>
      <c r="C725" s="98">
        <v>2014</v>
      </c>
      <c r="D725" s="98" t="s">
        <v>376</v>
      </c>
      <c r="E725" s="98" t="s">
        <v>16</v>
      </c>
      <c r="F725" s="98" t="s">
        <v>136</v>
      </c>
      <c r="G725" s="98">
        <v>0</v>
      </c>
      <c r="H725" s="299" t="str">
        <f>VLOOKUP(LEFT('Rev Adequacy'!D725,3),'Mapping B'!$D$2:$E$400,2,0)</f>
        <v>N</v>
      </c>
      <c r="J725" s="20"/>
      <c r="K725" s="20"/>
      <c r="L725" s="20"/>
      <c r="M725" s="20"/>
      <c r="N725" s="20"/>
      <c r="O725" s="97"/>
      <c r="P725" s="97"/>
      <c r="Q725" s="97"/>
      <c r="R725" s="97"/>
      <c r="S725" s="97"/>
      <c r="T725" s="97"/>
      <c r="U725" s="97"/>
      <c r="V725" s="97"/>
      <c r="W725" s="97"/>
      <c r="X725" s="97"/>
      <c r="Y725" s="97"/>
      <c r="Z725" s="97"/>
      <c r="AA725" s="97"/>
      <c r="BP725" s="190"/>
    </row>
    <row r="726" spans="2:68" x14ac:dyDescent="0.25">
      <c r="B726" s="98" t="s">
        <v>112</v>
      </c>
      <c r="C726" s="98">
        <v>2014</v>
      </c>
      <c r="D726" s="98" t="s">
        <v>376</v>
      </c>
      <c r="E726" s="98" t="s">
        <v>16</v>
      </c>
      <c r="F726" s="98" t="s">
        <v>136</v>
      </c>
      <c r="G726" s="98">
        <v>0</v>
      </c>
      <c r="H726" s="299" t="str">
        <f>VLOOKUP(LEFT('Rev Adequacy'!D726,3),'Mapping B'!$D$2:$E$400,2,0)</f>
        <v>N</v>
      </c>
      <c r="J726" s="20"/>
      <c r="K726" s="20"/>
      <c r="L726" s="20"/>
      <c r="M726" s="20"/>
      <c r="N726" s="20"/>
      <c r="O726" s="97"/>
      <c r="P726" s="97"/>
      <c r="Q726" s="97"/>
      <c r="R726" s="97"/>
      <c r="S726" s="97"/>
      <c r="T726" s="97"/>
      <c r="U726" s="97"/>
      <c r="V726" s="97"/>
      <c r="W726" s="97"/>
      <c r="X726" s="97"/>
      <c r="Y726" s="97"/>
      <c r="Z726" s="97"/>
      <c r="AA726" s="97"/>
      <c r="BP726" s="190"/>
    </row>
    <row r="727" spans="2:68" x14ac:dyDescent="0.25">
      <c r="B727" s="98" t="s">
        <v>111</v>
      </c>
      <c r="C727" s="98">
        <v>2014</v>
      </c>
      <c r="D727" s="98" t="s">
        <v>376</v>
      </c>
      <c r="E727" s="98" t="s">
        <v>16</v>
      </c>
      <c r="F727" s="98" t="s">
        <v>136</v>
      </c>
      <c r="G727" s="98">
        <v>0</v>
      </c>
      <c r="H727" s="299" t="str">
        <f>VLOOKUP(LEFT('Rev Adequacy'!D727,3),'Mapping B'!$D$2:$E$400,2,0)</f>
        <v>N</v>
      </c>
      <c r="J727" s="20"/>
      <c r="K727" s="20"/>
      <c r="L727" s="20"/>
      <c r="M727" s="20"/>
      <c r="N727" s="20"/>
      <c r="O727" s="97"/>
      <c r="P727" s="97"/>
      <c r="Q727" s="97"/>
      <c r="R727" s="97"/>
      <c r="S727" s="97"/>
      <c r="T727" s="97"/>
      <c r="U727" s="97"/>
      <c r="V727" s="97"/>
      <c r="W727" s="97"/>
      <c r="X727" s="97"/>
      <c r="Y727" s="97"/>
      <c r="Z727" s="97"/>
      <c r="AA727" s="97"/>
      <c r="BP727" s="190"/>
    </row>
    <row r="728" spans="2:68" x14ac:dyDescent="0.25">
      <c r="B728" s="98" t="s">
        <v>552</v>
      </c>
      <c r="C728" s="98">
        <v>2014</v>
      </c>
      <c r="D728" s="98" t="s">
        <v>135</v>
      </c>
      <c r="E728" s="98" t="s">
        <v>17</v>
      </c>
      <c r="F728" s="98" t="s">
        <v>136</v>
      </c>
      <c r="G728" s="248">
        <v>7950.0379999999996</v>
      </c>
      <c r="H728" s="299" t="str">
        <f>VLOOKUP(LEFT('Rev Adequacy'!D728,3),'Mapping B'!$D$2:$E$400,2,0)</f>
        <v>N</v>
      </c>
      <c r="J728" s="20"/>
      <c r="K728" s="20"/>
      <c r="L728" s="20"/>
      <c r="M728" s="20"/>
      <c r="N728" s="20"/>
      <c r="O728" s="97"/>
      <c r="P728" s="97"/>
      <c r="Q728" s="97"/>
      <c r="R728" s="97"/>
      <c r="S728" s="97"/>
      <c r="T728" s="97"/>
      <c r="U728" s="97"/>
      <c r="V728" s="97"/>
      <c r="W728" s="97"/>
      <c r="X728" s="97"/>
      <c r="Y728" s="97"/>
      <c r="Z728" s="97"/>
      <c r="AA728" s="97"/>
      <c r="BP728" s="190"/>
    </row>
    <row r="729" spans="2:68" x14ac:dyDescent="0.25">
      <c r="B729" s="98" t="s">
        <v>552</v>
      </c>
      <c r="C729" s="98">
        <v>2014</v>
      </c>
      <c r="D729" s="98" t="s">
        <v>140</v>
      </c>
      <c r="E729" s="98" t="s">
        <v>17</v>
      </c>
      <c r="F729" s="98" t="s">
        <v>136</v>
      </c>
      <c r="G729" s="248">
        <v>0</v>
      </c>
      <c r="H729" s="299" t="str">
        <f>VLOOKUP(LEFT('Rev Adequacy'!D729,3),'Mapping B'!$D$2:$E$400,2,0)</f>
        <v>N</v>
      </c>
      <c r="J729" s="20"/>
      <c r="K729" s="20"/>
      <c r="L729" s="20"/>
      <c r="M729" s="20"/>
      <c r="N729" s="20"/>
      <c r="O729" s="97"/>
      <c r="P729" s="97"/>
      <c r="Q729" s="97"/>
      <c r="R729" s="97"/>
      <c r="S729" s="97"/>
      <c r="T729" s="97"/>
      <c r="U729" s="97"/>
      <c r="V729" s="97"/>
      <c r="W729" s="97"/>
      <c r="X729" s="97"/>
      <c r="Y729" s="97"/>
      <c r="Z729" s="97"/>
      <c r="AA729" s="97"/>
      <c r="BP729" s="190"/>
    </row>
    <row r="730" spans="2:68" x14ac:dyDescent="0.25">
      <c r="B730" s="98" t="s">
        <v>552</v>
      </c>
      <c r="C730" s="98">
        <v>2014</v>
      </c>
      <c r="D730" s="98" t="s">
        <v>141</v>
      </c>
      <c r="E730" s="98" t="s">
        <v>17</v>
      </c>
      <c r="F730" s="98" t="s">
        <v>136</v>
      </c>
      <c r="G730" s="248">
        <v>1596.4169999999899</v>
      </c>
      <c r="H730" s="299" t="str">
        <f>VLOOKUP(LEFT('Rev Adequacy'!D730,3),'Mapping B'!$D$2:$E$400,2,0)</f>
        <v>N</v>
      </c>
      <c r="J730" s="20"/>
      <c r="K730" s="20"/>
      <c r="L730" s="20"/>
      <c r="M730" s="20"/>
      <c r="N730" s="20"/>
      <c r="O730" s="97"/>
      <c r="P730" s="97"/>
      <c r="Q730" s="97"/>
      <c r="R730" s="97"/>
      <c r="S730" s="97"/>
      <c r="T730" s="97"/>
      <c r="U730" s="97"/>
      <c r="V730" s="97"/>
      <c r="W730" s="97"/>
      <c r="X730" s="97"/>
      <c r="Y730" s="97"/>
      <c r="Z730" s="97"/>
      <c r="AA730" s="97"/>
      <c r="BP730" s="190"/>
    </row>
    <row r="731" spans="2:68" x14ac:dyDescent="0.25">
      <c r="B731" s="98" t="s">
        <v>552</v>
      </c>
      <c r="C731" s="98">
        <v>2014</v>
      </c>
      <c r="D731" s="98" t="s">
        <v>147</v>
      </c>
      <c r="E731" s="98" t="s">
        <v>17</v>
      </c>
      <c r="F731" s="98" t="s">
        <v>136</v>
      </c>
      <c r="G731" s="248">
        <v>3277.0829999999801</v>
      </c>
      <c r="H731" s="299" t="str">
        <f>VLOOKUP(LEFT('Rev Adequacy'!D731,3),'Mapping B'!$D$2:$E$400,2,0)</f>
        <v>N</v>
      </c>
      <c r="J731" s="20"/>
      <c r="K731" s="20"/>
      <c r="L731" s="20"/>
      <c r="M731" s="20"/>
      <c r="N731" s="20"/>
      <c r="O731" s="97"/>
      <c r="P731" s="97"/>
      <c r="Q731" s="97"/>
      <c r="R731" s="97"/>
      <c r="S731" s="97"/>
      <c r="T731" s="97"/>
      <c r="U731" s="97"/>
      <c r="V731" s="97"/>
      <c r="W731" s="97"/>
      <c r="X731" s="97"/>
      <c r="Y731" s="97"/>
      <c r="Z731" s="97"/>
      <c r="AA731" s="97"/>
      <c r="BP731" s="190"/>
    </row>
    <row r="732" spans="2:68" x14ac:dyDescent="0.25">
      <c r="B732" s="98" t="s">
        <v>552</v>
      </c>
      <c r="C732" s="98">
        <v>2014</v>
      </c>
      <c r="D732" s="98" t="s">
        <v>432</v>
      </c>
      <c r="E732" s="98" t="s">
        <v>17</v>
      </c>
      <c r="F732" s="98" t="s">
        <v>136</v>
      </c>
      <c r="G732" s="248">
        <v>0</v>
      </c>
      <c r="H732" s="299" t="str">
        <f>VLOOKUP(LEFT('Rev Adequacy'!D732,3),'Mapping B'!$D$2:$E$400,2,0)</f>
        <v>N</v>
      </c>
      <c r="J732" s="20"/>
      <c r="K732" s="20"/>
      <c r="L732" s="20"/>
      <c r="M732" s="20"/>
      <c r="N732" s="20"/>
      <c r="O732" s="97"/>
      <c r="P732" s="97"/>
      <c r="Q732" s="97"/>
      <c r="R732" s="97"/>
      <c r="S732" s="97"/>
      <c r="T732" s="97"/>
      <c r="U732" s="97"/>
      <c r="V732" s="97"/>
      <c r="W732" s="97"/>
      <c r="X732" s="97"/>
      <c r="Y732" s="97"/>
      <c r="Z732" s="97"/>
      <c r="AA732" s="97"/>
      <c r="BP732" s="190"/>
    </row>
    <row r="733" spans="2:68" x14ac:dyDescent="0.25">
      <c r="B733" s="98" t="s">
        <v>552</v>
      </c>
      <c r="C733" s="98">
        <v>2014</v>
      </c>
      <c r="D733" s="98" t="s">
        <v>239</v>
      </c>
      <c r="E733" s="98" t="s">
        <v>17</v>
      </c>
      <c r="F733" s="98" t="s">
        <v>136</v>
      </c>
      <c r="G733" s="248">
        <v>1373.4770000000599</v>
      </c>
      <c r="H733" s="299" t="str">
        <f>VLOOKUP(LEFT('Rev Adequacy'!D733,3),'Mapping B'!$D$2:$E$400,2,0)</f>
        <v>N</v>
      </c>
      <c r="J733" s="20"/>
      <c r="K733" s="20"/>
      <c r="L733" s="20"/>
      <c r="M733" s="20"/>
      <c r="N733" s="20"/>
      <c r="O733" s="97"/>
      <c r="P733" s="97"/>
      <c r="Q733" s="97"/>
      <c r="R733" s="97"/>
      <c r="S733" s="97"/>
      <c r="T733" s="97"/>
      <c r="U733" s="97"/>
      <c r="V733" s="97"/>
      <c r="W733" s="97"/>
      <c r="X733" s="97"/>
      <c r="Y733" s="97"/>
      <c r="Z733" s="97"/>
      <c r="AA733" s="97"/>
      <c r="BP733" s="190"/>
    </row>
    <row r="734" spans="2:68" x14ac:dyDescent="0.25">
      <c r="B734" s="98" t="s">
        <v>552</v>
      </c>
      <c r="C734" s="98">
        <v>2014</v>
      </c>
      <c r="D734" s="98" t="s">
        <v>267</v>
      </c>
      <c r="E734" s="98" t="s">
        <v>17</v>
      </c>
      <c r="F734" s="98" t="s">
        <v>136</v>
      </c>
      <c r="G734" s="248">
        <v>9618.0990000000093</v>
      </c>
      <c r="H734" s="299" t="str">
        <f>VLOOKUP(LEFT('Rev Adequacy'!D734,3),'Mapping B'!$D$2:$E$400,2,0)</f>
        <v>N</v>
      </c>
      <c r="J734" s="20"/>
      <c r="K734" s="20"/>
      <c r="L734" s="20"/>
      <c r="M734" s="20"/>
      <c r="N734" s="20"/>
      <c r="O734" s="97"/>
      <c r="P734" s="97"/>
      <c r="Q734" s="97"/>
      <c r="R734" s="97"/>
      <c r="S734" s="97"/>
      <c r="T734" s="97"/>
      <c r="U734" s="97"/>
      <c r="V734" s="97"/>
      <c r="W734" s="97"/>
      <c r="X734" s="97"/>
      <c r="Y734" s="97"/>
      <c r="Z734" s="97"/>
      <c r="AA734" s="97"/>
      <c r="BP734" s="190"/>
    </row>
    <row r="735" spans="2:68" x14ac:dyDescent="0.25">
      <c r="B735" s="98" t="s">
        <v>552</v>
      </c>
      <c r="C735" s="98">
        <v>2014</v>
      </c>
      <c r="D735" s="98" t="s">
        <v>274</v>
      </c>
      <c r="E735" s="98" t="s">
        <v>17</v>
      </c>
      <c r="F735" s="98" t="s">
        <v>131</v>
      </c>
      <c r="G735" s="248">
        <v>0</v>
      </c>
      <c r="H735" s="299" t="str">
        <f>VLOOKUP(LEFT('Rev Adequacy'!D735,3),'Mapping B'!$D$2:$E$400,2,0)</f>
        <v>N</v>
      </c>
      <c r="J735" s="20"/>
      <c r="K735" s="20"/>
      <c r="L735" s="20"/>
      <c r="M735" s="20"/>
      <c r="N735" s="20"/>
      <c r="O735" s="97"/>
      <c r="P735" s="97"/>
      <c r="Q735" s="97"/>
      <c r="R735" s="97"/>
      <c r="S735" s="97"/>
      <c r="T735" s="97"/>
      <c r="U735" s="97"/>
      <c r="V735" s="97"/>
      <c r="W735" s="97"/>
      <c r="X735" s="97"/>
      <c r="Y735" s="97"/>
      <c r="Z735" s="97"/>
      <c r="AA735" s="97"/>
      <c r="BP735" s="190"/>
    </row>
    <row r="736" spans="2:68" x14ac:dyDescent="0.25">
      <c r="B736" s="98" t="s">
        <v>552</v>
      </c>
      <c r="C736" s="98">
        <v>2014</v>
      </c>
      <c r="D736" s="98" t="s">
        <v>286</v>
      </c>
      <c r="E736" s="98" t="s">
        <v>17</v>
      </c>
      <c r="F736" s="98" t="s">
        <v>136</v>
      </c>
      <c r="G736" s="248">
        <v>3939.9590000000198</v>
      </c>
      <c r="H736" s="299" t="str">
        <f>VLOOKUP(LEFT('Rev Adequacy'!D736,3),'Mapping B'!$D$2:$E$400,2,0)</f>
        <v>N</v>
      </c>
      <c r="J736" s="20"/>
      <c r="K736" s="20"/>
      <c r="L736" s="20"/>
      <c r="M736" s="20"/>
      <c r="N736" s="20"/>
      <c r="O736" s="97"/>
      <c r="P736" s="97"/>
      <c r="Q736" s="97"/>
      <c r="R736" s="97"/>
      <c r="S736" s="97"/>
      <c r="T736" s="97"/>
      <c r="U736" s="97"/>
      <c r="V736" s="97"/>
      <c r="W736" s="97"/>
      <c r="X736" s="97"/>
      <c r="Y736" s="97"/>
      <c r="Z736" s="97"/>
      <c r="AA736" s="97"/>
      <c r="BP736" s="190"/>
    </row>
    <row r="737" spans="2:68" x14ac:dyDescent="0.25">
      <c r="B737" s="98" t="s">
        <v>552</v>
      </c>
      <c r="C737" s="98">
        <v>2014</v>
      </c>
      <c r="D737" s="98" t="s">
        <v>330</v>
      </c>
      <c r="E737" s="98" t="s">
        <v>17</v>
      </c>
      <c r="F737" s="98" t="s">
        <v>131</v>
      </c>
      <c r="G737" s="248">
        <v>271.77099999999899</v>
      </c>
      <c r="H737" s="299" t="str">
        <f>VLOOKUP(LEFT('Rev Adequacy'!D737,3),'Mapping B'!$D$2:$E$400,2,0)</f>
        <v>N</v>
      </c>
      <c r="J737" s="20"/>
      <c r="K737" s="20"/>
      <c r="L737" s="20"/>
      <c r="M737" s="20"/>
      <c r="N737" s="20"/>
      <c r="O737" s="97"/>
      <c r="P737" s="97"/>
      <c r="Q737" s="97"/>
      <c r="R737" s="97"/>
      <c r="S737" s="97"/>
      <c r="T737" s="97"/>
      <c r="U737" s="97"/>
      <c r="V737" s="97"/>
      <c r="W737" s="97"/>
      <c r="X737" s="97"/>
      <c r="Y737" s="97"/>
      <c r="Z737" s="97"/>
      <c r="AA737" s="97"/>
      <c r="BP737" s="190"/>
    </row>
    <row r="738" spans="2:68" x14ac:dyDescent="0.25">
      <c r="B738" s="98" t="s">
        <v>552</v>
      </c>
      <c r="C738" s="98">
        <v>2014</v>
      </c>
      <c r="D738" s="98" t="s">
        <v>331</v>
      </c>
      <c r="E738" s="98" t="s">
        <v>17</v>
      </c>
      <c r="F738" s="98" t="s">
        <v>136</v>
      </c>
      <c r="G738" s="248">
        <v>0</v>
      </c>
      <c r="H738" s="299" t="str">
        <f>VLOOKUP(LEFT('Rev Adequacy'!D738,3),'Mapping B'!$D$2:$E$400,2,0)</f>
        <v>N</v>
      </c>
      <c r="J738" s="20"/>
      <c r="K738" s="20"/>
      <c r="L738" s="20"/>
      <c r="M738" s="20"/>
      <c r="N738" s="20"/>
      <c r="O738" s="97"/>
      <c r="P738" s="97"/>
      <c r="Q738" s="97"/>
      <c r="R738" s="97"/>
      <c r="S738" s="97"/>
      <c r="T738" s="97"/>
      <c r="U738" s="97"/>
      <c r="V738" s="97"/>
      <c r="W738" s="97"/>
      <c r="X738" s="97"/>
      <c r="Y738" s="97"/>
      <c r="Z738" s="97"/>
      <c r="AA738" s="97"/>
      <c r="BP738" s="190"/>
    </row>
    <row r="739" spans="2:68" x14ac:dyDescent="0.25">
      <c r="B739" s="98" t="s">
        <v>552</v>
      </c>
      <c r="C739" s="98">
        <v>2014</v>
      </c>
      <c r="D739" s="98" t="s">
        <v>377</v>
      </c>
      <c r="E739" s="98" t="s">
        <v>17</v>
      </c>
      <c r="F739" s="98" t="s">
        <v>136</v>
      </c>
      <c r="G739" s="248">
        <v>2343.84599999996</v>
      </c>
      <c r="H739" s="299" t="str">
        <f>VLOOKUP(LEFT('Rev Adequacy'!D739,3),'Mapping B'!$D$2:$E$400,2,0)</f>
        <v>N</v>
      </c>
      <c r="J739" s="20"/>
      <c r="K739" s="20"/>
      <c r="L739" s="20"/>
      <c r="M739" s="20"/>
      <c r="N739" s="20"/>
      <c r="O739" s="97"/>
      <c r="P739" s="97"/>
      <c r="Q739" s="97"/>
      <c r="R739" s="97"/>
      <c r="S739" s="97"/>
      <c r="T739" s="97"/>
      <c r="U739" s="97"/>
      <c r="V739" s="97"/>
      <c r="W739" s="97"/>
      <c r="X739" s="97"/>
      <c r="Y739" s="97"/>
      <c r="Z739" s="97"/>
      <c r="AA739" s="97"/>
      <c r="BP739" s="190"/>
    </row>
    <row r="740" spans="2:68" x14ac:dyDescent="0.25">
      <c r="B740" s="98" t="s">
        <v>552</v>
      </c>
      <c r="C740" s="98">
        <v>2014</v>
      </c>
      <c r="D740" s="98" t="s">
        <v>379</v>
      </c>
      <c r="E740" s="98" t="s">
        <v>17</v>
      </c>
      <c r="F740" s="98" t="s">
        <v>136</v>
      </c>
      <c r="G740" s="248">
        <v>1739.9639999999999</v>
      </c>
      <c r="H740" s="299" t="str">
        <f>VLOOKUP(LEFT('Rev Adequacy'!D740,3),'Mapping B'!$D$2:$E$400,2,0)</f>
        <v>N</v>
      </c>
      <c r="J740" s="20"/>
      <c r="K740" s="20"/>
      <c r="L740" s="20"/>
      <c r="M740" s="20"/>
      <c r="N740" s="20"/>
      <c r="O740" s="97"/>
      <c r="P740" s="97"/>
      <c r="Q740" s="97"/>
      <c r="R740" s="97"/>
      <c r="S740" s="97"/>
      <c r="T740" s="97"/>
      <c r="U740" s="97"/>
      <c r="V740" s="97"/>
      <c r="W740" s="97"/>
      <c r="X740" s="97"/>
      <c r="Y740" s="97"/>
      <c r="Z740" s="97"/>
      <c r="AA740" s="97"/>
      <c r="BP740" s="190"/>
    </row>
    <row r="741" spans="2:68" x14ac:dyDescent="0.25">
      <c r="B741" s="98" t="s">
        <v>552</v>
      </c>
      <c r="C741" s="98">
        <v>2014</v>
      </c>
      <c r="D741" s="98" t="s">
        <v>386</v>
      </c>
      <c r="E741" s="98" t="s">
        <v>17</v>
      </c>
      <c r="F741" s="98" t="s">
        <v>136</v>
      </c>
      <c r="G741" s="248">
        <v>1200.5409999999999</v>
      </c>
      <c r="H741" s="299" t="str">
        <f>VLOOKUP(LEFT('Rev Adequacy'!D741,3),'Mapping B'!$D$2:$E$400,2,0)</f>
        <v>N</v>
      </c>
      <c r="J741" s="20"/>
      <c r="K741" s="20"/>
      <c r="L741" s="20"/>
      <c r="M741" s="20"/>
      <c r="N741" s="20"/>
      <c r="O741" s="97"/>
      <c r="P741" s="97"/>
      <c r="Q741" s="97"/>
      <c r="R741" s="97"/>
      <c r="S741" s="97"/>
      <c r="T741" s="97"/>
      <c r="U741" s="97"/>
      <c r="V741" s="97"/>
      <c r="W741" s="97"/>
      <c r="X741" s="97"/>
      <c r="Y741" s="97"/>
      <c r="Z741" s="97"/>
      <c r="AA741" s="97"/>
      <c r="BP741" s="190"/>
    </row>
    <row r="742" spans="2:68" x14ac:dyDescent="0.25">
      <c r="B742" s="98" t="s">
        <v>553</v>
      </c>
      <c r="C742" s="98">
        <v>2014</v>
      </c>
      <c r="D742" s="98" t="s">
        <v>135</v>
      </c>
      <c r="E742" s="98" t="s">
        <v>17</v>
      </c>
      <c r="F742" s="98" t="s">
        <v>136</v>
      </c>
      <c r="G742" s="248">
        <v>0</v>
      </c>
      <c r="H742" s="299" t="str">
        <f>VLOOKUP(LEFT('Rev Adequacy'!D742,3),'Mapping B'!$D$2:$E$400,2,0)</f>
        <v>N</v>
      </c>
      <c r="J742" s="20"/>
      <c r="K742" s="20"/>
      <c r="L742" s="20"/>
      <c r="M742" s="20"/>
      <c r="N742" s="20"/>
      <c r="O742" s="97"/>
      <c r="P742" s="97"/>
      <c r="Q742" s="97"/>
      <c r="R742" s="97"/>
      <c r="S742" s="97"/>
      <c r="T742" s="97"/>
      <c r="U742" s="97"/>
      <c r="V742" s="97"/>
      <c r="W742" s="97"/>
      <c r="X742" s="97"/>
      <c r="Y742" s="97"/>
      <c r="Z742" s="97"/>
      <c r="AA742" s="97"/>
      <c r="BP742" s="190"/>
    </row>
    <row r="743" spans="2:68" x14ac:dyDescent="0.25">
      <c r="B743" s="98" t="s">
        <v>553</v>
      </c>
      <c r="C743" s="98">
        <v>2014</v>
      </c>
      <c r="D743" s="98" t="s">
        <v>140</v>
      </c>
      <c r="E743" s="98" t="s">
        <v>17</v>
      </c>
      <c r="F743" s="98" t="s">
        <v>136</v>
      </c>
      <c r="G743" s="248">
        <v>0</v>
      </c>
      <c r="H743" s="299" t="str">
        <f>VLOOKUP(LEFT('Rev Adequacy'!D743,3),'Mapping B'!$D$2:$E$400,2,0)</f>
        <v>N</v>
      </c>
      <c r="J743" s="20"/>
      <c r="K743" s="20"/>
      <c r="L743" s="20"/>
      <c r="M743" s="20"/>
      <c r="N743" s="20"/>
      <c r="O743" s="97"/>
      <c r="P743" s="97"/>
      <c r="Q743" s="97"/>
      <c r="R743" s="97"/>
      <c r="S743" s="97"/>
      <c r="T743" s="97"/>
      <c r="U743" s="97"/>
      <c r="V743" s="97"/>
      <c r="W743" s="97"/>
      <c r="X743" s="97"/>
      <c r="Y743" s="97"/>
      <c r="Z743" s="97"/>
      <c r="AA743" s="97"/>
      <c r="BP743" s="190"/>
    </row>
    <row r="744" spans="2:68" x14ac:dyDescent="0.25">
      <c r="B744" s="98" t="s">
        <v>553</v>
      </c>
      <c r="C744" s="98">
        <v>2014</v>
      </c>
      <c r="D744" s="98" t="s">
        <v>141</v>
      </c>
      <c r="E744" s="98" t="s">
        <v>17</v>
      </c>
      <c r="F744" s="98" t="s">
        <v>136</v>
      </c>
      <c r="G744" s="248">
        <v>0</v>
      </c>
      <c r="H744" s="299" t="str">
        <f>VLOOKUP(LEFT('Rev Adequacy'!D744,3),'Mapping B'!$D$2:$E$400,2,0)</f>
        <v>N</v>
      </c>
      <c r="J744" s="20"/>
      <c r="K744" s="20"/>
      <c r="L744" s="20"/>
      <c r="M744" s="20"/>
      <c r="N744" s="20"/>
      <c r="O744" s="97"/>
      <c r="P744" s="97"/>
      <c r="Q744" s="97"/>
      <c r="R744" s="97"/>
      <c r="S744" s="97"/>
      <c r="T744" s="97"/>
      <c r="U744" s="97"/>
      <c r="V744" s="97"/>
      <c r="W744" s="97"/>
      <c r="X744" s="97"/>
      <c r="Y744" s="97"/>
      <c r="Z744" s="97"/>
      <c r="AA744" s="97"/>
      <c r="BP744" s="190"/>
    </row>
    <row r="745" spans="2:68" x14ac:dyDescent="0.25">
      <c r="B745" s="98" t="s">
        <v>553</v>
      </c>
      <c r="C745" s="98">
        <v>2014</v>
      </c>
      <c r="D745" s="98" t="s">
        <v>147</v>
      </c>
      <c r="E745" s="98" t="s">
        <v>17</v>
      </c>
      <c r="F745" s="98" t="s">
        <v>136</v>
      </c>
      <c r="G745" s="248">
        <v>0</v>
      </c>
      <c r="H745" s="299" t="str">
        <f>VLOOKUP(LEFT('Rev Adequacy'!D745,3),'Mapping B'!$D$2:$E$400,2,0)</f>
        <v>N</v>
      </c>
      <c r="J745" s="20"/>
      <c r="K745" s="20"/>
      <c r="L745" s="20"/>
      <c r="M745" s="20"/>
      <c r="N745" s="20"/>
      <c r="O745" s="97"/>
      <c r="P745" s="97"/>
      <c r="Q745" s="97"/>
      <c r="R745" s="97"/>
      <c r="S745" s="97"/>
      <c r="T745" s="97"/>
      <c r="U745" s="97"/>
      <c r="V745" s="97"/>
      <c r="W745" s="97"/>
      <c r="X745" s="97"/>
      <c r="Y745" s="97"/>
      <c r="Z745" s="97"/>
      <c r="AA745" s="97"/>
      <c r="BP745" s="190"/>
    </row>
    <row r="746" spans="2:68" x14ac:dyDescent="0.25">
      <c r="B746" s="98" t="s">
        <v>553</v>
      </c>
      <c r="C746" s="98">
        <v>2014</v>
      </c>
      <c r="D746" s="98" t="s">
        <v>432</v>
      </c>
      <c r="E746" s="98" t="s">
        <v>17</v>
      </c>
      <c r="F746" s="98" t="s">
        <v>136</v>
      </c>
      <c r="G746" s="248">
        <v>0</v>
      </c>
      <c r="H746" s="299" t="str">
        <f>VLOOKUP(LEFT('Rev Adequacy'!D746,3),'Mapping B'!$D$2:$E$400,2,0)</f>
        <v>N</v>
      </c>
      <c r="J746" s="20"/>
      <c r="K746" s="20"/>
      <c r="L746" s="20"/>
      <c r="M746" s="20"/>
      <c r="N746" s="20"/>
      <c r="O746" s="97"/>
      <c r="P746" s="97"/>
      <c r="Q746" s="97"/>
      <c r="R746" s="97"/>
      <c r="S746" s="97"/>
      <c r="T746" s="97"/>
      <c r="U746" s="97"/>
      <c r="V746" s="97"/>
      <c r="W746" s="97"/>
      <c r="X746" s="97"/>
      <c r="Y746" s="97"/>
      <c r="Z746" s="97"/>
      <c r="AA746" s="97"/>
      <c r="BP746" s="190"/>
    </row>
    <row r="747" spans="2:68" x14ac:dyDescent="0.25">
      <c r="B747" s="98" t="s">
        <v>553</v>
      </c>
      <c r="C747" s="98">
        <v>2014</v>
      </c>
      <c r="D747" s="98" t="s">
        <v>239</v>
      </c>
      <c r="E747" s="98" t="s">
        <v>17</v>
      </c>
      <c r="F747" s="98" t="s">
        <v>136</v>
      </c>
      <c r="G747" s="248">
        <v>0</v>
      </c>
      <c r="H747" s="299" t="str">
        <f>VLOOKUP(LEFT('Rev Adequacy'!D747,3),'Mapping B'!$D$2:$E$400,2,0)</f>
        <v>N</v>
      </c>
      <c r="J747" s="20"/>
      <c r="K747" s="20"/>
      <c r="L747" s="20"/>
      <c r="M747" s="20"/>
      <c r="N747" s="20"/>
      <c r="O747" s="97"/>
      <c r="P747" s="97"/>
      <c r="Q747" s="97"/>
      <c r="R747" s="97"/>
      <c r="S747" s="97"/>
      <c r="T747" s="97"/>
      <c r="U747" s="97"/>
      <c r="V747" s="97"/>
      <c r="W747" s="97"/>
      <c r="X747" s="97"/>
      <c r="Y747" s="97"/>
      <c r="Z747" s="97"/>
      <c r="AA747" s="97"/>
      <c r="BP747" s="190"/>
    </row>
    <row r="748" spans="2:68" x14ac:dyDescent="0.25">
      <c r="B748" s="98" t="s">
        <v>553</v>
      </c>
      <c r="C748" s="98">
        <v>2014</v>
      </c>
      <c r="D748" s="98" t="s">
        <v>267</v>
      </c>
      <c r="E748" s="98" t="s">
        <v>17</v>
      </c>
      <c r="F748" s="98" t="s">
        <v>136</v>
      </c>
      <c r="G748" s="248">
        <v>0</v>
      </c>
      <c r="H748" s="299" t="str">
        <f>VLOOKUP(LEFT('Rev Adequacy'!D748,3),'Mapping B'!$D$2:$E$400,2,0)</f>
        <v>N</v>
      </c>
      <c r="J748" s="20"/>
      <c r="K748" s="20"/>
      <c r="L748" s="20"/>
      <c r="M748" s="20"/>
      <c r="N748" s="20"/>
      <c r="O748" s="97"/>
      <c r="P748" s="97"/>
      <c r="Q748" s="97"/>
      <c r="R748" s="97"/>
      <c r="S748" s="97"/>
      <c r="T748" s="97"/>
      <c r="U748" s="97"/>
      <c r="V748" s="97"/>
      <c r="W748" s="97"/>
      <c r="X748" s="97"/>
      <c r="Y748" s="97"/>
      <c r="Z748" s="97"/>
      <c r="AA748" s="97"/>
      <c r="BP748" s="190"/>
    </row>
    <row r="749" spans="2:68" x14ac:dyDescent="0.25">
      <c r="B749" s="98" t="s">
        <v>553</v>
      </c>
      <c r="C749" s="98">
        <v>2014</v>
      </c>
      <c r="D749" s="98" t="s">
        <v>274</v>
      </c>
      <c r="E749" s="98" t="s">
        <v>17</v>
      </c>
      <c r="F749" s="98" t="s">
        <v>131</v>
      </c>
      <c r="G749" s="248">
        <v>4.2130000000000001</v>
      </c>
      <c r="H749" s="299" t="str">
        <f>VLOOKUP(LEFT('Rev Adequacy'!D749,3),'Mapping B'!$D$2:$E$400,2,0)</f>
        <v>N</v>
      </c>
      <c r="J749" s="20"/>
      <c r="K749" s="20"/>
      <c r="L749" s="20"/>
      <c r="M749" s="20"/>
      <c r="N749" s="20"/>
      <c r="O749" s="97"/>
      <c r="P749" s="97"/>
      <c r="Q749" s="97"/>
      <c r="R749" s="97"/>
      <c r="S749" s="97"/>
      <c r="T749" s="97"/>
      <c r="U749" s="97"/>
      <c r="V749" s="97"/>
      <c r="W749" s="97"/>
      <c r="X749" s="97"/>
      <c r="Y749" s="97"/>
      <c r="Z749" s="97"/>
      <c r="AA749" s="97"/>
      <c r="BP749" s="190"/>
    </row>
    <row r="750" spans="2:68" x14ac:dyDescent="0.25">
      <c r="B750" s="98" t="s">
        <v>553</v>
      </c>
      <c r="C750" s="98">
        <v>2014</v>
      </c>
      <c r="D750" s="98" t="s">
        <v>286</v>
      </c>
      <c r="E750" s="98" t="s">
        <v>17</v>
      </c>
      <c r="F750" s="98" t="s">
        <v>136</v>
      </c>
      <c r="G750" s="248">
        <v>0</v>
      </c>
      <c r="H750" s="299" t="str">
        <f>VLOOKUP(LEFT('Rev Adequacy'!D750,3),'Mapping B'!$D$2:$E$400,2,0)</f>
        <v>N</v>
      </c>
      <c r="J750" s="20"/>
      <c r="K750" s="20"/>
      <c r="L750" s="20"/>
      <c r="M750" s="20"/>
      <c r="N750" s="20"/>
      <c r="O750" s="97"/>
      <c r="P750" s="97"/>
      <c r="Q750" s="97"/>
      <c r="R750" s="97"/>
      <c r="S750" s="97"/>
      <c r="T750" s="97"/>
      <c r="U750" s="97"/>
      <c r="V750" s="97"/>
      <c r="W750" s="97"/>
      <c r="X750" s="97"/>
      <c r="Y750" s="97"/>
      <c r="Z750" s="97"/>
      <c r="AA750" s="97"/>
      <c r="BP750" s="190"/>
    </row>
    <row r="751" spans="2:68" x14ac:dyDescent="0.25">
      <c r="B751" s="98" t="s">
        <v>553</v>
      </c>
      <c r="C751" s="98">
        <v>2014</v>
      </c>
      <c r="D751" s="98" t="s">
        <v>330</v>
      </c>
      <c r="E751" s="98" t="s">
        <v>17</v>
      </c>
      <c r="F751" s="98" t="s">
        <v>131</v>
      </c>
      <c r="G751" s="248">
        <v>1609.8410000000199</v>
      </c>
      <c r="H751" s="299" t="str">
        <f>VLOOKUP(LEFT('Rev Adequacy'!D751,3),'Mapping B'!$D$2:$E$400,2,0)</f>
        <v>N</v>
      </c>
      <c r="J751" s="20"/>
      <c r="K751" s="20"/>
      <c r="L751" s="20"/>
      <c r="M751" s="20"/>
      <c r="N751" s="20"/>
      <c r="O751" s="97"/>
      <c r="P751" s="97"/>
      <c r="Q751" s="97"/>
      <c r="R751" s="97"/>
      <c r="S751" s="97"/>
      <c r="T751" s="97"/>
      <c r="U751" s="97"/>
      <c r="V751" s="97"/>
      <c r="W751" s="97"/>
      <c r="X751" s="97"/>
      <c r="Y751" s="97"/>
      <c r="Z751" s="97"/>
      <c r="AA751" s="97"/>
      <c r="BP751" s="190"/>
    </row>
    <row r="752" spans="2:68" x14ac:dyDescent="0.25">
      <c r="B752" s="98" t="s">
        <v>553</v>
      </c>
      <c r="C752" s="98">
        <v>2014</v>
      </c>
      <c r="D752" s="98" t="s">
        <v>331</v>
      </c>
      <c r="E752" s="98" t="s">
        <v>17</v>
      </c>
      <c r="F752" s="98" t="s">
        <v>136</v>
      </c>
      <c r="G752" s="248">
        <v>0</v>
      </c>
      <c r="H752" s="299" t="str">
        <f>VLOOKUP(LEFT('Rev Adequacy'!D752,3),'Mapping B'!$D$2:$E$400,2,0)</f>
        <v>N</v>
      </c>
      <c r="J752" s="20"/>
      <c r="K752" s="20"/>
      <c r="L752" s="20"/>
      <c r="M752" s="20"/>
      <c r="N752" s="20"/>
      <c r="O752" s="97"/>
      <c r="P752" s="97"/>
      <c r="Q752" s="97"/>
      <c r="R752" s="97"/>
      <c r="S752" s="97"/>
      <c r="T752" s="97"/>
      <c r="U752" s="97"/>
      <c r="V752" s="97"/>
      <c r="W752" s="97"/>
      <c r="X752" s="97"/>
      <c r="Y752" s="97"/>
      <c r="Z752" s="97"/>
      <c r="AA752" s="97"/>
      <c r="BP752" s="190"/>
    </row>
    <row r="753" spans="2:68" x14ac:dyDescent="0.25">
      <c r="B753" s="98" t="s">
        <v>553</v>
      </c>
      <c r="C753" s="98">
        <v>2014</v>
      </c>
      <c r="D753" s="98" t="s">
        <v>377</v>
      </c>
      <c r="E753" s="98" t="s">
        <v>17</v>
      </c>
      <c r="F753" s="98" t="s">
        <v>136</v>
      </c>
      <c r="G753" s="248">
        <v>0</v>
      </c>
      <c r="H753" s="299" t="str">
        <f>VLOOKUP(LEFT('Rev Adequacy'!D753,3),'Mapping B'!$D$2:$E$400,2,0)</f>
        <v>N</v>
      </c>
      <c r="J753" s="20"/>
      <c r="K753" s="20"/>
      <c r="L753" s="20"/>
      <c r="M753" s="20"/>
      <c r="N753" s="20"/>
      <c r="O753" s="97"/>
      <c r="P753" s="97"/>
      <c r="Q753" s="97"/>
      <c r="R753" s="97"/>
      <c r="S753" s="97"/>
      <c r="T753" s="97"/>
      <c r="U753" s="97"/>
      <c r="V753" s="97"/>
      <c r="W753" s="97"/>
      <c r="X753" s="97"/>
      <c r="Y753" s="97"/>
      <c r="Z753" s="97"/>
      <c r="AA753" s="97"/>
      <c r="BP753" s="190"/>
    </row>
    <row r="754" spans="2:68" x14ac:dyDescent="0.25">
      <c r="B754" s="98" t="s">
        <v>553</v>
      </c>
      <c r="C754" s="98">
        <v>2014</v>
      </c>
      <c r="D754" s="98" t="s">
        <v>379</v>
      </c>
      <c r="E754" s="98" t="s">
        <v>17</v>
      </c>
      <c r="F754" s="98" t="s">
        <v>136</v>
      </c>
      <c r="G754" s="248">
        <v>0</v>
      </c>
      <c r="H754" s="299" t="str">
        <f>VLOOKUP(LEFT('Rev Adequacy'!D754,3),'Mapping B'!$D$2:$E$400,2,0)</f>
        <v>N</v>
      </c>
      <c r="J754" s="20"/>
      <c r="K754" s="20"/>
      <c r="L754" s="20"/>
      <c r="M754" s="20"/>
      <c r="N754" s="20"/>
      <c r="O754" s="97"/>
      <c r="P754" s="97"/>
      <c r="Q754" s="97"/>
      <c r="R754" s="97"/>
      <c r="S754" s="97"/>
      <c r="T754" s="97"/>
      <c r="U754" s="97"/>
      <c r="V754" s="97"/>
      <c r="W754" s="97"/>
      <c r="X754" s="97"/>
      <c r="Y754" s="97"/>
      <c r="Z754" s="97"/>
      <c r="AA754" s="97"/>
      <c r="BP754" s="190"/>
    </row>
    <row r="755" spans="2:68" x14ac:dyDescent="0.25">
      <c r="B755" s="98" t="s">
        <v>553</v>
      </c>
      <c r="C755" s="98">
        <v>2014</v>
      </c>
      <c r="D755" s="98" t="s">
        <v>386</v>
      </c>
      <c r="E755" s="98" t="s">
        <v>17</v>
      </c>
      <c r="F755" s="98" t="s">
        <v>136</v>
      </c>
      <c r="G755" s="248">
        <v>0</v>
      </c>
      <c r="H755" s="299" t="str">
        <f>VLOOKUP(LEFT('Rev Adequacy'!D755,3),'Mapping B'!$D$2:$E$400,2,0)</f>
        <v>N</v>
      </c>
      <c r="J755" s="20"/>
      <c r="K755" s="20"/>
      <c r="L755" s="20"/>
      <c r="M755" s="20"/>
      <c r="N755" s="20"/>
      <c r="O755" s="97"/>
      <c r="P755" s="97"/>
      <c r="Q755" s="97"/>
      <c r="R755" s="97"/>
      <c r="S755" s="97"/>
      <c r="T755" s="97"/>
      <c r="U755" s="97"/>
      <c r="V755" s="97"/>
      <c r="W755" s="97"/>
      <c r="X755" s="97"/>
      <c r="Y755" s="97"/>
      <c r="Z755" s="97"/>
      <c r="AA755" s="97"/>
      <c r="BP755" s="190"/>
    </row>
    <row r="756" spans="2:68" x14ac:dyDescent="0.25">
      <c r="B756" s="98" t="s">
        <v>554</v>
      </c>
      <c r="C756" s="98">
        <v>2014</v>
      </c>
      <c r="D756" s="98" t="s">
        <v>135</v>
      </c>
      <c r="E756" s="98" t="s">
        <v>17</v>
      </c>
      <c r="F756" s="98" t="s">
        <v>136</v>
      </c>
      <c r="G756" s="248">
        <v>446618.51500000001</v>
      </c>
      <c r="H756" s="299" t="str">
        <f>VLOOKUP(LEFT('Rev Adequacy'!D756,3),'Mapping B'!$D$2:$E$400,2,0)</f>
        <v>N</v>
      </c>
      <c r="J756" s="20"/>
      <c r="K756" s="20"/>
      <c r="L756" s="20"/>
      <c r="M756" s="20"/>
      <c r="N756" s="20"/>
      <c r="O756" s="97"/>
      <c r="P756" s="97"/>
      <c r="Q756" s="97"/>
      <c r="R756" s="97"/>
      <c r="S756" s="97"/>
      <c r="T756" s="97"/>
      <c r="U756" s="97"/>
      <c r="V756" s="97"/>
      <c r="W756" s="97"/>
      <c r="X756" s="97"/>
      <c r="Y756" s="97"/>
      <c r="Z756" s="97"/>
      <c r="AA756" s="97"/>
      <c r="BP756" s="190"/>
    </row>
    <row r="757" spans="2:68" x14ac:dyDescent="0.25">
      <c r="B757" s="98" t="s">
        <v>554</v>
      </c>
      <c r="C757" s="98">
        <v>2014</v>
      </c>
      <c r="D757" s="98" t="s">
        <v>140</v>
      </c>
      <c r="E757" s="98" t="s">
        <v>17</v>
      </c>
      <c r="F757" s="98" t="s">
        <v>136</v>
      </c>
      <c r="G757" s="249">
        <v>0</v>
      </c>
      <c r="H757" s="299" t="str">
        <f>VLOOKUP(LEFT('Rev Adequacy'!D757,3),'Mapping B'!$D$2:$E$400,2,0)</f>
        <v>N</v>
      </c>
      <c r="J757" s="20"/>
      <c r="K757" s="20"/>
      <c r="L757" s="20"/>
      <c r="M757" s="20"/>
      <c r="N757" s="20"/>
      <c r="O757" s="97"/>
      <c r="P757" s="97"/>
      <c r="Q757" s="97"/>
      <c r="R757" s="97"/>
      <c r="S757" s="97"/>
      <c r="T757" s="97"/>
      <c r="U757" s="97"/>
      <c r="V757" s="97"/>
      <c r="W757" s="97"/>
      <c r="X757" s="97"/>
      <c r="Y757" s="97"/>
      <c r="Z757" s="97"/>
      <c r="AA757" s="97"/>
      <c r="BP757" s="190"/>
    </row>
    <row r="758" spans="2:68" x14ac:dyDescent="0.25">
      <c r="B758" s="98" t="s">
        <v>554</v>
      </c>
      <c r="C758" s="98">
        <v>2014</v>
      </c>
      <c r="D758" s="98" t="s">
        <v>141</v>
      </c>
      <c r="E758" s="98" t="s">
        <v>17</v>
      </c>
      <c r="F758" s="98" t="s">
        <v>136</v>
      </c>
      <c r="G758" s="98">
        <v>408956.016999999</v>
      </c>
      <c r="H758" s="299" t="str">
        <f>VLOOKUP(LEFT('Rev Adequacy'!D758,3),'Mapping B'!$D$2:$E$400,2,0)</f>
        <v>N</v>
      </c>
      <c r="J758" s="20"/>
      <c r="K758" s="20"/>
      <c r="L758" s="20"/>
      <c r="M758" s="20"/>
      <c r="N758" s="20"/>
      <c r="O758" s="97"/>
      <c r="P758" s="97"/>
      <c r="Q758" s="97"/>
      <c r="R758" s="97"/>
      <c r="S758" s="97"/>
      <c r="T758" s="97"/>
      <c r="U758" s="97"/>
      <c r="V758" s="97"/>
      <c r="W758" s="97"/>
      <c r="X758" s="97"/>
      <c r="Y758" s="97"/>
      <c r="Z758" s="97"/>
      <c r="AA758" s="97"/>
      <c r="BP758" s="190"/>
    </row>
    <row r="759" spans="2:68" x14ac:dyDescent="0.25">
      <c r="B759" s="98" t="s">
        <v>554</v>
      </c>
      <c r="C759" s="98">
        <v>2014</v>
      </c>
      <c r="D759" s="98" t="s">
        <v>147</v>
      </c>
      <c r="E759" s="98" t="s">
        <v>17</v>
      </c>
      <c r="F759" s="98" t="s">
        <v>136</v>
      </c>
      <c r="G759" s="98">
        <v>460015.10100000002</v>
      </c>
      <c r="H759" s="299" t="str">
        <f>VLOOKUP(LEFT('Rev Adequacy'!D759,3),'Mapping B'!$D$2:$E$400,2,0)</f>
        <v>N</v>
      </c>
      <c r="J759" s="20"/>
      <c r="K759" s="20"/>
      <c r="L759" s="20"/>
      <c r="M759" s="20"/>
      <c r="N759" s="20"/>
      <c r="O759" s="97"/>
      <c r="P759" s="97"/>
      <c r="Q759" s="97"/>
      <c r="R759" s="97"/>
      <c r="S759" s="97"/>
      <c r="T759" s="97"/>
      <c r="U759" s="97"/>
      <c r="V759" s="97"/>
      <c r="W759" s="97"/>
      <c r="X759" s="97"/>
      <c r="Y759" s="97"/>
      <c r="Z759" s="97"/>
      <c r="AA759" s="97"/>
      <c r="BP759" s="190"/>
    </row>
    <row r="760" spans="2:68" x14ac:dyDescent="0.25">
      <c r="B760" s="98" t="s">
        <v>554</v>
      </c>
      <c r="C760" s="98">
        <v>2014</v>
      </c>
      <c r="D760" s="98" t="s">
        <v>432</v>
      </c>
      <c r="E760" s="98" t="s">
        <v>17</v>
      </c>
      <c r="F760" s="98" t="s">
        <v>136</v>
      </c>
      <c r="G760" s="98">
        <v>205959.22499999701</v>
      </c>
      <c r="H760" s="299" t="str">
        <f>VLOOKUP(LEFT('Rev Adequacy'!D760,3),'Mapping B'!$D$2:$E$400,2,0)</f>
        <v>N</v>
      </c>
      <c r="J760" s="20"/>
      <c r="K760" s="20"/>
      <c r="L760" s="20"/>
      <c r="M760" s="20"/>
      <c r="N760" s="20"/>
      <c r="O760" s="97"/>
      <c r="P760" s="97"/>
      <c r="Q760" s="97"/>
      <c r="R760" s="97"/>
      <c r="S760" s="97"/>
      <c r="T760" s="97"/>
      <c r="U760" s="97"/>
      <c r="V760" s="97"/>
      <c r="W760" s="97"/>
      <c r="X760" s="97"/>
      <c r="Y760" s="97"/>
      <c r="Z760" s="97"/>
      <c r="AA760" s="97"/>
      <c r="BP760" s="190"/>
    </row>
    <row r="761" spans="2:68" x14ac:dyDescent="0.25">
      <c r="B761" s="98" t="s">
        <v>554</v>
      </c>
      <c r="C761" s="98">
        <v>2014</v>
      </c>
      <c r="D761" s="98" t="s">
        <v>239</v>
      </c>
      <c r="E761" s="98" t="s">
        <v>17</v>
      </c>
      <c r="F761" s="98" t="s">
        <v>136</v>
      </c>
      <c r="G761" s="98">
        <v>0</v>
      </c>
      <c r="H761" s="299" t="str">
        <f>VLOOKUP(LEFT('Rev Adequacy'!D761,3),'Mapping B'!$D$2:$E$400,2,0)</f>
        <v>N</v>
      </c>
      <c r="J761" s="20"/>
      <c r="K761" s="20"/>
      <c r="L761" s="20"/>
      <c r="M761" s="20"/>
      <c r="N761" s="20"/>
      <c r="O761" s="97"/>
      <c r="P761" s="97"/>
      <c r="Q761" s="97"/>
      <c r="R761" s="97"/>
      <c r="S761" s="97"/>
      <c r="T761" s="97"/>
      <c r="U761" s="97"/>
      <c r="V761" s="97"/>
      <c r="W761" s="97"/>
      <c r="X761" s="97"/>
      <c r="Y761" s="97"/>
      <c r="Z761" s="97"/>
      <c r="AA761" s="97"/>
      <c r="BP761" s="190"/>
    </row>
    <row r="762" spans="2:68" x14ac:dyDescent="0.25">
      <c r="B762" s="98" t="s">
        <v>554</v>
      </c>
      <c r="C762" s="98">
        <v>2014</v>
      </c>
      <c r="D762" s="98" t="s">
        <v>267</v>
      </c>
      <c r="E762" s="98" t="s">
        <v>17</v>
      </c>
      <c r="F762" s="98" t="s">
        <v>136</v>
      </c>
      <c r="G762" s="98">
        <v>1476633.2579999899</v>
      </c>
      <c r="H762" s="299" t="str">
        <f>VLOOKUP(LEFT('Rev Adequacy'!D762,3),'Mapping B'!$D$2:$E$400,2,0)</f>
        <v>N</v>
      </c>
      <c r="J762" s="20"/>
      <c r="K762" s="20"/>
      <c r="L762" s="20"/>
      <c r="M762" s="20"/>
      <c r="N762" s="20"/>
      <c r="O762" s="97"/>
      <c r="P762" s="97"/>
      <c r="Q762" s="97"/>
      <c r="R762" s="97"/>
      <c r="S762" s="97"/>
      <c r="T762" s="97"/>
      <c r="U762" s="97"/>
      <c r="V762" s="97"/>
      <c r="W762" s="97"/>
      <c r="X762" s="97"/>
      <c r="Y762" s="97"/>
      <c r="Z762" s="97"/>
      <c r="AA762" s="97"/>
      <c r="BP762" s="190"/>
    </row>
    <row r="763" spans="2:68" x14ac:dyDescent="0.25">
      <c r="B763" s="98" t="s">
        <v>554</v>
      </c>
      <c r="C763" s="98">
        <v>2014</v>
      </c>
      <c r="D763" s="98" t="s">
        <v>274</v>
      </c>
      <c r="E763" s="98" t="s">
        <v>17</v>
      </c>
      <c r="F763" s="98" t="s">
        <v>131</v>
      </c>
      <c r="G763" s="98">
        <v>6.6399999999999899</v>
      </c>
      <c r="H763" s="299" t="str">
        <f>VLOOKUP(LEFT('Rev Adequacy'!D763,3),'Mapping B'!$D$2:$E$400,2,0)</f>
        <v>N</v>
      </c>
      <c r="J763" s="20"/>
      <c r="K763" s="20"/>
      <c r="L763" s="20"/>
      <c r="M763" s="20"/>
      <c r="N763" s="20"/>
      <c r="O763" s="97"/>
      <c r="P763" s="97"/>
      <c r="Q763" s="97"/>
      <c r="R763" s="97"/>
      <c r="S763" s="97"/>
      <c r="T763" s="97"/>
      <c r="U763" s="97"/>
      <c r="V763" s="97"/>
      <c r="W763" s="97"/>
      <c r="X763" s="97"/>
      <c r="Y763" s="97"/>
      <c r="Z763" s="97"/>
      <c r="AA763" s="97"/>
      <c r="BP763" s="190"/>
    </row>
    <row r="764" spans="2:68" x14ac:dyDescent="0.25">
      <c r="B764" s="98" t="s">
        <v>554</v>
      </c>
      <c r="C764" s="98">
        <v>2014</v>
      </c>
      <c r="D764" s="98" t="s">
        <v>286</v>
      </c>
      <c r="E764" s="98" t="s">
        <v>17</v>
      </c>
      <c r="F764" s="98" t="s">
        <v>136</v>
      </c>
      <c r="G764" s="98">
        <v>612963.70699999901</v>
      </c>
      <c r="H764" s="299" t="str">
        <f>VLOOKUP(LEFT('Rev Adequacy'!D764,3),'Mapping B'!$D$2:$E$400,2,0)</f>
        <v>N</v>
      </c>
      <c r="J764" s="20"/>
      <c r="K764" s="20"/>
      <c r="L764" s="20"/>
      <c r="M764" s="20"/>
      <c r="N764" s="20"/>
      <c r="O764" s="97"/>
      <c r="P764" s="97"/>
      <c r="Q764" s="97"/>
      <c r="R764" s="97"/>
      <c r="S764" s="97"/>
      <c r="T764" s="97"/>
      <c r="U764" s="97"/>
      <c r="V764" s="97"/>
      <c r="W764" s="97"/>
      <c r="X764" s="97"/>
      <c r="Y764" s="97"/>
      <c r="Z764" s="97"/>
      <c r="AA764" s="97"/>
      <c r="BP764" s="190"/>
    </row>
    <row r="765" spans="2:68" x14ac:dyDescent="0.25">
      <c r="B765" s="98" t="s">
        <v>554</v>
      </c>
      <c r="C765" s="98">
        <v>2014</v>
      </c>
      <c r="D765" s="98" t="s">
        <v>330</v>
      </c>
      <c r="E765" s="98" t="s">
        <v>17</v>
      </c>
      <c r="F765" s="98" t="s">
        <v>131</v>
      </c>
      <c r="G765" s="98">
        <v>27494.705999999998</v>
      </c>
      <c r="H765" s="299" t="str">
        <f>VLOOKUP(LEFT('Rev Adequacy'!D765,3),'Mapping B'!$D$2:$E$400,2,0)</f>
        <v>N</v>
      </c>
      <c r="J765" s="20"/>
      <c r="K765" s="20"/>
      <c r="L765" s="20"/>
      <c r="M765" s="20"/>
      <c r="N765" s="20"/>
      <c r="O765" s="97"/>
      <c r="P765" s="97"/>
      <c r="Q765" s="97"/>
      <c r="R765" s="97"/>
      <c r="S765" s="97"/>
      <c r="T765" s="97"/>
      <c r="U765" s="97"/>
      <c r="V765" s="97"/>
      <c r="W765" s="97"/>
      <c r="X765" s="97"/>
      <c r="Y765" s="97"/>
      <c r="Z765" s="97"/>
      <c r="AA765" s="97"/>
      <c r="BP765" s="190"/>
    </row>
    <row r="766" spans="2:68" x14ac:dyDescent="0.25">
      <c r="B766" s="98" t="s">
        <v>554</v>
      </c>
      <c r="C766" s="98">
        <v>2014</v>
      </c>
      <c r="D766" s="98" t="s">
        <v>331</v>
      </c>
      <c r="E766" s="98" t="s">
        <v>17</v>
      </c>
      <c r="F766" s="98" t="s">
        <v>136</v>
      </c>
      <c r="G766" s="98">
        <v>0</v>
      </c>
      <c r="H766" s="299" t="str">
        <f>VLOOKUP(LEFT('Rev Adequacy'!D766,3),'Mapping B'!$D$2:$E$400,2,0)</f>
        <v>N</v>
      </c>
      <c r="J766" s="20"/>
      <c r="K766" s="20"/>
      <c r="L766" s="20"/>
      <c r="M766" s="20"/>
      <c r="N766" s="20"/>
      <c r="O766" s="97"/>
      <c r="P766" s="97"/>
      <c r="Q766" s="97"/>
      <c r="R766" s="97"/>
      <c r="S766" s="97"/>
      <c r="T766" s="97"/>
      <c r="U766" s="97"/>
      <c r="V766" s="97"/>
      <c r="W766" s="97"/>
      <c r="X766" s="97"/>
      <c r="Y766" s="97"/>
      <c r="Z766" s="97"/>
      <c r="AA766" s="97"/>
      <c r="BP766" s="190"/>
    </row>
    <row r="767" spans="2:68" x14ac:dyDescent="0.25">
      <c r="B767" s="98" t="s">
        <v>554</v>
      </c>
      <c r="C767" s="98">
        <v>2014</v>
      </c>
      <c r="D767" s="98" t="s">
        <v>377</v>
      </c>
      <c r="E767" s="98" t="s">
        <v>17</v>
      </c>
      <c r="F767" s="98" t="s">
        <v>136</v>
      </c>
      <c r="G767" s="98">
        <v>568020.551000003</v>
      </c>
      <c r="H767" s="299" t="str">
        <f>VLOOKUP(LEFT('Rev Adequacy'!D767,3),'Mapping B'!$D$2:$E$400,2,0)</f>
        <v>N</v>
      </c>
      <c r="J767" s="20"/>
      <c r="K767" s="20"/>
      <c r="L767" s="20"/>
      <c r="M767" s="20"/>
      <c r="N767" s="20"/>
      <c r="O767" s="97"/>
      <c r="P767" s="97"/>
      <c r="Q767" s="97"/>
      <c r="R767" s="97"/>
      <c r="S767" s="97"/>
      <c r="T767" s="97"/>
      <c r="U767" s="97"/>
      <c r="V767" s="97"/>
      <c r="W767" s="97"/>
      <c r="X767" s="97"/>
      <c r="Y767" s="97"/>
      <c r="Z767" s="97"/>
      <c r="AA767" s="97"/>
      <c r="BP767" s="190"/>
    </row>
    <row r="768" spans="2:68" x14ac:dyDescent="0.25">
      <c r="B768" s="98" t="s">
        <v>554</v>
      </c>
      <c r="C768" s="98">
        <v>2014</v>
      </c>
      <c r="D768" s="98" t="s">
        <v>379</v>
      </c>
      <c r="E768" s="98" t="s">
        <v>17</v>
      </c>
      <c r="F768" s="98" t="s">
        <v>136</v>
      </c>
      <c r="G768" s="98">
        <v>274983.81999999902</v>
      </c>
      <c r="H768" s="299" t="str">
        <f>VLOOKUP(LEFT('Rev Adequacy'!D768,3),'Mapping B'!$D$2:$E$400,2,0)</f>
        <v>N</v>
      </c>
      <c r="J768" s="20"/>
      <c r="K768" s="20"/>
      <c r="L768" s="20"/>
      <c r="M768" s="20"/>
      <c r="N768" s="20"/>
      <c r="O768" s="97"/>
      <c r="P768" s="97"/>
      <c r="Q768" s="97"/>
      <c r="R768" s="97"/>
      <c r="S768" s="97"/>
      <c r="T768" s="97"/>
      <c r="U768" s="97"/>
      <c r="V768" s="97"/>
      <c r="W768" s="97"/>
      <c r="X768" s="97"/>
      <c r="Y768" s="97"/>
      <c r="Z768" s="97"/>
      <c r="AA768" s="97"/>
      <c r="BP768" s="190"/>
    </row>
    <row r="769" spans="2:68" x14ac:dyDescent="0.25">
      <c r="B769" s="98" t="s">
        <v>554</v>
      </c>
      <c r="C769" s="98">
        <v>2014</v>
      </c>
      <c r="D769" s="98" t="s">
        <v>386</v>
      </c>
      <c r="E769" s="98" t="s">
        <v>17</v>
      </c>
      <c r="F769" s="98" t="s">
        <v>136</v>
      </c>
      <c r="G769" s="98">
        <v>148015.70600000001</v>
      </c>
      <c r="H769" s="299" t="str">
        <f>VLOOKUP(LEFT('Rev Adequacy'!D769,3),'Mapping B'!$D$2:$E$400,2,0)</f>
        <v>N</v>
      </c>
      <c r="J769" s="20"/>
      <c r="K769" s="20"/>
      <c r="L769" s="20"/>
      <c r="M769" s="20"/>
      <c r="N769" s="20"/>
      <c r="O769" s="97"/>
      <c r="P769" s="97"/>
      <c r="Q769" s="97"/>
      <c r="R769" s="97"/>
      <c r="S769" s="97"/>
      <c r="T769" s="97"/>
      <c r="U769" s="97"/>
      <c r="V769" s="97"/>
      <c r="W769" s="97"/>
      <c r="X769" s="97"/>
      <c r="Y769" s="97"/>
      <c r="Z769" s="97"/>
      <c r="AA769" s="97"/>
      <c r="BP769" s="190"/>
    </row>
    <row r="770" spans="2:68" x14ac:dyDescent="0.25">
      <c r="B770" s="98" t="s">
        <v>563</v>
      </c>
      <c r="C770" s="98">
        <v>2014</v>
      </c>
      <c r="D770" s="98" t="s">
        <v>135</v>
      </c>
      <c r="E770" s="98" t="s">
        <v>17</v>
      </c>
      <c r="F770" s="98" t="s">
        <v>136</v>
      </c>
      <c r="G770" s="98">
        <v>0</v>
      </c>
      <c r="H770" s="299" t="str">
        <f>VLOOKUP(LEFT('Rev Adequacy'!D770,3),'Mapping B'!$D$2:$E$400,2,0)</f>
        <v>N</v>
      </c>
      <c r="J770" s="20"/>
      <c r="K770" s="20"/>
      <c r="L770" s="20"/>
      <c r="M770" s="20"/>
      <c r="N770" s="20"/>
      <c r="O770" s="97"/>
      <c r="P770" s="97"/>
      <c r="Q770" s="97"/>
      <c r="R770" s="97"/>
      <c r="S770" s="97"/>
      <c r="T770" s="97"/>
      <c r="U770" s="97"/>
      <c r="V770" s="97"/>
      <c r="W770" s="97"/>
      <c r="X770" s="97"/>
      <c r="Y770" s="97"/>
      <c r="Z770" s="97"/>
      <c r="AA770" s="97"/>
      <c r="BP770" s="190"/>
    </row>
    <row r="771" spans="2:68" x14ac:dyDescent="0.25">
      <c r="B771" s="98" t="s">
        <v>563</v>
      </c>
      <c r="C771" s="98">
        <v>2014</v>
      </c>
      <c r="D771" s="98" t="s">
        <v>140</v>
      </c>
      <c r="E771" s="98" t="s">
        <v>17</v>
      </c>
      <c r="F771" s="98" t="s">
        <v>136</v>
      </c>
      <c r="G771" s="98">
        <v>0</v>
      </c>
      <c r="H771" s="299" t="str">
        <f>VLOOKUP(LEFT('Rev Adequacy'!D771,3),'Mapping B'!$D$2:$E$400,2,0)</f>
        <v>N</v>
      </c>
      <c r="J771" s="20"/>
      <c r="K771" s="20"/>
      <c r="L771" s="20"/>
      <c r="M771" s="20"/>
      <c r="N771" s="20"/>
      <c r="O771" s="97"/>
      <c r="P771" s="97"/>
      <c r="Q771" s="97"/>
      <c r="R771" s="97"/>
      <c r="S771" s="97"/>
      <c r="T771" s="97"/>
      <c r="U771" s="97"/>
      <c r="V771" s="97"/>
      <c r="W771" s="97"/>
      <c r="X771" s="97"/>
      <c r="Y771" s="97"/>
      <c r="Z771" s="97"/>
      <c r="AA771" s="97"/>
      <c r="BP771" s="190"/>
    </row>
    <row r="772" spans="2:68" x14ac:dyDescent="0.25">
      <c r="B772" s="98" t="s">
        <v>563</v>
      </c>
      <c r="C772" s="98">
        <v>2014</v>
      </c>
      <c r="D772" s="98" t="s">
        <v>141</v>
      </c>
      <c r="E772" s="98" t="s">
        <v>17</v>
      </c>
      <c r="F772" s="98" t="s">
        <v>136</v>
      </c>
      <c r="G772" s="98">
        <v>0</v>
      </c>
      <c r="H772" s="299" t="str">
        <f>VLOOKUP(LEFT('Rev Adequacy'!D772,3),'Mapping B'!$D$2:$E$400,2,0)</f>
        <v>N</v>
      </c>
      <c r="J772" s="20"/>
      <c r="K772" s="20"/>
      <c r="L772" s="20"/>
      <c r="M772" s="20"/>
      <c r="N772" s="20"/>
      <c r="O772" s="97"/>
      <c r="P772" s="97"/>
      <c r="Q772" s="97"/>
      <c r="R772" s="97"/>
      <c r="S772" s="97"/>
      <c r="T772" s="97"/>
      <c r="U772" s="97"/>
      <c r="V772" s="97"/>
      <c r="W772" s="97"/>
      <c r="X772" s="97"/>
      <c r="Y772" s="97"/>
      <c r="Z772" s="97"/>
      <c r="AA772" s="97"/>
      <c r="BP772" s="190"/>
    </row>
    <row r="773" spans="2:68" x14ac:dyDescent="0.25">
      <c r="B773" s="98" t="s">
        <v>563</v>
      </c>
      <c r="C773" s="98">
        <v>2014</v>
      </c>
      <c r="D773" s="98" t="s">
        <v>147</v>
      </c>
      <c r="E773" s="98" t="s">
        <v>17</v>
      </c>
      <c r="F773" s="98" t="s">
        <v>136</v>
      </c>
      <c r="G773" s="98">
        <v>0</v>
      </c>
      <c r="H773" s="299" t="str">
        <f>VLOOKUP(LEFT('Rev Adequacy'!D773,3),'Mapping B'!$D$2:$E$400,2,0)</f>
        <v>N</v>
      </c>
      <c r="J773" s="20"/>
      <c r="K773" s="20"/>
      <c r="L773" s="20"/>
      <c r="M773" s="20"/>
      <c r="N773" s="20"/>
      <c r="O773" s="97"/>
      <c r="P773" s="97"/>
      <c r="Q773" s="97"/>
      <c r="R773" s="97"/>
      <c r="S773" s="97"/>
      <c r="T773" s="97"/>
      <c r="U773" s="97"/>
      <c r="V773" s="97"/>
      <c r="W773" s="97"/>
      <c r="X773" s="97"/>
      <c r="Y773" s="97"/>
      <c r="Z773" s="97"/>
      <c r="AA773" s="97"/>
      <c r="BP773" s="190"/>
    </row>
    <row r="774" spans="2:68" x14ac:dyDescent="0.25">
      <c r="B774" s="98" t="s">
        <v>563</v>
      </c>
      <c r="C774" s="98">
        <v>2014</v>
      </c>
      <c r="D774" s="98" t="s">
        <v>432</v>
      </c>
      <c r="E774" s="98" t="s">
        <v>17</v>
      </c>
      <c r="F774" s="98" t="s">
        <v>136</v>
      </c>
      <c r="G774" s="98">
        <v>0</v>
      </c>
      <c r="H774" s="299" t="str">
        <f>VLOOKUP(LEFT('Rev Adequacy'!D774,3),'Mapping B'!$D$2:$E$400,2,0)</f>
        <v>N</v>
      </c>
      <c r="J774" s="20"/>
      <c r="K774" s="20"/>
      <c r="L774" s="20"/>
      <c r="M774" s="20"/>
      <c r="N774" s="20"/>
      <c r="O774" s="97"/>
      <c r="P774" s="97"/>
      <c r="Q774" s="97"/>
      <c r="R774" s="97"/>
      <c r="S774" s="97"/>
      <c r="T774" s="97"/>
      <c r="U774" s="97"/>
      <c r="V774" s="97"/>
      <c r="W774" s="97"/>
      <c r="X774" s="97"/>
      <c r="Y774" s="97"/>
      <c r="Z774" s="97"/>
      <c r="AA774" s="97"/>
      <c r="BP774" s="190"/>
    </row>
    <row r="775" spans="2:68" x14ac:dyDescent="0.25">
      <c r="B775" s="98" t="s">
        <v>563</v>
      </c>
      <c r="C775" s="98">
        <v>2014</v>
      </c>
      <c r="D775" s="98" t="s">
        <v>239</v>
      </c>
      <c r="E775" s="98" t="s">
        <v>17</v>
      </c>
      <c r="F775" s="98" t="s">
        <v>136</v>
      </c>
      <c r="G775" s="98">
        <v>0</v>
      </c>
      <c r="H775" s="299" t="str">
        <f>VLOOKUP(LEFT('Rev Adequacy'!D775,3),'Mapping B'!$D$2:$E$400,2,0)</f>
        <v>N</v>
      </c>
      <c r="J775" s="20"/>
      <c r="K775" s="20"/>
      <c r="L775" s="20"/>
      <c r="M775" s="20"/>
      <c r="N775" s="20"/>
      <c r="O775" s="97"/>
      <c r="P775" s="97"/>
      <c r="Q775" s="97"/>
      <c r="R775" s="97"/>
      <c r="S775" s="97"/>
      <c r="T775" s="97"/>
      <c r="U775" s="97"/>
      <c r="V775" s="97"/>
      <c r="W775" s="97"/>
      <c r="X775" s="97"/>
      <c r="Y775" s="97"/>
      <c r="Z775" s="97"/>
      <c r="AA775" s="97"/>
      <c r="BP775" s="190"/>
    </row>
    <row r="776" spans="2:68" x14ac:dyDescent="0.25">
      <c r="B776" s="98" t="s">
        <v>563</v>
      </c>
      <c r="C776" s="98">
        <v>2014</v>
      </c>
      <c r="D776" s="98" t="s">
        <v>267</v>
      </c>
      <c r="E776" s="98" t="s">
        <v>17</v>
      </c>
      <c r="F776" s="98" t="s">
        <v>136</v>
      </c>
      <c r="G776" s="98">
        <v>0</v>
      </c>
      <c r="H776" s="299" t="str">
        <f>VLOOKUP(LEFT('Rev Adequacy'!D776,3),'Mapping B'!$D$2:$E$400,2,0)</f>
        <v>N</v>
      </c>
      <c r="J776" s="20"/>
      <c r="K776" s="20"/>
      <c r="L776" s="20"/>
      <c r="M776" s="20"/>
      <c r="N776" s="20"/>
      <c r="O776" s="97"/>
      <c r="P776" s="97"/>
      <c r="Q776" s="97"/>
      <c r="R776" s="97"/>
      <c r="S776" s="97"/>
      <c r="T776" s="97"/>
      <c r="U776" s="97"/>
      <c r="V776" s="97"/>
      <c r="W776" s="97"/>
      <c r="X776" s="97"/>
      <c r="Y776" s="97"/>
      <c r="Z776" s="97"/>
      <c r="AA776" s="97"/>
      <c r="BP776" s="190"/>
    </row>
    <row r="777" spans="2:68" x14ac:dyDescent="0.25">
      <c r="B777" s="98" t="s">
        <v>563</v>
      </c>
      <c r="C777" s="98">
        <v>2014</v>
      </c>
      <c r="D777" s="98" t="s">
        <v>274</v>
      </c>
      <c r="E777" s="98" t="s">
        <v>17</v>
      </c>
      <c r="F777" s="98" t="s">
        <v>131</v>
      </c>
      <c r="G777" s="98">
        <v>21.986999999999998</v>
      </c>
      <c r="H777" s="299" t="str">
        <f>VLOOKUP(LEFT('Rev Adequacy'!D777,3),'Mapping B'!$D$2:$E$400,2,0)</f>
        <v>N</v>
      </c>
      <c r="J777" s="20"/>
      <c r="K777" s="20"/>
      <c r="L777" s="20"/>
      <c r="M777" s="20"/>
      <c r="N777" s="20"/>
      <c r="O777" s="97"/>
      <c r="P777" s="97"/>
      <c r="Q777" s="97"/>
      <c r="R777" s="97"/>
      <c r="S777" s="97"/>
      <c r="T777" s="97"/>
      <c r="U777" s="97"/>
      <c r="V777" s="97"/>
      <c r="W777" s="97"/>
      <c r="X777" s="97"/>
      <c r="Y777" s="97"/>
      <c r="Z777" s="97"/>
      <c r="AA777" s="97"/>
      <c r="BP777" s="190"/>
    </row>
    <row r="778" spans="2:68" x14ac:dyDescent="0.25">
      <c r="B778" s="98" t="s">
        <v>563</v>
      </c>
      <c r="C778" s="98">
        <v>2014</v>
      </c>
      <c r="D778" s="98" t="s">
        <v>286</v>
      </c>
      <c r="E778" s="98" t="s">
        <v>17</v>
      </c>
      <c r="F778" s="98" t="s">
        <v>136</v>
      </c>
      <c r="G778" s="98">
        <v>0</v>
      </c>
      <c r="H778" s="299" t="str">
        <f>VLOOKUP(LEFT('Rev Adequacy'!D778,3),'Mapping B'!$D$2:$E$400,2,0)</f>
        <v>N</v>
      </c>
      <c r="J778" s="20"/>
      <c r="K778" s="20"/>
      <c r="L778" s="20"/>
      <c r="M778" s="20"/>
      <c r="N778" s="20"/>
      <c r="O778" s="97"/>
      <c r="P778" s="97"/>
      <c r="Q778" s="97"/>
      <c r="R778" s="97"/>
      <c r="S778" s="97"/>
      <c r="T778" s="97"/>
      <c r="U778" s="97"/>
      <c r="V778" s="97"/>
      <c r="W778" s="97"/>
      <c r="X778" s="97"/>
      <c r="Y778" s="97"/>
      <c r="Z778" s="97"/>
      <c r="AA778" s="97"/>
      <c r="BP778" s="190"/>
    </row>
    <row r="779" spans="2:68" x14ac:dyDescent="0.25">
      <c r="B779" s="98" t="s">
        <v>563</v>
      </c>
      <c r="C779" s="98">
        <v>2014</v>
      </c>
      <c r="D779" s="98" t="s">
        <v>330</v>
      </c>
      <c r="E779" s="98" t="s">
        <v>17</v>
      </c>
      <c r="F779" s="98" t="s">
        <v>131</v>
      </c>
      <c r="G779" s="98">
        <v>21797.114000000001</v>
      </c>
      <c r="H779" s="299" t="str">
        <f>VLOOKUP(LEFT('Rev Adequacy'!D779,3),'Mapping B'!$D$2:$E$400,2,0)</f>
        <v>N</v>
      </c>
      <c r="J779" s="20"/>
      <c r="K779" s="20"/>
      <c r="L779" s="20"/>
      <c r="M779" s="20"/>
      <c r="N779" s="20"/>
      <c r="O779" s="97"/>
      <c r="P779" s="97"/>
      <c r="Q779" s="97"/>
      <c r="R779" s="97"/>
      <c r="S779" s="97"/>
      <c r="T779" s="97"/>
      <c r="U779" s="97"/>
      <c r="V779" s="97"/>
      <c r="W779" s="97"/>
      <c r="X779" s="97"/>
      <c r="Y779" s="97"/>
      <c r="Z779" s="97"/>
      <c r="AA779" s="97"/>
      <c r="BP779" s="190"/>
    </row>
    <row r="780" spans="2:68" x14ac:dyDescent="0.25">
      <c r="B780" s="98" t="s">
        <v>563</v>
      </c>
      <c r="C780" s="98">
        <v>2014</v>
      </c>
      <c r="D780" s="98" t="s">
        <v>331</v>
      </c>
      <c r="E780" s="98" t="s">
        <v>17</v>
      </c>
      <c r="F780" s="98" t="s">
        <v>136</v>
      </c>
      <c r="G780" s="98">
        <v>0</v>
      </c>
      <c r="H780" s="299" t="str">
        <f>VLOOKUP(LEFT('Rev Adequacy'!D780,3),'Mapping B'!$D$2:$E$400,2,0)</f>
        <v>N</v>
      </c>
      <c r="J780" s="20"/>
      <c r="K780" s="20"/>
      <c r="L780" s="20"/>
      <c r="M780" s="20"/>
      <c r="N780" s="20"/>
      <c r="O780" s="97"/>
      <c r="P780" s="97"/>
      <c r="Q780" s="97"/>
      <c r="R780" s="97"/>
      <c r="S780" s="97"/>
      <c r="T780" s="97"/>
      <c r="U780" s="97"/>
      <c r="V780" s="97"/>
      <c r="W780" s="97"/>
      <c r="X780" s="97"/>
      <c r="Y780" s="97"/>
      <c r="Z780" s="97"/>
      <c r="AA780" s="97"/>
      <c r="BP780" s="190"/>
    </row>
    <row r="781" spans="2:68" x14ac:dyDescent="0.25">
      <c r="B781" s="98" t="s">
        <v>563</v>
      </c>
      <c r="C781" s="98">
        <v>2014</v>
      </c>
      <c r="D781" s="98" t="s">
        <v>377</v>
      </c>
      <c r="E781" s="98" t="s">
        <v>17</v>
      </c>
      <c r="F781" s="98" t="s">
        <v>136</v>
      </c>
      <c r="G781" s="98">
        <v>0</v>
      </c>
      <c r="H781" s="299" t="str">
        <f>VLOOKUP(LEFT('Rev Adequacy'!D781,3),'Mapping B'!$D$2:$E$400,2,0)</f>
        <v>N</v>
      </c>
      <c r="J781" s="20"/>
      <c r="K781" s="20"/>
      <c r="L781" s="20"/>
      <c r="M781" s="20"/>
      <c r="N781" s="20"/>
      <c r="O781" s="97"/>
      <c r="P781" s="97"/>
      <c r="Q781" s="97"/>
      <c r="R781" s="97"/>
      <c r="S781" s="97"/>
      <c r="T781" s="97"/>
      <c r="U781" s="97"/>
      <c r="V781" s="97"/>
      <c r="W781" s="97"/>
      <c r="X781" s="97"/>
      <c r="Y781" s="97"/>
      <c r="Z781" s="97"/>
      <c r="AA781" s="97"/>
      <c r="BP781" s="190"/>
    </row>
    <row r="782" spans="2:68" x14ac:dyDescent="0.25">
      <c r="B782" s="98" t="s">
        <v>563</v>
      </c>
      <c r="C782" s="98">
        <v>2014</v>
      </c>
      <c r="D782" s="98" t="s">
        <v>379</v>
      </c>
      <c r="E782" s="98" t="s">
        <v>17</v>
      </c>
      <c r="F782" s="98" t="s">
        <v>136</v>
      </c>
      <c r="G782" s="98">
        <v>0</v>
      </c>
      <c r="H782" s="299" t="str">
        <f>VLOOKUP(LEFT('Rev Adequacy'!D782,3),'Mapping B'!$D$2:$E$400,2,0)</f>
        <v>N</v>
      </c>
      <c r="J782" s="20"/>
      <c r="K782" s="20"/>
      <c r="L782" s="20"/>
      <c r="M782" s="20"/>
      <c r="N782" s="20"/>
      <c r="O782" s="97"/>
      <c r="P782" s="97"/>
      <c r="Q782" s="97"/>
      <c r="R782" s="97"/>
      <c r="S782" s="97"/>
      <c r="T782" s="97"/>
      <c r="U782" s="97"/>
      <c r="V782" s="97"/>
      <c r="W782" s="97"/>
      <c r="X782" s="97"/>
      <c r="Y782" s="97"/>
      <c r="Z782" s="97"/>
      <c r="AA782" s="97"/>
      <c r="BP782" s="190"/>
    </row>
    <row r="783" spans="2:68" x14ac:dyDescent="0.25">
      <c r="B783" s="98" t="s">
        <v>563</v>
      </c>
      <c r="C783" s="98">
        <v>2014</v>
      </c>
      <c r="D783" s="98" t="s">
        <v>386</v>
      </c>
      <c r="E783" s="98" t="s">
        <v>17</v>
      </c>
      <c r="F783" s="98" t="s">
        <v>136</v>
      </c>
      <c r="G783" s="98">
        <v>0</v>
      </c>
      <c r="H783" s="299" t="str">
        <f>VLOOKUP(LEFT('Rev Adequacy'!D783,3),'Mapping B'!$D$2:$E$400,2,0)</f>
        <v>N</v>
      </c>
      <c r="J783" s="20"/>
      <c r="K783" s="20"/>
      <c r="L783" s="20"/>
      <c r="M783" s="20"/>
      <c r="N783" s="20"/>
      <c r="O783" s="97"/>
      <c r="P783" s="97"/>
      <c r="Q783" s="97"/>
      <c r="R783" s="97"/>
      <c r="S783" s="97"/>
      <c r="T783" s="97"/>
      <c r="U783" s="97"/>
      <c r="V783" s="97"/>
      <c r="W783" s="97"/>
      <c r="X783" s="97"/>
      <c r="Y783" s="97"/>
      <c r="Z783" s="97"/>
      <c r="AA783" s="97"/>
      <c r="BP783" s="190"/>
    </row>
    <row r="784" spans="2:68" x14ac:dyDescent="0.25">
      <c r="B784" s="98" t="s">
        <v>555</v>
      </c>
      <c r="C784" s="98">
        <v>2014</v>
      </c>
      <c r="D784" s="98" t="s">
        <v>135</v>
      </c>
      <c r="E784" s="98" t="s">
        <v>17</v>
      </c>
      <c r="F784" s="98" t="s">
        <v>136</v>
      </c>
      <c r="G784" s="98">
        <v>413370.886999999</v>
      </c>
      <c r="H784" s="299" t="str">
        <f>VLOOKUP(LEFT('Rev Adequacy'!D784,3),'Mapping B'!$D$2:$E$400,2,0)</f>
        <v>N</v>
      </c>
      <c r="J784" s="20"/>
      <c r="K784" s="20"/>
      <c r="L784" s="20"/>
      <c r="M784" s="20"/>
      <c r="N784" s="20"/>
      <c r="O784" s="97"/>
      <c r="P784" s="97"/>
      <c r="Q784" s="97"/>
      <c r="R784" s="97"/>
      <c r="S784" s="97"/>
      <c r="T784" s="97"/>
      <c r="U784" s="97"/>
      <c r="V784" s="97"/>
      <c r="W784" s="97"/>
      <c r="X784" s="97"/>
      <c r="Y784" s="97"/>
      <c r="Z784" s="97"/>
      <c r="AA784" s="97"/>
      <c r="BP784" s="190"/>
    </row>
    <row r="785" spans="2:68" x14ac:dyDescent="0.25">
      <c r="B785" s="98" t="s">
        <v>555</v>
      </c>
      <c r="C785" s="98">
        <v>2014</v>
      </c>
      <c r="D785" s="98" t="s">
        <v>140</v>
      </c>
      <c r="E785" s="98" t="s">
        <v>17</v>
      </c>
      <c r="F785" s="98" t="s">
        <v>136</v>
      </c>
      <c r="G785" s="98">
        <v>0</v>
      </c>
      <c r="H785" s="299" t="str">
        <f>VLOOKUP(LEFT('Rev Adequacy'!D785,3),'Mapping B'!$D$2:$E$400,2,0)</f>
        <v>N</v>
      </c>
      <c r="J785" s="20"/>
      <c r="K785" s="20"/>
      <c r="L785" s="20"/>
      <c r="M785" s="20"/>
      <c r="N785" s="20"/>
      <c r="O785" s="97"/>
      <c r="P785" s="97"/>
      <c r="Q785" s="97"/>
      <c r="R785" s="97"/>
      <c r="S785" s="97"/>
      <c r="T785" s="97"/>
      <c r="U785" s="97"/>
      <c r="V785" s="97"/>
      <c r="W785" s="97"/>
      <c r="X785" s="97"/>
      <c r="Y785" s="97"/>
      <c r="Z785" s="97"/>
      <c r="AA785" s="97"/>
      <c r="BP785" s="190"/>
    </row>
    <row r="786" spans="2:68" x14ac:dyDescent="0.25">
      <c r="B786" s="98" t="s">
        <v>555</v>
      </c>
      <c r="C786" s="98">
        <v>2014</v>
      </c>
      <c r="D786" s="98" t="s">
        <v>141</v>
      </c>
      <c r="E786" s="98" t="s">
        <v>17</v>
      </c>
      <c r="F786" s="98" t="s">
        <v>136</v>
      </c>
      <c r="G786" s="98">
        <v>0</v>
      </c>
      <c r="H786" s="299" t="str">
        <f>VLOOKUP(LEFT('Rev Adequacy'!D786,3),'Mapping B'!$D$2:$E$400,2,0)</f>
        <v>N</v>
      </c>
      <c r="J786" s="20"/>
      <c r="K786" s="20"/>
      <c r="L786" s="20"/>
      <c r="M786" s="20"/>
      <c r="N786" s="20"/>
      <c r="O786" s="97"/>
      <c r="P786" s="97"/>
      <c r="Q786" s="97"/>
      <c r="R786" s="97"/>
      <c r="S786" s="97"/>
      <c r="T786" s="97"/>
      <c r="U786" s="97"/>
      <c r="V786" s="97"/>
      <c r="W786" s="97"/>
      <c r="X786" s="97"/>
      <c r="Y786" s="97"/>
      <c r="Z786" s="97"/>
      <c r="AA786" s="97"/>
      <c r="BP786" s="190"/>
    </row>
    <row r="787" spans="2:68" x14ac:dyDescent="0.25">
      <c r="B787" s="98" t="s">
        <v>555</v>
      </c>
      <c r="C787" s="98">
        <v>2014</v>
      </c>
      <c r="D787" s="98" t="s">
        <v>147</v>
      </c>
      <c r="E787" s="98" t="s">
        <v>17</v>
      </c>
      <c r="F787" s="98" t="s">
        <v>136</v>
      </c>
      <c r="G787" s="98">
        <v>0</v>
      </c>
      <c r="H787" s="299" t="str">
        <f>VLOOKUP(LEFT('Rev Adequacy'!D787,3),'Mapping B'!$D$2:$E$400,2,0)</f>
        <v>N</v>
      </c>
      <c r="J787" s="20"/>
      <c r="K787" s="20"/>
      <c r="L787" s="20"/>
      <c r="M787" s="20"/>
      <c r="N787" s="20"/>
      <c r="O787" s="97"/>
      <c r="P787" s="97"/>
      <c r="Q787" s="97"/>
      <c r="R787" s="97"/>
      <c r="S787" s="97"/>
      <c r="T787" s="97"/>
      <c r="U787" s="97"/>
      <c r="V787" s="97"/>
      <c r="W787" s="97"/>
      <c r="X787" s="97"/>
      <c r="Y787" s="97"/>
      <c r="Z787" s="97"/>
      <c r="AA787" s="97"/>
      <c r="BP787" s="190"/>
    </row>
    <row r="788" spans="2:68" x14ac:dyDescent="0.25">
      <c r="B788" s="98" t="s">
        <v>555</v>
      </c>
      <c r="C788" s="98">
        <v>2014</v>
      </c>
      <c r="D788" s="98" t="s">
        <v>432</v>
      </c>
      <c r="E788" s="98" t="s">
        <v>17</v>
      </c>
      <c r="F788" s="98" t="s">
        <v>136</v>
      </c>
      <c r="G788" s="98">
        <v>0</v>
      </c>
      <c r="H788" s="299" t="str">
        <f>VLOOKUP(LEFT('Rev Adequacy'!D788,3),'Mapping B'!$D$2:$E$400,2,0)</f>
        <v>N</v>
      </c>
      <c r="J788" s="20"/>
      <c r="K788" s="20"/>
      <c r="L788" s="20"/>
      <c r="M788" s="20"/>
      <c r="N788" s="20"/>
      <c r="O788" s="97"/>
      <c r="P788" s="97"/>
      <c r="Q788" s="97"/>
      <c r="R788" s="97"/>
      <c r="S788" s="97"/>
      <c r="T788" s="97"/>
      <c r="U788" s="97"/>
      <c r="V788" s="97"/>
      <c r="W788" s="97"/>
      <c r="X788" s="97"/>
      <c r="Y788" s="97"/>
      <c r="Z788" s="97"/>
      <c r="AA788" s="97"/>
      <c r="BP788" s="190"/>
    </row>
    <row r="789" spans="2:68" x14ac:dyDescent="0.25">
      <c r="B789" s="98" t="s">
        <v>555</v>
      </c>
      <c r="C789" s="98">
        <v>2014</v>
      </c>
      <c r="D789" s="98" t="s">
        <v>239</v>
      </c>
      <c r="E789" s="98" t="s">
        <v>17</v>
      </c>
      <c r="F789" s="98" t="s">
        <v>136</v>
      </c>
      <c r="G789" s="98">
        <v>0</v>
      </c>
      <c r="H789" s="299" t="str">
        <f>VLOOKUP(LEFT('Rev Adequacy'!D789,3),'Mapping B'!$D$2:$E$400,2,0)</f>
        <v>N</v>
      </c>
      <c r="J789" s="20"/>
      <c r="K789" s="20"/>
      <c r="L789" s="20"/>
      <c r="M789" s="20"/>
      <c r="N789" s="20"/>
      <c r="O789" s="97"/>
      <c r="P789" s="97"/>
      <c r="Q789" s="97"/>
      <c r="R789" s="97"/>
      <c r="S789" s="97"/>
      <c r="T789" s="97"/>
      <c r="U789" s="97"/>
      <c r="V789" s="97"/>
      <c r="W789" s="97"/>
      <c r="X789" s="97"/>
      <c r="Y789" s="97"/>
      <c r="Z789" s="97"/>
      <c r="AA789" s="97"/>
      <c r="BP789" s="190"/>
    </row>
    <row r="790" spans="2:68" x14ac:dyDescent="0.25">
      <c r="B790" s="98" t="s">
        <v>555</v>
      </c>
      <c r="C790" s="98">
        <v>2014</v>
      </c>
      <c r="D790" s="98" t="s">
        <v>267</v>
      </c>
      <c r="E790" s="98" t="s">
        <v>17</v>
      </c>
      <c r="F790" s="98" t="s">
        <v>136</v>
      </c>
      <c r="G790" s="98">
        <v>0</v>
      </c>
      <c r="H790" s="299" t="str">
        <f>VLOOKUP(LEFT('Rev Adequacy'!D790,3),'Mapping B'!$D$2:$E$400,2,0)</f>
        <v>N</v>
      </c>
      <c r="J790" s="20"/>
      <c r="K790" s="20"/>
      <c r="L790" s="20"/>
      <c r="M790" s="20"/>
      <c r="N790" s="20"/>
      <c r="O790" s="97"/>
      <c r="P790" s="97"/>
      <c r="Q790" s="97"/>
      <c r="R790" s="97"/>
      <c r="S790" s="97"/>
      <c r="T790" s="97"/>
      <c r="U790" s="97"/>
      <c r="V790" s="97"/>
      <c r="W790" s="97"/>
      <c r="X790" s="97"/>
      <c r="Y790" s="97"/>
      <c r="Z790" s="97"/>
      <c r="AA790" s="97"/>
      <c r="BP790" s="190"/>
    </row>
    <row r="791" spans="2:68" x14ac:dyDescent="0.25">
      <c r="B791" s="98" t="s">
        <v>555</v>
      </c>
      <c r="C791" s="98">
        <v>2014</v>
      </c>
      <c r="D791" s="98" t="s">
        <v>274</v>
      </c>
      <c r="E791" s="98" t="s">
        <v>17</v>
      </c>
      <c r="F791" s="98" t="s">
        <v>131</v>
      </c>
      <c r="G791" s="98">
        <v>0</v>
      </c>
      <c r="H791" s="299" t="str">
        <f>VLOOKUP(LEFT('Rev Adequacy'!D791,3),'Mapping B'!$D$2:$E$400,2,0)</f>
        <v>N</v>
      </c>
      <c r="J791" s="20"/>
      <c r="K791" s="20"/>
      <c r="L791" s="20"/>
      <c r="M791" s="20"/>
      <c r="N791" s="20"/>
      <c r="O791" s="97"/>
      <c r="P791" s="97"/>
      <c r="Q791" s="97"/>
      <c r="R791" s="97"/>
      <c r="S791" s="97"/>
      <c r="T791" s="97"/>
      <c r="U791" s="97"/>
      <c r="V791" s="97"/>
      <c r="W791" s="97"/>
      <c r="X791" s="97"/>
      <c r="Y791" s="97"/>
      <c r="Z791" s="97"/>
      <c r="AA791" s="97"/>
      <c r="BP791" s="190"/>
    </row>
    <row r="792" spans="2:68" x14ac:dyDescent="0.25">
      <c r="B792" s="98" t="s">
        <v>555</v>
      </c>
      <c r="C792" s="98">
        <v>2014</v>
      </c>
      <c r="D792" s="98" t="s">
        <v>286</v>
      </c>
      <c r="E792" s="98" t="s">
        <v>17</v>
      </c>
      <c r="F792" s="98" t="s">
        <v>136</v>
      </c>
      <c r="G792" s="98">
        <v>69418.767999999895</v>
      </c>
      <c r="H792" s="299" t="str">
        <f>VLOOKUP(LEFT('Rev Adequacy'!D792,3),'Mapping B'!$D$2:$E$400,2,0)</f>
        <v>N</v>
      </c>
      <c r="J792" s="20"/>
      <c r="K792" s="20"/>
      <c r="L792" s="20"/>
      <c r="M792" s="20"/>
      <c r="N792" s="20"/>
      <c r="O792" s="97"/>
      <c r="P792" s="97"/>
      <c r="Q792" s="97"/>
      <c r="R792" s="97"/>
      <c r="S792" s="97"/>
      <c r="T792" s="97"/>
      <c r="U792" s="97"/>
      <c r="V792" s="97"/>
      <c r="W792" s="97"/>
      <c r="X792" s="97"/>
      <c r="Y792" s="97"/>
      <c r="Z792" s="97"/>
      <c r="AA792" s="97"/>
      <c r="BP792" s="190"/>
    </row>
    <row r="793" spans="2:68" x14ac:dyDescent="0.25">
      <c r="B793" s="98" t="s">
        <v>555</v>
      </c>
      <c r="C793" s="98">
        <v>2014</v>
      </c>
      <c r="D793" s="98" t="s">
        <v>330</v>
      </c>
      <c r="E793" s="98" t="s">
        <v>17</v>
      </c>
      <c r="F793" s="98" t="s">
        <v>131</v>
      </c>
      <c r="G793" s="98">
        <v>4355.0480000000498</v>
      </c>
      <c r="H793" s="299" t="str">
        <f>VLOOKUP(LEFT('Rev Adequacy'!D793,3),'Mapping B'!$D$2:$E$400,2,0)</f>
        <v>N</v>
      </c>
      <c r="J793" s="20"/>
      <c r="K793" s="20"/>
      <c r="L793" s="20"/>
      <c r="M793" s="20"/>
      <c r="N793" s="20"/>
      <c r="O793" s="97"/>
      <c r="P793" s="97"/>
      <c r="Q793" s="97"/>
      <c r="R793" s="97"/>
      <c r="S793" s="97"/>
      <c r="T793" s="97"/>
      <c r="U793" s="97"/>
      <c r="V793" s="97"/>
      <c r="W793" s="97"/>
      <c r="X793" s="97"/>
      <c r="Y793" s="97"/>
      <c r="Z793" s="97"/>
      <c r="AA793" s="97"/>
      <c r="BP793" s="190"/>
    </row>
    <row r="794" spans="2:68" x14ac:dyDescent="0.25">
      <c r="B794" s="98" t="s">
        <v>555</v>
      </c>
      <c r="C794" s="98">
        <v>2014</v>
      </c>
      <c r="D794" s="98" t="s">
        <v>331</v>
      </c>
      <c r="E794" s="98" t="s">
        <v>17</v>
      </c>
      <c r="F794" s="98" t="s">
        <v>136</v>
      </c>
      <c r="G794" s="98">
        <v>0</v>
      </c>
      <c r="H794" s="299" t="str">
        <f>VLOOKUP(LEFT('Rev Adequacy'!D794,3),'Mapping B'!$D$2:$E$400,2,0)</f>
        <v>N</v>
      </c>
      <c r="J794" s="20"/>
      <c r="K794" s="20"/>
      <c r="L794" s="20"/>
      <c r="M794" s="20"/>
      <c r="N794" s="20"/>
      <c r="O794" s="97"/>
      <c r="P794" s="97"/>
      <c r="Q794" s="97"/>
      <c r="R794" s="97"/>
      <c r="S794" s="97"/>
      <c r="T794" s="97"/>
      <c r="U794" s="97"/>
      <c r="V794" s="97"/>
      <c r="W794" s="97"/>
      <c r="X794" s="97"/>
      <c r="Y794" s="97"/>
      <c r="Z794" s="97"/>
      <c r="AA794" s="97"/>
      <c r="BP794" s="190"/>
    </row>
    <row r="795" spans="2:68" x14ac:dyDescent="0.25">
      <c r="B795" s="98" t="s">
        <v>555</v>
      </c>
      <c r="C795" s="98">
        <v>2014</v>
      </c>
      <c r="D795" s="98" t="s">
        <v>377</v>
      </c>
      <c r="E795" s="98" t="s">
        <v>17</v>
      </c>
      <c r="F795" s="98" t="s">
        <v>136</v>
      </c>
      <c r="G795" s="98">
        <v>0</v>
      </c>
      <c r="H795" s="299" t="str">
        <f>VLOOKUP(LEFT('Rev Adequacy'!D795,3),'Mapping B'!$D$2:$E$400,2,0)</f>
        <v>N</v>
      </c>
      <c r="J795" s="20"/>
      <c r="K795" s="20"/>
      <c r="L795" s="20"/>
      <c r="M795" s="20"/>
      <c r="N795" s="20"/>
      <c r="O795" s="97"/>
      <c r="P795" s="97"/>
      <c r="Q795" s="97"/>
      <c r="R795" s="97"/>
      <c r="S795" s="97"/>
      <c r="T795" s="97"/>
      <c r="U795" s="97"/>
      <c r="V795" s="97"/>
      <c r="W795" s="97"/>
      <c r="X795" s="97"/>
      <c r="Y795" s="97"/>
      <c r="Z795" s="97"/>
      <c r="AA795" s="97"/>
      <c r="BP795" s="190"/>
    </row>
    <row r="796" spans="2:68" x14ac:dyDescent="0.25">
      <c r="B796" s="98" t="s">
        <v>555</v>
      </c>
      <c r="C796" s="98">
        <v>2014</v>
      </c>
      <c r="D796" s="98" t="s">
        <v>379</v>
      </c>
      <c r="E796" s="98" t="s">
        <v>17</v>
      </c>
      <c r="F796" s="98" t="s">
        <v>136</v>
      </c>
      <c r="G796" s="98">
        <v>0</v>
      </c>
      <c r="H796" s="299" t="str">
        <f>VLOOKUP(LEFT('Rev Adequacy'!D796,3),'Mapping B'!$D$2:$E$400,2,0)</f>
        <v>N</v>
      </c>
      <c r="J796" s="20"/>
      <c r="K796" s="20"/>
      <c r="L796" s="20"/>
      <c r="M796" s="20"/>
      <c r="N796" s="20"/>
      <c r="O796" s="97"/>
      <c r="P796" s="97"/>
      <c r="Q796" s="97"/>
      <c r="R796" s="97"/>
      <c r="S796" s="97"/>
      <c r="T796" s="97"/>
      <c r="U796" s="97"/>
      <c r="V796" s="97"/>
      <c r="W796" s="97"/>
      <c r="X796" s="97"/>
      <c r="Y796" s="97"/>
      <c r="Z796" s="97"/>
      <c r="AA796" s="97"/>
      <c r="BP796" s="190"/>
    </row>
    <row r="797" spans="2:68" x14ac:dyDescent="0.25">
      <c r="B797" s="98" t="s">
        <v>555</v>
      </c>
      <c r="C797" s="98">
        <v>2014</v>
      </c>
      <c r="D797" s="98" t="s">
        <v>386</v>
      </c>
      <c r="E797" s="98" t="s">
        <v>17</v>
      </c>
      <c r="F797" s="98" t="s">
        <v>136</v>
      </c>
      <c r="G797" s="98">
        <v>253501.02499999799</v>
      </c>
      <c r="H797" s="299" t="str">
        <f>VLOOKUP(LEFT('Rev Adequacy'!D797,3),'Mapping B'!$D$2:$E$400,2,0)</f>
        <v>N</v>
      </c>
      <c r="J797" s="20"/>
      <c r="K797" s="20"/>
      <c r="L797" s="20"/>
      <c r="M797" s="20"/>
      <c r="N797" s="20"/>
      <c r="O797" s="97"/>
      <c r="P797" s="97"/>
      <c r="Q797" s="97"/>
      <c r="R797" s="97"/>
      <c r="S797" s="97"/>
      <c r="T797" s="97"/>
      <c r="U797" s="97"/>
      <c r="V797" s="97"/>
      <c r="W797" s="97"/>
      <c r="X797" s="97"/>
      <c r="Y797" s="97"/>
      <c r="Z797" s="97"/>
      <c r="AA797" s="97"/>
      <c r="BP797" s="190"/>
    </row>
    <row r="798" spans="2:68" x14ac:dyDescent="0.25">
      <c r="B798" s="98" t="s">
        <v>112</v>
      </c>
      <c r="C798" s="98">
        <v>2014</v>
      </c>
      <c r="D798" s="98" t="s">
        <v>135</v>
      </c>
      <c r="E798" s="98" t="s">
        <v>17</v>
      </c>
      <c r="F798" s="98" t="s">
        <v>136</v>
      </c>
      <c r="G798" s="98">
        <v>0</v>
      </c>
      <c r="H798" s="299" t="str">
        <f>VLOOKUP(LEFT('Rev Adequacy'!D798,3),'Mapping B'!$D$2:$E$400,2,0)</f>
        <v>N</v>
      </c>
      <c r="J798" s="20"/>
      <c r="K798" s="20"/>
      <c r="L798" s="20"/>
      <c r="M798" s="20"/>
      <c r="N798" s="20"/>
      <c r="O798" s="97"/>
      <c r="P798" s="97"/>
      <c r="Q798" s="97"/>
      <c r="R798" s="97"/>
      <c r="S798" s="97"/>
      <c r="T798" s="97"/>
      <c r="U798" s="97"/>
      <c r="V798" s="97"/>
      <c r="W798" s="97"/>
      <c r="X798" s="97"/>
      <c r="Y798" s="97"/>
      <c r="Z798" s="97"/>
      <c r="AA798" s="97"/>
      <c r="BP798" s="190"/>
    </row>
    <row r="799" spans="2:68" x14ac:dyDescent="0.25">
      <c r="B799" s="98" t="s">
        <v>112</v>
      </c>
      <c r="C799" s="98">
        <v>2014</v>
      </c>
      <c r="D799" s="98" t="s">
        <v>140</v>
      </c>
      <c r="E799" s="98" t="s">
        <v>17</v>
      </c>
      <c r="F799" s="98" t="s">
        <v>136</v>
      </c>
      <c r="G799" s="98">
        <v>0</v>
      </c>
      <c r="H799" s="299" t="str">
        <f>VLOOKUP(LEFT('Rev Adequacy'!D799,3),'Mapping B'!$D$2:$E$400,2,0)</f>
        <v>N</v>
      </c>
      <c r="J799" s="20"/>
      <c r="K799" s="20"/>
      <c r="L799" s="20"/>
      <c r="M799" s="20"/>
      <c r="N799" s="20"/>
      <c r="O799" s="97"/>
      <c r="P799" s="97"/>
      <c r="Q799" s="97"/>
      <c r="R799" s="97"/>
      <c r="S799" s="97"/>
      <c r="T799" s="97"/>
      <c r="U799" s="97"/>
      <c r="V799" s="97"/>
      <c r="W799" s="97"/>
      <c r="X799" s="97"/>
      <c r="Y799" s="97"/>
      <c r="Z799" s="97"/>
      <c r="AA799" s="97"/>
      <c r="BP799" s="190"/>
    </row>
    <row r="800" spans="2:68" x14ac:dyDescent="0.25">
      <c r="B800" s="98" t="s">
        <v>112</v>
      </c>
      <c r="C800" s="98">
        <v>2014</v>
      </c>
      <c r="D800" s="98" t="s">
        <v>141</v>
      </c>
      <c r="E800" s="98" t="s">
        <v>17</v>
      </c>
      <c r="F800" s="98" t="s">
        <v>136</v>
      </c>
      <c r="G800" s="98">
        <v>0</v>
      </c>
      <c r="H800" s="299" t="str">
        <f>VLOOKUP(LEFT('Rev Adequacy'!D800,3),'Mapping B'!$D$2:$E$400,2,0)</f>
        <v>N</v>
      </c>
      <c r="J800" s="20"/>
      <c r="K800" s="20"/>
      <c r="L800" s="20"/>
      <c r="M800" s="20"/>
      <c r="N800" s="20"/>
      <c r="O800" s="20"/>
      <c r="P800" s="20"/>
      <c r="Q800" s="20"/>
      <c r="R800" s="20"/>
      <c r="S800" s="20"/>
      <c r="T800" s="20"/>
      <c r="U800" s="20"/>
      <c r="V800" s="20"/>
      <c r="W800" s="20"/>
      <c r="X800" s="20"/>
      <c r="Y800" s="20"/>
      <c r="Z800" s="20"/>
      <c r="AA800" s="20"/>
      <c r="BP800" s="190"/>
    </row>
    <row r="801" spans="2:68" x14ac:dyDescent="0.25">
      <c r="B801" s="98" t="s">
        <v>112</v>
      </c>
      <c r="C801" s="98">
        <v>2014</v>
      </c>
      <c r="D801" s="98" t="s">
        <v>147</v>
      </c>
      <c r="E801" s="98" t="s">
        <v>17</v>
      </c>
      <c r="F801" s="98" t="s">
        <v>136</v>
      </c>
      <c r="G801" s="98">
        <v>0</v>
      </c>
      <c r="H801" s="299" t="str">
        <f>VLOOKUP(LEFT('Rev Adequacy'!D801,3),'Mapping B'!$D$2:$E$400,2,0)</f>
        <v>N</v>
      </c>
      <c r="J801" s="20"/>
      <c r="K801" s="20"/>
      <c r="L801" s="20"/>
      <c r="M801" s="20"/>
      <c r="N801" s="20"/>
      <c r="O801" s="95"/>
      <c r="P801" s="95"/>
      <c r="Q801" s="95"/>
      <c r="R801" s="95"/>
      <c r="S801" s="95"/>
      <c r="T801" s="95"/>
      <c r="U801" s="95"/>
      <c r="V801" s="95"/>
      <c r="W801" s="95"/>
      <c r="X801" s="95"/>
      <c r="Y801" s="95"/>
      <c r="Z801" s="95"/>
      <c r="AA801" s="95"/>
      <c r="BP801" s="190"/>
    </row>
    <row r="802" spans="2:68" x14ac:dyDescent="0.25">
      <c r="B802" s="98" t="s">
        <v>112</v>
      </c>
      <c r="C802" s="98">
        <v>2014</v>
      </c>
      <c r="D802" s="98" t="s">
        <v>432</v>
      </c>
      <c r="E802" s="98" t="s">
        <v>17</v>
      </c>
      <c r="F802" s="98" t="s">
        <v>136</v>
      </c>
      <c r="G802" s="98">
        <v>0</v>
      </c>
      <c r="H802" s="299" t="str">
        <f>VLOOKUP(LEFT('Rev Adequacy'!D802,3),'Mapping B'!$D$2:$E$400,2,0)</f>
        <v>N</v>
      </c>
      <c r="J802" s="96"/>
      <c r="K802" s="96"/>
      <c r="L802" s="96"/>
      <c r="M802" s="20"/>
      <c r="N802" s="20"/>
      <c r="O802" s="20"/>
      <c r="P802" s="20"/>
      <c r="Q802" s="20"/>
      <c r="R802" s="20"/>
      <c r="S802" s="20"/>
      <c r="T802" s="20"/>
      <c r="U802" s="20"/>
      <c r="V802" s="20"/>
      <c r="W802" s="20"/>
      <c r="X802" s="20"/>
      <c r="Y802" s="20"/>
      <c r="Z802" s="20"/>
      <c r="AA802" s="20"/>
      <c r="BP802" s="190"/>
    </row>
    <row r="803" spans="2:68" x14ac:dyDescent="0.25">
      <c r="B803" s="98" t="s">
        <v>112</v>
      </c>
      <c r="C803" s="98">
        <v>2014</v>
      </c>
      <c r="D803" s="98" t="s">
        <v>239</v>
      </c>
      <c r="E803" s="98" t="s">
        <v>17</v>
      </c>
      <c r="F803" s="98" t="s">
        <v>136</v>
      </c>
      <c r="G803" s="98">
        <v>0</v>
      </c>
      <c r="H803" s="299" t="str">
        <f>VLOOKUP(LEFT('Rev Adequacy'!D803,3),'Mapping B'!$D$2:$E$400,2,0)</f>
        <v>N</v>
      </c>
      <c r="J803" s="20"/>
      <c r="K803" s="20"/>
      <c r="L803" s="20"/>
      <c r="M803" s="20"/>
      <c r="N803" s="20"/>
      <c r="O803" s="97"/>
      <c r="P803" s="97"/>
      <c r="Q803" s="97"/>
      <c r="R803" s="97"/>
      <c r="S803" s="97"/>
      <c r="T803" s="97"/>
      <c r="U803" s="97"/>
      <c r="V803" s="97"/>
      <c r="W803" s="97"/>
      <c r="X803" s="97"/>
      <c r="Y803" s="97"/>
      <c r="Z803" s="97"/>
      <c r="AA803" s="97"/>
      <c r="BP803" s="190"/>
    </row>
    <row r="804" spans="2:68" x14ac:dyDescent="0.25">
      <c r="B804" s="98" t="s">
        <v>112</v>
      </c>
      <c r="C804" s="98">
        <v>2014</v>
      </c>
      <c r="D804" s="98" t="s">
        <v>267</v>
      </c>
      <c r="E804" s="98" t="s">
        <v>17</v>
      </c>
      <c r="F804" s="98" t="s">
        <v>136</v>
      </c>
      <c r="G804" s="98">
        <v>0</v>
      </c>
      <c r="H804" s="299" t="str">
        <f>VLOOKUP(LEFT('Rev Adequacy'!D804,3),'Mapping B'!$D$2:$E$400,2,0)</f>
        <v>N</v>
      </c>
      <c r="J804" s="20"/>
      <c r="K804" s="20"/>
      <c r="L804" s="20"/>
      <c r="M804" s="20"/>
      <c r="N804" s="20"/>
      <c r="O804" s="97"/>
      <c r="P804" s="97"/>
      <c r="Q804" s="97"/>
      <c r="R804" s="97"/>
      <c r="S804" s="97"/>
      <c r="T804" s="97"/>
      <c r="U804" s="97"/>
      <c r="V804" s="97"/>
      <c r="W804" s="97"/>
      <c r="X804" s="97"/>
      <c r="Y804" s="97"/>
      <c r="Z804" s="97"/>
      <c r="AA804" s="97"/>
      <c r="BP804" s="190"/>
    </row>
    <row r="805" spans="2:68" x14ac:dyDescent="0.25">
      <c r="B805" s="98" t="s">
        <v>112</v>
      </c>
      <c r="C805" s="98">
        <v>2014</v>
      </c>
      <c r="D805" s="98" t="s">
        <v>274</v>
      </c>
      <c r="E805" s="98" t="s">
        <v>17</v>
      </c>
      <c r="F805" s="98" t="s">
        <v>131</v>
      </c>
      <c r="G805" s="98">
        <v>946.10799999999995</v>
      </c>
      <c r="H805" s="299" t="str">
        <f>VLOOKUP(LEFT('Rev Adequacy'!D805,3),'Mapping B'!$D$2:$E$400,2,0)</f>
        <v>N</v>
      </c>
      <c r="J805" s="20"/>
      <c r="K805" s="20"/>
      <c r="L805" s="20"/>
      <c r="M805" s="20"/>
      <c r="N805" s="20"/>
      <c r="O805" s="97"/>
      <c r="P805" s="97"/>
      <c r="Q805" s="97"/>
      <c r="R805" s="97"/>
      <c r="S805" s="97"/>
      <c r="T805" s="97"/>
      <c r="U805" s="97"/>
      <c r="V805" s="97"/>
      <c r="W805" s="97"/>
      <c r="X805" s="97"/>
      <c r="Y805" s="97"/>
      <c r="Z805" s="97"/>
      <c r="AA805" s="97"/>
      <c r="BP805" s="190"/>
    </row>
    <row r="806" spans="2:68" x14ac:dyDescent="0.25">
      <c r="B806" s="98" t="s">
        <v>112</v>
      </c>
      <c r="C806" s="98">
        <v>2014</v>
      </c>
      <c r="D806" s="98" t="s">
        <v>286</v>
      </c>
      <c r="E806" s="98" t="s">
        <v>17</v>
      </c>
      <c r="F806" s="98" t="s">
        <v>136</v>
      </c>
      <c r="G806" s="98">
        <v>0</v>
      </c>
      <c r="H806" s="299" t="str">
        <f>VLOOKUP(LEFT('Rev Adequacy'!D806,3),'Mapping B'!$D$2:$E$400,2,0)</f>
        <v>N</v>
      </c>
      <c r="J806" s="20"/>
      <c r="K806" s="20"/>
      <c r="L806" s="20"/>
      <c r="M806" s="20"/>
      <c r="N806" s="20"/>
      <c r="O806" s="97"/>
      <c r="P806" s="97"/>
      <c r="Q806" s="97"/>
      <c r="R806" s="97"/>
      <c r="S806" s="97"/>
      <c r="T806" s="97"/>
      <c r="U806" s="97"/>
      <c r="V806" s="97"/>
      <c r="W806" s="97"/>
      <c r="X806" s="97"/>
      <c r="Y806" s="97"/>
      <c r="Z806" s="97"/>
      <c r="AA806" s="97"/>
      <c r="BP806" s="190"/>
    </row>
    <row r="807" spans="2:68" x14ac:dyDescent="0.25">
      <c r="B807" s="98" t="s">
        <v>112</v>
      </c>
      <c r="C807" s="98">
        <v>2014</v>
      </c>
      <c r="D807" s="98" t="s">
        <v>330</v>
      </c>
      <c r="E807" s="98" t="s">
        <v>17</v>
      </c>
      <c r="F807" s="98" t="s">
        <v>131</v>
      </c>
      <c r="G807" s="98">
        <v>135192.384999998</v>
      </c>
      <c r="H807" s="299" t="str">
        <f>VLOOKUP(LEFT('Rev Adequacy'!D807,3),'Mapping B'!$D$2:$E$400,2,0)</f>
        <v>N</v>
      </c>
      <c r="J807" s="20"/>
      <c r="K807" s="20"/>
      <c r="L807" s="20"/>
      <c r="M807" s="20"/>
      <c r="N807" s="20"/>
      <c r="O807" s="97"/>
      <c r="P807" s="97"/>
      <c r="Q807" s="97"/>
      <c r="R807" s="97"/>
      <c r="S807" s="97"/>
      <c r="T807" s="97"/>
      <c r="U807" s="97"/>
      <c r="V807" s="97"/>
      <c r="W807" s="97"/>
      <c r="X807" s="97"/>
      <c r="Y807" s="97"/>
      <c r="Z807" s="97"/>
      <c r="AA807" s="97"/>
      <c r="BP807" s="190"/>
    </row>
    <row r="808" spans="2:68" x14ac:dyDescent="0.25">
      <c r="B808" s="98" t="s">
        <v>112</v>
      </c>
      <c r="C808" s="98">
        <v>2014</v>
      </c>
      <c r="D808" s="98" t="s">
        <v>331</v>
      </c>
      <c r="E808" s="98" t="s">
        <v>17</v>
      </c>
      <c r="F808" s="98" t="s">
        <v>136</v>
      </c>
      <c r="G808" s="98">
        <v>0</v>
      </c>
      <c r="H808" s="299" t="str">
        <f>VLOOKUP(LEFT('Rev Adequacy'!D808,3),'Mapping B'!$D$2:$E$400,2,0)</f>
        <v>N</v>
      </c>
      <c r="J808" s="20"/>
      <c r="K808" s="20"/>
      <c r="L808" s="20"/>
      <c r="M808" s="20"/>
      <c r="N808" s="20"/>
      <c r="O808" s="97"/>
      <c r="P808" s="97"/>
      <c r="Q808" s="97"/>
      <c r="R808" s="97"/>
      <c r="S808" s="97"/>
      <c r="T808" s="97"/>
      <c r="U808" s="97"/>
      <c r="V808" s="97"/>
      <c r="W808" s="97"/>
      <c r="X808" s="97"/>
      <c r="Y808" s="97"/>
      <c r="Z808" s="97"/>
      <c r="AA808" s="97"/>
      <c r="BP808" s="190"/>
    </row>
    <row r="809" spans="2:68" x14ac:dyDescent="0.25">
      <c r="B809" s="98" t="s">
        <v>112</v>
      </c>
      <c r="C809" s="98">
        <v>2014</v>
      </c>
      <c r="D809" s="98" t="s">
        <v>377</v>
      </c>
      <c r="E809" s="98" t="s">
        <v>17</v>
      </c>
      <c r="F809" s="98" t="s">
        <v>136</v>
      </c>
      <c r="G809" s="98">
        <v>0</v>
      </c>
      <c r="H809" s="299" t="str">
        <f>VLOOKUP(LEFT('Rev Adequacy'!D809,3),'Mapping B'!$D$2:$E$400,2,0)</f>
        <v>N</v>
      </c>
      <c r="J809" s="20"/>
      <c r="K809" s="20"/>
      <c r="L809" s="20"/>
      <c r="M809" s="20"/>
      <c r="N809" s="20"/>
      <c r="O809" s="97"/>
      <c r="P809" s="97"/>
      <c r="Q809" s="97"/>
      <c r="R809" s="97"/>
      <c r="S809" s="97"/>
      <c r="T809" s="97"/>
      <c r="U809" s="97"/>
      <c r="V809" s="97"/>
      <c r="W809" s="97"/>
      <c r="X809" s="97"/>
      <c r="Y809" s="97"/>
      <c r="Z809" s="97"/>
      <c r="AA809" s="97"/>
      <c r="BP809" s="190"/>
    </row>
    <row r="810" spans="2:68" x14ac:dyDescent="0.25">
      <c r="B810" s="98" t="s">
        <v>112</v>
      </c>
      <c r="C810" s="98">
        <v>2014</v>
      </c>
      <c r="D810" s="98" t="s">
        <v>379</v>
      </c>
      <c r="E810" s="98" t="s">
        <v>17</v>
      </c>
      <c r="F810" s="98" t="s">
        <v>136</v>
      </c>
      <c r="G810" s="98">
        <v>0</v>
      </c>
      <c r="H810" s="299" t="str">
        <f>VLOOKUP(LEFT('Rev Adequacy'!D810,3),'Mapping B'!$D$2:$E$400,2,0)</f>
        <v>N</v>
      </c>
      <c r="J810" s="20"/>
      <c r="K810" s="20"/>
      <c r="L810" s="20"/>
      <c r="M810" s="20"/>
      <c r="N810" s="20"/>
      <c r="O810" s="97"/>
      <c r="P810" s="97"/>
      <c r="Q810" s="97"/>
      <c r="R810" s="97"/>
      <c r="S810" s="97"/>
      <c r="T810" s="97"/>
      <c r="U810" s="97"/>
      <c r="V810" s="97"/>
      <c r="W810" s="97"/>
      <c r="X810" s="97"/>
      <c r="Y810" s="97"/>
      <c r="Z810" s="97"/>
      <c r="AA810" s="97"/>
      <c r="BP810" s="190"/>
    </row>
    <row r="811" spans="2:68" x14ac:dyDescent="0.25">
      <c r="B811" s="98" t="s">
        <v>112</v>
      </c>
      <c r="C811" s="98">
        <v>2014</v>
      </c>
      <c r="D811" s="98" t="s">
        <v>386</v>
      </c>
      <c r="E811" s="98" t="s">
        <v>17</v>
      </c>
      <c r="F811" s="98" t="s">
        <v>136</v>
      </c>
      <c r="G811" s="98">
        <v>0</v>
      </c>
      <c r="H811" s="299" t="str">
        <f>VLOOKUP(LEFT('Rev Adequacy'!D811,3),'Mapping B'!$D$2:$E$400,2,0)</f>
        <v>N</v>
      </c>
      <c r="J811" s="20"/>
      <c r="K811" s="20"/>
      <c r="L811" s="20"/>
      <c r="M811" s="20"/>
      <c r="N811" s="20"/>
      <c r="O811" s="97"/>
      <c r="P811" s="97"/>
      <c r="Q811" s="97"/>
      <c r="R811" s="97"/>
      <c r="S811" s="97"/>
      <c r="T811" s="97"/>
      <c r="U811" s="97"/>
      <c r="V811" s="97"/>
      <c r="W811" s="97"/>
      <c r="X811" s="97"/>
      <c r="Y811" s="97"/>
      <c r="Z811" s="97"/>
      <c r="AA811" s="97"/>
      <c r="BP811" s="190"/>
    </row>
    <row r="812" spans="2:68" x14ac:dyDescent="0.25">
      <c r="B812" s="98" t="s">
        <v>111</v>
      </c>
      <c r="C812" s="98">
        <v>2014</v>
      </c>
      <c r="D812" s="98" t="s">
        <v>135</v>
      </c>
      <c r="E812" s="98" t="s">
        <v>17</v>
      </c>
      <c r="F812" s="98" t="s">
        <v>136</v>
      </c>
      <c r="G812" s="98">
        <v>0</v>
      </c>
      <c r="H812" s="299" t="str">
        <f>VLOOKUP(LEFT('Rev Adequacy'!D812,3),'Mapping B'!$D$2:$E$400,2,0)</f>
        <v>N</v>
      </c>
      <c r="J812" s="20"/>
      <c r="K812" s="20"/>
      <c r="L812" s="20"/>
      <c r="M812" s="20"/>
      <c r="N812" s="20"/>
      <c r="O812" s="97"/>
      <c r="P812" s="97"/>
      <c r="Q812" s="97"/>
      <c r="R812" s="97"/>
      <c r="S812" s="97"/>
      <c r="T812" s="97"/>
      <c r="U812" s="97"/>
      <c r="V812" s="97"/>
      <c r="W812" s="97"/>
      <c r="X812" s="97"/>
      <c r="Y812" s="97"/>
      <c r="Z812" s="97"/>
      <c r="AA812" s="97"/>
      <c r="BP812" s="190"/>
    </row>
    <row r="813" spans="2:68" x14ac:dyDescent="0.25">
      <c r="B813" s="98" t="s">
        <v>111</v>
      </c>
      <c r="C813" s="98">
        <v>2014</v>
      </c>
      <c r="D813" s="98" t="s">
        <v>140</v>
      </c>
      <c r="E813" s="98" t="s">
        <v>17</v>
      </c>
      <c r="F813" s="98" t="s">
        <v>136</v>
      </c>
      <c r="G813" s="98">
        <v>0</v>
      </c>
      <c r="H813" s="299" t="str">
        <f>VLOOKUP(LEFT('Rev Adequacy'!D813,3),'Mapping B'!$D$2:$E$400,2,0)</f>
        <v>N</v>
      </c>
      <c r="J813" s="20"/>
      <c r="K813" s="20"/>
      <c r="L813" s="20"/>
      <c r="M813" s="20"/>
      <c r="N813" s="20"/>
      <c r="O813" s="97"/>
      <c r="P813" s="97"/>
      <c r="Q813" s="97"/>
      <c r="R813" s="97"/>
      <c r="S813" s="97"/>
      <c r="T813" s="97"/>
      <c r="U813" s="97"/>
      <c r="V813" s="97"/>
      <c r="W813" s="97"/>
      <c r="X813" s="97"/>
      <c r="Y813" s="97"/>
      <c r="Z813" s="97"/>
      <c r="AA813" s="97"/>
      <c r="BP813" s="190"/>
    </row>
    <row r="814" spans="2:68" x14ac:dyDescent="0.25">
      <c r="B814" s="98" t="s">
        <v>111</v>
      </c>
      <c r="C814" s="98">
        <v>2014</v>
      </c>
      <c r="D814" s="98" t="s">
        <v>141</v>
      </c>
      <c r="E814" s="98" t="s">
        <v>17</v>
      </c>
      <c r="F814" s="98" t="s">
        <v>136</v>
      </c>
      <c r="G814" s="98">
        <v>0</v>
      </c>
      <c r="H814" s="299" t="str">
        <f>VLOOKUP(LEFT('Rev Adequacy'!D814,3),'Mapping B'!$D$2:$E$400,2,0)</f>
        <v>N</v>
      </c>
      <c r="J814" s="20"/>
      <c r="K814" s="20"/>
      <c r="L814" s="20"/>
      <c r="M814" s="20"/>
      <c r="N814" s="20"/>
      <c r="O814" s="97"/>
      <c r="P814" s="97"/>
      <c r="Q814" s="97"/>
      <c r="R814" s="97"/>
      <c r="S814" s="97"/>
      <c r="T814" s="97"/>
      <c r="U814" s="97"/>
      <c r="V814" s="97"/>
      <c r="W814" s="97"/>
      <c r="X814" s="97"/>
      <c r="Y814" s="97"/>
      <c r="Z814" s="97"/>
      <c r="AA814" s="97"/>
      <c r="BP814" s="190"/>
    </row>
    <row r="815" spans="2:68" x14ac:dyDescent="0.25">
      <c r="B815" s="98" t="s">
        <v>111</v>
      </c>
      <c r="C815" s="98">
        <v>2014</v>
      </c>
      <c r="D815" s="98" t="s">
        <v>147</v>
      </c>
      <c r="E815" s="98" t="s">
        <v>17</v>
      </c>
      <c r="F815" s="98" t="s">
        <v>136</v>
      </c>
      <c r="G815" s="98">
        <v>0</v>
      </c>
      <c r="H815" s="299" t="str">
        <f>VLOOKUP(LEFT('Rev Adequacy'!D815,3),'Mapping B'!$D$2:$E$400,2,0)</f>
        <v>N</v>
      </c>
      <c r="J815" s="20"/>
      <c r="K815" s="20"/>
      <c r="L815" s="20"/>
      <c r="M815" s="20"/>
      <c r="N815" s="20"/>
      <c r="O815" s="97"/>
      <c r="P815" s="97"/>
      <c r="Q815" s="97"/>
      <c r="R815" s="97"/>
      <c r="S815" s="97"/>
      <c r="T815" s="97"/>
      <c r="U815" s="97"/>
      <c r="V815" s="97"/>
      <c r="W815" s="97"/>
      <c r="X815" s="97"/>
      <c r="Y815" s="97"/>
      <c r="Z815" s="97"/>
      <c r="AA815" s="97"/>
      <c r="BP815" s="190"/>
    </row>
    <row r="816" spans="2:68" x14ac:dyDescent="0.25">
      <c r="B816" s="98" t="s">
        <v>111</v>
      </c>
      <c r="C816" s="98">
        <v>2014</v>
      </c>
      <c r="D816" s="98" t="s">
        <v>432</v>
      </c>
      <c r="E816" s="98" t="s">
        <v>17</v>
      </c>
      <c r="F816" s="98" t="s">
        <v>136</v>
      </c>
      <c r="G816" s="98">
        <v>0</v>
      </c>
      <c r="H816" s="299" t="str">
        <f>VLOOKUP(LEFT('Rev Adequacy'!D816,3),'Mapping B'!$D$2:$E$400,2,0)</f>
        <v>N</v>
      </c>
      <c r="J816" s="20"/>
      <c r="K816" s="20"/>
      <c r="L816" s="20"/>
      <c r="M816" s="20"/>
      <c r="N816" s="20"/>
      <c r="O816" s="97"/>
      <c r="P816" s="97"/>
      <c r="Q816" s="97"/>
      <c r="R816" s="97"/>
      <c r="S816" s="97"/>
      <c r="T816" s="97"/>
      <c r="U816" s="97"/>
      <c r="V816" s="97"/>
      <c r="W816" s="97"/>
      <c r="X816" s="97"/>
      <c r="Y816" s="97"/>
      <c r="Z816" s="97"/>
      <c r="AA816" s="97"/>
      <c r="BP816" s="190"/>
    </row>
    <row r="817" spans="2:68" x14ac:dyDescent="0.25">
      <c r="B817" s="98" t="s">
        <v>111</v>
      </c>
      <c r="C817" s="98">
        <v>2014</v>
      </c>
      <c r="D817" s="98" t="s">
        <v>239</v>
      </c>
      <c r="E817" s="98" t="s">
        <v>17</v>
      </c>
      <c r="F817" s="98" t="s">
        <v>136</v>
      </c>
      <c r="G817" s="98">
        <v>0</v>
      </c>
      <c r="H817" s="299" t="str">
        <f>VLOOKUP(LEFT('Rev Adequacy'!D817,3),'Mapping B'!$D$2:$E$400,2,0)</f>
        <v>N</v>
      </c>
      <c r="J817" s="20"/>
      <c r="K817" s="20"/>
      <c r="L817" s="20"/>
      <c r="M817" s="20"/>
      <c r="N817" s="20"/>
      <c r="O817" s="97"/>
      <c r="P817" s="97"/>
      <c r="Q817" s="97"/>
      <c r="R817" s="97"/>
      <c r="S817" s="97"/>
      <c r="T817" s="97"/>
      <c r="U817" s="97"/>
      <c r="V817" s="97"/>
      <c r="W817" s="97"/>
      <c r="X817" s="97"/>
      <c r="Y817" s="97"/>
      <c r="Z817" s="97"/>
      <c r="AA817" s="97"/>
      <c r="BP817" s="190"/>
    </row>
    <row r="818" spans="2:68" x14ac:dyDescent="0.25">
      <c r="B818" s="98" t="s">
        <v>111</v>
      </c>
      <c r="C818" s="98">
        <v>2014</v>
      </c>
      <c r="D818" s="98" t="s">
        <v>267</v>
      </c>
      <c r="E818" s="98" t="s">
        <v>17</v>
      </c>
      <c r="F818" s="98" t="s">
        <v>136</v>
      </c>
      <c r="G818" s="98">
        <v>0</v>
      </c>
      <c r="H818" s="299" t="str">
        <f>VLOOKUP(LEFT('Rev Adequacy'!D818,3),'Mapping B'!$D$2:$E$400,2,0)</f>
        <v>N</v>
      </c>
      <c r="J818" s="20"/>
      <c r="K818" s="20"/>
      <c r="L818" s="20"/>
      <c r="M818" s="20"/>
      <c r="N818" s="20"/>
      <c r="O818" s="97"/>
      <c r="P818" s="97"/>
      <c r="Q818" s="97"/>
      <c r="R818" s="97"/>
      <c r="S818" s="97"/>
      <c r="T818" s="97"/>
      <c r="U818" s="97"/>
      <c r="V818" s="97"/>
      <c r="W818" s="97"/>
      <c r="X818" s="97"/>
      <c r="Y818" s="97"/>
      <c r="Z818" s="97"/>
      <c r="AA818" s="97"/>
      <c r="BP818" s="190"/>
    </row>
    <row r="819" spans="2:68" x14ac:dyDescent="0.25">
      <c r="B819" s="98" t="s">
        <v>111</v>
      </c>
      <c r="C819" s="98">
        <v>2014</v>
      </c>
      <c r="D819" s="98" t="s">
        <v>274</v>
      </c>
      <c r="E819" s="98" t="s">
        <v>17</v>
      </c>
      <c r="F819" s="98" t="s">
        <v>131</v>
      </c>
      <c r="G819" s="98">
        <v>475.56900000000002</v>
      </c>
      <c r="H819" s="299" t="str">
        <f>VLOOKUP(LEFT('Rev Adequacy'!D819,3),'Mapping B'!$D$2:$E$400,2,0)</f>
        <v>N</v>
      </c>
      <c r="J819" s="20"/>
      <c r="K819" s="20"/>
      <c r="L819" s="20"/>
      <c r="M819" s="20"/>
      <c r="N819" s="20"/>
      <c r="O819" s="97"/>
      <c r="P819" s="97"/>
      <c r="Q819" s="97"/>
      <c r="R819" s="97"/>
      <c r="S819" s="97"/>
      <c r="T819" s="97"/>
      <c r="U819" s="97"/>
      <c r="V819" s="97"/>
      <c r="W819" s="97"/>
      <c r="X819" s="97"/>
      <c r="Y819" s="97"/>
      <c r="Z819" s="97"/>
      <c r="AA819" s="97"/>
      <c r="BP819" s="190"/>
    </row>
    <row r="820" spans="2:68" x14ac:dyDescent="0.25">
      <c r="B820" s="98" t="s">
        <v>111</v>
      </c>
      <c r="C820" s="98">
        <v>2014</v>
      </c>
      <c r="D820" s="98" t="s">
        <v>286</v>
      </c>
      <c r="E820" s="98" t="s">
        <v>17</v>
      </c>
      <c r="F820" s="98" t="s">
        <v>136</v>
      </c>
      <c r="G820" s="98">
        <v>0</v>
      </c>
      <c r="H820" s="299" t="str">
        <f>VLOOKUP(LEFT('Rev Adequacy'!D820,3),'Mapping B'!$D$2:$E$400,2,0)</f>
        <v>N</v>
      </c>
      <c r="J820" s="20"/>
      <c r="K820" s="20"/>
      <c r="L820" s="20"/>
      <c r="M820" s="20"/>
      <c r="N820" s="20"/>
      <c r="O820" s="97"/>
      <c r="P820" s="97"/>
      <c r="Q820" s="97"/>
      <c r="R820" s="97"/>
      <c r="S820" s="97"/>
      <c r="T820" s="97"/>
      <c r="U820" s="97"/>
      <c r="V820" s="97"/>
      <c r="W820" s="97"/>
      <c r="X820" s="97"/>
      <c r="Y820" s="97"/>
      <c r="Z820" s="97"/>
      <c r="AA820" s="97"/>
      <c r="BP820" s="190"/>
    </row>
    <row r="821" spans="2:68" x14ac:dyDescent="0.25">
      <c r="B821" s="98" t="s">
        <v>111</v>
      </c>
      <c r="C821" s="98">
        <v>2014</v>
      </c>
      <c r="D821" s="98" t="s">
        <v>330</v>
      </c>
      <c r="E821" s="98" t="s">
        <v>17</v>
      </c>
      <c r="F821" s="98" t="s">
        <v>131</v>
      </c>
      <c r="G821" s="98">
        <v>23804.7049999999</v>
      </c>
      <c r="H821" s="299" t="str">
        <f>VLOOKUP(LEFT('Rev Adequacy'!D821,3),'Mapping B'!$D$2:$E$400,2,0)</f>
        <v>N</v>
      </c>
      <c r="J821" s="20"/>
      <c r="K821" s="20"/>
      <c r="L821" s="20"/>
      <c r="M821" s="20"/>
      <c r="N821" s="20"/>
      <c r="O821" s="97"/>
      <c r="P821" s="97"/>
      <c r="Q821" s="97"/>
      <c r="R821" s="97"/>
      <c r="S821" s="97"/>
      <c r="T821" s="97"/>
      <c r="U821" s="97"/>
      <c r="V821" s="97"/>
      <c r="W821" s="97"/>
      <c r="X821" s="97"/>
      <c r="Y821" s="97"/>
      <c r="Z821" s="97"/>
      <c r="AA821" s="97"/>
      <c r="BP821" s="190"/>
    </row>
    <row r="822" spans="2:68" x14ac:dyDescent="0.25">
      <c r="B822" s="98" t="s">
        <v>111</v>
      </c>
      <c r="C822" s="98">
        <v>2014</v>
      </c>
      <c r="D822" s="98" t="s">
        <v>331</v>
      </c>
      <c r="E822" s="98" t="s">
        <v>17</v>
      </c>
      <c r="F822" s="98" t="s">
        <v>136</v>
      </c>
      <c r="G822" s="98">
        <v>0</v>
      </c>
      <c r="H822" s="299" t="str">
        <f>VLOOKUP(LEFT('Rev Adequacy'!D822,3),'Mapping B'!$D$2:$E$400,2,0)</f>
        <v>N</v>
      </c>
      <c r="J822" s="20"/>
      <c r="K822" s="20"/>
      <c r="L822" s="20"/>
      <c r="M822" s="20"/>
      <c r="N822" s="20"/>
      <c r="O822" s="97"/>
      <c r="P822" s="97"/>
      <c r="Q822" s="97"/>
      <c r="R822" s="97"/>
      <c r="S822" s="97"/>
      <c r="T822" s="97"/>
      <c r="U822" s="97"/>
      <c r="V822" s="97"/>
      <c r="W822" s="97"/>
      <c r="X822" s="97"/>
      <c r="Y822" s="97"/>
      <c r="Z822" s="97"/>
      <c r="AA822" s="97"/>
      <c r="BP822" s="190"/>
    </row>
    <row r="823" spans="2:68" x14ac:dyDescent="0.25">
      <c r="B823" s="98" t="s">
        <v>111</v>
      </c>
      <c r="C823" s="98">
        <v>2014</v>
      </c>
      <c r="D823" s="98" t="s">
        <v>377</v>
      </c>
      <c r="E823" s="98" t="s">
        <v>17</v>
      </c>
      <c r="F823" s="98" t="s">
        <v>136</v>
      </c>
      <c r="G823" s="98">
        <v>0</v>
      </c>
      <c r="H823" s="299" t="str">
        <f>VLOOKUP(LEFT('Rev Adequacy'!D823,3),'Mapping B'!$D$2:$E$400,2,0)</f>
        <v>N</v>
      </c>
      <c r="J823" s="20"/>
      <c r="K823" s="20"/>
      <c r="L823" s="20"/>
      <c r="M823" s="20"/>
      <c r="N823" s="20"/>
      <c r="O823" s="97"/>
      <c r="P823" s="97"/>
      <c r="Q823" s="97"/>
      <c r="R823" s="97"/>
      <c r="S823" s="97"/>
      <c r="T823" s="97"/>
      <c r="U823" s="97"/>
      <c r="V823" s="97"/>
      <c r="W823" s="97"/>
      <c r="X823" s="97"/>
      <c r="Y823" s="97"/>
      <c r="Z823" s="97"/>
      <c r="AA823" s="97"/>
      <c r="BP823" s="190"/>
    </row>
    <row r="824" spans="2:68" x14ac:dyDescent="0.25">
      <c r="B824" s="98" t="s">
        <v>111</v>
      </c>
      <c r="C824" s="98">
        <v>2014</v>
      </c>
      <c r="D824" s="98" t="s">
        <v>379</v>
      </c>
      <c r="E824" s="98" t="s">
        <v>17</v>
      </c>
      <c r="F824" s="98" t="s">
        <v>136</v>
      </c>
      <c r="G824" s="98">
        <v>0</v>
      </c>
      <c r="H824" s="299" t="str">
        <f>VLOOKUP(LEFT('Rev Adequacy'!D824,3),'Mapping B'!$D$2:$E$400,2,0)</f>
        <v>N</v>
      </c>
      <c r="J824" s="20"/>
      <c r="K824" s="20"/>
      <c r="L824" s="20"/>
      <c r="M824" s="20"/>
      <c r="N824" s="20"/>
      <c r="O824" s="97"/>
      <c r="P824" s="97"/>
      <c r="Q824" s="97"/>
      <c r="R824" s="97"/>
      <c r="S824" s="97"/>
      <c r="T824" s="97"/>
      <c r="U824" s="97"/>
      <c r="V824" s="97"/>
      <c r="W824" s="97"/>
      <c r="X824" s="97"/>
      <c r="Y824" s="97"/>
      <c r="Z824" s="97"/>
      <c r="AA824" s="97"/>
      <c r="BP824" s="190"/>
    </row>
    <row r="825" spans="2:68" x14ac:dyDescent="0.25">
      <c r="B825" s="98" t="s">
        <v>111</v>
      </c>
      <c r="C825" s="98">
        <v>2014</v>
      </c>
      <c r="D825" s="98" t="s">
        <v>386</v>
      </c>
      <c r="E825" s="98" t="s">
        <v>17</v>
      </c>
      <c r="F825" s="98" t="s">
        <v>136</v>
      </c>
      <c r="G825" s="98">
        <v>0</v>
      </c>
      <c r="H825" s="299" t="str">
        <f>VLOOKUP(LEFT('Rev Adequacy'!D825,3),'Mapping B'!$D$2:$E$400,2,0)</f>
        <v>N</v>
      </c>
      <c r="J825" s="20"/>
      <c r="K825" s="20"/>
      <c r="L825" s="20"/>
      <c r="M825" s="20"/>
      <c r="N825" s="20"/>
      <c r="O825" s="97"/>
      <c r="P825" s="97"/>
      <c r="Q825" s="97"/>
      <c r="R825" s="97"/>
      <c r="S825" s="97"/>
      <c r="T825" s="97"/>
      <c r="U825" s="97"/>
      <c r="V825" s="97"/>
      <c r="W825" s="97"/>
      <c r="X825" s="97"/>
      <c r="Y825" s="97"/>
      <c r="Z825" s="97"/>
      <c r="AA825" s="97"/>
      <c r="BP825" s="190"/>
    </row>
    <row r="826" spans="2:68" x14ac:dyDescent="0.25">
      <c r="B826" s="98" t="s">
        <v>552</v>
      </c>
      <c r="C826" s="98">
        <v>2014</v>
      </c>
      <c r="D826" s="98" t="s">
        <v>273</v>
      </c>
      <c r="E826" s="98" t="s">
        <v>18</v>
      </c>
      <c r="F826" s="98" t="s">
        <v>136</v>
      </c>
      <c r="G826" s="248">
        <v>0</v>
      </c>
      <c r="H826" s="299" t="str">
        <f>VLOOKUP(LEFT('Rev Adequacy'!D826,3),'Mapping B'!$D$2:$E$400,2,0)</f>
        <v>N</v>
      </c>
      <c r="J826" s="20"/>
      <c r="K826" s="20"/>
      <c r="L826" s="20"/>
      <c r="M826" s="20"/>
      <c r="N826" s="20"/>
      <c r="O826" s="97"/>
      <c r="P826" s="97"/>
      <c r="Q826" s="97"/>
      <c r="R826" s="97"/>
      <c r="S826" s="97"/>
      <c r="T826" s="97"/>
      <c r="U826" s="97"/>
      <c r="V826" s="97"/>
      <c r="W826" s="97"/>
      <c r="X826" s="97"/>
      <c r="Y826" s="97"/>
      <c r="Z826" s="97"/>
      <c r="AA826" s="97"/>
      <c r="BP826" s="190"/>
    </row>
    <row r="827" spans="2:68" x14ac:dyDescent="0.25">
      <c r="B827" s="98" t="s">
        <v>553</v>
      </c>
      <c r="C827" s="98">
        <v>2014</v>
      </c>
      <c r="D827" s="98" t="s">
        <v>273</v>
      </c>
      <c r="E827" s="98" t="s">
        <v>18</v>
      </c>
      <c r="F827" s="98" t="s">
        <v>136</v>
      </c>
      <c r="G827" s="248">
        <v>0</v>
      </c>
      <c r="H827" s="299" t="str">
        <f>VLOOKUP(LEFT('Rev Adequacy'!D827,3),'Mapping B'!$D$2:$E$400,2,0)</f>
        <v>N</v>
      </c>
      <c r="J827" s="20"/>
      <c r="K827" s="20"/>
      <c r="L827" s="20"/>
      <c r="M827" s="20"/>
      <c r="N827" s="20"/>
      <c r="O827" s="97"/>
      <c r="P827" s="97"/>
      <c r="Q827" s="97"/>
      <c r="R827" s="97"/>
      <c r="S827" s="97"/>
      <c r="T827" s="97"/>
      <c r="U827" s="97"/>
      <c r="V827" s="97"/>
      <c r="W827" s="97"/>
      <c r="X827" s="97"/>
      <c r="Y827" s="97"/>
      <c r="Z827" s="97"/>
      <c r="AA827" s="97"/>
      <c r="BP827" s="190"/>
    </row>
    <row r="828" spans="2:68" x14ac:dyDescent="0.25">
      <c r="B828" s="98" t="s">
        <v>554</v>
      </c>
      <c r="C828" s="98">
        <v>2014</v>
      </c>
      <c r="D828" s="98" t="s">
        <v>273</v>
      </c>
      <c r="E828" s="98" t="s">
        <v>18</v>
      </c>
      <c r="F828" s="98" t="s">
        <v>136</v>
      </c>
      <c r="G828" s="98">
        <v>191932.10600000099</v>
      </c>
      <c r="H828" s="299" t="str">
        <f>VLOOKUP(LEFT('Rev Adequacy'!D828,3),'Mapping B'!$D$2:$E$400,2,0)</f>
        <v>N</v>
      </c>
      <c r="J828" s="20"/>
      <c r="K828" s="20"/>
      <c r="L828" s="20"/>
      <c r="M828" s="20"/>
      <c r="N828" s="20"/>
      <c r="O828" s="97"/>
      <c r="P828" s="97"/>
      <c r="Q828" s="97"/>
      <c r="R828" s="97"/>
      <c r="S828" s="97"/>
      <c r="T828" s="97"/>
      <c r="U828" s="97"/>
      <c r="V828" s="97"/>
      <c r="W828" s="97"/>
      <c r="X828" s="97"/>
      <c r="Y828" s="97"/>
      <c r="Z828" s="97"/>
      <c r="AA828" s="97"/>
      <c r="BP828" s="190"/>
    </row>
    <row r="829" spans="2:68" x14ac:dyDescent="0.25">
      <c r="B829" s="98" t="s">
        <v>563</v>
      </c>
      <c r="C829" s="98">
        <v>2014</v>
      </c>
      <c r="D829" s="98" t="s">
        <v>273</v>
      </c>
      <c r="E829" s="98" t="s">
        <v>18</v>
      </c>
      <c r="F829" s="98" t="s">
        <v>136</v>
      </c>
      <c r="G829" s="98">
        <v>0</v>
      </c>
      <c r="H829" s="299" t="str">
        <f>VLOOKUP(LEFT('Rev Adequacy'!D829,3),'Mapping B'!$D$2:$E$400,2,0)</f>
        <v>N</v>
      </c>
      <c r="J829" s="20"/>
      <c r="K829" s="20"/>
      <c r="L829" s="20"/>
      <c r="M829" s="20"/>
      <c r="N829" s="20"/>
      <c r="O829" s="97"/>
      <c r="P829" s="97"/>
      <c r="Q829" s="97"/>
      <c r="R829" s="97"/>
      <c r="S829" s="97"/>
      <c r="T829" s="97"/>
      <c r="U829" s="97"/>
      <c r="V829" s="97"/>
      <c r="W829" s="97"/>
      <c r="X829" s="97"/>
      <c r="Y829" s="97"/>
      <c r="Z829" s="97"/>
      <c r="AA829" s="97"/>
      <c r="BP829" s="190"/>
    </row>
    <row r="830" spans="2:68" x14ac:dyDescent="0.25">
      <c r="B830" s="98" t="s">
        <v>555</v>
      </c>
      <c r="C830" s="98">
        <v>2014</v>
      </c>
      <c r="D830" s="98" t="s">
        <v>273</v>
      </c>
      <c r="E830" s="98" t="s">
        <v>18</v>
      </c>
      <c r="F830" s="98" t="s">
        <v>136</v>
      </c>
      <c r="G830" s="98">
        <v>1180990.32699999</v>
      </c>
      <c r="H830" s="299" t="str">
        <f>VLOOKUP(LEFT('Rev Adequacy'!D830,3),'Mapping B'!$D$2:$E$400,2,0)</f>
        <v>N</v>
      </c>
      <c r="J830" s="20"/>
      <c r="K830" s="20"/>
      <c r="L830" s="20"/>
      <c r="M830" s="20"/>
      <c r="N830" s="20"/>
      <c r="O830" s="97"/>
      <c r="P830" s="97"/>
      <c r="Q830" s="97"/>
      <c r="R830" s="97"/>
      <c r="S830" s="97"/>
      <c r="T830" s="97"/>
      <c r="U830" s="97"/>
      <c r="V830" s="97"/>
      <c r="W830" s="97"/>
      <c r="X830" s="97"/>
      <c r="Y830" s="97"/>
      <c r="Z830" s="97"/>
      <c r="AA830" s="97"/>
      <c r="BP830" s="190"/>
    </row>
    <row r="831" spans="2:68" x14ac:dyDescent="0.25">
      <c r="B831" s="98" t="s">
        <v>112</v>
      </c>
      <c r="C831" s="98">
        <v>2014</v>
      </c>
      <c r="D831" s="98" t="s">
        <v>273</v>
      </c>
      <c r="E831" s="98" t="s">
        <v>18</v>
      </c>
      <c r="F831" s="98" t="s">
        <v>136</v>
      </c>
      <c r="G831" s="98">
        <v>0</v>
      </c>
      <c r="H831" s="299" t="str">
        <f>VLOOKUP(LEFT('Rev Adequacy'!D831,3),'Mapping B'!$D$2:$E$400,2,0)</f>
        <v>N</v>
      </c>
      <c r="J831" s="20"/>
      <c r="K831" s="20"/>
      <c r="L831" s="20"/>
      <c r="M831" s="20"/>
      <c r="N831" s="20"/>
      <c r="O831" s="97"/>
      <c r="P831" s="97"/>
      <c r="Q831" s="97"/>
      <c r="R831" s="97"/>
      <c r="S831" s="97"/>
      <c r="T831" s="97"/>
      <c r="U831" s="97"/>
      <c r="V831" s="97"/>
      <c r="W831" s="97"/>
      <c r="X831" s="97"/>
      <c r="Y831" s="97"/>
      <c r="Z831" s="97"/>
      <c r="AA831" s="97"/>
      <c r="BP831" s="190"/>
    </row>
    <row r="832" spans="2:68" x14ac:dyDescent="0.25">
      <c r="B832" s="98" t="s">
        <v>111</v>
      </c>
      <c r="C832" s="98">
        <v>2014</v>
      </c>
      <c r="D832" s="98" t="s">
        <v>273</v>
      </c>
      <c r="E832" s="98" t="s">
        <v>18</v>
      </c>
      <c r="F832" s="98" t="s">
        <v>136</v>
      </c>
      <c r="G832" s="98">
        <v>0</v>
      </c>
      <c r="H832" s="299" t="str">
        <f>VLOOKUP(LEFT('Rev Adequacy'!D832,3),'Mapping B'!$D$2:$E$400,2,0)</f>
        <v>N</v>
      </c>
      <c r="J832" s="20"/>
      <c r="K832" s="20"/>
      <c r="L832" s="20"/>
      <c r="M832" s="20"/>
      <c r="N832" s="20"/>
      <c r="O832" s="97"/>
      <c r="P832" s="97"/>
      <c r="Q832" s="97"/>
      <c r="R832" s="97"/>
      <c r="S832" s="97"/>
      <c r="T832" s="97"/>
      <c r="U832" s="97"/>
      <c r="V832" s="97"/>
      <c r="W832" s="97"/>
      <c r="X832" s="97"/>
      <c r="Y832" s="97"/>
      <c r="Z832" s="97"/>
      <c r="AA832" s="97"/>
      <c r="BP832" s="190"/>
    </row>
    <row r="833" spans="2:68" x14ac:dyDescent="0.25">
      <c r="B833" s="98" t="s">
        <v>552</v>
      </c>
      <c r="C833" s="98">
        <v>2014</v>
      </c>
      <c r="D833" s="98" t="s">
        <v>232</v>
      </c>
      <c r="E833" s="98" t="s">
        <v>19</v>
      </c>
      <c r="F833" s="98" t="s">
        <v>131</v>
      </c>
      <c r="G833" s="248">
        <v>1415.81700000003</v>
      </c>
      <c r="H833" s="299" t="str">
        <f>VLOOKUP(LEFT('Rev Adequacy'!D833,3),'Mapping B'!$D$2:$E$400,2,0)</f>
        <v>S</v>
      </c>
      <c r="J833" s="20"/>
      <c r="K833" s="20"/>
      <c r="L833" s="20"/>
      <c r="M833" s="20"/>
      <c r="N833" s="20"/>
      <c r="O833" s="97"/>
      <c r="P833" s="97"/>
      <c r="Q833" s="97"/>
      <c r="R833" s="97"/>
      <c r="S833" s="97"/>
      <c r="T833" s="97"/>
      <c r="U833" s="97"/>
      <c r="V833" s="97"/>
      <c r="W833" s="97"/>
      <c r="X833" s="97"/>
      <c r="Y833" s="97"/>
      <c r="Z833" s="97"/>
      <c r="AA833" s="97"/>
      <c r="BP833" s="190"/>
    </row>
    <row r="834" spans="2:68" x14ac:dyDescent="0.25">
      <c r="B834" s="98" t="s">
        <v>552</v>
      </c>
      <c r="C834" s="98">
        <v>2014</v>
      </c>
      <c r="D834" s="98" t="s">
        <v>253</v>
      </c>
      <c r="E834" s="98" t="s">
        <v>19</v>
      </c>
      <c r="F834" s="98" t="s">
        <v>131</v>
      </c>
      <c r="G834" s="248">
        <v>1419.5140000000099</v>
      </c>
      <c r="H834" s="299" t="str">
        <f>VLOOKUP(LEFT('Rev Adequacy'!D834,3),'Mapping B'!$D$2:$E$400,2,0)</f>
        <v>S</v>
      </c>
      <c r="J834" s="20"/>
      <c r="K834" s="20"/>
      <c r="L834" s="20"/>
      <c r="M834" s="20"/>
      <c r="N834" s="20"/>
      <c r="O834" s="97"/>
      <c r="P834" s="97"/>
      <c r="Q834" s="97"/>
      <c r="R834" s="97"/>
      <c r="S834" s="97"/>
      <c r="T834" s="97"/>
      <c r="U834" s="97"/>
      <c r="V834" s="97"/>
      <c r="W834" s="97"/>
      <c r="X834" s="97"/>
      <c r="Y834" s="97"/>
      <c r="Z834" s="97"/>
      <c r="AA834" s="97"/>
      <c r="BP834" s="190"/>
    </row>
    <row r="835" spans="2:68" x14ac:dyDescent="0.25">
      <c r="B835" s="98" t="s">
        <v>552</v>
      </c>
      <c r="C835" s="98">
        <v>2014</v>
      </c>
      <c r="D835" s="98" t="s">
        <v>325</v>
      </c>
      <c r="E835" s="98" t="s">
        <v>19</v>
      </c>
      <c r="F835" s="98" t="s">
        <v>131</v>
      </c>
      <c r="G835" s="248">
        <v>87404.777999999802</v>
      </c>
      <c r="H835" s="299" t="str">
        <f>VLOOKUP(LEFT('Rev Adequacy'!D835,3),'Mapping B'!$D$2:$E$400,2,0)</f>
        <v>S</v>
      </c>
      <c r="J835" s="20"/>
      <c r="K835" s="20"/>
      <c r="L835" s="20"/>
      <c r="M835" s="20"/>
      <c r="N835" s="20"/>
      <c r="O835" s="97"/>
      <c r="P835" s="97"/>
      <c r="Q835" s="97"/>
      <c r="R835" s="97"/>
      <c r="S835" s="97"/>
      <c r="T835" s="97"/>
      <c r="U835" s="97"/>
      <c r="V835" s="97"/>
      <c r="W835" s="97"/>
      <c r="X835" s="97"/>
      <c r="Y835" s="97"/>
      <c r="Z835" s="97"/>
      <c r="AA835" s="97"/>
      <c r="BP835" s="190"/>
    </row>
    <row r="836" spans="2:68" x14ac:dyDescent="0.25">
      <c r="B836" s="98" t="s">
        <v>553</v>
      </c>
      <c r="C836" s="98">
        <v>2014</v>
      </c>
      <c r="D836" s="98" t="s">
        <v>232</v>
      </c>
      <c r="E836" s="98" t="s">
        <v>19</v>
      </c>
      <c r="F836" s="98" t="s">
        <v>131</v>
      </c>
      <c r="G836" s="248">
        <v>4426.3189999999704</v>
      </c>
      <c r="H836" s="299" t="str">
        <f>VLOOKUP(LEFT('Rev Adequacy'!D836,3),'Mapping B'!$D$2:$E$400,2,0)</f>
        <v>S</v>
      </c>
      <c r="J836" s="20"/>
      <c r="K836" s="20"/>
      <c r="L836" s="20"/>
      <c r="M836" s="20"/>
      <c r="N836" s="20"/>
      <c r="O836" s="97"/>
      <c r="P836" s="97"/>
      <c r="Q836" s="97"/>
      <c r="R836" s="97"/>
      <c r="S836" s="97"/>
      <c r="T836" s="97"/>
      <c r="U836" s="97"/>
      <c r="V836" s="97"/>
      <c r="W836" s="97"/>
      <c r="X836" s="97"/>
      <c r="Y836" s="97"/>
      <c r="Z836" s="97"/>
      <c r="AA836" s="97"/>
      <c r="BP836" s="190"/>
    </row>
    <row r="837" spans="2:68" x14ac:dyDescent="0.25">
      <c r="B837" s="98" t="s">
        <v>553</v>
      </c>
      <c r="C837" s="98">
        <v>2014</v>
      </c>
      <c r="D837" s="98" t="s">
        <v>253</v>
      </c>
      <c r="E837" s="98" t="s">
        <v>19</v>
      </c>
      <c r="F837" s="98" t="s">
        <v>131</v>
      </c>
      <c r="G837" s="248">
        <v>4073.7649999999599</v>
      </c>
      <c r="H837" s="299" t="str">
        <f>VLOOKUP(LEFT('Rev Adequacy'!D837,3),'Mapping B'!$D$2:$E$400,2,0)</f>
        <v>S</v>
      </c>
      <c r="J837" s="20"/>
      <c r="K837" s="20"/>
      <c r="L837" s="20"/>
      <c r="M837" s="20"/>
      <c r="N837" s="20"/>
      <c r="O837" s="97"/>
      <c r="P837" s="97"/>
      <c r="Q837" s="97"/>
      <c r="R837" s="97"/>
      <c r="S837" s="97"/>
      <c r="T837" s="97"/>
      <c r="U837" s="97"/>
      <c r="V837" s="97"/>
      <c r="W837" s="97"/>
      <c r="X837" s="97"/>
      <c r="Y837" s="97"/>
      <c r="Z837" s="97"/>
      <c r="AA837" s="97"/>
      <c r="BP837" s="190"/>
    </row>
    <row r="838" spans="2:68" x14ac:dyDescent="0.25">
      <c r="B838" s="98" t="s">
        <v>553</v>
      </c>
      <c r="C838" s="98">
        <v>2014</v>
      </c>
      <c r="D838" s="98" t="s">
        <v>325</v>
      </c>
      <c r="E838" s="98" t="s">
        <v>19</v>
      </c>
      <c r="F838" s="98" t="s">
        <v>131</v>
      </c>
      <c r="G838" s="248">
        <v>289540.99200000498</v>
      </c>
      <c r="H838" s="299" t="str">
        <f>VLOOKUP(LEFT('Rev Adequacy'!D838,3),'Mapping B'!$D$2:$E$400,2,0)</f>
        <v>S</v>
      </c>
      <c r="J838" s="20"/>
      <c r="K838" s="20"/>
      <c r="L838" s="20"/>
      <c r="M838" s="20"/>
      <c r="N838" s="20"/>
      <c r="O838" s="97"/>
      <c r="P838" s="97"/>
      <c r="Q838" s="97"/>
      <c r="R838" s="97"/>
      <c r="S838" s="97"/>
      <c r="T838" s="97"/>
      <c r="U838" s="97"/>
      <c r="V838" s="97"/>
      <c r="W838" s="97"/>
      <c r="X838" s="97"/>
      <c r="Y838" s="97"/>
      <c r="Z838" s="97"/>
      <c r="AA838" s="97"/>
      <c r="BP838" s="190"/>
    </row>
    <row r="839" spans="2:68" x14ac:dyDescent="0.25">
      <c r="B839" s="98" t="s">
        <v>554</v>
      </c>
      <c r="C839" s="98">
        <v>2014</v>
      </c>
      <c r="D839" s="98" t="s">
        <v>232</v>
      </c>
      <c r="E839" s="98" t="s">
        <v>19</v>
      </c>
      <c r="F839" s="98" t="s">
        <v>131</v>
      </c>
      <c r="G839" s="98">
        <v>7636.2939999999899</v>
      </c>
      <c r="H839" s="299" t="str">
        <f>VLOOKUP(LEFT('Rev Adequacy'!D839,3),'Mapping B'!$D$2:$E$400,2,0)</f>
        <v>S</v>
      </c>
      <c r="J839" s="20"/>
      <c r="K839" s="20"/>
      <c r="L839" s="20"/>
      <c r="M839" s="20"/>
      <c r="N839" s="20"/>
      <c r="O839" s="97"/>
      <c r="P839" s="97"/>
      <c r="Q839" s="97"/>
      <c r="R839" s="97"/>
      <c r="S839" s="97"/>
      <c r="T839" s="97"/>
      <c r="U839" s="97"/>
      <c r="V839" s="97"/>
      <c r="W839" s="97"/>
      <c r="X839" s="97"/>
      <c r="Y839" s="97"/>
      <c r="Z839" s="97"/>
      <c r="AA839" s="97"/>
      <c r="BP839" s="190"/>
    </row>
    <row r="840" spans="2:68" x14ac:dyDescent="0.25">
      <c r="B840" s="98" t="s">
        <v>554</v>
      </c>
      <c r="C840" s="98">
        <v>2014</v>
      </c>
      <c r="D840" s="98" t="s">
        <v>253</v>
      </c>
      <c r="E840" s="98" t="s">
        <v>19</v>
      </c>
      <c r="F840" s="98" t="s">
        <v>131</v>
      </c>
      <c r="G840" s="98">
        <v>7092.8490000000002</v>
      </c>
      <c r="H840" s="299" t="str">
        <f>VLOOKUP(LEFT('Rev Adequacy'!D840,3),'Mapping B'!$D$2:$E$400,2,0)</f>
        <v>S</v>
      </c>
      <c r="J840" s="20"/>
      <c r="K840" s="20"/>
      <c r="L840" s="20"/>
      <c r="M840" s="20"/>
      <c r="N840" s="20"/>
      <c r="O840" s="97"/>
      <c r="P840" s="97"/>
      <c r="Q840" s="97"/>
      <c r="R840" s="97"/>
      <c r="S840" s="97"/>
      <c r="T840" s="97"/>
      <c r="U840" s="97"/>
      <c r="V840" s="97"/>
      <c r="W840" s="97"/>
      <c r="X840" s="97"/>
      <c r="Y840" s="97"/>
      <c r="Z840" s="97"/>
      <c r="AA840" s="97"/>
      <c r="BP840" s="190"/>
    </row>
    <row r="841" spans="2:68" x14ac:dyDescent="0.25">
      <c r="B841" s="98" t="s">
        <v>554</v>
      </c>
      <c r="C841" s="98">
        <v>2014</v>
      </c>
      <c r="D841" s="98" t="s">
        <v>325</v>
      </c>
      <c r="E841" s="98" t="s">
        <v>19</v>
      </c>
      <c r="F841" s="98" t="s">
        <v>131</v>
      </c>
      <c r="G841" s="98">
        <v>58487.124999996697</v>
      </c>
      <c r="H841" s="299" t="str">
        <f>VLOOKUP(LEFT('Rev Adequacy'!D841,3),'Mapping B'!$D$2:$E$400,2,0)</f>
        <v>S</v>
      </c>
      <c r="J841" s="20"/>
      <c r="K841" s="20"/>
      <c r="L841" s="20"/>
      <c r="M841" s="20"/>
      <c r="N841" s="20"/>
      <c r="O841" s="97"/>
      <c r="P841" s="97"/>
      <c r="Q841" s="97"/>
      <c r="R841" s="97"/>
      <c r="S841" s="97"/>
      <c r="T841" s="97"/>
      <c r="U841" s="97"/>
      <c r="V841" s="97"/>
      <c r="W841" s="97"/>
      <c r="X841" s="97"/>
      <c r="Y841" s="97"/>
      <c r="Z841" s="97"/>
      <c r="AA841" s="97"/>
      <c r="BP841" s="190"/>
    </row>
    <row r="842" spans="2:68" x14ac:dyDescent="0.25">
      <c r="B842" s="98" t="s">
        <v>563</v>
      </c>
      <c r="C842" s="98">
        <v>2014</v>
      </c>
      <c r="D842" s="98" t="s">
        <v>232</v>
      </c>
      <c r="E842" s="98" t="s">
        <v>19</v>
      </c>
      <c r="F842" s="98" t="s">
        <v>131</v>
      </c>
      <c r="G842" s="98">
        <v>26603.63</v>
      </c>
      <c r="H842" s="299" t="str">
        <f>VLOOKUP(LEFT('Rev Adequacy'!D842,3),'Mapping B'!$D$2:$E$400,2,0)</f>
        <v>S</v>
      </c>
      <c r="J842" s="20"/>
      <c r="K842" s="20"/>
      <c r="L842" s="20"/>
      <c r="M842" s="20"/>
      <c r="N842" s="20"/>
      <c r="O842" s="97"/>
      <c r="P842" s="97"/>
      <c r="Q842" s="97"/>
      <c r="R842" s="97"/>
      <c r="S842" s="97"/>
      <c r="T842" s="97"/>
      <c r="U842" s="97"/>
      <c r="V842" s="97"/>
      <c r="W842" s="97"/>
      <c r="X842" s="97"/>
      <c r="Y842" s="97"/>
      <c r="Z842" s="97"/>
      <c r="AA842" s="97"/>
      <c r="BP842" s="190"/>
    </row>
    <row r="843" spans="2:68" x14ac:dyDescent="0.25">
      <c r="B843" s="98" t="s">
        <v>563</v>
      </c>
      <c r="C843" s="98">
        <v>2014</v>
      </c>
      <c r="D843" s="98" t="s">
        <v>253</v>
      </c>
      <c r="E843" s="98" t="s">
        <v>19</v>
      </c>
      <c r="F843" s="98" t="s">
        <v>131</v>
      </c>
      <c r="G843" s="98">
        <v>24370.728999999799</v>
      </c>
      <c r="H843" s="299" t="str">
        <f>VLOOKUP(LEFT('Rev Adequacy'!D843,3),'Mapping B'!$D$2:$E$400,2,0)</f>
        <v>S</v>
      </c>
      <c r="J843" s="20"/>
      <c r="K843" s="20"/>
      <c r="L843" s="20"/>
      <c r="M843" s="20"/>
      <c r="N843" s="20"/>
      <c r="O843" s="97"/>
      <c r="P843" s="97"/>
      <c r="Q843" s="97"/>
      <c r="R843" s="97"/>
      <c r="S843" s="97"/>
      <c r="T843" s="97"/>
      <c r="U843" s="97"/>
      <c r="V843" s="97"/>
      <c r="W843" s="97"/>
      <c r="X843" s="97"/>
      <c r="Y843" s="97"/>
      <c r="Z843" s="97"/>
      <c r="AA843" s="97"/>
      <c r="BP843" s="190"/>
    </row>
    <row r="844" spans="2:68" x14ac:dyDescent="0.25">
      <c r="B844" s="98" t="s">
        <v>563</v>
      </c>
      <c r="C844" s="98">
        <v>2014</v>
      </c>
      <c r="D844" s="98" t="s">
        <v>325</v>
      </c>
      <c r="E844" s="98" t="s">
        <v>19</v>
      </c>
      <c r="F844" s="98" t="s">
        <v>131</v>
      </c>
      <c r="G844" s="98">
        <v>1561582.74599999</v>
      </c>
      <c r="H844" s="299" t="str">
        <f>VLOOKUP(LEFT('Rev Adequacy'!D844,3),'Mapping B'!$D$2:$E$400,2,0)</f>
        <v>S</v>
      </c>
      <c r="J844" s="20"/>
      <c r="K844" s="20"/>
      <c r="L844" s="20"/>
      <c r="M844" s="20"/>
      <c r="N844" s="20"/>
      <c r="O844" s="97"/>
      <c r="P844" s="97"/>
      <c r="Q844" s="97"/>
      <c r="R844" s="97"/>
      <c r="S844" s="97"/>
      <c r="T844" s="97"/>
      <c r="U844" s="97"/>
      <c r="V844" s="97"/>
      <c r="W844" s="97"/>
      <c r="X844" s="97"/>
      <c r="Y844" s="97"/>
      <c r="Z844" s="97"/>
      <c r="AA844" s="97"/>
      <c r="BP844" s="190"/>
    </row>
    <row r="845" spans="2:68" x14ac:dyDescent="0.25">
      <c r="B845" s="98" t="s">
        <v>555</v>
      </c>
      <c r="C845" s="98">
        <v>2014</v>
      </c>
      <c r="D845" s="98" t="s">
        <v>232</v>
      </c>
      <c r="E845" s="98" t="s">
        <v>19</v>
      </c>
      <c r="F845" s="98" t="s">
        <v>131</v>
      </c>
      <c r="G845" s="98">
        <v>11706.155999999901</v>
      </c>
      <c r="H845" s="299" t="str">
        <f>VLOOKUP(LEFT('Rev Adequacy'!D845,3),'Mapping B'!$D$2:$E$400,2,0)</f>
        <v>S</v>
      </c>
      <c r="J845" s="20"/>
      <c r="K845" s="20"/>
      <c r="L845" s="20"/>
      <c r="M845" s="20"/>
      <c r="N845" s="20"/>
      <c r="O845" s="97"/>
      <c r="P845" s="97"/>
      <c r="Q845" s="97"/>
      <c r="R845" s="97"/>
      <c r="S845" s="97"/>
      <c r="T845" s="97"/>
      <c r="U845" s="97"/>
      <c r="V845" s="97"/>
      <c r="W845" s="97"/>
      <c r="X845" s="97"/>
      <c r="Y845" s="97"/>
      <c r="Z845" s="97"/>
      <c r="AA845" s="97"/>
      <c r="BP845" s="190"/>
    </row>
    <row r="846" spans="2:68" x14ac:dyDescent="0.25">
      <c r="B846" s="98" t="s">
        <v>555</v>
      </c>
      <c r="C846" s="98">
        <v>2014</v>
      </c>
      <c r="D846" s="98" t="s">
        <v>253</v>
      </c>
      <c r="E846" s="98" t="s">
        <v>19</v>
      </c>
      <c r="F846" s="98" t="s">
        <v>131</v>
      </c>
      <c r="G846" s="98">
        <v>11383.884</v>
      </c>
      <c r="H846" s="299" t="str">
        <f>VLOOKUP(LEFT('Rev Adequacy'!D846,3),'Mapping B'!$D$2:$E$400,2,0)</f>
        <v>S</v>
      </c>
      <c r="J846" s="20"/>
      <c r="K846" s="20"/>
      <c r="L846" s="20"/>
      <c r="M846" s="20"/>
      <c r="N846" s="20"/>
      <c r="O846" s="97"/>
      <c r="P846" s="97"/>
      <c r="Q846" s="97"/>
      <c r="R846" s="97"/>
      <c r="S846" s="97"/>
      <c r="T846" s="97"/>
      <c r="U846" s="97"/>
      <c r="V846" s="97"/>
      <c r="W846" s="97"/>
      <c r="X846" s="97"/>
      <c r="Y846" s="97"/>
      <c r="Z846" s="97"/>
      <c r="AA846" s="97"/>
      <c r="BP846" s="190"/>
    </row>
    <row r="847" spans="2:68" x14ac:dyDescent="0.25">
      <c r="B847" s="98" t="s">
        <v>555</v>
      </c>
      <c r="C847" s="98">
        <v>2014</v>
      </c>
      <c r="D847" s="98" t="s">
        <v>325</v>
      </c>
      <c r="E847" s="98" t="s">
        <v>19</v>
      </c>
      <c r="F847" s="98" t="s">
        <v>131</v>
      </c>
      <c r="G847" s="98">
        <v>678483.19999999902</v>
      </c>
      <c r="H847" s="299" t="str">
        <f>VLOOKUP(LEFT('Rev Adequacy'!D847,3),'Mapping B'!$D$2:$E$400,2,0)</f>
        <v>S</v>
      </c>
      <c r="J847" s="20"/>
      <c r="K847" s="20"/>
      <c r="L847" s="20"/>
      <c r="M847" s="20"/>
      <c r="N847" s="20"/>
      <c r="O847" s="97"/>
      <c r="P847" s="97"/>
      <c r="Q847" s="97"/>
      <c r="R847" s="97"/>
      <c r="S847" s="97"/>
      <c r="T847" s="97"/>
      <c r="U847" s="97"/>
      <c r="V847" s="97"/>
      <c r="W847" s="97"/>
      <c r="X847" s="97"/>
      <c r="Y847" s="97"/>
      <c r="Z847" s="97"/>
      <c r="AA847" s="97"/>
      <c r="BP847" s="190"/>
    </row>
    <row r="848" spans="2:68" x14ac:dyDescent="0.25">
      <c r="B848" s="98" t="s">
        <v>112</v>
      </c>
      <c r="C848" s="98">
        <v>2014</v>
      </c>
      <c r="D848" s="98" t="s">
        <v>232</v>
      </c>
      <c r="E848" s="98" t="s">
        <v>19</v>
      </c>
      <c r="F848" s="98" t="s">
        <v>131</v>
      </c>
      <c r="G848" s="98">
        <v>0</v>
      </c>
      <c r="H848" s="299" t="str">
        <f>VLOOKUP(LEFT('Rev Adequacy'!D848,3),'Mapping B'!$D$2:$E$400,2,0)</f>
        <v>S</v>
      </c>
      <c r="J848" s="20"/>
      <c r="K848" s="20"/>
      <c r="L848" s="20"/>
      <c r="M848" s="20"/>
      <c r="N848" s="20"/>
      <c r="O848" s="97"/>
      <c r="P848" s="97"/>
      <c r="Q848" s="97"/>
      <c r="R848" s="97"/>
      <c r="S848" s="97"/>
      <c r="T848" s="97"/>
      <c r="U848" s="97"/>
      <c r="V848" s="97"/>
      <c r="W848" s="97"/>
      <c r="X848" s="97"/>
      <c r="Y848" s="97"/>
      <c r="Z848" s="97"/>
      <c r="AA848" s="97"/>
      <c r="BP848" s="190"/>
    </row>
    <row r="849" spans="2:68" x14ac:dyDescent="0.25">
      <c r="B849" s="98" t="s">
        <v>112</v>
      </c>
      <c r="C849" s="98">
        <v>2014</v>
      </c>
      <c r="D849" s="98" t="s">
        <v>253</v>
      </c>
      <c r="E849" s="98" t="s">
        <v>19</v>
      </c>
      <c r="F849" s="98" t="s">
        <v>131</v>
      </c>
      <c r="G849" s="98">
        <v>0</v>
      </c>
      <c r="H849" s="299" t="str">
        <f>VLOOKUP(LEFT('Rev Adequacy'!D849,3),'Mapping B'!$D$2:$E$400,2,0)</f>
        <v>S</v>
      </c>
      <c r="J849" s="20"/>
      <c r="K849" s="20"/>
      <c r="L849" s="20"/>
      <c r="M849" s="20"/>
      <c r="N849" s="20"/>
      <c r="O849" s="97"/>
      <c r="P849" s="97"/>
      <c r="Q849" s="97"/>
      <c r="R849" s="97"/>
      <c r="S849" s="97"/>
      <c r="T849" s="97"/>
      <c r="U849" s="97"/>
      <c r="V849" s="97"/>
      <c r="W849" s="97"/>
      <c r="X849" s="97"/>
      <c r="Y849" s="97"/>
      <c r="Z849" s="97"/>
      <c r="AA849" s="97"/>
      <c r="BP849" s="190"/>
    </row>
    <row r="850" spans="2:68" x14ac:dyDescent="0.25">
      <c r="B850" s="98" t="s">
        <v>112</v>
      </c>
      <c r="C850" s="98">
        <v>2014</v>
      </c>
      <c r="D850" s="98" t="s">
        <v>325</v>
      </c>
      <c r="E850" s="98" t="s">
        <v>19</v>
      </c>
      <c r="F850" s="98" t="s">
        <v>131</v>
      </c>
      <c r="G850" s="98">
        <v>0</v>
      </c>
      <c r="H850" s="299" t="str">
        <f>VLOOKUP(LEFT('Rev Adequacy'!D850,3),'Mapping B'!$D$2:$E$400,2,0)</f>
        <v>S</v>
      </c>
      <c r="J850" s="20"/>
      <c r="K850" s="20"/>
      <c r="L850" s="20"/>
      <c r="M850" s="20"/>
      <c r="N850" s="20"/>
      <c r="O850" s="97"/>
      <c r="P850" s="97"/>
      <c r="Q850" s="97"/>
      <c r="R850" s="97"/>
      <c r="S850" s="97"/>
      <c r="T850" s="97"/>
      <c r="U850" s="97"/>
      <c r="V850" s="97"/>
      <c r="W850" s="97"/>
      <c r="X850" s="97"/>
      <c r="Y850" s="97"/>
      <c r="Z850" s="97"/>
      <c r="AA850" s="97"/>
      <c r="BP850" s="190"/>
    </row>
    <row r="851" spans="2:68" x14ac:dyDescent="0.25">
      <c r="B851" s="98" t="s">
        <v>111</v>
      </c>
      <c r="C851" s="98">
        <v>2014</v>
      </c>
      <c r="D851" s="98" t="s">
        <v>232</v>
      </c>
      <c r="E851" s="98" t="s">
        <v>19</v>
      </c>
      <c r="F851" s="98" t="s">
        <v>131</v>
      </c>
      <c r="G851" s="98">
        <v>0</v>
      </c>
      <c r="H851" s="299" t="str">
        <f>VLOOKUP(LEFT('Rev Adequacy'!D851,3),'Mapping B'!$D$2:$E$400,2,0)</f>
        <v>S</v>
      </c>
      <c r="J851" s="20"/>
      <c r="K851" s="20"/>
      <c r="L851" s="20"/>
      <c r="M851" s="20"/>
      <c r="N851" s="20"/>
      <c r="O851" s="97"/>
      <c r="P851" s="97"/>
      <c r="Q851" s="97"/>
      <c r="R851" s="97"/>
      <c r="S851" s="97"/>
      <c r="T851" s="97"/>
      <c r="U851" s="97"/>
      <c r="V851" s="97"/>
      <c r="W851" s="97"/>
      <c r="X851" s="97"/>
      <c r="Y851" s="97"/>
      <c r="Z851" s="97"/>
      <c r="AA851" s="97"/>
      <c r="BP851" s="190"/>
    </row>
    <row r="852" spans="2:68" x14ac:dyDescent="0.25">
      <c r="B852" s="98" t="s">
        <v>111</v>
      </c>
      <c r="C852" s="98">
        <v>2014</v>
      </c>
      <c r="D852" s="98" t="s">
        <v>253</v>
      </c>
      <c r="E852" s="98" t="s">
        <v>19</v>
      </c>
      <c r="F852" s="98" t="s">
        <v>131</v>
      </c>
      <c r="G852" s="98">
        <v>0</v>
      </c>
      <c r="H852" s="299" t="str">
        <f>VLOOKUP(LEFT('Rev Adequacy'!D852,3),'Mapping B'!$D$2:$E$400,2,0)</f>
        <v>S</v>
      </c>
      <c r="J852" s="20"/>
      <c r="K852" s="20"/>
      <c r="L852" s="20"/>
      <c r="M852" s="20"/>
      <c r="N852" s="20"/>
      <c r="O852" s="97"/>
      <c r="P852" s="97"/>
      <c r="Q852" s="97"/>
      <c r="R852" s="97"/>
      <c r="S852" s="97"/>
      <c r="T852" s="97"/>
      <c r="U852" s="97"/>
      <c r="V852" s="97"/>
      <c r="W852" s="97"/>
      <c r="X852" s="97"/>
      <c r="Y852" s="97"/>
      <c r="Z852" s="97"/>
      <c r="AA852" s="97"/>
      <c r="BP852" s="190"/>
    </row>
    <row r="853" spans="2:68" x14ac:dyDescent="0.25">
      <c r="B853" s="98" t="s">
        <v>111</v>
      </c>
      <c r="C853" s="98">
        <v>2014</v>
      </c>
      <c r="D853" s="98" t="s">
        <v>325</v>
      </c>
      <c r="E853" s="98" t="s">
        <v>19</v>
      </c>
      <c r="F853" s="98" t="s">
        <v>131</v>
      </c>
      <c r="G853" s="98">
        <v>0</v>
      </c>
      <c r="H853" s="299" t="str">
        <f>VLOOKUP(LEFT('Rev Adequacy'!D853,3),'Mapping B'!$D$2:$E$400,2,0)</f>
        <v>S</v>
      </c>
      <c r="J853" s="20"/>
      <c r="K853" s="20"/>
      <c r="L853" s="20"/>
      <c r="M853" s="20"/>
      <c r="N853" s="20"/>
      <c r="O853" s="97"/>
      <c r="P853" s="97"/>
      <c r="Q853" s="97"/>
      <c r="R853" s="97"/>
      <c r="S853" s="97"/>
      <c r="T853" s="97"/>
      <c r="U853" s="97"/>
      <c r="V853" s="97"/>
      <c r="W853" s="97"/>
      <c r="X853" s="97"/>
      <c r="Y853" s="97"/>
      <c r="Z853" s="97"/>
      <c r="AA853" s="97"/>
      <c r="BP853" s="190"/>
    </row>
    <row r="854" spans="2:68" x14ac:dyDescent="0.25">
      <c r="B854" s="98" t="s">
        <v>552</v>
      </c>
      <c r="C854" s="98">
        <v>2014</v>
      </c>
      <c r="D854" s="98" t="s">
        <v>160</v>
      </c>
      <c r="E854" s="98" t="s">
        <v>20</v>
      </c>
      <c r="F854" s="98" t="s">
        <v>131</v>
      </c>
      <c r="G854" s="248">
        <v>3540.8890000002302</v>
      </c>
      <c r="H854" s="299" t="str">
        <f>VLOOKUP(LEFT('Rev Adequacy'!D854,3),'Mapping B'!$D$2:$E$400,2,0)</f>
        <v>S</v>
      </c>
      <c r="J854" s="20"/>
      <c r="K854" s="20"/>
      <c r="L854" s="20"/>
      <c r="M854" s="20"/>
      <c r="N854" s="20"/>
      <c r="O854" s="97"/>
      <c r="P854" s="97"/>
      <c r="Q854" s="97"/>
      <c r="R854" s="97"/>
      <c r="S854" s="97"/>
      <c r="T854" s="97"/>
      <c r="U854" s="97"/>
      <c r="V854" s="97"/>
      <c r="W854" s="97"/>
      <c r="X854" s="97"/>
      <c r="Y854" s="97"/>
      <c r="Z854" s="97"/>
      <c r="AA854" s="97"/>
      <c r="BP854" s="190"/>
    </row>
    <row r="855" spans="2:68" x14ac:dyDescent="0.25">
      <c r="B855" s="98" t="s">
        <v>552</v>
      </c>
      <c r="C855" s="98">
        <v>2014</v>
      </c>
      <c r="D855" s="98" t="s">
        <v>282</v>
      </c>
      <c r="E855" s="98" t="s">
        <v>20</v>
      </c>
      <c r="F855" s="98" t="s">
        <v>131</v>
      </c>
      <c r="G855" s="248">
        <v>60414.6360000001</v>
      </c>
      <c r="H855" s="299" t="str">
        <f>VLOOKUP(LEFT('Rev Adequacy'!D855,3),'Mapping B'!$D$2:$E$400,2,0)</f>
        <v>S</v>
      </c>
      <c r="J855" s="20"/>
      <c r="K855" s="20"/>
      <c r="L855" s="20"/>
      <c r="M855" s="20"/>
      <c r="N855" s="20"/>
      <c r="O855" s="97"/>
      <c r="P855" s="97"/>
      <c r="Q855" s="97"/>
      <c r="R855" s="97"/>
      <c r="S855" s="97"/>
      <c r="T855" s="97"/>
      <c r="U855" s="97"/>
      <c r="V855" s="97"/>
      <c r="W855" s="97"/>
      <c r="X855" s="97"/>
      <c r="Y855" s="97"/>
      <c r="Z855" s="97"/>
      <c r="AA855" s="97"/>
      <c r="BP855" s="190"/>
    </row>
    <row r="856" spans="2:68" x14ac:dyDescent="0.25">
      <c r="B856" s="98" t="s">
        <v>552</v>
      </c>
      <c r="C856" s="98">
        <v>2014</v>
      </c>
      <c r="D856" s="98" t="s">
        <v>362</v>
      </c>
      <c r="E856" s="98" t="s">
        <v>20</v>
      </c>
      <c r="F856" s="98" t="s">
        <v>131</v>
      </c>
      <c r="G856" s="248">
        <v>192.24602073172301</v>
      </c>
      <c r="H856" s="299" t="str">
        <f>VLOOKUP(LEFT('Rev Adequacy'!D856,3),'Mapping B'!$D$2:$E$400,2,0)</f>
        <v>S</v>
      </c>
      <c r="J856" s="20"/>
      <c r="K856" s="20"/>
      <c r="L856" s="20"/>
      <c r="M856" s="20"/>
      <c r="N856" s="20"/>
      <c r="O856" s="97"/>
      <c r="P856" s="97"/>
      <c r="Q856" s="97"/>
      <c r="R856" s="97"/>
      <c r="S856" s="97"/>
      <c r="T856" s="97"/>
      <c r="U856" s="97"/>
      <c r="V856" s="97"/>
      <c r="W856" s="97"/>
      <c r="X856" s="97"/>
      <c r="Y856" s="97"/>
      <c r="Z856" s="97"/>
      <c r="AA856" s="97"/>
      <c r="BP856" s="190"/>
    </row>
    <row r="857" spans="2:68" x14ac:dyDescent="0.25">
      <c r="B857" s="98" t="s">
        <v>552</v>
      </c>
      <c r="C857" s="98">
        <v>2014</v>
      </c>
      <c r="D857" s="98" t="s">
        <v>389</v>
      </c>
      <c r="E857" s="98" t="s">
        <v>20</v>
      </c>
      <c r="F857" s="98" t="s">
        <v>131</v>
      </c>
      <c r="G857" s="248">
        <v>4823.0590000001403</v>
      </c>
      <c r="H857" s="299" t="str">
        <f>VLOOKUP(LEFT('Rev Adequacy'!D857,3),'Mapping B'!$D$2:$E$400,2,0)</f>
        <v>S</v>
      </c>
      <c r="J857" s="20"/>
      <c r="K857" s="20"/>
      <c r="L857" s="20"/>
      <c r="M857" s="20"/>
      <c r="N857" s="20"/>
      <c r="O857" s="97"/>
      <c r="P857" s="97"/>
      <c r="Q857" s="97"/>
      <c r="R857" s="97"/>
      <c r="S857" s="97"/>
      <c r="T857" s="97"/>
      <c r="U857" s="97"/>
      <c r="V857" s="97"/>
      <c r="W857" s="97"/>
      <c r="X857" s="97"/>
      <c r="Y857" s="97"/>
      <c r="Z857" s="97"/>
      <c r="AA857" s="97"/>
      <c r="BP857" s="190"/>
    </row>
    <row r="858" spans="2:68" x14ac:dyDescent="0.25">
      <c r="B858" s="98" t="s">
        <v>553</v>
      </c>
      <c r="C858" s="98">
        <v>2014</v>
      </c>
      <c r="D858" s="98" t="s">
        <v>160</v>
      </c>
      <c r="E858" s="98" t="s">
        <v>20</v>
      </c>
      <c r="F858" s="98" t="s">
        <v>131</v>
      </c>
      <c r="G858" s="248">
        <v>4005.6149999999898</v>
      </c>
      <c r="H858" s="299" t="str">
        <f>VLOOKUP(LEFT('Rev Adequacy'!D858,3),'Mapping B'!$D$2:$E$400,2,0)</f>
        <v>S</v>
      </c>
      <c r="J858" s="20"/>
      <c r="K858" s="20"/>
      <c r="L858" s="20"/>
      <c r="M858" s="20"/>
      <c r="N858" s="20"/>
      <c r="O858" s="97"/>
      <c r="P858" s="97"/>
      <c r="Q858" s="97"/>
      <c r="R858" s="97"/>
      <c r="S858" s="97"/>
      <c r="T858" s="97"/>
      <c r="U858" s="97"/>
      <c r="V858" s="97"/>
      <c r="W858" s="97"/>
      <c r="X858" s="97"/>
      <c r="Y858" s="97"/>
      <c r="Z858" s="97"/>
      <c r="AA858" s="97"/>
      <c r="BP858" s="190"/>
    </row>
    <row r="859" spans="2:68" x14ac:dyDescent="0.25">
      <c r="B859" s="98" t="s">
        <v>553</v>
      </c>
      <c r="C859" s="98">
        <v>2014</v>
      </c>
      <c r="D859" s="98" t="s">
        <v>282</v>
      </c>
      <c r="E859" s="98" t="s">
        <v>20</v>
      </c>
      <c r="F859" s="98" t="s">
        <v>131</v>
      </c>
      <c r="G859" s="248">
        <v>65659.203999998994</v>
      </c>
      <c r="H859" s="299" t="str">
        <f>VLOOKUP(LEFT('Rev Adequacy'!D859,3),'Mapping B'!$D$2:$E$400,2,0)</f>
        <v>S</v>
      </c>
      <c r="J859" s="20"/>
      <c r="K859" s="20"/>
      <c r="L859" s="20"/>
      <c r="M859" s="20"/>
      <c r="N859" s="20"/>
      <c r="O859" s="97"/>
      <c r="P859" s="97"/>
      <c r="Q859" s="97"/>
      <c r="R859" s="97"/>
      <c r="S859" s="97"/>
      <c r="T859" s="97"/>
      <c r="U859" s="97"/>
      <c r="V859" s="97"/>
      <c r="W859" s="97"/>
      <c r="X859" s="97"/>
      <c r="Y859" s="97"/>
      <c r="Z859" s="97"/>
      <c r="AA859" s="97"/>
      <c r="BP859" s="190"/>
    </row>
    <row r="860" spans="2:68" x14ac:dyDescent="0.25">
      <c r="B860" s="98" t="s">
        <v>553</v>
      </c>
      <c r="C860" s="98">
        <v>2014</v>
      </c>
      <c r="D860" s="98" t="s">
        <v>362</v>
      </c>
      <c r="E860" s="98" t="s">
        <v>20</v>
      </c>
      <c r="F860" s="98" t="s">
        <v>131</v>
      </c>
      <c r="G860" s="248">
        <v>4057.9517303174298</v>
      </c>
      <c r="H860" s="299" t="str">
        <f>VLOOKUP(LEFT('Rev Adequacy'!D860,3),'Mapping B'!$D$2:$E$400,2,0)</f>
        <v>S</v>
      </c>
      <c r="J860" s="20"/>
      <c r="K860" s="20"/>
      <c r="L860" s="20"/>
      <c r="M860" s="20"/>
      <c r="N860" s="20"/>
      <c r="O860" s="97"/>
      <c r="P860" s="97"/>
      <c r="Q860" s="97"/>
      <c r="R860" s="97"/>
      <c r="S860" s="97"/>
      <c r="T860" s="97"/>
      <c r="U860" s="97"/>
      <c r="V860" s="97"/>
      <c r="W860" s="97"/>
      <c r="X860" s="97"/>
      <c r="Y860" s="97"/>
      <c r="Z860" s="97"/>
      <c r="AA860" s="97"/>
      <c r="BP860" s="190"/>
    </row>
    <row r="861" spans="2:68" x14ac:dyDescent="0.25">
      <c r="B861" s="98" t="s">
        <v>553</v>
      </c>
      <c r="C861" s="98">
        <v>2014</v>
      </c>
      <c r="D861" s="98" t="s">
        <v>389</v>
      </c>
      <c r="E861" s="98" t="s">
        <v>20</v>
      </c>
      <c r="F861" s="98" t="s">
        <v>131</v>
      </c>
      <c r="G861" s="248">
        <v>4052.2169999999601</v>
      </c>
      <c r="H861" s="299" t="str">
        <f>VLOOKUP(LEFT('Rev Adequacy'!D861,3),'Mapping B'!$D$2:$E$400,2,0)</f>
        <v>S</v>
      </c>
      <c r="J861" s="20"/>
      <c r="K861" s="20"/>
      <c r="L861" s="20"/>
      <c r="M861" s="20"/>
      <c r="N861" s="20"/>
      <c r="O861" s="97"/>
      <c r="P861" s="97"/>
      <c r="Q861" s="97"/>
      <c r="R861" s="97"/>
      <c r="S861" s="97"/>
      <c r="T861" s="97"/>
      <c r="U861" s="97"/>
      <c r="V861" s="97"/>
      <c r="W861" s="97"/>
      <c r="X861" s="97"/>
      <c r="Y861" s="97"/>
      <c r="Z861" s="97"/>
      <c r="AA861" s="97"/>
      <c r="BP861" s="190"/>
    </row>
    <row r="862" spans="2:68" x14ac:dyDescent="0.25">
      <c r="B862" s="98" t="s">
        <v>554</v>
      </c>
      <c r="C862" s="98">
        <v>2014</v>
      </c>
      <c r="D862" s="98" t="s">
        <v>160</v>
      </c>
      <c r="E862" s="98" t="s">
        <v>20</v>
      </c>
      <c r="F862" s="98" t="s">
        <v>131</v>
      </c>
      <c r="G862" s="98">
        <v>35686.100999999697</v>
      </c>
      <c r="H862" s="299" t="str">
        <f>VLOOKUP(LEFT('Rev Adequacy'!D862,3),'Mapping B'!$D$2:$E$400,2,0)</f>
        <v>S</v>
      </c>
      <c r="J862" s="20"/>
      <c r="K862" s="20"/>
      <c r="L862" s="20"/>
      <c r="M862" s="20"/>
      <c r="N862" s="20"/>
      <c r="O862" s="97"/>
      <c r="P862" s="97"/>
      <c r="Q862" s="97"/>
      <c r="R862" s="97"/>
      <c r="S862" s="97"/>
      <c r="T862" s="97"/>
      <c r="U862" s="97"/>
      <c r="V862" s="97"/>
      <c r="W862" s="97"/>
      <c r="X862" s="97"/>
      <c r="Y862" s="97"/>
      <c r="Z862" s="97"/>
      <c r="AA862" s="97"/>
      <c r="BP862" s="190"/>
    </row>
    <row r="863" spans="2:68" x14ac:dyDescent="0.25">
      <c r="B863" s="98" t="s">
        <v>554</v>
      </c>
      <c r="C863" s="98">
        <v>2014</v>
      </c>
      <c r="D863" s="98" t="s">
        <v>282</v>
      </c>
      <c r="E863" s="98" t="s">
        <v>20</v>
      </c>
      <c r="F863" s="98" t="s">
        <v>131</v>
      </c>
      <c r="G863" s="98">
        <v>129995.006000001</v>
      </c>
      <c r="H863" s="299" t="str">
        <f>VLOOKUP(LEFT('Rev Adequacy'!D863,3),'Mapping B'!$D$2:$E$400,2,0)</f>
        <v>S</v>
      </c>
      <c r="J863" s="20"/>
      <c r="K863" s="20"/>
      <c r="L863" s="20"/>
      <c r="M863" s="20"/>
      <c r="N863" s="20"/>
      <c r="O863" s="97"/>
      <c r="P863" s="97"/>
      <c r="Q863" s="97"/>
      <c r="R863" s="97"/>
      <c r="S863" s="97"/>
      <c r="T863" s="97"/>
      <c r="U863" s="97"/>
      <c r="V863" s="97"/>
      <c r="W863" s="97"/>
      <c r="X863" s="97"/>
      <c r="Y863" s="97"/>
      <c r="Z863" s="97"/>
      <c r="AA863" s="97"/>
      <c r="BP863" s="190"/>
    </row>
    <row r="864" spans="2:68" x14ac:dyDescent="0.25">
      <c r="B864" s="98" t="s">
        <v>554</v>
      </c>
      <c r="C864" s="98">
        <v>2014</v>
      </c>
      <c r="D864" s="98" t="s">
        <v>362</v>
      </c>
      <c r="E864" s="98" t="s">
        <v>20</v>
      </c>
      <c r="F864" s="98" t="s">
        <v>131</v>
      </c>
      <c r="G864" s="98">
        <v>5178.1084997807802</v>
      </c>
      <c r="H864" s="299" t="str">
        <f>VLOOKUP(LEFT('Rev Adequacy'!D864,3),'Mapping B'!$D$2:$E$400,2,0)</f>
        <v>S</v>
      </c>
      <c r="J864" s="20"/>
      <c r="K864" s="20"/>
      <c r="L864" s="20"/>
      <c r="M864" s="20"/>
      <c r="N864" s="20"/>
      <c r="O864" s="97"/>
      <c r="P864" s="97"/>
      <c r="Q864" s="97"/>
      <c r="R864" s="97"/>
      <c r="S864" s="97"/>
      <c r="T864" s="97"/>
      <c r="U864" s="97"/>
      <c r="V864" s="97"/>
      <c r="W864" s="97"/>
      <c r="X864" s="97"/>
      <c r="Y864" s="97"/>
      <c r="Z864" s="97"/>
      <c r="AA864" s="97"/>
      <c r="BP864" s="190"/>
    </row>
    <row r="865" spans="2:68" x14ac:dyDescent="0.25">
      <c r="B865" s="98" t="s">
        <v>554</v>
      </c>
      <c r="C865" s="98">
        <v>2014</v>
      </c>
      <c r="D865" s="98" t="s">
        <v>389</v>
      </c>
      <c r="E865" s="98" t="s">
        <v>20</v>
      </c>
      <c r="F865" s="98" t="s">
        <v>131</v>
      </c>
      <c r="G865" s="98">
        <v>9767.5850000000792</v>
      </c>
      <c r="H865" s="299" t="str">
        <f>VLOOKUP(LEFT('Rev Adequacy'!D865,3),'Mapping B'!$D$2:$E$400,2,0)</f>
        <v>S</v>
      </c>
      <c r="J865" s="20"/>
      <c r="K865" s="20"/>
      <c r="L865" s="20"/>
      <c r="M865" s="20"/>
      <c r="N865" s="20"/>
      <c r="O865" s="97"/>
      <c r="P865" s="97"/>
      <c r="Q865" s="97"/>
      <c r="R865" s="97"/>
      <c r="S865" s="97"/>
      <c r="T865" s="97"/>
      <c r="U865" s="97"/>
      <c r="V865" s="97"/>
      <c r="W865" s="97"/>
      <c r="X865" s="97"/>
      <c r="Y865" s="97"/>
      <c r="Z865" s="97"/>
      <c r="AA865" s="97"/>
      <c r="BP865" s="190"/>
    </row>
    <row r="866" spans="2:68" x14ac:dyDescent="0.25">
      <c r="B866" s="98" t="s">
        <v>563</v>
      </c>
      <c r="C866" s="98">
        <v>2014</v>
      </c>
      <c r="D866" s="98" t="s">
        <v>160</v>
      </c>
      <c r="E866" s="98" t="s">
        <v>20</v>
      </c>
      <c r="F866" s="98" t="s">
        <v>131</v>
      </c>
      <c r="G866" s="98">
        <v>36929.1429999998</v>
      </c>
      <c r="H866" s="299" t="str">
        <f>VLOOKUP(LEFT('Rev Adequacy'!D866,3),'Mapping B'!$D$2:$E$400,2,0)</f>
        <v>S</v>
      </c>
      <c r="J866" s="20"/>
      <c r="K866" s="20"/>
      <c r="L866" s="20"/>
      <c r="M866" s="20"/>
      <c r="N866" s="20"/>
      <c r="O866" s="97"/>
      <c r="P866" s="97"/>
      <c r="Q866" s="97"/>
      <c r="R866" s="97"/>
      <c r="S866" s="97"/>
      <c r="T866" s="97"/>
      <c r="U866" s="97"/>
      <c r="V866" s="97"/>
      <c r="W866" s="97"/>
      <c r="X866" s="97"/>
      <c r="Y866" s="97"/>
      <c r="Z866" s="97"/>
      <c r="AA866" s="97"/>
      <c r="BP866" s="190"/>
    </row>
    <row r="867" spans="2:68" x14ac:dyDescent="0.25">
      <c r="B867" s="98" t="s">
        <v>563</v>
      </c>
      <c r="C867" s="98">
        <v>2014</v>
      </c>
      <c r="D867" s="98" t="s">
        <v>282</v>
      </c>
      <c r="E867" s="98" t="s">
        <v>20</v>
      </c>
      <c r="F867" s="98" t="s">
        <v>131</v>
      </c>
      <c r="G867" s="98">
        <v>405192.97200000199</v>
      </c>
      <c r="H867" s="299" t="str">
        <f>VLOOKUP(LEFT('Rev Adequacy'!D867,3),'Mapping B'!$D$2:$E$400,2,0)</f>
        <v>S</v>
      </c>
      <c r="J867" s="20"/>
      <c r="K867" s="20"/>
      <c r="L867" s="20"/>
      <c r="M867" s="20"/>
      <c r="N867" s="20"/>
      <c r="O867" s="97"/>
      <c r="P867" s="97"/>
      <c r="Q867" s="97"/>
      <c r="R867" s="97"/>
      <c r="S867" s="97"/>
      <c r="T867" s="97"/>
      <c r="U867" s="97"/>
      <c r="V867" s="97"/>
      <c r="W867" s="97"/>
      <c r="X867" s="97"/>
      <c r="Y867" s="97"/>
      <c r="Z867" s="97"/>
      <c r="AA867" s="97"/>
      <c r="BP867" s="190"/>
    </row>
    <row r="868" spans="2:68" x14ac:dyDescent="0.25">
      <c r="B868" s="98" t="s">
        <v>563</v>
      </c>
      <c r="C868" s="98">
        <v>2014</v>
      </c>
      <c r="D868" s="98" t="s">
        <v>362</v>
      </c>
      <c r="E868" s="98" t="s">
        <v>20</v>
      </c>
      <c r="F868" s="98" t="s">
        <v>131</v>
      </c>
      <c r="G868" s="98">
        <v>21997.620720736399</v>
      </c>
      <c r="H868" s="299" t="str">
        <f>VLOOKUP(LEFT('Rev Adequacy'!D868,3),'Mapping B'!$D$2:$E$400,2,0)</f>
        <v>S</v>
      </c>
      <c r="J868" s="20"/>
      <c r="K868" s="20"/>
      <c r="L868" s="20"/>
      <c r="M868" s="20"/>
      <c r="N868" s="20"/>
      <c r="O868" s="97"/>
      <c r="P868" s="97"/>
      <c r="Q868" s="97"/>
      <c r="R868" s="97"/>
      <c r="S868" s="97"/>
      <c r="T868" s="97"/>
      <c r="U868" s="97"/>
      <c r="V868" s="97"/>
      <c r="W868" s="97"/>
      <c r="X868" s="97"/>
      <c r="Y868" s="97"/>
      <c r="Z868" s="97"/>
      <c r="AA868" s="97"/>
      <c r="BP868" s="190"/>
    </row>
    <row r="869" spans="2:68" x14ac:dyDescent="0.25">
      <c r="B869" s="98" t="s">
        <v>563</v>
      </c>
      <c r="C869" s="98">
        <v>2014</v>
      </c>
      <c r="D869" s="98" t="s">
        <v>389</v>
      </c>
      <c r="E869" s="98" t="s">
        <v>20</v>
      </c>
      <c r="F869" s="98" t="s">
        <v>131</v>
      </c>
      <c r="G869" s="98">
        <v>24767.226999999901</v>
      </c>
      <c r="H869" s="299" t="str">
        <f>VLOOKUP(LEFT('Rev Adequacy'!D869,3),'Mapping B'!$D$2:$E$400,2,0)</f>
        <v>S</v>
      </c>
      <c r="J869" s="20"/>
      <c r="K869" s="20"/>
      <c r="L869" s="20"/>
      <c r="M869" s="20"/>
      <c r="N869" s="20"/>
      <c r="O869" s="97"/>
      <c r="P869" s="97"/>
      <c r="Q869" s="97"/>
      <c r="R869" s="97"/>
      <c r="S869" s="97"/>
      <c r="T869" s="97"/>
      <c r="U869" s="97"/>
      <c r="V869" s="97"/>
      <c r="W869" s="97"/>
      <c r="X869" s="97"/>
      <c r="Y869" s="97"/>
      <c r="Z869" s="97"/>
      <c r="AA869" s="97"/>
      <c r="BP869" s="190"/>
    </row>
    <row r="870" spans="2:68" x14ac:dyDescent="0.25">
      <c r="B870" s="98" t="s">
        <v>555</v>
      </c>
      <c r="C870" s="98">
        <v>2014</v>
      </c>
      <c r="D870" s="98" t="s">
        <v>160</v>
      </c>
      <c r="E870" s="98" t="s">
        <v>20</v>
      </c>
      <c r="F870" s="98" t="s">
        <v>131</v>
      </c>
      <c r="G870" s="98">
        <v>30436.817999999901</v>
      </c>
      <c r="H870" s="299" t="str">
        <f>VLOOKUP(LEFT('Rev Adequacy'!D870,3),'Mapping B'!$D$2:$E$400,2,0)</f>
        <v>S</v>
      </c>
      <c r="J870" s="20"/>
      <c r="K870" s="20"/>
      <c r="L870" s="20"/>
      <c r="M870" s="20"/>
      <c r="N870" s="20"/>
      <c r="O870" s="97"/>
      <c r="P870" s="97"/>
      <c r="Q870" s="97"/>
      <c r="R870" s="97"/>
      <c r="S870" s="97"/>
      <c r="T870" s="97"/>
      <c r="U870" s="97"/>
      <c r="V870" s="97"/>
      <c r="W870" s="97"/>
      <c r="X870" s="97"/>
      <c r="Y870" s="97"/>
      <c r="Z870" s="97"/>
      <c r="AA870" s="97"/>
      <c r="BP870" s="190"/>
    </row>
    <row r="871" spans="2:68" x14ac:dyDescent="0.25">
      <c r="B871" s="98" t="s">
        <v>555</v>
      </c>
      <c r="C871" s="98">
        <v>2014</v>
      </c>
      <c r="D871" s="98" t="s">
        <v>282</v>
      </c>
      <c r="E871" s="98" t="s">
        <v>20</v>
      </c>
      <c r="F871" s="98" t="s">
        <v>131</v>
      </c>
      <c r="G871" s="98">
        <v>199080.992</v>
      </c>
      <c r="H871" s="299" t="str">
        <f>VLOOKUP(LEFT('Rev Adequacy'!D871,3),'Mapping B'!$D$2:$E$400,2,0)</f>
        <v>S</v>
      </c>
      <c r="J871" s="20"/>
      <c r="K871" s="20"/>
      <c r="L871" s="20"/>
      <c r="M871" s="20"/>
      <c r="N871" s="20"/>
      <c r="O871" s="97"/>
      <c r="P871" s="97"/>
      <c r="Q871" s="97"/>
      <c r="R871" s="97"/>
      <c r="S871" s="97"/>
      <c r="T871" s="97"/>
      <c r="U871" s="97"/>
      <c r="V871" s="97"/>
      <c r="W871" s="97"/>
      <c r="X871" s="97"/>
      <c r="Y871" s="97"/>
      <c r="Z871" s="97"/>
      <c r="AA871" s="97"/>
      <c r="BP871" s="190"/>
    </row>
    <row r="872" spans="2:68" x14ac:dyDescent="0.25">
      <c r="B872" s="98" t="s">
        <v>555</v>
      </c>
      <c r="C872" s="98">
        <v>2014</v>
      </c>
      <c r="D872" s="98" t="s">
        <v>362</v>
      </c>
      <c r="E872" s="98" t="s">
        <v>20</v>
      </c>
      <c r="F872" s="98" t="s">
        <v>131</v>
      </c>
      <c r="G872" s="98">
        <v>10240.253060938099</v>
      </c>
      <c r="H872" s="299" t="str">
        <f>VLOOKUP(LEFT('Rev Adequacy'!D872,3),'Mapping B'!$D$2:$E$400,2,0)</f>
        <v>S</v>
      </c>
      <c r="J872" s="20"/>
      <c r="K872" s="20"/>
      <c r="L872" s="20"/>
      <c r="M872" s="20"/>
      <c r="N872" s="20"/>
      <c r="O872" s="97"/>
      <c r="P872" s="97"/>
      <c r="Q872" s="97"/>
      <c r="R872" s="97"/>
      <c r="S872" s="97"/>
      <c r="T872" s="97"/>
      <c r="U872" s="97"/>
      <c r="V872" s="97"/>
      <c r="W872" s="97"/>
      <c r="X872" s="97"/>
      <c r="Y872" s="97"/>
      <c r="Z872" s="97"/>
      <c r="AA872" s="97"/>
      <c r="BP872" s="190"/>
    </row>
    <row r="873" spans="2:68" x14ac:dyDescent="0.25">
      <c r="B873" s="98" t="s">
        <v>555</v>
      </c>
      <c r="C873" s="98">
        <v>2014</v>
      </c>
      <c r="D873" s="98" t="s">
        <v>389</v>
      </c>
      <c r="E873" s="98" t="s">
        <v>20</v>
      </c>
      <c r="F873" s="98" t="s">
        <v>131</v>
      </c>
      <c r="G873" s="98">
        <v>13693.3209999999</v>
      </c>
      <c r="H873" s="299" t="str">
        <f>VLOOKUP(LEFT('Rev Adequacy'!D873,3),'Mapping B'!$D$2:$E$400,2,0)</f>
        <v>S</v>
      </c>
      <c r="J873" s="20"/>
      <c r="K873" s="20"/>
      <c r="L873" s="20"/>
      <c r="M873" s="20"/>
      <c r="N873" s="20"/>
      <c r="O873" s="97"/>
      <c r="P873" s="97"/>
      <c r="Q873" s="97"/>
      <c r="R873" s="97"/>
      <c r="S873" s="97"/>
      <c r="T873" s="97"/>
      <c r="U873" s="97"/>
      <c r="V873" s="97"/>
      <c r="W873" s="97"/>
      <c r="X873" s="97"/>
      <c r="Y873" s="97"/>
      <c r="Z873" s="97"/>
      <c r="AA873" s="97"/>
      <c r="BP873" s="190"/>
    </row>
    <row r="874" spans="2:68" x14ac:dyDescent="0.25">
      <c r="B874" s="98" t="s">
        <v>112</v>
      </c>
      <c r="C874" s="98">
        <v>2014</v>
      </c>
      <c r="D874" s="98" t="s">
        <v>160</v>
      </c>
      <c r="E874" s="98" t="s">
        <v>20</v>
      </c>
      <c r="F874" s="98" t="s">
        <v>131</v>
      </c>
      <c r="G874" s="98">
        <v>0</v>
      </c>
      <c r="H874" s="299" t="str">
        <f>VLOOKUP(LEFT('Rev Adequacy'!D874,3),'Mapping B'!$D$2:$E$400,2,0)</f>
        <v>S</v>
      </c>
      <c r="J874" s="20"/>
      <c r="K874" s="20"/>
      <c r="L874" s="20"/>
      <c r="M874" s="20"/>
      <c r="N874" s="20"/>
      <c r="O874" s="97"/>
      <c r="P874" s="97"/>
      <c r="Q874" s="97"/>
      <c r="R874" s="97"/>
      <c r="S874" s="97"/>
      <c r="T874" s="97"/>
      <c r="U874" s="97"/>
      <c r="V874" s="97"/>
      <c r="W874" s="97"/>
      <c r="X874" s="97"/>
      <c r="Y874" s="97"/>
      <c r="Z874" s="97"/>
      <c r="AA874" s="97"/>
      <c r="BP874" s="190"/>
    </row>
    <row r="875" spans="2:68" x14ac:dyDescent="0.25">
      <c r="B875" s="98" t="s">
        <v>112</v>
      </c>
      <c r="C875" s="98">
        <v>2014</v>
      </c>
      <c r="D875" s="98" t="s">
        <v>282</v>
      </c>
      <c r="E875" s="98" t="s">
        <v>20</v>
      </c>
      <c r="F875" s="98" t="s">
        <v>131</v>
      </c>
      <c r="G875" s="98">
        <v>0</v>
      </c>
      <c r="H875" s="299" t="str">
        <f>VLOOKUP(LEFT('Rev Adequacy'!D875,3),'Mapping B'!$D$2:$E$400,2,0)</f>
        <v>S</v>
      </c>
      <c r="J875" s="20"/>
      <c r="K875" s="20"/>
      <c r="L875" s="20"/>
      <c r="M875" s="20"/>
      <c r="N875" s="20"/>
      <c r="O875" s="97"/>
      <c r="P875" s="97"/>
      <c r="Q875" s="97"/>
      <c r="R875" s="97"/>
      <c r="S875" s="97"/>
      <c r="T875" s="97"/>
      <c r="U875" s="97"/>
      <c r="V875" s="97"/>
      <c r="W875" s="97"/>
      <c r="X875" s="97"/>
      <c r="Y875" s="97"/>
      <c r="Z875" s="97"/>
      <c r="AA875" s="97"/>
      <c r="BP875" s="190"/>
    </row>
    <row r="876" spans="2:68" x14ac:dyDescent="0.25">
      <c r="B876" s="98" t="s">
        <v>112</v>
      </c>
      <c r="C876" s="98">
        <v>2014</v>
      </c>
      <c r="D876" s="98" t="s">
        <v>362</v>
      </c>
      <c r="E876" s="98" t="s">
        <v>20</v>
      </c>
      <c r="F876" s="98" t="s">
        <v>131</v>
      </c>
      <c r="G876" s="98">
        <v>0</v>
      </c>
      <c r="H876" s="299" t="str">
        <f>VLOOKUP(LEFT('Rev Adequacy'!D876,3),'Mapping B'!$D$2:$E$400,2,0)</f>
        <v>S</v>
      </c>
      <c r="J876" s="20"/>
      <c r="K876" s="20"/>
      <c r="L876" s="20"/>
      <c r="M876" s="20"/>
      <c r="N876" s="20"/>
      <c r="O876" s="97"/>
      <c r="P876" s="97"/>
      <c r="Q876" s="97"/>
      <c r="R876" s="97"/>
      <c r="S876" s="97"/>
      <c r="T876" s="97"/>
      <c r="U876" s="97"/>
      <c r="V876" s="97"/>
      <c r="W876" s="97"/>
      <c r="X876" s="97"/>
      <c r="Y876" s="97"/>
      <c r="Z876" s="97"/>
      <c r="AA876" s="97"/>
      <c r="BP876" s="190"/>
    </row>
    <row r="877" spans="2:68" x14ac:dyDescent="0.25">
      <c r="B877" s="98" t="s">
        <v>112</v>
      </c>
      <c r="C877" s="98">
        <v>2014</v>
      </c>
      <c r="D877" s="98" t="s">
        <v>389</v>
      </c>
      <c r="E877" s="98" t="s">
        <v>20</v>
      </c>
      <c r="F877" s="98" t="s">
        <v>131</v>
      </c>
      <c r="G877" s="98">
        <v>0</v>
      </c>
      <c r="H877" s="299" t="str">
        <f>VLOOKUP(LEFT('Rev Adequacy'!D877,3),'Mapping B'!$D$2:$E$400,2,0)</f>
        <v>S</v>
      </c>
      <c r="J877" s="20"/>
      <c r="K877" s="20"/>
      <c r="L877" s="20"/>
      <c r="M877" s="20"/>
      <c r="N877" s="20"/>
      <c r="O877" s="97"/>
      <c r="P877" s="97"/>
      <c r="Q877" s="97"/>
      <c r="R877" s="97"/>
      <c r="S877" s="97"/>
      <c r="T877" s="97"/>
      <c r="U877" s="97"/>
      <c r="V877" s="97"/>
      <c r="W877" s="97"/>
      <c r="X877" s="97"/>
      <c r="Y877" s="97"/>
      <c r="Z877" s="97"/>
      <c r="AA877" s="97"/>
      <c r="BP877" s="190"/>
    </row>
    <row r="878" spans="2:68" x14ac:dyDescent="0.25">
      <c r="B878" s="98" t="s">
        <v>111</v>
      </c>
      <c r="C878" s="98">
        <v>2014</v>
      </c>
      <c r="D878" s="98" t="s">
        <v>160</v>
      </c>
      <c r="E878" s="98" t="s">
        <v>20</v>
      </c>
      <c r="F878" s="98" t="s">
        <v>131</v>
      </c>
      <c r="G878" s="98">
        <v>0</v>
      </c>
      <c r="H878" s="299" t="str">
        <f>VLOOKUP(LEFT('Rev Adequacy'!D878,3),'Mapping B'!$D$2:$E$400,2,0)</f>
        <v>S</v>
      </c>
      <c r="J878" s="20"/>
      <c r="K878" s="20"/>
      <c r="L878" s="20"/>
      <c r="M878" s="20"/>
      <c r="N878" s="20"/>
      <c r="O878" s="97"/>
      <c r="P878" s="97"/>
      <c r="Q878" s="97"/>
      <c r="R878" s="97"/>
      <c r="S878" s="97"/>
      <c r="T878" s="97"/>
      <c r="U878" s="97"/>
      <c r="V878" s="97"/>
      <c r="W878" s="97"/>
      <c r="X878" s="97"/>
      <c r="Y878" s="97"/>
      <c r="Z878" s="97"/>
      <c r="AA878" s="97"/>
      <c r="BP878" s="190"/>
    </row>
    <row r="879" spans="2:68" x14ac:dyDescent="0.25">
      <c r="B879" s="98" t="s">
        <v>111</v>
      </c>
      <c r="C879" s="98">
        <v>2014</v>
      </c>
      <c r="D879" s="98" t="s">
        <v>282</v>
      </c>
      <c r="E879" s="98" t="s">
        <v>20</v>
      </c>
      <c r="F879" s="98" t="s">
        <v>131</v>
      </c>
      <c r="G879" s="98">
        <v>0</v>
      </c>
      <c r="H879" s="299" t="str">
        <f>VLOOKUP(LEFT('Rev Adequacy'!D879,3),'Mapping B'!$D$2:$E$400,2,0)</f>
        <v>S</v>
      </c>
      <c r="J879" s="20"/>
      <c r="K879" s="20"/>
      <c r="L879" s="20"/>
      <c r="M879" s="20"/>
      <c r="N879" s="20"/>
      <c r="O879" s="97"/>
      <c r="P879" s="97"/>
      <c r="Q879" s="97"/>
      <c r="R879" s="97"/>
      <c r="S879" s="97"/>
      <c r="T879" s="97"/>
      <c r="U879" s="97"/>
      <c r="V879" s="97"/>
      <c r="W879" s="97"/>
      <c r="X879" s="97"/>
      <c r="Y879" s="97"/>
      <c r="Z879" s="97"/>
      <c r="AA879" s="97"/>
      <c r="BP879" s="190"/>
    </row>
    <row r="880" spans="2:68" x14ac:dyDescent="0.25">
      <c r="B880" s="98" t="s">
        <v>111</v>
      </c>
      <c r="C880" s="98">
        <v>2014</v>
      </c>
      <c r="D880" s="98" t="s">
        <v>362</v>
      </c>
      <c r="E880" s="98" t="s">
        <v>20</v>
      </c>
      <c r="F880" s="98" t="s">
        <v>131</v>
      </c>
      <c r="G880" s="98">
        <v>0</v>
      </c>
      <c r="H880" s="299" t="str">
        <f>VLOOKUP(LEFT('Rev Adequacy'!D880,3),'Mapping B'!$D$2:$E$400,2,0)</f>
        <v>S</v>
      </c>
      <c r="J880" s="20"/>
      <c r="K880" s="20"/>
      <c r="L880" s="20"/>
      <c r="M880" s="20"/>
      <c r="N880" s="20"/>
      <c r="O880" s="97"/>
      <c r="P880" s="97"/>
      <c r="Q880" s="97"/>
      <c r="R880" s="97"/>
      <c r="S880" s="97"/>
      <c r="T880" s="97"/>
      <c r="U880" s="97"/>
      <c r="V880" s="97"/>
      <c r="W880" s="97"/>
      <c r="X880" s="97"/>
      <c r="Y880" s="97"/>
      <c r="Z880" s="97"/>
      <c r="AA880" s="97"/>
      <c r="BP880" s="190"/>
    </row>
    <row r="881" spans="2:68" x14ac:dyDescent="0.25">
      <c r="B881" s="98" t="s">
        <v>111</v>
      </c>
      <c r="C881" s="98">
        <v>2014</v>
      </c>
      <c r="D881" s="98" t="s">
        <v>389</v>
      </c>
      <c r="E881" s="98" t="s">
        <v>20</v>
      </c>
      <c r="F881" s="98" t="s">
        <v>131</v>
      </c>
      <c r="G881" s="98">
        <v>0</v>
      </c>
      <c r="H881" s="299" t="str">
        <f>VLOOKUP(LEFT('Rev Adequacy'!D881,3),'Mapping B'!$D$2:$E$400,2,0)</f>
        <v>S</v>
      </c>
      <c r="J881" s="20"/>
      <c r="K881" s="20"/>
      <c r="L881" s="20"/>
      <c r="M881" s="20"/>
      <c r="N881" s="20"/>
      <c r="O881" s="97"/>
      <c r="P881" s="97"/>
      <c r="Q881" s="97"/>
      <c r="R881" s="97"/>
      <c r="S881" s="97"/>
      <c r="T881" s="97"/>
      <c r="U881" s="97"/>
      <c r="V881" s="97"/>
      <c r="W881" s="97"/>
      <c r="X881" s="97"/>
      <c r="Y881" s="97"/>
      <c r="Z881" s="97"/>
      <c r="AA881" s="97"/>
      <c r="BP881" s="190"/>
    </row>
    <row r="882" spans="2:68" x14ac:dyDescent="0.25">
      <c r="B882" s="98" t="s">
        <v>552</v>
      </c>
      <c r="C882" s="98">
        <v>2014</v>
      </c>
      <c r="D882" s="98" t="s">
        <v>275</v>
      </c>
      <c r="E882" s="98" t="s">
        <v>21</v>
      </c>
      <c r="F882" s="98" t="s">
        <v>136</v>
      </c>
      <c r="G882" s="248">
        <v>0</v>
      </c>
      <c r="H882" s="299" t="str">
        <f>VLOOKUP(LEFT('Rev Adequacy'!D882,3),'Mapping B'!$D$2:$E$400,2,0)</f>
        <v>N</v>
      </c>
      <c r="J882" s="20"/>
      <c r="K882" s="20"/>
      <c r="L882" s="20"/>
      <c r="M882" s="20"/>
      <c r="N882" s="20"/>
      <c r="O882" s="97"/>
      <c r="P882" s="97"/>
      <c r="Q882" s="97"/>
      <c r="R882" s="97"/>
      <c r="S882" s="97"/>
      <c r="T882" s="97"/>
      <c r="U882" s="97"/>
      <c r="V882" s="97"/>
      <c r="W882" s="97"/>
      <c r="X882" s="97"/>
      <c r="Y882" s="97"/>
      <c r="Z882" s="97"/>
      <c r="AA882" s="97"/>
      <c r="BP882" s="190"/>
    </row>
    <row r="883" spans="2:68" x14ac:dyDescent="0.25">
      <c r="B883" s="98" t="s">
        <v>553</v>
      </c>
      <c r="C883" s="98">
        <v>2014</v>
      </c>
      <c r="D883" s="98" t="s">
        <v>275</v>
      </c>
      <c r="E883" s="98" t="s">
        <v>21</v>
      </c>
      <c r="F883" s="98" t="s">
        <v>136</v>
      </c>
      <c r="G883" s="248">
        <v>0</v>
      </c>
      <c r="H883" s="299" t="str">
        <f>VLOOKUP(LEFT('Rev Adequacy'!D883,3),'Mapping B'!$D$2:$E$400,2,0)</f>
        <v>N</v>
      </c>
      <c r="J883" s="20"/>
      <c r="K883" s="20"/>
      <c r="L883" s="20"/>
      <c r="M883" s="20"/>
      <c r="N883" s="20"/>
      <c r="O883" s="97"/>
      <c r="P883" s="97"/>
      <c r="Q883" s="97"/>
      <c r="R883" s="97"/>
      <c r="S883" s="97"/>
      <c r="T883" s="97"/>
      <c r="U883" s="97"/>
      <c r="V883" s="97"/>
      <c r="W883" s="97"/>
      <c r="X883" s="97"/>
      <c r="Y883" s="97"/>
      <c r="Z883" s="97"/>
      <c r="AA883" s="97"/>
      <c r="BP883" s="190"/>
    </row>
    <row r="884" spans="2:68" x14ac:dyDescent="0.25">
      <c r="B884" s="98" t="s">
        <v>554</v>
      </c>
      <c r="C884" s="98">
        <v>2014</v>
      </c>
      <c r="D884" s="98" t="s">
        <v>275</v>
      </c>
      <c r="E884" s="98" t="s">
        <v>21</v>
      </c>
      <c r="F884" s="98" t="s">
        <v>136</v>
      </c>
      <c r="G884" s="98">
        <v>130478.322999999</v>
      </c>
      <c r="H884" s="299" t="str">
        <f>VLOOKUP(LEFT('Rev Adequacy'!D884,3),'Mapping B'!$D$2:$E$400,2,0)</f>
        <v>N</v>
      </c>
      <c r="J884" s="20"/>
      <c r="K884" s="20"/>
      <c r="L884" s="20"/>
      <c r="M884" s="20"/>
      <c r="N884" s="20"/>
      <c r="O884" s="97"/>
      <c r="P884" s="97"/>
      <c r="Q884" s="97"/>
      <c r="R884" s="97"/>
      <c r="S884" s="97"/>
      <c r="T884" s="97"/>
      <c r="U884" s="97"/>
      <c r="V884" s="97"/>
      <c r="W884" s="97"/>
      <c r="X884" s="97"/>
      <c r="Y884" s="97"/>
      <c r="Z884" s="97"/>
      <c r="AA884" s="97"/>
      <c r="BP884" s="190"/>
    </row>
    <row r="885" spans="2:68" x14ac:dyDescent="0.25">
      <c r="B885" s="98" t="s">
        <v>563</v>
      </c>
      <c r="C885" s="98">
        <v>2014</v>
      </c>
      <c r="D885" s="98" t="s">
        <v>275</v>
      </c>
      <c r="E885" s="98" t="s">
        <v>21</v>
      </c>
      <c r="F885" s="98" t="s">
        <v>136</v>
      </c>
      <c r="G885" s="98">
        <v>0</v>
      </c>
      <c r="H885" s="299" t="str">
        <f>VLOOKUP(LEFT('Rev Adequacy'!D885,3),'Mapping B'!$D$2:$E$400,2,0)</f>
        <v>N</v>
      </c>
      <c r="J885" s="20"/>
      <c r="K885" s="20"/>
      <c r="L885" s="20"/>
      <c r="M885" s="20"/>
      <c r="N885" s="20"/>
      <c r="O885" s="97"/>
      <c r="P885" s="97"/>
      <c r="Q885" s="97"/>
      <c r="R885" s="97"/>
      <c r="S885" s="97"/>
      <c r="T885" s="97"/>
      <c r="U885" s="97"/>
      <c r="V885" s="97"/>
      <c r="W885" s="97"/>
      <c r="X885" s="97"/>
      <c r="Y885" s="97"/>
      <c r="Z885" s="97"/>
      <c r="AA885" s="97"/>
      <c r="BP885" s="190"/>
    </row>
    <row r="886" spans="2:68" x14ac:dyDescent="0.25">
      <c r="B886" s="98" t="s">
        <v>555</v>
      </c>
      <c r="C886" s="98">
        <v>2014</v>
      </c>
      <c r="D886" s="98" t="s">
        <v>275</v>
      </c>
      <c r="E886" s="98" t="s">
        <v>21</v>
      </c>
      <c r="F886" s="98" t="s">
        <v>136</v>
      </c>
      <c r="G886" s="98">
        <v>707726.91899999895</v>
      </c>
      <c r="H886" s="299" t="str">
        <f>VLOOKUP(LEFT('Rev Adequacy'!D886,3),'Mapping B'!$D$2:$E$400,2,0)</f>
        <v>N</v>
      </c>
      <c r="J886" s="20"/>
      <c r="K886" s="20"/>
      <c r="L886" s="20"/>
      <c r="M886" s="20"/>
      <c r="N886" s="20"/>
      <c r="O886" s="97"/>
      <c r="P886" s="97"/>
      <c r="Q886" s="97"/>
      <c r="R886" s="97"/>
      <c r="S886" s="97"/>
      <c r="T886" s="97"/>
      <c r="U886" s="97"/>
      <c r="V886" s="97"/>
      <c r="W886" s="97"/>
      <c r="X886" s="97"/>
      <c r="Y886" s="97"/>
      <c r="Z886" s="97"/>
      <c r="AA886" s="97"/>
      <c r="BP886" s="190"/>
    </row>
    <row r="887" spans="2:68" x14ac:dyDescent="0.25">
      <c r="B887" s="98" t="s">
        <v>112</v>
      </c>
      <c r="C887" s="98">
        <v>2014</v>
      </c>
      <c r="D887" s="98" t="s">
        <v>275</v>
      </c>
      <c r="E887" s="98" t="s">
        <v>21</v>
      </c>
      <c r="F887" s="98" t="s">
        <v>136</v>
      </c>
      <c r="G887" s="98">
        <v>0</v>
      </c>
      <c r="H887" s="299" t="str">
        <f>VLOOKUP(LEFT('Rev Adequacy'!D887,3),'Mapping B'!$D$2:$E$400,2,0)</f>
        <v>N</v>
      </c>
      <c r="J887" s="20"/>
      <c r="K887" s="20"/>
      <c r="L887" s="20"/>
      <c r="M887" s="20"/>
      <c r="N887" s="20"/>
      <c r="O887" s="97"/>
      <c r="P887" s="97"/>
      <c r="Q887" s="97"/>
      <c r="R887" s="97"/>
      <c r="S887" s="97"/>
      <c r="T887" s="97"/>
      <c r="U887" s="97"/>
      <c r="V887" s="97"/>
      <c r="W887" s="97"/>
      <c r="X887" s="97"/>
      <c r="Y887" s="97"/>
      <c r="Z887" s="97"/>
      <c r="AA887" s="97"/>
      <c r="BP887" s="190"/>
    </row>
    <row r="888" spans="2:68" x14ac:dyDescent="0.25">
      <c r="B888" s="98" t="s">
        <v>111</v>
      </c>
      <c r="C888" s="98">
        <v>2014</v>
      </c>
      <c r="D888" s="98" t="s">
        <v>275</v>
      </c>
      <c r="E888" s="98" t="s">
        <v>21</v>
      </c>
      <c r="F888" s="98" t="s">
        <v>136</v>
      </c>
      <c r="G888" s="98">
        <v>0</v>
      </c>
      <c r="H888" s="299" t="str">
        <f>VLOOKUP(LEFT('Rev Adequacy'!D888,3),'Mapping B'!$D$2:$E$400,2,0)</f>
        <v>N</v>
      </c>
      <c r="J888" s="20"/>
      <c r="K888" s="20"/>
      <c r="L888" s="20"/>
      <c r="M888" s="20"/>
      <c r="N888" s="20"/>
      <c r="O888" s="97"/>
      <c r="P888" s="97"/>
      <c r="Q888" s="97"/>
      <c r="R888" s="97"/>
      <c r="S888" s="97"/>
      <c r="T888" s="97"/>
      <c r="U888" s="97"/>
      <c r="V888" s="97"/>
      <c r="W888" s="97"/>
      <c r="X888" s="97"/>
      <c r="Y888" s="97"/>
      <c r="Z888" s="97"/>
      <c r="AA888" s="97"/>
      <c r="BP888" s="190"/>
    </row>
    <row r="889" spans="2:68" x14ac:dyDescent="0.25">
      <c r="B889" s="98" t="s">
        <v>552</v>
      </c>
      <c r="C889" s="98">
        <v>2014</v>
      </c>
      <c r="D889" s="98" t="s">
        <v>228</v>
      </c>
      <c r="E889" s="98" t="s">
        <v>22</v>
      </c>
      <c r="F889" s="98" t="s">
        <v>188</v>
      </c>
      <c r="G889" s="248">
        <v>0</v>
      </c>
      <c r="H889" s="299" t="str">
        <f>VLOOKUP(LEFT('Rev Adequacy'!D889,3),'Mapping B'!$D$2:$E$400,2,0)</f>
        <v>N</v>
      </c>
      <c r="J889" s="20"/>
      <c r="K889" s="20"/>
      <c r="L889" s="20"/>
      <c r="M889" s="20"/>
      <c r="N889" s="20"/>
      <c r="O889" s="97"/>
      <c r="P889" s="97"/>
      <c r="Q889" s="97"/>
      <c r="R889" s="97"/>
      <c r="S889" s="97"/>
      <c r="T889" s="97"/>
      <c r="U889" s="97"/>
      <c r="V889" s="97"/>
      <c r="W889" s="97"/>
      <c r="X889" s="97"/>
      <c r="Y889" s="97"/>
      <c r="Z889" s="97"/>
      <c r="AA889" s="97"/>
      <c r="BP889" s="190"/>
    </row>
    <row r="890" spans="2:68" x14ac:dyDescent="0.25">
      <c r="B890" s="98" t="s">
        <v>553</v>
      </c>
      <c r="C890" s="98">
        <v>2014</v>
      </c>
      <c r="D890" s="98" t="s">
        <v>228</v>
      </c>
      <c r="E890" s="98" t="s">
        <v>22</v>
      </c>
      <c r="F890" s="98" t="s">
        <v>188</v>
      </c>
      <c r="G890" s="248">
        <v>24358.289999999899</v>
      </c>
      <c r="H890" s="299" t="str">
        <f>VLOOKUP(LEFT('Rev Adequacy'!D890,3),'Mapping B'!$D$2:$E$400,2,0)</f>
        <v>N</v>
      </c>
      <c r="J890" s="20"/>
      <c r="K890" s="20"/>
      <c r="L890" s="20"/>
      <c r="M890" s="20"/>
      <c r="N890" s="20"/>
      <c r="O890" s="97"/>
      <c r="P890" s="97"/>
      <c r="Q890" s="97"/>
      <c r="R890" s="97"/>
      <c r="S890" s="97"/>
      <c r="T890" s="97"/>
      <c r="U890" s="97"/>
      <c r="V890" s="97"/>
      <c r="W890" s="97"/>
      <c r="X890" s="97"/>
      <c r="Y890" s="97"/>
      <c r="Z890" s="97"/>
      <c r="AA890" s="97"/>
      <c r="BP890" s="190"/>
    </row>
    <row r="891" spans="2:68" x14ac:dyDescent="0.25">
      <c r="B891" s="98" t="s">
        <v>554</v>
      </c>
      <c r="C891" s="98">
        <v>2014</v>
      </c>
      <c r="D891" s="98" t="s">
        <v>228</v>
      </c>
      <c r="E891" s="98" t="s">
        <v>22</v>
      </c>
      <c r="F891" s="98" t="s">
        <v>188</v>
      </c>
      <c r="G891" s="98">
        <v>256660.524</v>
      </c>
      <c r="H891" s="299" t="str">
        <f>VLOOKUP(LEFT('Rev Adequacy'!D891,3),'Mapping B'!$D$2:$E$400,2,0)</f>
        <v>N</v>
      </c>
      <c r="J891" s="20"/>
      <c r="K891" s="20"/>
      <c r="L891" s="20"/>
      <c r="M891" s="20"/>
      <c r="N891" s="20"/>
      <c r="O891" s="97"/>
      <c r="P891" s="97"/>
      <c r="Q891" s="97"/>
      <c r="R891" s="97"/>
      <c r="S891" s="97"/>
      <c r="T891" s="97"/>
      <c r="U891" s="97"/>
      <c r="V891" s="97"/>
      <c r="W891" s="97"/>
      <c r="X891" s="97"/>
      <c r="Y891" s="97"/>
      <c r="Z891" s="97"/>
      <c r="AA891" s="97"/>
      <c r="BP891" s="190"/>
    </row>
    <row r="892" spans="2:68" x14ac:dyDescent="0.25">
      <c r="B892" s="98" t="s">
        <v>563</v>
      </c>
      <c r="C892" s="98">
        <v>2014</v>
      </c>
      <c r="D892" s="98" t="s">
        <v>228</v>
      </c>
      <c r="E892" s="98" t="s">
        <v>22</v>
      </c>
      <c r="F892" s="98" t="s">
        <v>188</v>
      </c>
      <c r="G892" s="98">
        <v>160110.23700000101</v>
      </c>
      <c r="H892" s="299" t="str">
        <f>VLOOKUP(LEFT('Rev Adequacy'!D892,3),'Mapping B'!$D$2:$E$400,2,0)</f>
        <v>N</v>
      </c>
      <c r="J892" s="20"/>
      <c r="K892" s="20"/>
      <c r="L892" s="20"/>
      <c r="M892" s="20"/>
      <c r="N892" s="20"/>
      <c r="O892" s="97"/>
      <c r="P892" s="97"/>
      <c r="Q892" s="97"/>
      <c r="R892" s="97"/>
      <c r="S892" s="97"/>
      <c r="T892" s="97"/>
      <c r="U892" s="97"/>
      <c r="V892" s="97"/>
      <c r="W892" s="97"/>
      <c r="X892" s="97"/>
      <c r="Y892" s="97"/>
      <c r="Z892" s="97"/>
      <c r="AA892" s="97"/>
      <c r="BP892" s="190"/>
    </row>
    <row r="893" spans="2:68" x14ac:dyDescent="0.25">
      <c r="B893" s="98" t="s">
        <v>555</v>
      </c>
      <c r="C893" s="98">
        <v>2014</v>
      </c>
      <c r="D893" s="98" t="s">
        <v>228</v>
      </c>
      <c r="E893" s="98" t="s">
        <v>22</v>
      </c>
      <c r="F893" s="98" t="s">
        <v>188</v>
      </c>
      <c r="G893" s="98">
        <v>39692.698999999899</v>
      </c>
      <c r="H893" s="299" t="str">
        <f>VLOOKUP(LEFT('Rev Adequacy'!D893,3),'Mapping B'!$D$2:$E$400,2,0)</f>
        <v>N</v>
      </c>
      <c r="J893" s="20"/>
      <c r="K893" s="20"/>
      <c r="L893" s="20"/>
      <c r="M893" s="20"/>
      <c r="N893" s="20"/>
      <c r="O893" s="97"/>
      <c r="P893" s="97"/>
      <c r="Q893" s="97"/>
      <c r="R893" s="97"/>
      <c r="S893" s="97"/>
      <c r="T893" s="97"/>
      <c r="U893" s="97"/>
      <c r="V893" s="97"/>
      <c r="W893" s="97"/>
      <c r="X893" s="97"/>
      <c r="Y893" s="97"/>
      <c r="Z893" s="97"/>
      <c r="AA893" s="97"/>
      <c r="BP893" s="190"/>
    </row>
    <row r="894" spans="2:68" x14ac:dyDescent="0.25">
      <c r="B894" s="98" t="s">
        <v>112</v>
      </c>
      <c r="C894" s="98">
        <v>2014</v>
      </c>
      <c r="D894" s="98" t="s">
        <v>228</v>
      </c>
      <c r="E894" s="98" t="s">
        <v>22</v>
      </c>
      <c r="F894" s="98" t="s">
        <v>188</v>
      </c>
      <c r="G894" s="98">
        <v>1898371.7520000001</v>
      </c>
      <c r="H894" s="299" t="str">
        <f>VLOOKUP(LEFT('Rev Adequacy'!D894,3),'Mapping B'!$D$2:$E$400,2,0)</f>
        <v>N</v>
      </c>
      <c r="J894" s="20"/>
      <c r="K894" s="20"/>
      <c r="L894" s="20"/>
      <c r="M894" s="20"/>
      <c r="N894" s="20"/>
      <c r="O894" s="97"/>
      <c r="P894" s="97"/>
      <c r="Q894" s="97"/>
      <c r="R894" s="97"/>
      <c r="S894" s="97"/>
      <c r="T894" s="97"/>
      <c r="U894" s="97"/>
      <c r="V894" s="97"/>
      <c r="W894" s="97"/>
      <c r="X894" s="97"/>
      <c r="Y894" s="97"/>
      <c r="Z894" s="97"/>
      <c r="AA894" s="97"/>
      <c r="BP894" s="190"/>
    </row>
    <row r="895" spans="2:68" x14ac:dyDescent="0.25">
      <c r="B895" s="98" t="s">
        <v>111</v>
      </c>
      <c r="C895" s="98">
        <v>2014</v>
      </c>
      <c r="D895" s="98" t="s">
        <v>228</v>
      </c>
      <c r="E895" s="98" t="s">
        <v>22</v>
      </c>
      <c r="F895" s="98" t="s">
        <v>188</v>
      </c>
      <c r="G895" s="98">
        <v>622097.26400000101</v>
      </c>
      <c r="H895" s="299" t="str">
        <f>VLOOKUP(LEFT('Rev Adequacy'!D895,3),'Mapping B'!$D$2:$E$400,2,0)</f>
        <v>N</v>
      </c>
      <c r="J895" s="20"/>
      <c r="K895" s="20"/>
      <c r="L895" s="20"/>
      <c r="M895" s="20"/>
      <c r="N895" s="20"/>
      <c r="O895" s="97"/>
      <c r="P895" s="97"/>
      <c r="Q895" s="97"/>
      <c r="R895" s="97"/>
      <c r="S895" s="97"/>
      <c r="T895" s="97"/>
      <c r="U895" s="97"/>
      <c r="V895" s="97"/>
      <c r="W895" s="97"/>
      <c r="X895" s="97"/>
      <c r="Y895" s="97"/>
      <c r="Z895" s="97"/>
      <c r="AA895" s="97"/>
      <c r="BP895" s="190"/>
    </row>
    <row r="896" spans="2:68" x14ac:dyDescent="0.25">
      <c r="B896" s="98" t="s">
        <v>552</v>
      </c>
      <c r="C896" s="98">
        <v>2014</v>
      </c>
      <c r="D896" s="98" t="s">
        <v>161</v>
      </c>
      <c r="E896" s="98" t="s">
        <v>23</v>
      </c>
      <c r="F896" s="98" t="s">
        <v>131</v>
      </c>
      <c r="G896" s="248">
        <v>0</v>
      </c>
      <c r="H896" s="299" t="str">
        <f>VLOOKUP(LEFT('Rev Adequacy'!D896,3),'Mapping B'!$D$2:$E$400,2,0)</f>
        <v>N</v>
      </c>
      <c r="J896" s="20"/>
      <c r="K896" s="20"/>
      <c r="L896" s="20"/>
      <c r="M896" s="20"/>
      <c r="N896" s="20"/>
      <c r="O896" s="97"/>
      <c r="P896" s="97"/>
      <c r="Q896" s="97"/>
      <c r="R896" s="97"/>
      <c r="S896" s="97"/>
      <c r="T896" s="97"/>
      <c r="U896" s="97"/>
      <c r="V896" s="97"/>
      <c r="W896" s="97"/>
      <c r="X896" s="97"/>
      <c r="Y896" s="97"/>
      <c r="Z896" s="97"/>
      <c r="AA896" s="97"/>
      <c r="BP896" s="190"/>
    </row>
    <row r="897" spans="2:68" x14ac:dyDescent="0.25">
      <c r="B897" s="98" t="s">
        <v>552</v>
      </c>
      <c r="C897" s="98">
        <v>2014</v>
      </c>
      <c r="D897" s="98" t="s">
        <v>265</v>
      </c>
      <c r="E897" s="98" t="s">
        <v>23</v>
      </c>
      <c r="F897" s="98" t="s">
        <v>131</v>
      </c>
      <c r="G897" s="248">
        <v>821.75699999997801</v>
      </c>
      <c r="H897" s="299" t="str">
        <f>VLOOKUP(LEFT('Rev Adequacy'!D897,3),'Mapping B'!$D$2:$E$400,2,0)</f>
        <v>N</v>
      </c>
      <c r="J897" s="20"/>
      <c r="K897" s="20"/>
      <c r="L897" s="20"/>
      <c r="M897" s="20"/>
      <c r="N897" s="20"/>
      <c r="O897" s="97"/>
      <c r="P897" s="97"/>
      <c r="Q897" s="97"/>
      <c r="R897" s="97"/>
      <c r="S897" s="97"/>
      <c r="T897" s="97"/>
      <c r="U897" s="97"/>
      <c r="V897" s="97"/>
      <c r="W897" s="97"/>
      <c r="X897" s="97"/>
      <c r="Y897" s="97"/>
      <c r="Z897" s="97"/>
      <c r="AA897" s="97"/>
      <c r="BP897" s="190"/>
    </row>
    <row r="898" spans="2:68" x14ac:dyDescent="0.25">
      <c r="B898" s="98" t="s">
        <v>552</v>
      </c>
      <c r="C898" s="98">
        <v>2014</v>
      </c>
      <c r="D898" s="98" t="s">
        <v>270</v>
      </c>
      <c r="E898" s="98" t="s">
        <v>23</v>
      </c>
      <c r="F898" s="98" t="s">
        <v>131</v>
      </c>
      <c r="G898" s="248">
        <v>0</v>
      </c>
      <c r="H898" s="299" t="str">
        <f>VLOOKUP(LEFT('Rev Adequacy'!D898,3),'Mapping B'!$D$2:$E$400,2,0)</f>
        <v>N</v>
      </c>
      <c r="J898" s="20"/>
      <c r="K898" s="20"/>
      <c r="L898" s="20"/>
      <c r="M898" s="20"/>
      <c r="N898" s="20"/>
      <c r="O898" s="97"/>
      <c r="P898" s="97"/>
      <c r="Q898" s="97"/>
      <c r="R898" s="97"/>
      <c r="S898" s="97"/>
      <c r="T898" s="97"/>
      <c r="U898" s="97"/>
      <c r="V898" s="97"/>
      <c r="W898" s="97"/>
      <c r="X898" s="97"/>
      <c r="Y898" s="97"/>
      <c r="Z898" s="97"/>
      <c r="AA898" s="97"/>
      <c r="BP898" s="190"/>
    </row>
    <row r="899" spans="2:68" x14ac:dyDescent="0.25">
      <c r="B899" s="98" t="s">
        <v>553</v>
      </c>
      <c r="C899" s="98">
        <v>2014</v>
      </c>
      <c r="D899" s="98" t="s">
        <v>161</v>
      </c>
      <c r="E899" s="98" t="s">
        <v>23</v>
      </c>
      <c r="F899" s="98" t="s">
        <v>131</v>
      </c>
      <c r="G899" s="248">
        <v>52406.038672994102</v>
      </c>
      <c r="H899" s="299" t="str">
        <f>VLOOKUP(LEFT('Rev Adequacy'!D899,3),'Mapping B'!$D$2:$E$400,2,0)</f>
        <v>N</v>
      </c>
      <c r="J899" s="20"/>
      <c r="K899" s="20"/>
      <c r="L899" s="20"/>
      <c r="M899" s="20"/>
      <c r="N899" s="20"/>
      <c r="O899" s="97"/>
      <c r="P899" s="97"/>
      <c r="Q899" s="97"/>
      <c r="R899" s="97"/>
      <c r="S899" s="97"/>
      <c r="T899" s="97"/>
      <c r="U899" s="97"/>
      <c r="V899" s="97"/>
      <c r="W899" s="97"/>
      <c r="X899" s="97"/>
      <c r="Y899" s="97"/>
      <c r="Z899" s="97"/>
      <c r="AA899" s="97"/>
      <c r="BP899" s="190"/>
    </row>
    <row r="900" spans="2:68" x14ac:dyDescent="0.25">
      <c r="B900" s="98" t="s">
        <v>553</v>
      </c>
      <c r="C900" s="98">
        <v>2014</v>
      </c>
      <c r="D900" s="98" t="s">
        <v>265</v>
      </c>
      <c r="E900" s="98" t="s">
        <v>23</v>
      </c>
      <c r="F900" s="98" t="s">
        <v>131</v>
      </c>
      <c r="G900" s="248">
        <v>645186.53300000099</v>
      </c>
      <c r="H900" s="299" t="str">
        <f>VLOOKUP(LEFT('Rev Adequacy'!D900,3),'Mapping B'!$D$2:$E$400,2,0)</f>
        <v>N</v>
      </c>
      <c r="J900" s="20"/>
      <c r="K900" s="20"/>
      <c r="L900" s="20"/>
      <c r="M900" s="20"/>
      <c r="N900" s="20"/>
      <c r="O900" s="97"/>
      <c r="P900" s="97"/>
      <c r="Q900" s="97"/>
      <c r="R900" s="97"/>
      <c r="S900" s="97"/>
      <c r="T900" s="97"/>
      <c r="U900" s="97"/>
      <c r="V900" s="97"/>
      <c r="W900" s="97"/>
      <c r="X900" s="97"/>
      <c r="Y900" s="97"/>
      <c r="Z900" s="97"/>
      <c r="AA900" s="97"/>
      <c r="BP900" s="190"/>
    </row>
    <row r="901" spans="2:68" x14ac:dyDescent="0.25">
      <c r="B901" s="98" t="s">
        <v>553</v>
      </c>
      <c r="C901" s="98">
        <v>2014</v>
      </c>
      <c r="D901" s="98" t="s">
        <v>270</v>
      </c>
      <c r="E901" s="98" t="s">
        <v>23</v>
      </c>
      <c r="F901" s="98" t="s">
        <v>131</v>
      </c>
      <c r="G901" s="248">
        <v>87824.625999999305</v>
      </c>
      <c r="H901" s="299" t="str">
        <f>VLOOKUP(LEFT('Rev Adequacy'!D901,3),'Mapping B'!$D$2:$E$400,2,0)</f>
        <v>N</v>
      </c>
      <c r="J901" s="20"/>
      <c r="K901" s="20"/>
      <c r="L901" s="20"/>
      <c r="M901" s="20"/>
      <c r="N901" s="20"/>
      <c r="O901" s="97"/>
      <c r="P901" s="97"/>
      <c r="Q901" s="97"/>
      <c r="R901" s="97"/>
      <c r="S901" s="97"/>
      <c r="T901" s="97"/>
      <c r="U901" s="97"/>
      <c r="V901" s="97"/>
      <c r="W901" s="97"/>
      <c r="X901" s="97"/>
      <c r="Y901" s="97"/>
      <c r="Z901" s="97"/>
      <c r="AA901" s="97"/>
      <c r="BP901" s="190"/>
    </row>
    <row r="902" spans="2:68" x14ac:dyDescent="0.25">
      <c r="B902" s="98" t="s">
        <v>554</v>
      </c>
      <c r="C902" s="98">
        <v>2014</v>
      </c>
      <c r="D902" s="98" t="s">
        <v>161</v>
      </c>
      <c r="E902" s="98" t="s">
        <v>23</v>
      </c>
      <c r="F902" s="98" t="s">
        <v>131</v>
      </c>
      <c r="G902" s="98">
        <v>1379915.9292261</v>
      </c>
      <c r="H902" s="299" t="str">
        <f>VLOOKUP(LEFT('Rev Adequacy'!D902,3),'Mapping B'!$D$2:$E$400,2,0)</f>
        <v>N</v>
      </c>
      <c r="J902" s="20"/>
      <c r="K902" s="20"/>
      <c r="L902" s="20"/>
      <c r="M902" s="20"/>
      <c r="N902" s="20"/>
      <c r="O902" s="97"/>
      <c r="P902" s="97"/>
      <c r="Q902" s="97"/>
      <c r="R902" s="97"/>
      <c r="S902" s="97"/>
      <c r="T902" s="97"/>
      <c r="U902" s="97"/>
      <c r="V902" s="97"/>
      <c r="W902" s="97"/>
      <c r="X902" s="97"/>
      <c r="Y902" s="97"/>
      <c r="Z902" s="97"/>
      <c r="AA902" s="97"/>
      <c r="BP902" s="190"/>
    </row>
    <row r="903" spans="2:68" x14ac:dyDescent="0.25">
      <c r="B903" s="98" t="s">
        <v>554</v>
      </c>
      <c r="C903" s="98">
        <v>2014</v>
      </c>
      <c r="D903" s="98" t="s">
        <v>265</v>
      </c>
      <c r="E903" s="98" t="s">
        <v>23</v>
      </c>
      <c r="F903" s="98" t="s">
        <v>131</v>
      </c>
      <c r="G903" s="98">
        <v>17529671.6800001</v>
      </c>
      <c r="H903" s="299" t="str">
        <f>VLOOKUP(LEFT('Rev Adequacy'!D903,3),'Mapping B'!$D$2:$E$400,2,0)</f>
        <v>N</v>
      </c>
      <c r="J903" s="20"/>
      <c r="K903" s="20"/>
      <c r="L903" s="20"/>
      <c r="M903" s="20"/>
      <c r="N903" s="20"/>
      <c r="O903" s="97"/>
      <c r="P903" s="97"/>
      <c r="Q903" s="97"/>
      <c r="R903" s="97"/>
      <c r="S903" s="97"/>
      <c r="T903" s="97"/>
      <c r="U903" s="97"/>
      <c r="V903" s="97"/>
      <c r="W903" s="97"/>
      <c r="X903" s="97"/>
      <c r="Y903" s="97"/>
      <c r="Z903" s="97"/>
      <c r="AA903" s="97"/>
      <c r="BP903" s="190"/>
    </row>
    <row r="904" spans="2:68" x14ac:dyDescent="0.25">
      <c r="B904" s="98" t="s">
        <v>554</v>
      </c>
      <c r="C904" s="98">
        <v>2014</v>
      </c>
      <c r="D904" s="98" t="s">
        <v>270</v>
      </c>
      <c r="E904" s="98" t="s">
        <v>23</v>
      </c>
      <c r="F904" s="98" t="s">
        <v>131</v>
      </c>
      <c r="G904" s="98">
        <v>2581865.077</v>
      </c>
      <c r="H904" s="299" t="str">
        <f>VLOOKUP(LEFT('Rev Adequacy'!D904,3),'Mapping B'!$D$2:$E$400,2,0)</f>
        <v>N</v>
      </c>
      <c r="J904" s="20"/>
      <c r="K904" s="20"/>
      <c r="L904" s="20"/>
      <c r="M904" s="20"/>
      <c r="N904" s="20"/>
      <c r="O904" s="97"/>
      <c r="P904" s="97"/>
      <c r="Q904" s="97"/>
      <c r="R904" s="97"/>
      <c r="S904" s="97"/>
      <c r="T904" s="97"/>
      <c r="U904" s="97"/>
      <c r="V904" s="97"/>
      <c r="W904" s="97"/>
      <c r="X904" s="97"/>
      <c r="Y904" s="97"/>
      <c r="Z904" s="97"/>
      <c r="AA904" s="97"/>
      <c r="BP904" s="190"/>
    </row>
    <row r="905" spans="2:68" x14ac:dyDescent="0.25">
      <c r="B905" s="98" t="s">
        <v>563</v>
      </c>
      <c r="C905" s="98">
        <v>2014</v>
      </c>
      <c r="D905" s="98" t="s">
        <v>161</v>
      </c>
      <c r="E905" s="98" t="s">
        <v>23</v>
      </c>
      <c r="F905" s="98" t="s">
        <v>131</v>
      </c>
      <c r="G905" s="98">
        <v>412753.27326881501</v>
      </c>
      <c r="H905" s="299" t="str">
        <f>VLOOKUP(LEFT('Rev Adequacy'!D905,3),'Mapping B'!$D$2:$E$400,2,0)</f>
        <v>N</v>
      </c>
      <c r="J905" s="20"/>
      <c r="K905" s="20"/>
      <c r="L905" s="20"/>
      <c r="M905" s="20"/>
      <c r="N905" s="20"/>
      <c r="O905" s="97"/>
      <c r="P905" s="97"/>
      <c r="Q905" s="97"/>
      <c r="R905" s="97"/>
      <c r="S905" s="97"/>
      <c r="T905" s="97"/>
      <c r="U905" s="97"/>
      <c r="V905" s="97"/>
      <c r="W905" s="97"/>
      <c r="X905" s="97"/>
      <c r="Y905" s="97"/>
      <c r="Z905" s="97"/>
      <c r="AA905" s="97"/>
      <c r="BP905" s="190"/>
    </row>
    <row r="906" spans="2:68" x14ac:dyDescent="0.25">
      <c r="B906" s="98" t="s">
        <v>563</v>
      </c>
      <c r="C906" s="98">
        <v>2014</v>
      </c>
      <c r="D906" s="98" t="s">
        <v>265</v>
      </c>
      <c r="E906" s="98" t="s">
        <v>23</v>
      </c>
      <c r="F906" s="98" t="s">
        <v>131</v>
      </c>
      <c r="G906" s="98">
        <v>5100856.1059999997</v>
      </c>
      <c r="H906" s="299" t="str">
        <f>VLOOKUP(LEFT('Rev Adequacy'!D906,3),'Mapping B'!$D$2:$E$400,2,0)</f>
        <v>N</v>
      </c>
      <c r="J906" s="20"/>
      <c r="K906" s="20"/>
      <c r="L906" s="20"/>
      <c r="M906" s="20"/>
      <c r="N906" s="20"/>
      <c r="O906" s="97"/>
      <c r="P906" s="97"/>
      <c r="Q906" s="97"/>
      <c r="R906" s="97"/>
      <c r="S906" s="97"/>
      <c r="T906" s="97"/>
      <c r="U906" s="97"/>
      <c r="V906" s="97"/>
      <c r="W906" s="97"/>
      <c r="X906" s="97"/>
      <c r="Y906" s="97"/>
      <c r="Z906" s="97"/>
      <c r="AA906" s="97"/>
      <c r="BP906" s="190"/>
    </row>
    <row r="907" spans="2:68" x14ac:dyDescent="0.25">
      <c r="B907" s="98" t="s">
        <v>563</v>
      </c>
      <c r="C907" s="98">
        <v>2014</v>
      </c>
      <c r="D907" s="98" t="s">
        <v>270</v>
      </c>
      <c r="E907" s="98" t="s">
        <v>23</v>
      </c>
      <c r="F907" s="98" t="s">
        <v>131</v>
      </c>
      <c r="G907" s="98">
        <v>760338.51900000102</v>
      </c>
      <c r="H907" s="299" t="str">
        <f>VLOOKUP(LEFT('Rev Adequacy'!D907,3),'Mapping B'!$D$2:$E$400,2,0)</f>
        <v>N</v>
      </c>
      <c r="J907" s="20"/>
      <c r="K907" s="20"/>
      <c r="L907" s="20"/>
      <c r="M907" s="20"/>
      <c r="N907" s="20"/>
      <c r="O907" s="97"/>
      <c r="P907" s="97"/>
      <c r="Q907" s="97"/>
      <c r="R907" s="97"/>
      <c r="S907" s="97"/>
      <c r="T907" s="97"/>
      <c r="U907" s="97"/>
      <c r="V907" s="97"/>
      <c r="W907" s="97"/>
      <c r="X907" s="97"/>
      <c r="Y907" s="97"/>
      <c r="Z907" s="97"/>
      <c r="AA907" s="97"/>
      <c r="BP907" s="190"/>
    </row>
    <row r="908" spans="2:68" x14ac:dyDescent="0.25">
      <c r="B908" s="98" t="s">
        <v>555</v>
      </c>
      <c r="C908" s="98">
        <v>2014</v>
      </c>
      <c r="D908" s="98" t="s">
        <v>161</v>
      </c>
      <c r="E908" s="98" t="s">
        <v>23</v>
      </c>
      <c r="F908" s="98" t="s">
        <v>131</v>
      </c>
      <c r="G908" s="98">
        <v>92028.403772297999</v>
      </c>
      <c r="H908" s="299" t="str">
        <f>VLOOKUP(LEFT('Rev Adequacy'!D908,3),'Mapping B'!$D$2:$E$400,2,0)</f>
        <v>N</v>
      </c>
      <c r="J908" s="20"/>
      <c r="K908" s="20"/>
      <c r="L908" s="20"/>
      <c r="M908" s="20"/>
      <c r="N908" s="20"/>
      <c r="O908" s="97"/>
      <c r="P908" s="97"/>
      <c r="Q908" s="97"/>
      <c r="R908" s="97"/>
      <c r="S908" s="97"/>
      <c r="T908" s="97"/>
      <c r="U908" s="97"/>
      <c r="V908" s="97"/>
      <c r="W908" s="97"/>
      <c r="X908" s="97"/>
      <c r="Y908" s="97"/>
      <c r="Z908" s="97"/>
      <c r="AA908" s="97"/>
      <c r="BP908" s="190"/>
    </row>
    <row r="909" spans="2:68" x14ac:dyDescent="0.25">
      <c r="B909" s="98" t="s">
        <v>555</v>
      </c>
      <c r="C909" s="98">
        <v>2014</v>
      </c>
      <c r="D909" s="98" t="s">
        <v>265</v>
      </c>
      <c r="E909" s="98" t="s">
        <v>23</v>
      </c>
      <c r="F909" s="98" t="s">
        <v>131</v>
      </c>
      <c r="G909" s="98">
        <v>1092452.051</v>
      </c>
      <c r="H909" s="299" t="str">
        <f>VLOOKUP(LEFT('Rev Adequacy'!D909,3),'Mapping B'!$D$2:$E$400,2,0)</f>
        <v>N</v>
      </c>
      <c r="J909" s="20"/>
      <c r="K909" s="20"/>
      <c r="L909" s="20"/>
      <c r="M909" s="20"/>
      <c r="N909" s="20"/>
      <c r="O909" s="97"/>
      <c r="P909" s="97"/>
      <c r="Q909" s="97"/>
      <c r="R909" s="97"/>
      <c r="S909" s="97"/>
      <c r="T909" s="97"/>
      <c r="U909" s="97"/>
      <c r="V909" s="97"/>
      <c r="W909" s="97"/>
      <c r="X909" s="97"/>
      <c r="Y909" s="97"/>
      <c r="Z909" s="97"/>
      <c r="AA909" s="97"/>
      <c r="BP909" s="190"/>
    </row>
    <row r="910" spans="2:68" x14ac:dyDescent="0.25">
      <c r="B910" s="98" t="s">
        <v>555</v>
      </c>
      <c r="C910" s="98">
        <v>2014</v>
      </c>
      <c r="D910" s="98" t="s">
        <v>270</v>
      </c>
      <c r="E910" s="98" t="s">
        <v>23</v>
      </c>
      <c r="F910" s="98" t="s">
        <v>131</v>
      </c>
      <c r="G910" s="98">
        <v>176917.57199999999</v>
      </c>
      <c r="H910" s="299" t="str">
        <f>VLOOKUP(LEFT('Rev Adequacy'!D910,3),'Mapping B'!$D$2:$E$400,2,0)</f>
        <v>N</v>
      </c>
      <c r="J910" s="20"/>
      <c r="K910" s="20"/>
      <c r="L910" s="20"/>
      <c r="M910" s="20"/>
      <c r="N910" s="20"/>
      <c r="O910" s="97"/>
      <c r="P910" s="97"/>
      <c r="Q910" s="97"/>
      <c r="R910" s="97"/>
      <c r="S910" s="97"/>
      <c r="T910" s="97"/>
      <c r="U910" s="97"/>
      <c r="V910" s="97"/>
      <c r="W910" s="97"/>
      <c r="X910" s="97"/>
      <c r="Y910" s="97"/>
      <c r="Z910" s="97"/>
      <c r="AA910" s="97"/>
      <c r="BP910" s="190"/>
    </row>
    <row r="911" spans="2:68" x14ac:dyDescent="0.25">
      <c r="B911" s="98" t="s">
        <v>112</v>
      </c>
      <c r="C911" s="98">
        <v>2014</v>
      </c>
      <c r="D911" s="98" t="s">
        <v>161</v>
      </c>
      <c r="E911" s="98" t="s">
        <v>23</v>
      </c>
      <c r="F911" s="98" t="s">
        <v>131</v>
      </c>
      <c r="G911" s="98">
        <v>2111460.6809514598</v>
      </c>
      <c r="H911" s="299" t="str">
        <f>VLOOKUP(LEFT('Rev Adequacy'!D911,3),'Mapping B'!$D$2:$E$400,2,0)</f>
        <v>N</v>
      </c>
      <c r="J911" s="20"/>
      <c r="K911" s="20"/>
      <c r="L911" s="20"/>
      <c r="M911" s="20"/>
      <c r="N911" s="20"/>
      <c r="O911" s="97"/>
      <c r="P911" s="97"/>
      <c r="Q911" s="97"/>
      <c r="R911" s="97"/>
      <c r="S911" s="97"/>
      <c r="T911" s="97"/>
      <c r="U911" s="97"/>
      <c r="V911" s="97"/>
      <c r="W911" s="97"/>
      <c r="X911" s="97"/>
      <c r="Y911" s="97"/>
      <c r="Z911" s="97"/>
      <c r="AA911" s="97"/>
      <c r="BP911" s="190"/>
    </row>
    <row r="912" spans="2:68" x14ac:dyDescent="0.25">
      <c r="B912" s="98" t="s">
        <v>112</v>
      </c>
      <c r="C912" s="98">
        <v>2014</v>
      </c>
      <c r="D912" s="98" t="s">
        <v>265</v>
      </c>
      <c r="E912" s="98" t="s">
        <v>23</v>
      </c>
      <c r="F912" s="98" t="s">
        <v>131</v>
      </c>
      <c r="G912" s="98">
        <v>23977620.921999902</v>
      </c>
      <c r="H912" s="299" t="str">
        <f>VLOOKUP(LEFT('Rev Adequacy'!D912,3),'Mapping B'!$D$2:$E$400,2,0)</f>
        <v>N</v>
      </c>
      <c r="J912" s="20"/>
      <c r="K912" s="20"/>
      <c r="L912" s="20"/>
      <c r="M912" s="20"/>
      <c r="N912" s="20"/>
      <c r="O912" s="97"/>
      <c r="P912" s="97"/>
      <c r="Q912" s="97"/>
      <c r="R912" s="97"/>
      <c r="S912" s="97"/>
      <c r="T912" s="97"/>
      <c r="U912" s="97"/>
      <c r="V912" s="97"/>
      <c r="W912" s="97"/>
      <c r="X912" s="97"/>
      <c r="Y912" s="97"/>
      <c r="Z912" s="97"/>
      <c r="AA912" s="97"/>
      <c r="BP912" s="190"/>
    </row>
    <row r="913" spans="2:68" x14ac:dyDescent="0.25">
      <c r="B913" s="98" t="s">
        <v>112</v>
      </c>
      <c r="C913" s="98">
        <v>2014</v>
      </c>
      <c r="D913" s="98" t="s">
        <v>270</v>
      </c>
      <c r="E913" s="98" t="s">
        <v>23</v>
      </c>
      <c r="F913" s="98" t="s">
        <v>131</v>
      </c>
      <c r="G913" s="98">
        <v>3745328.8599999798</v>
      </c>
      <c r="H913" s="299" t="str">
        <f>VLOOKUP(LEFT('Rev Adequacy'!D913,3),'Mapping B'!$D$2:$E$400,2,0)</f>
        <v>N</v>
      </c>
      <c r="J913" s="20"/>
      <c r="K913" s="20"/>
      <c r="L913" s="20"/>
      <c r="M913" s="20"/>
      <c r="N913" s="20"/>
      <c r="O913" s="97"/>
      <c r="P913" s="97"/>
      <c r="Q913" s="97"/>
      <c r="R913" s="97"/>
      <c r="S913" s="97"/>
      <c r="T913" s="97"/>
      <c r="U913" s="97"/>
      <c r="V913" s="97"/>
      <c r="W913" s="97"/>
      <c r="X913" s="97"/>
      <c r="Y913" s="97"/>
      <c r="Z913" s="97"/>
      <c r="AA913" s="97"/>
      <c r="BP913" s="190"/>
    </row>
    <row r="914" spans="2:68" x14ac:dyDescent="0.25">
      <c r="B914" s="98" t="s">
        <v>111</v>
      </c>
      <c r="C914" s="98">
        <v>2014</v>
      </c>
      <c r="D914" s="98" t="s">
        <v>161</v>
      </c>
      <c r="E914" s="98" t="s">
        <v>23</v>
      </c>
      <c r="F914" s="98" t="s">
        <v>131</v>
      </c>
      <c r="G914" s="98">
        <v>538484.99368656299</v>
      </c>
      <c r="H914" s="299" t="str">
        <f>VLOOKUP(LEFT('Rev Adequacy'!D914,3),'Mapping B'!$D$2:$E$400,2,0)</f>
        <v>N</v>
      </c>
      <c r="J914" s="20"/>
      <c r="K914" s="20"/>
      <c r="L914" s="20"/>
      <c r="M914" s="20"/>
      <c r="N914" s="20"/>
      <c r="O914" s="97"/>
      <c r="P914" s="97"/>
      <c r="Q914" s="97"/>
      <c r="R914" s="97"/>
      <c r="S914" s="97"/>
      <c r="T914" s="97"/>
      <c r="U914" s="97"/>
      <c r="V914" s="97"/>
      <c r="W914" s="97"/>
      <c r="X914" s="97"/>
      <c r="Y914" s="97"/>
      <c r="Z914" s="97"/>
      <c r="AA914" s="97"/>
      <c r="BP914" s="190"/>
    </row>
    <row r="915" spans="2:68" x14ac:dyDescent="0.25">
      <c r="B915" s="98" t="s">
        <v>111</v>
      </c>
      <c r="C915" s="98">
        <v>2014</v>
      </c>
      <c r="D915" s="98" t="s">
        <v>265</v>
      </c>
      <c r="E915" s="98" t="s">
        <v>23</v>
      </c>
      <c r="F915" s="98" t="s">
        <v>131</v>
      </c>
      <c r="G915" s="98">
        <v>6083271.0830000201</v>
      </c>
      <c r="H915" s="299" t="str">
        <f>VLOOKUP(LEFT('Rev Adequacy'!D915,3),'Mapping B'!$D$2:$E$400,2,0)</f>
        <v>N</v>
      </c>
      <c r="J915" s="20"/>
      <c r="K915" s="20"/>
      <c r="L915" s="20"/>
      <c r="M915" s="20"/>
      <c r="N915" s="20"/>
      <c r="O915" s="97"/>
      <c r="P915" s="97"/>
      <c r="Q915" s="97"/>
      <c r="R915" s="97"/>
      <c r="S915" s="97"/>
      <c r="T915" s="97"/>
      <c r="U915" s="97"/>
      <c r="V915" s="97"/>
      <c r="W915" s="97"/>
      <c r="X915" s="97"/>
      <c r="Y915" s="97"/>
      <c r="Z915" s="97"/>
      <c r="AA915" s="97"/>
      <c r="BP915" s="190"/>
    </row>
    <row r="916" spans="2:68" x14ac:dyDescent="0.25">
      <c r="B916" s="98" t="s">
        <v>111</v>
      </c>
      <c r="C916" s="98">
        <v>2014</v>
      </c>
      <c r="D916" s="98" t="s">
        <v>270</v>
      </c>
      <c r="E916" s="98" t="s">
        <v>23</v>
      </c>
      <c r="F916" s="98" t="s">
        <v>131</v>
      </c>
      <c r="G916" s="98">
        <v>987498.13199999998</v>
      </c>
      <c r="H916" s="299" t="str">
        <f>VLOOKUP(LEFT('Rev Adequacy'!D916,3),'Mapping B'!$D$2:$E$400,2,0)</f>
        <v>N</v>
      </c>
      <c r="J916" s="20"/>
      <c r="K916" s="20"/>
      <c r="L916" s="20"/>
      <c r="M916" s="20"/>
      <c r="N916" s="20"/>
      <c r="O916" s="97"/>
      <c r="P916" s="97"/>
      <c r="Q916" s="97"/>
      <c r="R916" s="97"/>
      <c r="S916" s="97"/>
      <c r="T916" s="97"/>
      <c r="U916" s="97"/>
      <c r="V916" s="97"/>
      <c r="W916" s="97"/>
      <c r="X916" s="97"/>
      <c r="Y916" s="97"/>
      <c r="Z916" s="97"/>
      <c r="AA916" s="97"/>
      <c r="BP916" s="190"/>
    </row>
    <row r="917" spans="2:68" x14ac:dyDescent="0.25">
      <c r="B917" s="98" t="s">
        <v>552</v>
      </c>
      <c r="C917" s="98">
        <v>2014</v>
      </c>
      <c r="D917" s="98" t="s">
        <v>187</v>
      </c>
      <c r="E917" s="98" t="s">
        <v>24</v>
      </c>
      <c r="F917" s="98" t="s">
        <v>188</v>
      </c>
      <c r="G917" s="248">
        <v>2261.1950000000302</v>
      </c>
      <c r="H917" s="299" t="str">
        <f>VLOOKUP(LEFT('Rev Adequacy'!D917,3),'Mapping B'!$D$2:$E$400,2,0)</f>
        <v>N</v>
      </c>
      <c r="J917" s="20"/>
      <c r="K917" s="20"/>
      <c r="L917" s="20"/>
      <c r="M917" s="20"/>
      <c r="N917" s="20"/>
      <c r="O917" s="97"/>
      <c r="P917" s="97"/>
      <c r="Q917" s="97"/>
      <c r="R917" s="97"/>
      <c r="S917" s="97"/>
      <c r="T917" s="97"/>
      <c r="U917" s="97"/>
      <c r="V917" s="97"/>
      <c r="W917" s="97"/>
      <c r="X917" s="97"/>
      <c r="Y917" s="97"/>
      <c r="Z917" s="97"/>
      <c r="AA917" s="97"/>
      <c r="BP917" s="190"/>
    </row>
    <row r="918" spans="2:68" x14ac:dyDescent="0.25">
      <c r="B918" s="98" t="s">
        <v>553</v>
      </c>
      <c r="C918" s="98">
        <v>2014</v>
      </c>
      <c r="D918" s="98" t="s">
        <v>187</v>
      </c>
      <c r="E918" s="98" t="s">
        <v>24</v>
      </c>
      <c r="F918" s="98" t="s">
        <v>188</v>
      </c>
      <c r="G918" s="248">
        <v>218549.41000000099</v>
      </c>
      <c r="H918" s="299" t="str">
        <f>VLOOKUP(LEFT('Rev Adequacy'!D918,3),'Mapping B'!$D$2:$E$400,2,0)</f>
        <v>N</v>
      </c>
      <c r="J918" s="20"/>
      <c r="K918" s="20"/>
      <c r="L918" s="20"/>
      <c r="M918" s="20"/>
      <c r="N918" s="20"/>
      <c r="O918" s="97"/>
      <c r="P918" s="97"/>
      <c r="Q918" s="97"/>
      <c r="R918" s="97"/>
      <c r="S918" s="97"/>
      <c r="T918" s="97"/>
      <c r="U918" s="97"/>
      <c r="V918" s="97"/>
      <c r="W918" s="97"/>
      <c r="X918" s="97"/>
      <c r="Y918" s="97"/>
      <c r="Z918" s="97"/>
      <c r="AA918" s="97"/>
      <c r="BP918" s="190"/>
    </row>
    <row r="919" spans="2:68" x14ac:dyDescent="0.25">
      <c r="B919" s="98" t="s">
        <v>554</v>
      </c>
      <c r="C919" s="98">
        <v>2014</v>
      </c>
      <c r="D919" s="98" t="s">
        <v>187</v>
      </c>
      <c r="E919" s="98" t="s">
        <v>24</v>
      </c>
      <c r="F919" s="98" t="s">
        <v>188</v>
      </c>
      <c r="G919" s="98">
        <v>14098707.0719999</v>
      </c>
      <c r="H919" s="299" t="str">
        <f>VLOOKUP(LEFT('Rev Adequacy'!D919,3),'Mapping B'!$D$2:$E$400,2,0)</f>
        <v>N</v>
      </c>
      <c r="J919" s="20"/>
      <c r="K919" s="20"/>
      <c r="L919" s="20"/>
      <c r="M919" s="20"/>
      <c r="N919" s="20"/>
      <c r="O919" s="97"/>
      <c r="P919" s="97"/>
      <c r="Q919" s="97"/>
      <c r="R919" s="97"/>
      <c r="S919" s="97"/>
      <c r="T919" s="97"/>
      <c r="U919" s="97"/>
      <c r="V919" s="97"/>
      <c r="W919" s="97"/>
      <c r="X919" s="97"/>
      <c r="Y919" s="97"/>
      <c r="Z919" s="97"/>
      <c r="AA919" s="97"/>
      <c r="BP919" s="190"/>
    </row>
    <row r="920" spans="2:68" x14ac:dyDescent="0.25">
      <c r="B920" s="98" t="s">
        <v>563</v>
      </c>
      <c r="C920" s="98">
        <v>2014</v>
      </c>
      <c r="D920" s="98" t="s">
        <v>187</v>
      </c>
      <c r="E920" s="98" t="s">
        <v>24</v>
      </c>
      <c r="F920" s="98" t="s">
        <v>188</v>
      </c>
      <c r="G920" s="98">
        <v>4279020.5699999696</v>
      </c>
      <c r="H920" s="299" t="str">
        <f>VLOOKUP(LEFT('Rev Adequacy'!D920,3),'Mapping B'!$D$2:$E$400,2,0)</f>
        <v>N</v>
      </c>
      <c r="J920" s="20"/>
      <c r="K920" s="20"/>
      <c r="L920" s="20"/>
      <c r="M920" s="20"/>
      <c r="N920" s="20"/>
      <c r="O920" s="97"/>
      <c r="P920" s="97"/>
      <c r="Q920" s="97"/>
      <c r="R920" s="97"/>
      <c r="S920" s="97"/>
      <c r="T920" s="97"/>
      <c r="U920" s="97"/>
      <c r="V920" s="97"/>
      <c r="W920" s="97"/>
      <c r="X920" s="97"/>
      <c r="Y920" s="97"/>
      <c r="Z920" s="97"/>
      <c r="AA920" s="97"/>
      <c r="BP920" s="190"/>
    </row>
    <row r="921" spans="2:68" x14ac:dyDescent="0.25">
      <c r="B921" s="98" t="s">
        <v>555</v>
      </c>
      <c r="C921" s="98">
        <v>2014</v>
      </c>
      <c r="D921" s="98" t="s">
        <v>187</v>
      </c>
      <c r="E921" s="98" t="s">
        <v>24</v>
      </c>
      <c r="F921" s="98" t="s">
        <v>188</v>
      </c>
      <c r="G921" s="98">
        <v>975411.69099999999</v>
      </c>
      <c r="H921" s="299" t="str">
        <f>VLOOKUP(LEFT('Rev Adequacy'!D921,3),'Mapping B'!$D$2:$E$400,2,0)</f>
        <v>N</v>
      </c>
      <c r="J921" s="20"/>
      <c r="K921" s="20"/>
      <c r="L921" s="20"/>
      <c r="M921" s="20"/>
      <c r="N921" s="20"/>
      <c r="O921" s="97"/>
      <c r="P921" s="97"/>
      <c r="Q921" s="97"/>
      <c r="R921" s="97"/>
      <c r="S921" s="97"/>
      <c r="T921" s="97"/>
      <c r="U921" s="97"/>
      <c r="V921" s="97"/>
      <c r="W921" s="97"/>
      <c r="X921" s="97"/>
      <c r="Y921" s="97"/>
      <c r="Z921" s="97"/>
      <c r="AA921" s="97"/>
      <c r="BP921" s="190"/>
    </row>
    <row r="922" spans="2:68" x14ac:dyDescent="0.25">
      <c r="B922" s="98" t="s">
        <v>112</v>
      </c>
      <c r="C922" s="98">
        <v>2014</v>
      </c>
      <c r="D922" s="98" t="s">
        <v>187</v>
      </c>
      <c r="E922" s="98" t="s">
        <v>24</v>
      </c>
      <c r="F922" s="98" t="s">
        <v>188</v>
      </c>
      <c r="G922" s="98">
        <v>23068337.998</v>
      </c>
      <c r="H922" s="299" t="str">
        <f>VLOOKUP(LEFT('Rev Adequacy'!D922,3),'Mapping B'!$D$2:$E$400,2,0)</f>
        <v>N</v>
      </c>
      <c r="J922" s="20"/>
      <c r="K922" s="20"/>
      <c r="L922" s="20"/>
      <c r="M922" s="20"/>
      <c r="N922" s="20"/>
      <c r="O922" s="97"/>
      <c r="P922" s="97"/>
      <c r="Q922" s="97"/>
      <c r="R922" s="97"/>
      <c r="S922" s="97"/>
      <c r="T922" s="97"/>
      <c r="U922" s="97"/>
      <c r="V922" s="97"/>
      <c r="W922" s="97"/>
      <c r="X922" s="97"/>
      <c r="Y922" s="97"/>
      <c r="Z922" s="97"/>
      <c r="AA922" s="97"/>
      <c r="BP922" s="190"/>
    </row>
    <row r="923" spans="2:68" x14ac:dyDescent="0.25">
      <c r="B923" s="98" t="s">
        <v>111</v>
      </c>
      <c r="C923" s="98">
        <v>2014</v>
      </c>
      <c r="D923" s="98" t="s">
        <v>187</v>
      </c>
      <c r="E923" s="98" t="s">
        <v>24</v>
      </c>
      <c r="F923" s="98" t="s">
        <v>188</v>
      </c>
      <c r="G923" s="98">
        <v>5779182.6379999695</v>
      </c>
      <c r="H923" s="299" t="str">
        <f>VLOOKUP(LEFT('Rev Adequacy'!D923,3),'Mapping B'!$D$2:$E$400,2,0)</f>
        <v>N</v>
      </c>
      <c r="J923" s="20"/>
      <c r="K923" s="20"/>
      <c r="L923" s="20"/>
      <c r="M923" s="20"/>
      <c r="N923" s="20"/>
      <c r="O923" s="97"/>
      <c r="P923" s="97"/>
      <c r="Q923" s="97"/>
      <c r="R923" s="97"/>
      <c r="S923" s="97"/>
      <c r="T923" s="97"/>
      <c r="U923" s="97"/>
      <c r="V923" s="97"/>
      <c r="W923" s="97"/>
      <c r="X923" s="97"/>
      <c r="Y923" s="97"/>
      <c r="Z923" s="97"/>
      <c r="AA923" s="97"/>
      <c r="BP923" s="190"/>
    </row>
    <row r="924" spans="2:68" x14ac:dyDescent="0.25">
      <c r="B924" s="98" t="s">
        <v>552</v>
      </c>
      <c r="C924" s="98">
        <v>2014</v>
      </c>
      <c r="D924" s="98" t="s">
        <v>134</v>
      </c>
      <c r="E924" s="98" t="s">
        <v>25</v>
      </c>
      <c r="F924" s="98" t="s">
        <v>131</v>
      </c>
      <c r="G924" s="248">
        <v>132.01100000000201</v>
      </c>
      <c r="H924" s="299" t="str">
        <f>VLOOKUP(LEFT('Rev Adequacy'!D924,3),'Mapping B'!$D$2:$E$400,2,0)</f>
        <v>S</v>
      </c>
      <c r="J924" s="20"/>
      <c r="K924" s="20"/>
      <c r="L924" s="20"/>
      <c r="M924" s="20"/>
      <c r="N924" s="20"/>
      <c r="O924" s="97"/>
      <c r="P924" s="97"/>
      <c r="Q924" s="97"/>
      <c r="R924" s="97"/>
      <c r="S924" s="97"/>
      <c r="T924" s="97"/>
      <c r="U924" s="97"/>
      <c r="V924" s="97"/>
      <c r="W924" s="97"/>
      <c r="X924" s="97"/>
      <c r="Y924" s="97"/>
      <c r="Z924" s="97"/>
      <c r="AA924" s="97"/>
      <c r="BP924" s="190"/>
    </row>
    <row r="925" spans="2:68" x14ac:dyDescent="0.25">
      <c r="B925" s="98" t="s">
        <v>552</v>
      </c>
      <c r="C925" s="98">
        <v>2014</v>
      </c>
      <c r="D925" s="98" t="s">
        <v>163</v>
      </c>
      <c r="E925" s="98" t="s">
        <v>25</v>
      </c>
      <c r="F925" s="98" t="s">
        <v>131</v>
      </c>
      <c r="G925" s="248">
        <v>70447.618000000497</v>
      </c>
      <c r="H925" s="299" t="str">
        <f>VLOOKUP(LEFT('Rev Adequacy'!D925,3),'Mapping B'!$D$2:$E$400,2,0)</f>
        <v>S</v>
      </c>
      <c r="J925" s="20"/>
      <c r="K925" s="20"/>
      <c r="L925" s="20"/>
      <c r="M925" s="20"/>
      <c r="N925" s="20"/>
      <c r="O925" s="97"/>
      <c r="P925" s="97"/>
      <c r="Q925" s="97"/>
      <c r="R925" s="97"/>
      <c r="S925" s="97"/>
      <c r="T925" s="97"/>
      <c r="U925" s="97"/>
      <c r="V925" s="97"/>
      <c r="W925" s="97"/>
      <c r="X925" s="97"/>
      <c r="Y925" s="97"/>
      <c r="Z925" s="97"/>
      <c r="AA925" s="97"/>
      <c r="BP925" s="190"/>
    </row>
    <row r="926" spans="2:68" x14ac:dyDescent="0.25">
      <c r="B926" s="98" t="s">
        <v>552</v>
      </c>
      <c r="C926" s="98">
        <v>2014</v>
      </c>
      <c r="D926" s="98" t="s">
        <v>167</v>
      </c>
      <c r="E926" s="98" t="s">
        <v>25</v>
      </c>
      <c r="F926" s="98" t="s">
        <v>131</v>
      </c>
      <c r="G926" s="248">
        <v>167.58699999999899</v>
      </c>
      <c r="H926" s="299" t="str">
        <f>VLOOKUP(LEFT('Rev Adequacy'!D926,3),'Mapping B'!$D$2:$E$400,2,0)</f>
        <v>S</v>
      </c>
      <c r="J926" s="20"/>
      <c r="K926" s="20"/>
      <c r="L926" s="20"/>
      <c r="M926" s="20"/>
      <c r="N926" s="20"/>
      <c r="O926" s="97"/>
      <c r="P926" s="97"/>
      <c r="Q926" s="97"/>
      <c r="R926" s="97"/>
      <c r="S926" s="97"/>
      <c r="T926" s="97"/>
      <c r="U926" s="97"/>
      <c r="V926" s="97"/>
      <c r="W926" s="97"/>
      <c r="X926" s="97"/>
      <c r="Y926" s="97"/>
      <c r="Z926" s="97"/>
      <c r="AA926" s="97"/>
      <c r="BP926" s="190"/>
    </row>
    <row r="927" spans="2:68" x14ac:dyDescent="0.25">
      <c r="B927" s="98" t="s">
        <v>552</v>
      </c>
      <c r="C927" s="98">
        <v>2014</v>
      </c>
      <c r="D927" s="98" t="s">
        <v>169</v>
      </c>
      <c r="E927" s="98" t="s">
        <v>25</v>
      </c>
      <c r="F927" s="98" t="s">
        <v>131</v>
      </c>
      <c r="G927" s="248">
        <v>128.44900000000101</v>
      </c>
      <c r="H927" s="299" t="str">
        <f>VLOOKUP(LEFT('Rev Adequacy'!D927,3),'Mapping B'!$D$2:$E$400,2,0)</f>
        <v>S</v>
      </c>
      <c r="J927" s="20"/>
      <c r="K927" s="20"/>
      <c r="L927" s="20"/>
      <c r="M927" s="20"/>
      <c r="N927" s="20"/>
      <c r="O927" s="97"/>
      <c r="P927" s="97"/>
      <c r="Q927" s="97"/>
      <c r="R927" s="97"/>
      <c r="S927" s="97"/>
      <c r="T927" s="97"/>
      <c r="U927" s="97"/>
      <c r="V927" s="97"/>
      <c r="W927" s="97"/>
      <c r="X927" s="97"/>
      <c r="Y927" s="97"/>
      <c r="Z927" s="97"/>
      <c r="AA927" s="97"/>
      <c r="BP927" s="190"/>
    </row>
    <row r="928" spans="2:68" x14ac:dyDescent="0.25">
      <c r="B928" s="98" t="s">
        <v>552</v>
      </c>
      <c r="C928" s="98">
        <v>2014</v>
      </c>
      <c r="D928" s="98" t="s">
        <v>207</v>
      </c>
      <c r="E928" s="98" t="s">
        <v>25</v>
      </c>
      <c r="F928" s="98" t="s">
        <v>131</v>
      </c>
      <c r="G928" s="248">
        <v>5756.1820000000298</v>
      </c>
      <c r="H928" s="299" t="str">
        <f>VLOOKUP(LEFT('Rev Adequacy'!D928,3),'Mapping B'!$D$2:$E$400,2,0)</f>
        <v>S</v>
      </c>
      <c r="J928" s="20"/>
      <c r="K928" s="20"/>
      <c r="L928" s="20"/>
      <c r="M928" s="20"/>
      <c r="N928" s="20"/>
      <c r="O928" s="97"/>
      <c r="P928" s="97"/>
      <c r="Q928" s="97"/>
      <c r="R928" s="97"/>
      <c r="S928" s="97"/>
      <c r="T928" s="97"/>
      <c r="U928" s="97"/>
      <c r="V928" s="97"/>
      <c r="W928" s="97"/>
      <c r="X928" s="97"/>
      <c r="Y928" s="97"/>
      <c r="Z928" s="97"/>
      <c r="AA928" s="97"/>
      <c r="BP928" s="190"/>
    </row>
    <row r="929" spans="2:68" x14ac:dyDescent="0.25">
      <c r="B929" s="98" t="s">
        <v>552</v>
      </c>
      <c r="C929" s="98">
        <v>2014</v>
      </c>
      <c r="D929" s="98" t="s">
        <v>208</v>
      </c>
      <c r="E929" s="98" t="s">
        <v>25</v>
      </c>
      <c r="F929" s="98" t="s">
        <v>131</v>
      </c>
      <c r="G929" s="248">
        <v>6607.5870000002196</v>
      </c>
      <c r="H929" s="299" t="str">
        <f>VLOOKUP(LEFT('Rev Adequacy'!D929,3),'Mapping B'!$D$2:$E$400,2,0)</f>
        <v>S</v>
      </c>
      <c r="J929" s="20"/>
      <c r="K929" s="20"/>
      <c r="L929" s="20"/>
      <c r="M929" s="20"/>
      <c r="N929" s="20"/>
      <c r="O929" s="97"/>
      <c r="P929" s="97"/>
      <c r="Q929" s="97"/>
      <c r="R929" s="97"/>
      <c r="S929" s="97"/>
      <c r="T929" s="97"/>
      <c r="U929" s="97"/>
      <c r="V929" s="97"/>
      <c r="W929" s="97"/>
      <c r="X929" s="97"/>
      <c r="Y929" s="97"/>
      <c r="Z929" s="97"/>
      <c r="AA929" s="97"/>
      <c r="BP929" s="190"/>
    </row>
    <row r="930" spans="2:68" x14ac:dyDescent="0.25">
      <c r="B930" s="98" t="s">
        <v>552</v>
      </c>
      <c r="C930" s="98">
        <v>2014</v>
      </c>
      <c r="D930" s="98" t="s">
        <v>225</v>
      </c>
      <c r="E930" s="98" t="s">
        <v>25</v>
      </c>
      <c r="F930" s="98" t="s">
        <v>131</v>
      </c>
      <c r="G930" s="248">
        <v>38287.025000000802</v>
      </c>
      <c r="H930" s="299" t="str">
        <f>VLOOKUP(LEFT('Rev Adequacy'!D930,3),'Mapping B'!$D$2:$E$400,2,0)</f>
        <v>S</v>
      </c>
      <c r="J930" s="20"/>
      <c r="K930" s="20"/>
      <c r="L930" s="20"/>
      <c r="M930" s="20"/>
      <c r="N930" s="20"/>
      <c r="O930" s="97"/>
      <c r="P930" s="97"/>
      <c r="Q930" s="97"/>
      <c r="R930" s="97"/>
      <c r="S930" s="97"/>
      <c r="T930" s="97"/>
      <c r="U930" s="97"/>
      <c r="V930" s="97"/>
      <c r="W930" s="97"/>
      <c r="X930" s="97"/>
      <c r="Y930" s="97"/>
      <c r="Z930" s="97"/>
      <c r="AA930" s="97"/>
      <c r="BP930" s="190"/>
    </row>
    <row r="931" spans="2:68" x14ac:dyDescent="0.25">
      <c r="B931" s="98" t="s">
        <v>552</v>
      </c>
      <c r="C931" s="98">
        <v>2014</v>
      </c>
      <c r="D931" s="98" t="s">
        <v>226</v>
      </c>
      <c r="E931" s="98" t="s">
        <v>25</v>
      </c>
      <c r="F931" s="98" t="s">
        <v>131</v>
      </c>
      <c r="G931" s="248">
        <v>225023.86499999501</v>
      </c>
      <c r="H931" s="299" t="str">
        <f>VLOOKUP(LEFT('Rev Adequacy'!D931,3),'Mapping B'!$D$2:$E$400,2,0)</f>
        <v>S</v>
      </c>
      <c r="J931" s="20"/>
      <c r="K931" s="20"/>
      <c r="L931" s="20"/>
      <c r="M931" s="20"/>
      <c r="N931" s="20"/>
      <c r="O931" s="97"/>
      <c r="P931" s="97"/>
      <c r="Q931" s="97"/>
      <c r="R931" s="97"/>
      <c r="S931" s="97"/>
      <c r="T931" s="97"/>
      <c r="U931" s="97"/>
      <c r="V931" s="97"/>
      <c r="W931" s="97"/>
      <c r="X931" s="97"/>
      <c r="Y931" s="97"/>
      <c r="Z931" s="97"/>
      <c r="AA931" s="97"/>
      <c r="BP931" s="190"/>
    </row>
    <row r="932" spans="2:68" x14ac:dyDescent="0.25">
      <c r="B932" s="98" t="s">
        <v>552</v>
      </c>
      <c r="C932" s="98">
        <v>2014</v>
      </c>
      <c r="D932" s="98" t="s">
        <v>230</v>
      </c>
      <c r="E932" s="98" t="s">
        <v>25</v>
      </c>
      <c r="F932" s="98" t="s">
        <v>131</v>
      </c>
      <c r="G932" s="248">
        <v>4143.058</v>
      </c>
      <c r="H932" s="299" t="str">
        <f>VLOOKUP(LEFT('Rev Adequacy'!D932,3),'Mapping B'!$D$2:$E$400,2,0)</f>
        <v>S</v>
      </c>
      <c r="J932" s="20"/>
      <c r="K932" s="20"/>
      <c r="L932" s="20"/>
      <c r="M932" s="20"/>
      <c r="N932" s="20"/>
      <c r="O932" s="97"/>
      <c r="P932" s="97"/>
      <c r="Q932" s="97"/>
      <c r="R932" s="97"/>
      <c r="S932" s="97"/>
      <c r="T932" s="97"/>
      <c r="U932" s="97"/>
      <c r="V932" s="97"/>
      <c r="W932" s="97"/>
      <c r="X932" s="97"/>
      <c r="Y932" s="97"/>
      <c r="Z932" s="97"/>
      <c r="AA932" s="97"/>
      <c r="BP932" s="190"/>
    </row>
    <row r="933" spans="2:68" x14ac:dyDescent="0.25">
      <c r="B933" s="98" t="s">
        <v>552</v>
      </c>
      <c r="C933" s="98">
        <v>2014</v>
      </c>
      <c r="D933" s="98" t="s">
        <v>231</v>
      </c>
      <c r="E933" s="98" t="s">
        <v>25</v>
      </c>
      <c r="F933" s="98" t="s">
        <v>131</v>
      </c>
      <c r="G933" s="248">
        <v>4326.7340000000004</v>
      </c>
      <c r="H933" s="299" t="str">
        <f>VLOOKUP(LEFT('Rev Adequacy'!D933,3),'Mapping B'!$D$2:$E$400,2,0)</f>
        <v>S</v>
      </c>
      <c r="J933" s="20"/>
      <c r="K933" s="20"/>
      <c r="L933" s="20"/>
      <c r="M933" s="20"/>
      <c r="N933" s="20"/>
      <c r="O933" s="97"/>
      <c r="P933" s="97"/>
      <c r="Q933" s="97"/>
      <c r="R933" s="97"/>
      <c r="S933" s="97"/>
      <c r="T933" s="97"/>
      <c r="U933" s="97"/>
      <c r="V933" s="97"/>
      <c r="W933" s="97"/>
      <c r="X933" s="97"/>
      <c r="Y933" s="97"/>
      <c r="Z933" s="97"/>
      <c r="AA933" s="97"/>
      <c r="BP933" s="190"/>
    </row>
    <row r="934" spans="2:68" x14ac:dyDescent="0.25">
      <c r="B934" s="98" t="s">
        <v>553</v>
      </c>
      <c r="C934" s="98">
        <v>2014</v>
      </c>
      <c r="D934" s="98" t="s">
        <v>134</v>
      </c>
      <c r="E934" s="98" t="s">
        <v>25</v>
      </c>
      <c r="F934" s="98" t="s">
        <v>131</v>
      </c>
      <c r="G934" s="248">
        <v>399.66200000000299</v>
      </c>
      <c r="H934" s="299" t="str">
        <f>VLOOKUP(LEFT('Rev Adequacy'!D934,3),'Mapping B'!$D$2:$E$400,2,0)</f>
        <v>S</v>
      </c>
      <c r="J934" s="20"/>
      <c r="K934" s="20"/>
      <c r="L934" s="20"/>
      <c r="M934" s="20"/>
      <c r="N934" s="20"/>
      <c r="O934" s="97"/>
      <c r="P934" s="97"/>
      <c r="Q934" s="97"/>
      <c r="R934" s="97"/>
      <c r="S934" s="97"/>
      <c r="T934" s="97"/>
      <c r="U934" s="97"/>
      <c r="V934" s="97"/>
      <c r="W934" s="97"/>
      <c r="X934" s="97"/>
      <c r="Y934" s="97"/>
      <c r="Z934" s="97"/>
      <c r="AA934" s="97"/>
      <c r="BP934" s="190"/>
    </row>
    <row r="935" spans="2:68" x14ac:dyDescent="0.25">
      <c r="B935" s="98" t="s">
        <v>553</v>
      </c>
      <c r="C935" s="98">
        <v>2014</v>
      </c>
      <c r="D935" s="98" t="s">
        <v>163</v>
      </c>
      <c r="E935" s="98" t="s">
        <v>25</v>
      </c>
      <c r="F935" s="98" t="s">
        <v>131</v>
      </c>
      <c r="G935" s="248">
        <v>239292.025000002</v>
      </c>
      <c r="H935" s="299" t="str">
        <f>VLOOKUP(LEFT('Rev Adequacy'!D935,3),'Mapping B'!$D$2:$E$400,2,0)</f>
        <v>S</v>
      </c>
      <c r="J935" s="20"/>
      <c r="K935" s="20"/>
      <c r="L935" s="20"/>
      <c r="M935" s="20"/>
      <c r="N935" s="20"/>
      <c r="O935" s="97"/>
      <c r="P935" s="97"/>
      <c r="Q935" s="97"/>
      <c r="R935" s="97"/>
      <c r="S935" s="97"/>
      <c r="T935" s="97"/>
      <c r="U935" s="97"/>
      <c r="V935" s="97"/>
      <c r="W935" s="97"/>
      <c r="X935" s="97"/>
      <c r="Y935" s="97"/>
      <c r="Z935" s="97"/>
      <c r="AA935" s="97"/>
      <c r="BP935" s="190"/>
    </row>
    <row r="936" spans="2:68" x14ac:dyDescent="0.25">
      <c r="B936" s="98" t="s">
        <v>553</v>
      </c>
      <c r="C936" s="98">
        <v>2014</v>
      </c>
      <c r="D936" s="98" t="s">
        <v>167</v>
      </c>
      <c r="E936" s="98" t="s">
        <v>25</v>
      </c>
      <c r="F936" s="98" t="s">
        <v>131</v>
      </c>
      <c r="G936" s="248">
        <v>628.32400000000405</v>
      </c>
      <c r="H936" s="299" t="str">
        <f>VLOOKUP(LEFT('Rev Adequacy'!D936,3),'Mapping B'!$D$2:$E$400,2,0)</f>
        <v>S</v>
      </c>
      <c r="J936" s="20"/>
      <c r="K936" s="20"/>
      <c r="L936" s="20"/>
      <c r="M936" s="20"/>
      <c r="N936" s="20"/>
      <c r="O936" s="97"/>
      <c r="P936" s="97"/>
      <c r="Q936" s="97"/>
      <c r="R936" s="97"/>
      <c r="S936" s="97"/>
      <c r="T936" s="97"/>
      <c r="U936" s="97"/>
      <c r="V936" s="97"/>
      <c r="W936" s="97"/>
      <c r="X936" s="97"/>
      <c r="Y936" s="97"/>
      <c r="Z936" s="97"/>
      <c r="AA936" s="97"/>
      <c r="BP936" s="190"/>
    </row>
    <row r="937" spans="2:68" x14ac:dyDescent="0.25">
      <c r="B937" s="98" t="s">
        <v>553</v>
      </c>
      <c r="C937" s="98">
        <v>2014</v>
      </c>
      <c r="D937" s="98" t="s">
        <v>169</v>
      </c>
      <c r="E937" s="98" t="s">
        <v>25</v>
      </c>
      <c r="F937" s="98" t="s">
        <v>131</v>
      </c>
      <c r="G937" s="248">
        <v>469.23200000000497</v>
      </c>
      <c r="H937" s="299" t="str">
        <f>VLOOKUP(LEFT('Rev Adequacy'!D937,3),'Mapping B'!$D$2:$E$400,2,0)</f>
        <v>S</v>
      </c>
      <c r="J937" s="20"/>
      <c r="K937" s="20"/>
      <c r="L937" s="20"/>
      <c r="M937" s="20"/>
      <c r="N937" s="20"/>
      <c r="O937" s="97"/>
      <c r="P937" s="97"/>
      <c r="Q937" s="97"/>
      <c r="R937" s="97"/>
      <c r="S937" s="97"/>
      <c r="T937" s="97"/>
      <c r="U937" s="97"/>
      <c r="V937" s="97"/>
      <c r="W937" s="97"/>
      <c r="X937" s="97"/>
      <c r="Y937" s="97"/>
      <c r="Z937" s="97"/>
      <c r="AA937" s="97"/>
      <c r="BP937" s="190"/>
    </row>
    <row r="938" spans="2:68" x14ac:dyDescent="0.25">
      <c r="B938" s="98" t="s">
        <v>553</v>
      </c>
      <c r="C938" s="98">
        <v>2014</v>
      </c>
      <c r="D938" s="98" t="s">
        <v>207</v>
      </c>
      <c r="E938" s="98" t="s">
        <v>25</v>
      </c>
      <c r="F938" s="98" t="s">
        <v>131</v>
      </c>
      <c r="G938" s="248">
        <v>22096.510999999598</v>
      </c>
      <c r="H938" s="299" t="str">
        <f>VLOOKUP(LEFT('Rev Adequacy'!D938,3),'Mapping B'!$D$2:$E$400,2,0)</f>
        <v>S</v>
      </c>
      <c r="J938" s="20"/>
      <c r="K938" s="20"/>
      <c r="L938" s="20"/>
      <c r="M938" s="20"/>
      <c r="N938" s="20"/>
      <c r="O938" s="97"/>
      <c r="P938" s="97"/>
      <c r="Q938" s="97"/>
      <c r="R938" s="97"/>
      <c r="S938" s="97"/>
      <c r="T938" s="97"/>
      <c r="U938" s="97"/>
      <c r="V938" s="97"/>
      <c r="W938" s="97"/>
      <c r="X938" s="97"/>
      <c r="Y938" s="97"/>
      <c r="Z938" s="97"/>
      <c r="AA938" s="97"/>
      <c r="BP938" s="190"/>
    </row>
    <row r="939" spans="2:68" x14ac:dyDescent="0.25">
      <c r="B939" s="98" t="s">
        <v>553</v>
      </c>
      <c r="C939" s="98">
        <v>2014</v>
      </c>
      <c r="D939" s="98" t="s">
        <v>208</v>
      </c>
      <c r="E939" s="98" t="s">
        <v>25</v>
      </c>
      <c r="F939" s="98" t="s">
        <v>131</v>
      </c>
      <c r="G939" s="248">
        <v>22170.8139999997</v>
      </c>
      <c r="H939" s="299" t="str">
        <f>VLOOKUP(LEFT('Rev Adequacy'!D939,3),'Mapping B'!$D$2:$E$400,2,0)</f>
        <v>S</v>
      </c>
      <c r="J939" s="20"/>
      <c r="K939" s="20"/>
      <c r="L939" s="20"/>
      <c r="M939" s="20"/>
      <c r="N939" s="20"/>
      <c r="O939" s="97"/>
      <c r="P939" s="97"/>
      <c r="Q939" s="97"/>
      <c r="R939" s="97"/>
      <c r="S939" s="97"/>
      <c r="T939" s="97"/>
      <c r="U939" s="97"/>
      <c r="V939" s="97"/>
      <c r="W939" s="97"/>
      <c r="X939" s="97"/>
      <c r="Y939" s="97"/>
      <c r="Z939" s="97"/>
      <c r="AA939" s="97"/>
      <c r="BP939" s="190"/>
    </row>
    <row r="940" spans="2:68" x14ac:dyDescent="0.25">
      <c r="B940" s="98" t="s">
        <v>553</v>
      </c>
      <c r="C940" s="98">
        <v>2014</v>
      </c>
      <c r="D940" s="98" t="s">
        <v>225</v>
      </c>
      <c r="E940" s="98" t="s">
        <v>25</v>
      </c>
      <c r="F940" s="98" t="s">
        <v>131</v>
      </c>
      <c r="G940" s="248">
        <v>129208.37199999701</v>
      </c>
      <c r="H940" s="299" t="str">
        <f>VLOOKUP(LEFT('Rev Adequacy'!D940,3),'Mapping B'!$D$2:$E$400,2,0)</f>
        <v>S</v>
      </c>
      <c r="J940" s="20"/>
      <c r="K940" s="20"/>
      <c r="L940" s="20"/>
      <c r="M940" s="20"/>
      <c r="N940" s="20"/>
      <c r="O940" s="97"/>
      <c r="P940" s="97"/>
      <c r="Q940" s="97"/>
      <c r="R940" s="97"/>
      <c r="S940" s="97"/>
      <c r="T940" s="97"/>
      <c r="U940" s="97"/>
      <c r="V940" s="97"/>
      <c r="W940" s="97"/>
      <c r="X940" s="97"/>
      <c r="Y940" s="97"/>
      <c r="Z940" s="97"/>
      <c r="AA940" s="97"/>
      <c r="BP940" s="190"/>
    </row>
    <row r="941" spans="2:68" x14ac:dyDescent="0.25">
      <c r="B941" s="98" t="s">
        <v>553</v>
      </c>
      <c r="C941" s="98">
        <v>2014</v>
      </c>
      <c r="D941" s="98" t="s">
        <v>226</v>
      </c>
      <c r="E941" s="98" t="s">
        <v>25</v>
      </c>
      <c r="F941" s="98" t="s">
        <v>131</v>
      </c>
      <c r="G941" s="248">
        <v>729515.72100000596</v>
      </c>
      <c r="H941" s="299" t="str">
        <f>VLOOKUP(LEFT('Rev Adequacy'!D941,3),'Mapping B'!$D$2:$E$400,2,0)</f>
        <v>S</v>
      </c>
      <c r="J941" s="20"/>
      <c r="K941" s="20"/>
      <c r="L941" s="20"/>
      <c r="M941" s="20"/>
      <c r="N941" s="20"/>
      <c r="O941" s="97"/>
      <c r="P941" s="97"/>
      <c r="Q941" s="97"/>
      <c r="R941" s="97"/>
      <c r="S941" s="97"/>
      <c r="T941" s="97"/>
      <c r="U941" s="97"/>
      <c r="V941" s="97"/>
      <c r="W941" s="97"/>
      <c r="X941" s="97"/>
      <c r="Y941" s="97"/>
      <c r="Z941" s="97"/>
      <c r="AA941" s="97"/>
      <c r="BP941" s="190"/>
    </row>
    <row r="942" spans="2:68" x14ac:dyDescent="0.25">
      <c r="B942" s="98" t="s">
        <v>553</v>
      </c>
      <c r="C942" s="98">
        <v>2014</v>
      </c>
      <c r="D942" s="98" t="s">
        <v>230</v>
      </c>
      <c r="E942" s="98" t="s">
        <v>25</v>
      </c>
      <c r="F942" s="98" t="s">
        <v>131</v>
      </c>
      <c r="G942" s="248">
        <v>7817.0159999999496</v>
      </c>
      <c r="H942" s="299" t="str">
        <f>VLOOKUP(LEFT('Rev Adequacy'!D942,3),'Mapping B'!$D$2:$E$400,2,0)</f>
        <v>S</v>
      </c>
      <c r="J942" s="20"/>
      <c r="K942" s="20"/>
      <c r="L942" s="20"/>
      <c r="M942" s="20"/>
      <c r="N942" s="20"/>
      <c r="O942" s="97"/>
      <c r="P942" s="97"/>
      <c r="Q942" s="97"/>
      <c r="R942" s="97"/>
      <c r="S942" s="97"/>
      <c r="T942" s="97"/>
      <c r="U942" s="97"/>
      <c r="V942" s="97"/>
      <c r="W942" s="97"/>
      <c r="X942" s="97"/>
      <c r="Y942" s="97"/>
      <c r="Z942" s="97"/>
      <c r="AA942" s="97"/>
      <c r="BP942" s="190"/>
    </row>
    <row r="943" spans="2:68" x14ac:dyDescent="0.25">
      <c r="B943" s="98" t="s">
        <v>553</v>
      </c>
      <c r="C943" s="98">
        <v>2014</v>
      </c>
      <c r="D943" s="98" t="s">
        <v>231</v>
      </c>
      <c r="E943" s="98" t="s">
        <v>25</v>
      </c>
      <c r="F943" s="98" t="s">
        <v>131</v>
      </c>
      <c r="G943" s="248">
        <v>8261.0979999999199</v>
      </c>
      <c r="H943" s="299" t="str">
        <f>VLOOKUP(LEFT('Rev Adequacy'!D943,3),'Mapping B'!$D$2:$E$400,2,0)</f>
        <v>S</v>
      </c>
      <c r="J943" s="20"/>
      <c r="K943" s="20"/>
      <c r="L943" s="20"/>
      <c r="M943" s="20"/>
      <c r="N943" s="20"/>
      <c r="O943" s="97"/>
      <c r="P943" s="97"/>
      <c r="Q943" s="97"/>
      <c r="R943" s="97"/>
      <c r="S943" s="97"/>
      <c r="T943" s="97"/>
      <c r="U943" s="97"/>
      <c r="V943" s="97"/>
      <c r="W943" s="97"/>
      <c r="X943" s="97"/>
      <c r="Y943" s="97"/>
      <c r="Z943" s="97"/>
      <c r="AA943" s="97"/>
      <c r="BP943" s="190"/>
    </row>
    <row r="944" spans="2:68" x14ac:dyDescent="0.25">
      <c r="B944" s="98" t="s">
        <v>554</v>
      </c>
      <c r="C944" s="98">
        <v>2014</v>
      </c>
      <c r="D944" s="98" t="s">
        <v>134</v>
      </c>
      <c r="E944" s="98" t="s">
        <v>25</v>
      </c>
      <c r="F944" s="98" t="s">
        <v>131</v>
      </c>
      <c r="G944" s="248">
        <v>322.16799999999898</v>
      </c>
      <c r="H944" s="299" t="str">
        <f>VLOOKUP(LEFT('Rev Adequacy'!D944,3),'Mapping B'!$D$2:$E$400,2,0)</f>
        <v>S</v>
      </c>
      <c r="J944" s="20"/>
      <c r="K944" s="20"/>
      <c r="L944" s="20"/>
      <c r="M944" s="20"/>
      <c r="N944" s="20"/>
      <c r="O944" s="97"/>
      <c r="P944" s="97"/>
      <c r="Q944" s="97"/>
      <c r="R944" s="97"/>
      <c r="S944" s="97"/>
      <c r="T944" s="97"/>
      <c r="U944" s="97"/>
      <c r="V944" s="97"/>
      <c r="W944" s="97"/>
      <c r="X944" s="97"/>
      <c r="Y944" s="97"/>
      <c r="Z944" s="97"/>
      <c r="AA944" s="97"/>
      <c r="BP944" s="190"/>
    </row>
    <row r="945" spans="2:68" x14ac:dyDescent="0.25">
      <c r="B945" s="98" t="s">
        <v>554</v>
      </c>
      <c r="C945" s="98">
        <v>2014</v>
      </c>
      <c r="D945" s="98" t="s">
        <v>163</v>
      </c>
      <c r="E945" s="98" t="s">
        <v>25</v>
      </c>
      <c r="F945" s="98" t="s">
        <v>131</v>
      </c>
      <c r="G945" s="98">
        <v>0</v>
      </c>
      <c r="H945" s="299" t="str">
        <f>VLOOKUP(LEFT('Rev Adequacy'!D945,3),'Mapping B'!$D$2:$E$400,2,0)</f>
        <v>S</v>
      </c>
      <c r="J945" s="20"/>
      <c r="K945" s="20"/>
      <c r="L945" s="20"/>
      <c r="M945" s="20"/>
      <c r="N945" s="20"/>
      <c r="O945" s="97"/>
      <c r="P945" s="97"/>
      <c r="Q945" s="97"/>
      <c r="R945" s="97"/>
      <c r="S945" s="97"/>
      <c r="T945" s="97"/>
      <c r="U945" s="97"/>
      <c r="V945" s="97"/>
      <c r="W945" s="97"/>
      <c r="X945" s="97"/>
      <c r="Y945" s="97"/>
      <c r="Z945" s="97"/>
      <c r="AA945" s="97"/>
      <c r="BP945" s="190"/>
    </row>
    <row r="946" spans="2:68" x14ac:dyDescent="0.25">
      <c r="B946" s="98" t="s">
        <v>554</v>
      </c>
      <c r="C946" s="98">
        <v>2014</v>
      </c>
      <c r="D946" s="98" t="s">
        <v>167</v>
      </c>
      <c r="E946" s="98" t="s">
        <v>25</v>
      </c>
      <c r="F946" s="98" t="s">
        <v>131</v>
      </c>
      <c r="G946" s="98">
        <v>0</v>
      </c>
      <c r="H946" s="299" t="str">
        <f>VLOOKUP(LEFT('Rev Adequacy'!D946,3),'Mapping B'!$D$2:$E$400,2,0)</f>
        <v>S</v>
      </c>
      <c r="J946" s="20"/>
      <c r="K946" s="20"/>
      <c r="L946" s="20"/>
      <c r="M946" s="20"/>
      <c r="N946" s="20"/>
      <c r="O946" s="97"/>
      <c r="P946" s="97"/>
      <c r="Q946" s="97"/>
      <c r="R946" s="97"/>
      <c r="S946" s="97"/>
      <c r="T946" s="97"/>
      <c r="U946" s="97"/>
      <c r="V946" s="97"/>
      <c r="W946" s="97"/>
      <c r="X946" s="97"/>
      <c r="Y946" s="97"/>
      <c r="Z946" s="97"/>
      <c r="AA946" s="97"/>
      <c r="BP946" s="190"/>
    </row>
    <row r="947" spans="2:68" x14ac:dyDescent="0.25">
      <c r="B947" s="98" t="s">
        <v>554</v>
      </c>
      <c r="C947" s="98">
        <v>2014</v>
      </c>
      <c r="D947" s="98" t="s">
        <v>169</v>
      </c>
      <c r="E947" s="98" t="s">
        <v>25</v>
      </c>
      <c r="F947" s="98" t="s">
        <v>131</v>
      </c>
      <c r="G947" s="98">
        <v>0</v>
      </c>
      <c r="H947" s="299" t="str">
        <f>VLOOKUP(LEFT('Rev Adequacy'!D947,3),'Mapping B'!$D$2:$E$400,2,0)</f>
        <v>S</v>
      </c>
      <c r="J947" s="20"/>
      <c r="K947" s="20"/>
      <c r="L947" s="20"/>
      <c r="M947" s="20"/>
      <c r="N947" s="20"/>
      <c r="O947" s="97"/>
      <c r="P947" s="97"/>
      <c r="Q947" s="97"/>
      <c r="R947" s="97"/>
      <c r="S947" s="97"/>
      <c r="T947" s="97"/>
      <c r="U947" s="97"/>
      <c r="V947" s="97"/>
      <c r="W947" s="97"/>
      <c r="X947" s="97"/>
      <c r="Y947" s="97"/>
      <c r="Z947" s="97"/>
      <c r="AA947" s="97"/>
      <c r="BP947" s="190"/>
    </row>
    <row r="948" spans="2:68" x14ac:dyDescent="0.25">
      <c r="B948" s="98" t="s">
        <v>554</v>
      </c>
      <c r="C948" s="98">
        <v>2014</v>
      </c>
      <c r="D948" s="98" t="s">
        <v>207</v>
      </c>
      <c r="E948" s="98" t="s">
        <v>25</v>
      </c>
      <c r="F948" s="98" t="s">
        <v>131</v>
      </c>
      <c r="G948" s="98">
        <v>77920.645000000703</v>
      </c>
      <c r="H948" s="299" t="str">
        <f>VLOOKUP(LEFT('Rev Adequacy'!D948,3),'Mapping B'!$D$2:$E$400,2,0)</f>
        <v>S</v>
      </c>
      <c r="J948" s="20"/>
      <c r="K948" s="20"/>
      <c r="L948" s="20"/>
      <c r="M948" s="20"/>
      <c r="N948" s="20"/>
      <c r="O948" s="97"/>
      <c r="P948" s="97"/>
      <c r="Q948" s="97"/>
      <c r="R948" s="97"/>
      <c r="S948" s="97"/>
      <c r="T948" s="97"/>
      <c r="U948" s="97"/>
      <c r="V948" s="97"/>
      <c r="W948" s="97"/>
      <c r="X948" s="97"/>
      <c r="Y948" s="97"/>
      <c r="Z948" s="97"/>
      <c r="AA948" s="97"/>
      <c r="BP948" s="190"/>
    </row>
    <row r="949" spans="2:68" x14ac:dyDescent="0.25">
      <c r="B949" s="98" t="s">
        <v>554</v>
      </c>
      <c r="C949" s="98">
        <v>2014</v>
      </c>
      <c r="D949" s="98" t="s">
        <v>208</v>
      </c>
      <c r="E949" s="98" t="s">
        <v>25</v>
      </c>
      <c r="F949" s="98" t="s">
        <v>131</v>
      </c>
      <c r="G949" s="98">
        <v>128125.06399999899</v>
      </c>
      <c r="H949" s="299" t="str">
        <f>VLOOKUP(LEFT('Rev Adequacy'!D949,3),'Mapping B'!$D$2:$E$400,2,0)</f>
        <v>S</v>
      </c>
      <c r="J949" s="20"/>
      <c r="K949" s="20"/>
      <c r="L949" s="20"/>
      <c r="M949" s="20"/>
      <c r="N949" s="20"/>
      <c r="O949" s="97"/>
      <c r="P949" s="97"/>
      <c r="Q949" s="97"/>
      <c r="R949" s="97"/>
      <c r="S949" s="97"/>
      <c r="T949" s="97"/>
      <c r="U949" s="97"/>
      <c r="V949" s="97"/>
      <c r="W949" s="97"/>
      <c r="X949" s="97"/>
      <c r="Y949" s="97"/>
      <c r="Z949" s="97"/>
      <c r="AA949" s="97"/>
      <c r="BP949" s="190"/>
    </row>
    <row r="950" spans="2:68" x14ac:dyDescent="0.25">
      <c r="B950" s="98" t="s">
        <v>554</v>
      </c>
      <c r="C950" s="98">
        <v>2014</v>
      </c>
      <c r="D950" s="98" t="s">
        <v>225</v>
      </c>
      <c r="E950" s="98" t="s">
        <v>25</v>
      </c>
      <c r="F950" s="98" t="s">
        <v>131</v>
      </c>
      <c r="G950" s="98">
        <v>98875.836999999796</v>
      </c>
      <c r="H950" s="299" t="str">
        <f>VLOOKUP(LEFT('Rev Adequacy'!D950,3),'Mapping B'!$D$2:$E$400,2,0)</f>
        <v>S</v>
      </c>
      <c r="J950" s="20"/>
      <c r="K950" s="20"/>
      <c r="L950" s="20"/>
      <c r="M950" s="20"/>
      <c r="N950" s="20"/>
      <c r="O950" s="97"/>
      <c r="P950" s="97"/>
      <c r="Q950" s="97"/>
      <c r="R950" s="97"/>
      <c r="S950" s="97"/>
      <c r="T950" s="97"/>
      <c r="U950" s="97"/>
      <c r="V950" s="97"/>
      <c r="W950" s="97"/>
      <c r="X950" s="97"/>
      <c r="Y950" s="97"/>
      <c r="Z950" s="97"/>
      <c r="AA950" s="97"/>
      <c r="BP950" s="190"/>
    </row>
    <row r="951" spans="2:68" x14ac:dyDescent="0.25">
      <c r="B951" s="98" t="s">
        <v>554</v>
      </c>
      <c r="C951" s="98">
        <v>2014</v>
      </c>
      <c r="D951" s="98" t="s">
        <v>226</v>
      </c>
      <c r="E951" s="98" t="s">
        <v>25</v>
      </c>
      <c r="F951" s="98" t="s">
        <v>131</v>
      </c>
      <c r="G951" s="98">
        <v>0</v>
      </c>
      <c r="H951" s="299" t="str">
        <f>VLOOKUP(LEFT('Rev Adequacy'!D951,3),'Mapping B'!$D$2:$E$400,2,0)</f>
        <v>S</v>
      </c>
      <c r="J951" s="20"/>
      <c r="K951" s="20"/>
      <c r="L951" s="20"/>
      <c r="M951" s="20"/>
      <c r="N951" s="20"/>
      <c r="O951" s="97"/>
      <c r="P951" s="97"/>
      <c r="Q951" s="97"/>
      <c r="R951" s="97"/>
      <c r="S951" s="97"/>
      <c r="T951" s="97"/>
      <c r="U951" s="97"/>
      <c r="V951" s="97"/>
      <c r="W951" s="97"/>
      <c r="X951" s="97"/>
      <c r="Y951" s="97"/>
      <c r="Z951" s="97"/>
      <c r="AA951" s="97"/>
      <c r="BP951" s="190"/>
    </row>
    <row r="952" spans="2:68" x14ac:dyDescent="0.25">
      <c r="B952" s="98" t="s">
        <v>554</v>
      </c>
      <c r="C952" s="98">
        <v>2014</v>
      </c>
      <c r="D952" s="98" t="s">
        <v>230</v>
      </c>
      <c r="E952" s="98" t="s">
        <v>25</v>
      </c>
      <c r="F952" s="98" t="s">
        <v>131</v>
      </c>
      <c r="G952" s="98">
        <v>43539.631000000001</v>
      </c>
      <c r="H952" s="299" t="str">
        <f>VLOOKUP(LEFT('Rev Adequacy'!D952,3),'Mapping B'!$D$2:$E$400,2,0)</f>
        <v>S</v>
      </c>
      <c r="J952" s="20"/>
      <c r="K952" s="20"/>
      <c r="L952" s="20"/>
      <c r="M952" s="20"/>
      <c r="N952" s="20"/>
      <c r="O952" s="97"/>
      <c r="P952" s="97"/>
      <c r="Q952" s="97"/>
      <c r="R952" s="97"/>
      <c r="S952" s="97"/>
      <c r="T952" s="97"/>
      <c r="U952" s="97"/>
      <c r="V952" s="97"/>
      <c r="W952" s="97"/>
      <c r="X952" s="97"/>
      <c r="Y952" s="97"/>
      <c r="Z952" s="97"/>
      <c r="AA952" s="97"/>
      <c r="BP952" s="190"/>
    </row>
    <row r="953" spans="2:68" x14ac:dyDescent="0.25">
      <c r="B953" s="98" t="s">
        <v>554</v>
      </c>
      <c r="C953" s="98">
        <v>2014</v>
      </c>
      <c r="D953" s="98" t="s">
        <v>231</v>
      </c>
      <c r="E953" s="98" t="s">
        <v>25</v>
      </c>
      <c r="F953" s="98" t="s">
        <v>131</v>
      </c>
      <c r="G953" s="98">
        <v>44492.498999999902</v>
      </c>
      <c r="H953" s="299" t="str">
        <f>VLOOKUP(LEFT('Rev Adequacy'!D953,3),'Mapping B'!$D$2:$E$400,2,0)</f>
        <v>S</v>
      </c>
      <c r="J953" s="20"/>
      <c r="K953" s="20"/>
      <c r="L953" s="20"/>
      <c r="M953" s="20"/>
      <c r="N953" s="20"/>
      <c r="O953" s="97"/>
      <c r="P953" s="97"/>
      <c r="Q953" s="97"/>
      <c r="R953" s="97"/>
      <c r="S953" s="97"/>
      <c r="T953" s="97"/>
      <c r="U953" s="97"/>
      <c r="V953" s="97"/>
      <c r="W953" s="97"/>
      <c r="X953" s="97"/>
      <c r="Y953" s="97"/>
      <c r="Z953" s="97"/>
      <c r="AA953" s="97"/>
      <c r="BP953" s="190"/>
    </row>
    <row r="954" spans="2:68" x14ac:dyDescent="0.25">
      <c r="B954" s="98" t="s">
        <v>563</v>
      </c>
      <c r="C954" s="98">
        <v>2014</v>
      </c>
      <c r="D954" s="98" t="s">
        <v>134</v>
      </c>
      <c r="E954" s="98" t="s">
        <v>25</v>
      </c>
      <c r="F954" s="98" t="s">
        <v>131</v>
      </c>
      <c r="G954" s="98">
        <v>2182.1779999999799</v>
      </c>
      <c r="H954" s="299" t="str">
        <f>VLOOKUP(LEFT('Rev Adequacy'!D954,3),'Mapping B'!$D$2:$E$400,2,0)</f>
        <v>S</v>
      </c>
      <c r="J954" s="20"/>
      <c r="K954" s="20"/>
      <c r="L954" s="20"/>
      <c r="M954" s="20"/>
      <c r="N954" s="20"/>
      <c r="O954" s="97"/>
      <c r="P954" s="97"/>
      <c r="Q954" s="97"/>
      <c r="R954" s="97"/>
      <c r="S954" s="97"/>
      <c r="T954" s="97"/>
      <c r="U954" s="97"/>
      <c r="V954" s="97"/>
      <c r="W954" s="97"/>
      <c r="X954" s="97"/>
      <c r="Y954" s="97"/>
      <c r="Z954" s="97"/>
      <c r="AA954" s="97"/>
      <c r="BP954" s="190"/>
    </row>
    <row r="955" spans="2:68" x14ac:dyDescent="0.25">
      <c r="B955" s="98" t="s">
        <v>563</v>
      </c>
      <c r="C955" s="98">
        <v>2014</v>
      </c>
      <c r="D955" s="98" t="s">
        <v>163</v>
      </c>
      <c r="E955" s="98" t="s">
        <v>25</v>
      </c>
      <c r="F955" s="98" t="s">
        <v>131</v>
      </c>
      <c r="G955" s="98">
        <v>1148377.868</v>
      </c>
      <c r="H955" s="299" t="str">
        <f>VLOOKUP(LEFT('Rev Adequacy'!D955,3),'Mapping B'!$D$2:$E$400,2,0)</f>
        <v>S</v>
      </c>
      <c r="J955" s="20"/>
      <c r="K955" s="20"/>
      <c r="L955" s="20"/>
      <c r="M955" s="20"/>
      <c r="N955" s="20"/>
      <c r="O955" s="97"/>
      <c r="P955" s="97"/>
      <c r="Q955" s="97"/>
      <c r="R955" s="97"/>
      <c r="S955" s="97"/>
      <c r="T955" s="97"/>
      <c r="U955" s="97"/>
      <c r="V955" s="97"/>
      <c r="W955" s="97"/>
      <c r="X955" s="97"/>
      <c r="Y955" s="97"/>
      <c r="Z955" s="97"/>
      <c r="AA955" s="97"/>
      <c r="BP955" s="190"/>
    </row>
    <row r="956" spans="2:68" x14ac:dyDescent="0.25">
      <c r="B956" s="98" t="s">
        <v>563</v>
      </c>
      <c r="C956" s="98">
        <v>2014</v>
      </c>
      <c r="D956" s="98" t="s">
        <v>167</v>
      </c>
      <c r="E956" s="98" t="s">
        <v>25</v>
      </c>
      <c r="F956" s="98" t="s">
        <v>131</v>
      </c>
      <c r="G956" s="98">
        <v>2993.68099999999</v>
      </c>
      <c r="H956" s="299" t="str">
        <f>VLOOKUP(LEFT('Rev Adequacy'!D956,3),'Mapping B'!$D$2:$E$400,2,0)</f>
        <v>S</v>
      </c>
      <c r="J956" s="20"/>
      <c r="K956" s="20"/>
      <c r="L956" s="20"/>
      <c r="M956" s="20"/>
      <c r="N956" s="20"/>
      <c r="O956" s="97"/>
      <c r="P956" s="97"/>
      <c r="Q956" s="97"/>
      <c r="R956" s="97"/>
      <c r="S956" s="97"/>
      <c r="T956" s="97"/>
      <c r="U956" s="97"/>
      <c r="V956" s="97"/>
      <c r="W956" s="97"/>
      <c r="X956" s="97"/>
      <c r="Y956" s="97"/>
      <c r="Z956" s="97"/>
      <c r="AA956" s="97"/>
      <c r="BP956" s="190"/>
    </row>
    <row r="957" spans="2:68" x14ac:dyDescent="0.25">
      <c r="B957" s="98" t="s">
        <v>563</v>
      </c>
      <c r="C957" s="98">
        <v>2014</v>
      </c>
      <c r="D957" s="98" t="s">
        <v>169</v>
      </c>
      <c r="E957" s="98" t="s">
        <v>25</v>
      </c>
      <c r="F957" s="98" t="s">
        <v>131</v>
      </c>
      <c r="G957" s="98">
        <v>2280.9759999999801</v>
      </c>
      <c r="H957" s="299" t="str">
        <f>VLOOKUP(LEFT('Rev Adequacy'!D957,3),'Mapping B'!$D$2:$E$400,2,0)</f>
        <v>S</v>
      </c>
      <c r="J957" s="20"/>
      <c r="K957" s="20"/>
      <c r="L957" s="20"/>
      <c r="M957" s="20"/>
      <c r="N957" s="20"/>
      <c r="O957" s="97"/>
      <c r="P957" s="97"/>
      <c r="Q957" s="97"/>
      <c r="R957" s="97"/>
      <c r="S957" s="97"/>
      <c r="T957" s="97"/>
      <c r="U957" s="97"/>
      <c r="V957" s="97"/>
      <c r="W957" s="97"/>
      <c r="X957" s="97"/>
      <c r="Y957" s="97"/>
      <c r="Z957" s="97"/>
      <c r="AA957" s="97"/>
      <c r="BP957" s="190"/>
    </row>
    <row r="958" spans="2:68" x14ac:dyDescent="0.25">
      <c r="B958" s="98" t="s">
        <v>563</v>
      </c>
      <c r="C958" s="98">
        <v>2014</v>
      </c>
      <c r="D958" s="98" t="s">
        <v>207</v>
      </c>
      <c r="E958" s="98" t="s">
        <v>25</v>
      </c>
      <c r="F958" s="98" t="s">
        <v>131</v>
      </c>
      <c r="G958" s="98">
        <v>154179.595999999</v>
      </c>
      <c r="H958" s="299" t="str">
        <f>VLOOKUP(LEFT('Rev Adequacy'!D958,3),'Mapping B'!$D$2:$E$400,2,0)</f>
        <v>S</v>
      </c>
      <c r="J958" s="20"/>
      <c r="K958" s="20"/>
      <c r="L958" s="20"/>
      <c r="M958" s="20"/>
      <c r="N958" s="20"/>
      <c r="O958" s="97"/>
      <c r="P958" s="97"/>
      <c r="Q958" s="97"/>
      <c r="R958" s="97"/>
      <c r="S958" s="97"/>
      <c r="T958" s="97"/>
      <c r="U958" s="97"/>
      <c r="V958" s="97"/>
      <c r="W958" s="97"/>
      <c r="X958" s="97"/>
      <c r="Y958" s="97"/>
      <c r="Z958" s="97"/>
      <c r="AA958" s="97"/>
      <c r="BP958" s="190"/>
    </row>
    <row r="959" spans="2:68" x14ac:dyDescent="0.25">
      <c r="B959" s="98" t="s">
        <v>563</v>
      </c>
      <c r="C959" s="98">
        <v>2014</v>
      </c>
      <c r="D959" s="98" t="s">
        <v>208</v>
      </c>
      <c r="E959" s="98" t="s">
        <v>25</v>
      </c>
      <c r="F959" s="98" t="s">
        <v>131</v>
      </c>
      <c r="G959" s="98">
        <v>174237.15499999901</v>
      </c>
      <c r="H959" s="299" t="str">
        <f>VLOOKUP(LEFT('Rev Adequacy'!D959,3),'Mapping B'!$D$2:$E$400,2,0)</f>
        <v>S</v>
      </c>
      <c r="J959" s="20"/>
      <c r="K959" s="20"/>
      <c r="L959" s="20"/>
      <c r="M959" s="20"/>
      <c r="N959" s="20"/>
      <c r="O959" s="97"/>
      <c r="P959" s="97"/>
      <c r="Q959" s="97"/>
      <c r="R959" s="97"/>
      <c r="S959" s="97"/>
      <c r="T959" s="97"/>
      <c r="U959" s="97"/>
      <c r="V959" s="97"/>
      <c r="W959" s="97"/>
      <c r="X959" s="97"/>
      <c r="Y959" s="97"/>
      <c r="Z959" s="97"/>
      <c r="AA959" s="97"/>
      <c r="BP959" s="190"/>
    </row>
    <row r="960" spans="2:68" x14ac:dyDescent="0.25">
      <c r="B960" s="98" t="s">
        <v>563</v>
      </c>
      <c r="C960" s="98">
        <v>2014</v>
      </c>
      <c r="D960" s="98" t="s">
        <v>225</v>
      </c>
      <c r="E960" s="98" t="s">
        <v>25</v>
      </c>
      <c r="F960" s="98" t="s">
        <v>131</v>
      </c>
      <c r="G960" s="98">
        <v>747590.23299999698</v>
      </c>
      <c r="H960" s="299" t="str">
        <f>VLOOKUP(LEFT('Rev Adequacy'!D960,3),'Mapping B'!$D$2:$E$400,2,0)</f>
        <v>S</v>
      </c>
      <c r="J960" s="20"/>
      <c r="K960" s="20"/>
      <c r="L960" s="20"/>
      <c r="M960" s="20"/>
      <c r="N960" s="20"/>
      <c r="O960" s="97"/>
      <c r="P960" s="97"/>
      <c r="Q960" s="97"/>
      <c r="R960" s="97"/>
      <c r="S960" s="97"/>
      <c r="T960" s="97"/>
      <c r="U960" s="97"/>
      <c r="V960" s="97"/>
      <c r="W960" s="97"/>
      <c r="X960" s="97"/>
      <c r="Y960" s="97"/>
      <c r="Z960" s="97"/>
      <c r="AA960" s="97"/>
      <c r="BP960" s="190"/>
    </row>
    <row r="961" spans="2:68" x14ac:dyDescent="0.25">
      <c r="B961" s="98" t="s">
        <v>563</v>
      </c>
      <c r="C961" s="98">
        <v>2014</v>
      </c>
      <c r="D961" s="98" t="s">
        <v>226</v>
      </c>
      <c r="E961" s="98" t="s">
        <v>25</v>
      </c>
      <c r="F961" s="98" t="s">
        <v>131</v>
      </c>
      <c r="G961" s="98">
        <v>3786081.9640000002</v>
      </c>
      <c r="H961" s="299" t="str">
        <f>VLOOKUP(LEFT('Rev Adequacy'!D961,3),'Mapping B'!$D$2:$E$400,2,0)</f>
        <v>S</v>
      </c>
      <c r="J961" s="20"/>
      <c r="K961" s="20"/>
      <c r="L961" s="20"/>
      <c r="M961" s="20"/>
      <c r="N961" s="20"/>
      <c r="O961" s="97"/>
      <c r="P961" s="97"/>
      <c r="Q961" s="97"/>
      <c r="R961" s="97"/>
      <c r="S961" s="97"/>
      <c r="T961" s="97"/>
      <c r="U961" s="97"/>
      <c r="V961" s="97"/>
      <c r="W961" s="97"/>
      <c r="X961" s="97"/>
      <c r="Y961" s="97"/>
      <c r="Z961" s="97"/>
      <c r="AA961" s="97"/>
      <c r="BP961" s="190"/>
    </row>
    <row r="962" spans="2:68" x14ac:dyDescent="0.25">
      <c r="B962" s="98" t="s">
        <v>563</v>
      </c>
      <c r="C962" s="98">
        <v>2014</v>
      </c>
      <c r="D962" s="98" t="s">
        <v>230</v>
      </c>
      <c r="E962" s="98" t="s">
        <v>25</v>
      </c>
      <c r="F962" s="98" t="s">
        <v>131</v>
      </c>
      <c r="G962" s="98">
        <v>60305.085999999697</v>
      </c>
      <c r="H962" s="299" t="str">
        <f>VLOOKUP(LEFT('Rev Adequacy'!D962,3),'Mapping B'!$D$2:$E$400,2,0)</f>
        <v>S</v>
      </c>
      <c r="J962" s="20"/>
      <c r="K962" s="20"/>
      <c r="L962" s="20"/>
      <c r="M962" s="20"/>
      <c r="N962" s="20"/>
      <c r="O962" s="97"/>
      <c r="P962" s="97"/>
      <c r="Q962" s="97"/>
      <c r="R962" s="97"/>
      <c r="S962" s="97"/>
      <c r="T962" s="97"/>
      <c r="U962" s="97"/>
      <c r="V962" s="97"/>
      <c r="W962" s="97"/>
      <c r="X962" s="97"/>
      <c r="Y962" s="97"/>
      <c r="Z962" s="97"/>
      <c r="AA962" s="97"/>
      <c r="BP962" s="190"/>
    </row>
    <row r="963" spans="2:68" x14ac:dyDescent="0.25">
      <c r="B963" s="98" t="s">
        <v>563</v>
      </c>
      <c r="C963" s="98">
        <v>2014</v>
      </c>
      <c r="D963" s="98" t="s">
        <v>231</v>
      </c>
      <c r="E963" s="98" t="s">
        <v>25</v>
      </c>
      <c r="F963" s="98" t="s">
        <v>131</v>
      </c>
      <c r="G963" s="98">
        <v>62775.7599999995</v>
      </c>
      <c r="H963" s="299" t="str">
        <f>VLOOKUP(LEFT('Rev Adequacy'!D963,3),'Mapping B'!$D$2:$E$400,2,0)</f>
        <v>S</v>
      </c>
      <c r="J963" s="20"/>
      <c r="K963" s="20"/>
      <c r="L963" s="20"/>
      <c r="M963" s="20"/>
      <c r="N963" s="20"/>
      <c r="O963" s="97"/>
      <c r="P963" s="97"/>
      <c r="Q963" s="97"/>
      <c r="R963" s="97"/>
      <c r="S963" s="97"/>
      <c r="T963" s="97"/>
      <c r="U963" s="97"/>
      <c r="V963" s="97"/>
      <c r="W963" s="97"/>
      <c r="X963" s="97"/>
      <c r="Y963" s="97"/>
      <c r="Z963" s="97"/>
      <c r="AA963" s="97"/>
      <c r="BP963" s="190"/>
    </row>
    <row r="964" spans="2:68" x14ac:dyDescent="0.25">
      <c r="B964" s="98" t="s">
        <v>555</v>
      </c>
      <c r="C964" s="98">
        <v>2014</v>
      </c>
      <c r="D964" s="98" t="s">
        <v>134</v>
      </c>
      <c r="E964" s="98" t="s">
        <v>25</v>
      </c>
      <c r="F964" s="98" t="s">
        <v>131</v>
      </c>
      <c r="G964" s="98">
        <v>963.08500000000504</v>
      </c>
      <c r="H964" s="299" t="str">
        <f>VLOOKUP(LEFT('Rev Adequacy'!D964,3),'Mapping B'!$D$2:$E$400,2,0)</f>
        <v>S</v>
      </c>
      <c r="J964" s="20"/>
      <c r="K964" s="20"/>
      <c r="L964" s="20"/>
      <c r="M964" s="20"/>
      <c r="N964" s="20"/>
      <c r="O964" s="97"/>
      <c r="P964" s="97"/>
      <c r="Q964" s="97"/>
      <c r="R964" s="97"/>
      <c r="S964" s="97"/>
      <c r="T964" s="97"/>
      <c r="U964" s="97"/>
      <c r="V964" s="97"/>
      <c r="W964" s="97"/>
      <c r="X964" s="97"/>
      <c r="Y964" s="97"/>
      <c r="Z964" s="97"/>
      <c r="AA964" s="97"/>
      <c r="BP964" s="190"/>
    </row>
    <row r="965" spans="2:68" x14ac:dyDescent="0.25">
      <c r="B965" s="98" t="s">
        <v>555</v>
      </c>
      <c r="C965" s="98">
        <v>2014</v>
      </c>
      <c r="D965" s="98" t="s">
        <v>163</v>
      </c>
      <c r="E965" s="98" t="s">
        <v>25</v>
      </c>
      <c r="F965" s="98" t="s">
        <v>131</v>
      </c>
      <c r="G965" s="98">
        <v>423256.989999999</v>
      </c>
      <c r="H965" s="299" t="str">
        <f>VLOOKUP(LEFT('Rev Adequacy'!D965,3),'Mapping B'!$D$2:$E$400,2,0)</f>
        <v>S</v>
      </c>
      <c r="J965" s="20"/>
      <c r="K965" s="20"/>
      <c r="L965" s="20"/>
      <c r="M965" s="20"/>
      <c r="N965" s="20"/>
      <c r="O965" s="97"/>
      <c r="P965" s="97"/>
      <c r="Q965" s="97"/>
      <c r="R965" s="97"/>
      <c r="S965" s="97"/>
      <c r="T965" s="97"/>
      <c r="U965" s="97"/>
      <c r="V965" s="97"/>
      <c r="W965" s="97"/>
      <c r="X965" s="97"/>
      <c r="Y965" s="97"/>
      <c r="Z965" s="97"/>
      <c r="AA965" s="97"/>
      <c r="BP965" s="190"/>
    </row>
    <row r="966" spans="2:68" x14ac:dyDescent="0.25">
      <c r="B966" s="98" t="s">
        <v>555</v>
      </c>
      <c r="C966" s="98">
        <v>2014</v>
      </c>
      <c r="D966" s="98" t="s">
        <v>167</v>
      </c>
      <c r="E966" s="98" t="s">
        <v>25</v>
      </c>
      <c r="F966" s="98" t="s">
        <v>131</v>
      </c>
      <c r="G966" s="98">
        <v>1525.182</v>
      </c>
      <c r="H966" s="299" t="str">
        <f>VLOOKUP(LEFT('Rev Adequacy'!D966,3),'Mapping B'!$D$2:$E$400,2,0)</f>
        <v>S</v>
      </c>
      <c r="J966" s="20"/>
      <c r="K966" s="20"/>
      <c r="L966" s="20"/>
      <c r="M966" s="20"/>
      <c r="N966" s="20"/>
      <c r="O966" s="97"/>
      <c r="P966" s="97"/>
      <c r="Q966" s="97"/>
      <c r="R966" s="97"/>
      <c r="S966" s="97"/>
      <c r="T966" s="97"/>
      <c r="U966" s="97"/>
      <c r="V966" s="97"/>
      <c r="W966" s="97"/>
      <c r="X966" s="97"/>
      <c r="Y966" s="97"/>
      <c r="Z966" s="97"/>
      <c r="AA966" s="97"/>
      <c r="BP966" s="190"/>
    </row>
    <row r="967" spans="2:68" x14ac:dyDescent="0.25">
      <c r="B967" s="98" t="s">
        <v>555</v>
      </c>
      <c r="C967" s="98">
        <v>2014</v>
      </c>
      <c r="D967" s="98" t="s">
        <v>169</v>
      </c>
      <c r="E967" s="98" t="s">
        <v>25</v>
      </c>
      <c r="F967" s="98" t="s">
        <v>131</v>
      </c>
      <c r="G967" s="98">
        <v>1011.298</v>
      </c>
      <c r="H967" s="299" t="str">
        <f>VLOOKUP(LEFT('Rev Adequacy'!D967,3),'Mapping B'!$D$2:$E$400,2,0)</f>
        <v>S</v>
      </c>
      <c r="J967" s="20"/>
      <c r="K967" s="20"/>
      <c r="L967" s="20"/>
      <c r="M967" s="20"/>
      <c r="N967" s="20"/>
      <c r="O967" s="97"/>
      <c r="P967" s="97"/>
      <c r="Q967" s="97"/>
      <c r="R967" s="97"/>
      <c r="S967" s="97"/>
      <c r="T967" s="97"/>
      <c r="U967" s="97"/>
      <c r="V967" s="97"/>
      <c r="W967" s="97"/>
      <c r="X967" s="97"/>
      <c r="Y967" s="97"/>
      <c r="Z967" s="97"/>
      <c r="AA967" s="97"/>
      <c r="BP967" s="190"/>
    </row>
    <row r="968" spans="2:68" x14ac:dyDescent="0.25">
      <c r="B968" s="98" t="s">
        <v>555</v>
      </c>
      <c r="C968" s="98">
        <v>2014</v>
      </c>
      <c r="D968" s="98" t="s">
        <v>207</v>
      </c>
      <c r="E968" s="98" t="s">
        <v>25</v>
      </c>
      <c r="F968" s="98" t="s">
        <v>131</v>
      </c>
      <c r="G968" s="98">
        <v>93669.7239999999</v>
      </c>
      <c r="H968" s="299" t="str">
        <f>VLOOKUP(LEFT('Rev Adequacy'!D968,3),'Mapping B'!$D$2:$E$400,2,0)</f>
        <v>S</v>
      </c>
      <c r="J968" s="20"/>
      <c r="K968" s="20"/>
      <c r="L968" s="20"/>
      <c r="M968" s="20"/>
      <c r="N968" s="20"/>
      <c r="O968" s="97"/>
      <c r="P968" s="97"/>
      <c r="Q968" s="97"/>
      <c r="R968" s="97"/>
      <c r="S968" s="97"/>
      <c r="T968" s="97"/>
      <c r="U968" s="97"/>
      <c r="V968" s="97"/>
      <c r="W968" s="97"/>
      <c r="X968" s="97"/>
      <c r="Y968" s="97"/>
      <c r="Z968" s="97"/>
      <c r="AA968" s="97"/>
      <c r="BP968" s="190"/>
    </row>
    <row r="969" spans="2:68" x14ac:dyDescent="0.25">
      <c r="B969" s="98" t="s">
        <v>555</v>
      </c>
      <c r="C969" s="98">
        <v>2014</v>
      </c>
      <c r="D969" s="98" t="s">
        <v>208</v>
      </c>
      <c r="E969" s="98" t="s">
        <v>25</v>
      </c>
      <c r="F969" s="98" t="s">
        <v>131</v>
      </c>
      <c r="G969" s="98">
        <v>102494.978</v>
      </c>
      <c r="H969" s="299" t="str">
        <f>VLOOKUP(LEFT('Rev Adequacy'!D969,3),'Mapping B'!$D$2:$E$400,2,0)</f>
        <v>S</v>
      </c>
      <c r="J969" s="20"/>
      <c r="K969" s="20"/>
      <c r="L969" s="20"/>
      <c r="M969" s="20"/>
      <c r="N969" s="20"/>
      <c r="O969" s="97"/>
      <c r="P969" s="97"/>
      <c r="Q969" s="97"/>
      <c r="R969" s="97"/>
      <c r="S969" s="97"/>
      <c r="T969" s="97"/>
      <c r="U969" s="97"/>
      <c r="V969" s="97"/>
      <c r="W969" s="97"/>
      <c r="X969" s="97"/>
      <c r="Y969" s="97"/>
      <c r="Z969" s="97"/>
      <c r="AA969" s="97"/>
      <c r="BP969" s="190"/>
    </row>
    <row r="970" spans="2:68" x14ac:dyDescent="0.25">
      <c r="B970" s="98" t="s">
        <v>555</v>
      </c>
      <c r="C970" s="98">
        <v>2014</v>
      </c>
      <c r="D970" s="98" t="s">
        <v>225</v>
      </c>
      <c r="E970" s="98" t="s">
        <v>25</v>
      </c>
      <c r="F970" s="98" t="s">
        <v>131</v>
      </c>
      <c r="G970" s="98">
        <v>260561.63500000001</v>
      </c>
      <c r="H970" s="299" t="str">
        <f>VLOOKUP(LEFT('Rev Adequacy'!D970,3),'Mapping B'!$D$2:$E$400,2,0)</f>
        <v>S</v>
      </c>
      <c r="J970" s="20"/>
      <c r="K970" s="20"/>
      <c r="L970" s="20"/>
      <c r="M970" s="20"/>
      <c r="N970" s="20"/>
      <c r="O970" s="97"/>
      <c r="P970" s="97"/>
      <c r="Q970" s="97"/>
      <c r="R970" s="97"/>
      <c r="S970" s="97"/>
      <c r="T970" s="97"/>
      <c r="U970" s="97"/>
      <c r="V970" s="97"/>
      <c r="W970" s="97"/>
      <c r="X970" s="97"/>
      <c r="Y970" s="97"/>
      <c r="Z970" s="97"/>
      <c r="AA970" s="97"/>
      <c r="BP970" s="190"/>
    </row>
    <row r="971" spans="2:68" x14ac:dyDescent="0.25">
      <c r="B971" s="98" t="s">
        <v>555</v>
      </c>
      <c r="C971" s="98">
        <v>2014</v>
      </c>
      <c r="D971" s="98" t="s">
        <v>226</v>
      </c>
      <c r="E971" s="98" t="s">
        <v>25</v>
      </c>
      <c r="F971" s="98" t="s">
        <v>131</v>
      </c>
      <c r="G971" s="98">
        <v>1565392.2649999899</v>
      </c>
      <c r="H971" s="299" t="str">
        <f>VLOOKUP(LEFT('Rev Adequacy'!D971,3),'Mapping B'!$D$2:$E$400,2,0)</f>
        <v>S</v>
      </c>
      <c r="J971" s="20"/>
      <c r="K971" s="20"/>
      <c r="L971" s="20"/>
      <c r="M971" s="20"/>
      <c r="N971" s="20"/>
      <c r="O971" s="97"/>
      <c r="P971" s="97"/>
      <c r="Q971" s="97"/>
      <c r="R971" s="97"/>
      <c r="S971" s="97"/>
      <c r="T971" s="97"/>
      <c r="U971" s="97"/>
      <c r="V971" s="97"/>
      <c r="W971" s="97"/>
      <c r="X971" s="97"/>
      <c r="Y971" s="97"/>
      <c r="Z971" s="97"/>
      <c r="AA971" s="97"/>
      <c r="BP971" s="190"/>
    </row>
    <row r="972" spans="2:68" x14ac:dyDescent="0.25">
      <c r="B972" s="98" t="s">
        <v>555</v>
      </c>
      <c r="C972" s="98">
        <v>2014</v>
      </c>
      <c r="D972" s="98" t="s">
        <v>230</v>
      </c>
      <c r="E972" s="98" t="s">
        <v>25</v>
      </c>
      <c r="F972" s="98" t="s">
        <v>131</v>
      </c>
      <c r="G972" s="98">
        <v>30634.015999999901</v>
      </c>
      <c r="H972" s="299" t="str">
        <f>VLOOKUP(LEFT('Rev Adequacy'!D972,3),'Mapping B'!$D$2:$E$400,2,0)</f>
        <v>S</v>
      </c>
      <c r="J972" s="20"/>
      <c r="K972" s="20"/>
      <c r="L972" s="20"/>
      <c r="M972" s="20"/>
      <c r="N972" s="20"/>
      <c r="O972" s="97"/>
      <c r="P972" s="97"/>
      <c r="Q972" s="97"/>
      <c r="R972" s="97"/>
      <c r="S972" s="97"/>
      <c r="T972" s="97"/>
      <c r="U972" s="97"/>
      <c r="V972" s="97"/>
      <c r="W972" s="97"/>
      <c r="X972" s="97"/>
      <c r="Y972" s="97"/>
      <c r="Z972" s="97"/>
      <c r="AA972" s="97"/>
      <c r="BP972" s="190"/>
    </row>
    <row r="973" spans="2:68" x14ac:dyDescent="0.25">
      <c r="B973" s="98" t="s">
        <v>555</v>
      </c>
      <c r="C973" s="98">
        <v>2014</v>
      </c>
      <c r="D973" s="98" t="s">
        <v>231</v>
      </c>
      <c r="E973" s="98" t="s">
        <v>25</v>
      </c>
      <c r="F973" s="98" t="s">
        <v>131</v>
      </c>
      <c r="G973" s="98">
        <v>32163.8999999999</v>
      </c>
      <c r="H973" s="299" t="str">
        <f>VLOOKUP(LEFT('Rev Adequacy'!D973,3),'Mapping B'!$D$2:$E$400,2,0)</f>
        <v>S</v>
      </c>
      <c r="J973" s="20"/>
      <c r="K973" s="20"/>
      <c r="L973" s="20"/>
      <c r="M973" s="20"/>
      <c r="N973" s="20"/>
      <c r="O973" s="97"/>
      <c r="P973" s="97"/>
      <c r="Q973" s="97"/>
      <c r="R973" s="97"/>
      <c r="S973" s="97"/>
      <c r="T973" s="97"/>
      <c r="U973" s="97"/>
      <c r="V973" s="97"/>
      <c r="W973" s="97"/>
      <c r="X973" s="97"/>
      <c r="Y973" s="97"/>
      <c r="Z973" s="97"/>
      <c r="AA973" s="97"/>
      <c r="BP973" s="190"/>
    </row>
    <row r="974" spans="2:68" x14ac:dyDescent="0.25">
      <c r="B974" s="98" t="s">
        <v>112</v>
      </c>
      <c r="C974" s="98">
        <v>2014</v>
      </c>
      <c r="D974" s="98" t="s">
        <v>134</v>
      </c>
      <c r="E974" s="98" t="s">
        <v>25</v>
      </c>
      <c r="F974" s="98" t="s">
        <v>131</v>
      </c>
      <c r="G974" s="98">
        <v>0</v>
      </c>
      <c r="H974" s="299" t="str">
        <f>VLOOKUP(LEFT('Rev Adequacy'!D974,3),'Mapping B'!$D$2:$E$400,2,0)</f>
        <v>S</v>
      </c>
      <c r="J974" s="20"/>
      <c r="K974" s="20"/>
      <c r="L974" s="20"/>
      <c r="M974" s="20"/>
      <c r="N974" s="20"/>
      <c r="O974" s="97"/>
      <c r="P974" s="97"/>
      <c r="Q974" s="97"/>
      <c r="R974" s="97"/>
      <c r="S974" s="97"/>
      <c r="T974" s="97"/>
      <c r="U974" s="97"/>
      <c r="V974" s="97"/>
      <c r="W974" s="97"/>
      <c r="X974" s="97"/>
      <c r="Y974" s="97"/>
      <c r="Z974" s="97"/>
      <c r="AA974" s="97"/>
      <c r="BP974" s="190"/>
    </row>
    <row r="975" spans="2:68" x14ac:dyDescent="0.25">
      <c r="B975" s="98" t="s">
        <v>112</v>
      </c>
      <c r="C975" s="98">
        <v>2014</v>
      </c>
      <c r="D975" s="98" t="s">
        <v>163</v>
      </c>
      <c r="E975" s="98" t="s">
        <v>25</v>
      </c>
      <c r="F975" s="98" t="s">
        <v>131</v>
      </c>
      <c r="G975" s="98">
        <v>0</v>
      </c>
      <c r="H975" s="299" t="str">
        <f>VLOOKUP(LEFT('Rev Adequacy'!D975,3),'Mapping B'!$D$2:$E$400,2,0)</f>
        <v>S</v>
      </c>
      <c r="J975" s="20"/>
      <c r="K975" s="20"/>
      <c r="L975" s="20"/>
      <c r="M975" s="20"/>
      <c r="N975" s="20"/>
      <c r="O975" s="97"/>
      <c r="P975" s="97"/>
      <c r="Q975" s="97"/>
      <c r="R975" s="97"/>
      <c r="S975" s="97"/>
      <c r="T975" s="97"/>
      <c r="U975" s="97"/>
      <c r="V975" s="97"/>
      <c r="W975" s="97"/>
      <c r="X975" s="97"/>
      <c r="Y975" s="97"/>
      <c r="Z975" s="97"/>
      <c r="AA975" s="97"/>
      <c r="BP975" s="190"/>
    </row>
    <row r="976" spans="2:68" x14ac:dyDescent="0.25">
      <c r="B976" s="98" t="s">
        <v>112</v>
      </c>
      <c r="C976" s="98">
        <v>2014</v>
      </c>
      <c r="D976" s="98" t="s">
        <v>167</v>
      </c>
      <c r="E976" s="98" t="s">
        <v>25</v>
      </c>
      <c r="F976" s="98" t="s">
        <v>131</v>
      </c>
      <c r="G976" s="98">
        <v>0</v>
      </c>
      <c r="H976" s="299" t="str">
        <f>VLOOKUP(LEFT('Rev Adequacy'!D976,3),'Mapping B'!$D$2:$E$400,2,0)</f>
        <v>S</v>
      </c>
      <c r="J976" s="20"/>
      <c r="K976" s="20"/>
      <c r="L976" s="20"/>
      <c r="M976" s="20"/>
      <c r="N976" s="20"/>
      <c r="O976" s="97"/>
      <c r="P976" s="97"/>
      <c r="Q976" s="97"/>
      <c r="R976" s="97"/>
      <c r="S976" s="97"/>
      <c r="T976" s="97"/>
      <c r="U976" s="97"/>
      <c r="V976" s="97"/>
      <c r="W976" s="97"/>
      <c r="X976" s="97"/>
      <c r="Y976" s="97"/>
      <c r="Z976" s="97"/>
      <c r="AA976" s="97"/>
      <c r="BP976" s="190"/>
    </row>
    <row r="977" spans="2:68" x14ac:dyDescent="0.25">
      <c r="B977" s="98" t="s">
        <v>112</v>
      </c>
      <c r="C977" s="98">
        <v>2014</v>
      </c>
      <c r="D977" s="98" t="s">
        <v>169</v>
      </c>
      <c r="E977" s="98" t="s">
        <v>25</v>
      </c>
      <c r="F977" s="98" t="s">
        <v>131</v>
      </c>
      <c r="G977" s="98">
        <v>0</v>
      </c>
      <c r="H977" s="299" t="str">
        <f>VLOOKUP(LEFT('Rev Adequacy'!D977,3),'Mapping B'!$D$2:$E$400,2,0)</f>
        <v>S</v>
      </c>
      <c r="J977" s="20"/>
      <c r="K977" s="20"/>
      <c r="L977" s="20"/>
      <c r="M977" s="20"/>
      <c r="N977" s="20"/>
      <c r="O977" s="97"/>
      <c r="P977" s="97"/>
      <c r="Q977" s="97"/>
      <c r="R977" s="97"/>
      <c r="S977" s="97"/>
      <c r="T977" s="97"/>
      <c r="U977" s="97"/>
      <c r="V977" s="97"/>
      <c r="W977" s="97"/>
      <c r="X977" s="97"/>
      <c r="Y977" s="97"/>
      <c r="Z977" s="97"/>
      <c r="AA977" s="97"/>
      <c r="BP977" s="190"/>
    </row>
    <row r="978" spans="2:68" x14ac:dyDescent="0.25">
      <c r="B978" s="98" t="s">
        <v>112</v>
      </c>
      <c r="C978" s="98">
        <v>2014</v>
      </c>
      <c r="D978" s="98" t="s">
        <v>207</v>
      </c>
      <c r="E978" s="98" t="s">
        <v>25</v>
      </c>
      <c r="F978" s="98" t="s">
        <v>131</v>
      </c>
      <c r="G978" s="98">
        <v>0</v>
      </c>
      <c r="H978" s="299" t="str">
        <f>VLOOKUP(LEFT('Rev Adequacy'!D978,3),'Mapping B'!$D$2:$E$400,2,0)</f>
        <v>S</v>
      </c>
      <c r="J978" s="20"/>
      <c r="K978" s="20"/>
      <c r="L978" s="20"/>
      <c r="M978" s="20"/>
      <c r="N978" s="20"/>
      <c r="O978" s="97"/>
      <c r="P978" s="97"/>
      <c r="Q978" s="97"/>
      <c r="R978" s="97"/>
      <c r="S978" s="97"/>
      <c r="T978" s="97"/>
      <c r="U978" s="97"/>
      <c r="V978" s="97"/>
      <c r="W978" s="97"/>
      <c r="X978" s="97"/>
      <c r="Y978" s="97"/>
      <c r="Z978" s="97"/>
      <c r="AA978" s="97"/>
      <c r="BP978" s="190"/>
    </row>
    <row r="979" spans="2:68" x14ac:dyDescent="0.25">
      <c r="B979" s="98" t="s">
        <v>112</v>
      </c>
      <c r="C979" s="98">
        <v>2014</v>
      </c>
      <c r="D979" s="98" t="s">
        <v>208</v>
      </c>
      <c r="E979" s="98" t="s">
        <v>25</v>
      </c>
      <c r="F979" s="98" t="s">
        <v>131</v>
      </c>
      <c r="G979" s="98">
        <v>0</v>
      </c>
      <c r="H979" s="299" t="str">
        <f>VLOOKUP(LEFT('Rev Adequacy'!D979,3),'Mapping B'!$D$2:$E$400,2,0)</f>
        <v>S</v>
      </c>
      <c r="J979" s="20"/>
      <c r="K979" s="20"/>
      <c r="L979" s="20"/>
      <c r="M979" s="20"/>
      <c r="N979" s="20"/>
      <c r="O979" s="97"/>
      <c r="P979" s="97"/>
      <c r="Q979" s="97"/>
      <c r="R979" s="97"/>
      <c r="S979" s="97"/>
      <c r="T979" s="97"/>
      <c r="U979" s="97"/>
      <c r="V979" s="97"/>
      <c r="W979" s="97"/>
      <c r="X979" s="97"/>
      <c r="Y979" s="97"/>
      <c r="Z979" s="97"/>
      <c r="AA979" s="97"/>
      <c r="BP979" s="190"/>
    </row>
    <row r="980" spans="2:68" x14ac:dyDescent="0.25">
      <c r="B980" s="98" t="s">
        <v>112</v>
      </c>
      <c r="C980" s="98">
        <v>2014</v>
      </c>
      <c r="D980" s="98" t="s">
        <v>225</v>
      </c>
      <c r="E980" s="98" t="s">
        <v>25</v>
      </c>
      <c r="F980" s="98" t="s">
        <v>131</v>
      </c>
      <c r="G980" s="98">
        <v>0</v>
      </c>
      <c r="H980" s="299" t="str">
        <f>VLOOKUP(LEFT('Rev Adequacy'!D980,3),'Mapping B'!$D$2:$E$400,2,0)</f>
        <v>S</v>
      </c>
      <c r="J980" s="20"/>
      <c r="K980" s="20"/>
      <c r="L980" s="20"/>
      <c r="M980" s="20"/>
      <c r="N980" s="20"/>
      <c r="O980" s="97"/>
      <c r="P980" s="97"/>
      <c r="Q980" s="97"/>
      <c r="R980" s="97"/>
      <c r="S980" s="97"/>
      <c r="T980" s="97"/>
      <c r="U980" s="97"/>
      <c r="V980" s="97"/>
      <c r="W980" s="97"/>
      <c r="X980" s="97"/>
      <c r="Y980" s="97"/>
      <c r="Z980" s="97"/>
      <c r="AA980" s="97"/>
      <c r="BP980" s="190"/>
    </row>
    <row r="981" spans="2:68" x14ac:dyDescent="0.25">
      <c r="B981" s="98" t="s">
        <v>112</v>
      </c>
      <c r="C981" s="98">
        <v>2014</v>
      </c>
      <c r="D981" s="98" t="s">
        <v>226</v>
      </c>
      <c r="E981" s="98" t="s">
        <v>25</v>
      </c>
      <c r="F981" s="98" t="s">
        <v>131</v>
      </c>
      <c r="G981" s="98">
        <v>0</v>
      </c>
      <c r="H981" s="299" t="str">
        <f>VLOOKUP(LEFT('Rev Adequacy'!D981,3),'Mapping B'!$D$2:$E$400,2,0)</f>
        <v>S</v>
      </c>
      <c r="J981" s="20"/>
      <c r="K981" s="20"/>
      <c r="L981" s="20"/>
      <c r="M981" s="20"/>
      <c r="N981" s="20"/>
      <c r="O981" s="97"/>
      <c r="P981" s="97"/>
      <c r="Q981" s="97"/>
      <c r="R981" s="97"/>
      <c r="S981" s="97"/>
      <c r="T981" s="97"/>
      <c r="U981" s="97"/>
      <c r="V981" s="97"/>
      <c r="W981" s="97"/>
      <c r="X981" s="97"/>
      <c r="Y981" s="97"/>
      <c r="Z981" s="97"/>
      <c r="AA981" s="97"/>
      <c r="BP981" s="190"/>
    </row>
    <row r="982" spans="2:68" x14ac:dyDescent="0.25">
      <c r="B982" s="98" t="s">
        <v>112</v>
      </c>
      <c r="C982" s="98">
        <v>2014</v>
      </c>
      <c r="D982" s="98" t="s">
        <v>230</v>
      </c>
      <c r="E982" s="98" t="s">
        <v>25</v>
      </c>
      <c r="F982" s="98" t="s">
        <v>131</v>
      </c>
      <c r="G982" s="98">
        <v>0</v>
      </c>
      <c r="H982" s="299" t="str">
        <f>VLOOKUP(LEFT('Rev Adequacy'!D982,3),'Mapping B'!$D$2:$E$400,2,0)</f>
        <v>S</v>
      </c>
      <c r="J982" s="20"/>
      <c r="K982" s="20"/>
      <c r="L982" s="20"/>
      <c r="M982" s="20"/>
      <c r="N982" s="20"/>
      <c r="O982" s="97"/>
      <c r="P982" s="97"/>
      <c r="Q982" s="97"/>
      <c r="R982" s="97"/>
      <c r="S982" s="97"/>
      <c r="T982" s="97"/>
      <c r="U982" s="97"/>
      <c r="V982" s="97"/>
      <c r="W982" s="97"/>
      <c r="X982" s="97"/>
      <c r="Y982" s="97"/>
      <c r="Z982" s="97"/>
      <c r="AA982" s="97"/>
      <c r="BP982" s="190"/>
    </row>
    <row r="983" spans="2:68" x14ac:dyDescent="0.25">
      <c r="B983" s="98" t="s">
        <v>112</v>
      </c>
      <c r="C983" s="98">
        <v>2014</v>
      </c>
      <c r="D983" s="98" t="s">
        <v>231</v>
      </c>
      <c r="E983" s="98" t="s">
        <v>25</v>
      </c>
      <c r="F983" s="98" t="s">
        <v>131</v>
      </c>
      <c r="G983" s="98">
        <v>0</v>
      </c>
      <c r="H983" s="299" t="str">
        <f>VLOOKUP(LEFT('Rev Adequacy'!D983,3),'Mapping B'!$D$2:$E$400,2,0)</f>
        <v>S</v>
      </c>
      <c r="J983" s="20"/>
      <c r="K983" s="20"/>
      <c r="L983" s="20"/>
      <c r="M983" s="20"/>
      <c r="N983" s="20"/>
      <c r="O983" s="97"/>
      <c r="P983" s="97"/>
      <c r="Q983" s="97"/>
      <c r="R983" s="97"/>
      <c r="S983" s="97"/>
      <c r="T983" s="97"/>
      <c r="U983" s="97"/>
      <c r="V983" s="97"/>
      <c r="W983" s="97"/>
      <c r="X983" s="97"/>
      <c r="Y983" s="97"/>
      <c r="Z983" s="97"/>
      <c r="AA983" s="97"/>
      <c r="BP983" s="190"/>
    </row>
    <row r="984" spans="2:68" x14ac:dyDescent="0.25">
      <c r="B984" s="98" t="s">
        <v>111</v>
      </c>
      <c r="C984" s="98">
        <v>2014</v>
      </c>
      <c r="D984" s="98" t="s">
        <v>134</v>
      </c>
      <c r="E984" s="98" t="s">
        <v>25</v>
      </c>
      <c r="F984" s="98" t="s">
        <v>131</v>
      </c>
      <c r="G984" s="98">
        <v>0</v>
      </c>
      <c r="H984" s="299" t="str">
        <f>VLOOKUP(LEFT('Rev Adequacy'!D984,3),'Mapping B'!$D$2:$E$400,2,0)</f>
        <v>S</v>
      </c>
      <c r="J984" s="20"/>
      <c r="K984" s="20"/>
      <c r="L984" s="20"/>
      <c r="M984" s="20"/>
      <c r="N984" s="20"/>
      <c r="O984" s="97"/>
      <c r="P984" s="97"/>
      <c r="Q984" s="97"/>
      <c r="R984" s="97"/>
      <c r="S984" s="97"/>
      <c r="T984" s="97"/>
      <c r="U984" s="97"/>
      <c r="V984" s="97"/>
      <c r="W984" s="97"/>
      <c r="X984" s="97"/>
      <c r="Y984" s="97"/>
      <c r="Z984" s="97"/>
      <c r="AA984" s="97"/>
      <c r="BP984" s="190"/>
    </row>
    <row r="985" spans="2:68" x14ac:dyDescent="0.25">
      <c r="B985" s="98" t="s">
        <v>111</v>
      </c>
      <c r="C985" s="98">
        <v>2014</v>
      </c>
      <c r="D985" s="98" t="s">
        <v>163</v>
      </c>
      <c r="E985" s="98" t="s">
        <v>25</v>
      </c>
      <c r="F985" s="98" t="s">
        <v>131</v>
      </c>
      <c r="G985" s="98">
        <v>0</v>
      </c>
      <c r="H985" s="299" t="str">
        <f>VLOOKUP(LEFT('Rev Adequacy'!D985,3),'Mapping B'!$D$2:$E$400,2,0)</f>
        <v>S</v>
      </c>
      <c r="J985" s="20"/>
      <c r="K985" s="20"/>
      <c r="L985" s="20"/>
      <c r="M985" s="20"/>
      <c r="N985" s="20"/>
      <c r="O985" s="97"/>
      <c r="P985" s="97"/>
      <c r="Q985" s="97"/>
      <c r="R985" s="97"/>
      <c r="S985" s="97"/>
      <c r="T985" s="97"/>
      <c r="U985" s="97"/>
      <c r="V985" s="97"/>
      <c r="W985" s="97"/>
      <c r="X985" s="97"/>
      <c r="Y985" s="97"/>
      <c r="Z985" s="97"/>
      <c r="AA985" s="97"/>
      <c r="BP985" s="190"/>
    </row>
    <row r="986" spans="2:68" x14ac:dyDescent="0.25">
      <c r="B986" s="98" t="s">
        <v>111</v>
      </c>
      <c r="C986" s="98">
        <v>2014</v>
      </c>
      <c r="D986" s="98" t="s">
        <v>167</v>
      </c>
      <c r="E986" s="98" t="s">
        <v>25</v>
      </c>
      <c r="F986" s="98" t="s">
        <v>131</v>
      </c>
      <c r="G986" s="98">
        <v>0</v>
      </c>
      <c r="H986" s="299" t="str">
        <f>VLOOKUP(LEFT('Rev Adequacy'!D986,3),'Mapping B'!$D$2:$E$400,2,0)</f>
        <v>S</v>
      </c>
      <c r="J986" s="20"/>
      <c r="K986" s="20"/>
      <c r="L986" s="20"/>
      <c r="M986" s="20"/>
      <c r="N986" s="20"/>
      <c r="O986" s="97"/>
      <c r="P986" s="97"/>
      <c r="Q986" s="97"/>
      <c r="R986" s="97"/>
      <c r="S986" s="97"/>
      <c r="T986" s="97"/>
      <c r="U986" s="97"/>
      <c r="V986" s="97"/>
      <c r="W986" s="97"/>
      <c r="X986" s="97"/>
      <c r="Y986" s="97"/>
      <c r="Z986" s="97"/>
      <c r="AA986" s="97"/>
      <c r="BP986" s="190"/>
    </row>
    <row r="987" spans="2:68" x14ac:dyDescent="0.25">
      <c r="B987" s="98" t="s">
        <v>111</v>
      </c>
      <c r="C987" s="98">
        <v>2014</v>
      </c>
      <c r="D987" s="98" t="s">
        <v>169</v>
      </c>
      <c r="E987" s="98" t="s">
        <v>25</v>
      </c>
      <c r="F987" s="98" t="s">
        <v>131</v>
      </c>
      <c r="G987" s="98">
        <v>0</v>
      </c>
      <c r="H987" s="299" t="str">
        <f>VLOOKUP(LEFT('Rev Adequacy'!D987,3),'Mapping B'!$D$2:$E$400,2,0)</f>
        <v>S</v>
      </c>
      <c r="J987" s="20"/>
      <c r="K987" s="20"/>
      <c r="L987" s="20"/>
      <c r="M987" s="20"/>
      <c r="N987" s="20"/>
      <c r="O987" s="97"/>
      <c r="P987" s="97"/>
      <c r="Q987" s="97"/>
      <c r="R987" s="97"/>
      <c r="S987" s="97"/>
      <c r="T987" s="97"/>
      <c r="U987" s="97"/>
      <c r="V987" s="97"/>
      <c r="W987" s="97"/>
      <c r="X987" s="97"/>
      <c r="Y987" s="97"/>
      <c r="Z987" s="97"/>
      <c r="AA987" s="97"/>
      <c r="BP987" s="190"/>
    </row>
    <row r="988" spans="2:68" x14ac:dyDescent="0.25">
      <c r="B988" s="98" t="s">
        <v>111</v>
      </c>
      <c r="C988" s="98">
        <v>2014</v>
      </c>
      <c r="D988" s="98" t="s">
        <v>207</v>
      </c>
      <c r="E988" s="98" t="s">
        <v>25</v>
      </c>
      <c r="F988" s="98" t="s">
        <v>131</v>
      </c>
      <c r="G988" s="98">
        <v>0</v>
      </c>
      <c r="H988" s="299" t="str">
        <f>VLOOKUP(LEFT('Rev Adequacy'!D988,3),'Mapping B'!$D$2:$E$400,2,0)</f>
        <v>S</v>
      </c>
      <c r="J988" s="20"/>
      <c r="K988" s="20"/>
      <c r="L988" s="20"/>
      <c r="M988" s="20"/>
      <c r="N988" s="20"/>
      <c r="O988" s="97"/>
      <c r="P988" s="97"/>
      <c r="Q988" s="97"/>
      <c r="R988" s="97"/>
      <c r="S988" s="97"/>
      <c r="T988" s="97"/>
      <c r="U988" s="97"/>
      <c r="V988" s="97"/>
      <c r="W988" s="97"/>
      <c r="X988" s="97"/>
      <c r="Y988" s="97"/>
      <c r="Z988" s="97"/>
      <c r="AA988" s="97"/>
      <c r="BP988" s="190"/>
    </row>
    <row r="989" spans="2:68" x14ac:dyDescent="0.25">
      <c r="B989" s="98" t="s">
        <v>111</v>
      </c>
      <c r="C989" s="98">
        <v>2014</v>
      </c>
      <c r="D989" s="98" t="s">
        <v>208</v>
      </c>
      <c r="E989" s="98" t="s">
        <v>25</v>
      </c>
      <c r="F989" s="98" t="s">
        <v>131</v>
      </c>
      <c r="G989" s="98">
        <v>0</v>
      </c>
      <c r="H989" s="299" t="str">
        <f>VLOOKUP(LEFT('Rev Adequacy'!D989,3),'Mapping B'!$D$2:$E$400,2,0)</f>
        <v>S</v>
      </c>
      <c r="J989" s="20"/>
      <c r="K989" s="20"/>
      <c r="L989" s="20"/>
      <c r="M989" s="20"/>
      <c r="N989" s="20"/>
      <c r="O989" s="97"/>
      <c r="P989" s="97"/>
      <c r="Q989" s="97"/>
      <c r="R989" s="97"/>
      <c r="S989" s="97"/>
      <c r="T989" s="97"/>
      <c r="U989" s="97"/>
      <c r="V989" s="97"/>
      <c r="W989" s="97"/>
      <c r="X989" s="97"/>
      <c r="Y989" s="97"/>
      <c r="Z989" s="97"/>
      <c r="AA989" s="97"/>
      <c r="BP989" s="190"/>
    </row>
    <row r="990" spans="2:68" x14ac:dyDescent="0.25">
      <c r="B990" s="98" t="s">
        <v>111</v>
      </c>
      <c r="C990" s="98">
        <v>2014</v>
      </c>
      <c r="D990" s="98" t="s">
        <v>225</v>
      </c>
      <c r="E990" s="98" t="s">
        <v>25</v>
      </c>
      <c r="F990" s="98" t="s">
        <v>131</v>
      </c>
      <c r="G990" s="98">
        <v>0</v>
      </c>
      <c r="H990" s="299" t="str">
        <f>VLOOKUP(LEFT('Rev Adequacy'!D990,3),'Mapping B'!$D$2:$E$400,2,0)</f>
        <v>S</v>
      </c>
      <c r="J990" s="20"/>
      <c r="K990" s="20"/>
      <c r="L990" s="20"/>
      <c r="M990" s="20"/>
      <c r="N990" s="20"/>
      <c r="O990" s="97"/>
      <c r="P990" s="97"/>
      <c r="Q990" s="97"/>
      <c r="R990" s="97"/>
      <c r="S990" s="97"/>
      <c r="T990" s="97"/>
      <c r="U990" s="97"/>
      <c r="V990" s="97"/>
      <c r="W990" s="97"/>
      <c r="X990" s="97"/>
      <c r="Y990" s="97"/>
      <c r="Z990" s="97"/>
      <c r="AA990" s="97"/>
      <c r="BP990" s="190"/>
    </row>
    <row r="991" spans="2:68" x14ac:dyDescent="0.25">
      <c r="B991" s="98" t="s">
        <v>111</v>
      </c>
      <c r="C991" s="98">
        <v>2014</v>
      </c>
      <c r="D991" s="98" t="s">
        <v>226</v>
      </c>
      <c r="E991" s="98" t="s">
        <v>25</v>
      </c>
      <c r="F991" s="98" t="s">
        <v>131</v>
      </c>
      <c r="G991" s="98">
        <v>0</v>
      </c>
      <c r="H991" s="299" t="str">
        <f>VLOOKUP(LEFT('Rev Adequacy'!D991,3),'Mapping B'!$D$2:$E$400,2,0)</f>
        <v>S</v>
      </c>
      <c r="J991" s="20"/>
      <c r="K991" s="20"/>
      <c r="L991" s="20"/>
      <c r="M991" s="20"/>
      <c r="N991" s="20"/>
      <c r="O991" s="97"/>
      <c r="P991" s="97"/>
      <c r="Q991" s="97"/>
      <c r="R991" s="97"/>
      <c r="S991" s="97"/>
      <c r="T991" s="97"/>
      <c r="U991" s="97"/>
      <c r="V991" s="97"/>
      <c r="W991" s="97"/>
      <c r="X991" s="97"/>
      <c r="Y991" s="97"/>
      <c r="Z991" s="97"/>
      <c r="AA991" s="97"/>
      <c r="BP991" s="190"/>
    </row>
    <row r="992" spans="2:68" x14ac:dyDescent="0.25">
      <c r="B992" s="98" t="s">
        <v>111</v>
      </c>
      <c r="C992" s="98">
        <v>2014</v>
      </c>
      <c r="D992" s="98" t="s">
        <v>230</v>
      </c>
      <c r="E992" s="98" t="s">
        <v>25</v>
      </c>
      <c r="F992" s="98" t="s">
        <v>131</v>
      </c>
      <c r="G992" s="98">
        <v>0</v>
      </c>
      <c r="H992" s="299" t="str">
        <f>VLOOKUP(LEFT('Rev Adequacy'!D992,3),'Mapping B'!$D$2:$E$400,2,0)</f>
        <v>S</v>
      </c>
      <c r="J992" s="20"/>
      <c r="K992" s="20"/>
      <c r="L992" s="20"/>
      <c r="M992" s="20"/>
      <c r="N992" s="20"/>
      <c r="O992" s="97"/>
      <c r="P992" s="97"/>
      <c r="Q992" s="97"/>
      <c r="R992" s="97"/>
      <c r="S992" s="97"/>
      <c r="T992" s="97"/>
      <c r="U992" s="97"/>
      <c r="V992" s="97"/>
      <c r="W992" s="97"/>
      <c r="X992" s="97"/>
      <c r="Y992" s="97"/>
      <c r="Z992" s="97"/>
      <c r="AA992" s="97"/>
      <c r="BP992" s="190"/>
    </row>
    <row r="993" spans="2:68" x14ac:dyDescent="0.25">
      <c r="B993" s="98" t="s">
        <v>111</v>
      </c>
      <c r="C993" s="98">
        <v>2014</v>
      </c>
      <c r="D993" s="98" t="s">
        <v>231</v>
      </c>
      <c r="E993" s="98" t="s">
        <v>25</v>
      </c>
      <c r="F993" s="98" t="s">
        <v>131</v>
      </c>
      <c r="G993" s="98">
        <v>0</v>
      </c>
      <c r="H993" s="299" t="str">
        <f>VLOOKUP(LEFT('Rev Adequacy'!D993,3),'Mapping B'!$D$2:$E$400,2,0)</f>
        <v>S</v>
      </c>
      <c r="J993" s="20"/>
      <c r="K993" s="20"/>
      <c r="L993" s="20"/>
      <c r="M993" s="20"/>
      <c r="N993" s="20"/>
      <c r="O993" s="97"/>
      <c r="P993" s="97"/>
      <c r="Q993" s="97"/>
      <c r="R993" s="97"/>
      <c r="S993" s="97"/>
      <c r="T993" s="97"/>
      <c r="U993" s="97"/>
      <c r="V993" s="97"/>
      <c r="W993" s="97"/>
      <c r="X993" s="97"/>
      <c r="Y993" s="97"/>
      <c r="Z993" s="97"/>
      <c r="AA993" s="97"/>
      <c r="BP993" s="190"/>
    </row>
    <row r="994" spans="2:68" x14ac:dyDescent="0.25">
      <c r="B994" s="98" t="s">
        <v>552</v>
      </c>
      <c r="C994" s="98">
        <v>2014</v>
      </c>
      <c r="D994" s="98" t="s">
        <v>150</v>
      </c>
      <c r="E994" s="98" t="s">
        <v>103</v>
      </c>
      <c r="F994" s="98" t="s">
        <v>131</v>
      </c>
      <c r="G994" s="248">
        <v>62375.002999999699</v>
      </c>
      <c r="H994" s="299" t="str">
        <f>VLOOKUP(LEFT('Rev Adequacy'!D994,3),'Mapping B'!$D$2:$E$400,2,0)</f>
        <v>S</v>
      </c>
      <c r="J994" s="20"/>
      <c r="K994" s="20"/>
      <c r="L994" s="20"/>
      <c r="M994" s="20"/>
      <c r="N994" s="20"/>
      <c r="O994" s="97"/>
      <c r="P994" s="97"/>
      <c r="Q994" s="97"/>
      <c r="R994" s="97"/>
      <c r="S994" s="97"/>
      <c r="T994" s="97"/>
      <c r="U994" s="97"/>
      <c r="V994" s="97"/>
      <c r="W994" s="97"/>
      <c r="X994" s="97"/>
      <c r="Y994" s="97"/>
      <c r="Z994" s="97"/>
      <c r="AA994" s="97"/>
      <c r="BP994" s="190"/>
    </row>
    <row r="995" spans="2:68" x14ac:dyDescent="0.25">
      <c r="B995" s="98" t="s">
        <v>552</v>
      </c>
      <c r="C995" s="98">
        <v>2014</v>
      </c>
      <c r="D995" s="98" t="s">
        <v>220</v>
      </c>
      <c r="E995" s="98" t="s">
        <v>103</v>
      </c>
      <c r="F995" s="98" t="s">
        <v>131</v>
      </c>
      <c r="G995" s="248">
        <v>5056.61179202526</v>
      </c>
      <c r="H995" s="299" t="str">
        <f>VLOOKUP(LEFT('Rev Adequacy'!D995,3),'Mapping B'!$D$2:$E$400,2,0)</f>
        <v>S</v>
      </c>
      <c r="J995" s="20"/>
      <c r="K995" s="20"/>
      <c r="L995" s="20"/>
      <c r="M995" s="20"/>
      <c r="N995" s="20"/>
      <c r="O995" s="97"/>
      <c r="P995" s="97"/>
      <c r="Q995" s="97"/>
      <c r="R995" s="97"/>
      <c r="S995" s="97"/>
      <c r="T995" s="97"/>
      <c r="U995" s="97"/>
      <c r="V995" s="97"/>
      <c r="W995" s="97"/>
      <c r="X995" s="97"/>
      <c r="Y995" s="97"/>
      <c r="Z995" s="97"/>
      <c r="AA995" s="97"/>
      <c r="BP995" s="190"/>
    </row>
    <row r="996" spans="2:68" x14ac:dyDescent="0.25">
      <c r="B996" s="98" t="s">
        <v>552</v>
      </c>
      <c r="C996" s="98">
        <v>2014</v>
      </c>
      <c r="D996" s="98" t="s">
        <v>223</v>
      </c>
      <c r="E996" s="98" t="s">
        <v>103</v>
      </c>
      <c r="F996" s="98" t="s">
        <v>131</v>
      </c>
      <c r="G996" s="248">
        <v>9771.1180000000695</v>
      </c>
      <c r="H996" s="299" t="str">
        <f>VLOOKUP(LEFT('Rev Adequacy'!D996,3),'Mapping B'!$D$2:$E$400,2,0)</f>
        <v>S</v>
      </c>
      <c r="J996" s="20"/>
      <c r="K996" s="20"/>
      <c r="L996" s="20"/>
      <c r="M996" s="20"/>
      <c r="N996" s="20"/>
      <c r="O996" s="97"/>
      <c r="P996" s="97"/>
      <c r="Q996" s="97"/>
      <c r="R996" s="97"/>
      <c r="S996" s="97"/>
      <c r="T996" s="97"/>
      <c r="U996" s="97"/>
      <c r="V996" s="97"/>
      <c r="W996" s="97"/>
      <c r="X996" s="97"/>
      <c r="Y996" s="97"/>
      <c r="Z996" s="97"/>
      <c r="AA996" s="97"/>
      <c r="BP996" s="190"/>
    </row>
    <row r="997" spans="2:68" x14ac:dyDescent="0.25">
      <c r="B997" s="98" t="s">
        <v>552</v>
      </c>
      <c r="C997" s="98">
        <v>2014</v>
      </c>
      <c r="D997" s="98" t="s">
        <v>280</v>
      </c>
      <c r="E997" s="98" t="s">
        <v>103</v>
      </c>
      <c r="F997" s="98" t="s">
        <v>131</v>
      </c>
      <c r="G997" s="248">
        <v>79216.644000001601</v>
      </c>
      <c r="H997" s="299" t="str">
        <f>VLOOKUP(LEFT('Rev Adequacy'!D997,3),'Mapping B'!$D$2:$E$400,2,0)</f>
        <v>S</v>
      </c>
      <c r="J997" s="20"/>
      <c r="K997" s="20"/>
      <c r="L997" s="20"/>
      <c r="M997" s="20"/>
      <c r="N997" s="20"/>
      <c r="O997" s="97"/>
      <c r="P997" s="97"/>
      <c r="Q997" s="97"/>
      <c r="R997" s="97"/>
      <c r="S997" s="97"/>
      <c r="T997" s="97"/>
      <c r="U997" s="97"/>
      <c r="V997" s="97"/>
      <c r="W997" s="97"/>
      <c r="X997" s="97"/>
      <c r="Y997" s="97"/>
      <c r="Z997" s="97"/>
      <c r="AA997" s="97"/>
      <c r="BP997" s="190"/>
    </row>
    <row r="998" spans="2:68" x14ac:dyDescent="0.25">
      <c r="B998" s="98" t="s">
        <v>553</v>
      </c>
      <c r="C998" s="98">
        <v>2014</v>
      </c>
      <c r="D998" s="98" t="s">
        <v>150</v>
      </c>
      <c r="E998" s="98" t="s">
        <v>103</v>
      </c>
      <c r="F998" s="98" t="s">
        <v>131</v>
      </c>
      <c r="G998" s="248">
        <v>42578.602999999901</v>
      </c>
      <c r="H998" s="299" t="str">
        <f>VLOOKUP(LEFT('Rev Adequacy'!D998,3),'Mapping B'!$D$2:$E$400,2,0)</f>
        <v>S</v>
      </c>
      <c r="J998" s="20"/>
      <c r="K998" s="20"/>
      <c r="L998" s="20"/>
      <c r="M998" s="20"/>
      <c r="N998" s="20"/>
      <c r="O998" s="97"/>
      <c r="P998" s="97"/>
      <c r="Q998" s="97"/>
      <c r="R998" s="97"/>
      <c r="S998" s="97"/>
      <c r="T998" s="97"/>
      <c r="U998" s="97"/>
      <c r="V998" s="97"/>
      <c r="W998" s="97"/>
      <c r="X998" s="97"/>
      <c r="Y998" s="97"/>
      <c r="Z998" s="97"/>
      <c r="AA998" s="97"/>
      <c r="BP998" s="190"/>
    </row>
    <row r="999" spans="2:68" x14ac:dyDescent="0.25">
      <c r="B999" s="98" t="s">
        <v>553</v>
      </c>
      <c r="C999" s="98">
        <v>2014</v>
      </c>
      <c r="D999" s="98" t="s">
        <v>220</v>
      </c>
      <c r="E999" s="98" t="s">
        <v>103</v>
      </c>
      <c r="F999" s="98" t="s">
        <v>131</v>
      </c>
      <c r="G999" s="248">
        <v>2208.9448240031702</v>
      </c>
      <c r="H999" s="299" t="str">
        <f>VLOOKUP(LEFT('Rev Adequacy'!D999,3),'Mapping B'!$D$2:$E$400,2,0)</f>
        <v>S</v>
      </c>
      <c r="J999" s="20"/>
      <c r="K999" s="20"/>
      <c r="L999" s="20"/>
      <c r="M999" s="20"/>
      <c r="N999" s="20"/>
      <c r="O999" s="97"/>
      <c r="P999" s="97"/>
      <c r="Q999" s="97"/>
      <c r="R999" s="97"/>
      <c r="S999" s="97"/>
      <c r="T999" s="97"/>
      <c r="U999" s="97"/>
      <c r="V999" s="97"/>
      <c r="W999" s="97"/>
      <c r="X999" s="97"/>
      <c r="Y999" s="97"/>
      <c r="Z999" s="97"/>
      <c r="AA999" s="97"/>
      <c r="BP999" s="190"/>
    </row>
    <row r="1000" spans="2:68" x14ac:dyDescent="0.25">
      <c r="B1000" s="98" t="s">
        <v>553</v>
      </c>
      <c r="C1000" s="98">
        <v>2014</v>
      </c>
      <c r="D1000" s="98" t="s">
        <v>223</v>
      </c>
      <c r="E1000" s="98" t="s">
        <v>103</v>
      </c>
      <c r="F1000" s="98" t="s">
        <v>131</v>
      </c>
      <c r="G1000" s="248">
        <v>8735.2529999998405</v>
      </c>
      <c r="H1000" s="299" t="str">
        <f>VLOOKUP(LEFT('Rev Adequacy'!D1000,3),'Mapping B'!$D$2:$E$400,2,0)</f>
        <v>S</v>
      </c>
      <c r="J1000" s="20"/>
      <c r="K1000" s="20"/>
      <c r="L1000" s="20"/>
      <c r="M1000" s="20"/>
      <c r="N1000" s="20"/>
      <c r="O1000" s="97"/>
      <c r="P1000" s="97"/>
      <c r="Q1000" s="97"/>
      <c r="R1000" s="97"/>
      <c r="S1000" s="97"/>
      <c r="T1000" s="97"/>
      <c r="U1000" s="97"/>
      <c r="V1000" s="97"/>
      <c r="W1000" s="97"/>
      <c r="X1000" s="97"/>
      <c r="Y1000" s="97"/>
      <c r="Z1000" s="97"/>
      <c r="AA1000" s="97"/>
      <c r="BP1000" s="190"/>
    </row>
    <row r="1001" spans="2:68" x14ac:dyDescent="0.25">
      <c r="B1001" s="98" t="s">
        <v>553</v>
      </c>
      <c r="C1001" s="98">
        <v>2014</v>
      </c>
      <c r="D1001" s="98" t="s">
        <v>280</v>
      </c>
      <c r="E1001" s="98" t="s">
        <v>103</v>
      </c>
      <c r="F1001" s="98" t="s">
        <v>131</v>
      </c>
      <c r="G1001" s="248">
        <v>61692.135999998703</v>
      </c>
      <c r="H1001" s="299" t="str">
        <f>VLOOKUP(LEFT('Rev Adequacy'!D1001,3),'Mapping B'!$D$2:$E$400,2,0)</f>
        <v>S</v>
      </c>
      <c r="J1001" s="20"/>
      <c r="K1001" s="20"/>
      <c r="L1001" s="20"/>
      <c r="M1001" s="20"/>
      <c r="N1001" s="20"/>
      <c r="O1001" s="97"/>
      <c r="P1001" s="97"/>
      <c r="Q1001" s="97"/>
      <c r="R1001" s="97"/>
      <c r="S1001" s="97"/>
      <c r="T1001" s="97"/>
      <c r="U1001" s="97"/>
      <c r="V1001" s="97"/>
      <c r="W1001" s="97"/>
      <c r="X1001" s="97"/>
      <c r="Y1001" s="97"/>
      <c r="Z1001" s="97"/>
      <c r="AA1001" s="97"/>
      <c r="BP1001" s="190"/>
    </row>
    <row r="1002" spans="2:68" x14ac:dyDescent="0.25">
      <c r="B1002" s="98" t="s">
        <v>554</v>
      </c>
      <c r="C1002" s="98">
        <v>2014</v>
      </c>
      <c r="D1002" s="98" t="s">
        <v>150</v>
      </c>
      <c r="E1002" s="98" t="s">
        <v>103</v>
      </c>
      <c r="F1002" s="98" t="s">
        <v>131</v>
      </c>
      <c r="G1002" s="98">
        <v>114072.280999999</v>
      </c>
      <c r="H1002" s="299" t="str">
        <f>VLOOKUP(LEFT('Rev Adequacy'!D1002,3),'Mapping B'!$D$2:$E$400,2,0)</f>
        <v>S</v>
      </c>
      <c r="J1002" s="20"/>
      <c r="K1002" s="20"/>
      <c r="L1002" s="20"/>
      <c r="M1002" s="20"/>
      <c r="N1002" s="20"/>
      <c r="O1002" s="97"/>
      <c r="P1002" s="97"/>
      <c r="Q1002" s="97"/>
      <c r="R1002" s="97"/>
      <c r="S1002" s="97"/>
      <c r="T1002" s="97"/>
      <c r="U1002" s="97"/>
      <c r="V1002" s="97"/>
      <c r="W1002" s="97"/>
      <c r="X1002" s="97"/>
      <c r="Y1002" s="97"/>
      <c r="Z1002" s="97"/>
      <c r="AA1002" s="97"/>
      <c r="BP1002" s="190"/>
    </row>
    <row r="1003" spans="2:68" x14ac:dyDescent="0.25">
      <c r="B1003" s="98" t="s">
        <v>554</v>
      </c>
      <c r="C1003" s="98">
        <v>2014</v>
      </c>
      <c r="D1003" s="98" t="s">
        <v>220</v>
      </c>
      <c r="E1003" s="98" t="s">
        <v>103</v>
      </c>
      <c r="F1003" s="98" t="s">
        <v>131</v>
      </c>
      <c r="G1003" s="98">
        <v>20966.5176733517</v>
      </c>
      <c r="H1003" s="299" t="str">
        <f>VLOOKUP(LEFT('Rev Adequacy'!D1003,3),'Mapping B'!$D$2:$E$400,2,0)</f>
        <v>S</v>
      </c>
      <c r="J1003" s="20"/>
      <c r="K1003" s="20"/>
      <c r="L1003" s="20"/>
      <c r="M1003" s="20"/>
      <c r="N1003" s="20"/>
      <c r="O1003" s="97"/>
      <c r="P1003" s="97"/>
      <c r="Q1003" s="97"/>
      <c r="R1003" s="97"/>
      <c r="S1003" s="97"/>
      <c r="T1003" s="97"/>
      <c r="U1003" s="97"/>
      <c r="V1003" s="97"/>
      <c r="W1003" s="97"/>
      <c r="X1003" s="97"/>
      <c r="Y1003" s="97"/>
      <c r="Z1003" s="97"/>
      <c r="AA1003" s="97"/>
      <c r="BP1003" s="190"/>
    </row>
    <row r="1004" spans="2:68" x14ac:dyDescent="0.25">
      <c r="B1004" s="98" t="s">
        <v>554</v>
      </c>
      <c r="C1004" s="98">
        <v>2014</v>
      </c>
      <c r="D1004" s="98" t="s">
        <v>223</v>
      </c>
      <c r="E1004" s="98" t="s">
        <v>103</v>
      </c>
      <c r="F1004" s="98" t="s">
        <v>131</v>
      </c>
      <c r="G1004" s="98">
        <v>0</v>
      </c>
      <c r="H1004" s="299" t="str">
        <f>VLOOKUP(LEFT('Rev Adequacy'!D1004,3),'Mapping B'!$D$2:$E$400,2,0)</f>
        <v>S</v>
      </c>
      <c r="J1004" s="20"/>
      <c r="K1004" s="20"/>
      <c r="L1004" s="20"/>
      <c r="M1004" s="20"/>
      <c r="N1004" s="20"/>
      <c r="O1004" s="97"/>
      <c r="P1004" s="97"/>
      <c r="Q1004" s="97"/>
      <c r="R1004" s="97"/>
      <c r="S1004" s="97"/>
      <c r="T1004" s="97"/>
      <c r="U1004" s="97"/>
      <c r="V1004" s="97"/>
      <c r="W1004" s="97"/>
      <c r="X1004" s="97"/>
      <c r="Y1004" s="97"/>
      <c r="Z1004" s="97"/>
      <c r="AA1004" s="97"/>
      <c r="BP1004" s="190"/>
    </row>
    <row r="1005" spans="2:68" x14ac:dyDescent="0.25">
      <c r="B1005" s="98" t="s">
        <v>554</v>
      </c>
      <c r="C1005" s="98">
        <v>2014</v>
      </c>
      <c r="D1005" s="98" t="s">
        <v>280</v>
      </c>
      <c r="E1005" s="98" t="s">
        <v>103</v>
      </c>
      <c r="F1005" s="98" t="s">
        <v>131</v>
      </c>
      <c r="G1005" s="98">
        <v>122319.769</v>
      </c>
      <c r="H1005" s="299" t="str">
        <f>VLOOKUP(LEFT('Rev Adequacy'!D1005,3),'Mapping B'!$D$2:$E$400,2,0)</f>
        <v>S</v>
      </c>
      <c r="J1005" s="20"/>
      <c r="K1005" s="20"/>
      <c r="L1005" s="20"/>
      <c r="M1005" s="20"/>
      <c r="N1005" s="20"/>
      <c r="O1005" s="97"/>
      <c r="P1005" s="97"/>
      <c r="Q1005" s="97"/>
      <c r="R1005" s="97"/>
      <c r="S1005" s="97"/>
      <c r="T1005" s="97"/>
      <c r="U1005" s="97"/>
      <c r="V1005" s="97"/>
      <c r="W1005" s="97"/>
      <c r="X1005" s="97"/>
      <c r="Y1005" s="97"/>
      <c r="Z1005" s="97"/>
      <c r="AA1005" s="97"/>
      <c r="BP1005" s="190"/>
    </row>
    <row r="1006" spans="2:68" x14ac:dyDescent="0.25">
      <c r="B1006" s="98" t="s">
        <v>563</v>
      </c>
      <c r="C1006" s="98">
        <v>2014</v>
      </c>
      <c r="D1006" s="98" t="s">
        <v>150</v>
      </c>
      <c r="E1006" s="98" t="s">
        <v>103</v>
      </c>
      <c r="F1006" s="98" t="s">
        <v>131</v>
      </c>
      <c r="G1006" s="98">
        <v>278798.83100000001</v>
      </c>
      <c r="H1006" s="299" t="str">
        <f>VLOOKUP(LEFT('Rev Adequacy'!D1006,3),'Mapping B'!$D$2:$E$400,2,0)</f>
        <v>S</v>
      </c>
      <c r="J1006" s="20"/>
      <c r="K1006" s="20"/>
      <c r="L1006" s="20"/>
      <c r="M1006" s="20"/>
      <c r="N1006" s="20"/>
      <c r="O1006" s="97"/>
      <c r="P1006" s="97"/>
      <c r="Q1006" s="97"/>
      <c r="R1006" s="97"/>
      <c r="S1006" s="97"/>
      <c r="T1006" s="97"/>
      <c r="U1006" s="97"/>
      <c r="V1006" s="97"/>
      <c r="W1006" s="97"/>
      <c r="X1006" s="97"/>
      <c r="Y1006" s="97"/>
      <c r="Z1006" s="97"/>
      <c r="AA1006" s="97"/>
      <c r="BP1006" s="190"/>
    </row>
    <row r="1007" spans="2:68" x14ac:dyDescent="0.25">
      <c r="B1007" s="98" t="s">
        <v>563</v>
      </c>
      <c r="C1007" s="98">
        <v>2014</v>
      </c>
      <c r="D1007" s="98" t="s">
        <v>220</v>
      </c>
      <c r="E1007" s="98" t="s">
        <v>103</v>
      </c>
      <c r="F1007" s="98" t="s">
        <v>131</v>
      </c>
      <c r="G1007" s="98">
        <v>20966.5176733517</v>
      </c>
      <c r="H1007" s="299" t="str">
        <f>VLOOKUP(LEFT('Rev Adequacy'!D1007,3),'Mapping B'!$D$2:$E$400,2,0)</f>
        <v>S</v>
      </c>
      <c r="J1007" s="20"/>
      <c r="K1007" s="20"/>
      <c r="L1007" s="20"/>
      <c r="M1007" s="20"/>
      <c r="N1007" s="20"/>
      <c r="O1007" s="97"/>
      <c r="P1007" s="97"/>
      <c r="Q1007" s="97"/>
      <c r="R1007" s="97"/>
      <c r="S1007" s="97"/>
      <c r="T1007" s="97"/>
      <c r="U1007" s="97"/>
      <c r="V1007" s="97"/>
      <c r="W1007" s="97"/>
      <c r="X1007" s="97"/>
      <c r="Y1007" s="97"/>
      <c r="Z1007" s="97"/>
      <c r="AA1007" s="97"/>
      <c r="BP1007" s="190"/>
    </row>
    <row r="1008" spans="2:68" x14ac:dyDescent="0.25">
      <c r="B1008" s="98" t="s">
        <v>563</v>
      </c>
      <c r="C1008" s="98">
        <v>2014</v>
      </c>
      <c r="D1008" s="98" t="s">
        <v>223</v>
      </c>
      <c r="E1008" s="98" t="s">
        <v>103</v>
      </c>
      <c r="F1008" s="98" t="s">
        <v>131</v>
      </c>
      <c r="G1008" s="98">
        <v>40552.769</v>
      </c>
      <c r="H1008" s="299" t="str">
        <f>VLOOKUP(LEFT('Rev Adequacy'!D1008,3),'Mapping B'!$D$2:$E$400,2,0)</f>
        <v>S</v>
      </c>
      <c r="J1008" s="20"/>
      <c r="K1008" s="20"/>
      <c r="L1008" s="20"/>
      <c r="M1008" s="20"/>
      <c r="N1008" s="20"/>
      <c r="O1008" s="97"/>
      <c r="P1008" s="97"/>
      <c r="Q1008" s="97"/>
      <c r="R1008" s="97"/>
      <c r="S1008" s="97"/>
      <c r="T1008" s="97"/>
      <c r="U1008" s="97"/>
      <c r="V1008" s="97"/>
      <c r="W1008" s="97"/>
      <c r="X1008" s="97"/>
      <c r="Y1008" s="97"/>
      <c r="Z1008" s="97"/>
      <c r="AA1008" s="97"/>
      <c r="BP1008" s="190"/>
    </row>
    <row r="1009" spans="2:68" x14ac:dyDescent="0.25">
      <c r="B1009" s="98" t="s">
        <v>563</v>
      </c>
      <c r="C1009" s="98">
        <v>2014</v>
      </c>
      <c r="D1009" s="98" t="s">
        <v>280</v>
      </c>
      <c r="E1009" s="98" t="s">
        <v>103</v>
      </c>
      <c r="F1009" s="98" t="s">
        <v>131</v>
      </c>
      <c r="G1009" s="98">
        <v>374064.72100000101</v>
      </c>
      <c r="H1009" s="299" t="str">
        <f>VLOOKUP(LEFT('Rev Adequacy'!D1009,3),'Mapping B'!$D$2:$E$400,2,0)</f>
        <v>S</v>
      </c>
      <c r="J1009" s="20"/>
      <c r="K1009" s="20"/>
      <c r="L1009" s="20"/>
      <c r="M1009" s="20"/>
      <c r="N1009" s="20"/>
      <c r="O1009" s="97"/>
      <c r="P1009" s="97"/>
      <c r="Q1009" s="97"/>
      <c r="R1009" s="97"/>
      <c r="S1009" s="97"/>
      <c r="T1009" s="97"/>
      <c r="U1009" s="97"/>
      <c r="V1009" s="97"/>
      <c r="W1009" s="97"/>
      <c r="X1009" s="97"/>
      <c r="Y1009" s="97"/>
      <c r="Z1009" s="97"/>
      <c r="AA1009" s="97"/>
      <c r="BP1009" s="190"/>
    </row>
    <row r="1010" spans="2:68" x14ac:dyDescent="0.25">
      <c r="B1010" s="98" t="s">
        <v>555</v>
      </c>
      <c r="C1010" s="98">
        <v>2014</v>
      </c>
      <c r="D1010" s="98" t="s">
        <v>150</v>
      </c>
      <c r="E1010" s="98" t="s">
        <v>103</v>
      </c>
      <c r="F1010" s="98" t="s">
        <v>131</v>
      </c>
      <c r="G1010" s="98">
        <v>108757.497</v>
      </c>
      <c r="H1010" s="299" t="str">
        <f>VLOOKUP(LEFT('Rev Adequacy'!D1010,3),'Mapping B'!$D$2:$E$400,2,0)</f>
        <v>S</v>
      </c>
      <c r="J1010" s="20"/>
      <c r="K1010" s="20"/>
      <c r="L1010" s="20"/>
      <c r="M1010" s="20"/>
      <c r="N1010" s="20"/>
      <c r="O1010" s="97"/>
      <c r="P1010" s="97"/>
      <c r="Q1010" s="97"/>
      <c r="R1010" s="97"/>
      <c r="S1010" s="97"/>
      <c r="T1010" s="97"/>
      <c r="U1010" s="97"/>
      <c r="V1010" s="97"/>
      <c r="W1010" s="97"/>
      <c r="X1010" s="97"/>
      <c r="Y1010" s="97"/>
      <c r="Z1010" s="97"/>
      <c r="AA1010" s="97"/>
      <c r="BP1010" s="190"/>
    </row>
    <row r="1011" spans="2:68" x14ac:dyDescent="0.25">
      <c r="B1011" s="98" t="s">
        <v>555</v>
      </c>
      <c r="C1011" s="98">
        <v>2014</v>
      </c>
      <c r="D1011" s="98" t="s">
        <v>220</v>
      </c>
      <c r="E1011" s="98" t="s">
        <v>103</v>
      </c>
      <c r="F1011" s="98" t="s">
        <v>131</v>
      </c>
      <c r="G1011" s="98">
        <v>4251.9024002368596</v>
      </c>
      <c r="H1011" s="299" t="str">
        <f>VLOOKUP(LEFT('Rev Adequacy'!D1011,3),'Mapping B'!$D$2:$E$400,2,0)</f>
        <v>S</v>
      </c>
      <c r="J1011" s="20"/>
      <c r="K1011" s="20"/>
      <c r="L1011" s="20"/>
      <c r="M1011" s="20"/>
      <c r="N1011" s="20"/>
      <c r="O1011" s="97"/>
      <c r="P1011" s="97"/>
      <c r="Q1011" s="97"/>
      <c r="R1011" s="97"/>
      <c r="S1011" s="97"/>
      <c r="T1011" s="97"/>
      <c r="U1011" s="97"/>
      <c r="V1011" s="97"/>
      <c r="W1011" s="97"/>
      <c r="X1011" s="97"/>
      <c r="Y1011" s="97"/>
      <c r="Z1011" s="97"/>
      <c r="AA1011" s="97"/>
      <c r="BP1011" s="190"/>
    </row>
    <row r="1012" spans="2:68" x14ac:dyDescent="0.25">
      <c r="B1012" s="98" t="s">
        <v>555</v>
      </c>
      <c r="C1012" s="98">
        <v>2014</v>
      </c>
      <c r="D1012" s="98" t="s">
        <v>223</v>
      </c>
      <c r="E1012" s="98" t="s">
        <v>103</v>
      </c>
      <c r="F1012" s="98" t="s">
        <v>131</v>
      </c>
      <c r="G1012" s="98">
        <v>21191.093000000001</v>
      </c>
      <c r="H1012" s="299" t="str">
        <f>VLOOKUP(LEFT('Rev Adequacy'!D1012,3),'Mapping B'!$D$2:$E$400,2,0)</f>
        <v>S</v>
      </c>
      <c r="J1012" s="20"/>
      <c r="K1012" s="20"/>
      <c r="L1012" s="20"/>
      <c r="M1012" s="20"/>
      <c r="N1012" s="20"/>
      <c r="O1012" s="97"/>
      <c r="P1012" s="97"/>
      <c r="Q1012" s="97"/>
      <c r="R1012" s="97"/>
      <c r="S1012" s="97"/>
      <c r="T1012" s="97"/>
      <c r="U1012" s="97"/>
      <c r="V1012" s="97"/>
      <c r="W1012" s="97"/>
      <c r="X1012" s="97"/>
      <c r="Y1012" s="97"/>
      <c r="Z1012" s="97"/>
      <c r="AA1012" s="97"/>
      <c r="BP1012" s="190"/>
    </row>
    <row r="1013" spans="2:68" x14ac:dyDescent="0.25">
      <c r="B1013" s="98" t="s">
        <v>555</v>
      </c>
      <c r="C1013" s="98">
        <v>2014</v>
      </c>
      <c r="D1013" s="98" t="s">
        <v>280</v>
      </c>
      <c r="E1013" s="98" t="s">
        <v>103</v>
      </c>
      <c r="F1013" s="98" t="s">
        <v>131</v>
      </c>
      <c r="G1013" s="98">
        <v>168552.56799999901</v>
      </c>
      <c r="H1013" s="299" t="str">
        <f>VLOOKUP(LEFT('Rev Adequacy'!D1013,3),'Mapping B'!$D$2:$E$400,2,0)</f>
        <v>S</v>
      </c>
      <c r="J1013" s="20"/>
      <c r="K1013" s="20"/>
      <c r="L1013" s="20"/>
      <c r="M1013" s="20"/>
      <c r="N1013" s="20"/>
      <c r="O1013" s="97"/>
      <c r="P1013" s="97"/>
      <c r="Q1013" s="97"/>
      <c r="R1013" s="97"/>
      <c r="S1013" s="97"/>
      <c r="T1013" s="97"/>
      <c r="U1013" s="97"/>
      <c r="V1013" s="97"/>
      <c r="W1013" s="97"/>
      <c r="X1013" s="97"/>
      <c r="Y1013" s="97"/>
      <c r="Z1013" s="97"/>
      <c r="AA1013" s="97"/>
      <c r="BP1013" s="190"/>
    </row>
    <row r="1014" spans="2:68" x14ac:dyDescent="0.25">
      <c r="B1014" s="98" t="s">
        <v>112</v>
      </c>
      <c r="C1014" s="98">
        <v>2014</v>
      </c>
      <c r="D1014" s="98" t="s">
        <v>150</v>
      </c>
      <c r="E1014" s="98" t="s">
        <v>103</v>
      </c>
      <c r="F1014" s="98" t="s">
        <v>131</v>
      </c>
      <c r="G1014" s="98">
        <v>0</v>
      </c>
      <c r="H1014" s="299" t="str">
        <f>VLOOKUP(LEFT('Rev Adequacy'!D1014,3),'Mapping B'!$D$2:$E$400,2,0)</f>
        <v>S</v>
      </c>
      <c r="J1014" s="20"/>
      <c r="K1014" s="20"/>
      <c r="L1014" s="20"/>
      <c r="M1014" s="20"/>
      <c r="N1014" s="20"/>
      <c r="O1014" s="97"/>
      <c r="P1014" s="97"/>
      <c r="Q1014" s="97"/>
      <c r="R1014" s="97"/>
      <c r="S1014" s="97"/>
      <c r="T1014" s="97"/>
      <c r="U1014" s="97"/>
      <c r="V1014" s="97"/>
      <c r="W1014" s="97"/>
      <c r="X1014" s="97"/>
      <c r="Y1014" s="97"/>
      <c r="Z1014" s="97"/>
      <c r="AA1014" s="97"/>
      <c r="BP1014" s="190"/>
    </row>
    <row r="1015" spans="2:68" x14ac:dyDescent="0.25">
      <c r="B1015" s="98" t="s">
        <v>112</v>
      </c>
      <c r="C1015" s="98">
        <v>2014</v>
      </c>
      <c r="D1015" s="98" t="s">
        <v>220</v>
      </c>
      <c r="E1015" s="98" t="s">
        <v>103</v>
      </c>
      <c r="F1015" s="98" t="s">
        <v>131</v>
      </c>
      <c r="G1015" s="98">
        <v>0</v>
      </c>
      <c r="H1015" s="299" t="str">
        <f>VLOOKUP(LEFT('Rev Adequacy'!D1015,3),'Mapping B'!$D$2:$E$400,2,0)</f>
        <v>S</v>
      </c>
      <c r="J1015" s="20"/>
      <c r="K1015" s="20"/>
      <c r="L1015" s="20"/>
      <c r="M1015" s="20"/>
      <c r="N1015" s="20"/>
      <c r="O1015" s="97"/>
      <c r="P1015" s="97"/>
      <c r="Q1015" s="97"/>
      <c r="R1015" s="97"/>
      <c r="S1015" s="97"/>
      <c r="T1015" s="97"/>
      <c r="U1015" s="97"/>
      <c r="V1015" s="97"/>
      <c r="W1015" s="97"/>
      <c r="X1015" s="97"/>
      <c r="Y1015" s="97"/>
      <c r="Z1015" s="97"/>
      <c r="AA1015" s="97"/>
      <c r="BP1015" s="190"/>
    </row>
    <row r="1016" spans="2:68" x14ac:dyDescent="0.25">
      <c r="B1016" s="98" t="s">
        <v>112</v>
      </c>
      <c r="C1016" s="98">
        <v>2014</v>
      </c>
      <c r="D1016" s="98" t="s">
        <v>223</v>
      </c>
      <c r="E1016" s="98" t="s">
        <v>103</v>
      </c>
      <c r="F1016" s="98" t="s">
        <v>131</v>
      </c>
      <c r="G1016" s="98">
        <v>0</v>
      </c>
      <c r="H1016" s="299" t="str">
        <f>VLOOKUP(LEFT('Rev Adequacy'!D1016,3),'Mapping B'!$D$2:$E$400,2,0)</f>
        <v>S</v>
      </c>
      <c r="J1016" s="20"/>
      <c r="K1016" s="20"/>
      <c r="L1016" s="20"/>
      <c r="M1016" s="20"/>
      <c r="N1016" s="20"/>
      <c r="O1016" s="97"/>
      <c r="P1016" s="97"/>
      <c r="Q1016" s="97"/>
      <c r="R1016" s="97"/>
      <c r="S1016" s="97"/>
      <c r="T1016" s="97"/>
      <c r="U1016" s="97"/>
      <c r="V1016" s="97"/>
      <c r="W1016" s="97"/>
      <c r="X1016" s="97"/>
      <c r="Y1016" s="97"/>
      <c r="Z1016" s="97"/>
      <c r="AA1016" s="97"/>
      <c r="BP1016" s="190"/>
    </row>
    <row r="1017" spans="2:68" x14ac:dyDescent="0.25">
      <c r="B1017" s="98" t="s">
        <v>112</v>
      </c>
      <c r="C1017" s="98">
        <v>2014</v>
      </c>
      <c r="D1017" s="98" t="s">
        <v>280</v>
      </c>
      <c r="E1017" s="98" t="s">
        <v>103</v>
      </c>
      <c r="F1017" s="98" t="s">
        <v>131</v>
      </c>
      <c r="G1017" s="98">
        <v>0</v>
      </c>
      <c r="H1017" s="299" t="str">
        <f>VLOOKUP(LEFT('Rev Adequacy'!D1017,3),'Mapping B'!$D$2:$E$400,2,0)</f>
        <v>S</v>
      </c>
      <c r="J1017" s="20"/>
      <c r="K1017" s="20"/>
      <c r="L1017" s="20"/>
      <c r="M1017" s="20"/>
      <c r="N1017" s="20"/>
      <c r="O1017" s="97"/>
      <c r="P1017" s="97"/>
      <c r="Q1017" s="97"/>
      <c r="R1017" s="97"/>
      <c r="S1017" s="97"/>
      <c r="T1017" s="97"/>
      <c r="U1017" s="97"/>
      <c r="V1017" s="97"/>
      <c r="W1017" s="97"/>
      <c r="X1017" s="97"/>
      <c r="Y1017" s="97"/>
      <c r="Z1017" s="97"/>
      <c r="AA1017" s="97"/>
      <c r="BP1017" s="190"/>
    </row>
    <row r="1018" spans="2:68" x14ac:dyDescent="0.25">
      <c r="B1018" s="98" t="s">
        <v>111</v>
      </c>
      <c r="C1018" s="98">
        <v>2014</v>
      </c>
      <c r="D1018" s="98" t="s">
        <v>150</v>
      </c>
      <c r="E1018" s="98" t="s">
        <v>103</v>
      </c>
      <c r="F1018" s="98" t="s">
        <v>131</v>
      </c>
      <c r="G1018" s="98">
        <v>0</v>
      </c>
      <c r="H1018" s="299" t="str">
        <f>VLOOKUP(LEFT('Rev Adequacy'!D1018,3),'Mapping B'!$D$2:$E$400,2,0)</f>
        <v>S</v>
      </c>
      <c r="J1018" s="20"/>
      <c r="K1018" s="20"/>
      <c r="L1018" s="20"/>
      <c r="M1018" s="20"/>
      <c r="N1018" s="20"/>
      <c r="O1018" s="97"/>
      <c r="P1018" s="97"/>
      <c r="Q1018" s="97"/>
      <c r="R1018" s="97"/>
      <c r="S1018" s="97"/>
      <c r="T1018" s="97"/>
      <c r="U1018" s="97"/>
      <c r="V1018" s="97"/>
      <c r="W1018" s="97"/>
      <c r="X1018" s="97"/>
      <c r="Y1018" s="97"/>
      <c r="Z1018" s="97"/>
      <c r="AA1018" s="97"/>
      <c r="BP1018" s="190"/>
    </row>
    <row r="1019" spans="2:68" x14ac:dyDescent="0.25">
      <c r="B1019" s="98" t="s">
        <v>111</v>
      </c>
      <c r="C1019" s="98">
        <v>2014</v>
      </c>
      <c r="D1019" s="98" t="s">
        <v>220</v>
      </c>
      <c r="E1019" s="98" t="s">
        <v>103</v>
      </c>
      <c r="F1019" s="98" t="s">
        <v>131</v>
      </c>
      <c r="G1019" s="98">
        <v>0</v>
      </c>
      <c r="H1019" s="299" t="str">
        <f>VLOOKUP(LEFT('Rev Adequacy'!D1019,3),'Mapping B'!$D$2:$E$400,2,0)</f>
        <v>S</v>
      </c>
      <c r="J1019" s="20"/>
      <c r="K1019" s="20"/>
      <c r="L1019" s="20"/>
      <c r="M1019" s="20"/>
      <c r="N1019" s="20"/>
      <c r="O1019" s="97"/>
      <c r="P1019" s="97"/>
      <c r="Q1019" s="97"/>
      <c r="R1019" s="97"/>
      <c r="S1019" s="97"/>
      <c r="T1019" s="97"/>
      <c r="U1019" s="97"/>
      <c r="V1019" s="97"/>
      <c r="W1019" s="97"/>
      <c r="X1019" s="97"/>
      <c r="Y1019" s="97"/>
      <c r="Z1019" s="97"/>
      <c r="AA1019" s="97"/>
      <c r="BP1019" s="190"/>
    </row>
    <row r="1020" spans="2:68" x14ac:dyDescent="0.25">
      <c r="B1020" s="98" t="s">
        <v>111</v>
      </c>
      <c r="C1020" s="98">
        <v>2014</v>
      </c>
      <c r="D1020" s="98" t="s">
        <v>223</v>
      </c>
      <c r="E1020" s="98" t="s">
        <v>103</v>
      </c>
      <c r="F1020" s="98" t="s">
        <v>131</v>
      </c>
      <c r="G1020" s="98">
        <v>0</v>
      </c>
      <c r="H1020" s="299" t="str">
        <f>VLOOKUP(LEFT('Rev Adequacy'!D1020,3),'Mapping B'!$D$2:$E$400,2,0)</f>
        <v>S</v>
      </c>
      <c r="J1020" s="20"/>
      <c r="K1020" s="20"/>
      <c r="L1020" s="20"/>
      <c r="M1020" s="20"/>
      <c r="N1020" s="20"/>
      <c r="O1020" s="97"/>
      <c r="P1020" s="97"/>
      <c r="Q1020" s="97"/>
      <c r="R1020" s="97"/>
      <c r="S1020" s="97"/>
      <c r="T1020" s="97"/>
      <c r="U1020" s="97"/>
      <c r="V1020" s="97"/>
      <c r="W1020" s="97"/>
      <c r="X1020" s="97"/>
      <c r="Y1020" s="97"/>
      <c r="Z1020" s="97"/>
      <c r="AA1020" s="97"/>
      <c r="BP1020" s="190"/>
    </row>
    <row r="1021" spans="2:68" x14ac:dyDescent="0.25">
      <c r="B1021" s="98" t="s">
        <v>111</v>
      </c>
      <c r="C1021" s="98">
        <v>2014</v>
      </c>
      <c r="D1021" s="98" t="s">
        <v>280</v>
      </c>
      <c r="E1021" s="98" t="s">
        <v>103</v>
      </c>
      <c r="F1021" s="98" t="s">
        <v>131</v>
      </c>
      <c r="G1021" s="98">
        <v>0</v>
      </c>
      <c r="H1021" s="299" t="str">
        <f>VLOOKUP(LEFT('Rev Adequacy'!D1021,3),'Mapping B'!$D$2:$E$400,2,0)</f>
        <v>S</v>
      </c>
      <c r="J1021" s="20"/>
      <c r="K1021" s="20"/>
      <c r="L1021" s="20"/>
      <c r="M1021" s="20"/>
      <c r="N1021" s="20"/>
      <c r="O1021" s="97"/>
      <c r="P1021" s="97"/>
      <c r="Q1021" s="97"/>
      <c r="R1021" s="97"/>
      <c r="S1021" s="97"/>
      <c r="T1021" s="97"/>
      <c r="U1021" s="97"/>
      <c r="V1021" s="97"/>
      <c r="W1021" s="97"/>
      <c r="X1021" s="97"/>
      <c r="Y1021" s="97"/>
      <c r="Z1021" s="97"/>
      <c r="AA1021" s="97"/>
      <c r="BP1021" s="190"/>
    </row>
    <row r="1022" spans="2:68" x14ac:dyDescent="0.25">
      <c r="B1022" s="98" t="s">
        <v>552</v>
      </c>
      <c r="C1022" s="98">
        <v>2014</v>
      </c>
      <c r="D1022" s="98" t="s">
        <v>151</v>
      </c>
      <c r="E1022" s="98" t="s">
        <v>53</v>
      </c>
      <c r="F1022" s="98" t="s">
        <v>131</v>
      </c>
      <c r="G1022" s="248">
        <v>191.73085902599701</v>
      </c>
      <c r="H1022" s="299" t="str">
        <f>VLOOKUP(LEFT('Rev Adequacy'!D1022,3),'Mapping B'!$D$2:$E$400,2,0)</f>
        <v>S</v>
      </c>
      <c r="J1022" s="20"/>
      <c r="K1022" s="20"/>
      <c r="L1022" s="20"/>
      <c r="M1022" s="20"/>
      <c r="N1022" s="20"/>
      <c r="O1022" s="97"/>
      <c r="P1022" s="97"/>
      <c r="Q1022" s="97"/>
      <c r="R1022" s="97"/>
      <c r="S1022" s="97"/>
      <c r="T1022" s="97"/>
      <c r="U1022" s="97"/>
      <c r="V1022" s="97"/>
      <c r="W1022" s="97"/>
      <c r="X1022" s="97"/>
      <c r="Y1022" s="97"/>
      <c r="Z1022" s="97"/>
      <c r="AA1022" s="97"/>
      <c r="BP1022" s="190"/>
    </row>
    <row r="1023" spans="2:68" x14ac:dyDescent="0.25">
      <c r="B1023" s="98" t="s">
        <v>552</v>
      </c>
      <c r="C1023" s="98">
        <v>2014</v>
      </c>
      <c r="D1023" s="98" t="s">
        <v>212</v>
      </c>
      <c r="E1023" s="98" t="s">
        <v>53</v>
      </c>
      <c r="F1023" s="98" t="s">
        <v>131</v>
      </c>
      <c r="G1023" s="248">
        <v>393.53199999999202</v>
      </c>
      <c r="H1023" s="299" t="str">
        <f>VLOOKUP(LEFT('Rev Adequacy'!D1023,3),'Mapping B'!$D$2:$E$400,2,0)</f>
        <v>N</v>
      </c>
      <c r="J1023" s="20"/>
      <c r="K1023" s="20"/>
      <c r="L1023" s="20"/>
      <c r="M1023" s="20"/>
      <c r="N1023" s="20"/>
      <c r="O1023" s="97"/>
      <c r="P1023" s="97"/>
      <c r="Q1023" s="97"/>
      <c r="R1023" s="97"/>
      <c r="S1023" s="97"/>
      <c r="T1023" s="97"/>
      <c r="U1023" s="97"/>
      <c r="V1023" s="97"/>
      <c r="W1023" s="97"/>
      <c r="X1023" s="97"/>
      <c r="Y1023" s="97"/>
      <c r="Z1023" s="97"/>
      <c r="AA1023" s="97"/>
      <c r="BP1023" s="190"/>
    </row>
    <row r="1024" spans="2:68" x14ac:dyDescent="0.25">
      <c r="B1024" s="98" t="s">
        <v>552</v>
      </c>
      <c r="C1024" s="98">
        <v>2014</v>
      </c>
      <c r="D1024" s="98" t="s">
        <v>272</v>
      </c>
      <c r="E1024" s="98" t="s">
        <v>53</v>
      </c>
      <c r="F1024" s="98" t="s">
        <v>131</v>
      </c>
      <c r="G1024" s="248">
        <v>0</v>
      </c>
      <c r="H1024" s="299" t="str">
        <f>VLOOKUP(LEFT('Rev Adequacy'!D1024,3),'Mapping B'!$D$2:$E$400,2,0)</f>
        <v>N</v>
      </c>
      <c r="J1024" s="20"/>
      <c r="K1024" s="20"/>
      <c r="L1024" s="20"/>
      <c r="M1024" s="20"/>
      <c r="N1024" s="20"/>
      <c r="O1024" s="97"/>
      <c r="P1024" s="97"/>
      <c r="Q1024" s="97"/>
      <c r="R1024" s="97"/>
      <c r="S1024" s="97"/>
      <c r="T1024" s="97"/>
      <c r="U1024" s="97"/>
      <c r="V1024" s="97"/>
      <c r="W1024" s="97"/>
      <c r="X1024" s="97"/>
      <c r="Y1024" s="97"/>
      <c r="Z1024" s="97"/>
      <c r="AA1024" s="97"/>
      <c r="BP1024" s="190"/>
    </row>
    <row r="1025" spans="2:68" x14ac:dyDescent="0.25">
      <c r="B1025" s="98" t="s">
        <v>552</v>
      </c>
      <c r="C1025" s="98">
        <v>2014</v>
      </c>
      <c r="D1025" s="98" t="s">
        <v>279</v>
      </c>
      <c r="E1025" s="98" t="s">
        <v>53</v>
      </c>
      <c r="F1025" s="98" t="s">
        <v>131</v>
      </c>
      <c r="G1025" s="248">
        <v>0</v>
      </c>
      <c r="H1025" s="299" t="str">
        <f>VLOOKUP(LEFT('Rev Adequacy'!D1025,3),'Mapping B'!$D$2:$E$400,2,0)</f>
        <v>N</v>
      </c>
      <c r="J1025" s="20"/>
      <c r="K1025" s="20"/>
      <c r="L1025" s="20"/>
      <c r="M1025" s="20"/>
      <c r="N1025" s="20"/>
      <c r="O1025" s="97"/>
      <c r="P1025" s="97"/>
      <c r="Q1025" s="97"/>
      <c r="R1025" s="97"/>
      <c r="S1025" s="97"/>
      <c r="T1025" s="97"/>
      <c r="U1025" s="97"/>
      <c r="V1025" s="97"/>
      <c r="W1025" s="97"/>
      <c r="X1025" s="97"/>
      <c r="Y1025" s="97"/>
      <c r="Z1025" s="97"/>
      <c r="AA1025" s="97"/>
      <c r="BP1025" s="190"/>
    </row>
    <row r="1026" spans="2:68" x14ac:dyDescent="0.25">
      <c r="B1026" s="98" t="s">
        <v>552</v>
      </c>
      <c r="C1026" s="98">
        <v>2014</v>
      </c>
      <c r="D1026" s="98" t="s">
        <v>300</v>
      </c>
      <c r="E1026" s="98" t="s">
        <v>53</v>
      </c>
      <c r="F1026" s="98" t="s">
        <v>131</v>
      </c>
      <c r="G1026" s="248">
        <v>0.25273122538641302</v>
      </c>
      <c r="H1026" s="299" t="str">
        <f>VLOOKUP(LEFT('Rev Adequacy'!D1026,3),'Mapping B'!$D$2:$E$400,2,0)</f>
        <v>N</v>
      </c>
      <c r="J1026" s="20"/>
      <c r="K1026" s="20"/>
      <c r="L1026" s="20"/>
      <c r="M1026" s="20"/>
      <c r="N1026" s="20"/>
      <c r="O1026" s="97"/>
      <c r="P1026" s="97"/>
      <c r="Q1026" s="97"/>
      <c r="R1026" s="97"/>
      <c r="S1026" s="97"/>
      <c r="T1026" s="97"/>
      <c r="U1026" s="97"/>
      <c r="V1026" s="97"/>
      <c r="W1026" s="97"/>
      <c r="X1026" s="97"/>
      <c r="Y1026" s="97"/>
      <c r="Z1026" s="97"/>
      <c r="AA1026" s="97"/>
      <c r="BP1026" s="190"/>
    </row>
    <row r="1027" spans="2:68" x14ac:dyDescent="0.25">
      <c r="B1027" s="98" t="s">
        <v>552</v>
      </c>
      <c r="C1027" s="98">
        <v>2014</v>
      </c>
      <c r="D1027" s="98" t="s">
        <v>375</v>
      </c>
      <c r="E1027" s="98" t="s">
        <v>53</v>
      </c>
      <c r="F1027" s="98" t="s">
        <v>131</v>
      </c>
      <c r="G1027" s="248">
        <v>301.401000000002</v>
      </c>
      <c r="H1027" s="299" t="str">
        <f>VLOOKUP(LEFT('Rev Adequacy'!D1027,3),'Mapping B'!$D$2:$E$400,2,0)</f>
        <v>N</v>
      </c>
      <c r="J1027" s="20"/>
      <c r="K1027" s="20"/>
      <c r="L1027" s="20"/>
      <c r="M1027" s="20"/>
      <c r="N1027" s="20"/>
      <c r="O1027" s="97"/>
      <c r="P1027" s="97"/>
      <c r="Q1027" s="97"/>
      <c r="R1027" s="97"/>
      <c r="S1027" s="97"/>
      <c r="T1027" s="97"/>
      <c r="U1027" s="97"/>
      <c r="V1027" s="97"/>
      <c r="W1027" s="97"/>
      <c r="X1027" s="97"/>
      <c r="Y1027" s="97"/>
      <c r="Z1027" s="97"/>
      <c r="AA1027" s="97"/>
      <c r="BP1027" s="190"/>
    </row>
    <row r="1028" spans="2:68" x14ac:dyDescent="0.25">
      <c r="B1028" s="98" t="s">
        <v>553</v>
      </c>
      <c r="C1028" s="98">
        <v>2014</v>
      </c>
      <c r="D1028" s="98" t="s">
        <v>151</v>
      </c>
      <c r="E1028" s="98" t="s">
        <v>53</v>
      </c>
      <c r="F1028" s="98" t="s">
        <v>131</v>
      </c>
      <c r="G1028" s="248">
        <v>135.52751020407999</v>
      </c>
      <c r="H1028" s="299" t="str">
        <f>VLOOKUP(LEFT('Rev Adequacy'!D1028,3),'Mapping B'!$D$2:$E$400,2,0)</f>
        <v>S</v>
      </c>
      <c r="J1028" s="20"/>
      <c r="K1028" s="20"/>
      <c r="L1028" s="20"/>
      <c r="M1028" s="20"/>
      <c r="N1028" s="20"/>
      <c r="O1028" s="20"/>
      <c r="P1028" s="20"/>
      <c r="Q1028" s="20"/>
      <c r="R1028" s="20"/>
      <c r="S1028" s="20"/>
      <c r="T1028" s="20"/>
      <c r="U1028" s="20"/>
      <c r="V1028" s="20"/>
      <c r="W1028" s="20"/>
      <c r="X1028" s="20"/>
      <c r="Y1028" s="20"/>
      <c r="Z1028" s="20"/>
      <c r="AA1028" s="20"/>
      <c r="BP1028" s="190"/>
    </row>
    <row r="1029" spans="2:68" x14ac:dyDescent="0.25">
      <c r="B1029" s="98" t="s">
        <v>553</v>
      </c>
      <c r="C1029" s="98">
        <v>2014</v>
      </c>
      <c r="D1029" s="98" t="s">
        <v>212</v>
      </c>
      <c r="E1029" s="98" t="s">
        <v>53</v>
      </c>
      <c r="F1029" s="98" t="s">
        <v>131</v>
      </c>
      <c r="G1029" s="248">
        <v>18725.883999999802</v>
      </c>
      <c r="H1029" s="299" t="str">
        <f>VLOOKUP(LEFT('Rev Adequacy'!D1029,3),'Mapping B'!$D$2:$E$400,2,0)</f>
        <v>N</v>
      </c>
      <c r="J1029" s="96"/>
      <c r="K1029" s="20"/>
      <c r="L1029" s="20"/>
      <c r="M1029" s="20"/>
      <c r="N1029" s="20"/>
      <c r="O1029" s="20"/>
      <c r="P1029" s="20"/>
      <c r="Q1029" s="20"/>
      <c r="R1029" s="20"/>
      <c r="S1029" s="20"/>
      <c r="T1029" s="20"/>
      <c r="U1029" s="20"/>
      <c r="V1029" s="20"/>
      <c r="W1029" s="20"/>
      <c r="X1029" s="20"/>
      <c r="Y1029" s="20"/>
      <c r="Z1029" s="20"/>
      <c r="AA1029" s="20"/>
      <c r="BP1029" s="190"/>
    </row>
    <row r="1030" spans="2:68" x14ac:dyDescent="0.25">
      <c r="B1030" s="98" t="s">
        <v>553</v>
      </c>
      <c r="C1030" s="98">
        <v>2014</v>
      </c>
      <c r="D1030" s="98" t="s">
        <v>272</v>
      </c>
      <c r="E1030" s="98" t="s">
        <v>53</v>
      </c>
      <c r="F1030" s="98" t="s">
        <v>131</v>
      </c>
      <c r="G1030" s="248">
        <v>39.222999999999999</v>
      </c>
      <c r="H1030" s="299" t="str">
        <f>VLOOKUP(LEFT('Rev Adequacy'!D1030,3),'Mapping B'!$D$2:$E$400,2,0)</f>
        <v>N</v>
      </c>
      <c r="J1030" s="96"/>
      <c r="K1030" s="20"/>
      <c r="L1030" s="20"/>
      <c r="M1030" s="20"/>
      <c r="N1030" s="20"/>
      <c r="O1030" s="20"/>
      <c r="P1030" s="20"/>
      <c r="Q1030" s="20"/>
      <c r="R1030" s="20"/>
      <c r="S1030" s="20"/>
      <c r="T1030" s="20"/>
      <c r="U1030" s="20"/>
      <c r="V1030" s="20"/>
      <c r="W1030" s="20"/>
      <c r="X1030" s="20"/>
      <c r="Y1030" s="20"/>
      <c r="Z1030" s="20"/>
      <c r="AA1030" s="20"/>
      <c r="BP1030" s="190"/>
    </row>
    <row r="1031" spans="2:68" x14ac:dyDescent="0.25">
      <c r="B1031" s="98" t="s">
        <v>553</v>
      </c>
      <c r="C1031" s="98">
        <v>2014</v>
      </c>
      <c r="D1031" s="98" t="s">
        <v>279</v>
      </c>
      <c r="E1031" s="98" t="s">
        <v>53</v>
      </c>
      <c r="F1031" s="98" t="s">
        <v>131</v>
      </c>
      <c r="G1031" s="248">
        <v>722.62039352956106</v>
      </c>
      <c r="H1031" s="299" t="str">
        <f>VLOOKUP(LEFT('Rev Adequacy'!D1031,3),'Mapping B'!$D$2:$E$400,2,0)</f>
        <v>N</v>
      </c>
      <c r="J1031" s="96"/>
      <c r="K1031" s="20"/>
      <c r="L1031" s="20"/>
      <c r="M1031" s="20"/>
      <c r="N1031" s="20"/>
      <c r="O1031" s="20"/>
      <c r="P1031" s="95"/>
      <c r="Q1031" s="95"/>
      <c r="R1031" s="20"/>
      <c r="S1031" s="20"/>
      <c r="T1031" s="20"/>
      <c r="U1031" s="20"/>
      <c r="V1031" s="20"/>
      <c r="W1031" s="20"/>
      <c r="X1031" s="20"/>
      <c r="Y1031" s="20"/>
      <c r="Z1031" s="20"/>
      <c r="AA1031" s="20"/>
      <c r="BP1031" s="190"/>
    </row>
    <row r="1032" spans="2:68" x14ac:dyDescent="0.25">
      <c r="B1032" s="98" t="s">
        <v>553</v>
      </c>
      <c r="C1032" s="98">
        <v>2014</v>
      </c>
      <c r="D1032" s="98" t="s">
        <v>300</v>
      </c>
      <c r="E1032" s="98" t="s">
        <v>53</v>
      </c>
      <c r="F1032" s="98" t="s">
        <v>131</v>
      </c>
      <c r="G1032" s="248">
        <v>848.27502566118096</v>
      </c>
      <c r="H1032" s="299" t="str">
        <f>VLOOKUP(LEFT('Rev Adequacy'!D1032,3),'Mapping B'!$D$2:$E$400,2,0)</f>
        <v>N</v>
      </c>
      <c r="J1032" s="96"/>
      <c r="K1032" s="96"/>
      <c r="L1032" s="96"/>
      <c r="M1032" s="20"/>
      <c r="N1032" s="20"/>
      <c r="O1032" s="20"/>
      <c r="P1032" s="20"/>
      <c r="Q1032" s="20"/>
      <c r="R1032" s="20"/>
      <c r="S1032" s="20"/>
      <c r="T1032" s="20"/>
      <c r="U1032" s="20"/>
      <c r="V1032" s="20"/>
      <c r="W1032" s="20"/>
      <c r="X1032" s="20"/>
      <c r="Y1032" s="20"/>
      <c r="Z1032" s="20"/>
      <c r="AA1032" s="20"/>
      <c r="BP1032" s="190"/>
    </row>
    <row r="1033" spans="2:68" x14ac:dyDescent="0.25">
      <c r="B1033" s="98" t="s">
        <v>553</v>
      </c>
      <c r="C1033" s="98">
        <v>2014</v>
      </c>
      <c r="D1033" s="98" t="s">
        <v>375</v>
      </c>
      <c r="E1033" s="98" t="s">
        <v>53</v>
      </c>
      <c r="F1033" s="98" t="s">
        <v>131</v>
      </c>
      <c r="G1033" s="248">
        <v>14181.0439999995</v>
      </c>
      <c r="H1033" s="299" t="str">
        <f>VLOOKUP(LEFT('Rev Adequacy'!D1033,3),'Mapping B'!$D$2:$E$400,2,0)</f>
        <v>N</v>
      </c>
      <c r="J1033" s="20"/>
      <c r="K1033" s="20"/>
      <c r="L1033" s="20"/>
      <c r="M1033" s="20"/>
      <c r="N1033" s="20"/>
      <c r="O1033" s="20"/>
      <c r="P1033" s="20"/>
      <c r="Q1033" s="97"/>
      <c r="R1033" s="20"/>
      <c r="S1033" s="20"/>
      <c r="T1033" s="20"/>
      <c r="U1033" s="20"/>
      <c r="V1033" s="20"/>
      <c r="W1033" s="20"/>
      <c r="X1033" s="20"/>
      <c r="Y1033" s="20"/>
      <c r="Z1033" s="20"/>
      <c r="AA1033" s="20"/>
      <c r="BP1033" s="190"/>
    </row>
    <row r="1034" spans="2:68" x14ac:dyDescent="0.25">
      <c r="B1034" s="98" t="s">
        <v>554</v>
      </c>
      <c r="C1034" s="98">
        <v>2014</v>
      </c>
      <c r="D1034" s="98" t="s">
        <v>151</v>
      </c>
      <c r="E1034" s="98" t="s">
        <v>53</v>
      </c>
      <c r="F1034" s="98" t="s">
        <v>131</v>
      </c>
      <c r="G1034" s="98">
        <v>266.194993775174</v>
      </c>
      <c r="H1034" s="299" t="str">
        <f>VLOOKUP(LEFT('Rev Adequacy'!D1034,3),'Mapping B'!$D$2:$E$400,2,0)</f>
        <v>S</v>
      </c>
      <c r="J1034" s="20"/>
      <c r="K1034" s="20"/>
      <c r="L1034" s="20"/>
      <c r="M1034" s="20"/>
      <c r="N1034" s="20"/>
      <c r="O1034" s="20"/>
      <c r="P1034" s="20"/>
      <c r="Q1034" s="97"/>
      <c r="R1034" s="20"/>
      <c r="S1034" s="20"/>
      <c r="T1034" s="20"/>
      <c r="U1034" s="20"/>
      <c r="V1034" s="20"/>
      <c r="W1034" s="20"/>
      <c r="X1034" s="20"/>
      <c r="Y1034" s="20"/>
      <c r="Z1034" s="20"/>
      <c r="AA1034" s="20"/>
      <c r="BP1034" s="190"/>
    </row>
    <row r="1035" spans="2:68" x14ac:dyDescent="0.25">
      <c r="B1035" s="98" t="s">
        <v>554</v>
      </c>
      <c r="C1035" s="98">
        <v>2014</v>
      </c>
      <c r="D1035" s="98" t="s">
        <v>212</v>
      </c>
      <c r="E1035" s="98" t="s">
        <v>53</v>
      </c>
      <c r="F1035" s="98" t="s">
        <v>131</v>
      </c>
      <c r="G1035" s="98">
        <v>51671.0619999997</v>
      </c>
      <c r="H1035" s="299" t="str">
        <f>VLOOKUP(LEFT('Rev Adequacy'!D1035,3),'Mapping B'!$D$2:$E$400,2,0)</f>
        <v>N</v>
      </c>
      <c r="J1035" s="20"/>
      <c r="K1035" s="20"/>
      <c r="L1035" s="20"/>
      <c r="M1035" s="20"/>
      <c r="N1035" s="20"/>
      <c r="O1035" s="20"/>
      <c r="P1035" s="20"/>
      <c r="Q1035" s="97"/>
      <c r="R1035" s="20"/>
      <c r="S1035" s="20"/>
      <c r="T1035" s="20"/>
      <c r="U1035" s="20"/>
      <c r="V1035" s="20"/>
      <c r="W1035" s="20"/>
      <c r="X1035" s="20"/>
      <c r="Y1035" s="20"/>
      <c r="Z1035" s="20"/>
      <c r="AA1035" s="20"/>
      <c r="BP1035" s="190"/>
    </row>
    <row r="1036" spans="2:68" x14ac:dyDescent="0.25">
      <c r="B1036" s="98" t="s">
        <v>554</v>
      </c>
      <c r="C1036" s="98">
        <v>2014</v>
      </c>
      <c r="D1036" s="98" t="s">
        <v>272</v>
      </c>
      <c r="E1036" s="98" t="s">
        <v>53</v>
      </c>
      <c r="F1036" s="98" t="s">
        <v>131</v>
      </c>
      <c r="G1036" s="98">
        <v>136.97399999999999</v>
      </c>
      <c r="H1036" s="299" t="str">
        <f>VLOOKUP(LEFT('Rev Adequacy'!D1036,3),'Mapping B'!$D$2:$E$400,2,0)</f>
        <v>N</v>
      </c>
      <c r="J1036" s="20"/>
      <c r="K1036" s="20"/>
      <c r="L1036" s="20"/>
      <c r="M1036" s="20"/>
      <c r="N1036" s="20"/>
      <c r="O1036" s="20"/>
      <c r="P1036" s="20"/>
      <c r="Q1036" s="97"/>
      <c r="R1036" s="20"/>
      <c r="S1036" s="20"/>
      <c r="T1036" s="20"/>
      <c r="U1036" s="20"/>
      <c r="V1036" s="20"/>
      <c r="W1036" s="20"/>
      <c r="X1036" s="20"/>
      <c r="Y1036" s="20"/>
      <c r="Z1036" s="20"/>
      <c r="AA1036" s="20"/>
      <c r="BP1036" s="190"/>
    </row>
    <row r="1037" spans="2:68" x14ac:dyDescent="0.25">
      <c r="B1037" s="98" t="s">
        <v>554</v>
      </c>
      <c r="C1037" s="98">
        <v>2014</v>
      </c>
      <c r="D1037" s="98" t="s">
        <v>279</v>
      </c>
      <c r="E1037" s="98" t="s">
        <v>53</v>
      </c>
      <c r="F1037" s="98" t="s">
        <v>131</v>
      </c>
      <c r="G1037" s="98">
        <v>1417.7036761465599</v>
      </c>
      <c r="H1037" s="299" t="str">
        <f>VLOOKUP(LEFT('Rev Adequacy'!D1037,3),'Mapping B'!$D$2:$E$400,2,0)</f>
        <v>N</v>
      </c>
      <c r="J1037" s="20"/>
      <c r="K1037" s="20"/>
      <c r="L1037" s="20"/>
      <c r="M1037" s="20"/>
      <c r="N1037" s="20"/>
      <c r="O1037" s="20"/>
      <c r="P1037" s="20"/>
      <c r="Q1037" s="97"/>
      <c r="R1037" s="20"/>
      <c r="S1037" s="20"/>
      <c r="T1037" s="20"/>
      <c r="U1037" s="20"/>
      <c r="V1037" s="20"/>
      <c r="W1037" s="20"/>
      <c r="X1037" s="20"/>
      <c r="Y1037" s="20"/>
      <c r="Z1037" s="20"/>
      <c r="AA1037" s="20"/>
      <c r="BP1037" s="190"/>
    </row>
    <row r="1038" spans="2:68" x14ac:dyDescent="0.25">
      <c r="B1038" s="98" t="s">
        <v>554</v>
      </c>
      <c r="C1038" s="98">
        <v>2014</v>
      </c>
      <c r="D1038" s="98" t="s">
        <v>300</v>
      </c>
      <c r="E1038" s="98" t="s">
        <v>53</v>
      </c>
      <c r="F1038" s="98" t="s">
        <v>131</v>
      </c>
      <c r="G1038" s="98">
        <v>8852.6791641056898</v>
      </c>
      <c r="H1038" s="299" t="str">
        <f>VLOOKUP(LEFT('Rev Adequacy'!D1038,3),'Mapping B'!$D$2:$E$400,2,0)</f>
        <v>N</v>
      </c>
      <c r="J1038" s="20"/>
      <c r="K1038" s="20"/>
      <c r="L1038" s="20"/>
      <c r="M1038" s="20"/>
      <c r="N1038" s="20"/>
      <c r="O1038" s="20"/>
      <c r="P1038" s="20"/>
      <c r="Q1038" s="97"/>
      <c r="R1038" s="20"/>
      <c r="S1038" s="20"/>
      <c r="T1038" s="20"/>
      <c r="U1038" s="20"/>
      <c r="V1038" s="20"/>
      <c r="W1038" s="20"/>
      <c r="X1038" s="20"/>
      <c r="Y1038" s="20"/>
      <c r="Z1038" s="20"/>
      <c r="AA1038" s="20"/>
      <c r="BP1038" s="190"/>
    </row>
    <row r="1039" spans="2:68" x14ac:dyDescent="0.25">
      <c r="B1039" s="98" t="s">
        <v>554</v>
      </c>
      <c r="C1039" s="98">
        <v>2014</v>
      </c>
      <c r="D1039" s="98" t="s">
        <v>375</v>
      </c>
      <c r="E1039" s="98" t="s">
        <v>53</v>
      </c>
      <c r="F1039" s="98" t="s">
        <v>131</v>
      </c>
      <c r="G1039" s="98">
        <v>0</v>
      </c>
      <c r="H1039" s="299" t="str">
        <f>VLOOKUP(LEFT('Rev Adequacy'!D1039,3),'Mapping B'!$D$2:$E$400,2,0)</f>
        <v>N</v>
      </c>
      <c r="J1039" s="20"/>
      <c r="K1039" s="20"/>
      <c r="L1039" s="20"/>
      <c r="M1039" s="20"/>
      <c r="N1039" s="20"/>
      <c r="O1039" s="20"/>
      <c r="P1039" s="20"/>
      <c r="Q1039" s="97"/>
      <c r="R1039" s="20"/>
      <c r="S1039" s="20"/>
      <c r="T1039" s="20"/>
      <c r="U1039" s="20"/>
      <c r="V1039" s="20"/>
      <c r="W1039" s="20"/>
      <c r="X1039" s="20"/>
      <c r="Y1039" s="20"/>
      <c r="Z1039" s="20"/>
      <c r="AA1039" s="20"/>
      <c r="BP1039" s="190"/>
    </row>
    <row r="1040" spans="2:68" x14ac:dyDescent="0.25">
      <c r="B1040" s="98" t="s">
        <v>563</v>
      </c>
      <c r="C1040" s="98">
        <v>2014</v>
      </c>
      <c r="D1040" s="98" t="s">
        <v>151</v>
      </c>
      <c r="E1040" s="98" t="s">
        <v>53</v>
      </c>
      <c r="F1040" s="98" t="s">
        <v>131</v>
      </c>
      <c r="G1040" s="98">
        <v>796.54351373123404</v>
      </c>
      <c r="H1040" s="299" t="str">
        <f>VLOOKUP(LEFT('Rev Adequacy'!D1040,3),'Mapping B'!$D$2:$E$400,2,0)</f>
        <v>S</v>
      </c>
      <c r="J1040" s="20"/>
      <c r="K1040" s="20"/>
      <c r="L1040" s="20"/>
      <c r="M1040" s="20"/>
      <c r="N1040" s="20"/>
      <c r="O1040" s="20"/>
      <c r="P1040" s="20"/>
      <c r="Q1040" s="97"/>
      <c r="R1040" s="20"/>
      <c r="S1040" s="20"/>
      <c r="T1040" s="20"/>
      <c r="U1040" s="20"/>
      <c r="V1040" s="20"/>
      <c r="W1040" s="20"/>
      <c r="X1040" s="20"/>
      <c r="Y1040" s="20"/>
      <c r="Z1040" s="20"/>
      <c r="AA1040" s="20"/>
      <c r="BP1040" s="190"/>
    </row>
    <row r="1041" spans="2:68" x14ac:dyDescent="0.25">
      <c r="B1041" s="98" t="s">
        <v>563</v>
      </c>
      <c r="C1041" s="98">
        <v>2014</v>
      </c>
      <c r="D1041" s="98" t="s">
        <v>212</v>
      </c>
      <c r="E1041" s="98" t="s">
        <v>53</v>
      </c>
      <c r="F1041" s="98" t="s">
        <v>131</v>
      </c>
      <c r="G1041" s="98">
        <v>130889.495</v>
      </c>
      <c r="H1041" s="299" t="str">
        <f>VLOOKUP(LEFT('Rev Adequacy'!D1041,3),'Mapping B'!$D$2:$E$400,2,0)</f>
        <v>N</v>
      </c>
      <c r="J1041" s="20"/>
      <c r="K1041" s="20"/>
      <c r="L1041" s="20"/>
      <c r="M1041" s="20"/>
      <c r="N1041" s="20"/>
      <c r="O1041" s="20"/>
      <c r="P1041" s="20"/>
      <c r="Q1041" s="97"/>
      <c r="R1041" s="20"/>
      <c r="S1041" s="20"/>
      <c r="T1041" s="20"/>
      <c r="U1041" s="20"/>
      <c r="V1041" s="20"/>
      <c r="W1041" s="20"/>
      <c r="X1041" s="20"/>
      <c r="Y1041" s="20"/>
      <c r="Z1041" s="20"/>
      <c r="AA1041" s="20"/>
      <c r="BP1041" s="190"/>
    </row>
    <row r="1042" spans="2:68" x14ac:dyDescent="0.25">
      <c r="B1042" s="98" t="s">
        <v>563</v>
      </c>
      <c r="C1042" s="98">
        <v>2014</v>
      </c>
      <c r="D1042" s="98" t="s">
        <v>272</v>
      </c>
      <c r="E1042" s="98" t="s">
        <v>53</v>
      </c>
      <c r="F1042" s="98" t="s">
        <v>131</v>
      </c>
      <c r="G1042" s="98">
        <v>155.99299999999999</v>
      </c>
      <c r="H1042" s="299" t="str">
        <f>VLOOKUP(LEFT('Rev Adequacy'!D1042,3),'Mapping B'!$D$2:$E$400,2,0)</f>
        <v>N</v>
      </c>
      <c r="J1042" s="20"/>
      <c r="K1042" s="20"/>
      <c r="L1042" s="20"/>
      <c r="M1042" s="20"/>
      <c r="N1042" s="20"/>
      <c r="O1042" s="20"/>
      <c r="P1042" s="20"/>
      <c r="Q1042" s="97"/>
      <c r="R1042" s="20"/>
      <c r="S1042" s="20"/>
      <c r="T1042" s="20"/>
      <c r="U1042" s="20"/>
      <c r="V1042" s="20"/>
      <c r="W1042" s="20"/>
      <c r="X1042" s="20"/>
      <c r="Y1042" s="20"/>
      <c r="Z1042" s="20"/>
      <c r="AA1042" s="20"/>
      <c r="BP1042" s="190"/>
    </row>
    <row r="1043" spans="2:68" x14ac:dyDescent="0.25">
      <c r="B1043" s="98" t="s">
        <v>563</v>
      </c>
      <c r="C1043" s="98">
        <v>2014</v>
      </c>
      <c r="D1043" s="98" t="s">
        <v>279</v>
      </c>
      <c r="E1043" s="98" t="s">
        <v>53</v>
      </c>
      <c r="F1043" s="98" t="s">
        <v>131</v>
      </c>
      <c r="G1043" s="98">
        <v>4784.5155167819703</v>
      </c>
      <c r="H1043" s="299" t="str">
        <f>VLOOKUP(LEFT('Rev Adequacy'!D1043,3),'Mapping B'!$D$2:$E$400,2,0)</f>
        <v>N</v>
      </c>
      <c r="J1043" s="20"/>
      <c r="K1043" s="20"/>
      <c r="L1043" s="20"/>
      <c r="M1043" s="20"/>
      <c r="N1043" s="20"/>
      <c r="O1043" s="20"/>
      <c r="P1043" s="20"/>
      <c r="Q1043" s="97"/>
      <c r="R1043" s="20"/>
      <c r="S1043" s="20"/>
      <c r="T1043" s="20"/>
      <c r="U1043" s="20"/>
      <c r="V1043" s="20"/>
      <c r="W1043" s="20"/>
      <c r="X1043" s="20"/>
      <c r="Y1043" s="20"/>
      <c r="Z1043" s="20"/>
      <c r="AA1043" s="20"/>
      <c r="BP1043" s="190"/>
    </row>
    <row r="1044" spans="2:68" x14ac:dyDescent="0.25">
      <c r="B1044" s="98" t="s">
        <v>563</v>
      </c>
      <c r="C1044" s="98">
        <v>2014</v>
      </c>
      <c r="D1044" s="98" t="s">
        <v>300</v>
      </c>
      <c r="E1044" s="98" t="s">
        <v>53</v>
      </c>
      <c r="F1044" s="98" t="s">
        <v>131</v>
      </c>
      <c r="G1044" s="98">
        <v>2630.73623278471</v>
      </c>
      <c r="H1044" s="299" t="str">
        <f>VLOOKUP(LEFT('Rev Adequacy'!D1044,3),'Mapping B'!$D$2:$E$400,2,0)</f>
        <v>N</v>
      </c>
      <c r="J1044" s="20"/>
      <c r="K1044" s="20"/>
      <c r="L1044" s="20"/>
      <c r="M1044" s="20"/>
      <c r="N1044" s="20"/>
      <c r="O1044" s="20"/>
      <c r="P1044" s="20"/>
      <c r="Q1044" s="97"/>
      <c r="R1044" s="20"/>
      <c r="S1044" s="20"/>
      <c r="T1044" s="20"/>
      <c r="U1044" s="20"/>
      <c r="V1044" s="20"/>
      <c r="W1044" s="20"/>
      <c r="X1044" s="20"/>
      <c r="Y1044" s="20"/>
      <c r="Z1044" s="20"/>
      <c r="AA1044" s="20"/>
      <c r="BP1044" s="190"/>
    </row>
    <row r="1045" spans="2:68" x14ac:dyDescent="0.25">
      <c r="B1045" s="98" t="s">
        <v>563</v>
      </c>
      <c r="C1045" s="98">
        <v>2014</v>
      </c>
      <c r="D1045" s="98" t="s">
        <v>375</v>
      </c>
      <c r="E1045" s="98" t="s">
        <v>53</v>
      </c>
      <c r="F1045" s="98" t="s">
        <v>131</v>
      </c>
      <c r="G1045" s="98">
        <v>53779.993999999897</v>
      </c>
      <c r="H1045" s="299" t="str">
        <f>VLOOKUP(LEFT('Rev Adequacy'!D1045,3),'Mapping B'!$D$2:$E$400,2,0)</f>
        <v>N</v>
      </c>
      <c r="J1045" s="20"/>
      <c r="K1045" s="20"/>
      <c r="L1045" s="20"/>
      <c r="M1045" s="20"/>
      <c r="N1045" s="20"/>
      <c r="O1045" s="20"/>
      <c r="P1045" s="20"/>
      <c r="Q1045" s="97"/>
      <c r="R1045" s="20"/>
      <c r="S1045" s="20"/>
      <c r="T1045" s="20"/>
      <c r="U1045" s="20"/>
      <c r="V1045" s="20"/>
      <c r="W1045" s="20"/>
      <c r="X1045" s="20"/>
      <c r="Y1045" s="20"/>
      <c r="Z1045" s="20"/>
      <c r="AA1045" s="20"/>
      <c r="BP1045" s="190"/>
    </row>
    <row r="1046" spans="2:68" x14ac:dyDescent="0.25">
      <c r="B1046" s="98" t="s">
        <v>555</v>
      </c>
      <c r="C1046" s="98">
        <v>2014</v>
      </c>
      <c r="D1046" s="98" t="s">
        <v>151</v>
      </c>
      <c r="E1046" s="98" t="s">
        <v>53</v>
      </c>
      <c r="F1046" s="98" t="s">
        <v>131</v>
      </c>
      <c r="G1046" s="98">
        <v>345.25144196264898</v>
      </c>
      <c r="H1046" s="299" t="str">
        <f>VLOOKUP(LEFT('Rev Adequacy'!D1046,3),'Mapping B'!$D$2:$E$400,2,0)</f>
        <v>S</v>
      </c>
      <c r="J1046" s="20"/>
      <c r="K1046" s="20"/>
      <c r="L1046" s="20"/>
      <c r="M1046" s="20"/>
      <c r="N1046" s="20"/>
      <c r="O1046" s="20"/>
      <c r="P1046" s="20"/>
      <c r="Q1046" s="97"/>
      <c r="R1046" s="20"/>
      <c r="S1046" s="20"/>
      <c r="T1046" s="20"/>
      <c r="U1046" s="20"/>
      <c r="V1046" s="20"/>
      <c r="W1046" s="20"/>
      <c r="X1046" s="20"/>
      <c r="Y1046" s="20"/>
      <c r="Z1046" s="20"/>
      <c r="AA1046" s="20"/>
      <c r="BP1046" s="190"/>
    </row>
    <row r="1047" spans="2:68" x14ac:dyDescent="0.25">
      <c r="B1047" s="98" t="s">
        <v>555</v>
      </c>
      <c r="C1047" s="98">
        <v>2014</v>
      </c>
      <c r="D1047" s="98" t="s">
        <v>212</v>
      </c>
      <c r="E1047" s="98" t="s">
        <v>53</v>
      </c>
      <c r="F1047" s="98" t="s">
        <v>131</v>
      </c>
      <c r="G1047" s="98">
        <v>48015.864999999998</v>
      </c>
      <c r="H1047" s="299" t="str">
        <f>VLOOKUP(LEFT('Rev Adequacy'!D1047,3),'Mapping B'!$D$2:$E$400,2,0)</f>
        <v>N</v>
      </c>
      <c r="J1047" s="20"/>
      <c r="K1047" s="20"/>
      <c r="L1047" s="20"/>
      <c r="M1047" s="20"/>
      <c r="N1047" s="20"/>
      <c r="O1047" s="20"/>
      <c r="P1047" s="20"/>
      <c r="Q1047" s="97"/>
      <c r="R1047" s="20"/>
      <c r="S1047" s="20"/>
      <c r="T1047" s="20"/>
      <c r="U1047" s="20"/>
      <c r="V1047" s="20"/>
      <c r="W1047" s="20"/>
      <c r="X1047" s="20"/>
      <c r="Y1047" s="20"/>
      <c r="Z1047" s="20"/>
      <c r="AA1047" s="20"/>
      <c r="BP1047" s="190"/>
    </row>
    <row r="1048" spans="2:68" x14ac:dyDescent="0.25">
      <c r="B1048" s="98" t="s">
        <v>555</v>
      </c>
      <c r="C1048" s="98">
        <v>2014</v>
      </c>
      <c r="D1048" s="98" t="s">
        <v>272</v>
      </c>
      <c r="E1048" s="98" t="s">
        <v>53</v>
      </c>
      <c r="F1048" s="98" t="s">
        <v>131</v>
      </c>
      <c r="G1048" s="98">
        <v>0</v>
      </c>
      <c r="H1048" s="299" t="str">
        <f>VLOOKUP(LEFT('Rev Adequacy'!D1048,3),'Mapping B'!$D$2:$E$400,2,0)</f>
        <v>N</v>
      </c>
      <c r="J1048" s="20"/>
      <c r="K1048" s="20"/>
      <c r="L1048" s="20"/>
      <c r="M1048" s="20"/>
      <c r="N1048" s="20"/>
      <c r="O1048" s="20"/>
      <c r="P1048" s="20"/>
      <c r="Q1048" s="97"/>
      <c r="R1048" s="20"/>
      <c r="S1048" s="20"/>
      <c r="T1048" s="20"/>
      <c r="U1048" s="20"/>
      <c r="V1048" s="20"/>
      <c r="W1048" s="20"/>
      <c r="X1048" s="20"/>
      <c r="Y1048" s="20"/>
      <c r="Z1048" s="20"/>
      <c r="AA1048" s="20"/>
      <c r="BP1048" s="190"/>
    </row>
    <row r="1049" spans="2:68" x14ac:dyDescent="0.25">
      <c r="B1049" s="98" t="s">
        <v>555</v>
      </c>
      <c r="C1049" s="98">
        <v>2014</v>
      </c>
      <c r="D1049" s="98" t="s">
        <v>279</v>
      </c>
      <c r="E1049" s="98" t="s">
        <v>53</v>
      </c>
      <c r="F1049" s="98" t="s">
        <v>131</v>
      </c>
      <c r="G1049" s="98">
        <v>2020.1188470407301</v>
      </c>
      <c r="H1049" s="299" t="str">
        <f>VLOOKUP(LEFT('Rev Adequacy'!D1049,3),'Mapping B'!$D$2:$E$400,2,0)</f>
        <v>N</v>
      </c>
      <c r="J1049" s="20"/>
      <c r="K1049" s="20"/>
      <c r="L1049" s="20"/>
      <c r="M1049" s="20"/>
      <c r="N1049" s="20"/>
      <c r="O1049" s="20"/>
      <c r="P1049" s="20"/>
      <c r="Q1049" s="97"/>
      <c r="R1049" s="20"/>
      <c r="S1049" s="20"/>
      <c r="T1049" s="20"/>
      <c r="U1049" s="20"/>
      <c r="V1049" s="20"/>
      <c r="W1049" s="20"/>
      <c r="X1049" s="20"/>
      <c r="Y1049" s="20"/>
      <c r="Z1049" s="20"/>
      <c r="AA1049" s="20"/>
      <c r="BP1049" s="190"/>
    </row>
    <row r="1050" spans="2:68" x14ac:dyDescent="0.25">
      <c r="B1050" s="98" t="s">
        <v>555</v>
      </c>
      <c r="C1050" s="98">
        <v>2014</v>
      </c>
      <c r="D1050" s="98" t="s">
        <v>300</v>
      </c>
      <c r="E1050" s="98" t="s">
        <v>53</v>
      </c>
      <c r="F1050" s="98" t="s">
        <v>131</v>
      </c>
      <c r="G1050" s="98">
        <v>536.656847640509</v>
      </c>
      <c r="H1050" s="299" t="str">
        <f>VLOOKUP(LEFT('Rev Adequacy'!D1050,3),'Mapping B'!$D$2:$E$400,2,0)</f>
        <v>N</v>
      </c>
      <c r="J1050" s="20"/>
      <c r="K1050" s="20"/>
      <c r="L1050" s="20"/>
      <c r="M1050" s="20"/>
      <c r="N1050" s="20"/>
      <c r="O1050" s="20"/>
      <c r="P1050" s="20"/>
      <c r="Q1050" s="97"/>
      <c r="R1050" s="20"/>
      <c r="S1050" s="20"/>
      <c r="T1050" s="20"/>
      <c r="U1050" s="20"/>
      <c r="V1050" s="20"/>
      <c r="W1050" s="20"/>
      <c r="X1050" s="20"/>
      <c r="Y1050" s="20"/>
      <c r="Z1050" s="20"/>
      <c r="AA1050" s="20"/>
      <c r="BP1050" s="190"/>
    </row>
    <row r="1051" spans="2:68" x14ac:dyDescent="0.25">
      <c r="B1051" s="98" t="s">
        <v>555</v>
      </c>
      <c r="C1051" s="98">
        <v>2014</v>
      </c>
      <c r="D1051" s="98" t="s">
        <v>375</v>
      </c>
      <c r="E1051" s="98" t="s">
        <v>53</v>
      </c>
      <c r="F1051" s="98" t="s">
        <v>131</v>
      </c>
      <c r="G1051" s="98">
        <v>80958.650999999998</v>
      </c>
      <c r="H1051" s="299" t="str">
        <f>VLOOKUP(LEFT('Rev Adequacy'!D1051,3),'Mapping B'!$D$2:$E$400,2,0)</f>
        <v>N</v>
      </c>
      <c r="J1051" s="20"/>
      <c r="K1051" s="20"/>
      <c r="L1051" s="20"/>
      <c r="M1051" s="20"/>
      <c r="N1051" s="20"/>
      <c r="O1051" s="20"/>
      <c r="P1051" s="20"/>
      <c r="Q1051" s="97"/>
      <c r="R1051" s="20"/>
      <c r="S1051" s="20"/>
      <c r="T1051" s="20"/>
      <c r="U1051" s="20"/>
      <c r="V1051" s="20"/>
      <c r="W1051" s="20"/>
      <c r="X1051" s="20"/>
      <c r="Y1051" s="20"/>
      <c r="Z1051" s="20"/>
      <c r="AA1051" s="20"/>
      <c r="BP1051" s="190"/>
    </row>
    <row r="1052" spans="2:68" x14ac:dyDescent="0.25">
      <c r="B1052" s="98" t="s">
        <v>112</v>
      </c>
      <c r="C1052" s="98">
        <v>2014</v>
      </c>
      <c r="D1052" s="98" t="s">
        <v>151</v>
      </c>
      <c r="E1052" s="98" t="s">
        <v>53</v>
      </c>
      <c r="F1052" s="98" t="s">
        <v>131</v>
      </c>
      <c r="G1052" s="98">
        <v>0</v>
      </c>
      <c r="H1052" s="299" t="str">
        <f>VLOOKUP(LEFT('Rev Adequacy'!D1052,3),'Mapping B'!$D$2:$E$400,2,0)</f>
        <v>S</v>
      </c>
      <c r="J1052" s="20"/>
      <c r="K1052" s="20"/>
      <c r="L1052" s="20"/>
      <c r="M1052" s="20"/>
      <c r="N1052" s="20"/>
      <c r="O1052" s="20"/>
      <c r="P1052" s="20"/>
      <c r="Q1052" s="97"/>
      <c r="R1052" s="20"/>
      <c r="S1052" s="20"/>
      <c r="T1052" s="20"/>
      <c r="U1052" s="20"/>
      <c r="V1052" s="20"/>
      <c r="W1052" s="20"/>
      <c r="X1052" s="20"/>
      <c r="Y1052" s="20"/>
      <c r="Z1052" s="20"/>
      <c r="AA1052" s="20"/>
      <c r="BP1052" s="190"/>
    </row>
    <row r="1053" spans="2:68" x14ac:dyDescent="0.25">
      <c r="B1053" s="98" t="s">
        <v>112</v>
      </c>
      <c r="C1053" s="98">
        <v>2014</v>
      </c>
      <c r="D1053" s="98" t="s">
        <v>212</v>
      </c>
      <c r="E1053" s="98" t="s">
        <v>53</v>
      </c>
      <c r="F1053" s="98" t="s">
        <v>131</v>
      </c>
      <c r="G1053" s="98">
        <v>2050491.63799999</v>
      </c>
      <c r="H1053" s="299" t="str">
        <f>VLOOKUP(LEFT('Rev Adequacy'!D1053,3),'Mapping B'!$D$2:$E$400,2,0)</f>
        <v>N</v>
      </c>
      <c r="J1053" s="20"/>
      <c r="K1053" s="20"/>
      <c r="L1053" s="20"/>
      <c r="M1053" s="20"/>
      <c r="N1053" s="20"/>
      <c r="O1053" s="20"/>
      <c r="P1053" s="20"/>
      <c r="Q1053" s="97"/>
      <c r="R1053" s="20"/>
      <c r="S1053" s="20"/>
      <c r="T1053" s="20"/>
      <c r="U1053" s="20"/>
      <c r="V1053" s="20"/>
      <c r="W1053" s="20"/>
      <c r="X1053" s="20"/>
      <c r="Y1053" s="20"/>
      <c r="Z1053" s="20"/>
      <c r="AA1053" s="20"/>
      <c r="BP1053" s="190"/>
    </row>
    <row r="1054" spans="2:68" x14ac:dyDescent="0.25">
      <c r="B1054" s="98" t="s">
        <v>112</v>
      </c>
      <c r="C1054" s="98">
        <v>2014</v>
      </c>
      <c r="D1054" s="98" t="s">
        <v>272</v>
      </c>
      <c r="E1054" s="98" t="s">
        <v>53</v>
      </c>
      <c r="F1054" s="98" t="s">
        <v>131</v>
      </c>
      <c r="G1054" s="98">
        <v>4869.2060000000001</v>
      </c>
      <c r="H1054" s="299" t="str">
        <f>VLOOKUP(LEFT('Rev Adequacy'!D1054,3),'Mapping B'!$D$2:$E$400,2,0)</f>
        <v>N</v>
      </c>
      <c r="J1054" s="20"/>
      <c r="K1054" s="20"/>
      <c r="L1054" s="20"/>
      <c r="M1054" s="20"/>
      <c r="N1054" s="20"/>
      <c r="O1054" s="20"/>
      <c r="P1054" s="20"/>
      <c r="Q1054" s="97"/>
      <c r="R1054" s="20"/>
      <c r="S1054" s="20"/>
      <c r="T1054" s="20"/>
      <c r="U1054" s="20"/>
      <c r="V1054" s="20"/>
      <c r="W1054" s="20"/>
      <c r="X1054" s="20"/>
      <c r="Y1054" s="20"/>
      <c r="Z1054" s="20"/>
      <c r="AA1054" s="20"/>
      <c r="BP1054" s="190"/>
    </row>
    <row r="1055" spans="2:68" x14ac:dyDescent="0.25">
      <c r="B1055" s="98" t="s">
        <v>112</v>
      </c>
      <c r="C1055" s="98">
        <v>2014</v>
      </c>
      <c r="D1055" s="98" t="s">
        <v>279</v>
      </c>
      <c r="E1055" s="98" t="s">
        <v>53</v>
      </c>
      <c r="F1055" s="98" t="s">
        <v>131</v>
      </c>
      <c r="G1055" s="98">
        <v>75758.773686394998</v>
      </c>
      <c r="H1055" s="299" t="str">
        <f>VLOOKUP(LEFT('Rev Adequacy'!D1055,3),'Mapping B'!$D$2:$E$400,2,0)</f>
        <v>N</v>
      </c>
      <c r="J1055" s="20"/>
      <c r="K1055" s="20"/>
      <c r="L1055" s="20"/>
      <c r="M1055" s="20"/>
      <c r="N1055" s="20"/>
      <c r="O1055" s="20"/>
      <c r="P1055" s="20"/>
      <c r="Q1055" s="97"/>
      <c r="R1055" s="20"/>
      <c r="S1055" s="20"/>
      <c r="T1055" s="20"/>
      <c r="U1055" s="20"/>
      <c r="V1055" s="20"/>
      <c r="W1055" s="20"/>
      <c r="X1055" s="20"/>
      <c r="Y1055" s="20"/>
      <c r="Z1055" s="20"/>
      <c r="AA1055" s="20"/>
      <c r="BP1055" s="190"/>
    </row>
    <row r="1056" spans="2:68" x14ac:dyDescent="0.25">
      <c r="B1056" s="98" t="s">
        <v>112</v>
      </c>
      <c r="C1056" s="98">
        <v>2014</v>
      </c>
      <c r="D1056" s="98" t="s">
        <v>300</v>
      </c>
      <c r="E1056" s="98" t="s">
        <v>53</v>
      </c>
      <c r="F1056" s="98" t="s">
        <v>131</v>
      </c>
      <c r="G1056" s="98">
        <v>12370.1211982972</v>
      </c>
      <c r="H1056" s="299" t="str">
        <f>VLOOKUP(LEFT('Rev Adequacy'!D1056,3),'Mapping B'!$D$2:$E$400,2,0)</f>
        <v>N</v>
      </c>
      <c r="J1056" s="20"/>
      <c r="K1056" s="20"/>
      <c r="L1056" s="20"/>
      <c r="M1056" s="20"/>
      <c r="N1056" s="20"/>
      <c r="O1056" s="20"/>
      <c r="P1056" s="20"/>
      <c r="Q1056" s="97"/>
      <c r="R1056" s="20"/>
      <c r="S1056" s="20"/>
      <c r="T1056" s="20"/>
      <c r="U1056" s="20"/>
      <c r="V1056" s="20"/>
      <c r="W1056" s="20"/>
      <c r="X1056" s="20"/>
      <c r="Y1056" s="20"/>
      <c r="Z1056" s="20"/>
      <c r="AA1056" s="20"/>
      <c r="BP1056" s="190"/>
    </row>
    <row r="1057" spans="2:68" x14ac:dyDescent="0.25">
      <c r="B1057" s="98" t="s">
        <v>112</v>
      </c>
      <c r="C1057" s="98">
        <v>2014</v>
      </c>
      <c r="D1057" s="98" t="s">
        <v>375</v>
      </c>
      <c r="E1057" s="98" t="s">
        <v>53</v>
      </c>
      <c r="F1057" s="98" t="s">
        <v>131</v>
      </c>
      <c r="G1057" s="98">
        <v>1597054.02999999</v>
      </c>
      <c r="H1057" s="299" t="str">
        <f>VLOOKUP(LEFT('Rev Adequacy'!D1057,3),'Mapping B'!$D$2:$E$400,2,0)</f>
        <v>N</v>
      </c>
      <c r="J1057" s="20"/>
      <c r="K1057" s="20"/>
      <c r="L1057" s="20"/>
      <c r="M1057" s="20"/>
      <c r="N1057" s="20"/>
      <c r="O1057" s="20"/>
      <c r="P1057" s="20"/>
      <c r="Q1057" s="97"/>
      <c r="R1057" s="20"/>
      <c r="S1057" s="20"/>
      <c r="T1057" s="20"/>
      <c r="U1057" s="20"/>
      <c r="V1057" s="20"/>
      <c r="W1057" s="20"/>
      <c r="X1057" s="20"/>
      <c r="Y1057" s="20"/>
      <c r="Z1057" s="20"/>
      <c r="AA1057" s="20"/>
      <c r="BP1057" s="190"/>
    </row>
    <row r="1058" spans="2:68" x14ac:dyDescent="0.25">
      <c r="B1058" s="98" t="s">
        <v>111</v>
      </c>
      <c r="C1058" s="98">
        <v>2014</v>
      </c>
      <c r="D1058" s="98" t="s">
        <v>151</v>
      </c>
      <c r="E1058" s="98" t="s">
        <v>53</v>
      </c>
      <c r="F1058" s="98" t="s">
        <v>131</v>
      </c>
      <c r="G1058" s="98">
        <v>0</v>
      </c>
      <c r="H1058" s="299" t="str">
        <f>VLOOKUP(LEFT('Rev Adequacy'!D1058,3),'Mapping B'!$D$2:$E$400,2,0)</f>
        <v>S</v>
      </c>
      <c r="J1058" s="20"/>
      <c r="K1058" s="20"/>
      <c r="L1058" s="20"/>
      <c r="M1058" s="20"/>
      <c r="N1058" s="20"/>
      <c r="O1058" s="20"/>
      <c r="P1058" s="20"/>
      <c r="Q1058" s="97"/>
      <c r="R1058" s="20"/>
      <c r="S1058" s="20"/>
      <c r="T1058" s="20"/>
      <c r="U1058" s="20"/>
      <c r="V1058" s="20"/>
      <c r="W1058" s="20"/>
      <c r="X1058" s="20"/>
      <c r="Y1058" s="20"/>
      <c r="Z1058" s="20"/>
      <c r="AA1058" s="20"/>
      <c r="BP1058" s="190"/>
    </row>
    <row r="1059" spans="2:68" x14ac:dyDescent="0.25">
      <c r="B1059" s="98" t="s">
        <v>111</v>
      </c>
      <c r="C1059" s="98">
        <v>2014</v>
      </c>
      <c r="D1059" s="98" t="s">
        <v>212</v>
      </c>
      <c r="E1059" s="98" t="s">
        <v>53</v>
      </c>
      <c r="F1059" s="98" t="s">
        <v>131</v>
      </c>
      <c r="G1059" s="98">
        <v>515017.41499999998</v>
      </c>
      <c r="H1059" s="299" t="str">
        <f>VLOOKUP(LEFT('Rev Adequacy'!D1059,3),'Mapping B'!$D$2:$E$400,2,0)</f>
        <v>N</v>
      </c>
      <c r="J1059" s="20"/>
      <c r="K1059" s="20"/>
      <c r="L1059" s="20"/>
      <c r="M1059" s="20"/>
      <c r="N1059" s="20"/>
      <c r="O1059" s="20"/>
      <c r="P1059" s="20"/>
      <c r="Q1059" s="97"/>
      <c r="R1059" s="20"/>
      <c r="S1059" s="20"/>
      <c r="T1059" s="20"/>
      <c r="U1059" s="20"/>
      <c r="V1059" s="20"/>
      <c r="W1059" s="20"/>
      <c r="X1059" s="20"/>
      <c r="Y1059" s="20"/>
      <c r="Z1059" s="20"/>
      <c r="AA1059" s="20"/>
      <c r="BP1059" s="190"/>
    </row>
    <row r="1060" spans="2:68" x14ac:dyDescent="0.25">
      <c r="B1060" s="98" t="s">
        <v>111</v>
      </c>
      <c r="C1060" s="98">
        <v>2014</v>
      </c>
      <c r="D1060" s="98" t="s">
        <v>272</v>
      </c>
      <c r="E1060" s="98" t="s">
        <v>53</v>
      </c>
      <c r="F1060" s="98" t="s">
        <v>131</v>
      </c>
      <c r="G1060" s="98">
        <v>1584.7849999999901</v>
      </c>
      <c r="H1060" s="299" t="str">
        <f>VLOOKUP(LEFT('Rev Adequacy'!D1060,3),'Mapping B'!$D$2:$E$400,2,0)</f>
        <v>N</v>
      </c>
      <c r="J1060" s="20"/>
      <c r="K1060" s="20"/>
      <c r="L1060" s="20"/>
      <c r="M1060" s="20"/>
      <c r="N1060" s="20"/>
      <c r="O1060" s="20"/>
      <c r="P1060" s="20"/>
      <c r="Q1060" s="97"/>
      <c r="R1060" s="20"/>
      <c r="S1060" s="20"/>
      <c r="T1060" s="20"/>
      <c r="U1060" s="20"/>
      <c r="V1060" s="20"/>
      <c r="W1060" s="20"/>
      <c r="X1060" s="20"/>
      <c r="Y1060" s="20"/>
      <c r="Z1060" s="20"/>
      <c r="AA1060" s="20"/>
      <c r="BP1060" s="190"/>
    </row>
    <row r="1061" spans="2:68" x14ac:dyDescent="0.25">
      <c r="B1061" s="98" t="s">
        <v>111</v>
      </c>
      <c r="C1061" s="98">
        <v>2014</v>
      </c>
      <c r="D1061" s="98" t="s">
        <v>279</v>
      </c>
      <c r="E1061" s="98" t="s">
        <v>53</v>
      </c>
      <c r="F1061" s="98" t="s">
        <v>131</v>
      </c>
      <c r="G1061" s="98">
        <v>19529.471357417398</v>
      </c>
      <c r="H1061" s="299" t="str">
        <f>VLOOKUP(LEFT('Rev Adequacy'!D1061,3),'Mapping B'!$D$2:$E$400,2,0)</f>
        <v>N</v>
      </c>
      <c r="J1061" s="20"/>
      <c r="K1061" s="20"/>
      <c r="L1061" s="20"/>
      <c r="M1061" s="20"/>
      <c r="N1061" s="20"/>
      <c r="O1061" s="20"/>
      <c r="P1061" s="20"/>
      <c r="Q1061" s="97"/>
      <c r="R1061" s="20"/>
      <c r="S1061" s="20"/>
      <c r="T1061" s="20"/>
      <c r="U1061" s="20"/>
      <c r="V1061" s="20"/>
      <c r="W1061" s="20"/>
      <c r="X1061" s="20"/>
      <c r="Y1061" s="20"/>
      <c r="Z1061" s="20"/>
      <c r="AA1061" s="20"/>
      <c r="BP1061" s="190"/>
    </row>
    <row r="1062" spans="2:68" x14ac:dyDescent="0.25">
      <c r="B1062" s="98" t="s">
        <v>111</v>
      </c>
      <c r="C1062" s="98">
        <v>2014</v>
      </c>
      <c r="D1062" s="98" t="s">
        <v>300</v>
      </c>
      <c r="E1062" s="98" t="s">
        <v>53</v>
      </c>
      <c r="F1062" s="98" t="s">
        <v>131</v>
      </c>
      <c r="G1062" s="98">
        <v>2906.5345921828498</v>
      </c>
      <c r="H1062" s="299" t="str">
        <f>VLOOKUP(LEFT('Rev Adequacy'!D1062,3),'Mapping B'!$D$2:$E$400,2,0)</f>
        <v>N</v>
      </c>
      <c r="J1062" s="20"/>
      <c r="K1062" s="20"/>
      <c r="L1062" s="20"/>
      <c r="M1062" s="20"/>
      <c r="N1062" s="20"/>
      <c r="O1062" s="20"/>
      <c r="P1062" s="20"/>
      <c r="Q1062" s="97"/>
      <c r="R1062" s="20"/>
      <c r="S1062" s="20"/>
      <c r="T1062" s="20"/>
      <c r="U1062" s="20"/>
      <c r="V1062" s="20"/>
      <c r="W1062" s="20"/>
      <c r="X1062" s="20"/>
      <c r="Y1062" s="20"/>
      <c r="Z1062" s="20"/>
      <c r="AA1062" s="20"/>
      <c r="BP1062" s="190"/>
    </row>
    <row r="1063" spans="2:68" x14ac:dyDescent="0.25">
      <c r="B1063" s="98" t="s">
        <v>111</v>
      </c>
      <c r="C1063" s="98">
        <v>2014</v>
      </c>
      <c r="D1063" s="98" t="s">
        <v>375</v>
      </c>
      <c r="E1063" s="98" t="s">
        <v>53</v>
      </c>
      <c r="F1063" s="98" t="s">
        <v>131</v>
      </c>
      <c r="G1063" s="98">
        <v>391712.54499999998</v>
      </c>
      <c r="H1063" s="299" t="str">
        <f>VLOOKUP(LEFT('Rev Adequacy'!D1063,3),'Mapping B'!$D$2:$E$400,2,0)</f>
        <v>N</v>
      </c>
      <c r="J1063" s="20"/>
      <c r="K1063" s="20"/>
      <c r="L1063" s="20"/>
      <c r="M1063" s="20"/>
      <c r="N1063" s="20"/>
      <c r="O1063" s="20"/>
      <c r="P1063" s="20"/>
      <c r="Q1063" s="97"/>
      <c r="R1063" s="20"/>
      <c r="S1063" s="20"/>
      <c r="T1063" s="20"/>
      <c r="U1063" s="20"/>
      <c r="V1063" s="20"/>
      <c r="W1063" s="20"/>
      <c r="X1063" s="20"/>
      <c r="Y1063" s="20"/>
      <c r="Z1063" s="20"/>
      <c r="AA1063" s="20"/>
      <c r="BP1063" s="190"/>
    </row>
    <row r="1064" spans="2:68" x14ac:dyDescent="0.25">
      <c r="B1064" s="98" t="s">
        <v>552</v>
      </c>
      <c r="C1064" s="98">
        <v>2014</v>
      </c>
      <c r="D1064" s="98" t="s">
        <v>361</v>
      </c>
      <c r="E1064" s="98" t="s">
        <v>54</v>
      </c>
      <c r="F1064" s="98" t="s">
        <v>131</v>
      </c>
      <c r="G1064" s="248">
        <v>1911828.2279999901</v>
      </c>
      <c r="H1064" s="299" t="str">
        <f>VLOOKUP(LEFT('Rev Adequacy'!D1064,3),'Mapping B'!$D$2:$E$400,2,0)</f>
        <v>S</v>
      </c>
      <c r="J1064" s="20"/>
      <c r="K1064" s="20"/>
      <c r="L1064" s="20"/>
      <c r="M1064" s="20"/>
      <c r="N1064" s="20"/>
      <c r="O1064" s="20"/>
      <c r="P1064" s="20"/>
      <c r="Q1064" s="97"/>
      <c r="R1064" s="20"/>
      <c r="S1064" s="20"/>
      <c r="T1064" s="20"/>
      <c r="U1064" s="20"/>
      <c r="V1064" s="20"/>
      <c r="W1064" s="20"/>
      <c r="X1064" s="20"/>
      <c r="Y1064" s="20"/>
      <c r="Z1064" s="20"/>
      <c r="AA1064" s="20"/>
      <c r="BP1064" s="190"/>
    </row>
    <row r="1065" spans="2:68" x14ac:dyDescent="0.25">
      <c r="B1065" s="98" t="s">
        <v>553</v>
      </c>
      <c r="C1065" s="98">
        <v>2014</v>
      </c>
      <c r="D1065" s="98" t="s">
        <v>361</v>
      </c>
      <c r="E1065" s="98" t="s">
        <v>54</v>
      </c>
      <c r="F1065" s="98" t="s">
        <v>131</v>
      </c>
      <c r="G1065" s="248">
        <v>1320877.35099999</v>
      </c>
      <c r="H1065" s="299" t="str">
        <f>VLOOKUP(LEFT('Rev Adequacy'!D1065,3),'Mapping B'!$D$2:$E$400,2,0)</f>
        <v>S</v>
      </c>
      <c r="J1065" s="20"/>
      <c r="K1065" s="20"/>
      <c r="L1065" s="20"/>
      <c r="M1065" s="20"/>
      <c r="N1065" s="20"/>
      <c r="O1065" s="20"/>
      <c r="P1065" s="20"/>
      <c r="Q1065" s="97"/>
      <c r="R1065" s="20"/>
      <c r="S1065" s="20"/>
      <c r="T1065" s="20"/>
      <c r="U1065" s="20"/>
      <c r="V1065" s="20"/>
      <c r="W1065" s="20"/>
      <c r="X1065" s="20"/>
      <c r="Y1065" s="20"/>
      <c r="Z1065" s="20"/>
      <c r="AA1065" s="20"/>
      <c r="BP1065" s="190"/>
    </row>
    <row r="1066" spans="2:68" x14ac:dyDescent="0.25">
      <c r="B1066" s="98" t="s">
        <v>554</v>
      </c>
      <c r="C1066" s="98">
        <v>2014</v>
      </c>
      <c r="D1066" s="98" t="s">
        <v>361</v>
      </c>
      <c r="E1066" s="98" t="s">
        <v>54</v>
      </c>
      <c r="F1066" s="98" t="s">
        <v>131</v>
      </c>
      <c r="G1066" s="98">
        <v>2641311.0389999901</v>
      </c>
      <c r="H1066" s="299" t="str">
        <f>VLOOKUP(LEFT('Rev Adequacy'!D1066,3),'Mapping B'!$D$2:$E$400,2,0)</f>
        <v>S</v>
      </c>
      <c r="J1066" s="20"/>
      <c r="K1066" s="20"/>
      <c r="L1066" s="20"/>
      <c r="M1066" s="20"/>
      <c r="N1066" s="20"/>
      <c r="O1066" s="20"/>
      <c r="P1066" s="20"/>
      <c r="Q1066" s="97"/>
      <c r="R1066" s="20"/>
      <c r="S1066" s="20"/>
      <c r="T1066" s="20"/>
      <c r="U1066" s="20"/>
      <c r="V1066" s="20"/>
      <c r="W1066" s="20"/>
      <c r="X1066" s="20"/>
      <c r="Y1066" s="20"/>
      <c r="Z1066" s="20"/>
      <c r="AA1066" s="20"/>
      <c r="BP1066" s="190"/>
    </row>
    <row r="1067" spans="2:68" x14ac:dyDescent="0.25">
      <c r="B1067" s="98" t="s">
        <v>563</v>
      </c>
      <c r="C1067" s="98">
        <v>2014</v>
      </c>
      <c r="D1067" s="98" t="s">
        <v>361</v>
      </c>
      <c r="E1067" s="98" t="s">
        <v>54</v>
      </c>
      <c r="F1067" s="98" t="s">
        <v>131</v>
      </c>
      <c r="G1067" s="98">
        <v>8058427.5650000302</v>
      </c>
      <c r="H1067" s="299" t="str">
        <f>VLOOKUP(LEFT('Rev Adequacy'!D1067,3),'Mapping B'!$D$2:$E$400,2,0)</f>
        <v>S</v>
      </c>
      <c r="J1067" s="20"/>
      <c r="K1067" s="20"/>
      <c r="L1067" s="20"/>
      <c r="M1067" s="20"/>
      <c r="N1067" s="20"/>
      <c r="O1067" s="20"/>
      <c r="P1067" s="20"/>
      <c r="Q1067" s="97"/>
      <c r="R1067" s="20"/>
      <c r="S1067" s="20"/>
      <c r="T1067" s="20"/>
      <c r="U1067" s="20"/>
      <c r="V1067" s="20"/>
      <c r="W1067" s="20"/>
      <c r="X1067" s="20"/>
      <c r="Y1067" s="20"/>
      <c r="Z1067" s="20"/>
      <c r="AA1067" s="20"/>
      <c r="BP1067" s="190"/>
    </row>
    <row r="1068" spans="2:68" x14ac:dyDescent="0.25">
      <c r="B1068" s="98" t="s">
        <v>555</v>
      </c>
      <c r="C1068" s="98">
        <v>2014</v>
      </c>
      <c r="D1068" s="98" t="s">
        <v>361</v>
      </c>
      <c r="E1068" s="98" t="s">
        <v>54</v>
      </c>
      <c r="F1068" s="98" t="s">
        <v>131</v>
      </c>
      <c r="G1068" s="98">
        <v>3370474.57500001</v>
      </c>
      <c r="H1068" s="299" t="str">
        <f>VLOOKUP(LEFT('Rev Adequacy'!D1068,3),'Mapping B'!$D$2:$E$400,2,0)</f>
        <v>S</v>
      </c>
      <c r="J1068" s="20"/>
      <c r="K1068" s="20"/>
      <c r="L1068" s="20"/>
      <c r="M1068" s="20"/>
      <c r="N1068" s="20"/>
      <c r="O1068" s="20"/>
      <c r="P1068" s="20"/>
      <c r="Q1068" s="97"/>
      <c r="R1068" s="20"/>
      <c r="S1068" s="20"/>
      <c r="T1068" s="20"/>
      <c r="U1068" s="20"/>
      <c r="V1068" s="20"/>
      <c r="W1068" s="20"/>
      <c r="X1068" s="20"/>
      <c r="Y1068" s="20"/>
      <c r="Z1068" s="20"/>
      <c r="AA1068" s="20"/>
      <c r="BP1068" s="190"/>
    </row>
    <row r="1069" spans="2:68" x14ac:dyDescent="0.25">
      <c r="B1069" s="98" t="s">
        <v>112</v>
      </c>
      <c r="C1069" s="98">
        <v>2014</v>
      </c>
      <c r="D1069" s="98" t="s">
        <v>361</v>
      </c>
      <c r="E1069" s="98" t="s">
        <v>54</v>
      </c>
      <c r="F1069" s="98" t="s">
        <v>131</v>
      </c>
      <c r="G1069" s="98">
        <v>0</v>
      </c>
      <c r="H1069" s="299" t="str">
        <f>VLOOKUP(LEFT('Rev Adequacy'!D1069,3),'Mapping B'!$D$2:$E$400,2,0)</f>
        <v>S</v>
      </c>
      <c r="J1069" s="20"/>
      <c r="K1069" s="20"/>
      <c r="L1069" s="20"/>
      <c r="M1069" s="20"/>
      <c r="N1069" s="20"/>
      <c r="O1069" s="20"/>
      <c r="P1069" s="20"/>
      <c r="Q1069" s="97"/>
      <c r="R1069" s="20"/>
      <c r="S1069" s="20"/>
      <c r="T1069" s="20"/>
      <c r="U1069" s="20"/>
      <c r="V1069" s="20"/>
      <c r="W1069" s="20"/>
      <c r="X1069" s="20"/>
      <c r="Y1069" s="20"/>
      <c r="Z1069" s="20"/>
      <c r="AA1069" s="20"/>
      <c r="BP1069" s="190"/>
    </row>
    <row r="1070" spans="2:68" x14ac:dyDescent="0.25">
      <c r="B1070" s="98" t="s">
        <v>111</v>
      </c>
      <c r="C1070" s="98">
        <v>2014</v>
      </c>
      <c r="D1070" s="98" t="s">
        <v>361</v>
      </c>
      <c r="E1070" s="98" t="s">
        <v>54</v>
      </c>
      <c r="F1070" s="98" t="s">
        <v>131</v>
      </c>
      <c r="G1070" s="98">
        <v>0</v>
      </c>
      <c r="H1070" s="299" t="str">
        <f>VLOOKUP(LEFT('Rev Adequacy'!D1070,3),'Mapping B'!$D$2:$E$400,2,0)</f>
        <v>S</v>
      </c>
      <c r="J1070" s="20"/>
      <c r="K1070" s="20"/>
      <c r="L1070" s="20"/>
      <c r="M1070" s="20"/>
      <c r="N1070" s="20"/>
      <c r="O1070" s="20"/>
      <c r="P1070" s="20"/>
      <c r="Q1070" s="97"/>
      <c r="R1070" s="20"/>
      <c r="S1070" s="20"/>
      <c r="T1070" s="20"/>
      <c r="U1070" s="20"/>
      <c r="V1070" s="20"/>
      <c r="W1070" s="20"/>
      <c r="X1070" s="20"/>
      <c r="Y1070" s="20"/>
      <c r="Z1070" s="20"/>
      <c r="AA1070" s="20"/>
      <c r="BP1070" s="190"/>
    </row>
    <row r="1071" spans="2:68" x14ac:dyDescent="0.25">
      <c r="B1071" s="98" t="s">
        <v>552</v>
      </c>
      <c r="C1071" s="98">
        <v>2014</v>
      </c>
      <c r="D1071" s="98" t="s">
        <v>263</v>
      </c>
      <c r="E1071" s="98" t="s">
        <v>50</v>
      </c>
      <c r="F1071" s="98" t="s">
        <v>131</v>
      </c>
      <c r="G1071" s="248">
        <v>1149.6210000000599</v>
      </c>
      <c r="H1071" s="299" t="str">
        <f>VLOOKUP(LEFT('Rev Adequacy'!D1071,3),'Mapping B'!$D$2:$E$400,2,0)</f>
        <v>N</v>
      </c>
      <c r="J1071" s="20"/>
      <c r="K1071" s="20"/>
      <c r="L1071" s="20"/>
      <c r="M1071" s="20"/>
      <c r="N1071" s="20"/>
      <c r="O1071" s="20"/>
      <c r="P1071" s="20"/>
      <c r="Q1071" s="97"/>
      <c r="R1071" s="20"/>
      <c r="S1071" s="20"/>
      <c r="T1071" s="20"/>
      <c r="U1071" s="20"/>
      <c r="V1071" s="20"/>
      <c r="W1071" s="20"/>
      <c r="X1071" s="20"/>
      <c r="Y1071" s="20"/>
      <c r="Z1071" s="20"/>
      <c r="AA1071" s="20"/>
      <c r="BP1071" s="190"/>
    </row>
    <row r="1072" spans="2:68" x14ac:dyDescent="0.25">
      <c r="B1072" s="98" t="s">
        <v>553</v>
      </c>
      <c r="C1072" s="98">
        <v>2014</v>
      </c>
      <c r="D1072" s="98" t="s">
        <v>263</v>
      </c>
      <c r="E1072" s="98" t="s">
        <v>50</v>
      </c>
      <c r="F1072" s="98" t="s">
        <v>131</v>
      </c>
      <c r="G1072" s="248"/>
      <c r="H1072" s="299" t="str">
        <f>VLOOKUP(LEFT('Rev Adequacy'!D1072,3),'Mapping B'!$D$2:$E$400,2,0)</f>
        <v>N</v>
      </c>
      <c r="J1072" s="20"/>
      <c r="K1072" s="20"/>
      <c r="L1072" s="20"/>
      <c r="M1072" s="20"/>
      <c r="N1072" s="20"/>
      <c r="O1072" s="20"/>
      <c r="P1072" s="20"/>
      <c r="Q1072" s="97"/>
      <c r="R1072" s="20"/>
      <c r="S1072" s="20"/>
      <c r="T1072" s="20"/>
      <c r="U1072" s="20"/>
      <c r="V1072" s="20"/>
      <c r="W1072" s="20"/>
      <c r="X1072" s="20"/>
      <c r="Y1072" s="20"/>
      <c r="Z1072" s="20"/>
      <c r="AA1072" s="20"/>
      <c r="BP1072" s="190"/>
    </row>
    <row r="1073" spans="2:68" x14ac:dyDescent="0.25">
      <c r="B1073" s="98" t="s">
        <v>554</v>
      </c>
      <c r="C1073" s="98">
        <v>2014</v>
      </c>
      <c r="D1073" s="98" t="s">
        <v>263</v>
      </c>
      <c r="E1073" s="98" t="s">
        <v>50</v>
      </c>
      <c r="F1073" s="98" t="s">
        <v>131</v>
      </c>
      <c r="G1073" s="98"/>
      <c r="H1073" s="299" t="str">
        <f>VLOOKUP(LEFT('Rev Adequacy'!D1073,3),'Mapping B'!$D$2:$E$400,2,0)</f>
        <v>N</v>
      </c>
      <c r="J1073" s="20"/>
      <c r="K1073" s="20"/>
      <c r="L1073" s="20"/>
      <c r="M1073" s="20"/>
      <c r="N1073" s="20"/>
      <c r="O1073" s="20"/>
      <c r="P1073" s="20"/>
      <c r="Q1073" s="97"/>
      <c r="R1073" s="20"/>
      <c r="S1073" s="20"/>
      <c r="T1073" s="20"/>
      <c r="U1073" s="20"/>
      <c r="V1073" s="20"/>
      <c r="W1073" s="20"/>
      <c r="X1073" s="20"/>
      <c r="Y1073" s="20"/>
      <c r="Z1073" s="20"/>
      <c r="AA1073" s="20"/>
      <c r="BP1073" s="190"/>
    </row>
    <row r="1074" spans="2:68" x14ac:dyDescent="0.25">
      <c r="B1074" s="98" t="s">
        <v>563</v>
      </c>
      <c r="C1074" s="98">
        <v>2014</v>
      </c>
      <c r="D1074" s="98" t="s">
        <v>263</v>
      </c>
      <c r="E1074" s="98" t="s">
        <v>50</v>
      </c>
      <c r="F1074" s="98" t="s">
        <v>131</v>
      </c>
      <c r="G1074" s="98"/>
      <c r="H1074" s="299" t="str">
        <f>VLOOKUP(LEFT('Rev Adequacy'!D1074,3),'Mapping B'!$D$2:$E$400,2,0)</f>
        <v>N</v>
      </c>
      <c r="J1074" s="20"/>
      <c r="K1074" s="20"/>
      <c r="L1074" s="20"/>
      <c r="M1074" s="20"/>
      <c r="N1074" s="20"/>
      <c r="O1074" s="20"/>
      <c r="P1074" s="20"/>
      <c r="Q1074" s="97"/>
      <c r="R1074" s="20"/>
      <c r="S1074" s="20"/>
      <c r="T1074" s="20"/>
      <c r="U1074" s="20"/>
      <c r="V1074" s="20"/>
      <c r="W1074" s="20"/>
      <c r="X1074" s="20"/>
      <c r="Y1074" s="20"/>
      <c r="Z1074" s="20"/>
      <c r="AA1074" s="20"/>
      <c r="BP1074" s="190"/>
    </row>
    <row r="1075" spans="2:68" x14ac:dyDescent="0.25">
      <c r="B1075" s="98" t="s">
        <v>555</v>
      </c>
      <c r="C1075" s="98">
        <v>2014</v>
      </c>
      <c r="D1075" s="98" t="s">
        <v>263</v>
      </c>
      <c r="E1075" s="98" t="s">
        <v>50</v>
      </c>
      <c r="F1075" s="98" t="s">
        <v>131</v>
      </c>
      <c r="G1075" s="98"/>
      <c r="H1075" s="299" t="str">
        <f>VLOOKUP(LEFT('Rev Adequacy'!D1075,3),'Mapping B'!$D$2:$E$400,2,0)</f>
        <v>N</v>
      </c>
      <c r="J1075" s="20"/>
      <c r="K1075" s="20"/>
      <c r="L1075" s="20"/>
      <c r="M1075" s="20"/>
      <c r="N1075" s="20"/>
      <c r="O1075" s="20"/>
      <c r="P1075" s="20"/>
      <c r="Q1075" s="97"/>
      <c r="R1075" s="20"/>
      <c r="S1075" s="20"/>
      <c r="T1075" s="20"/>
      <c r="U1075" s="20"/>
      <c r="V1075" s="20"/>
      <c r="W1075" s="20"/>
      <c r="X1075" s="20"/>
      <c r="Y1075" s="20"/>
      <c r="Z1075" s="20"/>
      <c r="AA1075" s="20"/>
      <c r="BP1075" s="190"/>
    </row>
    <row r="1076" spans="2:68" x14ac:dyDescent="0.25">
      <c r="B1076" s="98" t="s">
        <v>112</v>
      </c>
      <c r="C1076" s="98">
        <v>2014</v>
      </c>
      <c r="D1076" s="98" t="s">
        <v>263</v>
      </c>
      <c r="E1076" s="98" t="s">
        <v>50</v>
      </c>
      <c r="F1076" s="98" t="s">
        <v>131</v>
      </c>
      <c r="G1076" s="98"/>
      <c r="H1076" s="299" t="str">
        <f>VLOOKUP(LEFT('Rev Adequacy'!D1076,3),'Mapping B'!$D$2:$E$400,2,0)</f>
        <v>N</v>
      </c>
      <c r="J1076" s="20"/>
      <c r="K1076" s="20"/>
      <c r="L1076" s="20"/>
      <c r="M1076" s="20"/>
      <c r="N1076" s="20"/>
      <c r="O1076" s="20"/>
      <c r="P1076" s="20"/>
      <c r="Q1076" s="97"/>
      <c r="R1076" s="20"/>
      <c r="S1076" s="20"/>
      <c r="T1076" s="20"/>
      <c r="U1076" s="20"/>
      <c r="V1076" s="20"/>
      <c r="W1076" s="20"/>
      <c r="X1076" s="20"/>
      <c r="Y1076" s="20"/>
      <c r="Z1076" s="20"/>
      <c r="AA1076" s="20"/>
      <c r="BP1076" s="190"/>
    </row>
    <row r="1077" spans="2:68" x14ac:dyDescent="0.25">
      <c r="B1077" s="98" t="s">
        <v>111</v>
      </c>
      <c r="C1077" s="98">
        <v>2014</v>
      </c>
      <c r="D1077" s="98" t="s">
        <v>263</v>
      </c>
      <c r="E1077" s="98" t="s">
        <v>50</v>
      </c>
      <c r="F1077" s="98" t="s">
        <v>131</v>
      </c>
      <c r="G1077" s="98"/>
      <c r="H1077" s="299" t="str">
        <f>VLOOKUP(LEFT('Rev Adequacy'!D1077,3),'Mapping B'!$D$2:$E$400,2,0)</f>
        <v>N</v>
      </c>
      <c r="J1077" s="20"/>
      <c r="K1077" s="20"/>
      <c r="L1077" s="20"/>
      <c r="M1077" s="20"/>
      <c r="N1077" s="20"/>
      <c r="O1077" s="20"/>
      <c r="P1077" s="20"/>
      <c r="Q1077" s="97"/>
      <c r="R1077" s="20"/>
      <c r="S1077" s="20"/>
      <c r="T1077" s="20"/>
      <c r="U1077" s="20"/>
      <c r="V1077" s="20"/>
      <c r="W1077" s="20"/>
      <c r="X1077" s="20"/>
      <c r="Y1077" s="20"/>
      <c r="Z1077" s="20"/>
      <c r="AA1077" s="20"/>
      <c r="BP1077" s="190"/>
    </row>
    <row r="1078" spans="2:68" x14ac:dyDescent="0.25">
      <c r="B1078" s="98" t="s">
        <v>552</v>
      </c>
      <c r="C1078" s="98">
        <v>2014</v>
      </c>
      <c r="D1078" s="98" t="s">
        <v>369</v>
      </c>
      <c r="E1078" s="98" t="s">
        <v>26</v>
      </c>
      <c r="F1078" s="98" t="s">
        <v>131</v>
      </c>
      <c r="G1078" s="248">
        <v>2896.8723685155101</v>
      </c>
      <c r="H1078" s="299" t="str">
        <f>VLOOKUP(LEFT('Rev Adequacy'!D1078,3),'Mapping B'!$D$2:$E$400,2,0)</f>
        <v>N</v>
      </c>
      <c r="J1078" s="20"/>
      <c r="K1078" s="20"/>
      <c r="L1078" s="20"/>
      <c r="M1078" s="20"/>
      <c r="N1078" s="20"/>
      <c r="O1078" s="20"/>
      <c r="P1078" s="20"/>
      <c r="Q1078" s="97"/>
      <c r="R1078" s="20"/>
      <c r="S1078" s="20"/>
      <c r="T1078" s="20"/>
      <c r="U1078" s="20"/>
      <c r="V1078" s="20"/>
      <c r="W1078" s="20"/>
      <c r="X1078" s="20"/>
      <c r="Y1078" s="20"/>
      <c r="Z1078" s="20"/>
      <c r="AA1078" s="20"/>
      <c r="BP1078" s="190"/>
    </row>
    <row r="1079" spans="2:68" x14ac:dyDescent="0.25">
      <c r="B1079" s="98" t="s">
        <v>553</v>
      </c>
      <c r="C1079" s="98">
        <v>2014</v>
      </c>
      <c r="D1079" s="98" t="s">
        <v>369</v>
      </c>
      <c r="E1079" s="98" t="s">
        <v>26</v>
      </c>
      <c r="F1079" s="98" t="s">
        <v>131</v>
      </c>
      <c r="G1079" s="248">
        <v>136239.05999027699</v>
      </c>
      <c r="H1079" s="299" t="str">
        <f>VLOOKUP(LEFT('Rev Adequacy'!D1079,3),'Mapping B'!$D$2:$E$400,2,0)</f>
        <v>N</v>
      </c>
      <c r="J1079" s="20"/>
      <c r="K1079" s="20"/>
      <c r="L1079" s="20"/>
      <c r="M1079" s="20"/>
      <c r="N1079" s="20"/>
      <c r="O1079" s="20"/>
      <c r="P1079" s="20"/>
      <c r="Q1079" s="97"/>
      <c r="R1079" s="20"/>
      <c r="S1079" s="20"/>
      <c r="T1079" s="20"/>
      <c r="U1079" s="20"/>
      <c r="V1079" s="20"/>
      <c r="W1079" s="20"/>
      <c r="X1079" s="20"/>
      <c r="Y1079" s="20"/>
      <c r="Z1079" s="20"/>
      <c r="AA1079" s="20"/>
      <c r="BP1079" s="190"/>
    </row>
    <row r="1080" spans="2:68" x14ac:dyDescent="0.25">
      <c r="B1080" s="98" t="s">
        <v>554</v>
      </c>
      <c r="C1080" s="98">
        <v>2014</v>
      </c>
      <c r="D1080" s="98" t="s">
        <v>369</v>
      </c>
      <c r="E1080" s="98" t="s">
        <v>26</v>
      </c>
      <c r="F1080" s="98" t="s">
        <v>131</v>
      </c>
      <c r="G1080" s="98">
        <v>150415.480205228</v>
      </c>
      <c r="H1080" s="299" t="str">
        <f>VLOOKUP(LEFT('Rev Adequacy'!D1080,3),'Mapping B'!$D$2:$E$400,2,0)</f>
        <v>N</v>
      </c>
      <c r="J1080" s="20"/>
      <c r="K1080" s="20"/>
      <c r="L1080" s="20"/>
      <c r="M1080" s="20"/>
      <c r="N1080" s="20"/>
      <c r="O1080" s="20"/>
      <c r="P1080" s="20"/>
      <c r="Q1080" s="97"/>
      <c r="R1080" s="20"/>
      <c r="S1080" s="20"/>
      <c r="T1080" s="20"/>
      <c r="U1080" s="20"/>
      <c r="V1080" s="20"/>
      <c r="W1080" s="20"/>
      <c r="X1080" s="20"/>
      <c r="Y1080" s="20"/>
      <c r="Z1080" s="20"/>
      <c r="AA1080" s="20"/>
      <c r="BP1080" s="190"/>
    </row>
    <row r="1081" spans="2:68" x14ac:dyDescent="0.25">
      <c r="B1081" s="98" t="s">
        <v>563</v>
      </c>
      <c r="C1081" s="98">
        <v>2014</v>
      </c>
      <c r="D1081" s="98" t="s">
        <v>369</v>
      </c>
      <c r="E1081" s="98" t="s">
        <v>26</v>
      </c>
      <c r="F1081" s="98" t="s">
        <v>131</v>
      </c>
      <c r="G1081" s="98">
        <v>641351.22835980298</v>
      </c>
      <c r="H1081" s="299" t="str">
        <f>VLOOKUP(LEFT('Rev Adequacy'!D1081,3),'Mapping B'!$D$2:$E$400,2,0)</f>
        <v>N</v>
      </c>
      <c r="J1081" s="20"/>
      <c r="K1081" s="20"/>
      <c r="L1081" s="20"/>
      <c r="M1081" s="20"/>
      <c r="N1081" s="20"/>
      <c r="O1081" s="20"/>
      <c r="P1081" s="20"/>
      <c r="Q1081" s="97"/>
      <c r="R1081" s="20"/>
      <c r="S1081" s="20"/>
      <c r="T1081" s="20"/>
      <c r="U1081" s="20"/>
      <c r="V1081" s="20"/>
      <c r="W1081" s="20"/>
      <c r="X1081" s="20"/>
      <c r="Y1081" s="20"/>
      <c r="Z1081" s="20"/>
      <c r="AA1081" s="20"/>
      <c r="BP1081" s="190"/>
    </row>
    <row r="1082" spans="2:68" x14ac:dyDescent="0.25">
      <c r="B1082" s="98" t="s">
        <v>555</v>
      </c>
      <c r="C1082" s="98">
        <v>2014</v>
      </c>
      <c r="D1082" s="98" t="s">
        <v>369</v>
      </c>
      <c r="E1082" s="98" t="s">
        <v>26</v>
      </c>
      <c r="F1082" s="98" t="s">
        <v>131</v>
      </c>
      <c r="G1082" s="98">
        <v>0</v>
      </c>
      <c r="H1082" s="299" t="str">
        <f>VLOOKUP(LEFT('Rev Adequacy'!D1082,3),'Mapping B'!$D$2:$E$400,2,0)</f>
        <v>N</v>
      </c>
      <c r="J1082" s="20"/>
      <c r="K1082" s="20"/>
      <c r="L1082" s="20"/>
      <c r="M1082" s="20"/>
      <c r="N1082" s="20"/>
      <c r="O1082" s="20"/>
      <c r="P1082" s="20"/>
      <c r="Q1082" s="97"/>
      <c r="R1082" s="20"/>
      <c r="S1082" s="20"/>
      <c r="T1082" s="20"/>
      <c r="U1082" s="20"/>
      <c r="V1082" s="20"/>
      <c r="W1082" s="20"/>
      <c r="X1082" s="20"/>
      <c r="Y1082" s="20"/>
      <c r="Z1082" s="20"/>
      <c r="AA1082" s="20"/>
      <c r="BP1082" s="190"/>
    </row>
    <row r="1083" spans="2:68" x14ac:dyDescent="0.25">
      <c r="B1083" s="98" t="s">
        <v>112</v>
      </c>
      <c r="C1083" s="98">
        <v>2014</v>
      </c>
      <c r="D1083" s="98" t="s">
        <v>369</v>
      </c>
      <c r="E1083" s="98" t="s">
        <v>26</v>
      </c>
      <c r="F1083" s="98" t="s">
        <v>131</v>
      </c>
      <c r="G1083" s="98">
        <v>16585562.6369843</v>
      </c>
      <c r="H1083" s="299" t="str">
        <f>VLOOKUP(LEFT('Rev Adequacy'!D1083,3),'Mapping B'!$D$2:$E$400,2,0)</f>
        <v>N</v>
      </c>
      <c r="J1083" s="20"/>
      <c r="K1083" s="20"/>
      <c r="L1083" s="20"/>
      <c r="M1083" s="20"/>
      <c r="N1083" s="20"/>
      <c r="O1083" s="20"/>
      <c r="P1083" s="20"/>
      <c r="Q1083" s="97"/>
      <c r="R1083" s="20"/>
      <c r="S1083" s="20"/>
      <c r="T1083" s="20"/>
      <c r="U1083" s="20"/>
      <c r="V1083" s="20"/>
      <c r="W1083" s="20"/>
      <c r="X1083" s="20"/>
      <c r="Y1083" s="20"/>
      <c r="Z1083" s="20"/>
      <c r="AA1083" s="20"/>
      <c r="BP1083" s="190"/>
    </row>
    <row r="1084" spans="2:68" x14ac:dyDescent="0.25">
      <c r="B1084" s="98" t="s">
        <v>111</v>
      </c>
      <c r="C1084" s="98">
        <v>2014</v>
      </c>
      <c r="D1084" s="98" t="s">
        <v>369</v>
      </c>
      <c r="E1084" s="98" t="s">
        <v>26</v>
      </c>
      <c r="F1084" s="98" t="s">
        <v>131</v>
      </c>
      <c r="G1084" s="98">
        <v>4014504.79621176</v>
      </c>
      <c r="H1084" s="299" t="str">
        <f>VLOOKUP(LEFT('Rev Adequacy'!D1084,3),'Mapping B'!$D$2:$E$400,2,0)</f>
        <v>N</v>
      </c>
      <c r="J1084" s="20"/>
      <c r="K1084" s="20"/>
      <c r="L1084" s="20"/>
      <c r="M1084" s="20"/>
      <c r="N1084" s="20"/>
      <c r="O1084" s="20"/>
      <c r="P1084" s="20"/>
      <c r="Q1084" s="97"/>
      <c r="R1084" s="20"/>
      <c r="S1084" s="20"/>
      <c r="T1084" s="20"/>
      <c r="U1084" s="20"/>
      <c r="V1084" s="20"/>
      <c r="W1084" s="20"/>
      <c r="X1084" s="20"/>
      <c r="Y1084" s="20"/>
      <c r="Z1084" s="20"/>
      <c r="AA1084" s="20"/>
      <c r="BP1084" s="190"/>
    </row>
    <row r="1085" spans="2:68" x14ac:dyDescent="0.25">
      <c r="B1085" s="98" t="s">
        <v>552</v>
      </c>
      <c r="C1085" s="98">
        <v>2014</v>
      </c>
      <c r="D1085" s="98" t="s">
        <v>177</v>
      </c>
      <c r="E1085" s="98" t="s">
        <v>27</v>
      </c>
      <c r="F1085" s="98" t="s">
        <v>145</v>
      </c>
      <c r="G1085" s="248">
        <v>0</v>
      </c>
      <c r="H1085" s="299" t="str">
        <f>VLOOKUP(LEFT('Rev Adequacy'!D1085,3),'Mapping B'!$D$2:$E$400,2,0)</f>
        <v>S</v>
      </c>
      <c r="J1085" s="20"/>
      <c r="K1085" s="20"/>
      <c r="L1085" s="20"/>
      <c r="M1085" s="20"/>
      <c r="N1085" s="20"/>
      <c r="O1085" s="20"/>
      <c r="P1085" s="20"/>
      <c r="Q1085" s="97"/>
      <c r="R1085" s="20"/>
      <c r="S1085" s="20"/>
      <c r="T1085" s="20"/>
      <c r="U1085" s="20"/>
      <c r="V1085" s="20"/>
      <c r="W1085" s="20"/>
      <c r="X1085" s="20"/>
      <c r="Y1085" s="20"/>
      <c r="Z1085" s="20"/>
      <c r="AA1085" s="20"/>
      <c r="BP1085" s="190"/>
    </row>
    <row r="1086" spans="2:68" x14ac:dyDescent="0.25">
      <c r="B1086" s="98" t="s">
        <v>553</v>
      </c>
      <c r="C1086" s="98">
        <v>2014</v>
      </c>
      <c r="D1086" s="98" t="s">
        <v>177</v>
      </c>
      <c r="E1086" s="98" t="s">
        <v>27</v>
      </c>
      <c r="F1086" s="98" t="s">
        <v>145</v>
      </c>
      <c r="G1086" s="248">
        <v>0</v>
      </c>
      <c r="H1086" s="299" t="str">
        <f>VLOOKUP(LEFT('Rev Adequacy'!D1086,3),'Mapping B'!$D$2:$E$400,2,0)</f>
        <v>S</v>
      </c>
      <c r="J1086" s="20"/>
      <c r="K1086" s="20"/>
      <c r="L1086" s="20"/>
      <c r="M1086" s="20"/>
      <c r="N1086" s="20"/>
      <c r="O1086" s="20"/>
      <c r="P1086" s="20"/>
      <c r="Q1086" s="97"/>
      <c r="R1086" s="20"/>
      <c r="S1086" s="20"/>
      <c r="T1086" s="20"/>
      <c r="U1086" s="20"/>
      <c r="V1086" s="20"/>
      <c r="W1086" s="20"/>
      <c r="X1086" s="20"/>
      <c r="Y1086" s="20"/>
      <c r="Z1086" s="20"/>
      <c r="AA1086" s="20"/>
      <c r="BP1086" s="190"/>
    </row>
    <row r="1087" spans="2:68" x14ac:dyDescent="0.25">
      <c r="B1087" s="98" t="s">
        <v>554</v>
      </c>
      <c r="C1087" s="98">
        <v>2014</v>
      </c>
      <c r="D1087" s="98" t="s">
        <v>177</v>
      </c>
      <c r="E1087" s="98" t="s">
        <v>27</v>
      </c>
      <c r="F1087" s="98" t="s">
        <v>145</v>
      </c>
      <c r="G1087" s="98">
        <v>0</v>
      </c>
      <c r="H1087" s="299" t="str">
        <f>VLOOKUP(LEFT('Rev Adequacy'!D1087,3),'Mapping B'!$D$2:$E$400,2,0)</f>
        <v>S</v>
      </c>
      <c r="J1087" s="20"/>
      <c r="K1087" s="20"/>
      <c r="L1087" s="20"/>
      <c r="M1087" s="20"/>
      <c r="N1087" s="20"/>
      <c r="O1087" s="20"/>
      <c r="P1087" s="20"/>
      <c r="Q1087" s="97"/>
      <c r="R1087" s="20"/>
      <c r="S1087" s="20"/>
      <c r="T1087" s="20"/>
      <c r="U1087" s="20"/>
      <c r="V1087" s="20"/>
      <c r="W1087" s="20"/>
      <c r="X1087" s="20"/>
      <c r="Y1087" s="20"/>
      <c r="Z1087" s="20"/>
      <c r="AA1087" s="20"/>
      <c r="BP1087" s="190"/>
    </row>
    <row r="1088" spans="2:68" x14ac:dyDescent="0.25">
      <c r="B1088" s="98" t="s">
        <v>563</v>
      </c>
      <c r="C1088" s="98">
        <v>2014</v>
      </c>
      <c r="D1088" s="98" t="s">
        <v>177</v>
      </c>
      <c r="E1088" s="98" t="s">
        <v>27</v>
      </c>
      <c r="F1088" s="98" t="s">
        <v>145</v>
      </c>
      <c r="G1088" s="98">
        <v>0</v>
      </c>
      <c r="H1088" s="299" t="str">
        <f>VLOOKUP(LEFT('Rev Adequacy'!D1088,3),'Mapping B'!$D$2:$E$400,2,0)</f>
        <v>S</v>
      </c>
      <c r="J1088" s="20"/>
      <c r="K1088" s="20"/>
      <c r="L1088" s="20"/>
      <c r="M1088" s="20"/>
      <c r="N1088" s="20"/>
      <c r="O1088" s="20"/>
      <c r="P1088" s="20"/>
      <c r="Q1088" s="97"/>
      <c r="R1088" s="20"/>
      <c r="S1088" s="20"/>
      <c r="T1088" s="20"/>
      <c r="U1088" s="20"/>
      <c r="V1088" s="20"/>
      <c r="W1088" s="20"/>
      <c r="X1088" s="20"/>
      <c r="Y1088" s="20"/>
      <c r="Z1088" s="20"/>
      <c r="AA1088" s="20"/>
      <c r="BP1088" s="190"/>
    </row>
    <row r="1089" spans="2:68" x14ac:dyDescent="0.25">
      <c r="B1089" s="98" t="s">
        <v>555</v>
      </c>
      <c r="C1089" s="98">
        <v>2014</v>
      </c>
      <c r="D1089" s="98" t="s">
        <v>177</v>
      </c>
      <c r="E1089" s="98" t="s">
        <v>27</v>
      </c>
      <c r="F1089" s="98" t="s">
        <v>145</v>
      </c>
      <c r="G1089" s="98">
        <v>0</v>
      </c>
      <c r="H1089" s="299" t="str">
        <f>VLOOKUP(LEFT('Rev Adequacy'!D1089,3),'Mapping B'!$D$2:$E$400,2,0)</f>
        <v>S</v>
      </c>
      <c r="J1089" s="20"/>
      <c r="K1089" s="20"/>
      <c r="L1089" s="20"/>
      <c r="M1089" s="20"/>
      <c r="N1089" s="20"/>
      <c r="O1089" s="20"/>
      <c r="P1089" s="20"/>
      <c r="Q1089" s="97"/>
      <c r="R1089" s="20"/>
      <c r="S1089" s="20"/>
      <c r="T1089" s="20"/>
      <c r="U1089" s="20"/>
      <c r="V1089" s="20"/>
      <c r="W1089" s="20"/>
      <c r="X1089" s="20"/>
      <c r="Y1089" s="20"/>
      <c r="Z1089" s="20"/>
      <c r="AA1089" s="20"/>
      <c r="BP1089" s="190"/>
    </row>
    <row r="1090" spans="2:68" x14ac:dyDescent="0.25">
      <c r="B1090" s="98" t="s">
        <v>112</v>
      </c>
      <c r="C1090" s="98">
        <v>2014</v>
      </c>
      <c r="D1090" s="98" t="s">
        <v>177</v>
      </c>
      <c r="E1090" s="98" t="s">
        <v>27</v>
      </c>
      <c r="F1090" s="98" t="s">
        <v>145</v>
      </c>
      <c r="G1090" s="98">
        <v>589849.69300000102</v>
      </c>
      <c r="H1090" s="299" t="str">
        <f>VLOOKUP(LEFT('Rev Adequacy'!D1090,3),'Mapping B'!$D$2:$E$400,2,0)</f>
        <v>S</v>
      </c>
      <c r="J1090" s="20"/>
      <c r="K1090" s="20"/>
      <c r="L1090" s="20"/>
      <c r="M1090" s="20"/>
      <c r="N1090" s="20"/>
      <c r="O1090" s="20"/>
      <c r="P1090" s="20"/>
      <c r="Q1090" s="97"/>
      <c r="R1090" s="20"/>
      <c r="S1090" s="20"/>
      <c r="T1090" s="20"/>
      <c r="U1090" s="20"/>
      <c r="V1090" s="20"/>
      <c r="W1090" s="20"/>
      <c r="X1090" s="20"/>
      <c r="Y1090" s="20"/>
      <c r="Z1090" s="20"/>
      <c r="AA1090" s="20"/>
      <c r="BP1090" s="190"/>
    </row>
    <row r="1091" spans="2:68" x14ac:dyDescent="0.25">
      <c r="B1091" s="98" t="s">
        <v>111</v>
      </c>
      <c r="C1091" s="98">
        <v>2014</v>
      </c>
      <c r="D1091" s="98" t="s">
        <v>177</v>
      </c>
      <c r="E1091" s="98" t="s">
        <v>27</v>
      </c>
      <c r="F1091" s="98" t="s">
        <v>145</v>
      </c>
      <c r="G1091" s="98">
        <v>625018.85100000096</v>
      </c>
      <c r="H1091" s="299" t="str">
        <f>VLOOKUP(LEFT('Rev Adequacy'!D1091,3),'Mapping B'!$D$2:$E$400,2,0)</f>
        <v>S</v>
      </c>
      <c r="J1091" s="20"/>
      <c r="K1091" s="20"/>
      <c r="L1091" s="20"/>
      <c r="M1091" s="20"/>
      <c r="N1091" s="20"/>
      <c r="O1091" s="20"/>
      <c r="P1091" s="20"/>
      <c r="Q1091" s="97"/>
      <c r="R1091" s="20"/>
      <c r="S1091" s="20"/>
      <c r="T1091" s="20"/>
      <c r="U1091" s="20"/>
      <c r="V1091" s="20"/>
      <c r="W1091" s="20"/>
      <c r="X1091" s="20"/>
      <c r="Y1091" s="20"/>
      <c r="Z1091" s="20"/>
      <c r="AA1091" s="20"/>
      <c r="BP1091" s="190"/>
    </row>
    <row r="1092" spans="2:68" x14ac:dyDescent="0.25">
      <c r="B1092" s="98" t="s">
        <v>552</v>
      </c>
      <c r="C1092" s="98">
        <v>2014</v>
      </c>
      <c r="D1092" s="98" t="s">
        <v>157</v>
      </c>
      <c r="E1092" s="98" t="s">
        <v>28</v>
      </c>
      <c r="F1092" s="98" t="s">
        <v>131</v>
      </c>
      <c r="G1092" s="248">
        <v>0</v>
      </c>
      <c r="H1092" s="299" t="str">
        <f>VLOOKUP(LEFT('Rev Adequacy'!D1092,3),'Mapping B'!$D$2:$E$400,2,0)</f>
        <v>N</v>
      </c>
      <c r="J1092" s="20"/>
      <c r="K1092" s="20"/>
      <c r="L1092" s="20"/>
      <c r="M1092" s="20"/>
      <c r="N1092" s="20"/>
      <c r="O1092" s="20"/>
      <c r="P1092" s="20"/>
      <c r="Q1092" s="97"/>
      <c r="R1092" s="20"/>
      <c r="S1092" s="20"/>
      <c r="T1092" s="20"/>
      <c r="U1092" s="20"/>
      <c r="V1092" s="20"/>
      <c r="W1092" s="20"/>
      <c r="X1092" s="20"/>
      <c r="Y1092" s="20"/>
      <c r="Z1092" s="20"/>
      <c r="AA1092" s="20"/>
      <c r="BP1092" s="190"/>
    </row>
    <row r="1093" spans="2:68" x14ac:dyDescent="0.25">
      <c r="B1093" s="98" t="s">
        <v>552</v>
      </c>
      <c r="C1093" s="98">
        <v>2014</v>
      </c>
      <c r="D1093" s="98" t="s">
        <v>162</v>
      </c>
      <c r="E1093" s="98" t="s">
        <v>28</v>
      </c>
      <c r="F1093" s="98" t="s">
        <v>131</v>
      </c>
      <c r="G1093" s="248">
        <v>6.6369999999839102</v>
      </c>
      <c r="H1093" s="299" t="str">
        <f>VLOOKUP(LEFT('Rev Adequacy'!D1093,3),'Mapping B'!$D$2:$E$400,2,0)</f>
        <v>N</v>
      </c>
      <c r="J1093" s="20"/>
      <c r="K1093" s="20"/>
      <c r="L1093" s="20"/>
      <c r="M1093" s="20"/>
      <c r="N1093" s="20"/>
      <c r="O1093" s="20"/>
      <c r="P1093" s="20"/>
      <c r="Q1093" s="97"/>
      <c r="R1093" s="20"/>
      <c r="S1093" s="20"/>
      <c r="T1093" s="20"/>
      <c r="U1093" s="20"/>
      <c r="V1093" s="20"/>
      <c r="W1093" s="20"/>
      <c r="X1093" s="20"/>
      <c r="Y1093" s="20"/>
      <c r="Z1093" s="20"/>
      <c r="AA1093" s="20"/>
      <c r="BP1093" s="190"/>
    </row>
    <row r="1094" spans="2:68" x14ac:dyDescent="0.25">
      <c r="B1094" s="98" t="s">
        <v>552</v>
      </c>
      <c r="C1094" s="98">
        <v>2014</v>
      </c>
      <c r="D1094" s="98" t="s">
        <v>174</v>
      </c>
      <c r="E1094" s="98" t="s">
        <v>28</v>
      </c>
      <c r="F1094" s="98" t="s">
        <v>131</v>
      </c>
      <c r="G1094" s="248">
        <v>506.64799999998098</v>
      </c>
      <c r="H1094" s="299" t="str">
        <f>VLOOKUP(LEFT('Rev Adequacy'!D1094,3),'Mapping B'!$D$2:$E$400,2,0)</f>
        <v>N</v>
      </c>
      <c r="J1094" s="20"/>
      <c r="K1094" s="20"/>
      <c r="L1094" s="20"/>
      <c r="M1094" s="20"/>
      <c r="N1094" s="20"/>
      <c r="O1094" s="20"/>
      <c r="P1094" s="20"/>
      <c r="Q1094" s="97"/>
      <c r="R1094" s="20"/>
      <c r="S1094" s="20"/>
      <c r="T1094" s="20"/>
      <c r="U1094" s="20"/>
      <c r="V1094" s="20"/>
      <c r="W1094" s="20"/>
      <c r="X1094" s="20"/>
      <c r="Y1094" s="20"/>
      <c r="Z1094" s="20"/>
      <c r="AA1094" s="20"/>
      <c r="BP1094" s="190"/>
    </row>
    <row r="1095" spans="2:68" x14ac:dyDescent="0.25">
      <c r="B1095" s="98" t="s">
        <v>552</v>
      </c>
      <c r="C1095" s="98">
        <v>2014</v>
      </c>
      <c r="D1095" s="98" t="s">
        <v>191</v>
      </c>
      <c r="E1095" s="98" t="s">
        <v>28</v>
      </c>
      <c r="F1095" s="98" t="s">
        <v>131</v>
      </c>
      <c r="G1095" s="248">
        <v>0</v>
      </c>
      <c r="H1095" s="299" t="str">
        <f>VLOOKUP(LEFT('Rev Adequacy'!D1095,3),'Mapping B'!$D$2:$E$400,2,0)</f>
        <v>N</v>
      </c>
      <c r="J1095" s="20"/>
      <c r="K1095" s="20"/>
      <c r="L1095" s="20"/>
      <c r="M1095" s="20"/>
      <c r="N1095" s="20"/>
      <c r="O1095" s="20"/>
      <c r="P1095" s="20"/>
      <c r="Q1095" s="97"/>
      <c r="R1095" s="20"/>
      <c r="S1095" s="20"/>
      <c r="T1095" s="20"/>
      <c r="U1095" s="20"/>
      <c r="V1095" s="20"/>
      <c r="W1095" s="20"/>
      <c r="X1095" s="20"/>
      <c r="Y1095" s="20"/>
      <c r="Z1095" s="20"/>
      <c r="AA1095" s="20"/>
      <c r="BP1095" s="190"/>
    </row>
    <row r="1096" spans="2:68" x14ac:dyDescent="0.25">
      <c r="B1096" s="98" t="s">
        <v>552</v>
      </c>
      <c r="C1096" s="98">
        <v>2014</v>
      </c>
      <c r="D1096" s="98" t="s">
        <v>199</v>
      </c>
      <c r="E1096" s="98" t="s">
        <v>28</v>
      </c>
      <c r="F1096" s="98" t="s">
        <v>131</v>
      </c>
      <c r="G1096" s="248">
        <v>0</v>
      </c>
      <c r="H1096" s="299" t="str">
        <f>VLOOKUP(LEFT('Rev Adequacy'!D1096,3),'Mapping B'!$D$2:$E$400,2,0)</f>
        <v>N</v>
      </c>
      <c r="J1096" s="20"/>
      <c r="K1096" s="20"/>
      <c r="L1096" s="20"/>
      <c r="M1096" s="20"/>
      <c r="N1096" s="20"/>
      <c r="O1096" s="20"/>
      <c r="P1096" s="20"/>
      <c r="Q1096" s="97"/>
      <c r="R1096" s="20"/>
      <c r="S1096" s="20"/>
      <c r="T1096" s="20"/>
      <c r="U1096" s="20"/>
      <c r="V1096" s="20"/>
      <c r="W1096" s="20"/>
      <c r="X1096" s="20"/>
      <c r="Y1096" s="20"/>
      <c r="Z1096" s="20"/>
      <c r="AA1096" s="20"/>
      <c r="BP1096" s="190"/>
    </row>
    <row r="1097" spans="2:68" x14ac:dyDescent="0.25">
      <c r="B1097" s="98" t="s">
        <v>552</v>
      </c>
      <c r="C1097" s="98">
        <v>2014</v>
      </c>
      <c r="D1097" s="98" t="s">
        <v>210</v>
      </c>
      <c r="E1097" s="98" t="s">
        <v>28</v>
      </c>
      <c r="F1097" s="98" t="s">
        <v>131</v>
      </c>
      <c r="G1097" s="248">
        <v>310.21700000001601</v>
      </c>
      <c r="H1097" s="299" t="str">
        <f>VLOOKUP(LEFT('Rev Adequacy'!D1097,3),'Mapping B'!$D$2:$E$400,2,0)</f>
        <v>N</v>
      </c>
      <c r="J1097" s="20"/>
      <c r="K1097" s="20"/>
      <c r="L1097" s="20"/>
      <c r="M1097" s="20"/>
      <c r="N1097" s="20"/>
      <c r="O1097" s="20"/>
      <c r="P1097" s="20"/>
      <c r="Q1097" s="97"/>
      <c r="R1097" s="20"/>
      <c r="S1097" s="20"/>
      <c r="T1097" s="20"/>
      <c r="U1097" s="20"/>
      <c r="V1097" s="20"/>
      <c r="W1097" s="20"/>
      <c r="X1097" s="20"/>
      <c r="Y1097" s="20"/>
      <c r="Z1097" s="20"/>
      <c r="AA1097" s="20"/>
      <c r="BP1097" s="190"/>
    </row>
    <row r="1098" spans="2:68" x14ac:dyDescent="0.25">
      <c r="B1098" s="98" t="s">
        <v>552</v>
      </c>
      <c r="C1098" s="98">
        <v>2014</v>
      </c>
      <c r="D1098" s="98" t="s">
        <v>211</v>
      </c>
      <c r="E1098" s="98" t="s">
        <v>28</v>
      </c>
      <c r="F1098" s="98" t="s">
        <v>131</v>
      </c>
      <c r="G1098" s="248">
        <v>1037.3780000000199</v>
      </c>
      <c r="H1098" s="299" t="str">
        <f>VLOOKUP(LEFT('Rev Adequacy'!D1098,3),'Mapping B'!$D$2:$E$400,2,0)</f>
        <v>N</v>
      </c>
      <c r="J1098" s="20"/>
      <c r="K1098" s="20"/>
      <c r="L1098" s="20"/>
      <c r="M1098" s="20"/>
      <c r="N1098" s="20"/>
      <c r="O1098" s="20"/>
      <c r="P1098" s="20"/>
      <c r="Q1098" s="97"/>
      <c r="R1098" s="20"/>
      <c r="S1098" s="20"/>
      <c r="T1098" s="20"/>
      <c r="U1098" s="20"/>
      <c r="V1098" s="20"/>
      <c r="W1098" s="20"/>
      <c r="X1098" s="20"/>
      <c r="Y1098" s="20"/>
      <c r="Z1098" s="20"/>
      <c r="AA1098" s="20"/>
      <c r="BP1098" s="190"/>
    </row>
    <row r="1099" spans="2:68" x14ac:dyDescent="0.25">
      <c r="B1099" s="98" t="s">
        <v>552</v>
      </c>
      <c r="C1099" s="98">
        <v>2014</v>
      </c>
      <c r="D1099" s="98" t="s">
        <v>234</v>
      </c>
      <c r="E1099" s="98" t="s">
        <v>28</v>
      </c>
      <c r="F1099" s="98" t="s">
        <v>131</v>
      </c>
      <c r="G1099" s="248">
        <v>0</v>
      </c>
      <c r="H1099" s="299" t="str">
        <f>VLOOKUP(LEFT('Rev Adequacy'!D1099,3),'Mapping B'!$D$2:$E$400,2,0)</f>
        <v>N</v>
      </c>
      <c r="J1099" s="20"/>
      <c r="K1099" s="20"/>
      <c r="L1099" s="20"/>
      <c r="M1099" s="20"/>
      <c r="N1099" s="20"/>
      <c r="O1099" s="20"/>
      <c r="P1099" s="20"/>
      <c r="Q1099" s="97"/>
      <c r="R1099" s="20"/>
      <c r="S1099" s="20"/>
      <c r="T1099" s="20"/>
      <c r="U1099" s="20"/>
      <c r="V1099" s="20"/>
      <c r="W1099" s="20"/>
      <c r="X1099" s="20"/>
      <c r="Y1099" s="20"/>
      <c r="Z1099" s="20"/>
      <c r="AA1099" s="20"/>
      <c r="BP1099" s="190"/>
    </row>
    <row r="1100" spans="2:68" x14ac:dyDescent="0.25">
      <c r="B1100" s="98" t="s">
        <v>552</v>
      </c>
      <c r="C1100" s="98">
        <v>2014</v>
      </c>
      <c r="D1100" s="98" t="s">
        <v>235</v>
      </c>
      <c r="E1100" s="98" t="s">
        <v>28</v>
      </c>
      <c r="F1100" s="98" t="s">
        <v>131</v>
      </c>
      <c r="G1100" s="248">
        <v>0</v>
      </c>
      <c r="H1100" s="299" t="str">
        <f>VLOOKUP(LEFT('Rev Adequacy'!D1100,3),'Mapping B'!$D$2:$E$400,2,0)</f>
        <v>N</v>
      </c>
      <c r="J1100" s="20"/>
      <c r="K1100" s="20"/>
      <c r="L1100" s="20"/>
      <c r="M1100" s="20"/>
      <c r="N1100" s="20"/>
      <c r="O1100" s="20"/>
      <c r="P1100" s="20"/>
      <c r="Q1100" s="97"/>
      <c r="R1100" s="20"/>
      <c r="S1100" s="20"/>
      <c r="T1100" s="20"/>
      <c r="U1100" s="20"/>
      <c r="V1100" s="20"/>
      <c r="W1100" s="20"/>
      <c r="X1100" s="20"/>
      <c r="Y1100" s="20"/>
      <c r="Z1100" s="20"/>
      <c r="AA1100" s="20"/>
      <c r="BP1100" s="190"/>
    </row>
    <row r="1101" spans="2:68" x14ac:dyDescent="0.25">
      <c r="B1101" s="98" t="s">
        <v>552</v>
      </c>
      <c r="C1101" s="98">
        <v>2014</v>
      </c>
      <c r="D1101" s="98" t="s">
        <v>240</v>
      </c>
      <c r="E1101" s="98" t="s">
        <v>28</v>
      </c>
      <c r="F1101" s="98" t="s">
        <v>131</v>
      </c>
      <c r="G1101" s="248">
        <v>0</v>
      </c>
      <c r="H1101" s="299" t="str">
        <f>VLOOKUP(LEFT('Rev Adequacy'!D1101,3),'Mapping B'!$D$2:$E$400,2,0)</f>
        <v>N</v>
      </c>
      <c r="J1101" s="20"/>
      <c r="K1101" s="20"/>
      <c r="L1101" s="20"/>
      <c r="M1101" s="20"/>
      <c r="N1101" s="20"/>
      <c r="O1101" s="20"/>
      <c r="P1101" s="20"/>
      <c r="Q1101" s="97"/>
      <c r="R1101" s="20"/>
      <c r="S1101" s="20"/>
      <c r="T1101" s="20"/>
      <c r="U1101" s="20"/>
      <c r="V1101" s="20"/>
      <c r="W1101" s="20"/>
      <c r="X1101" s="20"/>
      <c r="Y1101" s="20"/>
      <c r="Z1101" s="20"/>
      <c r="AA1101" s="20"/>
      <c r="BP1101" s="190"/>
    </row>
    <row r="1102" spans="2:68" x14ac:dyDescent="0.25">
      <c r="B1102" s="98" t="s">
        <v>552</v>
      </c>
      <c r="C1102" s="98">
        <v>2014</v>
      </c>
      <c r="D1102" s="98" t="s">
        <v>246</v>
      </c>
      <c r="E1102" s="98" t="s">
        <v>28</v>
      </c>
      <c r="F1102" s="98" t="s">
        <v>131</v>
      </c>
      <c r="G1102" s="248">
        <v>0</v>
      </c>
      <c r="H1102" s="299" t="str">
        <f>VLOOKUP(LEFT('Rev Adequacy'!D1102,3),'Mapping B'!$D$2:$E$400,2,0)</f>
        <v>N</v>
      </c>
      <c r="J1102" s="20"/>
      <c r="K1102" s="20"/>
      <c r="L1102" s="20"/>
      <c r="M1102" s="20"/>
      <c r="N1102" s="20"/>
      <c r="O1102" s="20"/>
      <c r="P1102" s="20"/>
      <c r="Q1102" s="97"/>
      <c r="R1102" s="20"/>
      <c r="S1102" s="20"/>
      <c r="T1102" s="20"/>
      <c r="U1102" s="20"/>
      <c r="V1102" s="20"/>
      <c r="W1102" s="20"/>
      <c r="X1102" s="20"/>
      <c r="Y1102" s="20"/>
      <c r="Z1102" s="20"/>
      <c r="AA1102" s="20"/>
      <c r="BP1102" s="190"/>
    </row>
    <row r="1103" spans="2:68" x14ac:dyDescent="0.25">
      <c r="B1103" s="98" t="s">
        <v>552</v>
      </c>
      <c r="C1103" s="98">
        <v>2014</v>
      </c>
      <c r="D1103" s="98" t="s">
        <v>255</v>
      </c>
      <c r="E1103" s="98" t="s">
        <v>28</v>
      </c>
      <c r="F1103" s="98" t="s">
        <v>131</v>
      </c>
      <c r="G1103" s="248">
        <v>668.50800000000095</v>
      </c>
      <c r="H1103" s="299" t="str">
        <f>VLOOKUP(LEFT('Rev Adequacy'!D1103,3),'Mapping B'!$D$2:$E$400,2,0)</f>
        <v>N</v>
      </c>
      <c r="J1103" s="20"/>
      <c r="K1103" s="20"/>
      <c r="L1103" s="20"/>
      <c r="M1103" s="20"/>
      <c r="N1103" s="20"/>
      <c r="O1103" s="20"/>
      <c r="P1103" s="20"/>
      <c r="Q1103" s="97"/>
      <c r="R1103" s="20"/>
      <c r="S1103" s="20"/>
      <c r="T1103" s="20"/>
      <c r="U1103" s="20"/>
      <c r="V1103" s="20"/>
      <c r="W1103" s="20"/>
      <c r="X1103" s="20"/>
      <c r="Y1103" s="20"/>
      <c r="Z1103" s="20"/>
      <c r="AA1103" s="20"/>
      <c r="BP1103" s="190"/>
    </row>
    <row r="1104" spans="2:68" x14ac:dyDescent="0.25">
      <c r="B1104" s="98" t="s">
        <v>552</v>
      </c>
      <c r="C1104" s="98">
        <v>2014</v>
      </c>
      <c r="D1104" s="98" t="s">
        <v>266</v>
      </c>
      <c r="E1104" s="98" t="s">
        <v>28</v>
      </c>
      <c r="F1104" s="98" t="s">
        <v>131</v>
      </c>
      <c r="G1104" s="248">
        <v>21.6259999999427</v>
      </c>
      <c r="H1104" s="299" t="str">
        <f>VLOOKUP(LEFT('Rev Adequacy'!D1104,3),'Mapping B'!$D$2:$E$400,2,0)</f>
        <v>N</v>
      </c>
      <c r="J1104" s="20"/>
      <c r="K1104" s="20"/>
      <c r="L1104" s="20"/>
      <c r="M1104" s="20"/>
      <c r="N1104" s="20"/>
      <c r="O1104" s="20"/>
      <c r="P1104" s="20"/>
      <c r="Q1104" s="97"/>
      <c r="R1104" s="20"/>
      <c r="S1104" s="20"/>
      <c r="T1104" s="20"/>
      <c r="U1104" s="20"/>
      <c r="V1104" s="20"/>
      <c r="W1104" s="20"/>
      <c r="X1104" s="20"/>
      <c r="Y1104" s="20"/>
      <c r="Z1104" s="20"/>
      <c r="AA1104" s="20"/>
      <c r="BP1104" s="190"/>
    </row>
    <row r="1105" spans="2:68" x14ac:dyDescent="0.25">
      <c r="B1105" s="98" t="s">
        <v>552</v>
      </c>
      <c r="C1105" s="98">
        <v>2014</v>
      </c>
      <c r="D1105" s="98" t="s">
        <v>268</v>
      </c>
      <c r="E1105" s="98" t="s">
        <v>28</v>
      </c>
      <c r="F1105" s="98" t="s">
        <v>131</v>
      </c>
      <c r="G1105" s="248">
        <v>114.52000000001701</v>
      </c>
      <c r="H1105" s="299" t="str">
        <f>VLOOKUP(LEFT('Rev Adequacy'!D1105,3),'Mapping B'!$D$2:$E$400,2,0)</f>
        <v>N</v>
      </c>
      <c r="J1105" s="20"/>
      <c r="K1105" s="20"/>
      <c r="L1105" s="20"/>
      <c r="M1105" s="20"/>
      <c r="N1105" s="20"/>
      <c r="O1105" s="20"/>
      <c r="P1105" s="20"/>
      <c r="Q1105" s="97"/>
      <c r="R1105" s="20"/>
      <c r="S1105" s="20"/>
      <c r="T1105" s="20"/>
      <c r="U1105" s="20"/>
      <c r="V1105" s="20"/>
      <c r="W1105" s="20"/>
      <c r="X1105" s="20"/>
      <c r="Y1105" s="20"/>
      <c r="Z1105" s="20"/>
      <c r="AA1105" s="20"/>
      <c r="BP1105" s="190"/>
    </row>
    <row r="1106" spans="2:68" x14ac:dyDescent="0.25">
      <c r="B1106" s="98" t="s">
        <v>552</v>
      </c>
      <c r="C1106" s="98">
        <v>2014</v>
      </c>
      <c r="D1106" s="98" t="s">
        <v>269</v>
      </c>
      <c r="E1106" s="98" t="s">
        <v>28</v>
      </c>
      <c r="F1106" s="98" t="s">
        <v>131</v>
      </c>
      <c r="G1106" s="248">
        <v>743.628000000013</v>
      </c>
      <c r="H1106" s="299" t="str">
        <f>VLOOKUP(LEFT('Rev Adequacy'!D1106,3),'Mapping B'!$D$2:$E$400,2,0)</f>
        <v>N</v>
      </c>
      <c r="J1106" s="20"/>
      <c r="K1106" s="20"/>
      <c r="L1106" s="20"/>
      <c r="M1106" s="20"/>
      <c r="N1106" s="20"/>
      <c r="O1106" s="20"/>
      <c r="P1106" s="20"/>
      <c r="Q1106" s="97"/>
      <c r="R1106" s="20"/>
      <c r="S1106" s="20"/>
      <c r="T1106" s="20"/>
      <c r="U1106" s="20"/>
      <c r="V1106" s="20"/>
      <c r="W1106" s="20"/>
      <c r="X1106" s="20"/>
      <c r="Y1106" s="20"/>
      <c r="Z1106" s="20"/>
      <c r="AA1106" s="20"/>
      <c r="BP1106" s="190"/>
    </row>
    <row r="1107" spans="2:68" x14ac:dyDescent="0.25">
      <c r="B1107" s="98" t="s">
        <v>552</v>
      </c>
      <c r="C1107" s="98">
        <v>2014</v>
      </c>
      <c r="D1107" s="98" t="s">
        <v>271</v>
      </c>
      <c r="E1107" s="98" t="s">
        <v>28</v>
      </c>
      <c r="F1107" s="98" t="s">
        <v>131</v>
      </c>
      <c r="G1107" s="248">
        <v>0</v>
      </c>
      <c r="H1107" s="299" t="str">
        <f>VLOOKUP(LEFT('Rev Adequacy'!D1107,3),'Mapping B'!$D$2:$E$400,2,0)</f>
        <v>N</v>
      </c>
      <c r="J1107" s="20"/>
      <c r="K1107" s="20"/>
      <c r="L1107" s="20"/>
      <c r="M1107" s="20"/>
      <c r="N1107" s="20"/>
      <c r="O1107" s="20"/>
      <c r="P1107" s="20"/>
      <c r="Q1107" s="97"/>
      <c r="R1107" s="20"/>
      <c r="S1107" s="20"/>
      <c r="T1107" s="20"/>
      <c r="U1107" s="20"/>
      <c r="V1107" s="20"/>
      <c r="W1107" s="20"/>
      <c r="X1107" s="20"/>
      <c r="Y1107" s="20"/>
      <c r="Z1107" s="20"/>
      <c r="AA1107" s="20"/>
      <c r="BP1107" s="190"/>
    </row>
    <row r="1108" spans="2:68" x14ac:dyDescent="0.25">
      <c r="B1108" s="98" t="s">
        <v>552</v>
      </c>
      <c r="C1108" s="98">
        <v>2014</v>
      </c>
      <c r="D1108" s="98" t="s">
        <v>279</v>
      </c>
      <c r="E1108" s="98" t="s">
        <v>28</v>
      </c>
      <c r="F1108" s="98" t="s">
        <v>131</v>
      </c>
      <c r="G1108" s="248">
        <v>0</v>
      </c>
      <c r="H1108" s="299" t="str">
        <f>VLOOKUP(LEFT('Rev Adequacy'!D1108,3),'Mapping B'!$D$2:$E$400,2,0)</f>
        <v>N</v>
      </c>
      <c r="J1108" s="20"/>
      <c r="K1108" s="20"/>
      <c r="L1108" s="20"/>
      <c r="M1108" s="20"/>
      <c r="N1108" s="20"/>
      <c r="O1108" s="20"/>
      <c r="P1108" s="20"/>
      <c r="Q1108" s="97"/>
      <c r="R1108" s="20"/>
      <c r="S1108" s="20"/>
      <c r="T1108" s="20"/>
      <c r="U1108" s="20"/>
      <c r="V1108" s="20"/>
      <c r="W1108" s="20"/>
      <c r="X1108" s="20"/>
      <c r="Y1108" s="20"/>
      <c r="Z1108" s="20"/>
      <c r="AA1108" s="20"/>
      <c r="BP1108" s="190"/>
    </row>
    <row r="1109" spans="2:68" x14ac:dyDescent="0.25">
      <c r="B1109" s="98" t="s">
        <v>552</v>
      </c>
      <c r="C1109" s="98">
        <v>2014</v>
      </c>
      <c r="D1109" s="98" t="s">
        <v>288</v>
      </c>
      <c r="E1109" s="98" t="s">
        <v>28</v>
      </c>
      <c r="F1109" s="98" t="s">
        <v>131</v>
      </c>
      <c r="G1109" s="248">
        <v>0</v>
      </c>
      <c r="H1109" s="299" t="str">
        <f>VLOOKUP(LEFT('Rev Adequacy'!D1109,3),'Mapping B'!$D$2:$E$400,2,0)</f>
        <v>N</v>
      </c>
      <c r="J1109" s="20"/>
      <c r="K1109" s="20"/>
      <c r="L1109" s="20"/>
      <c r="M1109" s="20"/>
      <c r="N1109" s="20"/>
      <c r="O1109" s="20"/>
      <c r="P1109" s="20"/>
      <c r="Q1109" s="97"/>
      <c r="R1109" s="20"/>
      <c r="S1109" s="20"/>
      <c r="T1109" s="20"/>
      <c r="U1109" s="20"/>
      <c r="V1109" s="20"/>
      <c r="W1109" s="20"/>
      <c r="X1109" s="20"/>
      <c r="Y1109" s="20"/>
      <c r="Z1109" s="20"/>
      <c r="AA1109" s="20"/>
      <c r="BP1109" s="190"/>
    </row>
    <row r="1110" spans="2:68" x14ac:dyDescent="0.25">
      <c r="B1110" s="98" t="s">
        <v>552</v>
      </c>
      <c r="C1110" s="98">
        <v>2014</v>
      </c>
      <c r="D1110" s="98" t="s">
        <v>290</v>
      </c>
      <c r="E1110" s="98" t="s">
        <v>28</v>
      </c>
      <c r="F1110" s="98" t="s">
        <v>131</v>
      </c>
      <c r="G1110" s="248">
        <v>281.18</v>
      </c>
      <c r="H1110" s="299" t="str">
        <f>VLOOKUP(LEFT('Rev Adequacy'!D1110,3),'Mapping B'!$D$2:$E$400,2,0)</f>
        <v>N</v>
      </c>
      <c r="J1110" s="20"/>
      <c r="K1110" s="20"/>
      <c r="L1110" s="20"/>
      <c r="M1110" s="20"/>
      <c r="N1110" s="20"/>
      <c r="O1110" s="20"/>
      <c r="P1110" s="20"/>
      <c r="Q1110" s="97"/>
      <c r="R1110" s="20"/>
      <c r="S1110" s="20"/>
      <c r="T1110" s="20"/>
      <c r="U1110" s="20"/>
      <c r="V1110" s="20"/>
      <c r="W1110" s="20"/>
      <c r="X1110" s="20"/>
      <c r="Y1110" s="20"/>
      <c r="Z1110" s="20"/>
      <c r="AA1110" s="20"/>
      <c r="BP1110" s="190"/>
    </row>
    <row r="1111" spans="2:68" x14ac:dyDescent="0.25">
      <c r="B1111" s="98" t="s">
        <v>552</v>
      </c>
      <c r="C1111" s="98">
        <v>2014</v>
      </c>
      <c r="D1111" s="98" t="s">
        <v>297</v>
      </c>
      <c r="E1111" s="98" t="s">
        <v>28</v>
      </c>
      <c r="F1111" s="98" t="s">
        <v>131</v>
      </c>
      <c r="G1111" s="248">
        <v>0</v>
      </c>
      <c r="H1111" s="299" t="str">
        <f>VLOOKUP(LEFT('Rev Adequacy'!D1111,3),'Mapping B'!$D$2:$E$400,2,0)</f>
        <v>N</v>
      </c>
      <c r="J1111" s="20"/>
      <c r="K1111" s="20"/>
      <c r="L1111" s="20"/>
      <c r="M1111" s="20"/>
      <c r="N1111" s="20"/>
      <c r="O1111" s="20"/>
      <c r="P1111" s="20"/>
      <c r="Q1111" s="20"/>
      <c r="R1111" s="20"/>
      <c r="S1111" s="20"/>
      <c r="T1111" s="20"/>
      <c r="U1111" s="20"/>
      <c r="V1111" s="20"/>
      <c r="W1111" s="20"/>
      <c r="X1111" s="20"/>
      <c r="Y1111" s="20"/>
      <c r="Z1111" s="20"/>
      <c r="AA1111" s="20"/>
      <c r="BP1111" s="190"/>
    </row>
    <row r="1112" spans="2:68" x14ac:dyDescent="0.25">
      <c r="B1112" s="98" t="s">
        <v>552</v>
      </c>
      <c r="C1112" s="98">
        <v>2014</v>
      </c>
      <c r="D1112" s="98" t="s">
        <v>320</v>
      </c>
      <c r="E1112" s="98" t="s">
        <v>28</v>
      </c>
      <c r="F1112" s="98" t="s">
        <v>131</v>
      </c>
      <c r="G1112" s="248">
        <v>60.460000000008101</v>
      </c>
      <c r="H1112" s="299" t="str">
        <f>VLOOKUP(LEFT('Rev Adequacy'!D1112,3),'Mapping B'!$D$2:$E$400,2,0)</f>
        <v>N</v>
      </c>
      <c r="J1112" s="20"/>
      <c r="K1112" s="20"/>
      <c r="L1112" s="20"/>
      <c r="M1112" s="20"/>
      <c r="N1112" s="20"/>
      <c r="O1112" s="20"/>
      <c r="P1112" s="20"/>
      <c r="Q1112" s="20"/>
      <c r="R1112" s="20"/>
      <c r="S1112" s="20"/>
      <c r="T1112" s="20"/>
      <c r="U1112" s="20"/>
      <c r="V1112" s="20"/>
      <c r="W1112" s="20"/>
      <c r="X1112" s="20"/>
      <c r="Y1112" s="20"/>
      <c r="Z1112" s="20"/>
      <c r="AA1112" s="20"/>
      <c r="BP1112" s="190"/>
    </row>
    <row r="1113" spans="2:68" x14ac:dyDescent="0.25">
      <c r="B1113" s="98" t="s">
        <v>552</v>
      </c>
      <c r="C1113" s="98">
        <v>2014</v>
      </c>
      <c r="D1113" s="98" t="s">
        <v>333</v>
      </c>
      <c r="E1113" s="98" t="s">
        <v>28</v>
      </c>
      <c r="F1113" s="98" t="s">
        <v>131</v>
      </c>
      <c r="G1113" s="248">
        <v>0</v>
      </c>
      <c r="H1113" s="299" t="str">
        <f>VLOOKUP(LEFT('Rev Adequacy'!D1113,3),'Mapping B'!$D$2:$E$400,2,0)</f>
        <v>N</v>
      </c>
      <c r="J1113" s="20"/>
      <c r="K1113" s="20"/>
      <c r="L1113" s="20"/>
      <c r="M1113" s="20"/>
      <c r="N1113" s="20"/>
      <c r="O1113" s="20"/>
      <c r="P1113" s="20"/>
      <c r="Q1113" s="20"/>
      <c r="R1113" s="20"/>
      <c r="S1113" s="20"/>
      <c r="T1113" s="20"/>
      <c r="U1113" s="20"/>
      <c r="V1113" s="20"/>
      <c r="W1113" s="20"/>
      <c r="X1113" s="20"/>
      <c r="Y1113" s="20"/>
      <c r="Z1113" s="20"/>
      <c r="AA1113" s="20"/>
      <c r="BP1113" s="190"/>
    </row>
    <row r="1114" spans="2:68" x14ac:dyDescent="0.25">
      <c r="B1114" s="98" t="s">
        <v>552</v>
      </c>
      <c r="C1114" s="98">
        <v>2014</v>
      </c>
      <c r="D1114" s="98" t="s">
        <v>334</v>
      </c>
      <c r="E1114" s="98" t="s">
        <v>28</v>
      </c>
      <c r="F1114" s="98" t="s">
        <v>131</v>
      </c>
      <c r="G1114" s="248">
        <v>0</v>
      </c>
      <c r="H1114" s="299" t="str">
        <f>VLOOKUP(LEFT('Rev Adequacy'!D1114,3),'Mapping B'!$D$2:$E$400,2,0)</f>
        <v>N</v>
      </c>
      <c r="J1114" s="96"/>
      <c r="K1114" s="20"/>
      <c r="L1114" s="20"/>
      <c r="M1114" s="20"/>
      <c r="N1114" s="20"/>
      <c r="O1114" s="20"/>
      <c r="P1114" s="20"/>
      <c r="Q1114" s="20"/>
      <c r="R1114" s="20"/>
      <c r="S1114" s="20"/>
      <c r="T1114" s="20"/>
      <c r="U1114" s="20"/>
      <c r="V1114" s="20"/>
      <c r="W1114" s="20"/>
      <c r="X1114" s="20"/>
      <c r="Y1114" s="20"/>
      <c r="Z1114" s="20"/>
      <c r="AA1114" s="20"/>
      <c r="BP1114" s="190"/>
    </row>
    <row r="1115" spans="2:68" x14ac:dyDescent="0.25">
      <c r="B1115" s="98" t="s">
        <v>552</v>
      </c>
      <c r="C1115" s="98">
        <v>2014</v>
      </c>
      <c r="D1115" s="98" t="s">
        <v>346</v>
      </c>
      <c r="E1115" s="98" t="s">
        <v>28</v>
      </c>
      <c r="F1115" s="98" t="s">
        <v>131</v>
      </c>
      <c r="G1115" s="248">
        <v>263.56099999999998</v>
      </c>
      <c r="H1115" s="299" t="str">
        <f>VLOOKUP(LEFT('Rev Adequacy'!D1115,3),'Mapping B'!$D$2:$E$400,2,0)</f>
        <v>N</v>
      </c>
      <c r="J1115" s="96"/>
      <c r="K1115" s="20"/>
      <c r="L1115" s="20"/>
      <c r="M1115" s="20"/>
      <c r="N1115" s="20"/>
      <c r="O1115" s="20"/>
      <c r="P1115" s="95"/>
      <c r="Q1115" s="95"/>
      <c r="R1115" s="20"/>
      <c r="S1115" s="20"/>
      <c r="T1115" s="20"/>
      <c r="U1115" s="20"/>
      <c r="V1115" s="95"/>
      <c r="W1115" s="20"/>
      <c r="X1115" s="20"/>
      <c r="Y1115" s="20"/>
      <c r="Z1115" s="20"/>
      <c r="AA1115" s="20"/>
      <c r="BP1115" s="190"/>
    </row>
    <row r="1116" spans="2:68" x14ac:dyDescent="0.25">
      <c r="B1116" s="98" t="s">
        <v>552</v>
      </c>
      <c r="C1116" s="98">
        <v>2014</v>
      </c>
      <c r="D1116" s="98" t="s">
        <v>368</v>
      </c>
      <c r="E1116" s="98" t="s">
        <v>28</v>
      </c>
      <c r="F1116" s="98" t="s">
        <v>131</v>
      </c>
      <c r="G1116" s="248">
        <v>0</v>
      </c>
      <c r="H1116" s="299" t="str">
        <f>VLOOKUP(LEFT('Rev Adequacy'!D1116,3),'Mapping B'!$D$2:$E$400,2,0)</f>
        <v>N</v>
      </c>
      <c r="J1116" s="96"/>
      <c r="K1116" s="96"/>
      <c r="L1116" s="96"/>
      <c r="M1116" s="20"/>
      <c r="N1116" s="20"/>
      <c r="O1116" s="20"/>
      <c r="P1116" s="20"/>
      <c r="Q1116" s="20"/>
      <c r="R1116" s="20"/>
      <c r="S1116" s="20"/>
      <c r="T1116" s="20"/>
      <c r="U1116" s="20"/>
      <c r="V1116" s="20"/>
      <c r="W1116" s="20"/>
      <c r="X1116" s="20"/>
      <c r="Y1116" s="20"/>
      <c r="Z1116" s="20"/>
      <c r="AA1116" s="20"/>
      <c r="BP1116" s="190"/>
    </row>
    <row r="1117" spans="2:68" x14ac:dyDescent="0.25">
      <c r="B1117" s="98" t="s">
        <v>552</v>
      </c>
      <c r="C1117" s="98">
        <v>2014</v>
      </c>
      <c r="D1117" s="98" t="s">
        <v>372</v>
      </c>
      <c r="E1117" s="98" t="s">
        <v>28</v>
      </c>
      <c r="F1117" s="98" t="s">
        <v>131</v>
      </c>
      <c r="G1117" s="248">
        <v>2132.4179999999801</v>
      </c>
      <c r="H1117" s="299" t="str">
        <f>VLOOKUP(LEFT('Rev Adequacy'!D1117,3),'Mapping B'!$D$2:$E$400,2,0)</f>
        <v>N</v>
      </c>
      <c r="J1117" s="20"/>
      <c r="K1117" s="20"/>
      <c r="L1117" s="20"/>
      <c r="M1117" s="20"/>
      <c r="N1117" s="20"/>
      <c r="O1117" s="20"/>
      <c r="P1117" s="20"/>
      <c r="Q1117" s="97"/>
      <c r="R1117" s="20"/>
      <c r="S1117" s="20"/>
      <c r="T1117" s="20"/>
      <c r="U1117" s="20"/>
      <c r="V1117" s="20"/>
      <c r="W1117" s="20"/>
      <c r="X1117" s="20"/>
      <c r="Y1117" s="20"/>
      <c r="Z1117" s="20"/>
      <c r="AA1117" s="20"/>
      <c r="BP1117" s="190"/>
    </row>
    <row r="1118" spans="2:68" x14ac:dyDescent="0.25">
      <c r="B1118" s="98" t="s">
        <v>552</v>
      </c>
      <c r="C1118" s="98">
        <v>2014</v>
      </c>
      <c r="D1118" s="98" t="s">
        <v>378</v>
      </c>
      <c r="E1118" s="98" t="s">
        <v>28</v>
      </c>
      <c r="F1118" s="98" t="s">
        <v>131</v>
      </c>
      <c r="G1118" s="248">
        <v>0</v>
      </c>
      <c r="H1118" s="299" t="str">
        <f>VLOOKUP(LEFT('Rev Adequacy'!D1118,3),'Mapping B'!$D$2:$E$400,2,0)</f>
        <v>N</v>
      </c>
      <c r="J1118" s="20"/>
      <c r="K1118" s="20"/>
      <c r="L1118" s="20"/>
      <c r="M1118" s="20"/>
      <c r="N1118" s="20"/>
      <c r="O1118" s="20"/>
      <c r="P1118" s="20"/>
      <c r="Q1118" s="97"/>
      <c r="R1118" s="20"/>
      <c r="S1118" s="20"/>
      <c r="T1118" s="20"/>
      <c r="U1118" s="20"/>
      <c r="V1118" s="20"/>
      <c r="W1118" s="20"/>
      <c r="X1118" s="20"/>
      <c r="Y1118" s="20"/>
      <c r="Z1118" s="20"/>
      <c r="AA1118" s="20"/>
      <c r="BP1118" s="190"/>
    </row>
    <row r="1119" spans="2:68" x14ac:dyDescent="0.25">
      <c r="B1119" s="98" t="s">
        <v>552</v>
      </c>
      <c r="C1119" s="98">
        <v>2014</v>
      </c>
      <c r="D1119" s="98" t="s">
        <v>392</v>
      </c>
      <c r="E1119" s="98" t="s">
        <v>28</v>
      </c>
      <c r="F1119" s="98" t="s">
        <v>131</v>
      </c>
      <c r="G1119" s="248">
        <v>245.411999999996</v>
      </c>
      <c r="H1119" s="299" t="str">
        <f>VLOOKUP(LEFT('Rev Adequacy'!D1119,3),'Mapping B'!$D$2:$E$400,2,0)</f>
        <v>N</v>
      </c>
      <c r="J1119" s="20"/>
      <c r="K1119" s="20"/>
      <c r="L1119" s="20"/>
      <c r="M1119" s="20"/>
      <c r="N1119" s="20"/>
      <c r="O1119" s="20"/>
      <c r="P1119" s="20"/>
      <c r="Q1119" s="97"/>
      <c r="R1119" s="20"/>
      <c r="S1119" s="20"/>
      <c r="T1119" s="20"/>
      <c r="U1119" s="20"/>
      <c r="V1119" s="20"/>
      <c r="W1119" s="20"/>
      <c r="X1119" s="20"/>
      <c r="Y1119" s="20"/>
      <c r="Z1119" s="20"/>
      <c r="AA1119" s="20"/>
      <c r="BP1119" s="190"/>
    </row>
    <row r="1120" spans="2:68" x14ac:dyDescent="0.25">
      <c r="B1120" s="98" t="s">
        <v>553</v>
      </c>
      <c r="C1120" s="98">
        <v>2014</v>
      </c>
      <c r="D1120" s="98" t="s">
        <v>157</v>
      </c>
      <c r="E1120" s="98" t="s">
        <v>28</v>
      </c>
      <c r="F1120" s="98" t="s">
        <v>131</v>
      </c>
      <c r="G1120" s="248">
        <v>170547.05600000499</v>
      </c>
      <c r="H1120" s="299" t="str">
        <f>VLOOKUP(LEFT('Rev Adequacy'!D1120,3),'Mapping B'!$D$2:$E$400,2,0)</f>
        <v>N</v>
      </c>
      <c r="J1120" s="20"/>
      <c r="K1120" s="20"/>
      <c r="L1120" s="20"/>
      <c r="M1120" s="20"/>
      <c r="N1120" s="20"/>
      <c r="O1120" s="20"/>
      <c r="P1120" s="20"/>
      <c r="Q1120" s="97"/>
      <c r="R1120" s="20"/>
      <c r="S1120" s="20"/>
      <c r="T1120" s="20"/>
      <c r="U1120" s="20"/>
      <c r="V1120" s="20"/>
      <c r="W1120" s="20"/>
      <c r="X1120" s="20"/>
      <c r="Y1120" s="20"/>
      <c r="Z1120" s="20"/>
      <c r="AA1120" s="20"/>
      <c r="BP1120" s="190"/>
    </row>
    <row r="1121" spans="2:68" x14ac:dyDescent="0.25">
      <c r="B1121" s="98" t="s">
        <v>553</v>
      </c>
      <c r="C1121" s="98">
        <v>2014</v>
      </c>
      <c r="D1121" s="98" t="s">
        <v>162</v>
      </c>
      <c r="E1121" s="98" t="s">
        <v>28</v>
      </c>
      <c r="F1121" s="98" t="s">
        <v>131</v>
      </c>
      <c r="G1121" s="248">
        <v>47388.593000000197</v>
      </c>
      <c r="H1121" s="299" t="str">
        <f>VLOOKUP(LEFT('Rev Adequacy'!D1121,3),'Mapping B'!$D$2:$E$400,2,0)</f>
        <v>N</v>
      </c>
      <c r="J1121" s="20"/>
      <c r="K1121" s="20"/>
      <c r="L1121" s="20"/>
      <c r="M1121" s="20"/>
      <c r="N1121" s="20"/>
      <c r="O1121" s="20"/>
      <c r="P1121" s="20"/>
      <c r="Q1121" s="97"/>
      <c r="R1121" s="20"/>
      <c r="S1121" s="20"/>
      <c r="T1121" s="20"/>
      <c r="U1121" s="20"/>
      <c r="V1121" s="20"/>
      <c r="W1121" s="20"/>
      <c r="X1121" s="20"/>
      <c r="Y1121" s="20"/>
      <c r="Z1121" s="20"/>
      <c r="AA1121" s="20"/>
      <c r="BP1121" s="190"/>
    </row>
    <row r="1122" spans="2:68" x14ac:dyDescent="0.25">
      <c r="B1122" s="98" t="s">
        <v>553</v>
      </c>
      <c r="C1122" s="98">
        <v>2014</v>
      </c>
      <c r="D1122" s="98" t="s">
        <v>174</v>
      </c>
      <c r="E1122" s="98" t="s">
        <v>28</v>
      </c>
      <c r="F1122" s="98" t="s">
        <v>131</v>
      </c>
      <c r="G1122" s="248">
        <v>95932.815000000104</v>
      </c>
      <c r="H1122" s="299" t="str">
        <f>VLOOKUP(LEFT('Rev Adequacy'!D1122,3),'Mapping B'!$D$2:$E$400,2,0)</f>
        <v>N</v>
      </c>
      <c r="J1122" s="20"/>
      <c r="K1122" s="20"/>
      <c r="L1122" s="20"/>
      <c r="M1122" s="20"/>
      <c r="N1122" s="20"/>
      <c r="O1122" s="20"/>
      <c r="P1122" s="20"/>
      <c r="Q1122" s="97"/>
      <c r="R1122" s="20"/>
      <c r="S1122" s="20"/>
      <c r="T1122" s="20"/>
      <c r="U1122" s="20"/>
      <c r="V1122" s="20"/>
      <c r="W1122" s="20"/>
      <c r="X1122" s="20"/>
      <c r="Y1122" s="20"/>
      <c r="Z1122" s="20"/>
      <c r="AA1122" s="20"/>
      <c r="BP1122" s="190"/>
    </row>
    <row r="1123" spans="2:68" x14ac:dyDescent="0.25">
      <c r="B1123" s="98" t="s">
        <v>553</v>
      </c>
      <c r="C1123" s="98">
        <v>2014</v>
      </c>
      <c r="D1123" s="98" t="s">
        <v>191</v>
      </c>
      <c r="E1123" s="98" t="s">
        <v>28</v>
      </c>
      <c r="F1123" s="98" t="s">
        <v>131</v>
      </c>
      <c r="G1123" s="248">
        <v>18318.060999999801</v>
      </c>
      <c r="H1123" s="299" t="str">
        <f>VLOOKUP(LEFT('Rev Adequacy'!D1123,3),'Mapping B'!$D$2:$E$400,2,0)</f>
        <v>N</v>
      </c>
      <c r="J1123" s="20"/>
      <c r="K1123" s="20"/>
      <c r="L1123" s="20"/>
      <c r="M1123" s="20"/>
      <c r="N1123" s="20"/>
      <c r="O1123" s="20"/>
      <c r="P1123" s="20"/>
      <c r="Q1123" s="97"/>
      <c r="R1123" s="20"/>
      <c r="S1123" s="20"/>
      <c r="T1123" s="20"/>
      <c r="U1123" s="20"/>
      <c r="V1123" s="20"/>
      <c r="W1123" s="20"/>
      <c r="X1123" s="20"/>
      <c r="Y1123" s="20"/>
      <c r="Z1123" s="20"/>
      <c r="AA1123" s="20"/>
      <c r="BP1123" s="190"/>
    </row>
    <row r="1124" spans="2:68" x14ac:dyDescent="0.25">
      <c r="B1124" s="98" t="s">
        <v>553</v>
      </c>
      <c r="C1124" s="98">
        <v>2014</v>
      </c>
      <c r="D1124" s="98" t="s">
        <v>199</v>
      </c>
      <c r="E1124" s="98" t="s">
        <v>28</v>
      </c>
      <c r="F1124" s="98" t="s">
        <v>131</v>
      </c>
      <c r="G1124" s="248">
        <v>84012.6230000012</v>
      </c>
      <c r="H1124" s="299" t="str">
        <f>VLOOKUP(LEFT('Rev Adequacy'!D1124,3),'Mapping B'!$D$2:$E$400,2,0)</f>
        <v>N</v>
      </c>
      <c r="J1124" s="20"/>
      <c r="K1124" s="20"/>
      <c r="L1124" s="20"/>
      <c r="M1124" s="20"/>
      <c r="N1124" s="20"/>
      <c r="O1124" s="20"/>
      <c r="P1124" s="20"/>
      <c r="Q1124" s="97"/>
      <c r="R1124" s="20"/>
      <c r="S1124" s="20"/>
      <c r="T1124" s="20"/>
      <c r="U1124" s="20"/>
      <c r="V1124" s="20"/>
      <c r="W1124" s="20"/>
      <c r="X1124" s="20"/>
      <c r="Y1124" s="20"/>
      <c r="Z1124" s="20"/>
      <c r="AA1124" s="20"/>
      <c r="BP1124" s="190"/>
    </row>
    <row r="1125" spans="2:68" x14ac:dyDescent="0.25">
      <c r="B1125" s="98" t="s">
        <v>553</v>
      </c>
      <c r="C1125" s="98">
        <v>2014</v>
      </c>
      <c r="D1125" s="98" t="s">
        <v>210</v>
      </c>
      <c r="E1125" s="98" t="s">
        <v>28</v>
      </c>
      <c r="F1125" s="98" t="s">
        <v>131</v>
      </c>
      <c r="G1125" s="248">
        <v>34859.436999999903</v>
      </c>
      <c r="H1125" s="299" t="str">
        <f>VLOOKUP(LEFT('Rev Adequacy'!D1125,3),'Mapping B'!$D$2:$E$400,2,0)</f>
        <v>N</v>
      </c>
      <c r="J1125" s="20"/>
      <c r="K1125" s="20"/>
      <c r="L1125" s="20"/>
      <c r="M1125" s="20"/>
      <c r="N1125" s="20"/>
      <c r="O1125" s="20"/>
      <c r="P1125" s="20"/>
      <c r="Q1125" s="97"/>
      <c r="R1125" s="20"/>
      <c r="S1125" s="20"/>
      <c r="T1125" s="20"/>
      <c r="U1125" s="20"/>
      <c r="V1125" s="20"/>
      <c r="W1125" s="20"/>
      <c r="X1125" s="20"/>
      <c r="Y1125" s="20"/>
      <c r="Z1125" s="20"/>
      <c r="AA1125" s="20"/>
      <c r="BP1125" s="190"/>
    </row>
    <row r="1126" spans="2:68" x14ac:dyDescent="0.25">
      <c r="B1126" s="98" t="s">
        <v>553</v>
      </c>
      <c r="C1126" s="98">
        <v>2014</v>
      </c>
      <c r="D1126" s="98" t="s">
        <v>211</v>
      </c>
      <c r="E1126" s="98" t="s">
        <v>28</v>
      </c>
      <c r="F1126" s="98" t="s">
        <v>131</v>
      </c>
      <c r="G1126" s="248">
        <v>53205.989999999001</v>
      </c>
      <c r="H1126" s="299" t="str">
        <f>VLOOKUP(LEFT('Rev Adequacy'!D1126,3),'Mapping B'!$D$2:$E$400,2,0)</f>
        <v>N</v>
      </c>
      <c r="J1126" s="20"/>
      <c r="K1126" s="20"/>
      <c r="L1126" s="20"/>
      <c r="M1126" s="20"/>
      <c r="N1126" s="20"/>
      <c r="O1126" s="20"/>
      <c r="P1126" s="20"/>
      <c r="Q1126" s="97"/>
      <c r="R1126" s="20"/>
      <c r="S1126" s="20"/>
      <c r="T1126" s="20"/>
      <c r="U1126" s="20"/>
      <c r="V1126" s="20"/>
      <c r="W1126" s="20"/>
      <c r="X1126" s="20"/>
      <c r="Y1126" s="20"/>
      <c r="Z1126" s="20"/>
      <c r="AA1126" s="20"/>
      <c r="BP1126" s="190"/>
    </row>
    <row r="1127" spans="2:68" x14ac:dyDescent="0.25">
      <c r="B1127" s="98" t="s">
        <v>553</v>
      </c>
      <c r="C1127" s="98">
        <v>2014</v>
      </c>
      <c r="D1127" s="98" t="s">
        <v>234</v>
      </c>
      <c r="E1127" s="98" t="s">
        <v>28</v>
      </c>
      <c r="F1127" s="98" t="s">
        <v>131</v>
      </c>
      <c r="G1127" s="248">
        <v>32567.8149999997</v>
      </c>
      <c r="H1127" s="299" t="str">
        <f>VLOOKUP(LEFT('Rev Adequacy'!D1127,3),'Mapping B'!$D$2:$E$400,2,0)</f>
        <v>N</v>
      </c>
      <c r="J1127" s="20"/>
      <c r="K1127" s="20"/>
      <c r="L1127" s="20"/>
      <c r="M1127" s="20"/>
      <c r="N1127" s="20"/>
      <c r="O1127" s="20"/>
      <c r="P1127" s="20"/>
      <c r="Q1127" s="97"/>
      <c r="R1127" s="20"/>
      <c r="S1127" s="20"/>
      <c r="T1127" s="20"/>
      <c r="U1127" s="20"/>
      <c r="V1127" s="20"/>
      <c r="W1127" s="20"/>
      <c r="X1127" s="20"/>
      <c r="Y1127" s="20"/>
      <c r="Z1127" s="20"/>
      <c r="AA1127" s="20"/>
      <c r="BP1127" s="190"/>
    </row>
    <row r="1128" spans="2:68" x14ac:dyDescent="0.25">
      <c r="B1128" s="98" t="s">
        <v>553</v>
      </c>
      <c r="C1128" s="98">
        <v>2014</v>
      </c>
      <c r="D1128" s="98" t="s">
        <v>235</v>
      </c>
      <c r="E1128" s="98" t="s">
        <v>28</v>
      </c>
      <c r="F1128" s="98" t="s">
        <v>131</v>
      </c>
      <c r="G1128" s="248">
        <v>29726.580000000198</v>
      </c>
      <c r="H1128" s="299" t="str">
        <f>VLOOKUP(LEFT('Rev Adequacy'!D1128,3),'Mapping B'!$D$2:$E$400,2,0)</f>
        <v>N</v>
      </c>
      <c r="J1128" s="20"/>
      <c r="K1128" s="20"/>
      <c r="L1128" s="20"/>
      <c r="M1128" s="20"/>
      <c r="N1128" s="20"/>
      <c r="O1128" s="20"/>
      <c r="P1128" s="20"/>
      <c r="Q1128" s="97"/>
      <c r="R1128" s="20"/>
      <c r="S1128" s="20"/>
      <c r="T1128" s="20"/>
      <c r="U1128" s="20"/>
      <c r="V1128" s="20"/>
      <c r="W1128" s="20"/>
      <c r="X1128" s="20"/>
      <c r="Y1128" s="20"/>
      <c r="Z1128" s="20"/>
      <c r="AA1128" s="20"/>
      <c r="BP1128" s="190"/>
    </row>
    <row r="1129" spans="2:68" x14ac:dyDescent="0.25">
      <c r="B1129" s="98" t="s">
        <v>553</v>
      </c>
      <c r="C1129" s="98">
        <v>2014</v>
      </c>
      <c r="D1129" s="98" t="s">
        <v>240</v>
      </c>
      <c r="E1129" s="98" t="s">
        <v>28</v>
      </c>
      <c r="F1129" s="98" t="s">
        <v>131</v>
      </c>
      <c r="G1129" s="248">
        <v>91801.058000000194</v>
      </c>
      <c r="H1129" s="299" t="str">
        <f>VLOOKUP(LEFT('Rev Adequacy'!D1129,3),'Mapping B'!$D$2:$E$400,2,0)</f>
        <v>N</v>
      </c>
      <c r="J1129" s="20"/>
      <c r="K1129" s="20"/>
      <c r="L1129" s="20"/>
      <c r="M1129" s="20"/>
      <c r="N1129" s="20"/>
      <c r="O1129" s="20"/>
      <c r="P1129" s="20"/>
      <c r="Q1129" s="97"/>
      <c r="R1129" s="20"/>
      <c r="S1129" s="20"/>
      <c r="T1129" s="20"/>
      <c r="U1129" s="20"/>
      <c r="V1129" s="20"/>
      <c r="W1129" s="20"/>
      <c r="X1129" s="20"/>
      <c r="Y1129" s="20"/>
      <c r="Z1129" s="20"/>
      <c r="AA1129" s="20"/>
      <c r="BP1129" s="190"/>
    </row>
    <row r="1130" spans="2:68" x14ac:dyDescent="0.25">
      <c r="B1130" s="98" t="s">
        <v>553</v>
      </c>
      <c r="C1130" s="98">
        <v>2014</v>
      </c>
      <c r="D1130" s="98" t="s">
        <v>246</v>
      </c>
      <c r="E1130" s="98" t="s">
        <v>28</v>
      </c>
      <c r="F1130" s="98" t="s">
        <v>131</v>
      </c>
      <c r="G1130" s="248">
        <v>92539.862999999503</v>
      </c>
      <c r="H1130" s="299" t="str">
        <f>VLOOKUP(LEFT('Rev Adequacy'!D1130,3),'Mapping B'!$D$2:$E$400,2,0)</f>
        <v>N</v>
      </c>
      <c r="J1130" s="20"/>
      <c r="K1130" s="20"/>
      <c r="L1130" s="20"/>
      <c r="M1130" s="20"/>
      <c r="N1130" s="20"/>
      <c r="O1130" s="20"/>
      <c r="P1130" s="20"/>
      <c r="Q1130" s="97"/>
      <c r="R1130" s="20"/>
      <c r="S1130" s="20"/>
      <c r="T1130" s="20"/>
      <c r="U1130" s="20"/>
      <c r="V1130" s="20"/>
      <c r="W1130" s="20"/>
      <c r="X1130" s="20"/>
      <c r="Y1130" s="20"/>
      <c r="Z1130" s="20"/>
      <c r="AA1130" s="20"/>
      <c r="BP1130" s="190"/>
    </row>
    <row r="1131" spans="2:68" x14ac:dyDescent="0.25">
      <c r="B1131" s="98" t="s">
        <v>553</v>
      </c>
      <c r="C1131" s="98">
        <v>2014</v>
      </c>
      <c r="D1131" s="98" t="s">
        <v>255</v>
      </c>
      <c r="E1131" s="98" t="s">
        <v>28</v>
      </c>
      <c r="F1131" s="98" t="s">
        <v>131</v>
      </c>
      <c r="G1131" s="248">
        <v>19577.782999999599</v>
      </c>
      <c r="H1131" s="299" t="str">
        <f>VLOOKUP(LEFT('Rev Adequacy'!D1131,3),'Mapping B'!$D$2:$E$400,2,0)</f>
        <v>N</v>
      </c>
      <c r="J1131" s="20"/>
      <c r="K1131" s="20"/>
      <c r="L1131" s="20"/>
      <c r="M1131" s="20"/>
      <c r="N1131" s="20"/>
      <c r="O1131" s="20"/>
      <c r="P1131" s="20"/>
      <c r="Q1131" s="97"/>
      <c r="R1131" s="20"/>
      <c r="S1131" s="20"/>
      <c r="T1131" s="20"/>
      <c r="U1131" s="20"/>
      <c r="V1131" s="20"/>
      <c r="W1131" s="20"/>
      <c r="X1131" s="20"/>
      <c r="Y1131" s="20"/>
      <c r="Z1131" s="20"/>
      <c r="AA1131" s="20"/>
      <c r="BP1131" s="190"/>
    </row>
    <row r="1132" spans="2:68" x14ac:dyDescent="0.25">
      <c r="B1132" s="98" t="s">
        <v>553</v>
      </c>
      <c r="C1132" s="98">
        <v>2014</v>
      </c>
      <c r="D1132" s="98" t="s">
        <v>266</v>
      </c>
      <c r="E1132" s="98" t="s">
        <v>28</v>
      </c>
      <c r="F1132" s="98" t="s">
        <v>131</v>
      </c>
      <c r="G1132" s="248">
        <v>78635.4470000008</v>
      </c>
      <c r="H1132" s="299" t="str">
        <f>VLOOKUP(LEFT('Rev Adequacy'!D1132,3),'Mapping B'!$D$2:$E$400,2,0)</f>
        <v>N</v>
      </c>
      <c r="J1132" s="20"/>
      <c r="K1132" s="20"/>
      <c r="L1132" s="20"/>
      <c r="M1132" s="20"/>
      <c r="N1132" s="20"/>
      <c r="O1132" s="20"/>
      <c r="P1132" s="20"/>
      <c r="Q1132" s="97"/>
      <c r="R1132" s="20"/>
      <c r="S1132" s="20"/>
      <c r="T1132" s="20"/>
      <c r="U1132" s="20"/>
      <c r="V1132" s="20"/>
      <c r="W1132" s="20"/>
      <c r="X1132" s="20"/>
      <c r="Y1132" s="20"/>
      <c r="Z1132" s="20"/>
      <c r="AA1132" s="20"/>
      <c r="BP1132" s="190"/>
    </row>
    <row r="1133" spans="2:68" x14ac:dyDescent="0.25">
      <c r="B1133" s="98" t="s">
        <v>553</v>
      </c>
      <c r="C1133" s="98">
        <v>2014</v>
      </c>
      <c r="D1133" s="98" t="s">
        <v>268</v>
      </c>
      <c r="E1133" s="98" t="s">
        <v>28</v>
      </c>
      <c r="F1133" s="98" t="s">
        <v>131</v>
      </c>
      <c r="G1133" s="248">
        <v>117475.568999999</v>
      </c>
      <c r="H1133" s="299" t="str">
        <f>VLOOKUP(LEFT('Rev Adequacy'!D1133,3),'Mapping B'!$D$2:$E$400,2,0)</f>
        <v>N</v>
      </c>
      <c r="J1133" s="20"/>
      <c r="K1133" s="20"/>
      <c r="L1133" s="20"/>
      <c r="M1133" s="20"/>
      <c r="N1133" s="20"/>
      <c r="O1133" s="20"/>
      <c r="P1133" s="20"/>
      <c r="Q1133" s="97"/>
      <c r="R1133" s="20"/>
      <c r="S1133" s="20"/>
      <c r="T1133" s="20"/>
      <c r="U1133" s="20"/>
      <c r="V1133" s="20"/>
      <c r="W1133" s="20"/>
      <c r="X1133" s="20"/>
      <c r="Y1133" s="20"/>
      <c r="Z1133" s="20"/>
      <c r="AA1133" s="20"/>
      <c r="BP1133" s="190"/>
    </row>
    <row r="1134" spans="2:68" x14ac:dyDescent="0.25">
      <c r="B1134" s="98" t="s">
        <v>553</v>
      </c>
      <c r="C1134" s="98">
        <v>2014</v>
      </c>
      <c r="D1134" s="98" t="s">
        <v>269</v>
      </c>
      <c r="E1134" s="98" t="s">
        <v>28</v>
      </c>
      <c r="F1134" s="98" t="s">
        <v>131</v>
      </c>
      <c r="G1134" s="248">
        <v>30446.425999999799</v>
      </c>
      <c r="H1134" s="299" t="str">
        <f>VLOOKUP(LEFT('Rev Adequacy'!D1134,3),'Mapping B'!$D$2:$E$400,2,0)</f>
        <v>N</v>
      </c>
      <c r="J1134" s="20"/>
      <c r="K1134" s="20"/>
      <c r="L1134" s="20"/>
      <c r="M1134" s="20"/>
      <c r="N1134" s="20"/>
      <c r="O1134" s="20"/>
      <c r="P1134" s="20"/>
      <c r="Q1134" s="97"/>
      <c r="R1134" s="20"/>
      <c r="S1134" s="20"/>
      <c r="T1134" s="20"/>
      <c r="U1134" s="20"/>
      <c r="V1134" s="20"/>
      <c r="W1134" s="20"/>
      <c r="X1134" s="20"/>
      <c r="Y1134" s="20"/>
      <c r="Z1134" s="20"/>
      <c r="AA1134" s="20"/>
      <c r="BP1134" s="190"/>
    </row>
    <row r="1135" spans="2:68" x14ac:dyDescent="0.25">
      <c r="B1135" s="98" t="s">
        <v>553</v>
      </c>
      <c r="C1135" s="98">
        <v>2014</v>
      </c>
      <c r="D1135" s="98" t="s">
        <v>271</v>
      </c>
      <c r="E1135" s="98" t="s">
        <v>28</v>
      </c>
      <c r="F1135" s="98" t="s">
        <v>131</v>
      </c>
      <c r="G1135" s="248">
        <v>12817.4389999998</v>
      </c>
      <c r="H1135" s="299" t="str">
        <f>VLOOKUP(LEFT('Rev Adequacy'!D1135,3),'Mapping B'!$D$2:$E$400,2,0)</f>
        <v>N</v>
      </c>
      <c r="J1135" s="20"/>
      <c r="K1135" s="20"/>
      <c r="L1135" s="20"/>
      <c r="M1135" s="20"/>
      <c r="N1135" s="20"/>
      <c r="O1135" s="20"/>
      <c r="P1135" s="20"/>
      <c r="Q1135" s="97"/>
      <c r="R1135" s="20"/>
      <c r="S1135" s="20"/>
      <c r="T1135" s="20"/>
      <c r="U1135" s="20"/>
      <c r="V1135" s="20"/>
      <c r="W1135" s="20"/>
      <c r="X1135" s="20"/>
      <c r="Y1135" s="20"/>
      <c r="Z1135" s="20"/>
      <c r="AA1135" s="20"/>
      <c r="BP1135" s="190"/>
    </row>
    <row r="1136" spans="2:68" x14ac:dyDescent="0.25">
      <c r="B1136" s="98" t="s">
        <v>553</v>
      </c>
      <c r="C1136" s="98">
        <v>2014</v>
      </c>
      <c r="D1136" s="98" t="s">
        <v>279</v>
      </c>
      <c r="E1136" s="98" t="s">
        <v>28</v>
      </c>
      <c r="F1136" s="98" t="s">
        <v>131</v>
      </c>
      <c r="G1136" s="248">
        <v>30963.4436064701</v>
      </c>
      <c r="H1136" s="299" t="str">
        <f>VLOOKUP(LEFT('Rev Adequacy'!D1136,3),'Mapping B'!$D$2:$E$400,2,0)</f>
        <v>N</v>
      </c>
      <c r="J1136" s="20"/>
      <c r="K1136" s="20"/>
      <c r="L1136" s="20"/>
      <c r="M1136" s="20"/>
      <c r="N1136" s="20"/>
      <c r="O1136" s="20"/>
      <c r="P1136" s="20"/>
      <c r="Q1136" s="97"/>
      <c r="R1136" s="20"/>
      <c r="S1136" s="20"/>
      <c r="T1136" s="20"/>
      <c r="U1136" s="20"/>
      <c r="V1136" s="20"/>
      <c r="W1136" s="20"/>
      <c r="X1136" s="20"/>
      <c r="Y1136" s="20"/>
      <c r="Z1136" s="20"/>
      <c r="AA1136" s="20"/>
      <c r="BP1136" s="190"/>
    </row>
    <row r="1137" spans="2:68" x14ac:dyDescent="0.25">
      <c r="B1137" s="98" t="s">
        <v>553</v>
      </c>
      <c r="C1137" s="98">
        <v>2014</v>
      </c>
      <c r="D1137" s="98" t="s">
        <v>288</v>
      </c>
      <c r="E1137" s="98" t="s">
        <v>28</v>
      </c>
      <c r="F1137" s="98" t="s">
        <v>131</v>
      </c>
      <c r="G1137" s="248">
        <v>4273.2282079851002</v>
      </c>
      <c r="H1137" s="299" t="str">
        <f>VLOOKUP(LEFT('Rev Adequacy'!D1137,3),'Mapping B'!$D$2:$E$400,2,0)</f>
        <v>N</v>
      </c>
      <c r="J1137" s="20"/>
      <c r="K1137" s="20"/>
      <c r="L1137" s="20"/>
      <c r="M1137" s="20"/>
      <c r="N1137" s="20"/>
      <c r="O1137" s="20"/>
      <c r="P1137" s="20"/>
      <c r="Q1137" s="97"/>
      <c r="R1137" s="20"/>
      <c r="S1137" s="20"/>
      <c r="T1137" s="20"/>
      <c r="U1137" s="20"/>
      <c r="V1137" s="20"/>
      <c r="W1137" s="20"/>
      <c r="X1137" s="20"/>
      <c r="Y1137" s="20"/>
      <c r="Z1137" s="20"/>
      <c r="AA1137" s="20"/>
      <c r="BP1137" s="190"/>
    </row>
    <row r="1138" spans="2:68" x14ac:dyDescent="0.25">
      <c r="B1138" s="98" t="s">
        <v>553</v>
      </c>
      <c r="C1138" s="98">
        <v>2014</v>
      </c>
      <c r="D1138" s="98" t="s">
        <v>290</v>
      </c>
      <c r="E1138" s="98" t="s">
        <v>28</v>
      </c>
      <c r="F1138" s="98" t="s">
        <v>131</v>
      </c>
      <c r="G1138" s="248">
        <v>15067.475999999901</v>
      </c>
      <c r="H1138" s="299" t="str">
        <f>VLOOKUP(LEFT('Rev Adequacy'!D1138,3),'Mapping B'!$D$2:$E$400,2,0)</f>
        <v>N</v>
      </c>
      <c r="J1138" s="20"/>
      <c r="K1138" s="20"/>
      <c r="L1138" s="20"/>
      <c r="M1138" s="20"/>
      <c r="N1138" s="20"/>
      <c r="O1138" s="20"/>
      <c r="P1138" s="20"/>
      <c r="Q1138" s="97"/>
      <c r="R1138" s="20"/>
      <c r="S1138" s="20"/>
      <c r="T1138" s="20"/>
      <c r="U1138" s="20"/>
      <c r="V1138" s="20"/>
      <c r="W1138" s="20"/>
      <c r="X1138" s="20"/>
      <c r="Y1138" s="20"/>
      <c r="Z1138" s="20"/>
      <c r="AA1138" s="20"/>
      <c r="BP1138" s="190"/>
    </row>
    <row r="1139" spans="2:68" x14ac:dyDescent="0.25">
      <c r="B1139" s="98" t="s">
        <v>553</v>
      </c>
      <c r="C1139" s="98">
        <v>2014</v>
      </c>
      <c r="D1139" s="98" t="s">
        <v>297</v>
      </c>
      <c r="E1139" s="98" t="s">
        <v>28</v>
      </c>
      <c r="F1139" s="98" t="s">
        <v>131</v>
      </c>
      <c r="G1139" s="248">
        <v>54945.851000000599</v>
      </c>
      <c r="H1139" s="299" t="str">
        <f>VLOOKUP(LEFT('Rev Adequacy'!D1139,3),'Mapping B'!$D$2:$E$400,2,0)</f>
        <v>N</v>
      </c>
      <c r="J1139" s="20"/>
      <c r="K1139" s="20"/>
      <c r="L1139" s="20"/>
      <c r="M1139" s="20"/>
      <c r="N1139" s="20"/>
      <c r="O1139" s="20"/>
      <c r="P1139" s="20"/>
      <c r="Q1139" s="97"/>
      <c r="R1139" s="20"/>
      <c r="S1139" s="20"/>
      <c r="T1139" s="20"/>
      <c r="U1139" s="20"/>
      <c r="V1139" s="20"/>
      <c r="W1139" s="20"/>
      <c r="X1139" s="20"/>
      <c r="Y1139" s="20"/>
      <c r="Z1139" s="20"/>
      <c r="AA1139" s="20"/>
      <c r="BP1139" s="190"/>
    </row>
    <row r="1140" spans="2:68" x14ac:dyDescent="0.25">
      <c r="B1140" s="98" t="s">
        <v>553</v>
      </c>
      <c r="C1140" s="98">
        <v>2014</v>
      </c>
      <c r="D1140" s="98" t="s">
        <v>320</v>
      </c>
      <c r="E1140" s="98" t="s">
        <v>28</v>
      </c>
      <c r="F1140" s="98" t="s">
        <v>131</v>
      </c>
      <c r="G1140" s="248">
        <v>43340.89</v>
      </c>
      <c r="H1140" s="299" t="str">
        <f>VLOOKUP(LEFT('Rev Adequacy'!D1140,3),'Mapping B'!$D$2:$E$400,2,0)</f>
        <v>N</v>
      </c>
      <c r="J1140" s="20"/>
      <c r="K1140" s="20"/>
      <c r="L1140" s="20"/>
      <c r="M1140" s="20"/>
      <c r="N1140" s="20"/>
      <c r="O1140" s="20"/>
      <c r="P1140" s="20"/>
      <c r="Q1140" s="97"/>
      <c r="R1140" s="20"/>
      <c r="S1140" s="20"/>
      <c r="T1140" s="20"/>
      <c r="U1140" s="20"/>
      <c r="V1140" s="20"/>
      <c r="W1140" s="20"/>
      <c r="X1140" s="20"/>
      <c r="Y1140" s="20"/>
      <c r="Z1140" s="20"/>
      <c r="AA1140" s="20"/>
      <c r="BP1140" s="190"/>
    </row>
    <row r="1141" spans="2:68" x14ac:dyDescent="0.25">
      <c r="B1141" s="98" t="s">
        <v>553</v>
      </c>
      <c r="C1141" s="98">
        <v>2014</v>
      </c>
      <c r="D1141" s="98" t="s">
        <v>333</v>
      </c>
      <c r="E1141" s="98" t="s">
        <v>28</v>
      </c>
      <c r="F1141" s="98" t="s">
        <v>131</v>
      </c>
      <c r="G1141" s="248">
        <v>49073.282000001003</v>
      </c>
      <c r="H1141" s="299" t="str">
        <f>VLOOKUP(LEFT('Rev Adequacy'!D1141,3),'Mapping B'!$D$2:$E$400,2,0)</f>
        <v>N</v>
      </c>
      <c r="J1141" s="20"/>
      <c r="K1141" s="20"/>
      <c r="L1141" s="20"/>
      <c r="M1141" s="20"/>
      <c r="N1141" s="20"/>
      <c r="O1141" s="20"/>
      <c r="P1141" s="20"/>
      <c r="Q1141" s="97"/>
      <c r="R1141" s="20"/>
      <c r="S1141" s="20"/>
      <c r="T1141" s="20"/>
      <c r="U1141" s="20"/>
      <c r="V1141" s="20"/>
      <c r="W1141" s="20"/>
      <c r="X1141" s="20"/>
      <c r="Y1141" s="20"/>
      <c r="Z1141" s="20"/>
      <c r="AA1141" s="20"/>
      <c r="BP1141" s="190"/>
    </row>
    <row r="1142" spans="2:68" x14ac:dyDescent="0.25">
      <c r="B1142" s="98" t="s">
        <v>553</v>
      </c>
      <c r="C1142" s="98">
        <v>2014</v>
      </c>
      <c r="D1142" s="98" t="s">
        <v>334</v>
      </c>
      <c r="E1142" s="98" t="s">
        <v>28</v>
      </c>
      <c r="F1142" s="98" t="s">
        <v>131</v>
      </c>
      <c r="G1142" s="248">
        <v>145969.69500000001</v>
      </c>
      <c r="H1142" s="299" t="str">
        <f>VLOOKUP(LEFT('Rev Adequacy'!D1142,3),'Mapping B'!$D$2:$E$400,2,0)</f>
        <v>N</v>
      </c>
      <c r="J1142" s="20"/>
      <c r="K1142" s="20"/>
      <c r="L1142" s="20"/>
      <c r="M1142" s="20"/>
      <c r="N1142" s="20"/>
      <c r="O1142" s="20"/>
      <c r="P1142" s="20"/>
      <c r="Q1142" s="97"/>
      <c r="R1142" s="20"/>
      <c r="S1142" s="20"/>
      <c r="T1142" s="20"/>
      <c r="U1142" s="20"/>
      <c r="V1142" s="20"/>
      <c r="W1142" s="20"/>
      <c r="X1142" s="20"/>
      <c r="Y1142" s="20"/>
      <c r="Z1142" s="20"/>
      <c r="AA1142" s="20"/>
      <c r="BP1142" s="190"/>
    </row>
    <row r="1143" spans="2:68" x14ac:dyDescent="0.25">
      <c r="B1143" s="98" t="s">
        <v>553</v>
      </c>
      <c r="C1143" s="98">
        <v>2014</v>
      </c>
      <c r="D1143" s="98" t="s">
        <v>346</v>
      </c>
      <c r="E1143" s="98" t="s">
        <v>28</v>
      </c>
      <c r="F1143" s="98" t="s">
        <v>131</v>
      </c>
      <c r="G1143" s="248">
        <v>53039.579000000602</v>
      </c>
      <c r="H1143" s="299" t="str">
        <f>VLOOKUP(LEFT('Rev Adequacy'!D1143,3),'Mapping B'!$D$2:$E$400,2,0)</f>
        <v>N</v>
      </c>
      <c r="J1143" s="20"/>
      <c r="K1143" s="20"/>
      <c r="L1143" s="20"/>
      <c r="M1143" s="20"/>
      <c r="N1143" s="20"/>
      <c r="O1143" s="20"/>
      <c r="P1143" s="20"/>
      <c r="Q1143" s="97"/>
      <c r="R1143" s="20"/>
      <c r="S1143" s="20"/>
      <c r="T1143" s="20"/>
      <c r="U1143" s="20"/>
      <c r="V1143" s="20"/>
      <c r="W1143" s="20"/>
      <c r="X1143" s="20"/>
      <c r="Y1143" s="20"/>
      <c r="Z1143" s="20"/>
      <c r="AA1143" s="20"/>
      <c r="BP1143" s="190"/>
    </row>
    <row r="1144" spans="2:68" x14ac:dyDescent="0.25">
      <c r="B1144" s="98" t="s">
        <v>553</v>
      </c>
      <c r="C1144" s="98">
        <v>2014</v>
      </c>
      <c r="D1144" s="98" t="s">
        <v>368</v>
      </c>
      <c r="E1144" s="98" t="s">
        <v>28</v>
      </c>
      <c r="F1144" s="98" t="s">
        <v>131</v>
      </c>
      <c r="G1144" s="248">
        <v>50154.709999999497</v>
      </c>
      <c r="H1144" s="299" t="str">
        <f>VLOOKUP(LEFT('Rev Adequacy'!D1144,3),'Mapping B'!$D$2:$E$400,2,0)</f>
        <v>N</v>
      </c>
      <c r="J1144" s="20"/>
      <c r="K1144" s="20"/>
      <c r="L1144" s="20"/>
      <c r="M1144" s="20"/>
      <c r="N1144" s="20"/>
      <c r="O1144" s="20"/>
      <c r="P1144" s="20"/>
      <c r="Q1144" s="97"/>
      <c r="R1144" s="20"/>
      <c r="S1144" s="20"/>
      <c r="T1144" s="20"/>
      <c r="U1144" s="20"/>
      <c r="V1144" s="20"/>
      <c r="W1144" s="20"/>
      <c r="X1144" s="20"/>
      <c r="Y1144" s="20"/>
      <c r="Z1144" s="20"/>
      <c r="AA1144" s="20"/>
      <c r="BP1144" s="190"/>
    </row>
    <row r="1145" spans="2:68" x14ac:dyDescent="0.25">
      <c r="B1145" s="98" t="s">
        <v>553</v>
      </c>
      <c r="C1145" s="98">
        <v>2014</v>
      </c>
      <c r="D1145" s="98" t="s">
        <v>372</v>
      </c>
      <c r="E1145" s="98" t="s">
        <v>28</v>
      </c>
      <c r="F1145" s="98" t="s">
        <v>131</v>
      </c>
      <c r="G1145" s="248">
        <v>66009.611000000004</v>
      </c>
      <c r="H1145" s="299" t="str">
        <f>VLOOKUP(LEFT('Rev Adequacy'!D1145,3),'Mapping B'!$D$2:$E$400,2,0)</f>
        <v>N</v>
      </c>
      <c r="J1145" s="20"/>
      <c r="K1145" s="20"/>
      <c r="L1145" s="20"/>
      <c r="M1145" s="20"/>
      <c r="N1145" s="20"/>
      <c r="O1145" s="20"/>
      <c r="P1145" s="20"/>
      <c r="Q1145" s="97"/>
      <c r="R1145" s="20"/>
      <c r="S1145" s="20"/>
      <c r="T1145" s="20"/>
      <c r="U1145" s="20"/>
      <c r="V1145" s="20"/>
      <c r="W1145" s="20"/>
      <c r="X1145" s="20"/>
      <c r="Y1145" s="20"/>
      <c r="Z1145" s="20"/>
      <c r="AA1145" s="20"/>
      <c r="BP1145" s="190"/>
    </row>
    <row r="1146" spans="2:68" x14ac:dyDescent="0.25">
      <c r="B1146" s="98" t="s">
        <v>553</v>
      </c>
      <c r="C1146" s="98">
        <v>2014</v>
      </c>
      <c r="D1146" s="98" t="s">
        <v>378</v>
      </c>
      <c r="E1146" s="98" t="s">
        <v>28</v>
      </c>
      <c r="F1146" s="98" t="s">
        <v>131</v>
      </c>
      <c r="G1146" s="248">
        <v>75461.153999999893</v>
      </c>
      <c r="H1146" s="299" t="str">
        <f>VLOOKUP(LEFT('Rev Adequacy'!D1146,3),'Mapping B'!$D$2:$E$400,2,0)</f>
        <v>N</v>
      </c>
      <c r="J1146" s="20"/>
      <c r="K1146" s="20"/>
      <c r="L1146" s="20"/>
      <c r="M1146" s="20"/>
      <c r="N1146" s="20"/>
      <c r="O1146" s="20"/>
      <c r="P1146" s="20"/>
      <c r="Q1146" s="97"/>
      <c r="R1146" s="20"/>
      <c r="S1146" s="20"/>
      <c r="T1146" s="20"/>
      <c r="U1146" s="20"/>
      <c r="V1146" s="20"/>
      <c r="W1146" s="20"/>
      <c r="X1146" s="20"/>
      <c r="Y1146" s="20"/>
      <c r="Z1146" s="20"/>
      <c r="AA1146" s="20"/>
      <c r="BP1146" s="190"/>
    </row>
    <row r="1147" spans="2:68" x14ac:dyDescent="0.25">
      <c r="B1147" s="98" t="s">
        <v>553</v>
      </c>
      <c r="C1147" s="98">
        <v>2014</v>
      </c>
      <c r="D1147" s="98" t="s">
        <v>392</v>
      </c>
      <c r="E1147" s="98" t="s">
        <v>28</v>
      </c>
      <c r="F1147" s="98" t="s">
        <v>131</v>
      </c>
      <c r="G1147" s="248">
        <v>7975.13399999993</v>
      </c>
      <c r="H1147" s="299" t="str">
        <f>VLOOKUP(LEFT('Rev Adequacy'!D1147,3),'Mapping B'!$D$2:$E$400,2,0)</f>
        <v>N</v>
      </c>
      <c r="J1147" s="20"/>
      <c r="K1147" s="20"/>
      <c r="L1147" s="20"/>
      <c r="M1147" s="20"/>
      <c r="N1147" s="20"/>
      <c r="O1147" s="20"/>
      <c r="P1147" s="20"/>
      <c r="Q1147" s="97"/>
      <c r="R1147" s="20"/>
      <c r="S1147" s="20"/>
      <c r="T1147" s="20"/>
      <c r="U1147" s="20"/>
      <c r="V1147" s="20"/>
      <c r="W1147" s="20"/>
      <c r="X1147" s="20"/>
      <c r="Y1147" s="20"/>
      <c r="Z1147" s="20"/>
      <c r="AA1147" s="20"/>
      <c r="BP1147" s="190"/>
    </row>
    <row r="1148" spans="2:68" x14ac:dyDescent="0.25">
      <c r="B1148" s="98" t="s">
        <v>554</v>
      </c>
      <c r="C1148" s="98">
        <v>2014</v>
      </c>
      <c r="D1148" s="98" t="s">
        <v>157</v>
      </c>
      <c r="E1148" s="98" t="s">
        <v>28</v>
      </c>
      <c r="F1148" s="98" t="s">
        <v>131</v>
      </c>
      <c r="G1148" s="98">
        <v>95240.174999999406</v>
      </c>
      <c r="H1148" s="299" t="str">
        <f>VLOOKUP(LEFT('Rev Adequacy'!D1148,3),'Mapping B'!$D$2:$E$400,2,0)</f>
        <v>N</v>
      </c>
      <c r="J1148" s="20"/>
      <c r="K1148" s="20"/>
      <c r="L1148" s="20"/>
      <c r="M1148" s="20"/>
      <c r="N1148" s="20"/>
      <c r="O1148" s="20"/>
      <c r="P1148" s="20"/>
      <c r="Q1148" s="97"/>
      <c r="R1148" s="20"/>
      <c r="S1148" s="20"/>
      <c r="T1148" s="20"/>
      <c r="U1148" s="20"/>
      <c r="V1148" s="20"/>
      <c r="W1148" s="20"/>
      <c r="X1148" s="20"/>
      <c r="Y1148" s="20"/>
      <c r="Z1148" s="20"/>
      <c r="AA1148" s="20"/>
      <c r="BP1148" s="190"/>
    </row>
    <row r="1149" spans="2:68" x14ac:dyDescent="0.25">
      <c r="B1149" s="98" t="s">
        <v>554</v>
      </c>
      <c r="C1149" s="98">
        <v>2014</v>
      </c>
      <c r="D1149" s="98" t="s">
        <v>162</v>
      </c>
      <c r="E1149" s="98" t="s">
        <v>28</v>
      </c>
      <c r="F1149" s="98" t="s">
        <v>131</v>
      </c>
      <c r="G1149" s="98">
        <v>0</v>
      </c>
      <c r="H1149" s="299" t="str">
        <f>VLOOKUP(LEFT('Rev Adequacy'!D1149,3),'Mapping B'!$D$2:$E$400,2,0)</f>
        <v>N</v>
      </c>
      <c r="J1149" s="20"/>
      <c r="K1149" s="20"/>
      <c r="L1149" s="20"/>
      <c r="M1149" s="20"/>
      <c r="N1149" s="20"/>
      <c r="O1149" s="20"/>
      <c r="P1149" s="20"/>
      <c r="Q1149" s="97"/>
      <c r="R1149" s="20"/>
      <c r="S1149" s="20"/>
      <c r="T1149" s="20"/>
      <c r="U1149" s="20"/>
      <c r="V1149" s="20"/>
      <c r="W1149" s="20"/>
      <c r="X1149" s="20"/>
      <c r="Y1149" s="20"/>
      <c r="Z1149" s="20"/>
      <c r="AA1149" s="20"/>
      <c r="BP1149" s="190"/>
    </row>
    <row r="1150" spans="2:68" x14ac:dyDescent="0.25">
      <c r="B1150" s="98" t="s">
        <v>554</v>
      </c>
      <c r="C1150" s="98">
        <v>2014</v>
      </c>
      <c r="D1150" s="98" t="s">
        <v>174</v>
      </c>
      <c r="E1150" s="98" t="s">
        <v>28</v>
      </c>
      <c r="F1150" s="98" t="s">
        <v>131</v>
      </c>
      <c r="G1150" s="98">
        <v>261186.26800000001</v>
      </c>
      <c r="H1150" s="299" t="str">
        <f>VLOOKUP(LEFT('Rev Adequacy'!D1150,3),'Mapping B'!$D$2:$E$400,2,0)</f>
        <v>N</v>
      </c>
      <c r="J1150" s="20"/>
      <c r="K1150" s="20"/>
      <c r="L1150" s="20"/>
      <c r="M1150" s="20"/>
      <c r="N1150" s="20"/>
      <c r="O1150" s="20"/>
      <c r="P1150" s="20"/>
      <c r="Q1150" s="97"/>
      <c r="R1150" s="20"/>
      <c r="S1150" s="20"/>
      <c r="T1150" s="20"/>
      <c r="U1150" s="20"/>
      <c r="V1150" s="20"/>
      <c r="W1150" s="20"/>
      <c r="X1150" s="20"/>
      <c r="Y1150" s="20"/>
      <c r="Z1150" s="20"/>
      <c r="AA1150" s="20"/>
      <c r="BP1150" s="190"/>
    </row>
    <row r="1151" spans="2:68" x14ac:dyDescent="0.25">
      <c r="B1151" s="98" t="s">
        <v>554</v>
      </c>
      <c r="C1151" s="98">
        <v>2014</v>
      </c>
      <c r="D1151" s="98" t="s">
        <v>191</v>
      </c>
      <c r="E1151" s="98" t="s">
        <v>28</v>
      </c>
      <c r="F1151" s="98" t="s">
        <v>131</v>
      </c>
      <c r="G1151" s="98">
        <v>0</v>
      </c>
      <c r="H1151" s="299" t="str">
        <f>VLOOKUP(LEFT('Rev Adequacy'!D1151,3),'Mapping B'!$D$2:$E$400,2,0)</f>
        <v>N</v>
      </c>
      <c r="J1151" s="20"/>
      <c r="K1151" s="20"/>
      <c r="L1151" s="20"/>
      <c r="M1151" s="20"/>
      <c r="N1151" s="20"/>
      <c r="O1151" s="20"/>
      <c r="P1151" s="20"/>
      <c r="Q1151" s="97"/>
      <c r="R1151" s="20"/>
      <c r="S1151" s="20"/>
      <c r="T1151" s="20"/>
      <c r="U1151" s="20"/>
      <c r="V1151" s="20"/>
      <c r="W1151" s="20"/>
      <c r="X1151" s="20"/>
      <c r="Y1151" s="20"/>
      <c r="Z1151" s="20"/>
      <c r="AA1151" s="20"/>
      <c r="BP1151" s="190"/>
    </row>
    <row r="1152" spans="2:68" x14ac:dyDescent="0.25">
      <c r="B1152" s="98" t="s">
        <v>554</v>
      </c>
      <c r="C1152" s="98">
        <v>2014</v>
      </c>
      <c r="D1152" s="98" t="s">
        <v>199</v>
      </c>
      <c r="E1152" s="98" t="s">
        <v>28</v>
      </c>
      <c r="F1152" s="98" t="s">
        <v>131</v>
      </c>
      <c r="G1152" s="98">
        <v>319348.31999999803</v>
      </c>
      <c r="H1152" s="299" t="str">
        <f>VLOOKUP(LEFT('Rev Adequacy'!D1152,3),'Mapping B'!$D$2:$E$400,2,0)</f>
        <v>N</v>
      </c>
      <c r="J1152" s="20"/>
      <c r="K1152" s="20"/>
      <c r="L1152" s="20"/>
      <c r="M1152" s="20"/>
      <c r="N1152" s="20"/>
      <c r="O1152" s="20"/>
      <c r="P1152" s="20"/>
      <c r="Q1152" s="97"/>
      <c r="R1152" s="20"/>
      <c r="S1152" s="20"/>
      <c r="T1152" s="20"/>
      <c r="U1152" s="20"/>
      <c r="V1152" s="20"/>
      <c r="W1152" s="20"/>
      <c r="X1152" s="20"/>
      <c r="Y1152" s="20"/>
      <c r="Z1152" s="20"/>
      <c r="AA1152" s="20"/>
      <c r="BP1152" s="190"/>
    </row>
    <row r="1153" spans="2:68" x14ac:dyDescent="0.25">
      <c r="B1153" s="98" t="s">
        <v>554</v>
      </c>
      <c r="C1153" s="98">
        <v>2014</v>
      </c>
      <c r="D1153" s="98" t="s">
        <v>210</v>
      </c>
      <c r="E1153" s="98" t="s">
        <v>28</v>
      </c>
      <c r="F1153" s="98" t="s">
        <v>131</v>
      </c>
      <c r="G1153" s="98">
        <v>148078.79099999799</v>
      </c>
      <c r="H1153" s="299" t="str">
        <f>VLOOKUP(LEFT('Rev Adequacy'!D1153,3),'Mapping B'!$D$2:$E$400,2,0)</f>
        <v>N</v>
      </c>
      <c r="J1153" s="20"/>
      <c r="K1153" s="20"/>
      <c r="L1153" s="20"/>
      <c r="M1153" s="20"/>
      <c r="N1153" s="20"/>
      <c r="O1153" s="20"/>
      <c r="P1153" s="20"/>
      <c r="Q1153" s="97"/>
      <c r="R1153" s="20"/>
      <c r="S1153" s="20"/>
      <c r="T1153" s="20"/>
      <c r="U1153" s="20"/>
      <c r="V1153" s="20"/>
      <c r="W1153" s="20"/>
      <c r="X1153" s="20"/>
      <c r="Y1153" s="20"/>
      <c r="Z1153" s="20"/>
      <c r="AA1153" s="20"/>
      <c r="BP1153" s="190"/>
    </row>
    <row r="1154" spans="2:68" x14ac:dyDescent="0.25">
      <c r="B1154" s="98" t="s">
        <v>554</v>
      </c>
      <c r="C1154" s="98">
        <v>2014</v>
      </c>
      <c r="D1154" s="98" t="s">
        <v>211</v>
      </c>
      <c r="E1154" s="98" t="s">
        <v>28</v>
      </c>
      <c r="F1154" s="98" t="s">
        <v>131</v>
      </c>
      <c r="G1154" s="98">
        <v>156289.52799999801</v>
      </c>
      <c r="H1154" s="299" t="str">
        <f>VLOOKUP(LEFT('Rev Adequacy'!D1154,3),'Mapping B'!$D$2:$E$400,2,0)</f>
        <v>N</v>
      </c>
      <c r="J1154" s="20"/>
      <c r="K1154" s="20"/>
      <c r="L1154" s="20"/>
      <c r="M1154" s="20"/>
      <c r="N1154" s="20"/>
      <c r="O1154" s="20"/>
      <c r="P1154" s="20"/>
      <c r="Q1154" s="97"/>
      <c r="R1154" s="20"/>
      <c r="S1154" s="20"/>
      <c r="T1154" s="20"/>
      <c r="U1154" s="20"/>
      <c r="V1154" s="20"/>
      <c r="W1154" s="20"/>
      <c r="X1154" s="20"/>
      <c r="Y1154" s="20"/>
      <c r="Z1154" s="20"/>
      <c r="AA1154" s="20"/>
      <c r="BP1154" s="190"/>
    </row>
    <row r="1155" spans="2:68" x14ac:dyDescent="0.25">
      <c r="B1155" s="98" t="s">
        <v>554</v>
      </c>
      <c r="C1155" s="98">
        <v>2014</v>
      </c>
      <c r="D1155" s="98" t="s">
        <v>234</v>
      </c>
      <c r="E1155" s="98" t="s">
        <v>28</v>
      </c>
      <c r="F1155" s="98" t="s">
        <v>131</v>
      </c>
      <c r="G1155" s="98">
        <v>0</v>
      </c>
      <c r="H1155" s="299" t="str">
        <f>VLOOKUP(LEFT('Rev Adequacy'!D1155,3),'Mapping B'!$D$2:$E$400,2,0)</f>
        <v>N</v>
      </c>
      <c r="J1155" s="20"/>
      <c r="K1155" s="20"/>
      <c r="L1155" s="20"/>
      <c r="M1155" s="20"/>
      <c r="N1155" s="20"/>
      <c r="O1155" s="20"/>
      <c r="P1155" s="20"/>
      <c r="Q1155" s="97"/>
      <c r="R1155" s="20"/>
      <c r="S1155" s="20"/>
      <c r="T1155" s="20"/>
      <c r="U1155" s="20"/>
      <c r="V1155" s="20"/>
      <c r="W1155" s="20"/>
      <c r="X1155" s="20"/>
      <c r="Y1155" s="20"/>
      <c r="Z1155" s="20"/>
      <c r="AA1155" s="20"/>
      <c r="BP1155" s="190"/>
    </row>
    <row r="1156" spans="2:68" x14ac:dyDescent="0.25">
      <c r="B1156" s="98" t="s">
        <v>554</v>
      </c>
      <c r="C1156" s="98">
        <v>2014</v>
      </c>
      <c r="D1156" s="98" t="s">
        <v>235</v>
      </c>
      <c r="E1156" s="98" t="s">
        <v>28</v>
      </c>
      <c r="F1156" s="98" t="s">
        <v>131</v>
      </c>
      <c r="G1156" s="98">
        <v>0</v>
      </c>
      <c r="H1156" s="299" t="str">
        <f>VLOOKUP(LEFT('Rev Adequacy'!D1156,3),'Mapping B'!$D$2:$E$400,2,0)</f>
        <v>N</v>
      </c>
      <c r="J1156" s="20"/>
      <c r="K1156" s="20"/>
      <c r="L1156" s="20"/>
      <c r="M1156" s="20"/>
      <c r="N1156" s="20"/>
      <c r="O1156" s="20"/>
      <c r="P1156" s="20"/>
      <c r="Q1156" s="97"/>
      <c r="R1156" s="20"/>
      <c r="S1156" s="20"/>
      <c r="T1156" s="20"/>
      <c r="U1156" s="20"/>
      <c r="V1156" s="20"/>
      <c r="W1156" s="20"/>
      <c r="X1156" s="20"/>
      <c r="Y1156" s="20"/>
      <c r="Z1156" s="20"/>
      <c r="AA1156" s="20"/>
      <c r="BP1156" s="190"/>
    </row>
    <row r="1157" spans="2:68" x14ac:dyDescent="0.25">
      <c r="B1157" s="98" t="s">
        <v>554</v>
      </c>
      <c r="C1157" s="98">
        <v>2014</v>
      </c>
      <c r="D1157" s="98" t="s">
        <v>240</v>
      </c>
      <c r="E1157" s="98" t="s">
        <v>28</v>
      </c>
      <c r="F1157" s="98" t="s">
        <v>131</v>
      </c>
      <c r="G1157" s="98">
        <v>247912.014</v>
      </c>
      <c r="H1157" s="299" t="str">
        <f>VLOOKUP(LEFT('Rev Adequacy'!D1157,3),'Mapping B'!$D$2:$E$400,2,0)</f>
        <v>N</v>
      </c>
      <c r="J1157" s="20"/>
      <c r="K1157" s="20"/>
      <c r="L1157" s="20"/>
      <c r="M1157" s="20"/>
      <c r="N1157" s="20"/>
      <c r="O1157" s="20"/>
      <c r="P1157" s="20"/>
      <c r="Q1157" s="97"/>
      <c r="R1157" s="20"/>
      <c r="S1157" s="20"/>
      <c r="T1157" s="20"/>
      <c r="U1157" s="20"/>
      <c r="V1157" s="20"/>
      <c r="W1157" s="20"/>
      <c r="X1157" s="20"/>
      <c r="Y1157" s="20"/>
      <c r="Z1157" s="20"/>
      <c r="AA1157" s="20"/>
      <c r="BP1157" s="190"/>
    </row>
    <row r="1158" spans="2:68" x14ac:dyDescent="0.25">
      <c r="B1158" s="98" t="s">
        <v>554</v>
      </c>
      <c r="C1158" s="98">
        <v>2014</v>
      </c>
      <c r="D1158" s="98" t="s">
        <v>246</v>
      </c>
      <c r="E1158" s="98" t="s">
        <v>28</v>
      </c>
      <c r="F1158" s="98" t="s">
        <v>131</v>
      </c>
      <c r="G1158" s="98">
        <v>30481.342999999699</v>
      </c>
      <c r="H1158" s="299" t="str">
        <f>VLOOKUP(LEFT('Rev Adequacy'!D1158,3),'Mapping B'!$D$2:$E$400,2,0)</f>
        <v>N</v>
      </c>
      <c r="J1158" s="20"/>
      <c r="K1158" s="20"/>
      <c r="L1158" s="20"/>
      <c r="M1158" s="20"/>
      <c r="N1158" s="20"/>
      <c r="O1158" s="20"/>
      <c r="P1158" s="20"/>
      <c r="Q1158" s="97"/>
      <c r="R1158" s="20"/>
      <c r="S1158" s="20"/>
      <c r="T1158" s="20"/>
      <c r="U1158" s="20"/>
      <c r="V1158" s="20"/>
      <c r="W1158" s="20"/>
      <c r="X1158" s="20"/>
      <c r="Y1158" s="20"/>
      <c r="Z1158" s="20"/>
      <c r="AA1158" s="20"/>
      <c r="BP1158" s="190"/>
    </row>
    <row r="1159" spans="2:68" x14ac:dyDescent="0.25">
      <c r="B1159" s="98" t="s">
        <v>554</v>
      </c>
      <c r="C1159" s="98">
        <v>2014</v>
      </c>
      <c r="D1159" s="98" t="s">
        <v>255</v>
      </c>
      <c r="E1159" s="98" t="s">
        <v>28</v>
      </c>
      <c r="F1159" s="98" t="s">
        <v>131</v>
      </c>
      <c r="G1159" s="98">
        <v>49316.525999999998</v>
      </c>
      <c r="H1159" s="299" t="str">
        <f>VLOOKUP(LEFT('Rev Adequacy'!D1159,3),'Mapping B'!$D$2:$E$400,2,0)</f>
        <v>N</v>
      </c>
      <c r="J1159" s="20"/>
      <c r="K1159" s="20"/>
      <c r="L1159" s="20"/>
      <c r="M1159" s="20"/>
      <c r="N1159" s="20"/>
      <c r="O1159" s="20"/>
      <c r="P1159" s="20"/>
      <c r="Q1159" s="97"/>
      <c r="R1159" s="20"/>
      <c r="S1159" s="20"/>
      <c r="T1159" s="20"/>
      <c r="U1159" s="20"/>
      <c r="V1159" s="20"/>
      <c r="W1159" s="20"/>
      <c r="X1159" s="20"/>
      <c r="Y1159" s="20"/>
      <c r="Z1159" s="20"/>
      <c r="AA1159" s="20"/>
      <c r="BP1159" s="190"/>
    </row>
    <row r="1160" spans="2:68" x14ac:dyDescent="0.25">
      <c r="B1160" s="98" t="s">
        <v>554</v>
      </c>
      <c r="C1160" s="98">
        <v>2014</v>
      </c>
      <c r="D1160" s="98" t="s">
        <v>266</v>
      </c>
      <c r="E1160" s="98" t="s">
        <v>28</v>
      </c>
      <c r="F1160" s="98" t="s">
        <v>131</v>
      </c>
      <c r="G1160" s="98">
        <v>48365.050000000199</v>
      </c>
      <c r="H1160" s="299" t="str">
        <f>VLOOKUP(LEFT('Rev Adequacy'!D1160,3),'Mapping B'!$D$2:$E$400,2,0)</f>
        <v>N</v>
      </c>
      <c r="J1160" s="20"/>
      <c r="K1160" s="20"/>
      <c r="L1160" s="20"/>
      <c r="M1160" s="20"/>
      <c r="N1160" s="20"/>
      <c r="O1160" s="20"/>
      <c r="P1160" s="20"/>
      <c r="Q1160" s="97"/>
      <c r="R1160" s="20"/>
      <c r="S1160" s="20"/>
      <c r="T1160" s="20"/>
      <c r="U1160" s="20"/>
      <c r="V1160" s="20"/>
      <c r="W1160" s="20"/>
      <c r="X1160" s="20"/>
      <c r="Y1160" s="20"/>
      <c r="Z1160" s="20"/>
      <c r="AA1160" s="20"/>
      <c r="BP1160" s="190"/>
    </row>
    <row r="1161" spans="2:68" x14ac:dyDescent="0.25">
      <c r="B1161" s="98" t="s">
        <v>554</v>
      </c>
      <c r="C1161" s="98">
        <v>2014</v>
      </c>
      <c r="D1161" s="98" t="s">
        <v>268</v>
      </c>
      <c r="E1161" s="98" t="s">
        <v>28</v>
      </c>
      <c r="F1161" s="98" t="s">
        <v>131</v>
      </c>
      <c r="G1161" s="98">
        <v>0</v>
      </c>
      <c r="H1161" s="299" t="str">
        <f>VLOOKUP(LEFT('Rev Adequacy'!D1161,3),'Mapping B'!$D$2:$E$400,2,0)</f>
        <v>N</v>
      </c>
      <c r="J1161" s="20"/>
      <c r="K1161" s="20"/>
      <c r="L1161" s="20"/>
      <c r="M1161" s="20"/>
      <c r="N1161" s="20"/>
      <c r="O1161" s="20"/>
      <c r="P1161" s="20"/>
      <c r="Q1161" s="97"/>
      <c r="R1161" s="20"/>
      <c r="S1161" s="20"/>
      <c r="T1161" s="20"/>
      <c r="U1161" s="20"/>
      <c r="V1161" s="20"/>
      <c r="W1161" s="20"/>
      <c r="X1161" s="20"/>
      <c r="Y1161" s="20"/>
      <c r="Z1161" s="20"/>
      <c r="AA1161" s="20"/>
      <c r="BP1161" s="190"/>
    </row>
    <row r="1162" spans="2:68" x14ac:dyDescent="0.25">
      <c r="B1162" s="98" t="s">
        <v>554</v>
      </c>
      <c r="C1162" s="98">
        <v>2014</v>
      </c>
      <c r="D1162" s="98" t="s">
        <v>269</v>
      </c>
      <c r="E1162" s="98" t="s">
        <v>28</v>
      </c>
      <c r="F1162" s="98" t="s">
        <v>131</v>
      </c>
      <c r="G1162" s="98">
        <v>37446.575000000601</v>
      </c>
      <c r="H1162" s="299" t="str">
        <f>VLOOKUP(LEFT('Rev Adequacy'!D1162,3),'Mapping B'!$D$2:$E$400,2,0)</f>
        <v>N</v>
      </c>
      <c r="J1162" s="20"/>
      <c r="K1162" s="20"/>
      <c r="L1162" s="20"/>
      <c r="M1162" s="20"/>
      <c r="N1162" s="20"/>
      <c r="O1162" s="20"/>
      <c r="P1162" s="20"/>
      <c r="Q1162" s="97"/>
      <c r="R1162" s="20"/>
      <c r="S1162" s="20"/>
      <c r="T1162" s="20"/>
      <c r="U1162" s="20"/>
      <c r="V1162" s="20"/>
      <c r="W1162" s="20"/>
      <c r="X1162" s="20"/>
      <c r="Y1162" s="20"/>
      <c r="Z1162" s="20"/>
      <c r="AA1162" s="20"/>
      <c r="BP1162" s="190"/>
    </row>
    <row r="1163" spans="2:68" x14ac:dyDescent="0.25">
      <c r="B1163" s="98" t="s">
        <v>554</v>
      </c>
      <c r="C1163" s="98">
        <v>2014</v>
      </c>
      <c r="D1163" s="98" t="s">
        <v>271</v>
      </c>
      <c r="E1163" s="98" t="s">
        <v>28</v>
      </c>
      <c r="F1163" s="98" t="s">
        <v>131</v>
      </c>
      <c r="G1163" s="98">
        <v>5129.3699999999099</v>
      </c>
      <c r="H1163" s="299" t="str">
        <f>VLOOKUP(LEFT('Rev Adequacy'!D1163,3),'Mapping B'!$D$2:$E$400,2,0)</f>
        <v>N</v>
      </c>
      <c r="J1163" s="20"/>
      <c r="K1163" s="20"/>
      <c r="L1163" s="20"/>
      <c r="M1163" s="20"/>
      <c r="N1163" s="20"/>
      <c r="O1163" s="20"/>
      <c r="P1163" s="20"/>
      <c r="Q1163" s="97"/>
      <c r="R1163" s="20"/>
      <c r="S1163" s="20"/>
      <c r="T1163" s="20"/>
      <c r="U1163" s="20"/>
      <c r="V1163" s="20"/>
      <c r="W1163" s="20"/>
      <c r="X1163" s="20"/>
      <c r="Y1163" s="20"/>
      <c r="Z1163" s="20"/>
      <c r="AA1163" s="20"/>
      <c r="BP1163" s="190"/>
    </row>
    <row r="1164" spans="2:68" x14ac:dyDescent="0.25">
      <c r="B1164" s="98" t="s">
        <v>554</v>
      </c>
      <c r="C1164" s="98">
        <v>2014</v>
      </c>
      <c r="D1164" s="98" t="s">
        <v>279</v>
      </c>
      <c r="E1164" s="98" t="s">
        <v>28</v>
      </c>
      <c r="F1164" s="98" t="s">
        <v>131</v>
      </c>
      <c r="G1164" s="98">
        <v>62922.964323854001</v>
      </c>
      <c r="H1164" s="299" t="str">
        <f>VLOOKUP(LEFT('Rev Adequacy'!D1164,3),'Mapping B'!$D$2:$E$400,2,0)</f>
        <v>N</v>
      </c>
      <c r="J1164" s="20"/>
      <c r="K1164" s="20"/>
      <c r="L1164" s="20"/>
      <c r="M1164" s="20"/>
      <c r="N1164" s="20"/>
      <c r="O1164" s="20"/>
      <c r="P1164" s="20"/>
      <c r="Q1164" s="97"/>
      <c r="R1164" s="20"/>
      <c r="S1164" s="20"/>
      <c r="T1164" s="20"/>
      <c r="U1164" s="20"/>
      <c r="V1164" s="20"/>
      <c r="W1164" s="20"/>
      <c r="X1164" s="20"/>
      <c r="Y1164" s="20"/>
      <c r="Z1164" s="20"/>
      <c r="AA1164" s="20"/>
      <c r="BP1164" s="190"/>
    </row>
    <row r="1165" spans="2:68" x14ac:dyDescent="0.25">
      <c r="B1165" s="98" t="s">
        <v>554</v>
      </c>
      <c r="C1165" s="98">
        <v>2014</v>
      </c>
      <c r="D1165" s="98" t="s">
        <v>288</v>
      </c>
      <c r="E1165" s="98" t="s">
        <v>28</v>
      </c>
      <c r="F1165" s="98" t="s">
        <v>131</v>
      </c>
      <c r="G1165" s="98">
        <v>0</v>
      </c>
      <c r="H1165" s="299" t="str">
        <f>VLOOKUP(LEFT('Rev Adequacy'!D1165,3),'Mapping B'!$D$2:$E$400,2,0)</f>
        <v>N</v>
      </c>
      <c r="J1165" s="20"/>
      <c r="K1165" s="20"/>
      <c r="L1165" s="20"/>
      <c r="M1165" s="20"/>
      <c r="N1165" s="20"/>
      <c r="O1165" s="20"/>
      <c r="P1165" s="20"/>
      <c r="Q1165" s="97"/>
      <c r="R1165" s="20"/>
      <c r="S1165" s="20"/>
      <c r="T1165" s="20"/>
      <c r="U1165" s="20"/>
      <c r="V1165" s="20"/>
      <c r="W1165" s="20"/>
      <c r="X1165" s="20"/>
      <c r="Y1165" s="20"/>
      <c r="Z1165" s="20"/>
      <c r="AA1165" s="20"/>
      <c r="BP1165" s="190"/>
    </row>
    <row r="1166" spans="2:68" x14ac:dyDescent="0.25">
      <c r="B1166" s="98" t="s">
        <v>554</v>
      </c>
      <c r="C1166" s="98">
        <v>2014</v>
      </c>
      <c r="D1166" s="98" t="s">
        <v>290</v>
      </c>
      <c r="E1166" s="98" t="s">
        <v>28</v>
      </c>
      <c r="F1166" s="98" t="s">
        <v>131</v>
      </c>
      <c r="G1166" s="98">
        <v>59255.188000000198</v>
      </c>
      <c r="H1166" s="299" t="str">
        <f>VLOOKUP(LEFT('Rev Adequacy'!D1166,3),'Mapping B'!$D$2:$E$400,2,0)</f>
        <v>N</v>
      </c>
      <c r="J1166" s="20"/>
      <c r="K1166" s="20"/>
      <c r="L1166" s="20"/>
      <c r="M1166" s="20"/>
      <c r="N1166" s="20"/>
      <c r="O1166" s="20"/>
      <c r="P1166" s="20"/>
      <c r="Q1166" s="97"/>
      <c r="R1166" s="20"/>
      <c r="S1166" s="20"/>
      <c r="T1166" s="20"/>
      <c r="U1166" s="20"/>
      <c r="V1166" s="20"/>
      <c r="W1166" s="20"/>
      <c r="X1166" s="20"/>
      <c r="Y1166" s="20"/>
      <c r="Z1166" s="20"/>
      <c r="AA1166" s="20"/>
      <c r="BP1166" s="190"/>
    </row>
    <row r="1167" spans="2:68" x14ac:dyDescent="0.25">
      <c r="B1167" s="98" t="s">
        <v>554</v>
      </c>
      <c r="C1167" s="98">
        <v>2014</v>
      </c>
      <c r="D1167" s="98" t="s">
        <v>297</v>
      </c>
      <c r="E1167" s="98" t="s">
        <v>28</v>
      </c>
      <c r="F1167" s="98" t="s">
        <v>131</v>
      </c>
      <c r="G1167" s="98">
        <v>195672.84999999899</v>
      </c>
      <c r="H1167" s="299" t="str">
        <f>VLOOKUP(LEFT('Rev Adequacy'!D1167,3),'Mapping B'!$D$2:$E$400,2,0)</f>
        <v>N</v>
      </c>
      <c r="J1167" s="20"/>
      <c r="K1167" s="20"/>
      <c r="L1167" s="20"/>
      <c r="M1167" s="20"/>
      <c r="N1167" s="20"/>
      <c r="O1167" s="20"/>
      <c r="P1167" s="20"/>
      <c r="Q1167" s="97"/>
      <c r="R1167" s="20"/>
      <c r="S1167" s="20"/>
      <c r="T1167" s="20"/>
      <c r="U1167" s="20"/>
      <c r="V1167" s="20"/>
      <c r="W1167" s="20"/>
      <c r="X1167" s="20"/>
      <c r="Y1167" s="20"/>
      <c r="Z1167" s="20"/>
      <c r="AA1167" s="20"/>
      <c r="BP1167" s="190"/>
    </row>
    <row r="1168" spans="2:68" x14ac:dyDescent="0.25">
      <c r="B1168" s="98" t="s">
        <v>554</v>
      </c>
      <c r="C1168" s="98">
        <v>2014</v>
      </c>
      <c r="D1168" s="98" t="s">
        <v>320</v>
      </c>
      <c r="E1168" s="98" t="s">
        <v>28</v>
      </c>
      <c r="F1168" s="98" t="s">
        <v>131</v>
      </c>
      <c r="G1168" s="98">
        <v>128767.504</v>
      </c>
      <c r="H1168" s="299" t="str">
        <f>VLOOKUP(LEFT('Rev Adequacy'!D1168,3),'Mapping B'!$D$2:$E$400,2,0)</f>
        <v>N</v>
      </c>
      <c r="J1168" s="20"/>
      <c r="K1168" s="20"/>
      <c r="L1168" s="20"/>
      <c r="M1168" s="20"/>
      <c r="N1168" s="20"/>
      <c r="O1168" s="20"/>
      <c r="P1168" s="20"/>
      <c r="Q1168" s="97"/>
      <c r="R1168" s="20"/>
      <c r="S1168" s="20"/>
      <c r="T1168" s="20"/>
      <c r="U1168" s="20"/>
      <c r="V1168" s="20"/>
      <c r="W1168" s="20"/>
      <c r="X1168" s="20"/>
      <c r="Y1168" s="20"/>
      <c r="Z1168" s="20"/>
      <c r="AA1168" s="20"/>
      <c r="BP1168" s="190"/>
    </row>
    <row r="1169" spans="2:68" x14ac:dyDescent="0.25">
      <c r="B1169" s="98" t="s">
        <v>554</v>
      </c>
      <c r="C1169" s="98">
        <v>2014</v>
      </c>
      <c r="D1169" s="98" t="s">
        <v>333</v>
      </c>
      <c r="E1169" s="98" t="s">
        <v>28</v>
      </c>
      <c r="F1169" s="98" t="s">
        <v>131</v>
      </c>
      <c r="G1169" s="98">
        <v>0</v>
      </c>
      <c r="H1169" s="299" t="str">
        <f>VLOOKUP(LEFT('Rev Adequacy'!D1169,3),'Mapping B'!$D$2:$E$400,2,0)</f>
        <v>N</v>
      </c>
      <c r="J1169" s="20"/>
      <c r="K1169" s="20"/>
      <c r="L1169" s="20"/>
      <c r="M1169" s="20"/>
      <c r="N1169" s="20"/>
      <c r="O1169" s="20"/>
      <c r="P1169" s="20"/>
      <c r="Q1169" s="97"/>
      <c r="R1169" s="20"/>
      <c r="S1169" s="20"/>
      <c r="T1169" s="20"/>
      <c r="U1169" s="20"/>
      <c r="V1169" s="20"/>
      <c r="W1169" s="20"/>
      <c r="X1169" s="20"/>
      <c r="Y1169" s="20"/>
      <c r="Z1169" s="20"/>
      <c r="AA1169" s="20"/>
      <c r="BP1169" s="190"/>
    </row>
    <row r="1170" spans="2:68" x14ac:dyDescent="0.25">
      <c r="B1170" s="98" t="s">
        <v>554</v>
      </c>
      <c r="C1170" s="98">
        <v>2014</v>
      </c>
      <c r="D1170" s="98" t="s">
        <v>334</v>
      </c>
      <c r="E1170" s="98" t="s">
        <v>28</v>
      </c>
      <c r="F1170" s="98" t="s">
        <v>131</v>
      </c>
      <c r="G1170" s="98">
        <v>0</v>
      </c>
      <c r="H1170" s="299" t="str">
        <f>VLOOKUP(LEFT('Rev Adequacy'!D1170,3),'Mapping B'!$D$2:$E$400,2,0)</f>
        <v>N</v>
      </c>
      <c r="J1170" s="20"/>
      <c r="K1170" s="20"/>
      <c r="L1170" s="20"/>
      <c r="M1170" s="20"/>
      <c r="N1170" s="20"/>
      <c r="O1170" s="20"/>
      <c r="P1170" s="20"/>
      <c r="Q1170" s="97"/>
      <c r="R1170" s="20"/>
      <c r="S1170" s="20"/>
      <c r="T1170" s="20"/>
      <c r="U1170" s="20"/>
      <c r="V1170" s="20"/>
      <c r="W1170" s="20"/>
      <c r="X1170" s="20"/>
      <c r="Y1170" s="20"/>
      <c r="Z1170" s="20"/>
      <c r="AA1170" s="20"/>
      <c r="BP1170" s="190"/>
    </row>
    <row r="1171" spans="2:68" x14ac:dyDescent="0.25">
      <c r="B1171" s="98" t="s">
        <v>554</v>
      </c>
      <c r="C1171" s="98">
        <v>2014</v>
      </c>
      <c r="D1171" s="98" t="s">
        <v>346</v>
      </c>
      <c r="E1171" s="98" t="s">
        <v>28</v>
      </c>
      <c r="F1171" s="98" t="s">
        <v>131</v>
      </c>
      <c r="G1171" s="98">
        <v>0</v>
      </c>
      <c r="H1171" s="299" t="str">
        <f>VLOOKUP(LEFT('Rev Adequacy'!D1171,3),'Mapping B'!$D$2:$E$400,2,0)</f>
        <v>N</v>
      </c>
      <c r="J1171" s="20"/>
      <c r="K1171" s="20"/>
      <c r="L1171" s="20"/>
      <c r="M1171" s="20"/>
      <c r="N1171" s="20"/>
      <c r="O1171" s="20"/>
      <c r="P1171" s="20"/>
      <c r="Q1171" s="97"/>
      <c r="R1171" s="20"/>
      <c r="S1171" s="20"/>
      <c r="T1171" s="20"/>
      <c r="U1171" s="20"/>
      <c r="V1171" s="20"/>
      <c r="W1171" s="20"/>
      <c r="X1171" s="20"/>
      <c r="Y1171" s="20"/>
      <c r="Z1171" s="20"/>
      <c r="AA1171" s="20"/>
      <c r="BP1171" s="190"/>
    </row>
    <row r="1172" spans="2:68" x14ac:dyDescent="0.25">
      <c r="B1172" s="98" t="s">
        <v>554</v>
      </c>
      <c r="C1172" s="98">
        <v>2014</v>
      </c>
      <c r="D1172" s="98" t="s">
        <v>368</v>
      </c>
      <c r="E1172" s="98" t="s">
        <v>28</v>
      </c>
      <c r="F1172" s="98" t="s">
        <v>131</v>
      </c>
      <c r="G1172" s="98">
        <v>75890.851000000606</v>
      </c>
      <c r="H1172" s="299" t="str">
        <f>VLOOKUP(LEFT('Rev Adequacy'!D1172,3),'Mapping B'!$D$2:$E$400,2,0)</f>
        <v>N</v>
      </c>
      <c r="J1172" s="20"/>
      <c r="K1172" s="20"/>
      <c r="L1172" s="20"/>
      <c r="M1172" s="20"/>
      <c r="N1172" s="20"/>
      <c r="O1172" s="20"/>
      <c r="P1172" s="20"/>
      <c r="Q1172" s="97"/>
      <c r="R1172" s="20"/>
      <c r="S1172" s="20"/>
      <c r="T1172" s="20"/>
      <c r="U1172" s="20"/>
      <c r="V1172" s="20"/>
      <c r="W1172" s="20"/>
      <c r="X1172" s="20"/>
      <c r="Y1172" s="20"/>
      <c r="Z1172" s="20"/>
      <c r="AA1172" s="20"/>
      <c r="BP1172" s="190"/>
    </row>
    <row r="1173" spans="2:68" x14ac:dyDescent="0.25">
      <c r="B1173" s="98" t="s">
        <v>554</v>
      </c>
      <c r="C1173" s="98">
        <v>2014</v>
      </c>
      <c r="D1173" s="98" t="s">
        <v>372</v>
      </c>
      <c r="E1173" s="98" t="s">
        <v>28</v>
      </c>
      <c r="F1173" s="98" t="s">
        <v>131</v>
      </c>
      <c r="G1173" s="98">
        <v>359501.72200000001</v>
      </c>
      <c r="H1173" s="299" t="str">
        <f>VLOOKUP(LEFT('Rev Adequacy'!D1173,3),'Mapping B'!$D$2:$E$400,2,0)</f>
        <v>N</v>
      </c>
      <c r="J1173" s="20"/>
      <c r="K1173" s="20"/>
      <c r="L1173" s="20"/>
      <c r="M1173" s="20"/>
      <c r="N1173" s="20"/>
      <c r="O1173" s="20"/>
      <c r="P1173" s="20"/>
      <c r="Q1173" s="97"/>
      <c r="R1173" s="20"/>
      <c r="S1173" s="20"/>
      <c r="T1173" s="20"/>
      <c r="U1173" s="20"/>
      <c r="V1173" s="20"/>
      <c r="W1173" s="20"/>
      <c r="X1173" s="20"/>
      <c r="Y1173" s="20"/>
      <c r="Z1173" s="20"/>
      <c r="AA1173" s="20"/>
      <c r="BP1173" s="190"/>
    </row>
    <row r="1174" spans="2:68" x14ac:dyDescent="0.25">
      <c r="B1174" s="98" t="s">
        <v>554</v>
      </c>
      <c r="C1174" s="98">
        <v>2014</v>
      </c>
      <c r="D1174" s="98" t="s">
        <v>378</v>
      </c>
      <c r="E1174" s="98" t="s">
        <v>28</v>
      </c>
      <c r="F1174" s="98" t="s">
        <v>131</v>
      </c>
      <c r="G1174" s="98">
        <v>227234.754000001</v>
      </c>
      <c r="H1174" s="299" t="str">
        <f>VLOOKUP(LEFT('Rev Adequacy'!D1174,3),'Mapping B'!$D$2:$E$400,2,0)</f>
        <v>N</v>
      </c>
      <c r="J1174" s="20"/>
      <c r="K1174" s="20"/>
      <c r="L1174" s="20"/>
      <c r="M1174" s="20"/>
      <c r="N1174" s="20"/>
      <c r="O1174" s="20"/>
      <c r="P1174" s="20"/>
      <c r="Q1174" s="97"/>
      <c r="R1174" s="20"/>
      <c r="S1174" s="20"/>
      <c r="T1174" s="20"/>
      <c r="U1174" s="20"/>
      <c r="V1174" s="20"/>
      <c r="W1174" s="20"/>
      <c r="X1174" s="20"/>
      <c r="Y1174" s="20"/>
      <c r="Z1174" s="20"/>
      <c r="AA1174" s="20"/>
      <c r="BP1174" s="190"/>
    </row>
    <row r="1175" spans="2:68" x14ac:dyDescent="0.25">
      <c r="B1175" s="98" t="s">
        <v>554</v>
      </c>
      <c r="C1175" s="98">
        <v>2014</v>
      </c>
      <c r="D1175" s="98" t="s">
        <v>392</v>
      </c>
      <c r="E1175" s="98" t="s">
        <v>28</v>
      </c>
      <c r="F1175" s="98" t="s">
        <v>131</v>
      </c>
      <c r="G1175" s="98">
        <v>22290.774000000001</v>
      </c>
      <c r="H1175" s="299" t="str">
        <f>VLOOKUP(LEFT('Rev Adequacy'!D1175,3),'Mapping B'!$D$2:$E$400,2,0)</f>
        <v>N</v>
      </c>
      <c r="J1175" s="20"/>
      <c r="K1175" s="20"/>
      <c r="L1175" s="20"/>
      <c r="M1175" s="20"/>
      <c r="N1175" s="20"/>
      <c r="O1175" s="20"/>
      <c r="P1175" s="20"/>
      <c r="Q1175" s="97"/>
      <c r="R1175" s="20"/>
      <c r="S1175" s="20"/>
      <c r="T1175" s="20"/>
      <c r="U1175" s="20"/>
      <c r="V1175" s="20"/>
      <c r="W1175" s="20"/>
      <c r="X1175" s="20"/>
      <c r="Y1175" s="20"/>
      <c r="Z1175" s="20"/>
      <c r="AA1175" s="20"/>
      <c r="BP1175" s="190"/>
    </row>
    <row r="1176" spans="2:68" x14ac:dyDescent="0.25">
      <c r="B1176" s="98" t="s">
        <v>563</v>
      </c>
      <c r="C1176" s="98">
        <v>2014</v>
      </c>
      <c r="D1176" s="98" t="s">
        <v>157</v>
      </c>
      <c r="E1176" s="98" t="s">
        <v>28</v>
      </c>
      <c r="F1176" s="98" t="s">
        <v>131</v>
      </c>
      <c r="G1176" s="98">
        <v>953354.35600000306</v>
      </c>
      <c r="H1176" s="299" t="str">
        <f>VLOOKUP(LEFT('Rev Adequacy'!D1176,3),'Mapping B'!$D$2:$E$400,2,0)</f>
        <v>N</v>
      </c>
      <c r="J1176" s="20"/>
      <c r="K1176" s="20"/>
      <c r="L1176" s="20"/>
      <c r="M1176" s="20"/>
      <c r="N1176" s="20"/>
      <c r="O1176" s="20"/>
      <c r="P1176" s="20"/>
      <c r="Q1176" s="97"/>
      <c r="R1176" s="20"/>
      <c r="S1176" s="20"/>
      <c r="T1176" s="20"/>
      <c r="U1176" s="20"/>
      <c r="V1176" s="20"/>
      <c r="W1176" s="20"/>
      <c r="X1176" s="20"/>
      <c r="Y1176" s="20"/>
      <c r="Z1176" s="20"/>
      <c r="AA1176" s="20"/>
      <c r="BP1176" s="190"/>
    </row>
    <row r="1177" spans="2:68" x14ac:dyDescent="0.25">
      <c r="B1177" s="98" t="s">
        <v>563</v>
      </c>
      <c r="C1177" s="98">
        <v>2014</v>
      </c>
      <c r="D1177" s="98" t="s">
        <v>162</v>
      </c>
      <c r="E1177" s="98" t="s">
        <v>28</v>
      </c>
      <c r="F1177" s="98" t="s">
        <v>131</v>
      </c>
      <c r="G1177" s="98">
        <v>252033.277999999</v>
      </c>
      <c r="H1177" s="299" t="str">
        <f>VLOOKUP(LEFT('Rev Adequacy'!D1177,3),'Mapping B'!$D$2:$E$400,2,0)</f>
        <v>N</v>
      </c>
      <c r="J1177" s="20"/>
      <c r="K1177" s="20"/>
      <c r="L1177" s="20"/>
      <c r="M1177" s="20"/>
      <c r="N1177" s="20"/>
      <c r="O1177" s="20"/>
      <c r="P1177" s="20"/>
      <c r="Q1177" s="97"/>
      <c r="R1177" s="20"/>
      <c r="S1177" s="20"/>
      <c r="T1177" s="20"/>
      <c r="U1177" s="20"/>
      <c r="V1177" s="20"/>
      <c r="W1177" s="20"/>
      <c r="X1177" s="20"/>
      <c r="Y1177" s="20"/>
      <c r="Z1177" s="20"/>
      <c r="AA1177" s="20"/>
      <c r="BP1177" s="190"/>
    </row>
    <row r="1178" spans="2:68" x14ac:dyDescent="0.25">
      <c r="B1178" s="98" t="s">
        <v>563</v>
      </c>
      <c r="C1178" s="98">
        <v>2014</v>
      </c>
      <c r="D1178" s="98" t="s">
        <v>174</v>
      </c>
      <c r="E1178" s="98" t="s">
        <v>28</v>
      </c>
      <c r="F1178" s="98" t="s">
        <v>131</v>
      </c>
      <c r="G1178" s="98">
        <v>699267.64999999804</v>
      </c>
      <c r="H1178" s="299" t="str">
        <f>VLOOKUP(LEFT('Rev Adequacy'!D1178,3),'Mapping B'!$D$2:$E$400,2,0)</f>
        <v>N</v>
      </c>
      <c r="J1178" s="20"/>
      <c r="K1178" s="20"/>
      <c r="L1178" s="20"/>
      <c r="M1178" s="20"/>
      <c r="N1178" s="20"/>
      <c r="O1178" s="20"/>
      <c r="P1178" s="20"/>
      <c r="Q1178" s="97"/>
      <c r="R1178" s="20"/>
      <c r="S1178" s="20"/>
      <c r="T1178" s="20"/>
      <c r="U1178" s="20"/>
      <c r="V1178" s="20"/>
      <c r="W1178" s="20"/>
      <c r="X1178" s="20"/>
      <c r="Y1178" s="20"/>
      <c r="Z1178" s="20"/>
      <c r="AA1178" s="20"/>
      <c r="BP1178" s="190"/>
    </row>
    <row r="1179" spans="2:68" x14ac:dyDescent="0.25">
      <c r="B1179" s="98" t="s">
        <v>563</v>
      </c>
      <c r="C1179" s="98">
        <v>2014</v>
      </c>
      <c r="D1179" s="98" t="s">
        <v>191</v>
      </c>
      <c r="E1179" s="98" t="s">
        <v>28</v>
      </c>
      <c r="F1179" s="98" t="s">
        <v>131</v>
      </c>
      <c r="G1179" s="98">
        <v>92037.239999999903</v>
      </c>
      <c r="H1179" s="299" t="str">
        <f>VLOOKUP(LEFT('Rev Adequacy'!D1179,3),'Mapping B'!$D$2:$E$400,2,0)</f>
        <v>N</v>
      </c>
      <c r="J1179" s="20"/>
      <c r="K1179" s="20"/>
      <c r="L1179" s="20"/>
      <c r="M1179" s="20"/>
      <c r="N1179" s="20"/>
      <c r="O1179" s="20"/>
      <c r="P1179" s="20"/>
      <c r="Q1179" s="97"/>
      <c r="R1179" s="20"/>
      <c r="S1179" s="20"/>
      <c r="T1179" s="20"/>
      <c r="U1179" s="20"/>
      <c r="V1179" s="20"/>
      <c r="W1179" s="20"/>
      <c r="X1179" s="20"/>
      <c r="Y1179" s="20"/>
      <c r="Z1179" s="20"/>
      <c r="AA1179" s="20"/>
      <c r="BP1179" s="190"/>
    </row>
    <row r="1180" spans="2:68" x14ac:dyDescent="0.25">
      <c r="B1180" s="98" t="s">
        <v>563</v>
      </c>
      <c r="C1180" s="98">
        <v>2014</v>
      </c>
      <c r="D1180" s="98" t="s">
        <v>199</v>
      </c>
      <c r="E1180" s="98" t="s">
        <v>28</v>
      </c>
      <c r="F1180" s="98" t="s">
        <v>131</v>
      </c>
      <c r="G1180" s="98">
        <v>721526.05500000203</v>
      </c>
      <c r="H1180" s="299" t="str">
        <f>VLOOKUP(LEFT('Rev Adequacy'!D1180,3),'Mapping B'!$D$2:$E$400,2,0)</f>
        <v>N</v>
      </c>
      <c r="J1180" s="20"/>
      <c r="K1180" s="20"/>
      <c r="L1180" s="20"/>
      <c r="M1180" s="20"/>
      <c r="N1180" s="20"/>
      <c r="O1180" s="20"/>
      <c r="P1180" s="20"/>
      <c r="Q1180" s="97"/>
      <c r="R1180" s="20"/>
      <c r="S1180" s="20"/>
      <c r="T1180" s="20"/>
      <c r="U1180" s="20"/>
      <c r="V1180" s="20"/>
      <c r="W1180" s="20"/>
      <c r="X1180" s="20"/>
      <c r="Y1180" s="20"/>
      <c r="Z1180" s="20"/>
      <c r="AA1180" s="20"/>
      <c r="BP1180" s="190"/>
    </row>
    <row r="1181" spans="2:68" x14ac:dyDescent="0.25">
      <c r="B1181" s="98" t="s">
        <v>563</v>
      </c>
      <c r="C1181" s="98">
        <v>2014</v>
      </c>
      <c r="D1181" s="98" t="s">
        <v>210</v>
      </c>
      <c r="E1181" s="98" t="s">
        <v>28</v>
      </c>
      <c r="F1181" s="98" t="s">
        <v>131</v>
      </c>
      <c r="G1181" s="98">
        <v>273406.04199999903</v>
      </c>
      <c r="H1181" s="299" t="str">
        <f>VLOOKUP(LEFT('Rev Adequacy'!D1181,3),'Mapping B'!$D$2:$E$400,2,0)</f>
        <v>N</v>
      </c>
      <c r="J1181" s="20"/>
      <c r="K1181" s="20"/>
      <c r="L1181" s="20"/>
      <c r="M1181" s="20"/>
      <c r="N1181" s="20"/>
      <c r="O1181" s="20"/>
      <c r="P1181" s="20"/>
      <c r="Q1181" s="97"/>
      <c r="R1181" s="20"/>
      <c r="S1181" s="20"/>
      <c r="T1181" s="20"/>
      <c r="U1181" s="20"/>
      <c r="V1181" s="20"/>
      <c r="W1181" s="20"/>
      <c r="X1181" s="20"/>
      <c r="Y1181" s="20"/>
      <c r="Z1181" s="20"/>
      <c r="AA1181" s="20"/>
      <c r="BP1181" s="190"/>
    </row>
    <row r="1182" spans="2:68" x14ac:dyDescent="0.25">
      <c r="B1182" s="98" t="s">
        <v>563</v>
      </c>
      <c r="C1182" s="98">
        <v>2014</v>
      </c>
      <c r="D1182" s="98" t="s">
        <v>211</v>
      </c>
      <c r="E1182" s="98" t="s">
        <v>28</v>
      </c>
      <c r="F1182" s="98" t="s">
        <v>131</v>
      </c>
      <c r="G1182" s="98">
        <v>384670.653999998</v>
      </c>
      <c r="H1182" s="299" t="str">
        <f>VLOOKUP(LEFT('Rev Adequacy'!D1182,3),'Mapping B'!$D$2:$E$400,2,0)</f>
        <v>N</v>
      </c>
      <c r="J1182" s="20"/>
      <c r="K1182" s="20"/>
      <c r="L1182" s="20"/>
      <c r="M1182" s="20"/>
      <c r="N1182" s="20"/>
      <c r="O1182" s="20"/>
      <c r="P1182" s="20"/>
      <c r="Q1182" s="97"/>
      <c r="R1182" s="20"/>
      <c r="S1182" s="20"/>
      <c r="T1182" s="20"/>
      <c r="U1182" s="20"/>
      <c r="V1182" s="20"/>
      <c r="W1182" s="20"/>
      <c r="X1182" s="20"/>
      <c r="Y1182" s="20"/>
      <c r="Z1182" s="20"/>
      <c r="AA1182" s="20"/>
      <c r="BP1182" s="190"/>
    </row>
    <row r="1183" spans="2:68" x14ac:dyDescent="0.25">
      <c r="B1183" s="98" t="s">
        <v>563</v>
      </c>
      <c r="C1183" s="98">
        <v>2014</v>
      </c>
      <c r="D1183" s="98" t="s">
        <v>234</v>
      </c>
      <c r="E1183" s="98" t="s">
        <v>28</v>
      </c>
      <c r="F1183" s="98" t="s">
        <v>131</v>
      </c>
      <c r="G1183" s="98">
        <v>183022.560999999</v>
      </c>
      <c r="H1183" s="299" t="str">
        <f>VLOOKUP(LEFT('Rev Adequacy'!D1183,3),'Mapping B'!$D$2:$E$400,2,0)</f>
        <v>N</v>
      </c>
      <c r="J1183" s="20"/>
      <c r="K1183" s="20"/>
      <c r="L1183" s="20"/>
      <c r="M1183" s="20"/>
      <c r="N1183" s="20"/>
      <c r="O1183" s="20"/>
      <c r="P1183" s="20"/>
      <c r="Q1183" s="97"/>
      <c r="R1183" s="20"/>
      <c r="S1183" s="20"/>
      <c r="T1183" s="20"/>
      <c r="U1183" s="20"/>
      <c r="V1183" s="20"/>
      <c r="W1183" s="20"/>
      <c r="X1183" s="20"/>
      <c r="Y1183" s="20"/>
      <c r="Z1183" s="20"/>
      <c r="AA1183" s="20"/>
      <c r="BP1183" s="190"/>
    </row>
    <row r="1184" spans="2:68" x14ac:dyDescent="0.25">
      <c r="B1184" s="98" t="s">
        <v>563</v>
      </c>
      <c r="C1184" s="98">
        <v>2014</v>
      </c>
      <c r="D1184" s="98" t="s">
        <v>235</v>
      </c>
      <c r="E1184" s="98" t="s">
        <v>28</v>
      </c>
      <c r="F1184" s="98" t="s">
        <v>131</v>
      </c>
      <c r="G1184" s="98">
        <v>76000.306000000201</v>
      </c>
      <c r="H1184" s="299" t="str">
        <f>VLOOKUP(LEFT('Rev Adequacy'!D1184,3),'Mapping B'!$D$2:$E$400,2,0)</f>
        <v>N</v>
      </c>
      <c r="J1184" s="20"/>
      <c r="K1184" s="20"/>
      <c r="L1184" s="20"/>
      <c r="M1184" s="20"/>
      <c r="N1184" s="20"/>
      <c r="O1184" s="20"/>
      <c r="P1184" s="20"/>
      <c r="Q1184" s="97"/>
      <c r="R1184" s="20"/>
      <c r="S1184" s="20"/>
      <c r="T1184" s="20"/>
      <c r="U1184" s="20"/>
      <c r="V1184" s="20"/>
      <c r="W1184" s="20"/>
      <c r="X1184" s="20"/>
      <c r="Y1184" s="20"/>
      <c r="Z1184" s="20"/>
      <c r="AA1184" s="20"/>
      <c r="BP1184" s="190"/>
    </row>
    <row r="1185" spans="2:68" x14ac:dyDescent="0.25">
      <c r="B1185" s="98" t="s">
        <v>563</v>
      </c>
      <c r="C1185" s="98">
        <v>2014</v>
      </c>
      <c r="D1185" s="98" t="s">
        <v>240</v>
      </c>
      <c r="E1185" s="98" t="s">
        <v>28</v>
      </c>
      <c r="F1185" s="98" t="s">
        <v>131</v>
      </c>
      <c r="G1185" s="98">
        <v>722338.86500000104</v>
      </c>
      <c r="H1185" s="299" t="str">
        <f>VLOOKUP(LEFT('Rev Adequacy'!D1185,3),'Mapping B'!$D$2:$E$400,2,0)</f>
        <v>N</v>
      </c>
      <c r="J1185" s="20"/>
      <c r="K1185" s="20"/>
      <c r="L1185" s="20"/>
      <c r="M1185" s="20"/>
      <c r="N1185" s="20"/>
      <c r="O1185" s="20"/>
      <c r="P1185" s="20"/>
      <c r="Q1185" s="97"/>
      <c r="R1185" s="20"/>
      <c r="S1185" s="20"/>
      <c r="T1185" s="20"/>
      <c r="U1185" s="20"/>
      <c r="V1185" s="20"/>
      <c r="W1185" s="20"/>
      <c r="X1185" s="20"/>
      <c r="Y1185" s="20"/>
      <c r="Z1185" s="20"/>
      <c r="AA1185" s="20"/>
      <c r="BP1185" s="190"/>
    </row>
    <row r="1186" spans="2:68" x14ac:dyDescent="0.25">
      <c r="B1186" s="98" t="s">
        <v>563</v>
      </c>
      <c r="C1186" s="98">
        <v>2014</v>
      </c>
      <c r="D1186" s="98" t="s">
        <v>246</v>
      </c>
      <c r="E1186" s="98" t="s">
        <v>28</v>
      </c>
      <c r="F1186" s="98" t="s">
        <v>131</v>
      </c>
      <c r="G1186" s="98">
        <v>504131.64499999699</v>
      </c>
      <c r="H1186" s="299" t="str">
        <f>VLOOKUP(LEFT('Rev Adequacy'!D1186,3),'Mapping B'!$D$2:$E$400,2,0)</f>
        <v>N</v>
      </c>
      <c r="J1186" s="20"/>
      <c r="K1186" s="20"/>
      <c r="L1186" s="20"/>
      <c r="M1186" s="20"/>
      <c r="N1186" s="20"/>
      <c r="O1186" s="20"/>
      <c r="P1186" s="20"/>
      <c r="Q1186" s="97"/>
      <c r="R1186" s="20"/>
      <c r="S1186" s="20"/>
      <c r="T1186" s="20"/>
      <c r="U1186" s="20"/>
      <c r="V1186" s="20"/>
      <c r="W1186" s="20"/>
      <c r="X1186" s="20"/>
      <c r="Y1186" s="20"/>
      <c r="Z1186" s="20"/>
      <c r="AA1186" s="20"/>
      <c r="BP1186" s="190"/>
    </row>
    <row r="1187" spans="2:68" x14ac:dyDescent="0.25">
      <c r="B1187" s="98" t="s">
        <v>563</v>
      </c>
      <c r="C1187" s="98">
        <v>2014</v>
      </c>
      <c r="D1187" s="98" t="s">
        <v>255</v>
      </c>
      <c r="E1187" s="98" t="s">
        <v>28</v>
      </c>
      <c r="F1187" s="98" t="s">
        <v>131</v>
      </c>
      <c r="G1187" s="98">
        <v>128278.872999999</v>
      </c>
      <c r="H1187" s="299" t="str">
        <f>VLOOKUP(LEFT('Rev Adequacy'!D1187,3),'Mapping B'!$D$2:$E$400,2,0)</f>
        <v>N</v>
      </c>
      <c r="J1187" s="20"/>
      <c r="K1187" s="20"/>
      <c r="L1187" s="20"/>
      <c r="M1187" s="20"/>
      <c r="N1187" s="20"/>
      <c r="O1187" s="20"/>
      <c r="P1187" s="20"/>
      <c r="Q1187" s="97"/>
      <c r="R1187" s="20"/>
      <c r="S1187" s="20"/>
      <c r="T1187" s="20"/>
      <c r="U1187" s="20"/>
      <c r="V1187" s="20"/>
      <c r="W1187" s="20"/>
      <c r="X1187" s="20"/>
      <c r="Y1187" s="20"/>
      <c r="Z1187" s="20"/>
      <c r="AA1187" s="20"/>
      <c r="BP1187" s="190"/>
    </row>
    <row r="1188" spans="2:68" x14ac:dyDescent="0.25">
      <c r="B1188" s="98" t="s">
        <v>563</v>
      </c>
      <c r="C1188" s="98">
        <v>2014</v>
      </c>
      <c r="D1188" s="98" t="s">
        <v>266</v>
      </c>
      <c r="E1188" s="98" t="s">
        <v>28</v>
      </c>
      <c r="F1188" s="98" t="s">
        <v>131</v>
      </c>
      <c r="G1188" s="98">
        <v>443490.56100000098</v>
      </c>
      <c r="H1188" s="299" t="str">
        <f>VLOOKUP(LEFT('Rev Adequacy'!D1188,3),'Mapping B'!$D$2:$E$400,2,0)</f>
        <v>N</v>
      </c>
      <c r="J1188" s="20"/>
      <c r="K1188" s="20"/>
      <c r="L1188" s="20"/>
      <c r="M1188" s="20"/>
      <c r="N1188" s="20"/>
      <c r="O1188" s="20"/>
      <c r="P1188" s="20"/>
      <c r="Q1188" s="97"/>
      <c r="R1188" s="20"/>
      <c r="S1188" s="20"/>
      <c r="T1188" s="20"/>
      <c r="U1188" s="20"/>
      <c r="V1188" s="20"/>
      <c r="W1188" s="20"/>
      <c r="X1188" s="20"/>
      <c r="Y1188" s="20"/>
      <c r="Z1188" s="20"/>
      <c r="AA1188" s="20"/>
      <c r="BP1188" s="190"/>
    </row>
    <row r="1189" spans="2:68" x14ac:dyDescent="0.25">
      <c r="B1189" s="98" t="s">
        <v>563</v>
      </c>
      <c r="C1189" s="98">
        <v>2014</v>
      </c>
      <c r="D1189" s="98" t="s">
        <v>268</v>
      </c>
      <c r="E1189" s="98" t="s">
        <v>28</v>
      </c>
      <c r="F1189" s="98" t="s">
        <v>131</v>
      </c>
      <c r="G1189" s="98">
        <v>368440.14100000099</v>
      </c>
      <c r="H1189" s="299" t="str">
        <f>VLOOKUP(LEFT('Rev Adequacy'!D1189,3),'Mapping B'!$D$2:$E$400,2,0)</f>
        <v>N</v>
      </c>
      <c r="J1189" s="20"/>
      <c r="K1189" s="20"/>
      <c r="L1189" s="20"/>
      <c r="M1189" s="20"/>
      <c r="N1189" s="20"/>
      <c r="O1189" s="20"/>
      <c r="P1189" s="20"/>
      <c r="Q1189" s="97"/>
      <c r="R1189" s="20"/>
      <c r="S1189" s="20"/>
      <c r="T1189" s="20"/>
      <c r="U1189" s="20"/>
      <c r="V1189" s="20"/>
      <c r="W1189" s="20"/>
      <c r="X1189" s="20"/>
      <c r="Y1189" s="20"/>
      <c r="Z1189" s="20"/>
      <c r="AA1189" s="20"/>
      <c r="BP1189" s="190"/>
    </row>
    <row r="1190" spans="2:68" x14ac:dyDescent="0.25">
      <c r="B1190" s="98" t="s">
        <v>563</v>
      </c>
      <c r="C1190" s="98">
        <v>2014</v>
      </c>
      <c r="D1190" s="98" t="s">
        <v>269</v>
      </c>
      <c r="E1190" s="98" t="s">
        <v>28</v>
      </c>
      <c r="F1190" s="98" t="s">
        <v>131</v>
      </c>
      <c r="G1190" s="98">
        <v>182012.378</v>
      </c>
      <c r="H1190" s="299" t="str">
        <f>VLOOKUP(LEFT('Rev Adequacy'!D1190,3),'Mapping B'!$D$2:$E$400,2,0)</f>
        <v>N</v>
      </c>
      <c r="J1190" s="20"/>
      <c r="K1190" s="20"/>
      <c r="L1190" s="20"/>
      <c r="M1190" s="20"/>
      <c r="N1190" s="20"/>
      <c r="O1190" s="20"/>
      <c r="P1190" s="20"/>
      <c r="Q1190" s="97"/>
      <c r="R1190" s="20"/>
      <c r="S1190" s="20"/>
      <c r="T1190" s="20"/>
      <c r="U1190" s="20"/>
      <c r="V1190" s="20"/>
      <c r="W1190" s="20"/>
      <c r="X1190" s="20"/>
      <c r="Y1190" s="20"/>
      <c r="Z1190" s="20"/>
      <c r="AA1190" s="20"/>
      <c r="BP1190" s="190"/>
    </row>
    <row r="1191" spans="2:68" x14ac:dyDescent="0.25">
      <c r="B1191" s="98" t="s">
        <v>563</v>
      </c>
      <c r="C1191" s="98">
        <v>2014</v>
      </c>
      <c r="D1191" s="98" t="s">
        <v>271</v>
      </c>
      <c r="E1191" s="98" t="s">
        <v>28</v>
      </c>
      <c r="F1191" s="98" t="s">
        <v>131</v>
      </c>
      <c r="G1191" s="98">
        <v>73931.925999999803</v>
      </c>
      <c r="H1191" s="299" t="str">
        <f>VLOOKUP(LEFT('Rev Adequacy'!D1191,3),'Mapping B'!$D$2:$E$400,2,0)</f>
        <v>N</v>
      </c>
      <c r="J1191" s="20"/>
      <c r="K1191" s="20"/>
      <c r="L1191" s="20"/>
      <c r="M1191" s="20"/>
      <c r="N1191" s="20"/>
      <c r="O1191" s="20"/>
      <c r="P1191" s="20"/>
      <c r="Q1191" s="97"/>
      <c r="R1191" s="20"/>
      <c r="S1191" s="20"/>
      <c r="T1191" s="20"/>
      <c r="U1191" s="20"/>
      <c r="V1191" s="20"/>
      <c r="W1191" s="20"/>
      <c r="X1191" s="20"/>
      <c r="Y1191" s="20"/>
      <c r="Z1191" s="20"/>
      <c r="AA1191" s="20"/>
      <c r="BP1191" s="190"/>
    </row>
    <row r="1192" spans="2:68" x14ac:dyDescent="0.25">
      <c r="B1192" s="98" t="s">
        <v>563</v>
      </c>
      <c r="C1192" s="98">
        <v>2014</v>
      </c>
      <c r="D1192" s="98" t="s">
        <v>279</v>
      </c>
      <c r="E1192" s="98" t="s">
        <v>28</v>
      </c>
      <c r="F1192" s="98" t="s">
        <v>131</v>
      </c>
      <c r="G1192" s="98">
        <v>212354.60148321799</v>
      </c>
      <c r="H1192" s="299" t="str">
        <f>VLOOKUP(LEFT('Rev Adequacy'!D1192,3),'Mapping B'!$D$2:$E$400,2,0)</f>
        <v>N</v>
      </c>
      <c r="J1192" s="20"/>
      <c r="K1192" s="20"/>
      <c r="L1192" s="20"/>
      <c r="M1192" s="20"/>
      <c r="N1192" s="20"/>
      <c r="O1192" s="20"/>
      <c r="P1192" s="20"/>
      <c r="Q1192" s="97"/>
      <c r="R1192" s="20"/>
      <c r="S1192" s="20"/>
      <c r="T1192" s="20"/>
      <c r="U1192" s="20"/>
      <c r="V1192" s="20"/>
      <c r="W1192" s="20"/>
      <c r="X1192" s="20"/>
      <c r="Y1192" s="20"/>
      <c r="Z1192" s="20"/>
      <c r="AA1192" s="20"/>
      <c r="BP1192" s="190"/>
    </row>
    <row r="1193" spans="2:68" x14ac:dyDescent="0.25">
      <c r="B1193" s="98" t="s">
        <v>563</v>
      </c>
      <c r="C1193" s="98">
        <v>2014</v>
      </c>
      <c r="D1193" s="98" t="s">
        <v>288</v>
      </c>
      <c r="E1193" s="98" t="s">
        <v>28</v>
      </c>
      <c r="F1193" s="98" t="s">
        <v>131</v>
      </c>
      <c r="G1193" s="98">
        <v>21013.163451253298</v>
      </c>
      <c r="H1193" s="299" t="str">
        <f>VLOOKUP(LEFT('Rev Adequacy'!D1193,3),'Mapping B'!$D$2:$E$400,2,0)</f>
        <v>N</v>
      </c>
      <c r="J1193" s="20"/>
      <c r="K1193" s="20"/>
      <c r="L1193" s="20"/>
      <c r="M1193" s="20"/>
      <c r="N1193" s="20"/>
      <c r="O1193" s="20"/>
      <c r="P1193" s="20"/>
      <c r="Q1193" s="97"/>
      <c r="R1193" s="20"/>
      <c r="S1193" s="20"/>
      <c r="T1193" s="20"/>
      <c r="U1193" s="20"/>
      <c r="V1193" s="20"/>
      <c r="W1193" s="20"/>
      <c r="X1193" s="20"/>
      <c r="Y1193" s="20"/>
      <c r="Z1193" s="20"/>
      <c r="AA1193" s="20"/>
      <c r="BP1193" s="190"/>
    </row>
    <row r="1194" spans="2:68" x14ac:dyDescent="0.25">
      <c r="B1194" s="98" t="s">
        <v>563</v>
      </c>
      <c r="C1194" s="98">
        <v>2014</v>
      </c>
      <c r="D1194" s="98" t="s">
        <v>290</v>
      </c>
      <c r="E1194" s="98" t="s">
        <v>28</v>
      </c>
      <c r="F1194" s="98" t="s">
        <v>131</v>
      </c>
      <c r="G1194" s="98">
        <v>117270.538</v>
      </c>
      <c r="H1194" s="299" t="str">
        <f>VLOOKUP(LEFT('Rev Adequacy'!D1194,3),'Mapping B'!$D$2:$E$400,2,0)</f>
        <v>N</v>
      </c>
      <c r="J1194" s="20"/>
      <c r="K1194" s="20"/>
      <c r="L1194" s="20"/>
      <c r="M1194" s="20"/>
      <c r="N1194" s="20"/>
      <c r="O1194" s="20"/>
      <c r="P1194" s="20"/>
      <c r="Q1194" s="97"/>
      <c r="R1194" s="20"/>
      <c r="S1194" s="20"/>
      <c r="T1194" s="20"/>
      <c r="U1194" s="20"/>
      <c r="V1194" s="20"/>
      <c r="W1194" s="20"/>
      <c r="X1194" s="20"/>
      <c r="Y1194" s="20"/>
      <c r="Z1194" s="20"/>
      <c r="AA1194" s="20"/>
      <c r="BP1194" s="190"/>
    </row>
    <row r="1195" spans="2:68" x14ac:dyDescent="0.25">
      <c r="B1195" s="98" t="s">
        <v>563</v>
      </c>
      <c r="C1195" s="98">
        <v>2014</v>
      </c>
      <c r="D1195" s="98" t="s">
        <v>297</v>
      </c>
      <c r="E1195" s="98" t="s">
        <v>28</v>
      </c>
      <c r="F1195" s="98" t="s">
        <v>131</v>
      </c>
      <c r="G1195" s="98">
        <v>467093.41499999899</v>
      </c>
      <c r="H1195" s="299" t="str">
        <f>VLOOKUP(LEFT('Rev Adequacy'!D1195,3),'Mapping B'!$D$2:$E$400,2,0)</f>
        <v>N</v>
      </c>
      <c r="J1195" s="20"/>
      <c r="K1195" s="20"/>
      <c r="L1195" s="20"/>
      <c r="M1195" s="20"/>
      <c r="N1195" s="20"/>
      <c r="O1195" s="20"/>
      <c r="P1195" s="20"/>
      <c r="Q1195" s="20"/>
      <c r="R1195" s="20"/>
      <c r="S1195" s="20"/>
      <c r="T1195" s="20"/>
      <c r="U1195" s="20"/>
      <c r="V1195" s="20"/>
      <c r="W1195" s="20"/>
      <c r="X1195" s="20"/>
      <c r="Y1195" s="20"/>
      <c r="Z1195" s="20"/>
      <c r="AA1195" s="20"/>
      <c r="BP1195" s="190"/>
    </row>
    <row r="1196" spans="2:68" x14ac:dyDescent="0.25">
      <c r="B1196" s="98" t="s">
        <v>563</v>
      </c>
      <c r="C1196" s="98">
        <v>2014</v>
      </c>
      <c r="D1196" s="98" t="s">
        <v>320</v>
      </c>
      <c r="E1196" s="98" t="s">
        <v>28</v>
      </c>
      <c r="F1196" s="98" t="s">
        <v>131</v>
      </c>
      <c r="G1196" s="98">
        <v>318175.12599999999</v>
      </c>
      <c r="H1196" s="299" t="str">
        <f>VLOOKUP(LEFT('Rev Adequacy'!D1196,3),'Mapping B'!$D$2:$E$400,2,0)</f>
        <v>N</v>
      </c>
      <c r="BP1196" s="190"/>
    </row>
    <row r="1197" spans="2:68" x14ac:dyDescent="0.25">
      <c r="B1197" s="98" t="s">
        <v>563</v>
      </c>
      <c r="C1197" s="98">
        <v>2014</v>
      </c>
      <c r="D1197" s="98" t="s">
        <v>333</v>
      </c>
      <c r="E1197" s="98" t="s">
        <v>28</v>
      </c>
      <c r="F1197" s="98" t="s">
        <v>131</v>
      </c>
      <c r="G1197" s="98">
        <v>153039.478999999</v>
      </c>
      <c r="H1197" s="299" t="str">
        <f>VLOOKUP(LEFT('Rev Adequacy'!D1197,3),'Mapping B'!$D$2:$E$400,2,0)</f>
        <v>N</v>
      </c>
      <c r="BP1197" s="190"/>
    </row>
    <row r="1198" spans="2:68" x14ac:dyDescent="0.25">
      <c r="B1198" s="98" t="s">
        <v>563</v>
      </c>
      <c r="C1198" s="98">
        <v>2014</v>
      </c>
      <c r="D1198" s="98" t="s">
        <v>334</v>
      </c>
      <c r="E1198" s="98" t="s">
        <v>28</v>
      </c>
      <c r="F1198" s="98" t="s">
        <v>131</v>
      </c>
      <c r="G1198" s="98">
        <v>466029.557999996</v>
      </c>
      <c r="H1198" s="299" t="str">
        <f>VLOOKUP(LEFT('Rev Adequacy'!D1198,3),'Mapping B'!$D$2:$E$400,2,0)</f>
        <v>N</v>
      </c>
      <c r="BP1198" s="190"/>
    </row>
    <row r="1199" spans="2:68" x14ac:dyDescent="0.25">
      <c r="B1199" s="98" t="s">
        <v>563</v>
      </c>
      <c r="C1199" s="98">
        <v>2014</v>
      </c>
      <c r="D1199" s="98" t="s">
        <v>346</v>
      </c>
      <c r="E1199" s="98" t="s">
        <v>28</v>
      </c>
      <c r="F1199" s="98" t="s">
        <v>131</v>
      </c>
      <c r="G1199" s="98">
        <v>177682.527</v>
      </c>
      <c r="H1199" s="299" t="str">
        <f>VLOOKUP(LEFT('Rev Adequacy'!D1199,3),'Mapping B'!$D$2:$E$400,2,0)</f>
        <v>N</v>
      </c>
      <c r="BP1199" s="190"/>
    </row>
    <row r="1200" spans="2:68" x14ac:dyDescent="0.25">
      <c r="B1200" s="98" t="s">
        <v>563</v>
      </c>
      <c r="C1200" s="98">
        <v>2014</v>
      </c>
      <c r="D1200" s="98" t="s">
        <v>368</v>
      </c>
      <c r="E1200" s="98" t="s">
        <v>28</v>
      </c>
      <c r="F1200" s="98" t="s">
        <v>131</v>
      </c>
      <c r="G1200" s="98">
        <v>319955.92</v>
      </c>
      <c r="H1200" s="299" t="str">
        <f>VLOOKUP(LEFT('Rev Adequacy'!D1200,3),'Mapping B'!$D$2:$E$400,2,0)</f>
        <v>N</v>
      </c>
      <c r="BP1200" s="190"/>
    </row>
    <row r="1201" spans="2:68" x14ac:dyDescent="0.25">
      <c r="B1201" s="98" t="s">
        <v>563</v>
      </c>
      <c r="C1201" s="98">
        <v>2014</v>
      </c>
      <c r="D1201" s="98" t="s">
        <v>372</v>
      </c>
      <c r="E1201" s="98" t="s">
        <v>28</v>
      </c>
      <c r="F1201" s="98" t="s">
        <v>131</v>
      </c>
      <c r="G1201" s="98">
        <v>621620.29599999695</v>
      </c>
      <c r="H1201" s="299" t="str">
        <f>VLOOKUP(LEFT('Rev Adequacy'!D1201,3),'Mapping B'!$D$2:$E$400,2,0)</f>
        <v>N</v>
      </c>
      <c r="BP1201" s="190"/>
    </row>
    <row r="1202" spans="2:68" x14ac:dyDescent="0.25">
      <c r="B1202" s="98" t="s">
        <v>563</v>
      </c>
      <c r="C1202" s="98">
        <v>2014</v>
      </c>
      <c r="D1202" s="98" t="s">
        <v>378</v>
      </c>
      <c r="E1202" s="98" t="s">
        <v>28</v>
      </c>
      <c r="F1202" s="98" t="s">
        <v>131</v>
      </c>
      <c r="G1202" s="98">
        <v>606119.59400000097</v>
      </c>
      <c r="H1202" s="299" t="str">
        <f>VLOOKUP(LEFT('Rev Adequacy'!D1202,3),'Mapping B'!$D$2:$E$400,2,0)</f>
        <v>N</v>
      </c>
      <c r="BP1202" s="190"/>
    </row>
    <row r="1203" spans="2:68" x14ac:dyDescent="0.25">
      <c r="B1203" s="98" t="s">
        <v>563</v>
      </c>
      <c r="C1203" s="98">
        <v>2014</v>
      </c>
      <c r="D1203" s="98" t="s">
        <v>392</v>
      </c>
      <c r="E1203" s="98" t="s">
        <v>28</v>
      </c>
      <c r="F1203" s="98" t="s">
        <v>131</v>
      </c>
      <c r="G1203" s="98">
        <v>56038.481000000203</v>
      </c>
      <c r="H1203" s="299" t="str">
        <f>VLOOKUP(LEFT('Rev Adequacy'!D1203,3),'Mapping B'!$D$2:$E$400,2,0)</f>
        <v>N</v>
      </c>
      <c r="BP1203" s="190"/>
    </row>
    <row r="1204" spans="2:68" x14ac:dyDescent="0.25">
      <c r="B1204" s="98" t="s">
        <v>555</v>
      </c>
      <c r="C1204" s="98">
        <v>2014</v>
      </c>
      <c r="D1204" s="98" t="s">
        <v>157</v>
      </c>
      <c r="E1204" s="98" t="s">
        <v>28</v>
      </c>
      <c r="F1204" s="98" t="s">
        <v>131</v>
      </c>
      <c r="G1204" s="98">
        <v>438678.02299999999</v>
      </c>
      <c r="H1204" s="299" t="str">
        <f>VLOOKUP(LEFT('Rev Adequacy'!D1204,3),'Mapping B'!$D$2:$E$400,2,0)</f>
        <v>N</v>
      </c>
      <c r="BP1204" s="190"/>
    </row>
    <row r="1205" spans="2:68" x14ac:dyDescent="0.25">
      <c r="B1205" s="98" t="s">
        <v>555</v>
      </c>
      <c r="C1205" s="98">
        <v>2014</v>
      </c>
      <c r="D1205" s="98" t="s">
        <v>162</v>
      </c>
      <c r="E1205" s="98" t="s">
        <v>28</v>
      </c>
      <c r="F1205" s="98" t="s">
        <v>131</v>
      </c>
      <c r="G1205" s="98">
        <v>114556.32899999899</v>
      </c>
      <c r="H1205" s="299" t="str">
        <f>VLOOKUP(LEFT('Rev Adequacy'!D1205,3),'Mapping B'!$D$2:$E$400,2,0)</f>
        <v>N</v>
      </c>
      <c r="BP1205" s="190"/>
    </row>
    <row r="1206" spans="2:68" x14ac:dyDescent="0.25">
      <c r="B1206" s="98" t="s">
        <v>555</v>
      </c>
      <c r="C1206" s="98">
        <v>2014</v>
      </c>
      <c r="D1206" s="98" t="s">
        <v>174</v>
      </c>
      <c r="E1206" s="98" t="s">
        <v>28</v>
      </c>
      <c r="F1206" s="98" t="s">
        <v>131</v>
      </c>
      <c r="G1206" s="98">
        <v>300795.30200000003</v>
      </c>
      <c r="H1206" s="299" t="str">
        <f>VLOOKUP(LEFT('Rev Adequacy'!D1206,3),'Mapping B'!$D$2:$E$400,2,0)</f>
        <v>N</v>
      </c>
      <c r="BP1206" s="190"/>
    </row>
    <row r="1207" spans="2:68" x14ac:dyDescent="0.25">
      <c r="B1207" s="98" t="s">
        <v>555</v>
      </c>
      <c r="C1207" s="98">
        <v>2014</v>
      </c>
      <c r="D1207" s="98" t="s">
        <v>191</v>
      </c>
      <c r="E1207" s="98" t="s">
        <v>28</v>
      </c>
      <c r="F1207" s="98" t="s">
        <v>131</v>
      </c>
      <c r="G1207" s="98">
        <v>52015.307999999801</v>
      </c>
      <c r="H1207" s="299" t="str">
        <f>VLOOKUP(LEFT('Rev Adequacy'!D1207,3),'Mapping B'!$D$2:$E$400,2,0)</f>
        <v>N</v>
      </c>
      <c r="BP1207" s="190"/>
    </row>
    <row r="1208" spans="2:68" x14ac:dyDescent="0.25">
      <c r="B1208" s="98" t="s">
        <v>555</v>
      </c>
      <c r="C1208" s="98">
        <v>2014</v>
      </c>
      <c r="D1208" s="98" t="s">
        <v>199</v>
      </c>
      <c r="E1208" s="98" t="s">
        <v>28</v>
      </c>
      <c r="F1208" s="98" t="s">
        <v>131</v>
      </c>
      <c r="G1208" s="98">
        <v>429468.93099999899</v>
      </c>
      <c r="H1208" s="299" t="str">
        <f>VLOOKUP(LEFT('Rev Adequacy'!D1208,3),'Mapping B'!$D$2:$E$400,2,0)</f>
        <v>N</v>
      </c>
      <c r="BP1208" s="190"/>
    </row>
    <row r="1209" spans="2:68" x14ac:dyDescent="0.25">
      <c r="B1209" s="98" t="s">
        <v>555</v>
      </c>
      <c r="C1209" s="98">
        <v>2014</v>
      </c>
      <c r="D1209" s="98" t="s">
        <v>210</v>
      </c>
      <c r="E1209" s="98" t="s">
        <v>28</v>
      </c>
      <c r="F1209" s="98" t="s">
        <v>131</v>
      </c>
      <c r="G1209" s="98">
        <v>114337.86699999899</v>
      </c>
      <c r="H1209" s="299" t="str">
        <f>VLOOKUP(LEFT('Rev Adequacy'!D1209,3),'Mapping B'!$D$2:$E$400,2,0)</f>
        <v>N</v>
      </c>
      <c r="BP1209" s="190"/>
    </row>
    <row r="1210" spans="2:68" x14ac:dyDescent="0.25">
      <c r="B1210" s="98" t="s">
        <v>555</v>
      </c>
      <c r="C1210" s="98">
        <v>2014</v>
      </c>
      <c r="D1210" s="98" t="s">
        <v>211</v>
      </c>
      <c r="E1210" s="98" t="s">
        <v>28</v>
      </c>
      <c r="F1210" s="98" t="s">
        <v>131</v>
      </c>
      <c r="G1210" s="98">
        <v>167918.81199999899</v>
      </c>
      <c r="H1210" s="299" t="str">
        <f>VLOOKUP(LEFT('Rev Adequacy'!D1210,3),'Mapping B'!$D$2:$E$400,2,0)</f>
        <v>N</v>
      </c>
      <c r="BP1210" s="190"/>
    </row>
    <row r="1211" spans="2:68" x14ac:dyDescent="0.25">
      <c r="B1211" s="98" t="s">
        <v>555</v>
      </c>
      <c r="C1211" s="98">
        <v>2014</v>
      </c>
      <c r="D1211" s="98" t="s">
        <v>234</v>
      </c>
      <c r="E1211" s="98" t="s">
        <v>28</v>
      </c>
      <c r="F1211" s="98" t="s">
        <v>131</v>
      </c>
      <c r="G1211" s="98">
        <v>107492.21400000001</v>
      </c>
      <c r="H1211" s="299" t="str">
        <f>VLOOKUP(LEFT('Rev Adequacy'!D1211,3),'Mapping B'!$D$2:$E$400,2,0)</f>
        <v>N</v>
      </c>
      <c r="BP1211" s="190"/>
    </row>
    <row r="1212" spans="2:68" x14ac:dyDescent="0.25">
      <c r="B1212" s="98" t="s">
        <v>555</v>
      </c>
      <c r="C1212" s="98">
        <v>2014</v>
      </c>
      <c r="D1212" s="98" t="s">
        <v>235</v>
      </c>
      <c r="E1212" s="98" t="s">
        <v>28</v>
      </c>
      <c r="F1212" s="98" t="s">
        <v>131</v>
      </c>
      <c r="G1212" s="98">
        <v>77871.054000000004</v>
      </c>
      <c r="H1212" s="299" t="str">
        <f>VLOOKUP(LEFT('Rev Adequacy'!D1212,3),'Mapping B'!$D$2:$E$400,2,0)</f>
        <v>N</v>
      </c>
      <c r="BP1212" s="190"/>
    </row>
    <row r="1213" spans="2:68" x14ac:dyDescent="0.25">
      <c r="B1213" s="98" t="s">
        <v>555</v>
      </c>
      <c r="C1213" s="98">
        <v>2014</v>
      </c>
      <c r="D1213" s="98" t="s">
        <v>240</v>
      </c>
      <c r="E1213" s="98" t="s">
        <v>28</v>
      </c>
      <c r="F1213" s="98" t="s">
        <v>131</v>
      </c>
      <c r="G1213" s="98">
        <v>396897.99399999902</v>
      </c>
      <c r="H1213" s="299" t="str">
        <f>VLOOKUP(LEFT('Rev Adequacy'!D1213,3),'Mapping B'!$D$2:$E$400,2,0)</f>
        <v>N</v>
      </c>
      <c r="BP1213" s="190"/>
    </row>
    <row r="1214" spans="2:68" x14ac:dyDescent="0.25">
      <c r="B1214" s="98" t="s">
        <v>555</v>
      </c>
      <c r="C1214" s="98">
        <v>2014</v>
      </c>
      <c r="D1214" s="98" t="s">
        <v>246</v>
      </c>
      <c r="E1214" s="98" t="s">
        <v>28</v>
      </c>
      <c r="F1214" s="98" t="s">
        <v>131</v>
      </c>
      <c r="G1214" s="98">
        <v>231209.60799999899</v>
      </c>
      <c r="H1214" s="299" t="str">
        <f>VLOOKUP(LEFT('Rev Adequacy'!D1214,3),'Mapping B'!$D$2:$E$400,2,0)</f>
        <v>N</v>
      </c>
      <c r="BP1214" s="190"/>
    </row>
    <row r="1215" spans="2:68" x14ac:dyDescent="0.25">
      <c r="B1215" s="98" t="s">
        <v>555</v>
      </c>
      <c r="C1215" s="98">
        <v>2014</v>
      </c>
      <c r="D1215" s="98" t="s">
        <v>255</v>
      </c>
      <c r="E1215" s="98" t="s">
        <v>28</v>
      </c>
      <c r="F1215" s="98" t="s">
        <v>131</v>
      </c>
      <c r="G1215" s="98">
        <v>60346.807999999903</v>
      </c>
      <c r="H1215" s="299" t="str">
        <f>VLOOKUP(LEFT('Rev Adequacy'!D1215,3),'Mapping B'!$D$2:$E$400,2,0)</f>
        <v>N</v>
      </c>
      <c r="BP1215" s="190"/>
    </row>
    <row r="1216" spans="2:68" x14ac:dyDescent="0.25">
      <c r="B1216" s="98" t="s">
        <v>555</v>
      </c>
      <c r="C1216" s="98">
        <v>2014</v>
      </c>
      <c r="D1216" s="98" t="s">
        <v>266</v>
      </c>
      <c r="E1216" s="98" t="s">
        <v>28</v>
      </c>
      <c r="F1216" s="98" t="s">
        <v>131</v>
      </c>
      <c r="G1216" s="98">
        <v>205479.49999999901</v>
      </c>
      <c r="H1216" s="299" t="str">
        <f>VLOOKUP(LEFT('Rev Adequacy'!D1216,3),'Mapping B'!$D$2:$E$400,2,0)</f>
        <v>N</v>
      </c>
      <c r="BP1216" s="190"/>
    </row>
    <row r="1217" spans="2:68" x14ac:dyDescent="0.25">
      <c r="B1217" s="98" t="s">
        <v>555</v>
      </c>
      <c r="C1217" s="98">
        <v>2014</v>
      </c>
      <c r="D1217" s="98" t="s">
        <v>268</v>
      </c>
      <c r="E1217" s="98" t="s">
        <v>28</v>
      </c>
      <c r="F1217" s="98" t="s">
        <v>131</v>
      </c>
      <c r="G1217" s="98">
        <v>312249.68400000001</v>
      </c>
      <c r="H1217" s="299" t="str">
        <f>VLOOKUP(LEFT('Rev Adequacy'!D1217,3),'Mapping B'!$D$2:$E$400,2,0)</f>
        <v>N</v>
      </c>
      <c r="BP1217" s="190"/>
    </row>
    <row r="1218" spans="2:68" x14ac:dyDescent="0.25">
      <c r="B1218" s="98" t="s">
        <v>555</v>
      </c>
      <c r="C1218" s="98">
        <v>2014</v>
      </c>
      <c r="D1218" s="98" t="s">
        <v>269</v>
      </c>
      <c r="E1218" s="98" t="s">
        <v>28</v>
      </c>
      <c r="F1218" s="98" t="s">
        <v>131</v>
      </c>
      <c r="G1218" s="98">
        <v>79624.264999999898</v>
      </c>
      <c r="H1218" s="299" t="str">
        <f>VLOOKUP(LEFT('Rev Adequacy'!D1218,3),'Mapping B'!$D$2:$E$400,2,0)</f>
        <v>N</v>
      </c>
      <c r="BP1218" s="190"/>
    </row>
    <row r="1219" spans="2:68" x14ac:dyDescent="0.25">
      <c r="B1219" s="98" t="s">
        <v>555</v>
      </c>
      <c r="C1219" s="98">
        <v>2014</v>
      </c>
      <c r="D1219" s="98" t="s">
        <v>271</v>
      </c>
      <c r="E1219" s="98" t="s">
        <v>28</v>
      </c>
      <c r="F1219" s="98" t="s">
        <v>131</v>
      </c>
      <c r="G1219" s="98">
        <v>35853.906999999701</v>
      </c>
      <c r="H1219" s="299" t="str">
        <f>VLOOKUP(LEFT('Rev Adequacy'!D1219,3),'Mapping B'!$D$2:$E$400,2,0)</f>
        <v>N</v>
      </c>
      <c r="BP1219" s="190"/>
    </row>
    <row r="1220" spans="2:68" x14ac:dyDescent="0.25">
      <c r="B1220" s="98" t="s">
        <v>555</v>
      </c>
      <c r="C1220" s="98">
        <v>2014</v>
      </c>
      <c r="D1220" s="98" t="s">
        <v>279</v>
      </c>
      <c r="E1220" s="98" t="s">
        <v>28</v>
      </c>
      <c r="F1220" s="98" t="s">
        <v>131</v>
      </c>
      <c r="G1220" s="98">
        <v>89660.391152959099</v>
      </c>
      <c r="H1220" s="299" t="str">
        <f>VLOOKUP(LEFT('Rev Adequacy'!D1220,3),'Mapping B'!$D$2:$E$400,2,0)</f>
        <v>N</v>
      </c>
      <c r="BP1220" s="190"/>
    </row>
    <row r="1221" spans="2:68" x14ac:dyDescent="0.25">
      <c r="B1221" s="98" t="s">
        <v>555</v>
      </c>
      <c r="C1221" s="98">
        <v>2014</v>
      </c>
      <c r="D1221" s="98" t="s">
        <v>288</v>
      </c>
      <c r="E1221" s="98" t="s">
        <v>28</v>
      </c>
      <c r="F1221" s="98" t="s">
        <v>131</v>
      </c>
      <c r="G1221" s="98">
        <v>10379.975950789099</v>
      </c>
      <c r="H1221" s="299" t="str">
        <f>VLOOKUP(LEFT('Rev Adequacy'!D1221,3),'Mapping B'!$D$2:$E$400,2,0)</f>
        <v>N</v>
      </c>
      <c r="BP1221" s="190"/>
    </row>
    <row r="1222" spans="2:68" x14ac:dyDescent="0.25">
      <c r="B1222" s="98" t="s">
        <v>555</v>
      </c>
      <c r="C1222" s="98">
        <v>2014</v>
      </c>
      <c r="D1222" s="98" t="s">
        <v>290</v>
      </c>
      <c r="E1222" s="98" t="s">
        <v>28</v>
      </c>
      <c r="F1222" s="98" t="s">
        <v>131</v>
      </c>
      <c r="G1222" s="98">
        <v>57712.762000000002</v>
      </c>
      <c r="H1222" s="299" t="str">
        <f>VLOOKUP(LEFT('Rev Adequacy'!D1222,3),'Mapping B'!$D$2:$E$400,2,0)</f>
        <v>N</v>
      </c>
      <c r="BP1222" s="190"/>
    </row>
    <row r="1223" spans="2:68" x14ac:dyDescent="0.25">
      <c r="B1223" s="98" t="s">
        <v>555</v>
      </c>
      <c r="C1223" s="98">
        <v>2014</v>
      </c>
      <c r="D1223" s="98" t="s">
        <v>297</v>
      </c>
      <c r="E1223" s="98" t="s">
        <v>28</v>
      </c>
      <c r="F1223" s="98" t="s">
        <v>131</v>
      </c>
      <c r="G1223" s="98">
        <v>263479.82999999903</v>
      </c>
      <c r="H1223" s="299" t="str">
        <f>VLOOKUP(LEFT('Rev Adequacy'!D1223,3),'Mapping B'!$D$2:$E$400,2,0)</f>
        <v>N</v>
      </c>
      <c r="BP1223" s="190"/>
    </row>
    <row r="1224" spans="2:68" x14ac:dyDescent="0.25">
      <c r="B1224" s="98" t="s">
        <v>555</v>
      </c>
      <c r="C1224" s="98">
        <v>2014</v>
      </c>
      <c r="D1224" s="98" t="s">
        <v>320</v>
      </c>
      <c r="E1224" s="98" t="s">
        <v>28</v>
      </c>
      <c r="F1224" s="98" t="s">
        <v>131</v>
      </c>
      <c r="G1224" s="98">
        <v>139344.168999999</v>
      </c>
      <c r="H1224" s="299" t="str">
        <f>VLOOKUP(LEFT('Rev Adequacy'!D1224,3),'Mapping B'!$D$2:$E$400,2,0)</f>
        <v>N</v>
      </c>
      <c r="BP1224" s="190"/>
    </row>
    <row r="1225" spans="2:68" x14ac:dyDescent="0.25">
      <c r="B1225" s="98" t="s">
        <v>555</v>
      </c>
      <c r="C1225" s="98">
        <v>2014</v>
      </c>
      <c r="D1225" s="98" t="s">
        <v>333</v>
      </c>
      <c r="E1225" s="98" t="s">
        <v>28</v>
      </c>
      <c r="F1225" s="98" t="s">
        <v>131</v>
      </c>
      <c r="G1225" s="98">
        <v>139538.86299999899</v>
      </c>
      <c r="H1225" s="299" t="str">
        <f>VLOOKUP(LEFT('Rev Adequacy'!D1225,3),'Mapping B'!$D$2:$E$400,2,0)</f>
        <v>N</v>
      </c>
      <c r="BP1225" s="190"/>
    </row>
    <row r="1226" spans="2:68" x14ac:dyDescent="0.25">
      <c r="B1226" s="98" t="s">
        <v>555</v>
      </c>
      <c r="C1226" s="98">
        <v>2014</v>
      </c>
      <c r="D1226" s="98" t="s">
        <v>334</v>
      </c>
      <c r="E1226" s="98" t="s">
        <v>28</v>
      </c>
      <c r="F1226" s="98" t="s">
        <v>131</v>
      </c>
      <c r="G1226" s="98">
        <v>402591.08899999998</v>
      </c>
      <c r="H1226" s="299" t="str">
        <f>VLOOKUP(LEFT('Rev Adequacy'!D1226,3),'Mapping B'!$D$2:$E$400,2,0)</f>
        <v>N</v>
      </c>
      <c r="BP1226" s="190"/>
    </row>
    <row r="1227" spans="2:68" x14ac:dyDescent="0.25">
      <c r="B1227" s="98" t="s">
        <v>555</v>
      </c>
      <c r="C1227" s="98">
        <v>2014</v>
      </c>
      <c r="D1227" s="98" t="s">
        <v>346</v>
      </c>
      <c r="E1227" s="98" t="s">
        <v>28</v>
      </c>
      <c r="F1227" s="98" t="s">
        <v>131</v>
      </c>
      <c r="G1227" s="98">
        <v>138811.66200000001</v>
      </c>
      <c r="H1227" s="299" t="str">
        <f>VLOOKUP(LEFT('Rev Adequacy'!D1227,3),'Mapping B'!$D$2:$E$400,2,0)</f>
        <v>N</v>
      </c>
      <c r="BP1227" s="190"/>
    </row>
    <row r="1228" spans="2:68" x14ac:dyDescent="0.25">
      <c r="B1228" s="98" t="s">
        <v>555</v>
      </c>
      <c r="C1228" s="98">
        <v>2014</v>
      </c>
      <c r="D1228" s="98" t="s">
        <v>368</v>
      </c>
      <c r="E1228" s="98" t="s">
        <v>28</v>
      </c>
      <c r="F1228" s="98" t="s">
        <v>131</v>
      </c>
      <c r="G1228" s="98">
        <v>142342.63699999999</v>
      </c>
      <c r="H1228" s="299" t="str">
        <f>VLOOKUP(LEFT('Rev Adequacy'!D1228,3),'Mapping B'!$D$2:$E$400,2,0)</f>
        <v>N</v>
      </c>
      <c r="BP1228" s="190"/>
    </row>
    <row r="1229" spans="2:68" x14ac:dyDescent="0.25">
      <c r="B1229" s="98" t="s">
        <v>555</v>
      </c>
      <c r="C1229" s="98">
        <v>2014</v>
      </c>
      <c r="D1229" s="98" t="s">
        <v>372</v>
      </c>
      <c r="E1229" s="98" t="s">
        <v>28</v>
      </c>
      <c r="F1229" s="98" t="s">
        <v>131</v>
      </c>
      <c r="G1229" s="98">
        <v>347962.57</v>
      </c>
      <c r="H1229" s="299" t="str">
        <f>VLOOKUP(LEFT('Rev Adequacy'!D1229,3),'Mapping B'!$D$2:$E$400,2,0)</f>
        <v>N</v>
      </c>
      <c r="BP1229" s="190"/>
    </row>
    <row r="1230" spans="2:68" x14ac:dyDescent="0.25">
      <c r="B1230" s="98" t="s">
        <v>555</v>
      </c>
      <c r="C1230" s="98">
        <v>2014</v>
      </c>
      <c r="D1230" s="98" t="s">
        <v>378</v>
      </c>
      <c r="E1230" s="98" t="s">
        <v>28</v>
      </c>
      <c r="F1230" s="98" t="s">
        <v>131</v>
      </c>
      <c r="G1230" s="98">
        <v>330322.94500000001</v>
      </c>
      <c r="H1230" s="299" t="str">
        <f>VLOOKUP(LEFT('Rev Adequacy'!D1230,3),'Mapping B'!$D$2:$E$400,2,0)</f>
        <v>N</v>
      </c>
      <c r="BP1230" s="190"/>
    </row>
    <row r="1231" spans="2:68" x14ac:dyDescent="0.25">
      <c r="B1231" s="98" t="s">
        <v>555</v>
      </c>
      <c r="C1231" s="98">
        <v>2014</v>
      </c>
      <c r="D1231" s="98" t="s">
        <v>392</v>
      </c>
      <c r="E1231" s="98" t="s">
        <v>28</v>
      </c>
      <c r="F1231" s="98" t="s">
        <v>131</v>
      </c>
      <c r="G1231" s="98">
        <v>25226.174999999999</v>
      </c>
      <c r="H1231" s="299" t="str">
        <f>VLOOKUP(LEFT('Rev Adequacy'!D1231,3),'Mapping B'!$D$2:$E$400,2,0)</f>
        <v>N</v>
      </c>
      <c r="BP1231" s="190"/>
    </row>
    <row r="1232" spans="2:68" x14ac:dyDescent="0.25">
      <c r="B1232" s="98" t="s">
        <v>112</v>
      </c>
      <c r="C1232" s="98">
        <v>2014</v>
      </c>
      <c r="D1232" s="98" t="s">
        <v>157</v>
      </c>
      <c r="E1232" s="98" t="s">
        <v>28</v>
      </c>
      <c r="F1232" s="98" t="s">
        <v>131</v>
      </c>
      <c r="G1232" s="98">
        <v>20170017.908999801</v>
      </c>
      <c r="H1232" s="299" t="str">
        <f>VLOOKUP(LEFT('Rev Adequacy'!D1232,3),'Mapping B'!$D$2:$E$400,2,0)</f>
        <v>N</v>
      </c>
      <c r="BP1232" s="190"/>
    </row>
    <row r="1233" spans="2:68" x14ac:dyDescent="0.25">
      <c r="B1233" s="98" t="s">
        <v>112</v>
      </c>
      <c r="C1233" s="98">
        <v>2014</v>
      </c>
      <c r="D1233" s="98" t="s">
        <v>162</v>
      </c>
      <c r="E1233" s="98" t="s">
        <v>28</v>
      </c>
      <c r="F1233" s="98" t="s">
        <v>131</v>
      </c>
      <c r="G1233" s="98">
        <v>4982131.9100000402</v>
      </c>
      <c r="H1233" s="299" t="str">
        <f>VLOOKUP(LEFT('Rev Adequacy'!D1233,3),'Mapping B'!$D$2:$E$400,2,0)</f>
        <v>N</v>
      </c>
      <c r="BP1233" s="190"/>
    </row>
    <row r="1234" spans="2:68" x14ac:dyDescent="0.25">
      <c r="B1234" s="98" t="s">
        <v>112</v>
      </c>
      <c r="C1234" s="98">
        <v>2014</v>
      </c>
      <c r="D1234" s="98" t="s">
        <v>174</v>
      </c>
      <c r="E1234" s="98" t="s">
        <v>28</v>
      </c>
      <c r="F1234" s="98" t="s">
        <v>131</v>
      </c>
      <c r="G1234" s="98">
        <v>10679329.4939999</v>
      </c>
      <c r="H1234" s="299" t="str">
        <f>VLOOKUP(LEFT('Rev Adequacy'!D1234,3),'Mapping B'!$D$2:$E$400,2,0)</f>
        <v>N</v>
      </c>
      <c r="BP1234" s="190"/>
    </row>
    <row r="1235" spans="2:68" x14ac:dyDescent="0.25">
      <c r="B1235" s="98" t="s">
        <v>112</v>
      </c>
      <c r="C1235" s="98">
        <v>2014</v>
      </c>
      <c r="D1235" s="98" t="s">
        <v>191</v>
      </c>
      <c r="E1235" s="98" t="s">
        <v>28</v>
      </c>
      <c r="F1235" s="98" t="s">
        <v>131</v>
      </c>
      <c r="G1235" s="98">
        <v>2348044.7209999901</v>
      </c>
      <c r="H1235" s="299" t="str">
        <f>VLOOKUP(LEFT('Rev Adequacy'!D1235,3),'Mapping B'!$D$2:$E$400,2,0)</f>
        <v>N</v>
      </c>
      <c r="BP1235" s="190"/>
    </row>
    <row r="1236" spans="2:68" x14ac:dyDescent="0.25">
      <c r="B1236" s="98" t="s">
        <v>112</v>
      </c>
      <c r="C1236" s="98">
        <v>2014</v>
      </c>
      <c r="D1236" s="98" t="s">
        <v>199</v>
      </c>
      <c r="E1236" s="98" t="s">
        <v>28</v>
      </c>
      <c r="F1236" s="98" t="s">
        <v>131</v>
      </c>
      <c r="G1236" s="98">
        <v>8499504.8460000101</v>
      </c>
      <c r="H1236" s="299" t="str">
        <f>VLOOKUP(LEFT('Rev Adequacy'!D1236,3),'Mapping B'!$D$2:$E$400,2,0)</f>
        <v>N</v>
      </c>
      <c r="BP1236" s="190"/>
    </row>
    <row r="1237" spans="2:68" x14ac:dyDescent="0.25">
      <c r="B1237" s="98" t="s">
        <v>112</v>
      </c>
      <c r="C1237" s="98">
        <v>2014</v>
      </c>
      <c r="D1237" s="98" t="s">
        <v>210</v>
      </c>
      <c r="E1237" s="98" t="s">
        <v>28</v>
      </c>
      <c r="F1237" s="98" t="s">
        <v>131</v>
      </c>
      <c r="G1237" s="98">
        <v>4293216.0910000103</v>
      </c>
      <c r="H1237" s="299" t="str">
        <f>VLOOKUP(LEFT('Rev Adequacy'!D1237,3),'Mapping B'!$D$2:$E$400,2,0)</f>
        <v>N</v>
      </c>
      <c r="BP1237" s="190"/>
    </row>
    <row r="1238" spans="2:68" x14ac:dyDescent="0.25">
      <c r="B1238" s="98" t="s">
        <v>112</v>
      </c>
      <c r="C1238" s="98">
        <v>2014</v>
      </c>
      <c r="D1238" s="98" t="s">
        <v>211</v>
      </c>
      <c r="E1238" s="98" t="s">
        <v>28</v>
      </c>
      <c r="F1238" s="98" t="s">
        <v>131</v>
      </c>
      <c r="G1238" s="98">
        <v>6098741.0529999798</v>
      </c>
      <c r="H1238" s="299" t="str">
        <f>VLOOKUP(LEFT('Rev Adequacy'!D1238,3),'Mapping B'!$D$2:$E$400,2,0)</f>
        <v>N</v>
      </c>
      <c r="BP1238" s="190"/>
    </row>
    <row r="1239" spans="2:68" x14ac:dyDescent="0.25">
      <c r="B1239" s="98" t="s">
        <v>112</v>
      </c>
      <c r="C1239" s="98">
        <v>2014</v>
      </c>
      <c r="D1239" s="98" t="s">
        <v>234</v>
      </c>
      <c r="E1239" s="98" t="s">
        <v>28</v>
      </c>
      <c r="F1239" s="98" t="s">
        <v>131</v>
      </c>
      <c r="G1239" s="98">
        <v>3422958.57399998</v>
      </c>
      <c r="H1239" s="299" t="str">
        <f>VLOOKUP(LEFT('Rev Adequacy'!D1239,3),'Mapping B'!$D$2:$E$400,2,0)</f>
        <v>N</v>
      </c>
      <c r="BP1239" s="190"/>
    </row>
    <row r="1240" spans="2:68" x14ac:dyDescent="0.25">
      <c r="B1240" s="98" t="s">
        <v>112</v>
      </c>
      <c r="C1240" s="98">
        <v>2014</v>
      </c>
      <c r="D1240" s="98" t="s">
        <v>235</v>
      </c>
      <c r="E1240" s="98" t="s">
        <v>28</v>
      </c>
      <c r="F1240" s="98" t="s">
        <v>131</v>
      </c>
      <c r="G1240" s="98">
        <v>2692394.7369999699</v>
      </c>
      <c r="H1240" s="299" t="str">
        <f>VLOOKUP(LEFT('Rev Adequacy'!D1240,3),'Mapping B'!$D$2:$E$400,2,0)</f>
        <v>N</v>
      </c>
      <c r="BP1240" s="190"/>
    </row>
    <row r="1241" spans="2:68" x14ac:dyDescent="0.25">
      <c r="B1241" s="98" t="s">
        <v>112</v>
      </c>
      <c r="C1241" s="98">
        <v>2014</v>
      </c>
      <c r="D1241" s="98" t="s">
        <v>240</v>
      </c>
      <c r="E1241" s="98" t="s">
        <v>28</v>
      </c>
      <c r="F1241" s="98" t="s">
        <v>131</v>
      </c>
      <c r="G1241" s="98">
        <v>8661750.3629999701</v>
      </c>
      <c r="H1241" s="299" t="str">
        <f>VLOOKUP(LEFT('Rev Adequacy'!D1241,3),'Mapping B'!$D$2:$E$400,2,0)</f>
        <v>N</v>
      </c>
      <c r="BP1241" s="190"/>
    </row>
    <row r="1242" spans="2:68" x14ac:dyDescent="0.25">
      <c r="B1242" s="98" t="s">
        <v>112</v>
      </c>
      <c r="C1242" s="98">
        <v>2014</v>
      </c>
      <c r="D1242" s="98" t="s">
        <v>246</v>
      </c>
      <c r="E1242" s="98" t="s">
        <v>28</v>
      </c>
      <c r="F1242" s="98" t="s">
        <v>131</v>
      </c>
      <c r="G1242" s="98">
        <v>10984007.8769999</v>
      </c>
      <c r="H1242" s="299" t="str">
        <f>VLOOKUP(LEFT('Rev Adequacy'!D1242,3),'Mapping B'!$D$2:$E$400,2,0)</f>
        <v>N</v>
      </c>
      <c r="BP1242" s="190"/>
    </row>
    <row r="1243" spans="2:68" x14ac:dyDescent="0.25">
      <c r="B1243" s="98" t="s">
        <v>112</v>
      </c>
      <c r="C1243" s="98">
        <v>2014</v>
      </c>
      <c r="D1243" s="98" t="s">
        <v>255</v>
      </c>
      <c r="E1243" s="98" t="s">
        <v>28</v>
      </c>
      <c r="F1243" s="98" t="s">
        <v>131</v>
      </c>
      <c r="G1243" s="98">
        <v>2540191.0460000001</v>
      </c>
      <c r="H1243" s="299" t="str">
        <f>VLOOKUP(LEFT('Rev Adequacy'!D1243,3),'Mapping B'!$D$2:$E$400,2,0)</f>
        <v>N</v>
      </c>
      <c r="BP1243" s="190"/>
    </row>
    <row r="1244" spans="2:68" x14ac:dyDescent="0.25">
      <c r="B1244" s="98" t="s">
        <v>112</v>
      </c>
      <c r="C1244" s="98">
        <v>2014</v>
      </c>
      <c r="D1244" s="98" t="s">
        <v>266</v>
      </c>
      <c r="E1244" s="98" t="s">
        <v>28</v>
      </c>
      <c r="F1244" s="98" t="s">
        <v>131</v>
      </c>
      <c r="G1244" s="98">
        <v>9931280.9579999894</v>
      </c>
      <c r="H1244" s="299" t="str">
        <f>VLOOKUP(LEFT('Rev Adequacy'!D1244,3),'Mapping B'!$D$2:$E$400,2,0)</f>
        <v>N</v>
      </c>
      <c r="BP1244" s="190"/>
    </row>
    <row r="1245" spans="2:68" x14ac:dyDescent="0.25">
      <c r="B1245" s="98" t="s">
        <v>112</v>
      </c>
      <c r="C1245" s="98">
        <v>2014</v>
      </c>
      <c r="D1245" s="98" t="s">
        <v>268</v>
      </c>
      <c r="E1245" s="98" t="s">
        <v>28</v>
      </c>
      <c r="F1245" s="98" t="s">
        <v>131</v>
      </c>
      <c r="G1245" s="98">
        <v>11484625.111999899</v>
      </c>
      <c r="H1245" s="299" t="str">
        <f>VLOOKUP(LEFT('Rev Adequacy'!D1245,3),'Mapping B'!$D$2:$E$400,2,0)</f>
        <v>N</v>
      </c>
      <c r="BP1245" s="190"/>
    </row>
    <row r="1246" spans="2:68" x14ac:dyDescent="0.25">
      <c r="B1246" s="98" t="s">
        <v>112</v>
      </c>
      <c r="C1246" s="98">
        <v>2014</v>
      </c>
      <c r="D1246" s="98" t="s">
        <v>269</v>
      </c>
      <c r="E1246" s="98" t="s">
        <v>28</v>
      </c>
      <c r="F1246" s="98" t="s">
        <v>131</v>
      </c>
      <c r="G1246" s="98">
        <v>3586169.5209999899</v>
      </c>
      <c r="H1246" s="299" t="str">
        <f>VLOOKUP(LEFT('Rev Adequacy'!D1246,3),'Mapping B'!$D$2:$E$400,2,0)</f>
        <v>N</v>
      </c>
      <c r="BP1246" s="190"/>
    </row>
    <row r="1247" spans="2:68" x14ac:dyDescent="0.25">
      <c r="B1247" s="98" t="s">
        <v>112</v>
      </c>
      <c r="C1247" s="98">
        <v>2014</v>
      </c>
      <c r="D1247" s="98" t="s">
        <v>271</v>
      </c>
      <c r="E1247" s="98" t="s">
        <v>28</v>
      </c>
      <c r="F1247" s="98" t="s">
        <v>131</v>
      </c>
      <c r="G1247" s="98">
        <v>1431194.426</v>
      </c>
      <c r="H1247" s="299" t="str">
        <f>VLOOKUP(LEFT('Rev Adequacy'!D1247,3),'Mapping B'!$D$2:$E$400,2,0)</f>
        <v>N</v>
      </c>
      <c r="BP1247" s="190"/>
    </row>
    <row r="1248" spans="2:68" x14ac:dyDescent="0.25">
      <c r="B1248" s="98" t="s">
        <v>112</v>
      </c>
      <c r="C1248" s="98">
        <v>2014</v>
      </c>
      <c r="D1248" s="98" t="s">
        <v>279</v>
      </c>
      <c r="E1248" s="98" t="s">
        <v>28</v>
      </c>
      <c r="F1248" s="98" t="s">
        <v>131</v>
      </c>
      <c r="G1248" s="98">
        <v>3362456.2693135999</v>
      </c>
      <c r="H1248" s="299" t="str">
        <f>VLOOKUP(LEFT('Rev Adequacy'!D1248,3),'Mapping B'!$D$2:$E$400,2,0)</f>
        <v>N</v>
      </c>
      <c r="BP1248" s="190"/>
    </row>
    <row r="1249" spans="2:68" x14ac:dyDescent="0.25">
      <c r="B1249" s="98" t="s">
        <v>112</v>
      </c>
      <c r="C1249" s="98">
        <v>2014</v>
      </c>
      <c r="D1249" s="98" t="s">
        <v>288</v>
      </c>
      <c r="E1249" s="98" t="s">
        <v>28</v>
      </c>
      <c r="F1249" s="98" t="s">
        <v>131</v>
      </c>
      <c r="G1249" s="98">
        <v>410549.97875580401</v>
      </c>
      <c r="H1249" s="299" t="str">
        <f>VLOOKUP(LEFT('Rev Adequacy'!D1249,3),'Mapping B'!$D$2:$E$400,2,0)</f>
        <v>N</v>
      </c>
      <c r="BP1249" s="190"/>
    </row>
    <row r="1250" spans="2:68" x14ac:dyDescent="0.25">
      <c r="B1250" s="98" t="s">
        <v>112</v>
      </c>
      <c r="C1250" s="98">
        <v>2014</v>
      </c>
      <c r="D1250" s="98" t="s">
        <v>290</v>
      </c>
      <c r="E1250" s="98" t="s">
        <v>28</v>
      </c>
      <c r="F1250" s="98" t="s">
        <v>131</v>
      </c>
      <c r="G1250" s="98">
        <v>1767687.5630000001</v>
      </c>
      <c r="H1250" s="299" t="str">
        <f>VLOOKUP(LEFT('Rev Adequacy'!D1250,3),'Mapping B'!$D$2:$E$400,2,0)</f>
        <v>N</v>
      </c>
      <c r="BP1250" s="190"/>
    </row>
    <row r="1251" spans="2:68" x14ac:dyDescent="0.25">
      <c r="B1251" s="98" t="s">
        <v>112</v>
      </c>
      <c r="C1251" s="98">
        <v>2014</v>
      </c>
      <c r="D1251" s="98" t="s">
        <v>297</v>
      </c>
      <c r="E1251" s="98" t="s">
        <v>28</v>
      </c>
      <c r="F1251" s="98" t="s">
        <v>131</v>
      </c>
      <c r="G1251" s="98">
        <v>5581332.6649999795</v>
      </c>
      <c r="H1251" s="299" t="str">
        <f>VLOOKUP(LEFT('Rev Adequacy'!D1251,3),'Mapping B'!$D$2:$E$400,2,0)</f>
        <v>N</v>
      </c>
      <c r="BP1251" s="190"/>
    </row>
    <row r="1252" spans="2:68" x14ac:dyDescent="0.25">
      <c r="B1252" s="98" t="s">
        <v>112</v>
      </c>
      <c r="C1252" s="98">
        <v>2014</v>
      </c>
      <c r="D1252" s="98" t="s">
        <v>320</v>
      </c>
      <c r="E1252" s="98" t="s">
        <v>28</v>
      </c>
      <c r="F1252" s="98" t="s">
        <v>131</v>
      </c>
      <c r="G1252" s="98">
        <v>4954999.8579999898</v>
      </c>
      <c r="H1252" s="299" t="str">
        <f>VLOOKUP(LEFT('Rev Adequacy'!D1252,3),'Mapping B'!$D$2:$E$400,2,0)</f>
        <v>N</v>
      </c>
      <c r="BP1252" s="190"/>
    </row>
    <row r="1253" spans="2:68" x14ac:dyDescent="0.25">
      <c r="B1253" s="98" t="s">
        <v>112</v>
      </c>
      <c r="C1253" s="98">
        <v>2014</v>
      </c>
      <c r="D1253" s="98" t="s">
        <v>333</v>
      </c>
      <c r="E1253" s="98" t="s">
        <v>28</v>
      </c>
      <c r="F1253" s="98" t="s">
        <v>131</v>
      </c>
      <c r="G1253" s="98">
        <v>4826118.6169999801</v>
      </c>
      <c r="H1253" s="299" t="str">
        <f>VLOOKUP(LEFT('Rev Adequacy'!D1253,3),'Mapping B'!$D$2:$E$400,2,0)</f>
        <v>N</v>
      </c>
      <c r="BP1253" s="190"/>
    </row>
    <row r="1254" spans="2:68" x14ac:dyDescent="0.25">
      <c r="B1254" s="98" t="s">
        <v>112</v>
      </c>
      <c r="C1254" s="98">
        <v>2014</v>
      </c>
      <c r="D1254" s="98" t="s">
        <v>334</v>
      </c>
      <c r="E1254" s="98" t="s">
        <v>28</v>
      </c>
      <c r="F1254" s="98" t="s">
        <v>131</v>
      </c>
      <c r="G1254" s="98">
        <v>14423835.119000001</v>
      </c>
      <c r="H1254" s="299" t="str">
        <f>VLOOKUP(LEFT('Rev Adequacy'!D1254,3),'Mapping B'!$D$2:$E$400,2,0)</f>
        <v>N</v>
      </c>
      <c r="BP1254" s="190"/>
    </row>
    <row r="1255" spans="2:68" x14ac:dyDescent="0.25">
      <c r="B1255" s="98" t="s">
        <v>112</v>
      </c>
      <c r="C1255" s="98">
        <v>2014</v>
      </c>
      <c r="D1255" s="98" t="s">
        <v>346</v>
      </c>
      <c r="E1255" s="98" t="s">
        <v>28</v>
      </c>
      <c r="F1255" s="98" t="s">
        <v>131</v>
      </c>
      <c r="G1255" s="98">
        <v>5368147.0500000296</v>
      </c>
      <c r="H1255" s="299" t="str">
        <f>VLOOKUP(LEFT('Rev Adequacy'!D1255,3),'Mapping B'!$D$2:$E$400,2,0)</f>
        <v>N</v>
      </c>
      <c r="BP1255" s="190"/>
    </row>
    <row r="1256" spans="2:68" x14ac:dyDescent="0.25">
      <c r="B1256" s="98" t="s">
        <v>112</v>
      </c>
      <c r="C1256" s="98">
        <v>2014</v>
      </c>
      <c r="D1256" s="98" t="s">
        <v>368</v>
      </c>
      <c r="E1256" s="98" t="s">
        <v>28</v>
      </c>
      <c r="F1256" s="98" t="s">
        <v>131</v>
      </c>
      <c r="G1256" s="98">
        <v>22938619.892000102</v>
      </c>
      <c r="H1256" s="299" t="str">
        <f>VLOOKUP(LEFT('Rev Adequacy'!D1256,3),'Mapping B'!$D$2:$E$400,2,0)</f>
        <v>N</v>
      </c>
      <c r="BP1256" s="190"/>
    </row>
    <row r="1257" spans="2:68" x14ac:dyDescent="0.25">
      <c r="B1257" s="98" t="s">
        <v>112</v>
      </c>
      <c r="C1257" s="98">
        <v>2014</v>
      </c>
      <c r="D1257" s="98" t="s">
        <v>372</v>
      </c>
      <c r="E1257" s="98" t="s">
        <v>28</v>
      </c>
      <c r="F1257" s="98" t="s">
        <v>131</v>
      </c>
      <c r="G1257" s="98">
        <v>6882602.0200000098</v>
      </c>
      <c r="H1257" s="299" t="str">
        <f>VLOOKUP(LEFT('Rev Adequacy'!D1257,3),'Mapping B'!$D$2:$E$400,2,0)</f>
        <v>N</v>
      </c>
      <c r="BP1257" s="190"/>
    </row>
    <row r="1258" spans="2:68" x14ac:dyDescent="0.25">
      <c r="B1258" s="98" t="s">
        <v>112</v>
      </c>
      <c r="C1258" s="98">
        <v>2014</v>
      </c>
      <c r="D1258" s="98" t="s">
        <v>378</v>
      </c>
      <c r="E1258" s="98" t="s">
        <v>28</v>
      </c>
      <c r="F1258" s="98" t="s">
        <v>131</v>
      </c>
      <c r="G1258" s="98">
        <v>7166110.3169999896</v>
      </c>
      <c r="H1258" s="299" t="str">
        <f>VLOOKUP(LEFT('Rev Adequacy'!D1258,3),'Mapping B'!$D$2:$E$400,2,0)</f>
        <v>N</v>
      </c>
      <c r="BP1258" s="190"/>
    </row>
    <row r="1259" spans="2:68" x14ac:dyDescent="0.25">
      <c r="B1259" s="98" t="s">
        <v>112</v>
      </c>
      <c r="C1259" s="98">
        <v>2014</v>
      </c>
      <c r="D1259" s="98" t="s">
        <v>392</v>
      </c>
      <c r="E1259" s="98" t="s">
        <v>28</v>
      </c>
      <c r="F1259" s="98" t="s">
        <v>131</v>
      </c>
      <c r="G1259" s="98">
        <v>942128.85500000103</v>
      </c>
      <c r="H1259" s="299" t="str">
        <f>VLOOKUP(LEFT('Rev Adequacy'!D1259,3),'Mapping B'!$D$2:$E$400,2,0)</f>
        <v>N</v>
      </c>
      <c r="BP1259" s="190"/>
    </row>
    <row r="1260" spans="2:68" x14ac:dyDescent="0.25">
      <c r="B1260" s="98" t="s">
        <v>111</v>
      </c>
      <c r="C1260" s="98">
        <v>2014</v>
      </c>
      <c r="D1260" s="98" t="s">
        <v>157</v>
      </c>
      <c r="E1260" s="98" t="s">
        <v>28</v>
      </c>
      <c r="F1260" s="98" t="s">
        <v>131</v>
      </c>
      <c r="G1260" s="98">
        <v>4994811.6460000202</v>
      </c>
      <c r="H1260" s="299" t="str">
        <f>VLOOKUP(LEFT('Rev Adequacy'!D1260,3),'Mapping B'!$D$2:$E$400,2,0)</f>
        <v>N</v>
      </c>
      <c r="BP1260" s="190"/>
    </row>
    <row r="1261" spans="2:68" x14ac:dyDescent="0.25">
      <c r="B1261" s="98" t="s">
        <v>111</v>
      </c>
      <c r="C1261" s="98">
        <v>2014</v>
      </c>
      <c r="D1261" s="98" t="s">
        <v>162</v>
      </c>
      <c r="E1261" s="98" t="s">
        <v>28</v>
      </c>
      <c r="F1261" s="98" t="s">
        <v>131</v>
      </c>
      <c r="G1261" s="98">
        <v>1264951.9280000001</v>
      </c>
      <c r="H1261" s="299" t="str">
        <f>VLOOKUP(LEFT('Rev Adequacy'!D1261,3),'Mapping B'!$D$2:$E$400,2,0)</f>
        <v>N</v>
      </c>
      <c r="BP1261" s="190"/>
    </row>
    <row r="1262" spans="2:68" x14ac:dyDescent="0.25">
      <c r="B1262" s="98" t="s">
        <v>111</v>
      </c>
      <c r="C1262" s="98">
        <v>2014</v>
      </c>
      <c r="D1262" s="98" t="s">
        <v>174</v>
      </c>
      <c r="E1262" s="98" t="s">
        <v>28</v>
      </c>
      <c r="F1262" s="98" t="s">
        <v>131</v>
      </c>
      <c r="G1262" s="98">
        <v>2732706.21599998</v>
      </c>
      <c r="H1262" s="299" t="str">
        <f>VLOOKUP(LEFT('Rev Adequacy'!D1262,3),'Mapping B'!$D$2:$E$400,2,0)</f>
        <v>N</v>
      </c>
      <c r="BP1262" s="190"/>
    </row>
    <row r="1263" spans="2:68" x14ac:dyDescent="0.25">
      <c r="B1263" s="98" t="s">
        <v>111</v>
      </c>
      <c r="C1263" s="98">
        <v>2014</v>
      </c>
      <c r="D1263" s="98" t="s">
        <v>191</v>
      </c>
      <c r="E1263" s="98" t="s">
        <v>28</v>
      </c>
      <c r="F1263" s="98" t="s">
        <v>131</v>
      </c>
      <c r="G1263" s="98">
        <v>550689.77799999795</v>
      </c>
      <c r="H1263" s="299" t="str">
        <f>VLOOKUP(LEFT('Rev Adequacy'!D1263,3),'Mapping B'!$D$2:$E$400,2,0)</f>
        <v>N</v>
      </c>
      <c r="BP1263" s="190"/>
    </row>
    <row r="1264" spans="2:68" x14ac:dyDescent="0.25">
      <c r="B1264" s="98" t="s">
        <v>111</v>
      </c>
      <c r="C1264" s="98">
        <v>2014</v>
      </c>
      <c r="D1264" s="98" t="s">
        <v>199</v>
      </c>
      <c r="E1264" s="98" t="s">
        <v>28</v>
      </c>
      <c r="F1264" s="98" t="s">
        <v>131</v>
      </c>
      <c r="G1264" s="98">
        <v>2223146.7929999898</v>
      </c>
      <c r="H1264" s="299" t="str">
        <f>VLOOKUP(LEFT('Rev Adequacy'!D1264,3),'Mapping B'!$D$2:$E$400,2,0)</f>
        <v>N</v>
      </c>
      <c r="BP1264" s="190"/>
    </row>
    <row r="1265" spans="2:68" x14ac:dyDescent="0.25">
      <c r="B1265" s="98" t="s">
        <v>111</v>
      </c>
      <c r="C1265" s="98">
        <v>2014</v>
      </c>
      <c r="D1265" s="98" t="s">
        <v>210</v>
      </c>
      <c r="E1265" s="98" t="s">
        <v>28</v>
      </c>
      <c r="F1265" s="98" t="s">
        <v>131</v>
      </c>
      <c r="G1265" s="98">
        <v>993930.21599999606</v>
      </c>
      <c r="H1265" s="299" t="str">
        <f>VLOOKUP(LEFT('Rev Adequacy'!D1265,3),'Mapping B'!$D$2:$E$400,2,0)</f>
        <v>N</v>
      </c>
      <c r="BP1265" s="190"/>
    </row>
    <row r="1266" spans="2:68" x14ac:dyDescent="0.25">
      <c r="B1266" s="98" t="s">
        <v>111</v>
      </c>
      <c r="C1266" s="98">
        <v>2014</v>
      </c>
      <c r="D1266" s="98" t="s">
        <v>211</v>
      </c>
      <c r="E1266" s="98" t="s">
        <v>28</v>
      </c>
      <c r="F1266" s="98" t="s">
        <v>131</v>
      </c>
      <c r="G1266" s="98">
        <v>1495139.08699999</v>
      </c>
      <c r="H1266" s="299" t="str">
        <f>VLOOKUP(LEFT('Rev Adequacy'!D1266,3),'Mapping B'!$D$2:$E$400,2,0)</f>
        <v>N</v>
      </c>
      <c r="BP1266" s="190"/>
    </row>
    <row r="1267" spans="2:68" x14ac:dyDescent="0.25">
      <c r="B1267" s="98" t="s">
        <v>111</v>
      </c>
      <c r="C1267" s="98">
        <v>2014</v>
      </c>
      <c r="D1267" s="98" t="s">
        <v>234</v>
      </c>
      <c r="E1267" s="98" t="s">
        <v>28</v>
      </c>
      <c r="F1267" s="98" t="s">
        <v>131</v>
      </c>
      <c r="G1267" s="98">
        <v>849579.69499999797</v>
      </c>
      <c r="H1267" s="299" t="str">
        <f>VLOOKUP(LEFT('Rev Adequacy'!D1267,3),'Mapping B'!$D$2:$E$400,2,0)</f>
        <v>N</v>
      </c>
      <c r="BP1267" s="190"/>
    </row>
    <row r="1268" spans="2:68" x14ac:dyDescent="0.25">
      <c r="B1268" s="98" t="s">
        <v>111</v>
      </c>
      <c r="C1268" s="98">
        <v>2014</v>
      </c>
      <c r="D1268" s="98" t="s">
        <v>235</v>
      </c>
      <c r="E1268" s="98" t="s">
        <v>28</v>
      </c>
      <c r="F1268" s="98" t="s">
        <v>131</v>
      </c>
      <c r="G1268" s="98">
        <v>764961.79299999902</v>
      </c>
      <c r="H1268" s="299" t="str">
        <f>VLOOKUP(LEFT('Rev Adequacy'!D1268,3),'Mapping B'!$D$2:$E$400,2,0)</f>
        <v>N</v>
      </c>
      <c r="BP1268" s="190"/>
    </row>
    <row r="1269" spans="2:68" x14ac:dyDescent="0.25">
      <c r="B1269" s="98" t="s">
        <v>111</v>
      </c>
      <c r="C1269" s="98">
        <v>2014</v>
      </c>
      <c r="D1269" s="98" t="s">
        <v>240</v>
      </c>
      <c r="E1269" s="98" t="s">
        <v>28</v>
      </c>
      <c r="F1269" s="98" t="s">
        <v>131</v>
      </c>
      <c r="G1269" s="98">
        <v>2303032.03299999</v>
      </c>
      <c r="H1269" s="299" t="str">
        <f>VLOOKUP(LEFT('Rev Adequacy'!D1269,3),'Mapping B'!$D$2:$E$400,2,0)</f>
        <v>N</v>
      </c>
      <c r="BP1269" s="190"/>
    </row>
    <row r="1270" spans="2:68" x14ac:dyDescent="0.25">
      <c r="B1270" s="98" t="s">
        <v>111</v>
      </c>
      <c r="C1270" s="98">
        <v>2014</v>
      </c>
      <c r="D1270" s="98" t="s">
        <v>246</v>
      </c>
      <c r="E1270" s="98" t="s">
        <v>28</v>
      </c>
      <c r="F1270" s="98" t="s">
        <v>131</v>
      </c>
      <c r="G1270" s="98">
        <v>2701231.3629999999</v>
      </c>
      <c r="H1270" s="299" t="str">
        <f>VLOOKUP(LEFT('Rev Adequacy'!D1270,3),'Mapping B'!$D$2:$E$400,2,0)</f>
        <v>N</v>
      </c>
      <c r="BP1270" s="190"/>
    </row>
    <row r="1271" spans="2:68" x14ac:dyDescent="0.25">
      <c r="B1271" s="98" t="s">
        <v>111</v>
      </c>
      <c r="C1271" s="98">
        <v>2014</v>
      </c>
      <c r="D1271" s="98" t="s">
        <v>255</v>
      </c>
      <c r="E1271" s="98" t="s">
        <v>28</v>
      </c>
      <c r="F1271" s="98" t="s">
        <v>131</v>
      </c>
      <c r="G1271" s="98">
        <v>576608.928000001</v>
      </c>
      <c r="H1271" s="299" t="str">
        <f>VLOOKUP(LEFT('Rev Adequacy'!D1271,3),'Mapping B'!$D$2:$E$400,2,0)</f>
        <v>N</v>
      </c>
      <c r="BP1271" s="190"/>
    </row>
    <row r="1272" spans="2:68" x14ac:dyDescent="0.25">
      <c r="B1272" s="98" t="s">
        <v>111</v>
      </c>
      <c r="C1272" s="98">
        <v>2014</v>
      </c>
      <c r="D1272" s="98" t="s">
        <v>266</v>
      </c>
      <c r="E1272" s="98" t="s">
        <v>28</v>
      </c>
      <c r="F1272" s="98" t="s">
        <v>131</v>
      </c>
      <c r="G1272" s="98">
        <v>2385643.0090000099</v>
      </c>
      <c r="H1272" s="299" t="str">
        <f>VLOOKUP(LEFT('Rev Adequacy'!D1272,3),'Mapping B'!$D$2:$E$400,2,0)</f>
        <v>N</v>
      </c>
      <c r="BP1272" s="190"/>
    </row>
    <row r="1273" spans="2:68" x14ac:dyDescent="0.25">
      <c r="B1273" s="98" t="s">
        <v>111</v>
      </c>
      <c r="C1273" s="98">
        <v>2014</v>
      </c>
      <c r="D1273" s="98" t="s">
        <v>268</v>
      </c>
      <c r="E1273" s="98" t="s">
        <v>28</v>
      </c>
      <c r="F1273" s="98" t="s">
        <v>131</v>
      </c>
      <c r="G1273" s="98">
        <v>3074192.4950000001</v>
      </c>
      <c r="H1273" s="299" t="str">
        <f>VLOOKUP(LEFT('Rev Adequacy'!D1273,3),'Mapping B'!$D$2:$E$400,2,0)</f>
        <v>N</v>
      </c>
      <c r="BP1273" s="190"/>
    </row>
    <row r="1274" spans="2:68" x14ac:dyDescent="0.25">
      <c r="B1274" s="98" t="s">
        <v>111</v>
      </c>
      <c r="C1274" s="98">
        <v>2014</v>
      </c>
      <c r="D1274" s="98" t="s">
        <v>269</v>
      </c>
      <c r="E1274" s="98" t="s">
        <v>28</v>
      </c>
      <c r="F1274" s="98" t="s">
        <v>131</v>
      </c>
      <c r="G1274" s="98">
        <v>855095.90799999796</v>
      </c>
      <c r="H1274" s="299" t="str">
        <f>VLOOKUP(LEFT('Rev Adequacy'!D1274,3),'Mapping B'!$D$2:$E$400,2,0)</f>
        <v>N</v>
      </c>
      <c r="BP1274" s="190"/>
    </row>
    <row r="1275" spans="2:68" x14ac:dyDescent="0.25">
      <c r="B1275" s="98" t="s">
        <v>111</v>
      </c>
      <c r="C1275" s="98">
        <v>2014</v>
      </c>
      <c r="D1275" s="98" t="s">
        <v>271</v>
      </c>
      <c r="E1275" s="98" t="s">
        <v>28</v>
      </c>
      <c r="F1275" s="98" t="s">
        <v>131</v>
      </c>
      <c r="G1275" s="98">
        <v>362485.96</v>
      </c>
      <c r="H1275" s="299" t="str">
        <f>VLOOKUP(LEFT('Rev Adequacy'!D1275,3),'Mapping B'!$D$2:$E$400,2,0)</f>
        <v>N</v>
      </c>
      <c r="BP1275" s="190"/>
    </row>
    <row r="1276" spans="2:68" x14ac:dyDescent="0.25">
      <c r="B1276" s="98" t="s">
        <v>111</v>
      </c>
      <c r="C1276" s="98">
        <v>2014</v>
      </c>
      <c r="D1276" s="98" t="s">
        <v>279</v>
      </c>
      <c r="E1276" s="98" t="s">
        <v>28</v>
      </c>
      <c r="F1276" s="98" t="s">
        <v>131</v>
      </c>
      <c r="G1276" s="98">
        <v>866790.60664258699</v>
      </c>
      <c r="H1276" s="299" t="str">
        <f>VLOOKUP(LEFT('Rev Adequacy'!D1276,3),'Mapping B'!$D$2:$E$400,2,0)</f>
        <v>N</v>
      </c>
      <c r="BP1276" s="190"/>
    </row>
    <row r="1277" spans="2:68" x14ac:dyDescent="0.25">
      <c r="B1277" s="98" t="s">
        <v>111</v>
      </c>
      <c r="C1277" s="98">
        <v>2014</v>
      </c>
      <c r="D1277" s="98" t="s">
        <v>288</v>
      </c>
      <c r="E1277" s="98" t="s">
        <v>28</v>
      </c>
      <c r="F1277" s="98" t="s">
        <v>131</v>
      </c>
      <c r="G1277" s="98">
        <v>114745.425615599</v>
      </c>
      <c r="H1277" s="299" t="str">
        <f>VLOOKUP(LEFT('Rev Adequacy'!D1277,3),'Mapping B'!$D$2:$E$400,2,0)</f>
        <v>N</v>
      </c>
      <c r="BP1277" s="190"/>
    </row>
    <row r="1278" spans="2:68" x14ac:dyDescent="0.25">
      <c r="B1278" s="98" t="s">
        <v>111</v>
      </c>
      <c r="C1278" s="98">
        <v>2014</v>
      </c>
      <c r="D1278" s="98" t="s">
        <v>290</v>
      </c>
      <c r="E1278" s="98" t="s">
        <v>28</v>
      </c>
      <c r="F1278" s="98" t="s">
        <v>131</v>
      </c>
      <c r="G1278" s="98">
        <v>427214.288999999</v>
      </c>
      <c r="H1278" s="299" t="str">
        <f>VLOOKUP(LEFT('Rev Adequacy'!D1278,3),'Mapping B'!$D$2:$E$400,2,0)</f>
        <v>N</v>
      </c>
      <c r="BP1278" s="190"/>
    </row>
    <row r="1279" spans="2:68" x14ac:dyDescent="0.25">
      <c r="B1279" s="98" t="s">
        <v>111</v>
      </c>
      <c r="C1279" s="98">
        <v>2014</v>
      </c>
      <c r="D1279" s="98" t="s">
        <v>297</v>
      </c>
      <c r="E1279" s="98" t="s">
        <v>28</v>
      </c>
      <c r="F1279" s="98" t="s">
        <v>131</v>
      </c>
      <c r="G1279" s="98">
        <v>1462448.996</v>
      </c>
      <c r="H1279" s="299" t="str">
        <f>VLOOKUP(LEFT('Rev Adequacy'!D1279,3),'Mapping B'!$D$2:$E$400,2,0)</f>
        <v>N</v>
      </c>
      <c r="BP1279" s="190"/>
    </row>
    <row r="1280" spans="2:68" x14ac:dyDescent="0.25">
      <c r="B1280" s="98" t="s">
        <v>111</v>
      </c>
      <c r="C1280" s="98">
        <v>2014</v>
      </c>
      <c r="D1280" s="98" t="s">
        <v>320</v>
      </c>
      <c r="E1280" s="98" t="s">
        <v>28</v>
      </c>
      <c r="F1280" s="98" t="s">
        <v>131</v>
      </c>
      <c r="G1280" s="98">
        <v>1243844.6310000001</v>
      </c>
      <c r="H1280" s="299" t="str">
        <f>VLOOKUP(LEFT('Rev Adequacy'!D1280,3),'Mapping B'!$D$2:$E$400,2,0)</f>
        <v>N</v>
      </c>
      <c r="BP1280" s="190"/>
    </row>
    <row r="1281" spans="2:68" x14ac:dyDescent="0.25">
      <c r="B1281" s="98" t="s">
        <v>111</v>
      </c>
      <c r="C1281" s="98">
        <v>2014</v>
      </c>
      <c r="D1281" s="98" t="s">
        <v>333</v>
      </c>
      <c r="E1281" s="98" t="s">
        <v>28</v>
      </c>
      <c r="F1281" s="98" t="s">
        <v>131</v>
      </c>
      <c r="G1281" s="98">
        <v>1311432.9709999999</v>
      </c>
      <c r="H1281" s="299" t="str">
        <f>VLOOKUP(LEFT('Rev Adequacy'!D1281,3),'Mapping B'!$D$2:$E$400,2,0)</f>
        <v>N</v>
      </c>
      <c r="BP1281" s="190"/>
    </row>
    <row r="1282" spans="2:68" x14ac:dyDescent="0.25">
      <c r="B1282" s="98" t="s">
        <v>111</v>
      </c>
      <c r="C1282" s="98">
        <v>2014</v>
      </c>
      <c r="D1282" s="98" t="s">
        <v>334</v>
      </c>
      <c r="E1282" s="98" t="s">
        <v>28</v>
      </c>
      <c r="F1282" s="98" t="s">
        <v>131</v>
      </c>
      <c r="G1282" s="98">
        <v>3880904.091</v>
      </c>
      <c r="H1282" s="299" t="str">
        <f>VLOOKUP(LEFT('Rev Adequacy'!D1282,3),'Mapping B'!$D$2:$E$400,2,0)</f>
        <v>N</v>
      </c>
      <c r="BP1282" s="190"/>
    </row>
    <row r="1283" spans="2:68" x14ac:dyDescent="0.25">
      <c r="B1283" s="98" t="s">
        <v>111</v>
      </c>
      <c r="C1283" s="98">
        <v>2014</v>
      </c>
      <c r="D1283" s="98" t="s">
        <v>346</v>
      </c>
      <c r="E1283" s="98" t="s">
        <v>28</v>
      </c>
      <c r="F1283" s="98" t="s">
        <v>131</v>
      </c>
      <c r="G1283" s="98">
        <v>1427251.554</v>
      </c>
      <c r="H1283" s="299" t="str">
        <f>VLOOKUP(LEFT('Rev Adequacy'!D1283,3),'Mapping B'!$D$2:$E$400,2,0)</f>
        <v>N</v>
      </c>
      <c r="BP1283" s="190"/>
    </row>
    <row r="1284" spans="2:68" x14ac:dyDescent="0.25">
      <c r="B1284" s="98" t="s">
        <v>111</v>
      </c>
      <c r="C1284" s="98">
        <v>2014</v>
      </c>
      <c r="D1284" s="98" t="s">
        <v>368</v>
      </c>
      <c r="E1284" s="98" t="s">
        <v>28</v>
      </c>
      <c r="F1284" s="98" t="s">
        <v>131</v>
      </c>
      <c r="G1284" s="98">
        <v>0</v>
      </c>
      <c r="H1284" s="299" t="str">
        <f>VLOOKUP(LEFT('Rev Adequacy'!D1284,3),'Mapping B'!$D$2:$E$400,2,0)</f>
        <v>N</v>
      </c>
      <c r="BP1284" s="190"/>
    </row>
    <row r="1285" spans="2:68" x14ac:dyDescent="0.25">
      <c r="B1285" s="98" t="s">
        <v>111</v>
      </c>
      <c r="C1285" s="98">
        <v>2014</v>
      </c>
      <c r="D1285" s="98" t="s">
        <v>372</v>
      </c>
      <c r="E1285" s="98" t="s">
        <v>28</v>
      </c>
      <c r="F1285" s="98" t="s">
        <v>131</v>
      </c>
      <c r="G1285" s="98">
        <v>1617969.281</v>
      </c>
      <c r="H1285" s="299" t="str">
        <f>VLOOKUP(LEFT('Rev Adequacy'!D1285,3),'Mapping B'!$D$2:$E$400,2,0)</f>
        <v>N</v>
      </c>
      <c r="BP1285" s="190"/>
    </row>
    <row r="1286" spans="2:68" x14ac:dyDescent="0.25">
      <c r="B1286" s="98" t="s">
        <v>111</v>
      </c>
      <c r="C1286" s="98">
        <v>2014</v>
      </c>
      <c r="D1286" s="98" t="s">
        <v>378</v>
      </c>
      <c r="E1286" s="98" t="s">
        <v>28</v>
      </c>
      <c r="F1286" s="98" t="s">
        <v>131</v>
      </c>
      <c r="G1286" s="98">
        <v>1897696.2539999899</v>
      </c>
      <c r="H1286" s="299" t="str">
        <f>VLOOKUP(LEFT('Rev Adequacy'!D1286,3),'Mapping B'!$D$2:$E$400,2,0)</f>
        <v>N</v>
      </c>
      <c r="BP1286" s="190"/>
    </row>
    <row r="1287" spans="2:68" x14ac:dyDescent="0.25">
      <c r="B1287" s="98" t="s">
        <v>111</v>
      </c>
      <c r="C1287" s="98">
        <v>2014</v>
      </c>
      <c r="D1287" s="98" t="s">
        <v>392</v>
      </c>
      <c r="E1287" s="98" t="s">
        <v>28</v>
      </c>
      <c r="F1287" s="98" t="s">
        <v>131</v>
      </c>
      <c r="G1287" s="98">
        <v>226444.31299999901</v>
      </c>
      <c r="H1287" s="299" t="str">
        <f>VLOOKUP(LEFT('Rev Adequacy'!D1287,3),'Mapping B'!$D$2:$E$400,2,0)</f>
        <v>N</v>
      </c>
      <c r="BP1287" s="190"/>
    </row>
    <row r="1288" spans="2:68" x14ac:dyDescent="0.25">
      <c r="B1288" s="98" t="s">
        <v>552</v>
      </c>
      <c r="C1288" s="98">
        <v>2014</v>
      </c>
      <c r="D1288" s="98" t="s">
        <v>151</v>
      </c>
      <c r="E1288" s="98" t="s">
        <v>30</v>
      </c>
      <c r="F1288" s="98" t="s">
        <v>131</v>
      </c>
      <c r="G1288" s="248">
        <v>21625.643140973902</v>
      </c>
      <c r="H1288" s="299" t="str">
        <f>VLOOKUP(LEFT('Rev Adequacy'!D1288,3),'Mapping B'!$D$2:$E$400,2,0)</f>
        <v>S</v>
      </c>
      <c r="BP1288" s="190"/>
    </row>
    <row r="1289" spans="2:68" x14ac:dyDescent="0.25">
      <c r="B1289" s="98" t="s">
        <v>553</v>
      </c>
      <c r="C1289" s="98">
        <v>2014</v>
      </c>
      <c r="D1289" s="98" t="s">
        <v>151</v>
      </c>
      <c r="E1289" s="98" t="s">
        <v>30</v>
      </c>
      <c r="F1289" s="98" t="s">
        <v>131</v>
      </c>
      <c r="G1289" s="248">
        <v>15083.082489795799</v>
      </c>
      <c r="H1289" s="299" t="str">
        <f>VLOOKUP(LEFT('Rev Adequacy'!D1289,3),'Mapping B'!$D$2:$E$400,2,0)</f>
        <v>S</v>
      </c>
      <c r="BP1289" s="190"/>
    </row>
    <row r="1290" spans="2:68" x14ac:dyDescent="0.25">
      <c r="B1290" s="98" t="s">
        <v>554</v>
      </c>
      <c r="C1290" s="98">
        <v>2014</v>
      </c>
      <c r="D1290" s="98" t="s">
        <v>151</v>
      </c>
      <c r="E1290" s="98" t="s">
        <v>30</v>
      </c>
      <c r="F1290" s="98" t="s">
        <v>131</v>
      </c>
      <c r="G1290" s="98">
        <v>30024.577006224899</v>
      </c>
      <c r="H1290" s="299" t="str">
        <f>VLOOKUP(LEFT('Rev Adequacy'!D1290,3),'Mapping B'!$D$2:$E$400,2,0)</f>
        <v>S</v>
      </c>
      <c r="BP1290" s="190"/>
    </row>
    <row r="1291" spans="2:68" x14ac:dyDescent="0.25">
      <c r="B1291" s="98" t="s">
        <v>563</v>
      </c>
      <c r="C1291" s="98">
        <v>2014</v>
      </c>
      <c r="D1291" s="98" t="s">
        <v>151</v>
      </c>
      <c r="E1291" s="98" t="s">
        <v>30</v>
      </c>
      <c r="F1291" s="98" t="s">
        <v>131</v>
      </c>
      <c r="G1291" s="98">
        <v>89843.470486268794</v>
      </c>
      <c r="H1291" s="299" t="str">
        <f>VLOOKUP(LEFT('Rev Adequacy'!D1291,3),'Mapping B'!$D$2:$E$400,2,0)</f>
        <v>S</v>
      </c>
      <c r="BP1291" s="190"/>
    </row>
    <row r="1292" spans="2:68" x14ac:dyDescent="0.25">
      <c r="B1292" s="98" t="s">
        <v>555</v>
      </c>
      <c r="C1292" s="98">
        <v>2014</v>
      </c>
      <c r="D1292" s="98" t="s">
        <v>151</v>
      </c>
      <c r="E1292" s="98" t="s">
        <v>30</v>
      </c>
      <c r="F1292" s="98" t="s">
        <v>131</v>
      </c>
      <c r="G1292" s="98">
        <v>38941.485558037202</v>
      </c>
      <c r="H1292" s="299" t="str">
        <f>VLOOKUP(LEFT('Rev Adequacy'!D1292,3),'Mapping B'!$D$2:$E$400,2,0)</f>
        <v>S</v>
      </c>
      <c r="BP1292" s="190"/>
    </row>
    <row r="1293" spans="2:68" x14ac:dyDescent="0.25">
      <c r="B1293" s="98" t="s">
        <v>112</v>
      </c>
      <c r="C1293" s="98">
        <v>2014</v>
      </c>
      <c r="D1293" s="98" t="s">
        <v>151</v>
      </c>
      <c r="E1293" s="98" t="s">
        <v>30</v>
      </c>
      <c r="F1293" s="98" t="s">
        <v>131</v>
      </c>
      <c r="G1293" s="98">
        <v>0</v>
      </c>
      <c r="H1293" s="299" t="str">
        <f>VLOOKUP(LEFT('Rev Adequacy'!D1293,3),'Mapping B'!$D$2:$E$400,2,0)</f>
        <v>S</v>
      </c>
      <c r="BP1293" s="190"/>
    </row>
    <row r="1294" spans="2:68" x14ac:dyDescent="0.25">
      <c r="B1294" s="98" t="s">
        <v>111</v>
      </c>
      <c r="C1294" s="98">
        <v>2014</v>
      </c>
      <c r="D1294" s="98" t="s">
        <v>151</v>
      </c>
      <c r="E1294" s="98" t="s">
        <v>30</v>
      </c>
      <c r="F1294" s="98" t="s">
        <v>131</v>
      </c>
      <c r="G1294" s="98">
        <v>0</v>
      </c>
      <c r="H1294" s="299" t="str">
        <f>VLOOKUP(LEFT('Rev Adequacy'!D1294,3),'Mapping B'!$D$2:$E$400,2,0)</f>
        <v>S</v>
      </c>
      <c r="BP1294" s="190"/>
    </row>
    <row r="1295" spans="2:68" x14ac:dyDescent="0.25">
      <c r="B1295" s="98" t="s">
        <v>552</v>
      </c>
      <c r="C1295" s="98">
        <v>2014</v>
      </c>
      <c r="D1295" s="98" t="s">
        <v>161</v>
      </c>
      <c r="E1295" s="98" t="s">
        <v>904</v>
      </c>
      <c r="F1295" s="98" t="s">
        <v>131</v>
      </c>
      <c r="G1295" s="248">
        <v>0</v>
      </c>
      <c r="H1295" s="299" t="str">
        <f>VLOOKUP(LEFT('Rev Adequacy'!D1295,3),'Mapping B'!$D$2:$E$400,2,0)</f>
        <v>N</v>
      </c>
      <c r="BP1295" s="190"/>
    </row>
    <row r="1296" spans="2:68" x14ac:dyDescent="0.25">
      <c r="B1296" s="98" t="s">
        <v>553</v>
      </c>
      <c r="C1296" s="98">
        <v>2014</v>
      </c>
      <c r="D1296" s="98" t="s">
        <v>161</v>
      </c>
      <c r="E1296" s="98" t="s">
        <v>904</v>
      </c>
      <c r="F1296" s="98" t="s">
        <v>131</v>
      </c>
      <c r="G1296" s="248">
        <v>255626.42332700299</v>
      </c>
      <c r="H1296" s="299" t="str">
        <f>VLOOKUP(LEFT('Rev Adequacy'!D1296,3),'Mapping B'!$D$2:$E$400,2,0)</f>
        <v>N</v>
      </c>
      <c r="BP1296" s="190"/>
    </row>
    <row r="1297" spans="2:68" x14ac:dyDescent="0.25">
      <c r="B1297" s="98" t="s">
        <v>554</v>
      </c>
      <c r="C1297" s="98">
        <v>2014</v>
      </c>
      <c r="D1297" s="98" t="s">
        <v>161</v>
      </c>
      <c r="E1297" s="98" t="s">
        <v>904</v>
      </c>
      <c r="F1297" s="98" t="s">
        <v>131</v>
      </c>
      <c r="G1297" s="98">
        <v>6730960.4467738904</v>
      </c>
      <c r="H1297" s="299" t="str">
        <f>VLOOKUP(LEFT('Rev Adequacy'!D1297,3),'Mapping B'!$D$2:$E$400,2,0)</f>
        <v>N</v>
      </c>
      <c r="BP1297" s="190"/>
    </row>
    <row r="1298" spans="2:68" x14ac:dyDescent="0.25">
      <c r="B1298" s="98" t="s">
        <v>563</v>
      </c>
      <c r="C1298" s="98">
        <v>2014</v>
      </c>
      <c r="D1298" s="98" t="s">
        <v>161</v>
      </c>
      <c r="E1298" s="98" t="s">
        <v>904</v>
      </c>
      <c r="F1298" s="98" t="s">
        <v>131</v>
      </c>
      <c r="G1298" s="98">
        <v>2013329.86873117</v>
      </c>
      <c r="H1298" s="299" t="str">
        <f>VLOOKUP(LEFT('Rev Adequacy'!D1298,3),'Mapping B'!$D$2:$E$400,2,0)</f>
        <v>N</v>
      </c>
      <c r="BP1298" s="190"/>
    </row>
    <row r="1299" spans="2:68" x14ac:dyDescent="0.25">
      <c r="B1299" s="98" t="s">
        <v>555</v>
      </c>
      <c r="C1299" s="98">
        <v>2014</v>
      </c>
      <c r="D1299" s="98" t="s">
        <v>161</v>
      </c>
      <c r="E1299" s="98" t="s">
        <v>904</v>
      </c>
      <c r="F1299" s="98" t="s">
        <v>131</v>
      </c>
      <c r="G1299" s="98">
        <v>448896.58322770102</v>
      </c>
      <c r="H1299" s="299" t="str">
        <f>VLOOKUP(LEFT('Rev Adequacy'!D1299,3),'Mapping B'!$D$2:$E$400,2,0)</f>
        <v>N</v>
      </c>
      <c r="BP1299" s="190"/>
    </row>
    <row r="1300" spans="2:68" x14ac:dyDescent="0.25">
      <c r="B1300" s="98" t="s">
        <v>112</v>
      </c>
      <c r="C1300" s="98">
        <v>2014</v>
      </c>
      <c r="D1300" s="98" t="s">
        <v>161</v>
      </c>
      <c r="E1300" s="98" t="s">
        <v>904</v>
      </c>
      <c r="F1300" s="98" t="s">
        <v>131</v>
      </c>
      <c r="G1300" s="98">
        <v>10299292.897048499</v>
      </c>
      <c r="H1300" s="299" t="str">
        <f>VLOOKUP(LEFT('Rev Adequacy'!D1300,3),'Mapping B'!$D$2:$E$400,2,0)</f>
        <v>N</v>
      </c>
      <c r="BP1300" s="190"/>
    </row>
    <row r="1301" spans="2:68" x14ac:dyDescent="0.25">
      <c r="B1301" s="98" t="s">
        <v>111</v>
      </c>
      <c r="C1301" s="98">
        <v>2014</v>
      </c>
      <c r="D1301" s="98" t="s">
        <v>161</v>
      </c>
      <c r="E1301" s="98" t="s">
        <v>904</v>
      </c>
      <c r="F1301" s="98" t="s">
        <v>131</v>
      </c>
      <c r="G1301" s="98">
        <v>2626624.6493134401</v>
      </c>
      <c r="H1301" s="299" t="str">
        <f>VLOOKUP(LEFT('Rev Adequacy'!D1301,3),'Mapping B'!$D$2:$E$400,2,0)</f>
        <v>N</v>
      </c>
      <c r="BP1301" s="190"/>
    </row>
    <row r="1302" spans="2:68" x14ac:dyDescent="0.25">
      <c r="B1302" s="98" t="s">
        <v>552</v>
      </c>
      <c r="C1302" s="98">
        <v>2014</v>
      </c>
      <c r="D1302" s="98" t="s">
        <v>181</v>
      </c>
      <c r="E1302" s="98" t="s">
        <v>31</v>
      </c>
      <c r="F1302" s="98" t="s">
        <v>131</v>
      </c>
      <c r="G1302" s="248">
        <v>310.63099999999503</v>
      </c>
      <c r="H1302" s="299" t="str">
        <f>VLOOKUP(LEFT('Rev Adequacy'!D1302,3),'Mapping B'!$D$2:$E$400,2,0)</f>
        <v>N</v>
      </c>
      <c r="BP1302" s="190"/>
    </row>
    <row r="1303" spans="2:68" x14ac:dyDescent="0.25">
      <c r="B1303" s="98" t="s">
        <v>552</v>
      </c>
      <c r="C1303" s="98">
        <v>2014</v>
      </c>
      <c r="D1303" s="98" t="s">
        <v>365</v>
      </c>
      <c r="E1303" s="98" t="s">
        <v>31</v>
      </c>
      <c r="F1303" s="98" t="s">
        <v>131</v>
      </c>
      <c r="G1303" s="248">
        <v>0</v>
      </c>
      <c r="H1303" s="299" t="str">
        <f>VLOOKUP(LEFT('Rev Adequacy'!D1303,3),'Mapping B'!$D$2:$E$400,2,0)</f>
        <v>N</v>
      </c>
      <c r="BP1303" s="190"/>
    </row>
    <row r="1304" spans="2:68" x14ac:dyDescent="0.25">
      <c r="B1304" s="98" t="s">
        <v>553</v>
      </c>
      <c r="C1304" s="98">
        <v>2014</v>
      </c>
      <c r="D1304" s="98" t="s">
        <v>181</v>
      </c>
      <c r="E1304" s="98" t="s">
        <v>31</v>
      </c>
      <c r="F1304" s="98" t="s">
        <v>131</v>
      </c>
      <c r="G1304" s="248">
        <v>25040.419999999602</v>
      </c>
      <c r="H1304" s="299" t="str">
        <f>VLOOKUP(LEFT('Rev Adequacy'!D1304,3),'Mapping B'!$D$2:$E$400,2,0)</f>
        <v>N</v>
      </c>
      <c r="BP1304" s="190"/>
    </row>
    <row r="1305" spans="2:68" x14ac:dyDescent="0.25">
      <c r="B1305" s="98" t="s">
        <v>553</v>
      </c>
      <c r="C1305" s="98">
        <v>2014</v>
      </c>
      <c r="D1305" s="98" t="s">
        <v>365</v>
      </c>
      <c r="E1305" s="98" t="s">
        <v>31</v>
      </c>
      <c r="F1305" s="98" t="s">
        <v>131</v>
      </c>
      <c r="G1305" s="248">
        <v>4748.6979999999003</v>
      </c>
      <c r="H1305" s="299" t="str">
        <f>VLOOKUP(LEFT('Rev Adequacy'!D1305,3),'Mapping B'!$D$2:$E$400,2,0)</f>
        <v>N</v>
      </c>
      <c r="BP1305" s="190"/>
    </row>
    <row r="1306" spans="2:68" x14ac:dyDescent="0.25">
      <c r="B1306" s="98" t="s">
        <v>554</v>
      </c>
      <c r="C1306" s="98">
        <v>2014</v>
      </c>
      <c r="D1306" s="98" t="s">
        <v>181</v>
      </c>
      <c r="E1306" s="98" t="s">
        <v>31</v>
      </c>
      <c r="F1306" s="98" t="s">
        <v>131</v>
      </c>
      <c r="G1306" s="98">
        <v>24273.1609999996</v>
      </c>
      <c r="H1306" s="299" t="str">
        <f>VLOOKUP(LEFT('Rev Adequacy'!D1306,3),'Mapping B'!$D$2:$E$400,2,0)</f>
        <v>N</v>
      </c>
      <c r="BP1306" s="190"/>
    </row>
    <row r="1307" spans="2:68" x14ac:dyDescent="0.25">
      <c r="B1307" s="98" t="s">
        <v>554</v>
      </c>
      <c r="C1307" s="98">
        <v>2014</v>
      </c>
      <c r="D1307" s="98" t="s">
        <v>365</v>
      </c>
      <c r="E1307" s="98" t="s">
        <v>31</v>
      </c>
      <c r="F1307" s="98" t="s">
        <v>131</v>
      </c>
      <c r="G1307" s="98">
        <v>2369.89299999998</v>
      </c>
      <c r="H1307" s="299" t="str">
        <f>VLOOKUP(LEFT('Rev Adequacy'!D1307,3),'Mapping B'!$D$2:$E$400,2,0)</f>
        <v>N</v>
      </c>
      <c r="BP1307" s="190"/>
    </row>
    <row r="1308" spans="2:68" x14ac:dyDescent="0.25">
      <c r="B1308" s="98" t="s">
        <v>563</v>
      </c>
      <c r="C1308" s="98">
        <v>2014</v>
      </c>
      <c r="D1308" s="98" t="s">
        <v>181</v>
      </c>
      <c r="E1308" s="98" t="s">
        <v>31</v>
      </c>
      <c r="F1308" s="98" t="s">
        <v>131</v>
      </c>
      <c r="G1308" s="98">
        <v>144128.448999999</v>
      </c>
      <c r="H1308" s="299" t="str">
        <f>VLOOKUP(LEFT('Rev Adequacy'!D1308,3),'Mapping B'!$D$2:$E$400,2,0)</f>
        <v>N</v>
      </c>
      <c r="BP1308" s="190"/>
    </row>
    <row r="1309" spans="2:68" x14ac:dyDescent="0.25">
      <c r="B1309" s="98" t="s">
        <v>563</v>
      </c>
      <c r="C1309" s="98">
        <v>2014</v>
      </c>
      <c r="D1309" s="98" t="s">
        <v>365</v>
      </c>
      <c r="E1309" s="98" t="s">
        <v>31</v>
      </c>
      <c r="F1309" s="98" t="s">
        <v>131</v>
      </c>
      <c r="G1309" s="98">
        <v>25892.105999999902</v>
      </c>
      <c r="H1309" s="299" t="str">
        <f>VLOOKUP(LEFT('Rev Adequacy'!D1309,3),'Mapping B'!$D$2:$E$400,2,0)</f>
        <v>N</v>
      </c>
      <c r="BP1309" s="190"/>
    </row>
    <row r="1310" spans="2:68" x14ac:dyDescent="0.25">
      <c r="B1310" s="98" t="s">
        <v>555</v>
      </c>
      <c r="C1310" s="98">
        <v>2014</v>
      </c>
      <c r="D1310" s="98" t="s">
        <v>181</v>
      </c>
      <c r="E1310" s="98" t="s">
        <v>31</v>
      </c>
      <c r="F1310" s="98" t="s">
        <v>131</v>
      </c>
      <c r="G1310" s="98">
        <v>71084.147999999797</v>
      </c>
      <c r="H1310" s="299" t="str">
        <f>VLOOKUP(LEFT('Rev Adequacy'!D1310,3),'Mapping B'!$D$2:$E$400,2,0)</f>
        <v>N</v>
      </c>
      <c r="BP1310" s="190"/>
    </row>
    <row r="1311" spans="2:68" x14ac:dyDescent="0.25">
      <c r="B1311" s="98" t="s">
        <v>555</v>
      </c>
      <c r="C1311" s="98">
        <v>2014</v>
      </c>
      <c r="D1311" s="98" t="s">
        <v>365</v>
      </c>
      <c r="E1311" s="98" t="s">
        <v>31</v>
      </c>
      <c r="F1311" s="98" t="s">
        <v>131</v>
      </c>
      <c r="G1311" s="98">
        <v>13207.842999999901</v>
      </c>
      <c r="H1311" s="299" t="str">
        <f>VLOOKUP(LEFT('Rev Adequacy'!D1311,3),'Mapping B'!$D$2:$E$400,2,0)</f>
        <v>N</v>
      </c>
      <c r="BP1311" s="190"/>
    </row>
    <row r="1312" spans="2:68" x14ac:dyDescent="0.25">
      <c r="B1312" s="98" t="s">
        <v>112</v>
      </c>
      <c r="C1312" s="98">
        <v>2014</v>
      </c>
      <c r="D1312" s="98" t="s">
        <v>181</v>
      </c>
      <c r="E1312" s="98" t="s">
        <v>31</v>
      </c>
      <c r="F1312" s="98" t="s">
        <v>131</v>
      </c>
      <c r="G1312" s="98">
        <v>3087313.6810000101</v>
      </c>
      <c r="H1312" s="299" t="str">
        <f>VLOOKUP(LEFT('Rev Adequacy'!D1312,3),'Mapping B'!$D$2:$E$400,2,0)</f>
        <v>N</v>
      </c>
      <c r="BP1312" s="190"/>
    </row>
    <row r="1313" spans="2:68" x14ac:dyDescent="0.25">
      <c r="B1313" s="98" t="s">
        <v>112</v>
      </c>
      <c r="C1313" s="98">
        <v>2014</v>
      </c>
      <c r="D1313" s="98" t="s">
        <v>365</v>
      </c>
      <c r="E1313" s="98" t="s">
        <v>31</v>
      </c>
      <c r="F1313" s="98" t="s">
        <v>131</v>
      </c>
      <c r="G1313" s="98">
        <v>572746.75999999803</v>
      </c>
      <c r="H1313" s="299" t="str">
        <f>VLOOKUP(LEFT('Rev Adequacy'!D1313,3),'Mapping B'!$D$2:$E$400,2,0)</f>
        <v>N</v>
      </c>
      <c r="BP1313" s="190"/>
    </row>
    <row r="1314" spans="2:68" x14ac:dyDescent="0.25">
      <c r="B1314" s="98" t="s">
        <v>111</v>
      </c>
      <c r="C1314" s="98">
        <v>2014</v>
      </c>
      <c r="D1314" s="98" t="s">
        <v>181</v>
      </c>
      <c r="E1314" s="98" t="s">
        <v>31</v>
      </c>
      <c r="F1314" s="98" t="s">
        <v>131</v>
      </c>
      <c r="G1314" s="98">
        <v>738009.075000001</v>
      </c>
      <c r="H1314" s="299" t="str">
        <f>VLOOKUP(LEFT('Rev Adequacy'!D1314,3),'Mapping B'!$D$2:$E$400,2,0)</f>
        <v>N</v>
      </c>
      <c r="BP1314" s="190"/>
    </row>
    <row r="1315" spans="2:68" x14ac:dyDescent="0.25">
      <c r="B1315" s="98" t="s">
        <v>111</v>
      </c>
      <c r="C1315" s="98">
        <v>2014</v>
      </c>
      <c r="D1315" s="98" t="s">
        <v>365</v>
      </c>
      <c r="E1315" s="98" t="s">
        <v>31</v>
      </c>
      <c r="F1315" s="98" t="s">
        <v>131</v>
      </c>
      <c r="G1315" s="98">
        <v>139878.918999999</v>
      </c>
      <c r="H1315" s="299" t="str">
        <f>VLOOKUP(LEFT('Rev Adequacy'!D1315,3),'Mapping B'!$D$2:$E$400,2,0)</f>
        <v>N</v>
      </c>
      <c r="BP1315" s="190"/>
    </row>
    <row r="1316" spans="2:68" x14ac:dyDescent="0.25">
      <c r="B1316" s="98" t="s">
        <v>552</v>
      </c>
      <c r="C1316" s="98">
        <v>2014</v>
      </c>
      <c r="D1316" s="98" t="s">
        <v>209</v>
      </c>
      <c r="E1316" s="98" t="s">
        <v>32</v>
      </c>
      <c r="F1316" s="98" t="s">
        <v>131</v>
      </c>
      <c r="G1316" s="248">
        <v>2642.5659999999898</v>
      </c>
      <c r="H1316" s="299" t="str">
        <f>VLOOKUP(LEFT('Rev Adequacy'!D1316,3),'Mapping B'!$D$2:$E$400,2,0)</f>
        <v>N</v>
      </c>
      <c r="BP1316" s="190"/>
    </row>
    <row r="1317" spans="2:68" x14ac:dyDescent="0.25">
      <c r="B1317" s="98" t="s">
        <v>552</v>
      </c>
      <c r="C1317" s="98">
        <v>2014</v>
      </c>
      <c r="D1317" s="98" t="s">
        <v>278</v>
      </c>
      <c r="E1317" s="98" t="s">
        <v>32</v>
      </c>
      <c r="F1317" s="98" t="s">
        <v>131</v>
      </c>
      <c r="G1317" s="248">
        <v>0</v>
      </c>
      <c r="H1317" s="299" t="str">
        <f>VLOOKUP(LEFT('Rev Adequacy'!D1317,3),'Mapping B'!$D$2:$E$400,2,0)</f>
        <v>N</v>
      </c>
      <c r="BP1317" s="190"/>
    </row>
    <row r="1318" spans="2:68" x14ac:dyDescent="0.25">
      <c r="B1318" s="98" t="s">
        <v>552</v>
      </c>
      <c r="C1318" s="98">
        <v>2014</v>
      </c>
      <c r="D1318" s="98" t="s">
        <v>288</v>
      </c>
      <c r="E1318" s="98" t="s">
        <v>32</v>
      </c>
      <c r="F1318" s="98" t="s">
        <v>131</v>
      </c>
      <c r="G1318" s="248">
        <v>0</v>
      </c>
      <c r="H1318" s="299" t="str">
        <f>VLOOKUP(LEFT('Rev Adequacy'!D1318,3),'Mapping B'!$D$2:$E$400,2,0)</f>
        <v>N</v>
      </c>
      <c r="BP1318" s="190"/>
    </row>
    <row r="1319" spans="2:68" x14ac:dyDescent="0.25">
      <c r="B1319" s="98" t="s">
        <v>552</v>
      </c>
      <c r="C1319" s="98">
        <v>2014</v>
      </c>
      <c r="D1319" s="98" t="s">
        <v>289</v>
      </c>
      <c r="E1319" s="98" t="s">
        <v>32</v>
      </c>
      <c r="F1319" s="98" t="s">
        <v>131</v>
      </c>
      <c r="G1319" s="248">
        <v>221.792000000001</v>
      </c>
      <c r="H1319" s="299" t="str">
        <f>VLOOKUP(LEFT('Rev Adequacy'!D1319,3),'Mapping B'!$D$2:$E$400,2,0)</f>
        <v>N</v>
      </c>
      <c r="BP1319" s="190"/>
    </row>
    <row r="1320" spans="2:68" x14ac:dyDescent="0.25">
      <c r="B1320" s="98" t="s">
        <v>552</v>
      </c>
      <c r="C1320" s="98">
        <v>2014</v>
      </c>
      <c r="D1320" s="98" t="s">
        <v>344</v>
      </c>
      <c r="E1320" s="98" t="s">
        <v>32</v>
      </c>
      <c r="F1320" s="98" t="s">
        <v>131</v>
      </c>
      <c r="G1320" s="248">
        <v>0</v>
      </c>
      <c r="H1320" s="299" t="str">
        <f>VLOOKUP(LEFT('Rev Adequacy'!D1320,3),'Mapping B'!$D$2:$E$400,2,0)</f>
        <v>N</v>
      </c>
      <c r="BP1320" s="190"/>
    </row>
    <row r="1321" spans="2:68" x14ac:dyDescent="0.25">
      <c r="B1321" s="98" t="s">
        <v>552</v>
      </c>
      <c r="C1321" s="98">
        <v>2014</v>
      </c>
      <c r="D1321" s="98" t="s">
        <v>350</v>
      </c>
      <c r="E1321" s="98" t="s">
        <v>32</v>
      </c>
      <c r="F1321" s="98" t="s">
        <v>131</v>
      </c>
      <c r="G1321" s="248">
        <v>0</v>
      </c>
      <c r="H1321" s="299" t="str">
        <f>VLOOKUP(LEFT('Rev Adequacy'!D1321,3),'Mapping B'!$D$2:$E$400,2,0)</f>
        <v>N</v>
      </c>
      <c r="BP1321" s="190"/>
    </row>
    <row r="1322" spans="2:68" x14ac:dyDescent="0.25">
      <c r="B1322" s="98" t="s">
        <v>553</v>
      </c>
      <c r="C1322" s="98">
        <v>2014</v>
      </c>
      <c r="D1322" s="98" t="s">
        <v>209</v>
      </c>
      <c r="E1322" s="98" t="s">
        <v>32</v>
      </c>
      <c r="F1322" s="98" t="s">
        <v>131</v>
      </c>
      <c r="G1322" s="248">
        <v>51163.808000000397</v>
      </c>
      <c r="H1322" s="299" t="str">
        <f>VLOOKUP(LEFT('Rev Adequacy'!D1322,3),'Mapping B'!$D$2:$E$400,2,0)</f>
        <v>N</v>
      </c>
      <c r="BP1322" s="190"/>
    </row>
    <row r="1323" spans="2:68" x14ac:dyDescent="0.25">
      <c r="B1323" s="98" t="s">
        <v>553</v>
      </c>
      <c r="C1323" s="98">
        <v>2014</v>
      </c>
      <c r="D1323" s="98" t="s">
        <v>278</v>
      </c>
      <c r="E1323" s="98" t="s">
        <v>32</v>
      </c>
      <c r="F1323" s="98" t="s">
        <v>131</v>
      </c>
      <c r="G1323" s="248">
        <v>7136.3850000000702</v>
      </c>
      <c r="H1323" s="299" t="str">
        <f>VLOOKUP(LEFT('Rev Adequacy'!D1323,3),'Mapping B'!$D$2:$E$400,2,0)</f>
        <v>N</v>
      </c>
      <c r="BP1323" s="190"/>
    </row>
    <row r="1324" spans="2:68" x14ac:dyDescent="0.25">
      <c r="B1324" s="98" t="s">
        <v>553</v>
      </c>
      <c r="C1324" s="98">
        <v>2014</v>
      </c>
      <c r="D1324" s="98" t="s">
        <v>288</v>
      </c>
      <c r="E1324" s="98" t="s">
        <v>32</v>
      </c>
      <c r="F1324" s="98" t="s">
        <v>131</v>
      </c>
      <c r="G1324" s="248">
        <v>7557.8000965644596</v>
      </c>
      <c r="H1324" s="299" t="str">
        <f>VLOOKUP(LEFT('Rev Adequacy'!D1324,3),'Mapping B'!$D$2:$E$400,2,0)</f>
        <v>N</v>
      </c>
      <c r="BP1324" s="190"/>
    </row>
    <row r="1325" spans="2:68" x14ac:dyDescent="0.25">
      <c r="B1325" s="98" t="s">
        <v>553</v>
      </c>
      <c r="C1325" s="98">
        <v>2014</v>
      </c>
      <c r="D1325" s="98" t="s">
        <v>289</v>
      </c>
      <c r="E1325" s="98" t="s">
        <v>32</v>
      </c>
      <c r="F1325" s="98" t="s">
        <v>131</v>
      </c>
      <c r="G1325" s="248">
        <v>5428.1170000000202</v>
      </c>
      <c r="H1325" s="299" t="str">
        <f>VLOOKUP(LEFT('Rev Adequacy'!D1325,3),'Mapping B'!$D$2:$E$400,2,0)</f>
        <v>N</v>
      </c>
      <c r="BP1325" s="190"/>
    </row>
    <row r="1326" spans="2:68" x14ac:dyDescent="0.25">
      <c r="B1326" s="98" t="s">
        <v>553</v>
      </c>
      <c r="C1326" s="98">
        <v>2014</v>
      </c>
      <c r="D1326" s="98" t="s">
        <v>344</v>
      </c>
      <c r="E1326" s="98" t="s">
        <v>32</v>
      </c>
      <c r="F1326" s="98" t="s">
        <v>131</v>
      </c>
      <c r="G1326" s="248">
        <v>12382.6947400113</v>
      </c>
      <c r="H1326" s="299" t="str">
        <f>VLOOKUP(LEFT('Rev Adequacy'!D1326,3),'Mapping B'!$D$2:$E$400,2,0)</f>
        <v>N</v>
      </c>
      <c r="BP1326" s="190"/>
    </row>
    <row r="1327" spans="2:68" x14ac:dyDescent="0.25">
      <c r="B1327" s="98" t="s">
        <v>553</v>
      </c>
      <c r="C1327" s="98">
        <v>2014</v>
      </c>
      <c r="D1327" s="98" t="s">
        <v>350</v>
      </c>
      <c r="E1327" s="98" t="s">
        <v>32</v>
      </c>
      <c r="F1327" s="98" t="s">
        <v>131</v>
      </c>
      <c r="G1327" s="248">
        <v>1.32785508389502</v>
      </c>
      <c r="H1327" s="299" t="str">
        <f>VLOOKUP(LEFT('Rev Adequacy'!D1327,3),'Mapping B'!$D$2:$E$400,2,0)</f>
        <v>N</v>
      </c>
      <c r="BP1327" s="190"/>
    </row>
    <row r="1328" spans="2:68" x14ac:dyDescent="0.25">
      <c r="B1328" s="98" t="s">
        <v>554</v>
      </c>
      <c r="C1328" s="98">
        <v>2014</v>
      </c>
      <c r="D1328" s="98" t="s">
        <v>209</v>
      </c>
      <c r="E1328" s="98" t="s">
        <v>32</v>
      </c>
      <c r="F1328" s="98" t="s">
        <v>131</v>
      </c>
      <c r="G1328" s="98">
        <v>142037.842999999</v>
      </c>
      <c r="H1328" s="299" t="str">
        <f>VLOOKUP(LEFT('Rev Adequacy'!D1328,3),'Mapping B'!$D$2:$E$400,2,0)</f>
        <v>N</v>
      </c>
      <c r="BP1328" s="190"/>
    </row>
    <row r="1329" spans="2:68" x14ac:dyDescent="0.25">
      <c r="B1329" s="98" t="s">
        <v>554</v>
      </c>
      <c r="C1329" s="98">
        <v>2014</v>
      </c>
      <c r="D1329" s="98" t="s">
        <v>278</v>
      </c>
      <c r="E1329" s="98" t="s">
        <v>32</v>
      </c>
      <c r="F1329" s="98" t="s">
        <v>131</v>
      </c>
      <c r="G1329" s="98">
        <v>0</v>
      </c>
      <c r="H1329" s="299" t="str">
        <f>VLOOKUP(LEFT('Rev Adequacy'!D1329,3),'Mapping B'!$D$2:$E$400,2,0)</f>
        <v>N</v>
      </c>
      <c r="BP1329" s="190"/>
    </row>
    <row r="1330" spans="2:68" x14ac:dyDescent="0.25">
      <c r="B1330" s="98" t="s">
        <v>554</v>
      </c>
      <c r="C1330" s="98">
        <v>2014</v>
      </c>
      <c r="D1330" s="98" t="s">
        <v>288</v>
      </c>
      <c r="E1330" s="98" t="s">
        <v>32</v>
      </c>
      <c r="F1330" s="98" t="s">
        <v>131</v>
      </c>
      <c r="G1330" s="98">
        <v>0</v>
      </c>
      <c r="H1330" s="299" t="str">
        <f>VLOOKUP(LEFT('Rev Adequacy'!D1330,3),'Mapping B'!$D$2:$E$400,2,0)</f>
        <v>N</v>
      </c>
      <c r="BP1330" s="190"/>
    </row>
    <row r="1331" spans="2:68" x14ac:dyDescent="0.25">
      <c r="B1331" s="98" t="s">
        <v>554</v>
      </c>
      <c r="C1331" s="98">
        <v>2014</v>
      </c>
      <c r="D1331" s="98" t="s">
        <v>289</v>
      </c>
      <c r="E1331" s="98" t="s">
        <v>32</v>
      </c>
      <c r="F1331" s="98" t="s">
        <v>131</v>
      </c>
      <c r="G1331" s="98">
        <v>12793.3999999999</v>
      </c>
      <c r="H1331" s="299" t="str">
        <f>VLOOKUP(LEFT('Rev Adequacy'!D1331,3),'Mapping B'!$D$2:$E$400,2,0)</f>
        <v>N</v>
      </c>
      <c r="BP1331" s="190"/>
    </row>
    <row r="1332" spans="2:68" x14ac:dyDescent="0.25">
      <c r="B1332" s="98" t="s">
        <v>554</v>
      </c>
      <c r="C1332" s="98">
        <v>2014</v>
      </c>
      <c r="D1332" s="98" t="s">
        <v>344</v>
      </c>
      <c r="E1332" s="98" t="s">
        <v>32</v>
      </c>
      <c r="F1332" s="98" t="s">
        <v>131</v>
      </c>
      <c r="G1332" s="98">
        <v>0</v>
      </c>
      <c r="H1332" s="299" t="str">
        <f>VLOOKUP(LEFT('Rev Adequacy'!D1332,3),'Mapping B'!$D$2:$E$400,2,0)</f>
        <v>N</v>
      </c>
      <c r="BP1332" s="190"/>
    </row>
    <row r="1333" spans="2:68" x14ac:dyDescent="0.25">
      <c r="B1333" s="98" t="s">
        <v>554</v>
      </c>
      <c r="C1333" s="98">
        <v>2014</v>
      </c>
      <c r="D1333" s="98" t="s">
        <v>350</v>
      </c>
      <c r="E1333" s="98" t="s">
        <v>32</v>
      </c>
      <c r="F1333" s="98" t="s">
        <v>131</v>
      </c>
      <c r="G1333" s="98">
        <v>5.3526904488742204</v>
      </c>
      <c r="H1333" s="299" t="str">
        <f>VLOOKUP(LEFT('Rev Adequacy'!D1333,3),'Mapping B'!$D$2:$E$400,2,0)</f>
        <v>N</v>
      </c>
      <c r="BP1333" s="190"/>
    </row>
    <row r="1334" spans="2:68" x14ac:dyDescent="0.25">
      <c r="B1334" s="98" t="s">
        <v>563</v>
      </c>
      <c r="C1334" s="98">
        <v>2014</v>
      </c>
      <c r="D1334" s="98" t="s">
        <v>209</v>
      </c>
      <c r="E1334" s="98" t="s">
        <v>32</v>
      </c>
      <c r="F1334" s="98" t="s">
        <v>131</v>
      </c>
      <c r="G1334" s="98">
        <v>373384.44300000102</v>
      </c>
      <c r="H1334" s="299" t="str">
        <f>VLOOKUP(LEFT('Rev Adequacy'!D1334,3),'Mapping B'!$D$2:$E$400,2,0)</f>
        <v>N</v>
      </c>
      <c r="BP1334" s="190"/>
    </row>
    <row r="1335" spans="2:68" x14ac:dyDescent="0.25">
      <c r="B1335" s="98" t="s">
        <v>563</v>
      </c>
      <c r="C1335" s="98">
        <v>2014</v>
      </c>
      <c r="D1335" s="98" t="s">
        <v>278</v>
      </c>
      <c r="E1335" s="98" t="s">
        <v>32</v>
      </c>
      <c r="F1335" s="98" t="s">
        <v>131</v>
      </c>
      <c r="G1335" s="98">
        <v>33728.359999999797</v>
      </c>
      <c r="H1335" s="299" t="str">
        <f>VLOOKUP(LEFT('Rev Adequacy'!D1335,3),'Mapping B'!$D$2:$E$400,2,0)</f>
        <v>N</v>
      </c>
      <c r="BP1335" s="190"/>
    </row>
    <row r="1336" spans="2:68" x14ac:dyDescent="0.25">
      <c r="B1336" s="98" t="s">
        <v>563</v>
      </c>
      <c r="C1336" s="98">
        <v>2014</v>
      </c>
      <c r="D1336" s="98" t="s">
        <v>288</v>
      </c>
      <c r="E1336" s="98" t="s">
        <v>32</v>
      </c>
      <c r="F1336" s="98" t="s">
        <v>131</v>
      </c>
      <c r="G1336" s="98">
        <v>37164.489403899497</v>
      </c>
      <c r="H1336" s="299" t="str">
        <f>VLOOKUP(LEFT('Rev Adequacy'!D1336,3),'Mapping B'!$D$2:$E$400,2,0)</f>
        <v>N</v>
      </c>
      <c r="BP1336" s="190"/>
    </row>
    <row r="1337" spans="2:68" x14ac:dyDescent="0.25">
      <c r="B1337" s="98" t="s">
        <v>563</v>
      </c>
      <c r="C1337" s="98">
        <v>2014</v>
      </c>
      <c r="D1337" s="98" t="s">
        <v>289</v>
      </c>
      <c r="E1337" s="98" t="s">
        <v>32</v>
      </c>
      <c r="F1337" s="98" t="s">
        <v>131</v>
      </c>
      <c r="G1337" s="98">
        <v>34254.956999999798</v>
      </c>
      <c r="H1337" s="299" t="str">
        <f>VLOOKUP(LEFT('Rev Adequacy'!D1337,3),'Mapping B'!$D$2:$E$400,2,0)</f>
        <v>N</v>
      </c>
      <c r="BP1337" s="190"/>
    </row>
    <row r="1338" spans="2:68" x14ac:dyDescent="0.25">
      <c r="B1338" s="98" t="s">
        <v>563</v>
      </c>
      <c r="C1338" s="98">
        <v>2014</v>
      </c>
      <c r="D1338" s="98" t="s">
        <v>344</v>
      </c>
      <c r="E1338" s="98" t="s">
        <v>32</v>
      </c>
      <c r="F1338" s="98" t="s">
        <v>131</v>
      </c>
      <c r="G1338" s="98">
        <v>50447.6680000001</v>
      </c>
      <c r="H1338" s="299" t="str">
        <f>VLOOKUP(LEFT('Rev Adequacy'!D1338,3),'Mapping B'!$D$2:$E$400,2,0)</f>
        <v>N</v>
      </c>
      <c r="BP1338" s="190"/>
    </row>
    <row r="1339" spans="2:68" x14ac:dyDescent="0.25">
      <c r="B1339" s="98" t="s">
        <v>563</v>
      </c>
      <c r="C1339" s="98">
        <v>2014</v>
      </c>
      <c r="D1339" s="98" t="s">
        <v>350</v>
      </c>
      <c r="E1339" s="98" t="s">
        <v>32</v>
      </c>
      <c r="F1339" s="98" t="s">
        <v>131</v>
      </c>
      <c r="G1339" s="98">
        <v>5.3526904488742204</v>
      </c>
      <c r="H1339" s="299" t="str">
        <f>VLOOKUP(LEFT('Rev Adequacy'!D1339,3),'Mapping B'!$D$2:$E$400,2,0)</f>
        <v>N</v>
      </c>
      <c r="BP1339" s="190"/>
    </row>
    <row r="1340" spans="2:68" x14ac:dyDescent="0.25">
      <c r="B1340" s="98" t="s">
        <v>555</v>
      </c>
      <c r="C1340" s="98">
        <v>2014</v>
      </c>
      <c r="D1340" s="98" t="s">
        <v>209</v>
      </c>
      <c r="E1340" s="98" t="s">
        <v>32</v>
      </c>
      <c r="F1340" s="98" t="s">
        <v>131</v>
      </c>
      <c r="G1340" s="98">
        <v>193263.55400000099</v>
      </c>
      <c r="H1340" s="299" t="str">
        <f>VLOOKUP(LEFT('Rev Adequacy'!D1340,3),'Mapping B'!$D$2:$E$400,2,0)</f>
        <v>N</v>
      </c>
      <c r="BP1340" s="190"/>
    </row>
    <row r="1341" spans="2:68" x14ac:dyDescent="0.25">
      <c r="B1341" s="98" t="s">
        <v>555</v>
      </c>
      <c r="C1341" s="98">
        <v>2014</v>
      </c>
      <c r="D1341" s="98" t="s">
        <v>278</v>
      </c>
      <c r="E1341" s="98" t="s">
        <v>32</v>
      </c>
      <c r="F1341" s="98" t="s">
        <v>131</v>
      </c>
      <c r="G1341" s="98">
        <v>17427.166999999899</v>
      </c>
      <c r="H1341" s="299" t="str">
        <f>VLOOKUP(LEFT('Rev Adequacy'!D1341,3),'Mapping B'!$D$2:$E$400,2,0)</f>
        <v>N</v>
      </c>
      <c r="BP1341" s="190"/>
    </row>
    <row r="1342" spans="2:68" x14ac:dyDescent="0.25">
      <c r="B1342" s="98" t="s">
        <v>555</v>
      </c>
      <c r="C1342" s="98">
        <v>2014</v>
      </c>
      <c r="D1342" s="98" t="s">
        <v>288</v>
      </c>
      <c r="E1342" s="98" t="s">
        <v>32</v>
      </c>
      <c r="F1342" s="98" t="s">
        <v>131</v>
      </c>
      <c r="G1342" s="98">
        <v>18358.386302692601</v>
      </c>
      <c r="H1342" s="299" t="str">
        <f>VLOOKUP(LEFT('Rev Adequacy'!D1342,3),'Mapping B'!$D$2:$E$400,2,0)</f>
        <v>N</v>
      </c>
      <c r="BP1342" s="190"/>
    </row>
    <row r="1343" spans="2:68" x14ac:dyDescent="0.25">
      <c r="B1343" s="98" t="s">
        <v>555</v>
      </c>
      <c r="C1343" s="98">
        <v>2014</v>
      </c>
      <c r="D1343" s="98" t="s">
        <v>289</v>
      </c>
      <c r="E1343" s="98" t="s">
        <v>32</v>
      </c>
      <c r="F1343" s="98" t="s">
        <v>131</v>
      </c>
      <c r="G1343" s="98">
        <v>23469.179</v>
      </c>
      <c r="H1343" s="299" t="str">
        <f>VLOOKUP(LEFT('Rev Adequacy'!D1343,3),'Mapping B'!$D$2:$E$400,2,0)</f>
        <v>N</v>
      </c>
      <c r="BP1343" s="190"/>
    </row>
    <row r="1344" spans="2:68" x14ac:dyDescent="0.25">
      <c r="B1344" s="98" t="s">
        <v>555</v>
      </c>
      <c r="C1344" s="98">
        <v>2014</v>
      </c>
      <c r="D1344" s="98" t="s">
        <v>344</v>
      </c>
      <c r="E1344" s="98" t="s">
        <v>32</v>
      </c>
      <c r="F1344" s="98" t="s">
        <v>131</v>
      </c>
      <c r="G1344" s="98">
        <v>51498.362000000103</v>
      </c>
      <c r="H1344" s="299" t="str">
        <f>VLOOKUP(LEFT('Rev Adequacy'!D1344,3),'Mapping B'!$D$2:$E$400,2,0)</f>
        <v>N</v>
      </c>
      <c r="BP1344" s="190"/>
    </row>
    <row r="1345" spans="2:68" x14ac:dyDescent="0.25">
      <c r="B1345" s="98" t="s">
        <v>555</v>
      </c>
      <c r="C1345" s="98">
        <v>2014</v>
      </c>
      <c r="D1345" s="98" t="s">
        <v>350</v>
      </c>
      <c r="E1345" s="98" t="s">
        <v>32</v>
      </c>
      <c r="F1345" s="98" t="s">
        <v>131</v>
      </c>
      <c r="G1345" s="98">
        <v>0</v>
      </c>
      <c r="H1345" s="299" t="str">
        <f>VLOOKUP(LEFT('Rev Adequacy'!D1345,3),'Mapping B'!$D$2:$E$400,2,0)</f>
        <v>N</v>
      </c>
      <c r="BP1345" s="190"/>
    </row>
    <row r="1346" spans="2:68" x14ac:dyDescent="0.25">
      <c r="B1346" s="98" t="s">
        <v>112</v>
      </c>
      <c r="C1346" s="98">
        <v>2014</v>
      </c>
      <c r="D1346" s="98" t="s">
        <v>209</v>
      </c>
      <c r="E1346" s="98" t="s">
        <v>32</v>
      </c>
      <c r="F1346" s="98" t="s">
        <v>131</v>
      </c>
      <c r="G1346" s="98">
        <v>5492997.7299999399</v>
      </c>
      <c r="H1346" s="299" t="str">
        <f>VLOOKUP(LEFT('Rev Adequacy'!D1346,3),'Mapping B'!$D$2:$E$400,2,0)</f>
        <v>N</v>
      </c>
      <c r="BP1346" s="190"/>
    </row>
    <row r="1347" spans="2:68" x14ac:dyDescent="0.25">
      <c r="B1347" s="98" t="s">
        <v>112</v>
      </c>
      <c r="C1347" s="98">
        <v>2014</v>
      </c>
      <c r="D1347" s="98" t="s">
        <v>278</v>
      </c>
      <c r="E1347" s="98" t="s">
        <v>32</v>
      </c>
      <c r="F1347" s="98" t="s">
        <v>131</v>
      </c>
      <c r="G1347" s="98">
        <v>638741.673000001</v>
      </c>
      <c r="H1347" s="299" t="str">
        <f>VLOOKUP(LEFT('Rev Adequacy'!D1347,3),'Mapping B'!$D$2:$E$400,2,0)</f>
        <v>N</v>
      </c>
      <c r="BP1347" s="190"/>
    </row>
    <row r="1348" spans="2:68" x14ac:dyDescent="0.25">
      <c r="B1348" s="98" t="s">
        <v>112</v>
      </c>
      <c r="C1348" s="98">
        <v>2014</v>
      </c>
      <c r="D1348" s="98" t="s">
        <v>288</v>
      </c>
      <c r="E1348" s="98" t="s">
        <v>32</v>
      </c>
      <c r="F1348" s="98" t="s">
        <v>131</v>
      </c>
      <c r="G1348" s="98">
        <v>726113.17305106996</v>
      </c>
      <c r="H1348" s="299" t="str">
        <f>VLOOKUP(LEFT('Rev Adequacy'!D1348,3),'Mapping B'!$D$2:$E$400,2,0)</f>
        <v>N</v>
      </c>
      <c r="BP1348" s="190"/>
    </row>
    <row r="1349" spans="2:68" x14ac:dyDescent="0.25">
      <c r="B1349" s="98" t="s">
        <v>112</v>
      </c>
      <c r="C1349" s="98">
        <v>2014</v>
      </c>
      <c r="D1349" s="98" t="s">
        <v>289</v>
      </c>
      <c r="E1349" s="98" t="s">
        <v>32</v>
      </c>
      <c r="F1349" s="98" t="s">
        <v>131</v>
      </c>
      <c r="G1349" s="98">
        <v>482907.08900000103</v>
      </c>
      <c r="H1349" s="299" t="str">
        <f>VLOOKUP(LEFT('Rev Adequacy'!D1349,3),'Mapping B'!$D$2:$E$400,2,0)</f>
        <v>N</v>
      </c>
      <c r="BP1349" s="190"/>
    </row>
    <row r="1350" spans="2:68" x14ac:dyDescent="0.25">
      <c r="B1350" s="98" t="s">
        <v>112</v>
      </c>
      <c r="C1350" s="98">
        <v>2014</v>
      </c>
      <c r="D1350" s="98" t="s">
        <v>344</v>
      </c>
      <c r="E1350" s="98" t="s">
        <v>32</v>
      </c>
      <c r="F1350" s="98" t="s">
        <v>131</v>
      </c>
      <c r="G1350" s="98">
        <v>1355325.5589999999</v>
      </c>
      <c r="H1350" s="299" t="str">
        <f>VLOOKUP(LEFT('Rev Adequacy'!D1350,3),'Mapping B'!$D$2:$E$400,2,0)</f>
        <v>N</v>
      </c>
      <c r="BP1350" s="190"/>
    </row>
    <row r="1351" spans="2:68" x14ac:dyDescent="0.25">
      <c r="B1351" s="98" t="s">
        <v>112</v>
      </c>
      <c r="C1351" s="98">
        <v>2014</v>
      </c>
      <c r="D1351" s="98" t="s">
        <v>350</v>
      </c>
      <c r="E1351" s="98" t="s">
        <v>32</v>
      </c>
      <c r="F1351" s="98" t="s">
        <v>131</v>
      </c>
      <c r="G1351" s="98">
        <v>43.737484009751903</v>
      </c>
      <c r="H1351" s="299" t="str">
        <f>VLOOKUP(LEFT('Rev Adequacy'!D1351,3),'Mapping B'!$D$2:$E$400,2,0)</f>
        <v>N</v>
      </c>
      <c r="BP1351" s="190"/>
    </row>
    <row r="1352" spans="2:68" x14ac:dyDescent="0.25">
      <c r="B1352" s="98" t="s">
        <v>111</v>
      </c>
      <c r="C1352" s="98">
        <v>2014</v>
      </c>
      <c r="D1352" s="98" t="s">
        <v>209</v>
      </c>
      <c r="E1352" s="98" t="s">
        <v>32</v>
      </c>
      <c r="F1352" s="98" t="s">
        <v>131</v>
      </c>
      <c r="G1352" s="98">
        <v>1274299.422</v>
      </c>
      <c r="H1352" s="299" t="str">
        <f>VLOOKUP(LEFT('Rev Adequacy'!D1352,3),'Mapping B'!$D$2:$E$400,2,0)</f>
        <v>N</v>
      </c>
      <c r="BP1352" s="190"/>
    </row>
    <row r="1353" spans="2:68" x14ac:dyDescent="0.25">
      <c r="B1353" s="98" t="s">
        <v>111</v>
      </c>
      <c r="C1353" s="98">
        <v>2014</v>
      </c>
      <c r="D1353" s="98" t="s">
        <v>278</v>
      </c>
      <c r="E1353" s="98" t="s">
        <v>32</v>
      </c>
      <c r="F1353" s="98" t="s">
        <v>131</v>
      </c>
      <c r="G1353" s="98">
        <v>186632.61600000001</v>
      </c>
      <c r="H1353" s="299" t="str">
        <f>VLOOKUP(LEFT('Rev Adequacy'!D1353,3),'Mapping B'!$D$2:$E$400,2,0)</f>
        <v>N</v>
      </c>
      <c r="BP1353" s="190"/>
    </row>
    <row r="1354" spans="2:68" x14ac:dyDescent="0.25">
      <c r="B1354" s="98" t="s">
        <v>111</v>
      </c>
      <c r="C1354" s="98">
        <v>2014</v>
      </c>
      <c r="D1354" s="98" t="s">
        <v>288</v>
      </c>
      <c r="E1354" s="98" t="s">
        <v>32</v>
      </c>
      <c r="F1354" s="98" t="s">
        <v>131</v>
      </c>
      <c r="G1354" s="98">
        <v>202942.92584586801</v>
      </c>
      <c r="H1354" s="299" t="str">
        <f>VLOOKUP(LEFT('Rev Adequacy'!D1354,3),'Mapping B'!$D$2:$E$400,2,0)</f>
        <v>N</v>
      </c>
      <c r="BP1354" s="190"/>
    </row>
    <row r="1355" spans="2:68" x14ac:dyDescent="0.25">
      <c r="B1355" s="98" t="s">
        <v>111</v>
      </c>
      <c r="C1355" s="98">
        <v>2014</v>
      </c>
      <c r="D1355" s="98" t="s">
        <v>289</v>
      </c>
      <c r="E1355" s="98" t="s">
        <v>32</v>
      </c>
      <c r="F1355" s="98" t="s">
        <v>131</v>
      </c>
      <c r="G1355" s="98">
        <v>90671.374000000098</v>
      </c>
      <c r="H1355" s="299" t="str">
        <f>VLOOKUP(LEFT('Rev Adequacy'!D1355,3),'Mapping B'!$D$2:$E$400,2,0)</f>
        <v>N</v>
      </c>
      <c r="BP1355" s="190"/>
    </row>
    <row r="1356" spans="2:68" x14ac:dyDescent="0.25">
      <c r="B1356" s="98" t="s">
        <v>111</v>
      </c>
      <c r="C1356" s="98">
        <v>2014</v>
      </c>
      <c r="D1356" s="98" t="s">
        <v>344</v>
      </c>
      <c r="E1356" s="98" t="s">
        <v>32</v>
      </c>
      <c r="F1356" s="98" t="s">
        <v>131</v>
      </c>
      <c r="G1356" s="98">
        <v>352258.09400000097</v>
      </c>
      <c r="H1356" s="299" t="str">
        <f>VLOOKUP(LEFT('Rev Adequacy'!D1356,3),'Mapping B'!$D$2:$E$400,2,0)</f>
        <v>N</v>
      </c>
      <c r="BP1356" s="190"/>
    </row>
    <row r="1357" spans="2:68" x14ac:dyDescent="0.25">
      <c r="B1357" s="98" t="s">
        <v>111</v>
      </c>
      <c r="C1357" s="98">
        <v>2014</v>
      </c>
      <c r="D1357" s="98" t="s">
        <v>350</v>
      </c>
      <c r="E1357" s="98" t="s">
        <v>32</v>
      </c>
      <c r="F1357" s="98" t="s">
        <v>131</v>
      </c>
      <c r="G1357" s="98">
        <v>0.13933192313208001</v>
      </c>
      <c r="H1357" s="299" t="str">
        <f>VLOOKUP(LEFT('Rev Adequacy'!D1357,3),'Mapping B'!$D$2:$E$400,2,0)</f>
        <v>N</v>
      </c>
      <c r="BP1357" s="190"/>
    </row>
    <row r="1358" spans="2:68" x14ac:dyDescent="0.25">
      <c r="B1358" s="98" t="s">
        <v>552</v>
      </c>
      <c r="C1358" s="98">
        <v>2014</v>
      </c>
      <c r="D1358" s="98" t="s">
        <v>183</v>
      </c>
      <c r="E1358" s="98" t="s">
        <v>105</v>
      </c>
      <c r="F1358" s="98" t="s">
        <v>131</v>
      </c>
      <c r="G1358" s="248">
        <v>61097.495000000097</v>
      </c>
      <c r="H1358" s="299" t="str">
        <f>VLOOKUP(LEFT('Rev Adequacy'!D1358,3),'Mapping B'!$D$2:$E$400,2,0)</f>
        <v>S</v>
      </c>
      <c r="BP1358" s="190"/>
    </row>
    <row r="1359" spans="2:68" x14ac:dyDescent="0.25">
      <c r="B1359" s="98" t="s">
        <v>552</v>
      </c>
      <c r="C1359" s="98">
        <v>2014</v>
      </c>
      <c r="D1359" s="98" t="s">
        <v>189</v>
      </c>
      <c r="E1359" s="98" t="s">
        <v>105</v>
      </c>
      <c r="F1359" s="98" t="s">
        <v>131</v>
      </c>
      <c r="G1359" s="248">
        <v>64073.452999999397</v>
      </c>
      <c r="H1359" s="299" t="str">
        <f>VLOOKUP(LEFT('Rev Adequacy'!D1359,3),'Mapping B'!$D$2:$E$400,2,0)</f>
        <v>S</v>
      </c>
      <c r="BP1359" s="190"/>
    </row>
    <row r="1360" spans="2:68" x14ac:dyDescent="0.25">
      <c r="B1360" s="98" t="s">
        <v>552</v>
      </c>
      <c r="C1360" s="98">
        <v>2014</v>
      </c>
      <c r="D1360" s="98" t="s">
        <v>224</v>
      </c>
      <c r="E1360" s="98" t="s">
        <v>105</v>
      </c>
      <c r="F1360" s="98" t="s">
        <v>131</v>
      </c>
      <c r="G1360" s="248">
        <v>84119.6045338892</v>
      </c>
      <c r="H1360" s="299" t="str">
        <f>VLOOKUP(LEFT('Rev Adequacy'!D1360,3),'Mapping B'!$D$2:$E$400,2,0)</f>
        <v>S</v>
      </c>
      <c r="BP1360" s="190"/>
    </row>
    <row r="1361" spans="2:68" x14ac:dyDescent="0.25">
      <c r="B1361" s="98" t="s">
        <v>552</v>
      </c>
      <c r="C1361" s="98">
        <v>2014</v>
      </c>
      <c r="D1361" s="98" t="s">
        <v>276</v>
      </c>
      <c r="E1361" s="98" t="s">
        <v>105</v>
      </c>
      <c r="F1361" s="98" t="s">
        <v>131</v>
      </c>
      <c r="G1361" s="248">
        <v>116738.63499999901</v>
      </c>
      <c r="H1361" s="299" t="str">
        <f>VLOOKUP(LEFT('Rev Adequacy'!D1361,3),'Mapping B'!$D$2:$E$400,2,0)</f>
        <v>S</v>
      </c>
      <c r="BP1361" s="190"/>
    </row>
    <row r="1362" spans="2:68" x14ac:dyDescent="0.25">
      <c r="B1362" s="98" t="s">
        <v>553</v>
      </c>
      <c r="C1362" s="98">
        <v>2014</v>
      </c>
      <c r="D1362" s="98" t="s">
        <v>183</v>
      </c>
      <c r="E1362" s="98" t="s">
        <v>105</v>
      </c>
      <c r="F1362" s="98" t="s">
        <v>131</v>
      </c>
      <c r="G1362" s="248">
        <v>32150.370999999501</v>
      </c>
      <c r="H1362" s="299" t="str">
        <f>VLOOKUP(LEFT('Rev Adequacy'!D1362,3),'Mapping B'!$D$2:$E$400,2,0)</f>
        <v>S</v>
      </c>
      <c r="BP1362" s="190"/>
    </row>
    <row r="1363" spans="2:68" x14ac:dyDescent="0.25">
      <c r="B1363" s="98" t="s">
        <v>553</v>
      </c>
      <c r="C1363" s="98">
        <v>2014</v>
      </c>
      <c r="D1363" s="98" t="s">
        <v>189</v>
      </c>
      <c r="E1363" s="98" t="s">
        <v>105</v>
      </c>
      <c r="F1363" s="98" t="s">
        <v>131</v>
      </c>
      <c r="G1363" s="248">
        <v>48558.752000000102</v>
      </c>
      <c r="H1363" s="299" t="str">
        <f>VLOOKUP(LEFT('Rev Adequacy'!D1363,3),'Mapping B'!$D$2:$E$400,2,0)</f>
        <v>S</v>
      </c>
      <c r="BP1363" s="190"/>
    </row>
    <row r="1364" spans="2:68" x14ac:dyDescent="0.25">
      <c r="B1364" s="98" t="s">
        <v>553</v>
      </c>
      <c r="C1364" s="98">
        <v>2014</v>
      </c>
      <c r="D1364" s="98" t="s">
        <v>224</v>
      </c>
      <c r="E1364" s="98" t="s">
        <v>105</v>
      </c>
      <c r="F1364" s="98" t="s">
        <v>131</v>
      </c>
      <c r="G1364" s="248">
        <v>67675.855872835498</v>
      </c>
      <c r="H1364" s="299" t="str">
        <f>VLOOKUP(LEFT('Rev Adequacy'!D1364,3),'Mapping B'!$D$2:$E$400,2,0)</f>
        <v>S</v>
      </c>
      <c r="BP1364" s="190"/>
    </row>
    <row r="1365" spans="2:68" x14ac:dyDescent="0.25">
      <c r="B1365" s="98" t="s">
        <v>553</v>
      </c>
      <c r="C1365" s="98">
        <v>2014</v>
      </c>
      <c r="D1365" s="98" t="s">
        <v>276</v>
      </c>
      <c r="E1365" s="98" t="s">
        <v>105</v>
      </c>
      <c r="F1365" s="98" t="s">
        <v>131</v>
      </c>
      <c r="G1365" s="248">
        <v>76255.616999999795</v>
      </c>
      <c r="H1365" s="299" t="str">
        <f>VLOOKUP(LEFT('Rev Adequacy'!D1365,3),'Mapping B'!$D$2:$E$400,2,0)</f>
        <v>S</v>
      </c>
      <c r="BP1365" s="190"/>
    </row>
    <row r="1366" spans="2:68" x14ac:dyDescent="0.25">
      <c r="B1366" s="98" t="s">
        <v>554</v>
      </c>
      <c r="C1366" s="98">
        <v>2014</v>
      </c>
      <c r="D1366" s="98" t="s">
        <v>183</v>
      </c>
      <c r="E1366" s="98" t="s">
        <v>105</v>
      </c>
      <c r="F1366" s="98" t="s">
        <v>131</v>
      </c>
      <c r="G1366" s="98">
        <v>169629.21700000201</v>
      </c>
      <c r="H1366" s="299" t="str">
        <f>VLOOKUP(LEFT('Rev Adequacy'!D1366,3),'Mapping B'!$D$2:$E$400,2,0)</f>
        <v>S</v>
      </c>
      <c r="BP1366" s="190"/>
    </row>
    <row r="1367" spans="2:68" x14ac:dyDescent="0.25">
      <c r="B1367" s="98" t="s">
        <v>554</v>
      </c>
      <c r="C1367" s="98">
        <v>2014</v>
      </c>
      <c r="D1367" s="98" t="s">
        <v>189</v>
      </c>
      <c r="E1367" s="98" t="s">
        <v>105</v>
      </c>
      <c r="F1367" s="98" t="s">
        <v>131</v>
      </c>
      <c r="G1367" s="98">
        <v>51973.228999999497</v>
      </c>
      <c r="H1367" s="299" t="str">
        <f>VLOOKUP(LEFT('Rev Adequacy'!D1367,3),'Mapping B'!$D$2:$E$400,2,0)</f>
        <v>S</v>
      </c>
      <c r="BP1367" s="190"/>
    </row>
    <row r="1368" spans="2:68" x14ac:dyDescent="0.25">
      <c r="B1368" s="98" t="s">
        <v>554</v>
      </c>
      <c r="C1368" s="98">
        <v>2014</v>
      </c>
      <c r="D1368" s="98" t="s">
        <v>224</v>
      </c>
      <c r="E1368" s="98" t="s">
        <v>105</v>
      </c>
      <c r="F1368" s="98" t="s">
        <v>131</v>
      </c>
      <c r="G1368" s="98">
        <v>25742.738112135601</v>
      </c>
      <c r="H1368" s="299" t="str">
        <f>VLOOKUP(LEFT('Rev Adequacy'!D1368,3),'Mapping B'!$D$2:$E$400,2,0)</f>
        <v>S</v>
      </c>
      <c r="BP1368" s="190"/>
    </row>
    <row r="1369" spans="2:68" x14ac:dyDescent="0.25">
      <c r="B1369" s="98" t="s">
        <v>554</v>
      </c>
      <c r="C1369" s="98">
        <v>2014</v>
      </c>
      <c r="D1369" s="98" t="s">
        <v>276</v>
      </c>
      <c r="E1369" s="98" t="s">
        <v>105</v>
      </c>
      <c r="F1369" s="98" t="s">
        <v>131</v>
      </c>
      <c r="G1369" s="98">
        <v>151587.318</v>
      </c>
      <c r="H1369" s="299" t="str">
        <f>VLOOKUP(LEFT('Rev Adequacy'!D1369,3),'Mapping B'!$D$2:$E$400,2,0)</f>
        <v>S</v>
      </c>
      <c r="BP1369" s="190"/>
    </row>
    <row r="1370" spans="2:68" x14ac:dyDescent="0.25">
      <c r="B1370" s="98" t="s">
        <v>563</v>
      </c>
      <c r="C1370" s="98">
        <v>2014</v>
      </c>
      <c r="D1370" s="98" t="s">
        <v>183</v>
      </c>
      <c r="E1370" s="98" t="s">
        <v>105</v>
      </c>
      <c r="F1370" s="98" t="s">
        <v>131</v>
      </c>
      <c r="G1370" s="98">
        <v>246328.99500000101</v>
      </c>
      <c r="H1370" s="299" t="str">
        <f>VLOOKUP(LEFT('Rev Adequacy'!D1370,3),'Mapping B'!$D$2:$E$400,2,0)</f>
        <v>S</v>
      </c>
      <c r="BP1370" s="190"/>
    </row>
    <row r="1371" spans="2:68" x14ac:dyDescent="0.25">
      <c r="B1371" s="98" t="s">
        <v>563</v>
      </c>
      <c r="C1371" s="98">
        <v>2014</v>
      </c>
      <c r="D1371" s="98" t="s">
        <v>189</v>
      </c>
      <c r="E1371" s="98" t="s">
        <v>105</v>
      </c>
      <c r="F1371" s="98" t="s">
        <v>131</v>
      </c>
      <c r="G1371" s="98">
        <v>280238.984999999</v>
      </c>
      <c r="H1371" s="299" t="str">
        <f>VLOOKUP(LEFT('Rev Adequacy'!D1371,3),'Mapping B'!$D$2:$E$400,2,0)</f>
        <v>S</v>
      </c>
      <c r="BP1371" s="190"/>
    </row>
    <row r="1372" spans="2:68" x14ac:dyDescent="0.25">
      <c r="B1372" s="98" t="s">
        <v>563</v>
      </c>
      <c r="C1372" s="98">
        <v>2014</v>
      </c>
      <c r="D1372" s="98" t="s">
        <v>224</v>
      </c>
      <c r="E1372" s="98" t="s">
        <v>105</v>
      </c>
      <c r="F1372" s="98" t="s">
        <v>131</v>
      </c>
      <c r="G1372" s="98">
        <v>380355.38222077</v>
      </c>
      <c r="H1372" s="299" t="str">
        <f>VLOOKUP(LEFT('Rev Adequacy'!D1372,3),'Mapping B'!$D$2:$E$400,2,0)</f>
        <v>S</v>
      </c>
      <c r="BP1372" s="190"/>
    </row>
    <row r="1373" spans="2:68" x14ac:dyDescent="0.25">
      <c r="B1373" s="98" t="s">
        <v>563</v>
      </c>
      <c r="C1373" s="98">
        <v>2014</v>
      </c>
      <c r="D1373" s="98" t="s">
        <v>276</v>
      </c>
      <c r="E1373" s="98" t="s">
        <v>105</v>
      </c>
      <c r="F1373" s="98" t="s">
        <v>131</v>
      </c>
      <c r="G1373" s="98">
        <v>470890.97299999901</v>
      </c>
      <c r="H1373" s="299" t="str">
        <f>VLOOKUP(LEFT('Rev Adequacy'!D1373,3),'Mapping B'!$D$2:$E$400,2,0)</f>
        <v>S</v>
      </c>
      <c r="BP1373" s="190"/>
    </row>
    <row r="1374" spans="2:68" x14ac:dyDescent="0.25">
      <c r="B1374" s="98" t="s">
        <v>555</v>
      </c>
      <c r="C1374" s="98">
        <v>2014</v>
      </c>
      <c r="D1374" s="98" t="s">
        <v>183</v>
      </c>
      <c r="E1374" s="98" t="s">
        <v>105</v>
      </c>
      <c r="F1374" s="98" t="s">
        <v>131</v>
      </c>
      <c r="G1374" s="98">
        <v>116130.06299999901</v>
      </c>
      <c r="H1374" s="299" t="str">
        <f>VLOOKUP(LEFT('Rev Adequacy'!D1374,3),'Mapping B'!$D$2:$E$400,2,0)</f>
        <v>S</v>
      </c>
      <c r="BP1374" s="190"/>
    </row>
    <row r="1375" spans="2:68" x14ac:dyDescent="0.25">
      <c r="B1375" s="98" t="s">
        <v>555</v>
      </c>
      <c r="C1375" s="98">
        <v>2014</v>
      </c>
      <c r="D1375" s="98" t="s">
        <v>189</v>
      </c>
      <c r="E1375" s="98" t="s">
        <v>105</v>
      </c>
      <c r="F1375" s="98" t="s">
        <v>131</v>
      </c>
      <c r="G1375" s="98">
        <v>126664.65799999901</v>
      </c>
      <c r="H1375" s="299" t="str">
        <f>VLOOKUP(LEFT('Rev Adequacy'!D1375,3),'Mapping B'!$D$2:$E$400,2,0)</f>
        <v>S</v>
      </c>
      <c r="BP1375" s="190"/>
    </row>
    <row r="1376" spans="2:68" x14ac:dyDescent="0.25">
      <c r="B1376" s="98" t="s">
        <v>555</v>
      </c>
      <c r="C1376" s="98">
        <v>2014</v>
      </c>
      <c r="D1376" s="98" t="s">
        <v>224</v>
      </c>
      <c r="E1376" s="98" t="s">
        <v>105</v>
      </c>
      <c r="F1376" s="98" t="s">
        <v>131</v>
      </c>
      <c r="G1376" s="98">
        <v>170914.01863377501</v>
      </c>
      <c r="H1376" s="299" t="str">
        <f>VLOOKUP(LEFT('Rev Adequacy'!D1376,3),'Mapping B'!$D$2:$E$400,2,0)</f>
        <v>S</v>
      </c>
      <c r="BP1376" s="190"/>
    </row>
    <row r="1377" spans="2:68" x14ac:dyDescent="0.25">
      <c r="B1377" s="98" t="s">
        <v>555</v>
      </c>
      <c r="C1377" s="98">
        <v>2014</v>
      </c>
      <c r="D1377" s="98" t="s">
        <v>276</v>
      </c>
      <c r="E1377" s="98" t="s">
        <v>105</v>
      </c>
      <c r="F1377" s="98" t="s">
        <v>131</v>
      </c>
      <c r="G1377" s="98">
        <v>203746.22699999899</v>
      </c>
      <c r="H1377" s="299" t="str">
        <f>VLOOKUP(LEFT('Rev Adequacy'!D1377,3),'Mapping B'!$D$2:$E$400,2,0)</f>
        <v>S</v>
      </c>
      <c r="BP1377" s="190"/>
    </row>
    <row r="1378" spans="2:68" x14ac:dyDescent="0.25">
      <c r="B1378" s="98" t="s">
        <v>112</v>
      </c>
      <c r="C1378" s="98">
        <v>2014</v>
      </c>
      <c r="D1378" s="98" t="s">
        <v>183</v>
      </c>
      <c r="E1378" s="98" t="s">
        <v>105</v>
      </c>
      <c r="F1378" s="98" t="s">
        <v>131</v>
      </c>
      <c r="G1378" s="98">
        <v>0</v>
      </c>
      <c r="H1378" s="299" t="str">
        <f>VLOOKUP(LEFT('Rev Adequacy'!D1378,3),'Mapping B'!$D$2:$E$400,2,0)</f>
        <v>S</v>
      </c>
      <c r="BP1378" s="190"/>
    </row>
    <row r="1379" spans="2:68" x14ac:dyDescent="0.25">
      <c r="B1379" s="98" t="s">
        <v>112</v>
      </c>
      <c r="C1379" s="98">
        <v>2014</v>
      </c>
      <c r="D1379" s="98" t="s">
        <v>189</v>
      </c>
      <c r="E1379" s="98" t="s">
        <v>105</v>
      </c>
      <c r="F1379" s="98" t="s">
        <v>131</v>
      </c>
      <c r="G1379" s="98">
        <v>0</v>
      </c>
      <c r="H1379" s="299" t="str">
        <f>VLOOKUP(LEFT('Rev Adequacy'!D1379,3),'Mapping B'!$D$2:$E$400,2,0)</f>
        <v>S</v>
      </c>
      <c r="BP1379" s="190"/>
    </row>
    <row r="1380" spans="2:68" x14ac:dyDescent="0.25">
      <c r="B1380" s="98" t="s">
        <v>112</v>
      </c>
      <c r="C1380" s="98">
        <v>2014</v>
      </c>
      <c r="D1380" s="98" t="s">
        <v>224</v>
      </c>
      <c r="E1380" s="98" t="s">
        <v>105</v>
      </c>
      <c r="F1380" s="98" t="s">
        <v>131</v>
      </c>
      <c r="G1380" s="98">
        <v>0</v>
      </c>
      <c r="H1380" s="299" t="str">
        <f>VLOOKUP(LEFT('Rev Adequacy'!D1380,3),'Mapping B'!$D$2:$E$400,2,0)</f>
        <v>S</v>
      </c>
      <c r="BP1380" s="190"/>
    </row>
    <row r="1381" spans="2:68" x14ac:dyDescent="0.25">
      <c r="B1381" s="98" t="s">
        <v>112</v>
      </c>
      <c r="C1381" s="98">
        <v>2014</v>
      </c>
      <c r="D1381" s="98" t="s">
        <v>276</v>
      </c>
      <c r="E1381" s="98" t="s">
        <v>105</v>
      </c>
      <c r="F1381" s="98" t="s">
        <v>131</v>
      </c>
      <c r="G1381" s="98">
        <v>0</v>
      </c>
      <c r="H1381" s="299" t="str">
        <f>VLOOKUP(LEFT('Rev Adequacy'!D1381,3),'Mapping B'!$D$2:$E$400,2,0)</f>
        <v>S</v>
      </c>
      <c r="BP1381" s="190"/>
    </row>
    <row r="1382" spans="2:68" x14ac:dyDescent="0.25">
      <c r="B1382" s="98" t="s">
        <v>111</v>
      </c>
      <c r="C1382" s="98">
        <v>2014</v>
      </c>
      <c r="D1382" s="98" t="s">
        <v>183</v>
      </c>
      <c r="E1382" s="98" t="s">
        <v>105</v>
      </c>
      <c r="F1382" s="98" t="s">
        <v>131</v>
      </c>
      <c r="G1382" s="98">
        <v>0</v>
      </c>
      <c r="H1382" s="299" t="str">
        <f>VLOOKUP(LEFT('Rev Adequacy'!D1382,3),'Mapping B'!$D$2:$E$400,2,0)</f>
        <v>S</v>
      </c>
      <c r="BP1382" s="190"/>
    </row>
    <row r="1383" spans="2:68" x14ac:dyDescent="0.25">
      <c r="B1383" s="98" t="s">
        <v>111</v>
      </c>
      <c r="C1383" s="98">
        <v>2014</v>
      </c>
      <c r="D1383" s="98" t="s">
        <v>189</v>
      </c>
      <c r="E1383" s="98" t="s">
        <v>105</v>
      </c>
      <c r="F1383" s="98" t="s">
        <v>131</v>
      </c>
      <c r="G1383" s="98">
        <v>0</v>
      </c>
      <c r="H1383" s="299" t="str">
        <f>VLOOKUP(LEFT('Rev Adequacy'!D1383,3),'Mapping B'!$D$2:$E$400,2,0)</f>
        <v>S</v>
      </c>
      <c r="BP1383" s="190"/>
    </row>
    <row r="1384" spans="2:68" x14ac:dyDescent="0.25">
      <c r="B1384" s="98" t="s">
        <v>111</v>
      </c>
      <c r="C1384" s="98">
        <v>2014</v>
      </c>
      <c r="D1384" s="98" t="s">
        <v>224</v>
      </c>
      <c r="E1384" s="98" t="s">
        <v>105</v>
      </c>
      <c r="F1384" s="98" t="s">
        <v>131</v>
      </c>
      <c r="G1384" s="98">
        <v>0</v>
      </c>
      <c r="H1384" s="299" t="str">
        <f>VLOOKUP(LEFT('Rev Adequacy'!D1384,3),'Mapping B'!$D$2:$E$400,2,0)</f>
        <v>S</v>
      </c>
      <c r="BP1384" s="190"/>
    </row>
    <row r="1385" spans="2:68" x14ac:dyDescent="0.25">
      <c r="B1385" s="98" t="s">
        <v>111</v>
      </c>
      <c r="C1385" s="98">
        <v>2014</v>
      </c>
      <c r="D1385" s="98" t="s">
        <v>276</v>
      </c>
      <c r="E1385" s="98" t="s">
        <v>105</v>
      </c>
      <c r="F1385" s="98" t="s">
        <v>131</v>
      </c>
      <c r="G1385" s="98">
        <v>0</v>
      </c>
      <c r="H1385" s="299" t="str">
        <f>VLOOKUP(LEFT('Rev Adequacy'!D1385,3),'Mapping B'!$D$2:$E$400,2,0)</f>
        <v>S</v>
      </c>
      <c r="BP1385" s="190"/>
    </row>
    <row r="1386" spans="2:68" x14ac:dyDescent="0.25">
      <c r="B1386" s="98" t="s">
        <v>552</v>
      </c>
      <c r="C1386" s="98">
        <v>2014</v>
      </c>
      <c r="D1386" s="98" t="s">
        <v>238</v>
      </c>
      <c r="E1386" s="98" t="s">
        <v>33</v>
      </c>
      <c r="F1386" s="98" t="s">
        <v>136</v>
      </c>
      <c r="G1386" s="248">
        <v>0</v>
      </c>
      <c r="H1386" s="299" t="str">
        <f>VLOOKUP(LEFT('Rev Adequacy'!D1386,3),'Mapping B'!$D$2:$E$400,2,0)</f>
        <v>N</v>
      </c>
      <c r="BP1386" s="190"/>
    </row>
    <row r="1387" spans="2:68" x14ac:dyDescent="0.25">
      <c r="B1387" s="98" t="s">
        <v>552</v>
      </c>
      <c r="C1387" s="98">
        <v>2014</v>
      </c>
      <c r="D1387" s="98" t="s">
        <v>250</v>
      </c>
      <c r="E1387" s="98" t="s">
        <v>33</v>
      </c>
      <c r="F1387" s="98" t="s">
        <v>136</v>
      </c>
      <c r="G1387" s="248">
        <v>983.66300000000103</v>
      </c>
      <c r="H1387" s="299" t="str">
        <f>VLOOKUP(LEFT('Rev Adequacy'!D1387,3),'Mapping B'!$D$2:$E$400,2,0)</f>
        <v>N</v>
      </c>
      <c r="BP1387" s="190"/>
    </row>
    <row r="1388" spans="2:68" x14ac:dyDescent="0.25">
      <c r="B1388" s="98" t="s">
        <v>552</v>
      </c>
      <c r="C1388" s="98">
        <v>2014</v>
      </c>
      <c r="D1388" s="98" t="s">
        <v>257</v>
      </c>
      <c r="E1388" s="98" t="s">
        <v>33</v>
      </c>
      <c r="F1388" s="98" t="s">
        <v>136</v>
      </c>
      <c r="G1388" s="248">
        <v>3041.4259999999999</v>
      </c>
      <c r="H1388" s="299" t="str">
        <f>VLOOKUP(LEFT('Rev Adequacy'!D1388,3),'Mapping B'!$D$2:$E$400,2,0)</f>
        <v>N</v>
      </c>
      <c r="BP1388" s="190"/>
    </row>
    <row r="1389" spans="2:68" x14ac:dyDescent="0.25">
      <c r="B1389" s="98" t="s">
        <v>552</v>
      </c>
      <c r="C1389" s="98">
        <v>2014</v>
      </c>
      <c r="D1389" s="98" t="s">
        <v>258</v>
      </c>
      <c r="E1389" s="98" t="s">
        <v>33</v>
      </c>
      <c r="F1389" s="98" t="s">
        <v>131</v>
      </c>
      <c r="G1389" s="248">
        <v>0</v>
      </c>
      <c r="H1389" s="299" t="str">
        <f>VLOOKUP(LEFT('Rev Adequacy'!D1389,3),'Mapping B'!$D$2:$E$400,2,0)</f>
        <v>N</v>
      </c>
      <c r="BP1389" s="190"/>
    </row>
    <row r="1390" spans="2:68" x14ac:dyDescent="0.25">
      <c r="B1390" s="98" t="s">
        <v>552</v>
      </c>
      <c r="C1390" s="98">
        <v>2014</v>
      </c>
      <c r="D1390" s="98" t="s">
        <v>259</v>
      </c>
      <c r="E1390" s="98" t="s">
        <v>33</v>
      </c>
      <c r="F1390" s="98" t="s">
        <v>136</v>
      </c>
      <c r="G1390" s="248">
        <v>0</v>
      </c>
      <c r="H1390" s="299" t="str">
        <f>VLOOKUP(LEFT('Rev Adequacy'!D1390,3),'Mapping B'!$D$2:$E$400,2,0)</f>
        <v>N</v>
      </c>
      <c r="BP1390" s="190"/>
    </row>
    <row r="1391" spans="2:68" x14ac:dyDescent="0.25">
      <c r="B1391" s="98" t="s">
        <v>553</v>
      </c>
      <c r="C1391" s="98">
        <v>2014</v>
      </c>
      <c r="D1391" s="98" t="s">
        <v>238</v>
      </c>
      <c r="E1391" s="98" t="s">
        <v>33</v>
      </c>
      <c r="F1391" s="98" t="s">
        <v>136</v>
      </c>
      <c r="G1391" s="248">
        <v>0</v>
      </c>
      <c r="H1391" s="299" t="str">
        <f>VLOOKUP(LEFT('Rev Adequacy'!D1391,3),'Mapping B'!$D$2:$E$400,2,0)</f>
        <v>N</v>
      </c>
      <c r="BP1391" s="190"/>
    </row>
    <row r="1392" spans="2:68" x14ac:dyDescent="0.25">
      <c r="B1392" s="98" t="s">
        <v>553</v>
      </c>
      <c r="C1392" s="98">
        <v>2014</v>
      </c>
      <c r="D1392" s="98" t="s">
        <v>250</v>
      </c>
      <c r="E1392" s="98" t="s">
        <v>33</v>
      </c>
      <c r="F1392" s="98" t="s">
        <v>136</v>
      </c>
      <c r="G1392" s="248">
        <v>0</v>
      </c>
      <c r="H1392" s="299" t="str">
        <f>VLOOKUP(LEFT('Rev Adequacy'!D1392,3),'Mapping B'!$D$2:$E$400,2,0)</f>
        <v>N</v>
      </c>
      <c r="BP1392" s="190"/>
    </row>
    <row r="1393" spans="2:68" x14ac:dyDescent="0.25">
      <c r="B1393" s="98" t="s">
        <v>553</v>
      </c>
      <c r="C1393" s="98">
        <v>2014</v>
      </c>
      <c r="D1393" s="98" t="s">
        <v>257</v>
      </c>
      <c r="E1393" s="98" t="s">
        <v>33</v>
      </c>
      <c r="F1393" s="98" t="s">
        <v>136</v>
      </c>
      <c r="G1393" s="248">
        <v>0</v>
      </c>
      <c r="H1393" s="299" t="str">
        <f>VLOOKUP(LEFT('Rev Adequacy'!D1393,3),'Mapping B'!$D$2:$E$400,2,0)</f>
        <v>N</v>
      </c>
      <c r="BP1393" s="190"/>
    </row>
    <row r="1394" spans="2:68" x14ac:dyDescent="0.25">
      <c r="B1394" s="98" t="s">
        <v>553</v>
      </c>
      <c r="C1394" s="98">
        <v>2014</v>
      </c>
      <c r="D1394" s="98" t="s">
        <v>258</v>
      </c>
      <c r="E1394" s="98" t="s">
        <v>33</v>
      </c>
      <c r="F1394" s="98" t="s">
        <v>131</v>
      </c>
      <c r="G1394" s="248">
        <v>206.601</v>
      </c>
      <c r="H1394" s="299" t="str">
        <f>VLOOKUP(LEFT('Rev Adequacy'!D1394,3),'Mapping B'!$D$2:$E$400,2,0)</f>
        <v>N</v>
      </c>
      <c r="BP1394" s="190"/>
    </row>
    <row r="1395" spans="2:68" x14ac:dyDescent="0.25">
      <c r="B1395" s="98" t="s">
        <v>553</v>
      </c>
      <c r="C1395" s="98">
        <v>2014</v>
      </c>
      <c r="D1395" s="98" t="s">
        <v>259</v>
      </c>
      <c r="E1395" s="98" t="s">
        <v>33</v>
      </c>
      <c r="F1395" s="98" t="s">
        <v>136</v>
      </c>
      <c r="G1395" s="248">
        <v>0</v>
      </c>
      <c r="H1395" s="299" t="str">
        <f>VLOOKUP(LEFT('Rev Adequacy'!D1395,3),'Mapping B'!$D$2:$E$400,2,0)</f>
        <v>N</v>
      </c>
      <c r="BP1395" s="190"/>
    </row>
    <row r="1396" spans="2:68" x14ac:dyDescent="0.25">
      <c r="B1396" s="98" t="s">
        <v>554</v>
      </c>
      <c r="C1396" s="98">
        <v>2014</v>
      </c>
      <c r="D1396" s="98" t="s">
        <v>238</v>
      </c>
      <c r="E1396" s="98" t="s">
        <v>33</v>
      </c>
      <c r="F1396" s="98" t="s">
        <v>136</v>
      </c>
      <c r="G1396" s="98">
        <v>0</v>
      </c>
      <c r="H1396" s="299" t="str">
        <f>VLOOKUP(LEFT('Rev Adequacy'!D1396,3),'Mapping B'!$D$2:$E$400,2,0)</f>
        <v>N</v>
      </c>
      <c r="BP1396" s="190"/>
    </row>
    <row r="1397" spans="2:68" x14ac:dyDescent="0.25">
      <c r="B1397" s="98" t="s">
        <v>554</v>
      </c>
      <c r="C1397" s="98">
        <v>2014</v>
      </c>
      <c r="D1397" s="98" t="s">
        <v>250</v>
      </c>
      <c r="E1397" s="98" t="s">
        <v>33</v>
      </c>
      <c r="F1397" s="98" t="s">
        <v>136</v>
      </c>
      <c r="G1397" s="98">
        <v>86381.671000000293</v>
      </c>
      <c r="H1397" s="299" t="str">
        <f>VLOOKUP(LEFT('Rev Adequacy'!D1397,3),'Mapping B'!$D$2:$E$400,2,0)</f>
        <v>N</v>
      </c>
      <c r="BP1397" s="190"/>
    </row>
    <row r="1398" spans="2:68" x14ac:dyDescent="0.25">
      <c r="B1398" s="98" t="s">
        <v>554</v>
      </c>
      <c r="C1398" s="98">
        <v>2014</v>
      </c>
      <c r="D1398" s="98" t="s">
        <v>257</v>
      </c>
      <c r="E1398" s="98" t="s">
        <v>33</v>
      </c>
      <c r="F1398" s="98" t="s">
        <v>136</v>
      </c>
      <c r="G1398" s="98">
        <v>10087.416999999699</v>
      </c>
      <c r="H1398" s="299" t="str">
        <f>VLOOKUP(LEFT('Rev Adequacy'!D1398,3),'Mapping B'!$D$2:$E$400,2,0)</f>
        <v>N</v>
      </c>
      <c r="BP1398" s="190"/>
    </row>
    <row r="1399" spans="2:68" x14ac:dyDescent="0.25">
      <c r="B1399" s="98" t="s">
        <v>554</v>
      </c>
      <c r="C1399" s="98">
        <v>2014</v>
      </c>
      <c r="D1399" s="98" t="s">
        <v>258</v>
      </c>
      <c r="E1399" s="98" t="s">
        <v>33</v>
      </c>
      <c r="F1399" s="98" t="s">
        <v>131</v>
      </c>
      <c r="G1399" s="98">
        <v>1313.7939999999901</v>
      </c>
      <c r="H1399" s="299" t="str">
        <f>VLOOKUP(LEFT('Rev Adequacy'!D1399,3),'Mapping B'!$D$2:$E$400,2,0)</f>
        <v>N</v>
      </c>
      <c r="BP1399" s="190"/>
    </row>
    <row r="1400" spans="2:68" x14ac:dyDescent="0.25">
      <c r="B1400" s="98" t="s">
        <v>554</v>
      </c>
      <c r="C1400" s="98">
        <v>2014</v>
      </c>
      <c r="D1400" s="98" t="s">
        <v>259</v>
      </c>
      <c r="E1400" s="98" t="s">
        <v>33</v>
      </c>
      <c r="F1400" s="98" t="s">
        <v>136</v>
      </c>
      <c r="G1400" s="98">
        <v>0</v>
      </c>
      <c r="H1400" s="299" t="str">
        <f>VLOOKUP(LEFT('Rev Adequacy'!D1400,3),'Mapping B'!$D$2:$E$400,2,0)</f>
        <v>N</v>
      </c>
      <c r="BP1400" s="190"/>
    </row>
    <row r="1401" spans="2:68" x14ac:dyDescent="0.25">
      <c r="B1401" s="98" t="s">
        <v>563</v>
      </c>
      <c r="C1401" s="98">
        <v>2014</v>
      </c>
      <c r="D1401" s="98" t="s">
        <v>238</v>
      </c>
      <c r="E1401" s="98" t="s">
        <v>33</v>
      </c>
      <c r="F1401" s="98" t="s">
        <v>136</v>
      </c>
      <c r="G1401" s="98">
        <v>0</v>
      </c>
      <c r="H1401" s="299" t="str">
        <f>VLOOKUP(LEFT('Rev Adequacy'!D1401,3),'Mapping B'!$D$2:$E$400,2,0)</f>
        <v>N</v>
      </c>
      <c r="BP1401" s="190"/>
    </row>
    <row r="1402" spans="2:68" x14ac:dyDescent="0.25">
      <c r="B1402" s="98" t="s">
        <v>563</v>
      </c>
      <c r="C1402" s="98">
        <v>2014</v>
      </c>
      <c r="D1402" s="98" t="s">
        <v>250</v>
      </c>
      <c r="E1402" s="98" t="s">
        <v>33</v>
      </c>
      <c r="F1402" s="98" t="s">
        <v>136</v>
      </c>
      <c r="G1402" s="98">
        <v>0</v>
      </c>
      <c r="H1402" s="299" t="str">
        <f>VLOOKUP(LEFT('Rev Adequacy'!D1402,3),'Mapping B'!$D$2:$E$400,2,0)</f>
        <v>N</v>
      </c>
      <c r="BP1402" s="190"/>
    </row>
    <row r="1403" spans="2:68" x14ac:dyDescent="0.25">
      <c r="B1403" s="98" t="s">
        <v>563</v>
      </c>
      <c r="C1403" s="98">
        <v>2014</v>
      </c>
      <c r="D1403" s="98" t="s">
        <v>257</v>
      </c>
      <c r="E1403" s="98" t="s">
        <v>33</v>
      </c>
      <c r="F1403" s="98" t="s">
        <v>136</v>
      </c>
      <c r="G1403" s="98">
        <v>0</v>
      </c>
      <c r="H1403" s="299" t="str">
        <f>VLOOKUP(LEFT('Rev Adequacy'!D1403,3),'Mapping B'!$D$2:$E$400,2,0)</f>
        <v>N</v>
      </c>
      <c r="BP1403" s="190"/>
    </row>
    <row r="1404" spans="2:68" x14ac:dyDescent="0.25">
      <c r="B1404" s="98" t="s">
        <v>563</v>
      </c>
      <c r="C1404" s="98">
        <v>2014</v>
      </c>
      <c r="D1404" s="98" t="s">
        <v>258</v>
      </c>
      <c r="E1404" s="98" t="s">
        <v>33</v>
      </c>
      <c r="F1404" s="98" t="s">
        <v>131</v>
      </c>
      <c r="G1404" s="98">
        <v>2010.94399999999</v>
      </c>
      <c r="H1404" s="299" t="str">
        <f>VLOOKUP(LEFT('Rev Adequacy'!D1404,3),'Mapping B'!$D$2:$E$400,2,0)</f>
        <v>N</v>
      </c>
      <c r="BP1404" s="190"/>
    </row>
    <row r="1405" spans="2:68" x14ac:dyDescent="0.25">
      <c r="B1405" s="98" t="s">
        <v>563</v>
      </c>
      <c r="C1405" s="98">
        <v>2014</v>
      </c>
      <c r="D1405" s="98" t="s">
        <v>259</v>
      </c>
      <c r="E1405" s="98" t="s">
        <v>33</v>
      </c>
      <c r="F1405" s="98" t="s">
        <v>136</v>
      </c>
      <c r="G1405" s="98">
        <v>0</v>
      </c>
      <c r="H1405" s="299" t="str">
        <f>VLOOKUP(LEFT('Rev Adequacy'!D1405,3),'Mapping B'!$D$2:$E$400,2,0)</f>
        <v>N</v>
      </c>
      <c r="BP1405" s="190"/>
    </row>
    <row r="1406" spans="2:68" x14ac:dyDescent="0.25">
      <c r="B1406" s="98" t="s">
        <v>555</v>
      </c>
      <c r="C1406" s="98">
        <v>2014</v>
      </c>
      <c r="D1406" s="98" t="s">
        <v>238</v>
      </c>
      <c r="E1406" s="98" t="s">
        <v>33</v>
      </c>
      <c r="F1406" s="98" t="s">
        <v>136</v>
      </c>
      <c r="G1406" s="98">
        <v>0</v>
      </c>
      <c r="H1406" s="299" t="str">
        <f>VLOOKUP(LEFT('Rev Adequacy'!D1406,3),'Mapping B'!$D$2:$E$400,2,0)</f>
        <v>N</v>
      </c>
      <c r="BP1406" s="190"/>
    </row>
    <row r="1407" spans="2:68" x14ac:dyDescent="0.25">
      <c r="B1407" s="98" t="s">
        <v>555</v>
      </c>
      <c r="C1407" s="98">
        <v>2014</v>
      </c>
      <c r="D1407" s="98" t="s">
        <v>250</v>
      </c>
      <c r="E1407" s="98" t="s">
        <v>33</v>
      </c>
      <c r="F1407" s="98" t="s">
        <v>136</v>
      </c>
      <c r="G1407" s="98">
        <v>0</v>
      </c>
      <c r="H1407" s="299" t="str">
        <f>VLOOKUP(LEFT('Rev Adequacy'!D1407,3),'Mapping B'!$D$2:$E$400,2,0)</f>
        <v>N</v>
      </c>
      <c r="BP1407" s="190"/>
    </row>
    <row r="1408" spans="2:68" x14ac:dyDescent="0.25">
      <c r="B1408" s="98" t="s">
        <v>555</v>
      </c>
      <c r="C1408" s="98">
        <v>2014</v>
      </c>
      <c r="D1408" s="98" t="s">
        <v>257</v>
      </c>
      <c r="E1408" s="98" t="s">
        <v>33</v>
      </c>
      <c r="F1408" s="98" t="s">
        <v>136</v>
      </c>
      <c r="G1408" s="98">
        <v>0</v>
      </c>
      <c r="H1408" s="299" t="str">
        <f>VLOOKUP(LEFT('Rev Adequacy'!D1408,3),'Mapping B'!$D$2:$E$400,2,0)</f>
        <v>N</v>
      </c>
      <c r="BP1408" s="190"/>
    </row>
    <row r="1409" spans="2:68" x14ac:dyDescent="0.25">
      <c r="B1409" s="98" t="s">
        <v>555</v>
      </c>
      <c r="C1409" s="98">
        <v>2014</v>
      </c>
      <c r="D1409" s="98" t="s">
        <v>258</v>
      </c>
      <c r="E1409" s="98" t="s">
        <v>33</v>
      </c>
      <c r="F1409" s="98" t="s">
        <v>131</v>
      </c>
      <c r="G1409" s="98">
        <v>396.02599999999899</v>
      </c>
      <c r="H1409" s="299" t="str">
        <f>VLOOKUP(LEFT('Rev Adequacy'!D1409,3),'Mapping B'!$D$2:$E$400,2,0)</f>
        <v>N</v>
      </c>
      <c r="BP1409" s="190"/>
    </row>
    <row r="1410" spans="2:68" x14ac:dyDescent="0.25">
      <c r="B1410" s="98" t="s">
        <v>555</v>
      </c>
      <c r="C1410" s="98">
        <v>2014</v>
      </c>
      <c r="D1410" s="98" t="s">
        <v>259</v>
      </c>
      <c r="E1410" s="98" t="s">
        <v>33</v>
      </c>
      <c r="F1410" s="98" t="s">
        <v>136</v>
      </c>
      <c r="G1410" s="98">
        <v>0</v>
      </c>
      <c r="H1410" s="299" t="str">
        <f>VLOOKUP(LEFT('Rev Adequacy'!D1410,3),'Mapping B'!$D$2:$E$400,2,0)</f>
        <v>N</v>
      </c>
      <c r="BP1410" s="190"/>
    </row>
    <row r="1411" spans="2:68" x14ac:dyDescent="0.25">
      <c r="B1411" s="98" t="s">
        <v>112</v>
      </c>
      <c r="C1411" s="98">
        <v>2014</v>
      </c>
      <c r="D1411" s="98" t="s">
        <v>238</v>
      </c>
      <c r="E1411" s="98" t="s">
        <v>33</v>
      </c>
      <c r="F1411" s="98" t="s">
        <v>136</v>
      </c>
      <c r="G1411" s="98">
        <v>0</v>
      </c>
      <c r="H1411" s="299" t="str">
        <f>VLOOKUP(LEFT('Rev Adequacy'!D1411,3),'Mapping B'!$D$2:$E$400,2,0)</f>
        <v>N</v>
      </c>
      <c r="BP1411" s="190"/>
    </row>
    <row r="1412" spans="2:68" x14ac:dyDescent="0.25">
      <c r="B1412" s="98" t="s">
        <v>112</v>
      </c>
      <c r="C1412" s="98">
        <v>2014</v>
      </c>
      <c r="D1412" s="98" t="s">
        <v>250</v>
      </c>
      <c r="E1412" s="98" t="s">
        <v>33</v>
      </c>
      <c r="F1412" s="98" t="s">
        <v>136</v>
      </c>
      <c r="G1412" s="98">
        <v>0</v>
      </c>
      <c r="H1412" s="299" t="str">
        <f>VLOOKUP(LEFT('Rev Adequacy'!D1412,3),'Mapping B'!$D$2:$E$400,2,0)</f>
        <v>N</v>
      </c>
      <c r="BP1412" s="190"/>
    </row>
    <row r="1413" spans="2:68" x14ac:dyDescent="0.25">
      <c r="B1413" s="98" t="s">
        <v>112</v>
      </c>
      <c r="C1413" s="98">
        <v>2014</v>
      </c>
      <c r="D1413" s="98" t="s">
        <v>257</v>
      </c>
      <c r="E1413" s="98" t="s">
        <v>33</v>
      </c>
      <c r="F1413" s="98" t="s">
        <v>136</v>
      </c>
      <c r="G1413" s="98">
        <v>0</v>
      </c>
      <c r="H1413" s="299" t="str">
        <f>VLOOKUP(LEFT('Rev Adequacy'!D1413,3),'Mapping B'!$D$2:$E$400,2,0)</f>
        <v>N</v>
      </c>
      <c r="BP1413" s="190"/>
    </row>
    <row r="1414" spans="2:68" x14ac:dyDescent="0.25">
      <c r="B1414" s="98" t="s">
        <v>112</v>
      </c>
      <c r="C1414" s="98">
        <v>2014</v>
      </c>
      <c r="D1414" s="98" t="s">
        <v>258</v>
      </c>
      <c r="E1414" s="98" t="s">
        <v>33</v>
      </c>
      <c r="F1414" s="98" t="s">
        <v>131</v>
      </c>
      <c r="G1414" s="98">
        <v>37768.659999999698</v>
      </c>
      <c r="H1414" s="299" t="str">
        <f>VLOOKUP(LEFT('Rev Adequacy'!D1414,3),'Mapping B'!$D$2:$E$400,2,0)</f>
        <v>N</v>
      </c>
      <c r="BP1414" s="190"/>
    </row>
    <row r="1415" spans="2:68" x14ac:dyDescent="0.25">
      <c r="B1415" s="98" t="s">
        <v>112</v>
      </c>
      <c r="C1415" s="98">
        <v>2014</v>
      </c>
      <c r="D1415" s="98" t="s">
        <v>259</v>
      </c>
      <c r="E1415" s="98" t="s">
        <v>33</v>
      </c>
      <c r="F1415" s="98" t="s">
        <v>136</v>
      </c>
      <c r="G1415" s="98">
        <v>0</v>
      </c>
      <c r="H1415" s="299" t="str">
        <f>VLOOKUP(LEFT('Rev Adequacy'!D1415,3),'Mapping B'!$D$2:$E$400,2,0)</f>
        <v>N</v>
      </c>
      <c r="BP1415" s="190"/>
    </row>
    <row r="1416" spans="2:68" x14ac:dyDescent="0.25">
      <c r="B1416" s="98" t="s">
        <v>111</v>
      </c>
      <c r="C1416" s="98">
        <v>2014</v>
      </c>
      <c r="D1416" s="98" t="s">
        <v>238</v>
      </c>
      <c r="E1416" s="98" t="s">
        <v>33</v>
      </c>
      <c r="F1416" s="98" t="s">
        <v>136</v>
      </c>
      <c r="G1416" s="98">
        <v>0</v>
      </c>
      <c r="H1416" s="299" t="str">
        <f>VLOOKUP(LEFT('Rev Adequacy'!D1416,3),'Mapping B'!$D$2:$E$400,2,0)</f>
        <v>N</v>
      </c>
      <c r="BP1416" s="190"/>
    </row>
    <row r="1417" spans="2:68" x14ac:dyDescent="0.25">
      <c r="B1417" s="98" t="s">
        <v>111</v>
      </c>
      <c r="C1417" s="98">
        <v>2014</v>
      </c>
      <c r="D1417" s="98" t="s">
        <v>250</v>
      </c>
      <c r="E1417" s="98" t="s">
        <v>33</v>
      </c>
      <c r="F1417" s="98" t="s">
        <v>136</v>
      </c>
      <c r="G1417" s="98">
        <v>0</v>
      </c>
      <c r="H1417" s="299" t="str">
        <f>VLOOKUP(LEFT('Rev Adequacy'!D1417,3),'Mapping B'!$D$2:$E$400,2,0)</f>
        <v>N</v>
      </c>
      <c r="BP1417" s="190"/>
    </row>
    <row r="1418" spans="2:68" x14ac:dyDescent="0.25">
      <c r="B1418" s="98" t="s">
        <v>111</v>
      </c>
      <c r="C1418" s="98">
        <v>2014</v>
      </c>
      <c r="D1418" s="98" t="s">
        <v>257</v>
      </c>
      <c r="E1418" s="98" t="s">
        <v>33</v>
      </c>
      <c r="F1418" s="98" t="s">
        <v>136</v>
      </c>
      <c r="G1418" s="98">
        <v>0</v>
      </c>
      <c r="H1418" s="299" t="str">
        <f>VLOOKUP(LEFT('Rev Adequacy'!D1418,3),'Mapping B'!$D$2:$E$400,2,0)</f>
        <v>N</v>
      </c>
      <c r="BP1418" s="190"/>
    </row>
    <row r="1419" spans="2:68" x14ac:dyDescent="0.25">
      <c r="B1419" s="98" t="s">
        <v>111</v>
      </c>
      <c r="C1419" s="98">
        <v>2014</v>
      </c>
      <c r="D1419" s="98" t="s">
        <v>258</v>
      </c>
      <c r="E1419" s="98" t="s">
        <v>33</v>
      </c>
      <c r="F1419" s="98" t="s">
        <v>131</v>
      </c>
      <c r="G1419" s="98">
        <v>10818.189</v>
      </c>
      <c r="H1419" s="299" t="str">
        <f>VLOOKUP(LEFT('Rev Adequacy'!D1419,3),'Mapping B'!$D$2:$E$400,2,0)</f>
        <v>N</v>
      </c>
      <c r="BP1419" s="190"/>
    </row>
    <row r="1420" spans="2:68" x14ac:dyDescent="0.25">
      <c r="B1420" s="98" t="s">
        <v>111</v>
      </c>
      <c r="C1420" s="98">
        <v>2014</v>
      </c>
      <c r="D1420" s="98" t="s">
        <v>259</v>
      </c>
      <c r="E1420" s="98" t="s">
        <v>33</v>
      </c>
      <c r="F1420" s="98" t="s">
        <v>136</v>
      </c>
      <c r="G1420" s="98">
        <v>0</v>
      </c>
      <c r="H1420" s="299" t="str">
        <f>VLOOKUP(LEFT('Rev Adequacy'!D1420,3),'Mapping B'!$D$2:$E$400,2,0)</f>
        <v>N</v>
      </c>
      <c r="BP1420" s="190"/>
    </row>
    <row r="1421" spans="2:68" x14ac:dyDescent="0.25">
      <c r="B1421" s="98" t="s">
        <v>552</v>
      </c>
      <c r="C1421" s="98">
        <v>2014</v>
      </c>
      <c r="D1421" s="98" t="s">
        <v>236</v>
      </c>
      <c r="E1421" s="98" t="s">
        <v>34</v>
      </c>
      <c r="F1421" s="98" t="s">
        <v>131</v>
      </c>
      <c r="G1421" s="248">
        <v>5458.4130000000496</v>
      </c>
      <c r="H1421" s="299" t="str">
        <f>VLOOKUP(LEFT('Rev Adequacy'!D1421,3),'Mapping B'!$D$2:$E$400,2,0)</f>
        <v>N</v>
      </c>
      <c r="BP1421" s="190"/>
    </row>
    <row r="1422" spans="2:68" x14ac:dyDescent="0.25">
      <c r="B1422" s="98" t="s">
        <v>552</v>
      </c>
      <c r="C1422" s="98">
        <v>2014</v>
      </c>
      <c r="D1422" s="98" t="s">
        <v>237</v>
      </c>
      <c r="E1422" s="98" t="s">
        <v>34</v>
      </c>
      <c r="F1422" s="98" t="s">
        <v>145</v>
      </c>
      <c r="G1422" s="248">
        <v>0</v>
      </c>
      <c r="H1422" s="299" t="str">
        <f>VLOOKUP(LEFT('Rev Adequacy'!D1422,3),'Mapping B'!$D$2:$E$400,2,0)</f>
        <v>N</v>
      </c>
      <c r="BP1422" s="190"/>
    </row>
    <row r="1423" spans="2:68" x14ac:dyDescent="0.25">
      <c r="B1423" s="98" t="s">
        <v>553</v>
      </c>
      <c r="C1423" s="98">
        <v>2014</v>
      </c>
      <c r="D1423" s="98" t="s">
        <v>236</v>
      </c>
      <c r="E1423" s="98" t="s">
        <v>34</v>
      </c>
      <c r="F1423" s="98" t="s">
        <v>131</v>
      </c>
      <c r="G1423" s="248">
        <v>314386.59999999998</v>
      </c>
      <c r="H1423" s="299" t="str">
        <f>VLOOKUP(LEFT('Rev Adequacy'!D1423,3),'Mapping B'!$D$2:$E$400,2,0)</f>
        <v>N</v>
      </c>
      <c r="BP1423" s="190"/>
    </row>
    <row r="1424" spans="2:68" x14ac:dyDescent="0.25">
      <c r="B1424" s="98" t="s">
        <v>553</v>
      </c>
      <c r="C1424" s="98">
        <v>2014</v>
      </c>
      <c r="D1424" s="98" t="s">
        <v>237</v>
      </c>
      <c r="E1424" s="98" t="s">
        <v>34</v>
      </c>
      <c r="F1424" s="98" t="s">
        <v>145</v>
      </c>
      <c r="G1424" s="248">
        <v>0</v>
      </c>
      <c r="H1424" s="299" t="str">
        <f>VLOOKUP(LEFT('Rev Adequacy'!D1424,3),'Mapping B'!$D$2:$E$400,2,0)</f>
        <v>N</v>
      </c>
      <c r="BP1424" s="190"/>
    </row>
    <row r="1425" spans="2:68" x14ac:dyDescent="0.25">
      <c r="B1425" s="98" t="s">
        <v>554</v>
      </c>
      <c r="C1425" s="98">
        <v>2014</v>
      </c>
      <c r="D1425" s="98" t="s">
        <v>236</v>
      </c>
      <c r="E1425" s="98" t="s">
        <v>34</v>
      </c>
      <c r="F1425" s="98" t="s">
        <v>131</v>
      </c>
      <c r="G1425" s="98">
        <v>7873670.9520000303</v>
      </c>
      <c r="H1425" s="299" t="str">
        <f>VLOOKUP(LEFT('Rev Adequacy'!D1425,3),'Mapping B'!$D$2:$E$400,2,0)</f>
        <v>N</v>
      </c>
      <c r="BP1425" s="190"/>
    </row>
    <row r="1426" spans="2:68" x14ac:dyDescent="0.25">
      <c r="B1426" s="98" t="s">
        <v>554</v>
      </c>
      <c r="C1426" s="98">
        <v>2014</v>
      </c>
      <c r="D1426" s="98" t="s">
        <v>237</v>
      </c>
      <c r="E1426" s="98" t="s">
        <v>34</v>
      </c>
      <c r="F1426" s="98" t="s">
        <v>145</v>
      </c>
      <c r="G1426" s="98">
        <v>0</v>
      </c>
      <c r="H1426" s="299" t="str">
        <f>VLOOKUP(LEFT('Rev Adequacy'!D1426,3),'Mapping B'!$D$2:$E$400,2,0)</f>
        <v>N</v>
      </c>
      <c r="BP1426" s="190"/>
    </row>
    <row r="1427" spans="2:68" x14ac:dyDescent="0.25">
      <c r="B1427" s="98" t="s">
        <v>563</v>
      </c>
      <c r="C1427" s="98">
        <v>2014</v>
      </c>
      <c r="D1427" s="98" t="s">
        <v>236</v>
      </c>
      <c r="E1427" s="98" t="s">
        <v>34</v>
      </c>
      <c r="F1427" s="98" t="s">
        <v>131</v>
      </c>
      <c r="G1427" s="98">
        <v>2447109.2099999702</v>
      </c>
      <c r="H1427" s="299" t="str">
        <f>VLOOKUP(LEFT('Rev Adequacy'!D1427,3),'Mapping B'!$D$2:$E$400,2,0)</f>
        <v>N</v>
      </c>
      <c r="BP1427" s="190"/>
    </row>
    <row r="1428" spans="2:68" x14ac:dyDescent="0.25">
      <c r="B1428" s="98" t="s">
        <v>563</v>
      </c>
      <c r="C1428" s="98">
        <v>2014</v>
      </c>
      <c r="D1428" s="98" t="s">
        <v>237</v>
      </c>
      <c r="E1428" s="98" t="s">
        <v>34</v>
      </c>
      <c r="F1428" s="98" t="s">
        <v>145</v>
      </c>
      <c r="G1428" s="98">
        <v>0</v>
      </c>
      <c r="H1428" s="299" t="str">
        <f>VLOOKUP(LEFT('Rev Adequacy'!D1428,3),'Mapping B'!$D$2:$E$400,2,0)</f>
        <v>N</v>
      </c>
      <c r="BP1428" s="190"/>
    </row>
    <row r="1429" spans="2:68" x14ac:dyDescent="0.25">
      <c r="B1429" s="98" t="s">
        <v>555</v>
      </c>
      <c r="C1429" s="98">
        <v>2014</v>
      </c>
      <c r="D1429" s="98" t="s">
        <v>236</v>
      </c>
      <c r="E1429" s="98" t="s">
        <v>34</v>
      </c>
      <c r="F1429" s="98" t="s">
        <v>131</v>
      </c>
      <c r="G1429" s="98">
        <v>463417.88399999798</v>
      </c>
      <c r="H1429" s="299" t="str">
        <f>VLOOKUP(LEFT('Rev Adequacy'!D1429,3),'Mapping B'!$D$2:$E$400,2,0)</f>
        <v>N</v>
      </c>
      <c r="BP1429" s="190"/>
    </row>
    <row r="1430" spans="2:68" x14ac:dyDescent="0.25">
      <c r="B1430" s="98" t="s">
        <v>555</v>
      </c>
      <c r="C1430" s="98">
        <v>2014</v>
      </c>
      <c r="D1430" s="98" t="s">
        <v>237</v>
      </c>
      <c r="E1430" s="98" t="s">
        <v>34</v>
      </c>
      <c r="F1430" s="98" t="s">
        <v>145</v>
      </c>
      <c r="G1430" s="98">
        <v>0</v>
      </c>
      <c r="H1430" s="299" t="str">
        <f>VLOOKUP(LEFT('Rev Adequacy'!D1430,3),'Mapping B'!$D$2:$E$400,2,0)</f>
        <v>N</v>
      </c>
      <c r="BP1430" s="190"/>
    </row>
    <row r="1431" spans="2:68" x14ac:dyDescent="0.25">
      <c r="B1431" s="98" t="s">
        <v>112</v>
      </c>
      <c r="C1431" s="98">
        <v>2014</v>
      </c>
      <c r="D1431" s="98" t="s">
        <v>236</v>
      </c>
      <c r="E1431" s="98" t="s">
        <v>34</v>
      </c>
      <c r="F1431" s="98" t="s">
        <v>131</v>
      </c>
      <c r="G1431" s="98">
        <v>11310997.6259999</v>
      </c>
      <c r="H1431" s="299" t="str">
        <f>VLOOKUP(LEFT('Rev Adequacy'!D1431,3),'Mapping B'!$D$2:$E$400,2,0)</f>
        <v>N</v>
      </c>
      <c r="BP1431" s="190"/>
    </row>
    <row r="1432" spans="2:68" x14ac:dyDescent="0.25">
      <c r="B1432" s="98" t="s">
        <v>112</v>
      </c>
      <c r="C1432" s="98">
        <v>2014</v>
      </c>
      <c r="D1432" s="98" t="s">
        <v>237</v>
      </c>
      <c r="E1432" s="98" t="s">
        <v>34</v>
      </c>
      <c r="F1432" s="98" t="s">
        <v>145</v>
      </c>
      <c r="G1432" s="98">
        <v>0</v>
      </c>
      <c r="H1432" s="299" t="str">
        <f>VLOOKUP(LEFT('Rev Adequacy'!D1432,3),'Mapping B'!$D$2:$E$400,2,0)</f>
        <v>N</v>
      </c>
      <c r="BP1432" s="190"/>
    </row>
    <row r="1433" spans="2:68" x14ac:dyDescent="0.25">
      <c r="B1433" s="98" t="s">
        <v>111</v>
      </c>
      <c r="C1433" s="98">
        <v>2014</v>
      </c>
      <c r="D1433" s="98" t="s">
        <v>236</v>
      </c>
      <c r="E1433" s="98" t="s">
        <v>34</v>
      </c>
      <c r="F1433" s="98" t="s">
        <v>131</v>
      </c>
      <c r="G1433" s="98">
        <v>2779257.8470000098</v>
      </c>
      <c r="H1433" s="299" t="str">
        <f>VLOOKUP(LEFT('Rev Adequacy'!D1433,3),'Mapping B'!$D$2:$E$400,2,0)</f>
        <v>N</v>
      </c>
      <c r="BP1433" s="190"/>
    </row>
    <row r="1434" spans="2:68" x14ac:dyDescent="0.25">
      <c r="B1434" s="98" t="s">
        <v>111</v>
      </c>
      <c r="C1434" s="98">
        <v>2014</v>
      </c>
      <c r="D1434" s="98" t="s">
        <v>237</v>
      </c>
      <c r="E1434" s="98" t="s">
        <v>34</v>
      </c>
      <c r="F1434" s="98" t="s">
        <v>145</v>
      </c>
      <c r="G1434" s="98">
        <v>0</v>
      </c>
      <c r="H1434" s="299" t="str">
        <f>VLOOKUP(LEFT('Rev Adequacy'!D1434,3),'Mapping B'!$D$2:$E$400,2,0)</f>
        <v>N</v>
      </c>
      <c r="BP1434" s="190"/>
    </row>
    <row r="1435" spans="2:68" x14ac:dyDescent="0.25">
      <c r="B1435" s="98" t="s">
        <v>552</v>
      </c>
      <c r="C1435" s="98">
        <v>2014</v>
      </c>
      <c r="D1435" s="98" t="s">
        <v>137</v>
      </c>
      <c r="E1435" s="98" t="s">
        <v>138</v>
      </c>
      <c r="F1435" s="98" t="s">
        <v>131</v>
      </c>
      <c r="G1435" s="248">
        <v>6.7939999999999596</v>
      </c>
      <c r="H1435" s="299" t="str">
        <f>VLOOKUP(LEFT('Rev Adequacy'!D1435,3),'Mapping B'!$D$2:$E$400,2,0)</f>
        <v>S</v>
      </c>
      <c r="BP1435" s="190"/>
    </row>
    <row r="1436" spans="2:68" x14ac:dyDescent="0.25">
      <c r="B1436" s="98" t="s">
        <v>552</v>
      </c>
      <c r="C1436" s="98">
        <v>2014</v>
      </c>
      <c r="D1436" s="98" t="s">
        <v>139</v>
      </c>
      <c r="E1436" s="98" t="s">
        <v>35</v>
      </c>
      <c r="F1436" s="98" t="s">
        <v>136</v>
      </c>
      <c r="G1436" s="248">
        <v>0</v>
      </c>
      <c r="H1436" s="299" t="str">
        <f>VLOOKUP(LEFT('Rev Adequacy'!D1436,3),'Mapping B'!$D$2:$E$400,2,0)</f>
        <v>S</v>
      </c>
      <c r="BP1436" s="190"/>
    </row>
    <row r="1437" spans="2:68" x14ac:dyDescent="0.25">
      <c r="B1437" s="98" t="s">
        <v>552</v>
      </c>
      <c r="C1437" s="98">
        <v>2014</v>
      </c>
      <c r="D1437" s="98" t="s">
        <v>144</v>
      </c>
      <c r="E1437" s="98" t="s">
        <v>35</v>
      </c>
      <c r="F1437" s="98" t="s">
        <v>136</v>
      </c>
      <c r="G1437" s="248">
        <v>0</v>
      </c>
      <c r="H1437" s="299" t="str">
        <f>VLOOKUP(LEFT('Rev Adequacy'!D1437,3),'Mapping B'!$D$2:$E$400,2,0)</f>
        <v>S</v>
      </c>
      <c r="BP1437" s="190"/>
    </row>
    <row r="1438" spans="2:68" x14ac:dyDescent="0.25">
      <c r="B1438" s="98" t="s">
        <v>552</v>
      </c>
      <c r="C1438" s="98">
        <v>2014</v>
      </c>
      <c r="D1438" s="98" t="s">
        <v>158</v>
      </c>
      <c r="E1438" s="98" t="s">
        <v>35</v>
      </c>
      <c r="F1438" s="98" t="s">
        <v>145</v>
      </c>
      <c r="G1438" s="248">
        <v>0</v>
      </c>
      <c r="H1438" s="299" t="str">
        <f>VLOOKUP(LEFT('Rev Adequacy'!D1438,3),'Mapping B'!$D$2:$E$400,2,0)</f>
        <v>N</v>
      </c>
      <c r="BP1438" s="190"/>
    </row>
    <row r="1439" spans="2:68" x14ac:dyDescent="0.25">
      <c r="B1439" s="98" t="s">
        <v>552</v>
      </c>
      <c r="C1439" s="98">
        <v>2014</v>
      </c>
      <c r="D1439" s="98" t="s">
        <v>164</v>
      </c>
      <c r="E1439" s="98" t="s">
        <v>138</v>
      </c>
      <c r="F1439" s="98" t="s">
        <v>131</v>
      </c>
      <c r="G1439" s="248">
        <v>8.8069999999998103</v>
      </c>
      <c r="H1439" s="299" t="str">
        <f>VLOOKUP(LEFT('Rev Adequacy'!D1439,3),'Mapping B'!$D$2:$E$400,2,0)</f>
        <v>S</v>
      </c>
      <c r="BP1439" s="190"/>
    </row>
    <row r="1440" spans="2:68" x14ac:dyDescent="0.25">
      <c r="B1440" s="98" t="s">
        <v>552</v>
      </c>
      <c r="C1440" s="98">
        <v>2014</v>
      </c>
      <c r="D1440" s="98" t="s">
        <v>165</v>
      </c>
      <c r="E1440" s="98" t="s">
        <v>35</v>
      </c>
      <c r="F1440" s="98" t="s">
        <v>136</v>
      </c>
      <c r="G1440" s="248">
        <v>0</v>
      </c>
      <c r="H1440" s="299" t="str">
        <f>VLOOKUP(LEFT('Rev Adequacy'!D1440,3),'Mapping B'!$D$2:$E$400,2,0)</f>
        <v>S</v>
      </c>
      <c r="BP1440" s="190"/>
    </row>
    <row r="1441" spans="2:68" x14ac:dyDescent="0.25">
      <c r="B1441" s="98" t="s">
        <v>552</v>
      </c>
      <c r="C1441" s="98">
        <v>2014</v>
      </c>
      <c r="D1441" s="98" t="s">
        <v>170</v>
      </c>
      <c r="E1441" s="98" t="s">
        <v>138</v>
      </c>
      <c r="F1441" s="98" t="s">
        <v>131</v>
      </c>
      <c r="G1441" s="248">
        <v>7.2709999999999999</v>
      </c>
      <c r="H1441" s="299" t="str">
        <f>VLOOKUP(LEFT('Rev Adequacy'!D1441,3),'Mapping B'!$D$2:$E$400,2,0)</f>
        <v>S</v>
      </c>
      <c r="BP1441" s="190"/>
    </row>
    <row r="1442" spans="2:68" x14ac:dyDescent="0.25">
      <c r="B1442" s="98" t="s">
        <v>552</v>
      </c>
      <c r="C1442" s="98">
        <v>2014</v>
      </c>
      <c r="D1442" s="98" t="s">
        <v>171</v>
      </c>
      <c r="E1442" s="98" t="s">
        <v>35</v>
      </c>
      <c r="F1442" s="98" t="s">
        <v>136</v>
      </c>
      <c r="G1442" s="248">
        <v>0</v>
      </c>
      <c r="H1442" s="299" t="str">
        <f>VLOOKUP(LEFT('Rev Adequacy'!D1442,3),'Mapping B'!$D$2:$E$400,2,0)</f>
        <v>S</v>
      </c>
      <c r="BP1442" s="190"/>
    </row>
    <row r="1443" spans="2:68" x14ac:dyDescent="0.25">
      <c r="B1443" s="98" t="s">
        <v>552</v>
      </c>
      <c r="C1443" s="98">
        <v>2014</v>
      </c>
      <c r="D1443" s="98" t="s">
        <v>213</v>
      </c>
      <c r="E1443" s="98" t="s">
        <v>138</v>
      </c>
      <c r="F1443" s="98" t="s">
        <v>131</v>
      </c>
      <c r="G1443" s="248">
        <v>5.91699999999999</v>
      </c>
      <c r="H1443" s="299" t="str">
        <f>VLOOKUP(LEFT('Rev Adequacy'!D1443,3),'Mapping B'!$D$2:$E$400,2,0)</f>
        <v>N</v>
      </c>
      <c r="BP1443" s="190"/>
    </row>
    <row r="1444" spans="2:68" x14ac:dyDescent="0.25">
      <c r="B1444" s="98" t="s">
        <v>552</v>
      </c>
      <c r="C1444" s="98">
        <v>2014</v>
      </c>
      <c r="D1444" s="98" t="s">
        <v>214</v>
      </c>
      <c r="E1444" s="98" t="s">
        <v>35</v>
      </c>
      <c r="F1444" s="98" t="s">
        <v>136</v>
      </c>
      <c r="G1444" s="248">
        <v>605.97799999999995</v>
      </c>
      <c r="H1444" s="299" t="str">
        <f>VLOOKUP(LEFT('Rev Adequacy'!D1444,3),'Mapping B'!$D$2:$E$400,2,0)</f>
        <v>N</v>
      </c>
      <c r="BP1444" s="190"/>
    </row>
    <row r="1445" spans="2:68" x14ac:dyDescent="0.25">
      <c r="B1445" s="98" t="s">
        <v>552</v>
      </c>
      <c r="C1445" s="98">
        <v>2014</v>
      </c>
      <c r="D1445" s="98" t="s">
        <v>215</v>
      </c>
      <c r="E1445" s="98" t="s">
        <v>35</v>
      </c>
      <c r="F1445" s="98" t="s">
        <v>136</v>
      </c>
      <c r="G1445" s="248">
        <v>828.91699999999901</v>
      </c>
      <c r="H1445" s="299" t="str">
        <f>VLOOKUP(LEFT('Rev Adequacy'!D1445,3),'Mapping B'!$D$2:$E$400,2,0)</f>
        <v>N</v>
      </c>
      <c r="BP1445" s="190"/>
    </row>
    <row r="1446" spans="2:68" x14ac:dyDescent="0.25">
      <c r="B1446" s="98" t="s">
        <v>552</v>
      </c>
      <c r="C1446" s="98">
        <v>2014</v>
      </c>
      <c r="D1446" s="98" t="s">
        <v>216</v>
      </c>
      <c r="E1446" s="98" t="s">
        <v>35</v>
      </c>
      <c r="F1446" s="98" t="s">
        <v>136</v>
      </c>
      <c r="G1446" s="248">
        <v>735.64199999999801</v>
      </c>
      <c r="H1446" s="299" t="str">
        <f>VLOOKUP(LEFT('Rev Adequacy'!D1446,3),'Mapping B'!$D$2:$E$400,2,0)</f>
        <v>N</v>
      </c>
      <c r="BP1446" s="190"/>
    </row>
    <row r="1447" spans="2:68" x14ac:dyDescent="0.25">
      <c r="B1447" s="98" t="s">
        <v>552</v>
      </c>
      <c r="C1447" s="98">
        <v>2014</v>
      </c>
      <c r="D1447" s="98" t="s">
        <v>221</v>
      </c>
      <c r="E1447" s="98" t="s">
        <v>35</v>
      </c>
      <c r="F1447" s="98" t="s">
        <v>136</v>
      </c>
      <c r="G1447" s="248">
        <v>0</v>
      </c>
      <c r="H1447" s="299" t="str">
        <f>VLOOKUP(LEFT('Rev Adequacy'!D1447,3),'Mapping B'!$D$2:$E$400,2,0)</f>
        <v>S</v>
      </c>
      <c r="BP1447" s="190"/>
    </row>
    <row r="1448" spans="2:68" x14ac:dyDescent="0.25">
      <c r="B1448" s="98" t="s">
        <v>552</v>
      </c>
      <c r="C1448" s="98">
        <v>2014</v>
      </c>
      <c r="D1448" s="98" t="s">
        <v>241</v>
      </c>
      <c r="E1448" s="98" t="s">
        <v>35</v>
      </c>
      <c r="F1448" s="98" t="s">
        <v>145</v>
      </c>
      <c r="G1448" s="248">
        <v>497.06300000000499</v>
      </c>
      <c r="H1448" s="299" t="str">
        <f>VLOOKUP(LEFT('Rev Adequacy'!D1448,3),'Mapping B'!$D$2:$E$400,2,0)</f>
        <v>S</v>
      </c>
      <c r="BP1448" s="190"/>
    </row>
    <row r="1449" spans="2:68" x14ac:dyDescent="0.25">
      <c r="B1449" s="98" t="s">
        <v>552</v>
      </c>
      <c r="C1449" s="98">
        <v>2014</v>
      </c>
      <c r="D1449" s="98" t="s">
        <v>242</v>
      </c>
      <c r="E1449" s="98" t="s">
        <v>35</v>
      </c>
      <c r="F1449" s="98" t="s">
        <v>136</v>
      </c>
      <c r="G1449" s="248">
        <v>0</v>
      </c>
      <c r="H1449" s="299" t="str">
        <f>VLOOKUP(LEFT('Rev Adequacy'!D1449,3),'Mapping B'!$D$2:$E$400,2,0)</f>
        <v>S</v>
      </c>
      <c r="BP1449" s="190"/>
    </row>
    <row r="1450" spans="2:68" x14ac:dyDescent="0.25">
      <c r="B1450" s="98" t="s">
        <v>552</v>
      </c>
      <c r="C1450" s="98">
        <v>2014</v>
      </c>
      <c r="D1450" s="98" t="s">
        <v>247</v>
      </c>
      <c r="E1450" s="98" t="s">
        <v>35</v>
      </c>
      <c r="F1450" s="98" t="s">
        <v>145</v>
      </c>
      <c r="G1450" s="248">
        <v>0</v>
      </c>
      <c r="H1450" s="299" t="str">
        <f>VLOOKUP(LEFT('Rev Adequacy'!D1450,3),'Mapping B'!$D$2:$E$400,2,0)</f>
        <v>N</v>
      </c>
      <c r="BP1450" s="190"/>
    </row>
    <row r="1451" spans="2:68" x14ac:dyDescent="0.25">
      <c r="B1451" s="98" t="s">
        <v>552</v>
      </c>
      <c r="C1451" s="98">
        <v>2014</v>
      </c>
      <c r="D1451" s="98" t="s">
        <v>249</v>
      </c>
      <c r="E1451" s="98" t="s">
        <v>138</v>
      </c>
      <c r="F1451" s="98" t="s">
        <v>131</v>
      </c>
      <c r="G1451" s="248">
        <v>2.5169999999999901</v>
      </c>
      <c r="H1451" s="299" t="str">
        <f>VLOOKUP(LEFT('Rev Adequacy'!D1451,3),'Mapping B'!$D$2:$E$400,2,0)</f>
        <v>N</v>
      </c>
      <c r="BP1451" s="190"/>
    </row>
    <row r="1452" spans="2:68" x14ac:dyDescent="0.25">
      <c r="B1452" s="98" t="s">
        <v>552</v>
      </c>
      <c r="C1452" s="98">
        <v>2014</v>
      </c>
      <c r="D1452" s="98" t="s">
        <v>251</v>
      </c>
      <c r="E1452" s="98" t="s">
        <v>35</v>
      </c>
      <c r="F1452" s="98" t="s">
        <v>136</v>
      </c>
      <c r="G1452" s="248">
        <v>2169.6559999999999</v>
      </c>
      <c r="H1452" s="299" t="str">
        <f>VLOOKUP(LEFT('Rev Adequacy'!D1452,3),'Mapping B'!$D$2:$E$400,2,0)</f>
        <v>N</v>
      </c>
      <c r="BP1452" s="190"/>
    </row>
    <row r="1453" spans="2:68" x14ac:dyDescent="0.25">
      <c r="B1453" s="98" t="s">
        <v>552</v>
      </c>
      <c r="C1453" s="98">
        <v>2014</v>
      </c>
      <c r="D1453" s="98" t="s">
        <v>252</v>
      </c>
      <c r="E1453" s="98" t="s">
        <v>35</v>
      </c>
      <c r="F1453" s="98" t="s">
        <v>136</v>
      </c>
      <c r="G1453" s="248">
        <v>0</v>
      </c>
      <c r="H1453" s="299" t="str">
        <f>VLOOKUP(LEFT('Rev Adequacy'!D1453,3),'Mapping B'!$D$2:$E$400,2,0)</f>
        <v>N</v>
      </c>
      <c r="BP1453" s="190"/>
    </row>
    <row r="1454" spans="2:68" x14ac:dyDescent="0.25">
      <c r="B1454" s="98" t="s">
        <v>552</v>
      </c>
      <c r="C1454" s="98">
        <v>2014</v>
      </c>
      <c r="D1454" s="98" t="s">
        <v>281</v>
      </c>
      <c r="E1454" s="98" t="s">
        <v>35</v>
      </c>
      <c r="F1454" s="98" t="s">
        <v>136</v>
      </c>
      <c r="G1454" s="248">
        <v>0</v>
      </c>
      <c r="H1454" s="299" t="str">
        <f>VLOOKUP(LEFT('Rev Adequacy'!D1454,3),'Mapping B'!$D$2:$E$400,2,0)</f>
        <v>S</v>
      </c>
      <c r="BP1454" s="190"/>
    </row>
    <row r="1455" spans="2:68" x14ac:dyDescent="0.25">
      <c r="B1455" s="98" t="s">
        <v>552</v>
      </c>
      <c r="C1455" s="98">
        <v>2014</v>
      </c>
      <c r="D1455" s="98" t="s">
        <v>313</v>
      </c>
      <c r="E1455" s="98" t="s">
        <v>138</v>
      </c>
      <c r="F1455" s="98" t="s">
        <v>131</v>
      </c>
      <c r="G1455" s="248">
        <v>4.9999999999999899E-2</v>
      </c>
      <c r="H1455" s="299" t="str">
        <f>VLOOKUP(LEFT('Rev Adequacy'!D1455,3),'Mapping B'!$D$2:$E$400,2,0)</f>
        <v>N</v>
      </c>
      <c r="BP1455" s="190"/>
    </row>
    <row r="1456" spans="2:68" x14ac:dyDescent="0.25">
      <c r="B1456" s="98" t="s">
        <v>552</v>
      </c>
      <c r="C1456" s="98">
        <v>2014</v>
      </c>
      <c r="D1456" s="98" t="s">
        <v>314</v>
      </c>
      <c r="E1456" s="98" t="s">
        <v>35</v>
      </c>
      <c r="F1456" s="98" t="s">
        <v>136</v>
      </c>
      <c r="G1456" s="248">
        <v>1216.6310000000001</v>
      </c>
      <c r="H1456" s="299" t="str">
        <f>VLOOKUP(LEFT('Rev Adequacy'!D1456,3),'Mapping B'!$D$2:$E$400,2,0)</f>
        <v>N</v>
      </c>
      <c r="BP1456" s="190"/>
    </row>
    <row r="1457" spans="2:68" x14ac:dyDescent="0.25">
      <c r="B1457" s="98" t="s">
        <v>552</v>
      </c>
      <c r="C1457" s="98">
        <v>2014</v>
      </c>
      <c r="D1457" s="98" t="s">
        <v>326</v>
      </c>
      <c r="E1457" s="98" t="s">
        <v>35</v>
      </c>
      <c r="F1457" s="98" t="s">
        <v>136</v>
      </c>
      <c r="G1457" s="248">
        <v>0</v>
      </c>
      <c r="H1457" s="299" t="str">
        <f>VLOOKUP(LEFT('Rev Adequacy'!D1457,3),'Mapping B'!$D$2:$E$400,2,0)</f>
        <v>S</v>
      </c>
      <c r="BP1457" s="190"/>
    </row>
    <row r="1458" spans="2:68" x14ac:dyDescent="0.25">
      <c r="B1458" s="98" t="s">
        <v>552</v>
      </c>
      <c r="C1458" s="98">
        <v>2014</v>
      </c>
      <c r="D1458" s="98" t="s">
        <v>335</v>
      </c>
      <c r="E1458" s="98" t="s">
        <v>35</v>
      </c>
      <c r="F1458" s="98" t="s">
        <v>136</v>
      </c>
      <c r="G1458" s="248">
        <v>1954.15</v>
      </c>
      <c r="H1458" s="299" t="str">
        <f>VLOOKUP(LEFT('Rev Adequacy'!D1458,3),'Mapping B'!$D$2:$E$400,2,0)</f>
        <v>N</v>
      </c>
      <c r="BP1458" s="190"/>
    </row>
    <row r="1459" spans="2:68" x14ac:dyDescent="0.25">
      <c r="B1459" s="98" t="s">
        <v>552</v>
      </c>
      <c r="C1459" s="98">
        <v>2014</v>
      </c>
      <c r="D1459" s="98" t="s">
        <v>357</v>
      </c>
      <c r="E1459" s="98" t="s">
        <v>35</v>
      </c>
      <c r="F1459" s="98" t="s">
        <v>145</v>
      </c>
      <c r="G1459" s="248">
        <v>0</v>
      </c>
      <c r="H1459" s="299" t="str">
        <f>VLOOKUP(LEFT('Rev Adequacy'!D1459,3),'Mapping B'!$D$2:$E$400,2,0)</f>
        <v>N</v>
      </c>
      <c r="BP1459" s="190"/>
    </row>
    <row r="1460" spans="2:68" x14ac:dyDescent="0.25">
      <c r="B1460" s="98" t="s">
        <v>552</v>
      </c>
      <c r="C1460" s="98">
        <v>2014</v>
      </c>
      <c r="D1460" s="98" t="s">
        <v>357</v>
      </c>
      <c r="E1460" s="98" t="s">
        <v>138</v>
      </c>
      <c r="F1460" s="98" t="s">
        <v>131</v>
      </c>
      <c r="G1460" s="248">
        <v>0</v>
      </c>
      <c r="H1460" s="299" t="str">
        <f>VLOOKUP(LEFT('Rev Adequacy'!D1460,3),'Mapping B'!$D$2:$E$400,2,0)</f>
        <v>N</v>
      </c>
      <c r="BP1460" s="190"/>
    </row>
    <row r="1461" spans="2:68" x14ac:dyDescent="0.25">
      <c r="B1461" s="98" t="s">
        <v>553</v>
      </c>
      <c r="C1461" s="98">
        <v>2014</v>
      </c>
      <c r="D1461" s="98" t="s">
        <v>137</v>
      </c>
      <c r="E1461" s="98" t="s">
        <v>138</v>
      </c>
      <c r="F1461" s="98" t="s">
        <v>131</v>
      </c>
      <c r="G1461" s="248">
        <v>16.733999999999899</v>
      </c>
      <c r="H1461" s="299" t="str">
        <f>VLOOKUP(LEFT('Rev Adequacy'!D1461,3),'Mapping B'!$D$2:$E$400,2,0)</f>
        <v>S</v>
      </c>
      <c r="BP1461" s="190"/>
    </row>
    <row r="1462" spans="2:68" x14ac:dyDescent="0.25">
      <c r="B1462" s="98" t="s">
        <v>553</v>
      </c>
      <c r="C1462" s="98">
        <v>2014</v>
      </c>
      <c r="D1462" s="98" t="s">
        <v>139</v>
      </c>
      <c r="E1462" s="98" t="s">
        <v>35</v>
      </c>
      <c r="F1462" s="98" t="s">
        <v>136</v>
      </c>
      <c r="G1462" s="248">
        <v>0</v>
      </c>
      <c r="H1462" s="299" t="str">
        <f>VLOOKUP(LEFT('Rev Adequacy'!D1462,3),'Mapping B'!$D$2:$E$400,2,0)</f>
        <v>S</v>
      </c>
      <c r="BP1462" s="190"/>
    </row>
    <row r="1463" spans="2:68" x14ac:dyDescent="0.25">
      <c r="B1463" s="98" t="s">
        <v>553</v>
      </c>
      <c r="C1463" s="98">
        <v>2014</v>
      </c>
      <c r="D1463" s="98" t="s">
        <v>144</v>
      </c>
      <c r="E1463" s="98" t="s">
        <v>35</v>
      </c>
      <c r="F1463" s="98" t="s">
        <v>136</v>
      </c>
      <c r="G1463" s="248">
        <v>0</v>
      </c>
      <c r="H1463" s="299" t="str">
        <f>VLOOKUP(LEFT('Rev Adequacy'!D1463,3),'Mapping B'!$D$2:$E$400,2,0)</f>
        <v>S</v>
      </c>
      <c r="BP1463" s="190"/>
    </row>
    <row r="1464" spans="2:68" x14ac:dyDescent="0.25">
      <c r="B1464" s="98" t="s">
        <v>553</v>
      </c>
      <c r="C1464" s="98">
        <v>2014</v>
      </c>
      <c r="D1464" s="98" t="s">
        <v>158</v>
      </c>
      <c r="E1464" s="98" t="s">
        <v>35</v>
      </c>
      <c r="F1464" s="98" t="s">
        <v>145</v>
      </c>
      <c r="G1464" s="248">
        <v>0</v>
      </c>
      <c r="H1464" s="299" t="str">
        <f>VLOOKUP(LEFT('Rev Adequacy'!D1464,3),'Mapping B'!$D$2:$E$400,2,0)</f>
        <v>N</v>
      </c>
      <c r="BP1464" s="190"/>
    </row>
    <row r="1465" spans="2:68" x14ac:dyDescent="0.25">
      <c r="B1465" s="98" t="s">
        <v>553</v>
      </c>
      <c r="C1465" s="98">
        <v>2014</v>
      </c>
      <c r="D1465" s="98" t="s">
        <v>164</v>
      </c>
      <c r="E1465" s="98" t="s">
        <v>138</v>
      </c>
      <c r="F1465" s="98" t="s">
        <v>131</v>
      </c>
      <c r="G1465" s="248">
        <v>6.7339999999999902</v>
      </c>
      <c r="H1465" s="299" t="str">
        <f>VLOOKUP(LEFT('Rev Adequacy'!D1465,3),'Mapping B'!$D$2:$E$400,2,0)</f>
        <v>S</v>
      </c>
      <c r="BP1465" s="190"/>
    </row>
    <row r="1466" spans="2:68" x14ac:dyDescent="0.25">
      <c r="B1466" s="98" t="s">
        <v>553</v>
      </c>
      <c r="C1466" s="98">
        <v>2014</v>
      </c>
      <c r="D1466" s="98" t="s">
        <v>165</v>
      </c>
      <c r="E1466" s="98" t="s">
        <v>35</v>
      </c>
      <c r="F1466" s="98" t="s">
        <v>136</v>
      </c>
      <c r="G1466" s="248">
        <v>0</v>
      </c>
      <c r="H1466" s="299" t="str">
        <f>VLOOKUP(LEFT('Rev Adequacy'!D1466,3),'Mapping B'!$D$2:$E$400,2,0)</f>
        <v>S</v>
      </c>
      <c r="BP1466" s="190"/>
    </row>
    <row r="1467" spans="2:68" x14ac:dyDescent="0.25">
      <c r="B1467" s="98" t="s">
        <v>553</v>
      </c>
      <c r="C1467" s="98">
        <v>2014</v>
      </c>
      <c r="D1467" s="98" t="s">
        <v>170</v>
      </c>
      <c r="E1467" s="98" t="s">
        <v>138</v>
      </c>
      <c r="F1467" s="98" t="s">
        <v>131</v>
      </c>
      <c r="G1467" s="248">
        <v>2.4139999999999899</v>
      </c>
      <c r="H1467" s="299" t="str">
        <f>VLOOKUP(LEFT('Rev Adequacy'!D1467,3),'Mapping B'!$D$2:$E$400,2,0)</f>
        <v>S</v>
      </c>
      <c r="BP1467" s="190"/>
    </row>
    <row r="1468" spans="2:68" x14ac:dyDescent="0.25">
      <c r="B1468" s="98" t="s">
        <v>553</v>
      </c>
      <c r="C1468" s="98">
        <v>2014</v>
      </c>
      <c r="D1468" s="98" t="s">
        <v>171</v>
      </c>
      <c r="E1468" s="98" t="s">
        <v>35</v>
      </c>
      <c r="F1468" s="98" t="s">
        <v>136</v>
      </c>
      <c r="G1468" s="248">
        <v>0</v>
      </c>
      <c r="H1468" s="299" t="str">
        <f>VLOOKUP(LEFT('Rev Adequacy'!D1468,3),'Mapping B'!$D$2:$E$400,2,0)</f>
        <v>S</v>
      </c>
      <c r="BP1468" s="190"/>
    </row>
    <row r="1469" spans="2:68" x14ac:dyDescent="0.25">
      <c r="B1469" s="98" t="s">
        <v>553</v>
      </c>
      <c r="C1469" s="98">
        <v>2014</v>
      </c>
      <c r="D1469" s="98" t="s">
        <v>213</v>
      </c>
      <c r="E1469" s="98" t="s">
        <v>138</v>
      </c>
      <c r="F1469" s="98" t="s">
        <v>131</v>
      </c>
      <c r="G1469" s="248">
        <v>9.9279999999999902</v>
      </c>
      <c r="H1469" s="299" t="str">
        <f>VLOOKUP(LEFT('Rev Adequacy'!D1469,3),'Mapping B'!$D$2:$E$400,2,0)</f>
        <v>N</v>
      </c>
      <c r="BP1469" s="190"/>
    </row>
    <row r="1470" spans="2:68" x14ac:dyDescent="0.25">
      <c r="B1470" s="98" t="s">
        <v>553</v>
      </c>
      <c r="C1470" s="98">
        <v>2014</v>
      </c>
      <c r="D1470" s="98" t="s">
        <v>214</v>
      </c>
      <c r="E1470" s="98" t="s">
        <v>35</v>
      </c>
      <c r="F1470" s="98" t="s">
        <v>136</v>
      </c>
      <c r="G1470" s="248">
        <v>0</v>
      </c>
      <c r="H1470" s="299" t="str">
        <f>VLOOKUP(LEFT('Rev Adequacy'!D1470,3),'Mapping B'!$D$2:$E$400,2,0)</f>
        <v>N</v>
      </c>
      <c r="BP1470" s="190"/>
    </row>
    <row r="1471" spans="2:68" x14ac:dyDescent="0.25">
      <c r="B1471" s="98" t="s">
        <v>553</v>
      </c>
      <c r="C1471" s="98">
        <v>2014</v>
      </c>
      <c r="D1471" s="98" t="s">
        <v>215</v>
      </c>
      <c r="E1471" s="98" t="s">
        <v>35</v>
      </c>
      <c r="F1471" s="98" t="s">
        <v>136</v>
      </c>
      <c r="G1471" s="248">
        <v>0</v>
      </c>
      <c r="H1471" s="299" t="str">
        <f>VLOOKUP(LEFT('Rev Adequacy'!D1471,3),'Mapping B'!$D$2:$E$400,2,0)</f>
        <v>N</v>
      </c>
      <c r="BP1471" s="190"/>
    </row>
    <row r="1472" spans="2:68" x14ac:dyDescent="0.25">
      <c r="B1472" s="98" t="s">
        <v>553</v>
      </c>
      <c r="C1472" s="98">
        <v>2014</v>
      </c>
      <c r="D1472" s="98" t="s">
        <v>216</v>
      </c>
      <c r="E1472" s="98" t="s">
        <v>35</v>
      </c>
      <c r="F1472" s="98" t="s">
        <v>136</v>
      </c>
      <c r="G1472" s="248">
        <v>0</v>
      </c>
      <c r="H1472" s="299" t="str">
        <f>VLOOKUP(LEFT('Rev Adequacy'!D1472,3),'Mapping B'!$D$2:$E$400,2,0)</f>
        <v>N</v>
      </c>
      <c r="BP1472" s="190"/>
    </row>
    <row r="1473" spans="2:68" x14ac:dyDescent="0.25">
      <c r="B1473" s="98" t="s">
        <v>553</v>
      </c>
      <c r="C1473" s="98">
        <v>2014</v>
      </c>
      <c r="D1473" s="98" t="s">
        <v>221</v>
      </c>
      <c r="E1473" s="98" t="s">
        <v>35</v>
      </c>
      <c r="F1473" s="98" t="s">
        <v>136</v>
      </c>
      <c r="G1473" s="248">
        <v>0</v>
      </c>
      <c r="H1473" s="299" t="str">
        <f>VLOOKUP(LEFT('Rev Adequacy'!D1473,3),'Mapping B'!$D$2:$E$400,2,0)</f>
        <v>S</v>
      </c>
      <c r="BP1473" s="190"/>
    </row>
    <row r="1474" spans="2:68" x14ac:dyDescent="0.25">
      <c r="B1474" s="98" t="s">
        <v>553</v>
      </c>
      <c r="C1474" s="98">
        <v>2014</v>
      </c>
      <c r="D1474" s="98" t="s">
        <v>241</v>
      </c>
      <c r="E1474" s="98" t="s">
        <v>35</v>
      </c>
      <c r="F1474" s="98" t="s">
        <v>145</v>
      </c>
      <c r="G1474" s="248">
        <v>0</v>
      </c>
      <c r="H1474" s="299" t="str">
        <f>VLOOKUP(LEFT('Rev Adequacy'!D1474,3),'Mapping B'!$D$2:$E$400,2,0)</f>
        <v>S</v>
      </c>
      <c r="BP1474" s="190"/>
    </row>
    <row r="1475" spans="2:68" x14ac:dyDescent="0.25">
      <c r="B1475" s="98" t="s">
        <v>553</v>
      </c>
      <c r="C1475" s="98">
        <v>2014</v>
      </c>
      <c r="D1475" s="98" t="s">
        <v>242</v>
      </c>
      <c r="E1475" s="98" t="s">
        <v>35</v>
      </c>
      <c r="F1475" s="98" t="s">
        <v>136</v>
      </c>
      <c r="G1475" s="248">
        <v>0</v>
      </c>
      <c r="H1475" s="299" t="str">
        <f>VLOOKUP(LEFT('Rev Adequacy'!D1475,3),'Mapping B'!$D$2:$E$400,2,0)</f>
        <v>S</v>
      </c>
      <c r="BP1475" s="190"/>
    </row>
    <row r="1476" spans="2:68" x14ac:dyDescent="0.25">
      <c r="B1476" s="98" t="s">
        <v>553</v>
      </c>
      <c r="C1476" s="98">
        <v>2014</v>
      </c>
      <c r="D1476" s="98" t="s">
        <v>247</v>
      </c>
      <c r="E1476" s="98" t="s">
        <v>35</v>
      </c>
      <c r="F1476" s="98" t="s">
        <v>145</v>
      </c>
      <c r="G1476" s="248">
        <v>0</v>
      </c>
      <c r="H1476" s="299" t="str">
        <f>VLOOKUP(LEFT('Rev Adequacy'!D1476,3),'Mapping B'!$D$2:$E$400,2,0)</f>
        <v>N</v>
      </c>
      <c r="BP1476" s="190"/>
    </row>
    <row r="1477" spans="2:68" x14ac:dyDescent="0.25">
      <c r="B1477" s="98" t="s">
        <v>553</v>
      </c>
      <c r="C1477" s="98">
        <v>2014</v>
      </c>
      <c r="D1477" s="98" t="s">
        <v>249</v>
      </c>
      <c r="E1477" s="98" t="s">
        <v>138</v>
      </c>
      <c r="F1477" s="98" t="s">
        <v>131</v>
      </c>
      <c r="G1477" s="248">
        <v>11.678999999999901</v>
      </c>
      <c r="H1477" s="299" t="str">
        <f>VLOOKUP(LEFT('Rev Adequacy'!D1477,3),'Mapping B'!$D$2:$E$400,2,0)</f>
        <v>N</v>
      </c>
      <c r="BP1477" s="190"/>
    </row>
    <row r="1478" spans="2:68" x14ac:dyDescent="0.25">
      <c r="B1478" s="98" t="s">
        <v>553</v>
      </c>
      <c r="C1478" s="98">
        <v>2014</v>
      </c>
      <c r="D1478" s="98" t="s">
        <v>251</v>
      </c>
      <c r="E1478" s="98" t="s">
        <v>35</v>
      </c>
      <c r="F1478" s="98" t="s">
        <v>136</v>
      </c>
      <c r="G1478" s="248">
        <v>0</v>
      </c>
      <c r="H1478" s="299" t="str">
        <f>VLOOKUP(LEFT('Rev Adequacy'!D1478,3),'Mapping B'!$D$2:$E$400,2,0)</f>
        <v>N</v>
      </c>
      <c r="BP1478" s="190"/>
    </row>
    <row r="1479" spans="2:68" x14ac:dyDescent="0.25">
      <c r="B1479" s="98" t="s">
        <v>553</v>
      </c>
      <c r="C1479" s="98">
        <v>2014</v>
      </c>
      <c r="D1479" s="98" t="s">
        <v>252</v>
      </c>
      <c r="E1479" s="98" t="s">
        <v>35</v>
      </c>
      <c r="F1479" s="98" t="s">
        <v>136</v>
      </c>
      <c r="G1479" s="248">
        <v>0</v>
      </c>
      <c r="H1479" s="299" t="str">
        <f>VLOOKUP(LEFT('Rev Adequacy'!D1479,3),'Mapping B'!$D$2:$E$400,2,0)</f>
        <v>N</v>
      </c>
      <c r="BP1479" s="190"/>
    </row>
    <row r="1480" spans="2:68" x14ac:dyDescent="0.25">
      <c r="B1480" s="98" t="s">
        <v>553</v>
      </c>
      <c r="C1480" s="98">
        <v>2014</v>
      </c>
      <c r="D1480" s="98" t="s">
        <v>281</v>
      </c>
      <c r="E1480" s="98" t="s">
        <v>35</v>
      </c>
      <c r="F1480" s="98" t="s">
        <v>136</v>
      </c>
      <c r="G1480" s="248">
        <v>0</v>
      </c>
      <c r="H1480" s="299" t="str">
        <f>VLOOKUP(LEFT('Rev Adequacy'!D1480,3),'Mapping B'!$D$2:$E$400,2,0)</f>
        <v>S</v>
      </c>
      <c r="BP1480" s="190"/>
    </row>
    <row r="1481" spans="2:68" x14ac:dyDescent="0.25">
      <c r="B1481" s="98" t="s">
        <v>553</v>
      </c>
      <c r="C1481" s="98">
        <v>2014</v>
      </c>
      <c r="D1481" s="98" t="s">
        <v>313</v>
      </c>
      <c r="E1481" s="98" t="s">
        <v>138</v>
      </c>
      <c r="F1481" s="98" t="s">
        <v>131</v>
      </c>
      <c r="G1481" s="248">
        <v>6.9000000000000006E-2</v>
      </c>
      <c r="H1481" s="299" t="str">
        <f>VLOOKUP(LEFT('Rev Adequacy'!D1481,3),'Mapping B'!$D$2:$E$400,2,0)</f>
        <v>N</v>
      </c>
      <c r="BP1481" s="190"/>
    </row>
    <row r="1482" spans="2:68" x14ac:dyDescent="0.25">
      <c r="B1482" s="98" t="s">
        <v>553</v>
      </c>
      <c r="C1482" s="98">
        <v>2014</v>
      </c>
      <c r="D1482" s="98" t="s">
        <v>314</v>
      </c>
      <c r="E1482" s="98" t="s">
        <v>35</v>
      </c>
      <c r="F1482" s="98" t="s">
        <v>136</v>
      </c>
      <c r="G1482" s="248">
        <v>0</v>
      </c>
      <c r="H1482" s="299" t="str">
        <f>VLOOKUP(LEFT('Rev Adequacy'!D1482,3),'Mapping B'!$D$2:$E$400,2,0)</f>
        <v>N</v>
      </c>
      <c r="BP1482" s="190"/>
    </row>
    <row r="1483" spans="2:68" x14ac:dyDescent="0.25">
      <c r="B1483" s="98" t="s">
        <v>553</v>
      </c>
      <c r="C1483" s="98">
        <v>2014</v>
      </c>
      <c r="D1483" s="98" t="s">
        <v>326</v>
      </c>
      <c r="E1483" s="98" t="s">
        <v>35</v>
      </c>
      <c r="F1483" s="98" t="s">
        <v>136</v>
      </c>
      <c r="G1483" s="248">
        <v>0</v>
      </c>
      <c r="H1483" s="299" t="str">
        <f>VLOOKUP(LEFT('Rev Adequacy'!D1483,3),'Mapping B'!$D$2:$E$400,2,0)</f>
        <v>S</v>
      </c>
      <c r="BP1483" s="190"/>
    </row>
    <row r="1484" spans="2:68" x14ac:dyDescent="0.25">
      <c r="B1484" s="98" t="s">
        <v>553</v>
      </c>
      <c r="C1484" s="98">
        <v>2014</v>
      </c>
      <c r="D1484" s="98" t="s">
        <v>335</v>
      </c>
      <c r="E1484" s="98" t="s">
        <v>35</v>
      </c>
      <c r="F1484" s="98" t="s">
        <v>136</v>
      </c>
      <c r="G1484" s="248">
        <v>0</v>
      </c>
      <c r="H1484" s="299" t="str">
        <f>VLOOKUP(LEFT('Rev Adequacy'!D1484,3),'Mapping B'!$D$2:$E$400,2,0)</f>
        <v>N</v>
      </c>
      <c r="BP1484" s="190"/>
    </row>
    <row r="1485" spans="2:68" x14ac:dyDescent="0.25">
      <c r="B1485" s="98" t="s">
        <v>553</v>
      </c>
      <c r="C1485" s="98">
        <v>2014</v>
      </c>
      <c r="D1485" s="98" t="s">
        <v>357</v>
      </c>
      <c r="E1485" s="98" t="s">
        <v>35</v>
      </c>
      <c r="F1485" s="98" t="s">
        <v>145</v>
      </c>
      <c r="G1485" s="248">
        <v>0</v>
      </c>
      <c r="H1485" s="299" t="str">
        <f>VLOOKUP(LEFT('Rev Adequacy'!D1485,3),'Mapping B'!$D$2:$E$400,2,0)</f>
        <v>N</v>
      </c>
      <c r="BP1485" s="190"/>
    </row>
    <row r="1486" spans="2:68" x14ac:dyDescent="0.25">
      <c r="B1486" s="98" t="s">
        <v>553</v>
      </c>
      <c r="C1486" s="98">
        <v>2014</v>
      </c>
      <c r="D1486" s="98" t="s">
        <v>357</v>
      </c>
      <c r="E1486" s="98" t="s">
        <v>138</v>
      </c>
      <c r="F1486" s="98" t="s">
        <v>131</v>
      </c>
      <c r="G1486" s="248">
        <v>146.683999999999</v>
      </c>
      <c r="H1486" s="299" t="str">
        <f>VLOOKUP(LEFT('Rev Adequacy'!D1486,3),'Mapping B'!$D$2:$E$400,2,0)</f>
        <v>N</v>
      </c>
      <c r="BP1486" s="190"/>
    </row>
    <row r="1487" spans="2:68" x14ac:dyDescent="0.25">
      <c r="B1487" s="98" t="s">
        <v>554</v>
      </c>
      <c r="C1487" s="98">
        <v>2014</v>
      </c>
      <c r="D1487" s="98" t="s">
        <v>137</v>
      </c>
      <c r="E1487" s="98" t="s">
        <v>138</v>
      </c>
      <c r="F1487" s="98" t="s">
        <v>131</v>
      </c>
      <c r="G1487" s="98">
        <v>136.584</v>
      </c>
      <c r="H1487" s="299" t="str">
        <f>VLOOKUP(LEFT('Rev Adequacy'!D1487,3),'Mapping B'!$D$2:$E$400,2,0)</f>
        <v>S</v>
      </c>
      <c r="BP1487" s="190"/>
    </row>
    <row r="1488" spans="2:68" x14ac:dyDescent="0.25">
      <c r="B1488" s="98" t="s">
        <v>554</v>
      </c>
      <c r="C1488" s="98">
        <v>2014</v>
      </c>
      <c r="D1488" s="98" t="s">
        <v>139</v>
      </c>
      <c r="E1488" s="98" t="s">
        <v>35</v>
      </c>
      <c r="F1488" s="98" t="s">
        <v>136</v>
      </c>
      <c r="G1488" s="98">
        <v>12179.3469999998</v>
      </c>
      <c r="H1488" s="299" t="str">
        <f>VLOOKUP(LEFT('Rev Adequacy'!D1488,3),'Mapping B'!$D$2:$E$400,2,0)</f>
        <v>S</v>
      </c>
      <c r="BP1488" s="190"/>
    </row>
    <row r="1489" spans="2:68" x14ac:dyDescent="0.25">
      <c r="B1489" s="98" t="s">
        <v>554</v>
      </c>
      <c r="C1489" s="98">
        <v>2014</v>
      </c>
      <c r="D1489" s="98" t="s">
        <v>144</v>
      </c>
      <c r="E1489" s="98" t="s">
        <v>35</v>
      </c>
      <c r="F1489" s="98" t="s">
        <v>136</v>
      </c>
      <c r="G1489" s="98">
        <v>82359.489999999598</v>
      </c>
      <c r="H1489" s="299" t="str">
        <f>VLOOKUP(LEFT('Rev Adequacy'!D1489,3),'Mapping B'!$D$2:$E$400,2,0)</f>
        <v>S</v>
      </c>
      <c r="BP1489" s="190"/>
    </row>
    <row r="1490" spans="2:68" x14ac:dyDescent="0.25">
      <c r="B1490" s="98" t="s">
        <v>554</v>
      </c>
      <c r="C1490" s="98">
        <v>2014</v>
      </c>
      <c r="D1490" s="98" t="s">
        <v>158</v>
      </c>
      <c r="E1490" s="98" t="s">
        <v>35</v>
      </c>
      <c r="F1490" s="98" t="s">
        <v>145</v>
      </c>
      <c r="G1490" s="98">
        <v>0</v>
      </c>
      <c r="H1490" s="299" t="str">
        <f>VLOOKUP(LEFT('Rev Adequacy'!D1490,3),'Mapping B'!$D$2:$E$400,2,0)</f>
        <v>N</v>
      </c>
      <c r="BP1490" s="190"/>
    </row>
    <row r="1491" spans="2:68" x14ac:dyDescent="0.25">
      <c r="B1491" s="98" t="s">
        <v>554</v>
      </c>
      <c r="C1491" s="98">
        <v>2014</v>
      </c>
      <c r="D1491" s="98" t="s">
        <v>164</v>
      </c>
      <c r="E1491" s="98" t="s">
        <v>138</v>
      </c>
      <c r="F1491" s="98" t="s">
        <v>131</v>
      </c>
      <c r="G1491" s="98">
        <v>68.460000000000093</v>
      </c>
      <c r="H1491" s="299" t="str">
        <f>VLOOKUP(LEFT('Rev Adequacy'!D1491,3),'Mapping B'!$D$2:$E$400,2,0)</f>
        <v>S</v>
      </c>
      <c r="BP1491" s="190"/>
    </row>
    <row r="1492" spans="2:68" x14ac:dyDescent="0.25">
      <c r="B1492" s="98" t="s">
        <v>554</v>
      </c>
      <c r="C1492" s="98">
        <v>2014</v>
      </c>
      <c r="D1492" s="98" t="s">
        <v>165</v>
      </c>
      <c r="E1492" s="98" t="s">
        <v>35</v>
      </c>
      <c r="F1492" s="98" t="s">
        <v>136</v>
      </c>
      <c r="G1492" s="98">
        <v>108948.224</v>
      </c>
      <c r="H1492" s="299" t="str">
        <f>VLOOKUP(LEFT('Rev Adequacy'!D1492,3),'Mapping B'!$D$2:$E$400,2,0)</f>
        <v>S</v>
      </c>
      <c r="BP1492" s="190"/>
    </row>
    <row r="1493" spans="2:68" x14ac:dyDescent="0.25">
      <c r="B1493" s="98" t="s">
        <v>554</v>
      </c>
      <c r="C1493" s="98">
        <v>2014</v>
      </c>
      <c r="D1493" s="98" t="s">
        <v>170</v>
      </c>
      <c r="E1493" s="98" t="s">
        <v>138</v>
      </c>
      <c r="F1493" s="98" t="s">
        <v>131</v>
      </c>
      <c r="G1493" s="98">
        <v>16.873999999999999</v>
      </c>
      <c r="H1493" s="299" t="str">
        <f>VLOOKUP(LEFT('Rev Adequacy'!D1493,3),'Mapping B'!$D$2:$E$400,2,0)</f>
        <v>S</v>
      </c>
      <c r="BP1493" s="190"/>
    </row>
    <row r="1494" spans="2:68" x14ac:dyDescent="0.25">
      <c r="B1494" s="98" t="s">
        <v>554</v>
      </c>
      <c r="C1494" s="98">
        <v>2014</v>
      </c>
      <c r="D1494" s="98" t="s">
        <v>171</v>
      </c>
      <c r="E1494" s="98" t="s">
        <v>35</v>
      </c>
      <c r="F1494" s="98" t="s">
        <v>136</v>
      </c>
      <c r="G1494" s="98">
        <v>0</v>
      </c>
      <c r="H1494" s="299" t="str">
        <f>VLOOKUP(LEFT('Rev Adequacy'!D1494,3),'Mapping B'!$D$2:$E$400,2,0)</f>
        <v>S</v>
      </c>
      <c r="BP1494" s="190"/>
    </row>
    <row r="1495" spans="2:68" x14ac:dyDescent="0.25">
      <c r="B1495" s="98" t="s">
        <v>554</v>
      </c>
      <c r="C1495" s="98">
        <v>2014</v>
      </c>
      <c r="D1495" s="98" t="s">
        <v>213</v>
      </c>
      <c r="E1495" s="98" t="s">
        <v>138</v>
      </c>
      <c r="F1495" s="98" t="s">
        <v>131</v>
      </c>
      <c r="G1495" s="98">
        <v>154.61399999999901</v>
      </c>
      <c r="H1495" s="299" t="str">
        <f>VLOOKUP(LEFT('Rev Adequacy'!D1495,3),'Mapping B'!$D$2:$E$400,2,0)</f>
        <v>N</v>
      </c>
      <c r="BP1495" s="190"/>
    </row>
    <row r="1496" spans="2:68" x14ac:dyDescent="0.25">
      <c r="B1496" s="98" t="s">
        <v>554</v>
      </c>
      <c r="C1496" s="98">
        <v>2014</v>
      </c>
      <c r="D1496" s="98" t="s">
        <v>214</v>
      </c>
      <c r="E1496" s="98" t="s">
        <v>35</v>
      </c>
      <c r="F1496" s="98" t="s">
        <v>136</v>
      </c>
      <c r="G1496" s="98">
        <v>0</v>
      </c>
      <c r="H1496" s="299" t="str">
        <f>VLOOKUP(LEFT('Rev Adequacy'!D1496,3),'Mapping B'!$D$2:$E$400,2,0)</f>
        <v>N</v>
      </c>
      <c r="BP1496" s="190"/>
    </row>
    <row r="1497" spans="2:68" x14ac:dyDescent="0.25">
      <c r="B1497" s="98" t="s">
        <v>554</v>
      </c>
      <c r="C1497" s="98">
        <v>2014</v>
      </c>
      <c r="D1497" s="98" t="s">
        <v>215</v>
      </c>
      <c r="E1497" s="98" t="s">
        <v>35</v>
      </c>
      <c r="F1497" s="98" t="s">
        <v>136</v>
      </c>
      <c r="G1497" s="98">
        <v>7856.7000000000899</v>
      </c>
      <c r="H1497" s="299" t="str">
        <f>VLOOKUP(LEFT('Rev Adequacy'!D1497,3),'Mapping B'!$D$2:$E$400,2,0)</f>
        <v>N</v>
      </c>
      <c r="BP1497" s="190"/>
    </row>
    <row r="1498" spans="2:68" x14ac:dyDescent="0.25">
      <c r="B1498" s="98" t="s">
        <v>554</v>
      </c>
      <c r="C1498" s="98">
        <v>2014</v>
      </c>
      <c r="D1498" s="98" t="s">
        <v>216</v>
      </c>
      <c r="E1498" s="98" t="s">
        <v>35</v>
      </c>
      <c r="F1498" s="98" t="s">
        <v>136</v>
      </c>
      <c r="G1498" s="98">
        <v>27547.591</v>
      </c>
      <c r="H1498" s="299" t="str">
        <f>VLOOKUP(LEFT('Rev Adequacy'!D1498,3),'Mapping B'!$D$2:$E$400,2,0)</f>
        <v>N</v>
      </c>
      <c r="BP1498" s="190"/>
    </row>
    <row r="1499" spans="2:68" x14ac:dyDescent="0.25">
      <c r="B1499" s="98" t="s">
        <v>554</v>
      </c>
      <c r="C1499" s="98">
        <v>2014</v>
      </c>
      <c r="D1499" s="98" t="s">
        <v>221</v>
      </c>
      <c r="E1499" s="98" t="s">
        <v>35</v>
      </c>
      <c r="F1499" s="98" t="s">
        <v>136</v>
      </c>
      <c r="G1499" s="98">
        <v>153156.29199999999</v>
      </c>
      <c r="H1499" s="299" t="str">
        <f>VLOOKUP(LEFT('Rev Adequacy'!D1499,3),'Mapping B'!$D$2:$E$400,2,0)</f>
        <v>S</v>
      </c>
      <c r="BP1499" s="190"/>
    </row>
    <row r="1500" spans="2:68" x14ac:dyDescent="0.25">
      <c r="B1500" s="98" t="s">
        <v>554</v>
      </c>
      <c r="C1500" s="98">
        <v>2014</v>
      </c>
      <c r="D1500" s="98" t="s">
        <v>241</v>
      </c>
      <c r="E1500" s="98" t="s">
        <v>35</v>
      </c>
      <c r="F1500" s="98" t="s">
        <v>145</v>
      </c>
      <c r="G1500" s="98">
        <v>4424.0650000000196</v>
      </c>
      <c r="H1500" s="299" t="str">
        <f>VLOOKUP(LEFT('Rev Adequacy'!D1500,3),'Mapping B'!$D$2:$E$400,2,0)</f>
        <v>S</v>
      </c>
      <c r="BP1500" s="190"/>
    </row>
    <row r="1501" spans="2:68" x14ac:dyDescent="0.25">
      <c r="B1501" s="98" t="s">
        <v>554</v>
      </c>
      <c r="C1501" s="98">
        <v>2014</v>
      </c>
      <c r="D1501" s="98" t="s">
        <v>242</v>
      </c>
      <c r="E1501" s="98" t="s">
        <v>35</v>
      </c>
      <c r="F1501" s="98" t="s">
        <v>136</v>
      </c>
      <c r="G1501" s="98">
        <v>4782.6570000000002</v>
      </c>
      <c r="H1501" s="299" t="str">
        <f>VLOOKUP(LEFT('Rev Adequacy'!D1501,3),'Mapping B'!$D$2:$E$400,2,0)</f>
        <v>S</v>
      </c>
      <c r="BP1501" s="190"/>
    </row>
    <row r="1502" spans="2:68" x14ac:dyDescent="0.25">
      <c r="B1502" s="98" t="s">
        <v>554</v>
      </c>
      <c r="C1502" s="98">
        <v>2014</v>
      </c>
      <c r="D1502" s="98" t="s">
        <v>247</v>
      </c>
      <c r="E1502" s="98" t="s">
        <v>35</v>
      </c>
      <c r="F1502" s="98" t="s">
        <v>145</v>
      </c>
      <c r="G1502" s="98">
        <v>0</v>
      </c>
      <c r="H1502" s="299" t="str">
        <f>VLOOKUP(LEFT('Rev Adequacy'!D1502,3),'Mapping B'!$D$2:$E$400,2,0)</f>
        <v>N</v>
      </c>
      <c r="BP1502" s="190"/>
    </row>
    <row r="1503" spans="2:68" x14ac:dyDescent="0.25">
      <c r="B1503" s="98" t="s">
        <v>554</v>
      </c>
      <c r="C1503" s="98">
        <v>2014</v>
      </c>
      <c r="D1503" s="98" t="s">
        <v>249</v>
      </c>
      <c r="E1503" s="98" t="s">
        <v>138</v>
      </c>
      <c r="F1503" s="98" t="s">
        <v>131</v>
      </c>
      <c r="G1503" s="98">
        <v>54.302999999999997</v>
      </c>
      <c r="H1503" s="299" t="str">
        <f>VLOOKUP(LEFT('Rev Adequacy'!D1503,3),'Mapping B'!$D$2:$E$400,2,0)</f>
        <v>N</v>
      </c>
      <c r="BP1503" s="190"/>
    </row>
    <row r="1504" spans="2:68" x14ac:dyDescent="0.25">
      <c r="B1504" s="98" t="s">
        <v>554</v>
      </c>
      <c r="C1504" s="98">
        <v>2014</v>
      </c>
      <c r="D1504" s="98" t="s">
        <v>251</v>
      </c>
      <c r="E1504" s="98" t="s">
        <v>35</v>
      </c>
      <c r="F1504" s="98" t="s">
        <v>136</v>
      </c>
      <c r="G1504" s="98">
        <v>138352.95000000001</v>
      </c>
      <c r="H1504" s="299" t="str">
        <f>VLOOKUP(LEFT('Rev Adequacy'!D1504,3),'Mapping B'!$D$2:$E$400,2,0)</f>
        <v>N</v>
      </c>
      <c r="BP1504" s="190"/>
    </row>
    <row r="1505" spans="2:68" x14ac:dyDescent="0.25">
      <c r="B1505" s="98" t="s">
        <v>554</v>
      </c>
      <c r="C1505" s="98">
        <v>2014</v>
      </c>
      <c r="D1505" s="98" t="s">
        <v>252</v>
      </c>
      <c r="E1505" s="98" t="s">
        <v>35</v>
      </c>
      <c r="F1505" s="98" t="s">
        <v>136</v>
      </c>
      <c r="G1505" s="98">
        <v>0</v>
      </c>
      <c r="H1505" s="299" t="str">
        <f>VLOOKUP(LEFT('Rev Adequacy'!D1505,3),'Mapping B'!$D$2:$E$400,2,0)</f>
        <v>N</v>
      </c>
      <c r="BP1505" s="190"/>
    </row>
    <row r="1506" spans="2:68" x14ac:dyDescent="0.25">
      <c r="B1506" s="98" t="s">
        <v>554</v>
      </c>
      <c r="C1506" s="98">
        <v>2014</v>
      </c>
      <c r="D1506" s="98" t="s">
        <v>281</v>
      </c>
      <c r="E1506" s="98" t="s">
        <v>35</v>
      </c>
      <c r="F1506" s="98" t="s">
        <v>136</v>
      </c>
      <c r="G1506" s="98">
        <v>5220.56699999991</v>
      </c>
      <c r="H1506" s="299" t="str">
        <f>VLOOKUP(LEFT('Rev Adequacy'!D1506,3),'Mapping B'!$D$2:$E$400,2,0)</f>
        <v>S</v>
      </c>
      <c r="BP1506" s="190"/>
    </row>
    <row r="1507" spans="2:68" x14ac:dyDescent="0.25">
      <c r="B1507" s="98" t="s">
        <v>554</v>
      </c>
      <c r="C1507" s="98">
        <v>2014</v>
      </c>
      <c r="D1507" s="98" t="s">
        <v>313</v>
      </c>
      <c r="E1507" s="98" t="s">
        <v>138</v>
      </c>
      <c r="F1507" s="98" t="s">
        <v>131</v>
      </c>
      <c r="G1507" s="98">
        <v>0.58799999999999997</v>
      </c>
      <c r="H1507" s="299" t="str">
        <f>VLOOKUP(LEFT('Rev Adequacy'!D1507,3),'Mapping B'!$D$2:$E$400,2,0)</f>
        <v>N</v>
      </c>
      <c r="BP1507" s="190"/>
    </row>
    <row r="1508" spans="2:68" x14ac:dyDescent="0.25">
      <c r="B1508" s="98" t="s">
        <v>554</v>
      </c>
      <c r="C1508" s="98">
        <v>2014</v>
      </c>
      <c r="D1508" s="98" t="s">
        <v>314</v>
      </c>
      <c r="E1508" s="98" t="s">
        <v>35</v>
      </c>
      <c r="F1508" s="98" t="s">
        <v>136</v>
      </c>
      <c r="G1508" s="98">
        <v>101277.376999999</v>
      </c>
      <c r="H1508" s="299" t="str">
        <f>VLOOKUP(LEFT('Rev Adequacy'!D1508,3),'Mapping B'!$D$2:$E$400,2,0)</f>
        <v>N</v>
      </c>
      <c r="BP1508" s="190"/>
    </row>
    <row r="1509" spans="2:68" x14ac:dyDescent="0.25">
      <c r="B1509" s="98" t="s">
        <v>554</v>
      </c>
      <c r="C1509" s="98">
        <v>2014</v>
      </c>
      <c r="D1509" s="98" t="s">
        <v>326</v>
      </c>
      <c r="E1509" s="98" t="s">
        <v>35</v>
      </c>
      <c r="F1509" s="98" t="s">
        <v>136</v>
      </c>
      <c r="G1509" s="98">
        <v>0</v>
      </c>
      <c r="H1509" s="299" t="str">
        <f>VLOOKUP(LEFT('Rev Adequacy'!D1509,3),'Mapping B'!$D$2:$E$400,2,0)</f>
        <v>S</v>
      </c>
      <c r="BP1509" s="190"/>
    </row>
    <row r="1510" spans="2:68" x14ac:dyDescent="0.25">
      <c r="B1510" s="98" t="s">
        <v>554</v>
      </c>
      <c r="C1510" s="98">
        <v>2014</v>
      </c>
      <c r="D1510" s="98" t="s">
        <v>335</v>
      </c>
      <c r="E1510" s="98" t="s">
        <v>35</v>
      </c>
      <c r="F1510" s="98" t="s">
        <v>136</v>
      </c>
      <c r="G1510" s="98">
        <v>225442.450999997</v>
      </c>
      <c r="H1510" s="299" t="str">
        <f>VLOOKUP(LEFT('Rev Adequacy'!D1510,3),'Mapping B'!$D$2:$E$400,2,0)</f>
        <v>N</v>
      </c>
      <c r="BP1510" s="190"/>
    </row>
    <row r="1511" spans="2:68" x14ac:dyDescent="0.25">
      <c r="B1511" s="98" t="s">
        <v>554</v>
      </c>
      <c r="C1511" s="98">
        <v>2014</v>
      </c>
      <c r="D1511" s="98" t="s">
        <v>357</v>
      </c>
      <c r="E1511" s="98" t="s">
        <v>35</v>
      </c>
      <c r="F1511" s="98" t="s">
        <v>145</v>
      </c>
      <c r="G1511" s="98">
        <v>0</v>
      </c>
      <c r="H1511" s="299" t="str">
        <f>VLOOKUP(LEFT('Rev Adequacy'!D1511,3),'Mapping B'!$D$2:$E$400,2,0)</f>
        <v>N</v>
      </c>
      <c r="BP1511" s="190"/>
    </row>
    <row r="1512" spans="2:68" x14ac:dyDescent="0.25">
      <c r="B1512" s="98" t="s">
        <v>554</v>
      </c>
      <c r="C1512" s="98">
        <v>2014</v>
      </c>
      <c r="D1512" s="98" t="s">
        <v>357</v>
      </c>
      <c r="E1512" s="98" t="s">
        <v>138</v>
      </c>
      <c r="F1512" s="98" t="s">
        <v>131</v>
      </c>
      <c r="G1512" s="98">
        <v>395.41699999999901</v>
      </c>
      <c r="H1512" s="299" t="str">
        <f>VLOOKUP(LEFT('Rev Adequacy'!D1512,3),'Mapping B'!$D$2:$E$400,2,0)</f>
        <v>N</v>
      </c>
      <c r="BP1512" s="190"/>
    </row>
    <row r="1513" spans="2:68" x14ac:dyDescent="0.25">
      <c r="B1513" s="98" t="s">
        <v>563</v>
      </c>
      <c r="C1513" s="98">
        <v>2014</v>
      </c>
      <c r="D1513" s="98" t="s">
        <v>137</v>
      </c>
      <c r="E1513" s="98" t="s">
        <v>138</v>
      </c>
      <c r="F1513" s="98" t="s">
        <v>131</v>
      </c>
      <c r="G1513" s="98">
        <v>143.63899999999899</v>
      </c>
      <c r="H1513" s="299" t="str">
        <f>VLOOKUP(LEFT('Rev Adequacy'!D1513,3),'Mapping B'!$D$2:$E$400,2,0)</f>
        <v>S</v>
      </c>
      <c r="BP1513" s="190"/>
    </row>
    <row r="1514" spans="2:68" x14ac:dyDescent="0.25">
      <c r="B1514" s="98" t="s">
        <v>563</v>
      </c>
      <c r="C1514" s="98">
        <v>2014</v>
      </c>
      <c r="D1514" s="98" t="s">
        <v>139</v>
      </c>
      <c r="E1514" s="98" t="s">
        <v>35</v>
      </c>
      <c r="F1514" s="98" t="s">
        <v>136</v>
      </c>
      <c r="G1514" s="98">
        <v>0</v>
      </c>
      <c r="H1514" s="299" t="str">
        <f>VLOOKUP(LEFT('Rev Adequacy'!D1514,3),'Mapping B'!$D$2:$E$400,2,0)</f>
        <v>S</v>
      </c>
      <c r="BP1514" s="190"/>
    </row>
    <row r="1515" spans="2:68" x14ac:dyDescent="0.25">
      <c r="B1515" s="98" t="s">
        <v>563</v>
      </c>
      <c r="C1515" s="98">
        <v>2014</v>
      </c>
      <c r="D1515" s="98" t="s">
        <v>144</v>
      </c>
      <c r="E1515" s="98" t="s">
        <v>35</v>
      </c>
      <c r="F1515" s="98" t="s">
        <v>136</v>
      </c>
      <c r="G1515" s="98">
        <v>0</v>
      </c>
      <c r="H1515" s="299" t="str">
        <f>VLOOKUP(LEFT('Rev Adequacy'!D1515,3),'Mapping B'!$D$2:$E$400,2,0)</f>
        <v>S</v>
      </c>
      <c r="BP1515" s="190"/>
    </row>
    <row r="1516" spans="2:68" x14ac:dyDescent="0.25">
      <c r="B1516" s="98" t="s">
        <v>563</v>
      </c>
      <c r="C1516" s="98">
        <v>2014</v>
      </c>
      <c r="D1516" s="98" t="s">
        <v>158</v>
      </c>
      <c r="E1516" s="98" t="s">
        <v>35</v>
      </c>
      <c r="F1516" s="98" t="s">
        <v>145</v>
      </c>
      <c r="G1516" s="98">
        <v>0</v>
      </c>
      <c r="H1516" s="299" t="str">
        <f>VLOOKUP(LEFT('Rev Adequacy'!D1516,3),'Mapping B'!$D$2:$E$400,2,0)</f>
        <v>N</v>
      </c>
      <c r="BP1516" s="190"/>
    </row>
    <row r="1517" spans="2:68" x14ac:dyDescent="0.25">
      <c r="B1517" s="98" t="s">
        <v>563</v>
      </c>
      <c r="C1517" s="98">
        <v>2014</v>
      </c>
      <c r="D1517" s="98" t="s">
        <v>164</v>
      </c>
      <c r="E1517" s="98" t="s">
        <v>138</v>
      </c>
      <c r="F1517" s="98" t="s">
        <v>131</v>
      </c>
      <c r="G1517" s="98">
        <v>68.459000000000103</v>
      </c>
      <c r="H1517" s="299" t="str">
        <f>VLOOKUP(LEFT('Rev Adequacy'!D1517,3),'Mapping B'!$D$2:$E$400,2,0)</f>
        <v>S</v>
      </c>
      <c r="BP1517" s="190"/>
    </row>
    <row r="1518" spans="2:68" x14ac:dyDescent="0.25">
      <c r="B1518" s="98" t="s">
        <v>563</v>
      </c>
      <c r="C1518" s="98">
        <v>2014</v>
      </c>
      <c r="D1518" s="98" t="s">
        <v>165</v>
      </c>
      <c r="E1518" s="98" t="s">
        <v>35</v>
      </c>
      <c r="F1518" s="98" t="s">
        <v>136</v>
      </c>
      <c r="G1518" s="98">
        <v>0</v>
      </c>
      <c r="H1518" s="299" t="str">
        <f>VLOOKUP(LEFT('Rev Adequacy'!D1518,3),'Mapping B'!$D$2:$E$400,2,0)</f>
        <v>S</v>
      </c>
      <c r="BP1518" s="190"/>
    </row>
    <row r="1519" spans="2:68" x14ac:dyDescent="0.25">
      <c r="B1519" s="98" t="s">
        <v>563</v>
      </c>
      <c r="C1519" s="98">
        <v>2014</v>
      </c>
      <c r="D1519" s="98" t="s">
        <v>170</v>
      </c>
      <c r="E1519" s="98" t="s">
        <v>138</v>
      </c>
      <c r="F1519" s="98" t="s">
        <v>131</v>
      </c>
      <c r="G1519" s="98">
        <v>18.321999999999999</v>
      </c>
      <c r="H1519" s="299" t="str">
        <f>VLOOKUP(LEFT('Rev Adequacy'!D1519,3),'Mapping B'!$D$2:$E$400,2,0)</f>
        <v>S</v>
      </c>
      <c r="BP1519" s="190"/>
    </row>
    <row r="1520" spans="2:68" x14ac:dyDescent="0.25">
      <c r="B1520" s="98" t="s">
        <v>563</v>
      </c>
      <c r="C1520" s="98">
        <v>2014</v>
      </c>
      <c r="D1520" s="98" t="s">
        <v>171</v>
      </c>
      <c r="E1520" s="98" t="s">
        <v>35</v>
      </c>
      <c r="F1520" s="98" t="s">
        <v>136</v>
      </c>
      <c r="G1520" s="98">
        <v>0</v>
      </c>
      <c r="H1520" s="299" t="str">
        <f>VLOOKUP(LEFT('Rev Adequacy'!D1520,3),'Mapping B'!$D$2:$E$400,2,0)</f>
        <v>S</v>
      </c>
      <c r="BP1520" s="190"/>
    </row>
    <row r="1521" spans="2:68" x14ac:dyDescent="0.25">
      <c r="B1521" s="98" t="s">
        <v>563</v>
      </c>
      <c r="C1521" s="98">
        <v>2014</v>
      </c>
      <c r="D1521" s="98" t="s">
        <v>213</v>
      </c>
      <c r="E1521" s="98" t="s">
        <v>138</v>
      </c>
      <c r="F1521" s="98" t="s">
        <v>131</v>
      </c>
      <c r="G1521" s="98">
        <v>156.396999999999</v>
      </c>
      <c r="H1521" s="299" t="str">
        <f>VLOOKUP(LEFT('Rev Adequacy'!D1521,3),'Mapping B'!$D$2:$E$400,2,0)</f>
        <v>N</v>
      </c>
      <c r="BP1521" s="190"/>
    </row>
    <row r="1522" spans="2:68" x14ac:dyDescent="0.25">
      <c r="B1522" s="98" t="s">
        <v>563</v>
      </c>
      <c r="C1522" s="98">
        <v>2014</v>
      </c>
      <c r="D1522" s="98" t="s">
        <v>214</v>
      </c>
      <c r="E1522" s="98" t="s">
        <v>35</v>
      </c>
      <c r="F1522" s="98" t="s">
        <v>136</v>
      </c>
      <c r="G1522" s="98">
        <v>0</v>
      </c>
      <c r="H1522" s="299" t="str">
        <f>VLOOKUP(LEFT('Rev Adequacy'!D1522,3),'Mapping B'!$D$2:$E$400,2,0)</f>
        <v>N</v>
      </c>
      <c r="BP1522" s="190"/>
    </row>
    <row r="1523" spans="2:68" x14ac:dyDescent="0.25">
      <c r="B1523" s="98" t="s">
        <v>563</v>
      </c>
      <c r="C1523" s="98">
        <v>2014</v>
      </c>
      <c r="D1523" s="98" t="s">
        <v>215</v>
      </c>
      <c r="E1523" s="98" t="s">
        <v>35</v>
      </c>
      <c r="F1523" s="98" t="s">
        <v>136</v>
      </c>
      <c r="G1523" s="98">
        <v>0</v>
      </c>
      <c r="H1523" s="299" t="str">
        <f>VLOOKUP(LEFT('Rev Adequacy'!D1523,3),'Mapping B'!$D$2:$E$400,2,0)</f>
        <v>N</v>
      </c>
      <c r="BP1523" s="190"/>
    </row>
    <row r="1524" spans="2:68" x14ac:dyDescent="0.25">
      <c r="B1524" s="98" t="s">
        <v>563</v>
      </c>
      <c r="C1524" s="98">
        <v>2014</v>
      </c>
      <c r="D1524" s="98" t="s">
        <v>216</v>
      </c>
      <c r="E1524" s="98" t="s">
        <v>35</v>
      </c>
      <c r="F1524" s="98" t="s">
        <v>136</v>
      </c>
      <c r="G1524" s="98">
        <v>0</v>
      </c>
      <c r="H1524" s="299" t="str">
        <f>VLOOKUP(LEFT('Rev Adequacy'!D1524,3),'Mapping B'!$D$2:$E$400,2,0)</f>
        <v>N</v>
      </c>
      <c r="BP1524" s="190"/>
    </row>
    <row r="1525" spans="2:68" x14ac:dyDescent="0.25">
      <c r="B1525" s="98" t="s">
        <v>563</v>
      </c>
      <c r="C1525" s="98">
        <v>2014</v>
      </c>
      <c r="D1525" s="98" t="s">
        <v>221</v>
      </c>
      <c r="E1525" s="98" t="s">
        <v>35</v>
      </c>
      <c r="F1525" s="98" t="s">
        <v>136</v>
      </c>
      <c r="G1525" s="98">
        <v>0</v>
      </c>
      <c r="H1525" s="299" t="str">
        <f>VLOOKUP(LEFT('Rev Adequacy'!D1525,3),'Mapping B'!$D$2:$E$400,2,0)</f>
        <v>S</v>
      </c>
      <c r="BP1525" s="190"/>
    </row>
    <row r="1526" spans="2:68" x14ac:dyDescent="0.25">
      <c r="B1526" s="98" t="s">
        <v>563</v>
      </c>
      <c r="C1526" s="98">
        <v>2014</v>
      </c>
      <c r="D1526" s="98" t="s">
        <v>241</v>
      </c>
      <c r="E1526" s="98" t="s">
        <v>35</v>
      </c>
      <c r="F1526" s="98" t="s">
        <v>145</v>
      </c>
      <c r="G1526" s="98">
        <v>0</v>
      </c>
      <c r="H1526" s="299" t="str">
        <f>VLOOKUP(LEFT('Rev Adequacy'!D1526,3),'Mapping B'!$D$2:$E$400,2,0)</f>
        <v>S</v>
      </c>
      <c r="BP1526" s="190"/>
    </row>
    <row r="1527" spans="2:68" x14ac:dyDescent="0.25">
      <c r="B1527" s="98" t="s">
        <v>563</v>
      </c>
      <c r="C1527" s="98">
        <v>2014</v>
      </c>
      <c r="D1527" s="98" t="s">
        <v>242</v>
      </c>
      <c r="E1527" s="98" t="s">
        <v>35</v>
      </c>
      <c r="F1527" s="98" t="s">
        <v>136</v>
      </c>
      <c r="G1527" s="98">
        <v>0</v>
      </c>
      <c r="H1527" s="299" t="str">
        <f>VLOOKUP(LEFT('Rev Adequacy'!D1527,3),'Mapping B'!$D$2:$E$400,2,0)</f>
        <v>S</v>
      </c>
      <c r="BP1527" s="190"/>
    </row>
    <row r="1528" spans="2:68" x14ac:dyDescent="0.25">
      <c r="B1528" s="98" t="s">
        <v>563</v>
      </c>
      <c r="C1528" s="98">
        <v>2014</v>
      </c>
      <c r="D1528" s="98" t="s">
        <v>247</v>
      </c>
      <c r="E1528" s="98" t="s">
        <v>35</v>
      </c>
      <c r="F1528" s="98" t="s">
        <v>145</v>
      </c>
      <c r="G1528" s="98">
        <v>0</v>
      </c>
      <c r="H1528" s="299" t="str">
        <f>VLOOKUP(LEFT('Rev Adequacy'!D1528,3),'Mapping B'!$D$2:$E$400,2,0)</f>
        <v>N</v>
      </c>
      <c r="BP1528" s="190"/>
    </row>
    <row r="1529" spans="2:68" x14ac:dyDescent="0.25">
      <c r="B1529" s="98" t="s">
        <v>563</v>
      </c>
      <c r="C1529" s="98">
        <v>2014</v>
      </c>
      <c r="D1529" s="98" t="s">
        <v>249</v>
      </c>
      <c r="E1529" s="98" t="s">
        <v>138</v>
      </c>
      <c r="F1529" s="98" t="s">
        <v>131</v>
      </c>
      <c r="G1529" s="98">
        <v>62.317999999999998</v>
      </c>
      <c r="H1529" s="299" t="str">
        <f>VLOOKUP(LEFT('Rev Adequacy'!D1529,3),'Mapping B'!$D$2:$E$400,2,0)</f>
        <v>N</v>
      </c>
      <c r="BP1529" s="190"/>
    </row>
    <row r="1530" spans="2:68" x14ac:dyDescent="0.25">
      <c r="B1530" s="98" t="s">
        <v>563</v>
      </c>
      <c r="C1530" s="98">
        <v>2014</v>
      </c>
      <c r="D1530" s="98" t="s">
        <v>251</v>
      </c>
      <c r="E1530" s="98" t="s">
        <v>35</v>
      </c>
      <c r="F1530" s="98" t="s">
        <v>136</v>
      </c>
      <c r="G1530" s="98">
        <v>0</v>
      </c>
      <c r="H1530" s="299" t="str">
        <f>VLOOKUP(LEFT('Rev Adequacy'!D1530,3),'Mapping B'!$D$2:$E$400,2,0)</f>
        <v>N</v>
      </c>
      <c r="BP1530" s="190"/>
    </row>
    <row r="1531" spans="2:68" x14ac:dyDescent="0.25">
      <c r="B1531" s="98" t="s">
        <v>563</v>
      </c>
      <c r="C1531" s="98">
        <v>2014</v>
      </c>
      <c r="D1531" s="98" t="s">
        <v>252</v>
      </c>
      <c r="E1531" s="98" t="s">
        <v>35</v>
      </c>
      <c r="F1531" s="98" t="s">
        <v>136</v>
      </c>
      <c r="G1531" s="98">
        <v>0</v>
      </c>
      <c r="H1531" s="299" t="str">
        <f>VLOOKUP(LEFT('Rev Adequacy'!D1531,3),'Mapping B'!$D$2:$E$400,2,0)</f>
        <v>N</v>
      </c>
      <c r="BP1531" s="190"/>
    </row>
    <row r="1532" spans="2:68" x14ac:dyDescent="0.25">
      <c r="B1532" s="98" t="s">
        <v>563</v>
      </c>
      <c r="C1532" s="98">
        <v>2014</v>
      </c>
      <c r="D1532" s="98" t="s">
        <v>281</v>
      </c>
      <c r="E1532" s="98" t="s">
        <v>35</v>
      </c>
      <c r="F1532" s="98" t="s">
        <v>136</v>
      </c>
      <c r="G1532" s="98">
        <v>0</v>
      </c>
      <c r="H1532" s="299" t="str">
        <f>VLOOKUP(LEFT('Rev Adequacy'!D1532,3),'Mapping B'!$D$2:$E$400,2,0)</f>
        <v>S</v>
      </c>
      <c r="BP1532" s="190"/>
    </row>
    <row r="1533" spans="2:68" x14ac:dyDescent="0.25">
      <c r="B1533" s="98" t="s">
        <v>563</v>
      </c>
      <c r="C1533" s="98">
        <v>2014</v>
      </c>
      <c r="D1533" s="98" t="s">
        <v>313</v>
      </c>
      <c r="E1533" s="98" t="s">
        <v>138</v>
      </c>
      <c r="F1533" s="98" t="s">
        <v>131</v>
      </c>
      <c r="G1533" s="98">
        <v>0.58799999999999997</v>
      </c>
      <c r="H1533" s="299" t="str">
        <f>VLOOKUP(LEFT('Rev Adequacy'!D1533,3),'Mapping B'!$D$2:$E$400,2,0)</f>
        <v>N</v>
      </c>
      <c r="BP1533" s="190"/>
    </row>
    <row r="1534" spans="2:68" x14ac:dyDescent="0.25">
      <c r="B1534" s="98" t="s">
        <v>563</v>
      </c>
      <c r="C1534" s="98">
        <v>2014</v>
      </c>
      <c r="D1534" s="98" t="s">
        <v>314</v>
      </c>
      <c r="E1534" s="98" t="s">
        <v>35</v>
      </c>
      <c r="F1534" s="98" t="s">
        <v>136</v>
      </c>
      <c r="G1534" s="98">
        <v>0</v>
      </c>
      <c r="H1534" s="299" t="str">
        <f>VLOOKUP(LEFT('Rev Adequacy'!D1534,3),'Mapping B'!$D$2:$E$400,2,0)</f>
        <v>N</v>
      </c>
      <c r="BP1534" s="190"/>
    </row>
    <row r="1535" spans="2:68" x14ac:dyDescent="0.25">
      <c r="B1535" s="98" t="s">
        <v>563</v>
      </c>
      <c r="C1535" s="98">
        <v>2014</v>
      </c>
      <c r="D1535" s="98" t="s">
        <v>326</v>
      </c>
      <c r="E1535" s="98" t="s">
        <v>35</v>
      </c>
      <c r="F1535" s="98" t="s">
        <v>136</v>
      </c>
      <c r="G1535" s="98">
        <v>0</v>
      </c>
      <c r="H1535" s="299" t="str">
        <f>VLOOKUP(LEFT('Rev Adequacy'!D1535,3),'Mapping B'!$D$2:$E$400,2,0)</f>
        <v>S</v>
      </c>
      <c r="BP1535" s="190"/>
    </row>
    <row r="1536" spans="2:68" x14ac:dyDescent="0.25">
      <c r="B1536" s="98" t="s">
        <v>563</v>
      </c>
      <c r="C1536" s="98">
        <v>2014</v>
      </c>
      <c r="D1536" s="98" t="s">
        <v>335</v>
      </c>
      <c r="E1536" s="98" t="s">
        <v>35</v>
      </c>
      <c r="F1536" s="98" t="s">
        <v>136</v>
      </c>
      <c r="G1536" s="98">
        <v>0</v>
      </c>
      <c r="H1536" s="299" t="str">
        <f>VLOOKUP(LEFT('Rev Adequacy'!D1536,3),'Mapping B'!$D$2:$E$400,2,0)</f>
        <v>N</v>
      </c>
      <c r="BP1536" s="190"/>
    </row>
    <row r="1537" spans="2:68" x14ac:dyDescent="0.25">
      <c r="B1537" s="98" t="s">
        <v>563</v>
      </c>
      <c r="C1537" s="98">
        <v>2014</v>
      </c>
      <c r="D1537" s="98" t="s">
        <v>357</v>
      </c>
      <c r="E1537" s="98" t="s">
        <v>35</v>
      </c>
      <c r="F1537" s="98" t="s">
        <v>145</v>
      </c>
      <c r="G1537" s="98">
        <v>0</v>
      </c>
      <c r="H1537" s="299" t="str">
        <f>VLOOKUP(LEFT('Rev Adequacy'!D1537,3),'Mapping B'!$D$2:$E$400,2,0)</f>
        <v>N</v>
      </c>
      <c r="BP1537" s="190"/>
    </row>
    <row r="1538" spans="2:68" x14ac:dyDescent="0.25">
      <c r="B1538" s="98" t="s">
        <v>563</v>
      </c>
      <c r="C1538" s="98">
        <v>2014</v>
      </c>
      <c r="D1538" s="98" t="s">
        <v>357</v>
      </c>
      <c r="E1538" s="98" t="s">
        <v>138</v>
      </c>
      <c r="F1538" s="98" t="s">
        <v>131</v>
      </c>
      <c r="G1538" s="98">
        <v>740.56699999999898</v>
      </c>
      <c r="H1538" s="299" t="str">
        <f>VLOOKUP(LEFT('Rev Adequacy'!D1538,3),'Mapping B'!$D$2:$E$400,2,0)</f>
        <v>N</v>
      </c>
      <c r="BP1538" s="190"/>
    </row>
    <row r="1539" spans="2:68" x14ac:dyDescent="0.25">
      <c r="B1539" s="98" t="s">
        <v>555</v>
      </c>
      <c r="C1539" s="98">
        <v>2014</v>
      </c>
      <c r="D1539" s="98" t="s">
        <v>137</v>
      </c>
      <c r="E1539" s="98" t="s">
        <v>138</v>
      </c>
      <c r="F1539" s="98" t="s">
        <v>131</v>
      </c>
      <c r="G1539" s="98">
        <v>40.904999999999902</v>
      </c>
      <c r="H1539" s="299" t="str">
        <f>VLOOKUP(LEFT('Rev Adequacy'!D1539,3),'Mapping B'!$D$2:$E$400,2,0)</f>
        <v>S</v>
      </c>
      <c r="BP1539" s="190"/>
    </row>
    <row r="1540" spans="2:68" x14ac:dyDescent="0.25">
      <c r="B1540" s="98" t="s">
        <v>555</v>
      </c>
      <c r="C1540" s="98">
        <v>2014</v>
      </c>
      <c r="D1540" s="98" t="s">
        <v>139</v>
      </c>
      <c r="E1540" s="98" t="s">
        <v>35</v>
      </c>
      <c r="F1540" s="98" t="s">
        <v>136</v>
      </c>
      <c r="G1540" s="98">
        <v>0</v>
      </c>
      <c r="H1540" s="299" t="str">
        <f>VLOOKUP(LEFT('Rev Adequacy'!D1540,3),'Mapping B'!$D$2:$E$400,2,0)</f>
        <v>S</v>
      </c>
      <c r="BP1540" s="190"/>
    </row>
    <row r="1541" spans="2:68" x14ac:dyDescent="0.25">
      <c r="B1541" s="98" t="s">
        <v>555</v>
      </c>
      <c r="C1541" s="98">
        <v>2014</v>
      </c>
      <c r="D1541" s="98" t="s">
        <v>144</v>
      </c>
      <c r="E1541" s="98" t="s">
        <v>35</v>
      </c>
      <c r="F1541" s="98" t="s">
        <v>136</v>
      </c>
      <c r="G1541" s="98">
        <v>0</v>
      </c>
      <c r="H1541" s="299" t="str">
        <f>VLOOKUP(LEFT('Rev Adequacy'!D1541,3),'Mapping B'!$D$2:$E$400,2,0)</f>
        <v>S</v>
      </c>
      <c r="BP1541" s="190"/>
    </row>
    <row r="1542" spans="2:68" x14ac:dyDescent="0.25">
      <c r="B1542" s="98" t="s">
        <v>555</v>
      </c>
      <c r="C1542" s="98">
        <v>2014</v>
      </c>
      <c r="D1542" s="98" t="s">
        <v>158</v>
      </c>
      <c r="E1542" s="98" t="s">
        <v>35</v>
      </c>
      <c r="F1542" s="98" t="s">
        <v>145</v>
      </c>
      <c r="G1542" s="98">
        <v>0</v>
      </c>
      <c r="H1542" s="299" t="str">
        <f>VLOOKUP(LEFT('Rev Adequacy'!D1542,3),'Mapping B'!$D$2:$E$400,2,0)</f>
        <v>N</v>
      </c>
      <c r="BP1542" s="190"/>
    </row>
    <row r="1543" spans="2:68" x14ac:dyDescent="0.25">
      <c r="B1543" s="98" t="s">
        <v>555</v>
      </c>
      <c r="C1543" s="98">
        <v>2014</v>
      </c>
      <c r="D1543" s="98" t="s">
        <v>164</v>
      </c>
      <c r="E1543" s="98" t="s">
        <v>138</v>
      </c>
      <c r="F1543" s="98" t="s">
        <v>131</v>
      </c>
      <c r="G1543" s="98">
        <v>16.734999999999999</v>
      </c>
      <c r="H1543" s="299" t="str">
        <f>VLOOKUP(LEFT('Rev Adequacy'!D1543,3),'Mapping B'!$D$2:$E$400,2,0)</f>
        <v>S</v>
      </c>
      <c r="BP1543" s="190"/>
    </row>
    <row r="1544" spans="2:68" x14ac:dyDescent="0.25">
      <c r="B1544" s="98" t="s">
        <v>555</v>
      </c>
      <c r="C1544" s="98">
        <v>2014</v>
      </c>
      <c r="D1544" s="98" t="s">
        <v>165</v>
      </c>
      <c r="E1544" s="98" t="s">
        <v>35</v>
      </c>
      <c r="F1544" s="98" t="s">
        <v>136</v>
      </c>
      <c r="G1544" s="98">
        <v>0</v>
      </c>
      <c r="H1544" s="299" t="str">
        <f>VLOOKUP(LEFT('Rev Adequacy'!D1544,3),'Mapping B'!$D$2:$E$400,2,0)</f>
        <v>S</v>
      </c>
      <c r="BP1544" s="190"/>
    </row>
    <row r="1545" spans="2:68" x14ac:dyDescent="0.25">
      <c r="B1545" s="98" t="s">
        <v>555</v>
      </c>
      <c r="C1545" s="98">
        <v>2014</v>
      </c>
      <c r="D1545" s="98" t="s">
        <v>170</v>
      </c>
      <c r="E1545" s="98" t="s">
        <v>138</v>
      </c>
      <c r="F1545" s="98" t="s">
        <v>131</v>
      </c>
      <c r="G1545" s="98">
        <v>7.5239999999999796</v>
      </c>
      <c r="H1545" s="299" t="str">
        <f>VLOOKUP(LEFT('Rev Adequacy'!D1545,3),'Mapping B'!$D$2:$E$400,2,0)</f>
        <v>S</v>
      </c>
      <c r="BP1545" s="190"/>
    </row>
    <row r="1546" spans="2:68" x14ac:dyDescent="0.25">
      <c r="B1546" s="98" t="s">
        <v>555</v>
      </c>
      <c r="C1546" s="98">
        <v>2014</v>
      </c>
      <c r="D1546" s="98" t="s">
        <v>171</v>
      </c>
      <c r="E1546" s="98" t="s">
        <v>35</v>
      </c>
      <c r="F1546" s="98" t="s">
        <v>136</v>
      </c>
      <c r="G1546" s="98">
        <v>0</v>
      </c>
      <c r="H1546" s="299" t="str">
        <f>VLOOKUP(LEFT('Rev Adequacy'!D1546,3),'Mapping B'!$D$2:$E$400,2,0)</f>
        <v>S</v>
      </c>
      <c r="BP1546" s="190"/>
    </row>
    <row r="1547" spans="2:68" x14ac:dyDescent="0.25">
      <c r="B1547" s="98" t="s">
        <v>555</v>
      </c>
      <c r="C1547" s="98">
        <v>2014</v>
      </c>
      <c r="D1547" s="98" t="s">
        <v>213</v>
      </c>
      <c r="E1547" s="98" t="s">
        <v>138</v>
      </c>
      <c r="F1547" s="98" t="s">
        <v>131</v>
      </c>
      <c r="G1547" s="98">
        <v>29.152999999999999</v>
      </c>
      <c r="H1547" s="299" t="str">
        <f>VLOOKUP(LEFT('Rev Adequacy'!D1547,3),'Mapping B'!$D$2:$E$400,2,0)</f>
        <v>N</v>
      </c>
      <c r="BP1547" s="190"/>
    </row>
    <row r="1548" spans="2:68" x14ac:dyDescent="0.25">
      <c r="B1548" s="98" t="s">
        <v>555</v>
      </c>
      <c r="C1548" s="98">
        <v>2014</v>
      </c>
      <c r="D1548" s="98" t="s">
        <v>214</v>
      </c>
      <c r="E1548" s="98" t="s">
        <v>35</v>
      </c>
      <c r="F1548" s="98" t="s">
        <v>136</v>
      </c>
      <c r="G1548" s="98">
        <v>0</v>
      </c>
      <c r="H1548" s="299" t="str">
        <f>VLOOKUP(LEFT('Rev Adequacy'!D1548,3),'Mapping B'!$D$2:$E$400,2,0)</f>
        <v>N</v>
      </c>
      <c r="BP1548" s="190"/>
    </row>
    <row r="1549" spans="2:68" x14ac:dyDescent="0.25">
      <c r="B1549" s="98" t="s">
        <v>555</v>
      </c>
      <c r="C1549" s="98">
        <v>2014</v>
      </c>
      <c r="D1549" s="98" t="s">
        <v>215</v>
      </c>
      <c r="E1549" s="98" t="s">
        <v>35</v>
      </c>
      <c r="F1549" s="98" t="s">
        <v>136</v>
      </c>
      <c r="G1549" s="98">
        <v>0</v>
      </c>
      <c r="H1549" s="299" t="str">
        <f>VLOOKUP(LEFT('Rev Adequacy'!D1549,3),'Mapping B'!$D$2:$E$400,2,0)</f>
        <v>N</v>
      </c>
      <c r="BP1549" s="190"/>
    </row>
    <row r="1550" spans="2:68" x14ac:dyDescent="0.25">
      <c r="B1550" s="98" t="s">
        <v>555</v>
      </c>
      <c r="C1550" s="98">
        <v>2014</v>
      </c>
      <c r="D1550" s="98" t="s">
        <v>216</v>
      </c>
      <c r="E1550" s="98" t="s">
        <v>35</v>
      </c>
      <c r="F1550" s="98" t="s">
        <v>136</v>
      </c>
      <c r="G1550" s="98">
        <v>0</v>
      </c>
      <c r="H1550" s="299" t="str">
        <f>VLOOKUP(LEFT('Rev Adequacy'!D1550,3),'Mapping B'!$D$2:$E$400,2,0)</f>
        <v>N</v>
      </c>
      <c r="BP1550" s="190"/>
    </row>
    <row r="1551" spans="2:68" x14ac:dyDescent="0.25">
      <c r="B1551" s="98" t="s">
        <v>555</v>
      </c>
      <c r="C1551" s="98">
        <v>2014</v>
      </c>
      <c r="D1551" s="98" t="s">
        <v>221</v>
      </c>
      <c r="E1551" s="98" t="s">
        <v>35</v>
      </c>
      <c r="F1551" s="98" t="s">
        <v>136</v>
      </c>
      <c r="G1551" s="98">
        <v>0</v>
      </c>
      <c r="H1551" s="299" t="str">
        <f>VLOOKUP(LEFT('Rev Adequacy'!D1551,3),'Mapping B'!$D$2:$E$400,2,0)</f>
        <v>S</v>
      </c>
      <c r="BP1551" s="190"/>
    </row>
    <row r="1552" spans="2:68" x14ac:dyDescent="0.25">
      <c r="B1552" s="98" t="s">
        <v>555</v>
      </c>
      <c r="C1552" s="98">
        <v>2014</v>
      </c>
      <c r="D1552" s="98" t="s">
        <v>241</v>
      </c>
      <c r="E1552" s="98" t="s">
        <v>35</v>
      </c>
      <c r="F1552" s="98" t="s">
        <v>145</v>
      </c>
      <c r="G1552" s="98">
        <v>0</v>
      </c>
      <c r="H1552" s="299" t="str">
        <f>VLOOKUP(LEFT('Rev Adequacy'!D1552,3),'Mapping B'!$D$2:$E$400,2,0)</f>
        <v>S</v>
      </c>
      <c r="BP1552" s="190"/>
    </row>
    <row r="1553" spans="2:68" x14ac:dyDescent="0.25">
      <c r="B1553" s="98" t="s">
        <v>555</v>
      </c>
      <c r="C1553" s="98">
        <v>2014</v>
      </c>
      <c r="D1553" s="98" t="s">
        <v>242</v>
      </c>
      <c r="E1553" s="98" t="s">
        <v>35</v>
      </c>
      <c r="F1553" s="98" t="s">
        <v>136</v>
      </c>
      <c r="G1553" s="98">
        <v>0</v>
      </c>
      <c r="H1553" s="299" t="str">
        <f>VLOOKUP(LEFT('Rev Adequacy'!D1553,3),'Mapping B'!$D$2:$E$400,2,0)</f>
        <v>S</v>
      </c>
      <c r="BP1553" s="190"/>
    </row>
    <row r="1554" spans="2:68" x14ac:dyDescent="0.25">
      <c r="B1554" s="98" t="s">
        <v>555</v>
      </c>
      <c r="C1554" s="98">
        <v>2014</v>
      </c>
      <c r="D1554" s="98" t="s">
        <v>247</v>
      </c>
      <c r="E1554" s="98" t="s">
        <v>35</v>
      </c>
      <c r="F1554" s="98" t="s">
        <v>145</v>
      </c>
      <c r="G1554" s="98">
        <v>0</v>
      </c>
      <c r="H1554" s="299" t="str">
        <f>VLOOKUP(LEFT('Rev Adequacy'!D1554,3),'Mapping B'!$D$2:$E$400,2,0)</f>
        <v>N</v>
      </c>
      <c r="BP1554" s="190"/>
    </row>
    <row r="1555" spans="2:68" x14ac:dyDescent="0.25">
      <c r="B1555" s="98" t="s">
        <v>555</v>
      </c>
      <c r="C1555" s="98">
        <v>2014</v>
      </c>
      <c r="D1555" s="98" t="s">
        <v>249</v>
      </c>
      <c r="E1555" s="98" t="s">
        <v>138</v>
      </c>
      <c r="F1555" s="98" t="s">
        <v>131</v>
      </c>
      <c r="G1555" s="98">
        <v>45.3569999999999</v>
      </c>
      <c r="H1555" s="299" t="str">
        <f>VLOOKUP(LEFT('Rev Adequacy'!D1555,3),'Mapping B'!$D$2:$E$400,2,0)</f>
        <v>N</v>
      </c>
      <c r="BP1555" s="190"/>
    </row>
    <row r="1556" spans="2:68" x14ac:dyDescent="0.25">
      <c r="B1556" s="98" t="s">
        <v>555</v>
      </c>
      <c r="C1556" s="98">
        <v>2014</v>
      </c>
      <c r="D1556" s="98" t="s">
        <v>251</v>
      </c>
      <c r="E1556" s="98" t="s">
        <v>35</v>
      </c>
      <c r="F1556" s="98" t="s">
        <v>136</v>
      </c>
      <c r="G1556" s="98">
        <v>0</v>
      </c>
      <c r="H1556" s="299" t="str">
        <f>VLOOKUP(LEFT('Rev Adequacy'!D1556,3),'Mapping B'!$D$2:$E$400,2,0)</f>
        <v>N</v>
      </c>
      <c r="BP1556" s="190"/>
    </row>
    <row r="1557" spans="2:68" x14ac:dyDescent="0.25">
      <c r="B1557" s="98" t="s">
        <v>555</v>
      </c>
      <c r="C1557" s="98">
        <v>2014</v>
      </c>
      <c r="D1557" s="98" t="s">
        <v>252</v>
      </c>
      <c r="E1557" s="98" t="s">
        <v>35</v>
      </c>
      <c r="F1557" s="98" t="s">
        <v>136</v>
      </c>
      <c r="G1557" s="98">
        <v>0</v>
      </c>
      <c r="H1557" s="299" t="str">
        <f>VLOOKUP(LEFT('Rev Adequacy'!D1557,3),'Mapping B'!$D$2:$E$400,2,0)</f>
        <v>N</v>
      </c>
      <c r="BP1557" s="190"/>
    </row>
    <row r="1558" spans="2:68" x14ac:dyDescent="0.25">
      <c r="B1558" s="98" t="s">
        <v>555</v>
      </c>
      <c r="C1558" s="98">
        <v>2014</v>
      </c>
      <c r="D1558" s="98" t="s">
        <v>281</v>
      </c>
      <c r="E1558" s="98" t="s">
        <v>35</v>
      </c>
      <c r="F1558" s="98" t="s">
        <v>136</v>
      </c>
      <c r="G1558" s="98">
        <v>0</v>
      </c>
      <c r="H1558" s="299" t="str">
        <f>VLOOKUP(LEFT('Rev Adequacy'!D1558,3),'Mapping B'!$D$2:$E$400,2,0)</f>
        <v>S</v>
      </c>
      <c r="BP1558" s="190"/>
    </row>
    <row r="1559" spans="2:68" x14ac:dyDescent="0.25">
      <c r="B1559" s="98" t="s">
        <v>555</v>
      </c>
      <c r="C1559" s="98">
        <v>2014</v>
      </c>
      <c r="D1559" s="98" t="s">
        <v>313</v>
      </c>
      <c r="E1559" s="98" t="s">
        <v>138</v>
      </c>
      <c r="F1559" s="98" t="s">
        <v>131</v>
      </c>
      <c r="G1559" s="98">
        <v>0</v>
      </c>
      <c r="H1559" s="299" t="str">
        <f>VLOOKUP(LEFT('Rev Adequacy'!D1559,3),'Mapping B'!$D$2:$E$400,2,0)</f>
        <v>N</v>
      </c>
      <c r="BP1559" s="190"/>
    </row>
    <row r="1560" spans="2:68" x14ac:dyDescent="0.25">
      <c r="B1560" s="98" t="s">
        <v>555</v>
      </c>
      <c r="C1560" s="98">
        <v>2014</v>
      </c>
      <c r="D1560" s="98" t="s">
        <v>314</v>
      </c>
      <c r="E1560" s="98" t="s">
        <v>35</v>
      </c>
      <c r="F1560" s="98" t="s">
        <v>136</v>
      </c>
      <c r="G1560" s="98">
        <v>0</v>
      </c>
      <c r="H1560" s="299" t="str">
        <f>VLOOKUP(LEFT('Rev Adequacy'!D1560,3),'Mapping B'!$D$2:$E$400,2,0)</f>
        <v>N</v>
      </c>
      <c r="BP1560" s="190"/>
    </row>
    <row r="1561" spans="2:68" x14ac:dyDescent="0.25">
      <c r="B1561" s="98" t="s">
        <v>555</v>
      </c>
      <c r="C1561" s="98">
        <v>2014</v>
      </c>
      <c r="D1561" s="98" t="s">
        <v>326</v>
      </c>
      <c r="E1561" s="98" t="s">
        <v>35</v>
      </c>
      <c r="F1561" s="98" t="s">
        <v>136</v>
      </c>
      <c r="G1561" s="98">
        <v>0</v>
      </c>
      <c r="H1561" s="299" t="str">
        <f>VLOOKUP(LEFT('Rev Adequacy'!D1561,3),'Mapping B'!$D$2:$E$400,2,0)</f>
        <v>S</v>
      </c>
      <c r="BP1561" s="190"/>
    </row>
    <row r="1562" spans="2:68" x14ac:dyDescent="0.25">
      <c r="B1562" s="98" t="s">
        <v>555</v>
      </c>
      <c r="C1562" s="98">
        <v>2014</v>
      </c>
      <c r="D1562" s="98" t="s">
        <v>335</v>
      </c>
      <c r="E1562" s="98" t="s">
        <v>35</v>
      </c>
      <c r="F1562" s="98" t="s">
        <v>136</v>
      </c>
      <c r="G1562" s="98">
        <v>0</v>
      </c>
      <c r="H1562" s="299" t="str">
        <f>VLOOKUP(LEFT('Rev Adequacy'!D1562,3),'Mapping B'!$D$2:$E$400,2,0)</f>
        <v>N</v>
      </c>
      <c r="BP1562" s="190"/>
    </row>
    <row r="1563" spans="2:68" x14ac:dyDescent="0.25">
      <c r="B1563" s="98" t="s">
        <v>555</v>
      </c>
      <c r="C1563" s="98">
        <v>2014</v>
      </c>
      <c r="D1563" s="98" t="s">
        <v>357</v>
      </c>
      <c r="E1563" s="98" t="s">
        <v>35</v>
      </c>
      <c r="F1563" s="98" t="s">
        <v>145</v>
      </c>
      <c r="G1563" s="98">
        <v>0</v>
      </c>
      <c r="H1563" s="299" t="str">
        <f>VLOOKUP(LEFT('Rev Adequacy'!D1563,3),'Mapping B'!$D$2:$E$400,2,0)</f>
        <v>N</v>
      </c>
      <c r="BP1563" s="190"/>
    </row>
    <row r="1564" spans="2:68" x14ac:dyDescent="0.25">
      <c r="B1564" s="98" t="s">
        <v>555</v>
      </c>
      <c r="C1564" s="98">
        <v>2014</v>
      </c>
      <c r="D1564" s="98" t="s">
        <v>357</v>
      </c>
      <c r="E1564" s="98" t="s">
        <v>138</v>
      </c>
      <c r="F1564" s="98" t="s">
        <v>131</v>
      </c>
      <c r="G1564" s="98">
        <v>157.68599999999901</v>
      </c>
      <c r="H1564" s="299" t="str">
        <f>VLOOKUP(LEFT('Rev Adequacy'!D1564,3),'Mapping B'!$D$2:$E$400,2,0)</f>
        <v>N</v>
      </c>
      <c r="BP1564" s="190"/>
    </row>
    <row r="1565" spans="2:68" x14ac:dyDescent="0.25">
      <c r="B1565" s="98" t="s">
        <v>112</v>
      </c>
      <c r="C1565" s="98">
        <v>2014</v>
      </c>
      <c r="D1565" s="98" t="s">
        <v>137</v>
      </c>
      <c r="E1565" s="98" t="s">
        <v>138</v>
      </c>
      <c r="F1565" s="98" t="s">
        <v>131</v>
      </c>
      <c r="G1565" s="98">
        <v>0</v>
      </c>
      <c r="H1565" s="299" t="str">
        <f>VLOOKUP(LEFT('Rev Adequacy'!D1565,3),'Mapping B'!$D$2:$E$400,2,0)</f>
        <v>S</v>
      </c>
      <c r="BP1565" s="190"/>
    </row>
    <row r="1566" spans="2:68" x14ac:dyDescent="0.25">
      <c r="B1566" s="98" t="s">
        <v>112</v>
      </c>
      <c r="C1566" s="98">
        <v>2014</v>
      </c>
      <c r="D1566" s="98" t="s">
        <v>139</v>
      </c>
      <c r="E1566" s="98" t="s">
        <v>35</v>
      </c>
      <c r="F1566" s="98" t="s">
        <v>136</v>
      </c>
      <c r="G1566" s="98">
        <v>1148280.429</v>
      </c>
      <c r="H1566" s="299" t="str">
        <f>VLOOKUP(LEFT('Rev Adequacy'!D1566,3),'Mapping B'!$D$2:$E$400,2,0)</f>
        <v>S</v>
      </c>
      <c r="BP1566" s="190"/>
    </row>
    <row r="1567" spans="2:68" x14ac:dyDescent="0.25">
      <c r="B1567" s="98" t="s">
        <v>112</v>
      </c>
      <c r="C1567" s="98">
        <v>2014</v>
      </c>
      <c r="D1567" s="98" t="s">
        <v>144</v>
      </c>
      <c r="E1567" s="98" t="s">
        <v>35</v>
      </c>
      <c r="F1567" s="98" t="s">
        <v>136</v>
      </c>
      <c r="G1567" s="98">
        <v>1316240.8219999799</v>
      </c>
      <c r="H1567" s="299" t="str">
        <f>VLOOKUP(LEFT('Rev Adequacy'!D1567,3),'Mapping B'!$D$2:$E$400,2,0)</f>
        <v>S</v>
      </c>
      <c r="BP1567" s="190"/>
    </row>
    <row r="1568" spans="2:68" x14ac:dyDescent="0.25">
      <c r="B1568" s="98" t="s">
        <v>112</v>
      </c>
      <c r="C1568" s="98">
        <v>2014</v>
      </c>
      <c r="D1568" s="98" t="s">
        <v>158</v>
      </c>
      <c r="E1568" s="98" t="s">
        <v>35</v>
      </c>
      <c r="F1568" s="98" t="s">
        <v>145</v>
      </c>
      <c r="G1568" s="98">
        <v>0</v>
      </c>
      <c r="H1568" s="299" t="str">
        <f>VLOOKUP(LEFT('Rev Adequacy'!D1568,3),'Mapping B'!$D$2:$E$400,2,0)</f>
        <v>N</v>
      </c>
      <c r="BP1568" s="190"/>
    </row>
    <row r="1569" spans="2:68" x14ac:dyDescent="0.25">
      <c r="B1569" s="98" t="s">
        <v>112</v>
      </c>
      <c r="C1569" s="98">
        <v>2014</v>
      </c>
      <c r="D1569" s="98" t="s">
        <v>164</v>
      </c>
      <c r="E1569" s="98" t="s">
        <v>138</v>
      </c>
      <c r="F1569" s="98" t="s">
        <v>131</v>
      </c>
      <c r="G1569" s="98">
        <v>312.00700000000103</v>
      </c>
      <c r="H1569" s="299" t="str">
        <f>VLOOKUP(LEFT('Rev Adequacy'!D1569,3),'Mapping B'!$D$2:$E$400,2,0)</f>
        <v>S</v>
      </c>
      <c r="BP1569" s="190"/>
    </row>
    <row r="1570" spans="2:68" x14ac:dyDescent="0.25">
      <c r="B1570" s="98" t="s">
        <v>112</v>
      </c>
      <c r="C1570" s="98">
        <v>2014</v>
      </c>
      <c r="D1570" s="98" t="s">
        <v>165</v>
      </c>
      <c r="E1570" s="98" t="s">
        <v>35</v>
      </c>
      <c r="F1570" s="98" t="s">
        <v>136</v>
      </c>
      <c r="G1570" s="98">
        <v>1728116.12099998</v>
      </c>
      <c r="H1570" s="299" t="str">
        <f>VLOOKUP(LEFT('Rev Adequacy'!D1570,3),'Mapping B'!$D$2:$E$400,2,0)</f>
        <v>S</v>
      </c>
      <c r="BP1570" s="190"/>
    </row>
    <row r="1571" spans="2:68" x14ac:dyDescent="0.25">
      <c r="B1571" s="98" t="s">
        <v>112</v>
      </c>
      <c r="C1571" s="98">
        <v>2014</v>
      </c>
      <c r="D1571" s="98" t="s">
        <v>170</v>
      </c>
      <c r="E1571" s="98" t="s">
        <v>138</v>
      </c>
      <c r="F1571" s="98" t="s">
        <v>131</v>
      </c>
      <c r="G1571" s="98">
        <v>976.82699999999897</v>
      </c>
      <c r="H1571" s="299" t="str">
        <f>VLOOKUP(LEFT('Rev Adequacy'!D1571,3),'Mapping B'!$D$2:$E$400,2,0)</f>
        <v>S</v>
      </c>
      <c r="BP1571" s="190"/>
    </row>
    <row r="1572" spans="2:68" x14ac:dyDescent="0.25">
      <c r="B1572" s="98" t="s">
        <v>112</v>
      </c>
      <c r="C1572" s="98">
        <v>2014</v>
      </c>
      <c r="D1572" s="98" t="s">
        <v>171</v>
      </c>
      <c r="E1572" s="98" t="s">
        <v>35</v>
      </c>
      <c r="F1572" s="98" t="s">
        <v>136</v>
      </c>
      <c r="G1572" s="98">
        <v>2972587.1079999902</v>
      </c>
      <c r="H1572" s="299" t="str">
        <f>VLOOKUP(LEFT('Rev Adequacy'!D1572,3),'Mapping B'!$D$2:$E$400,2,0)</f>
        <v>S</v>
      </c>
      <c r="BP1572" s="190"/>
    </row>
    <row r="1573" spans="2:68" x14ac:dyDescent="0.25">
      <c r="B1573" s="98" t="s">
        <v>112</v>
      </c>
      <c r="C1573" s="98">
        <v>2014</v>
      </c>
      <c r="D1573" s="98" t="s">
        <v>213</v>
      </c>
      <c r="E1573" s="98" t="s">
        <v>138</v>
      </c>
      <c r="F1573" s="98" t="s">
        <v>131</v>
      </c>
      <c r="G1573" s="98">
        <v>919.62099999999998</v>
      </c>
      <c r="H1573" s="299" t="str">
        <f>VLOOKUP(LEFT('Rev Adequacy'!D1573,3),'Mapping B'!$D$2:$E$400,2,0)</f>
        <v>N</v>
      </c>
      <c r="BP1573" s="190"/>
    </row>
    <row r="1574" spans="2:68" x14ac:dyDescent="0.25">
      <c r="B1574" s="98" t="s">
        <v>112</v>
      </c>
      <c r="C1574" s="98">
        <v>2014</v>
      </c>
      <c r="D1574" s="98" t="s">
        <v>214</v>
      </c>
      <c r="E1574" s="98" t="s">
        <v>35</v>
      </c>
      <c r="F1574" s="98" t="s">
        <v>136</v>
      </c>
      <c r="G1574" s="98">
        <v>0</v>
      </c>
      <c r="H1574" s="299" t="str">
        <f>VLOOKUP(LEFT('Rev Adequacy'!D1574,3),'Mapping B'!$D$2:$E$400,2,0)</f>
        <v>N</v>
      </c>
      <c r="BP1574" s="190"/>
    </row>
    <row r="1575" spans="2:68" x14ac:dyDescent="0.25">
      <c r="B1575" s="98" t="s">
        <v>112</v>
      </c>
      <c r="C1575" s="98">
        <v>2014</v>
      </c>
      <c r="D1575" s="98" t="s">
        <v>215</v>
      </c>
      <c r="E1575" s="98" t="s">
        <v>35</v>
      </c>
      <c r="F1575" s="98" t="s">
        <v>136</v>
      </c>
      <c r="G1575" s="98">
        <v>0</v>
      </c>
      <c r="H1575" s="299" t="str">
        <f>VLOOKUP(LEFT('Rev Adequacy'!D1575,3),'Mapping B'!$D$2:$E$400,2,0)</f>
        <v>N</v>
      </c>
      <c r="BP1575" s="190"/>
    </row>
    <row r="1576" spans="2:68" x14ac:dyDescent="0.25">
      <c r="B1576" s="98" t="s">
        <v>112</v>
      </c>
      <c r="C1576" s="98">
        <v>2014</v>
      </c>
      <c r="D1576" s="98" t="s">
        <v>216</v>
      </c>
      <c r="E1576" s="98" t="s">
        <v>35</v>
      </c>
      <c r="F1576" s="98" t="s">
        <v>136</v>
      </c>
      <c r="G1576" s="98">
        <v>0</v>
      </c>
      <c r="H1576" s="299" t="str">
        <f>VLOOKUP(LEFT('Rev Adequacy'!D1576,3),'Mapping B'!$D$2:$E$400,2,0)</f>
        <v>N</v>
      </c>
      <c r="BP1576" s="190"/>
    </row>
    <row r="1577" spans="2:68" x14ac:dyDescent="0.25">
      <c r="B1577" s="98" t="s">
        <v>112</v>
      </c>
      <c r="C1577" s="98">
        <v>2014</v>
      </c>
      <c r="D1577" s="98" t="s">
        <v>221</v>
      </c>
      <c r="E1577" s="98" t="s">
        <v>35</v>
      </c>
      <c r="F1577" s="98" t="s">
        <v>136</v>
      </c>
      <c r="G1577" s="98">
        <v>888892.93200000399</v>
      </c>
      <c r="H1577" s="299" t="str">
        <f>VLOOKUP(LEFT('Rev Adequacy'!D1577,3),'Mapping B'!$D$2:$E$400,2,0)</f>
        <v>S</v>
      </c>
      <c r="BP1577" s="190"/>
    </row>
    <row r="1578" spans="2:68" x14ac:dyDescent="0.25">
      <c r="B1578" s="98" t="s">
        <v>112</v>
      </c>
      <c r="C1578" s="98">
        <v>2014</v>
      </c>
      <c r="D1578" s="98" t="s">
        <v>241</v>
      </c>
      <c r="E1578" s="98" t="s">
        <v>35</v>
      </c>
      <c r="F1578" s="98" t="s">
        <v>145</v>
      </c>
      <c r="G1578" s="98">
        <v>276137.516</v>
      </c>
      <c r="H1578" s="299" t="str">
        <f>VLOOKUP(LEFT('Rev Adequacy'!D1578,3),'Mapping B'!$D$2:$E$400,2,0)</f>
        <v>S</v>
      </c>
      <c r="BP1578" s="190"/>
    </row>
    <row r="1579" spans="2:68" x14ac:dyDescent="0.25">
      <c r="B1579" s="98" t="s">
        <v>112</v>
      </c>
      <c r="C1579" s="98">
        <v>2014</v>
      </c>
      <c r="D1579" s="98" t="s">
        <v>242</v>
      </c>
      <c r="E1579" s="98" t="s">
        <v>35</v>
      </c>
      <c r="F1579" s="98" t="s">
        <v>136</v>
      </c>
      <c r="G1579" s="98">
        <v>561457.68999999994</v>
      </c>
      <c r="H1579" s="299" t="str">
        <f>VLOOKUP(LEFT('Rev Adequacy'!D1579,3),'Mapping B'!$D$2:$E$400,2,0)</f>
        <v>S</v>
      </c>
      <c r="BP1579" s="190"/>
    </row>
    <row r="1580" spans="2:68" x14ac:dyDescent="0.25">
      <c r="B1580" s="98" t="s">
        <v>112</v>
      </c>
      <c r="C1580" s="98">
        <v>2014</v>
      </c>
      <c r="D1580" s="98" t="s">
        <v>247</v>
      </c>
      <c r="E1580" s="98" t="s">
        <v>35</v>
      </c>
      <c r="F1580" s="98" t="s">
        <v>145</v>
      </c>
      <c r="G1580" s="98">
        <v>0</v>
      </c>
      <c r="H1580" s="299" t="str">
        <f>VLOOKUP(LEFT('Rev Adequacy'!D1580,3),'Mapping B'!$D$2:$E$400,2,0)</f>
        <v>N</v>
      </c>
      <c r="BP1580" s="190"/>
    </row>
    <row r="1581" spans="2:68" x14ac:dyDescent="0.25">
      <c r="B1581" s="98" t="s">
        <v>112</v>
      </c>
      <c r="C1581" s="98">
        <v>2014</v>
      </c>
      <c r="D1581" s="98" t="s">
        <v>249</v>
      </c>
      <c r="E1581" s="98" t="s">
        <v>138</v>
      </c>
      <c r="F1581" s="98" t="s">
        <v>131</v>
      </c>
      <c r="G1581" s="98">
        <v>1639.778</v>
      </c>
      <c r="H1581" s="299" t="str">
        <f>VLOOKUP(LEFT('Rev Adequacy'!D1581,3),'Mapping B'!$D$2:$E$400,2,0)</f>
        <v>N</v>
      </c>
      <c r="BP1581" s="190"/>
    </row>
    <row r="1582" spans="2:68" x14ac:dyDescent="0.25">
      <c r="B1582" s="98" t="s">
        <v>112</v>
      </c>
      <c r="C1582" s="98">
        <v>2014</v>
      </c>
      <c r="D1582" s="98" t="s">
        <v>251</v>
      </c>
      <c r="E1582" s="98" t="s">
        <v>35</v>
      </c>
      <c r="F1582" s="98" t="s">
        <v>136</v>
      </c>
      <c r="G1582" s="98">
        <v>0</v>
      </c>
      <c r="H1582" s="299" t="str">
        <f>VLOOKUP(LEFT('Rev Adequacy'!D1582,3),'Mapping B'!$D$2:$E$400,2,0)</f>
        <v>N</v>
      </c>
      <c r="BP1582" s="190"/>
    </row>
    <row r="1583" spans="2:68" x14ac:dyDescent="0.25">
      <c r="B1583" s="98" t="s">
        <v>112</v>
      </c>
      <c r="C1583" s="98">
        <v>2014</v>
      </c>
      <c r="D1583" s="98" t="s">
        <v>252</v>
      </c>
      <c r="E1583" s="98" t="s">
        <v>35</v>
      </c>
      <c r="F1583" s="98" t="s">
        <v>136</v>
      </c>
      <c r="G1583" s="98">
        <v>0</v>
      </c>
      <c r="H1583" s="299" t="str">
        <f>VLOOKUP(LEFT('Rev Adequacy'!D1583,3),'Mapping B'!$D$2:$E$400,2,0)</f>
        <v>N</v>
      </c>
      <c r="BP1583" s="190"/>
    </row>
    <row r="1584" spans="2:68" x14ac:dyDescent="0.25">
      <c r="B1584" s="98" t="s">
        <v>112</v>
      </c>
      <c r="C1584" s="98">
        <v>2014</v>
      </c>
      <c r="D1584" s="98" t="s">
        <v>281</v>
      </c>
      <c r="E1584" s="98" t="s">
        <v>35</v>
      </c>
      <c r="F1584" s="98" t="s">
        <v>136</v>
      </c>
      <c r="G1584" s="98">
        <v>1115007.9000000099</v>
      </c>
      <c r="H1584" s="299" t="str">
        <f>VLOOKUP(LEFT('Rev Adequacy'!D1584,3),'Mapping B'!$D$2:$E$400,2,0)</f>
        <v>S</v>
      </c>
      <c r="BP1584" s="190"/>
    </row>
    <row r="1585" spans="2:68" x14ac:dyDescent="0.25">
      <c r="B1585" s="98" t="s">
        <v>112</v>
      </c>
      <c r="C1585" s="98">
        <v>2014</v>
      </c>
      <c r="D1585" s="98" t="s">
        <v>313</v>
      </c>
      <c r="E1585" s="98" t="s">
        <v>138</v>
      </c>
      <c r="F1585" s="98" t="s">
        <v>131</v>
      </c>
      <c r="G1585" s="98">
        <v>21.6829999999999</v>
      </c>
      <c r="H1585" s="299" t="str">
        <f>VLOOKUP(LEFT('Rev Adequacy'!D1585,3),'Mapping B'!$D$2:$E$400,2,0)</f>
        <v>N</v>
      </c>
      <c r="BP1585" s="190"/>
    </row>
    <row r="1586" spans="2:68" x14ac:dyDescent="0.25">
      <c r="B1586" s="98" t="s">
        <v>112</v>
      </c>
      <c r="C1586" s="98">
        <v>2014</v>
      </c>
      <c r="D1586" s="98" t="s">
        <v>314</v>
      </c>
      <c r="E1586" s="98" t="s">
        <v>35</v>
      </c>
      <c r="F1586" s="98" t="s">
        <v>136</v>
      </c>
      <c r="G1586" s="98">
        <v>0</v>
      </c>
      <c r="H1586" s="299" t="str">
        <f>VLOOKUP(LEFT('Rev Adequacy'!D1586,3),'Mapping B'!$D$2:$E$400,2,0)</f>
        <v>N</v>
      </c>
      <c r="BP1586" s="190"/>
    </row>
    <row r="1587" spans="2:68" x14ac:dyDescent="0.25">
      <c r="B1587" s="98" t="s">
        <v>112</v>
      </c>
      <c r="C1587" s="98">
        <v>2014</v>
      </c>
      <c r="D1587" s="98" t="s">
        <v>326</v>
      </c>
      <c r="E1587" s="98" t="s">
        <v>35</v>
      </c>
      <c r="F1587" s="98" t="s">
        <v>136</v>
      </c>
      <c r="G1587" s="98">
        <v>165023.49100001401</v>
      </c>
      <c r="H1587" s="299" t="str">
        <f>VLOOKUP(LEFT('Rev Adequacy'!D1587,3),'Mapping B'!$D$2:$E$400,2,0)</f>
        <v>S</v>
      </c>
      <c r="BP1587" s="190"/>
    </row>
    <row r="1588" spans="2:68" x14ac:dyDescent="0.25">
      <c r="B1588" s="98" t="s">
        <v>112</v>
      </c>
      <c r="C1588" s="98">
        <v>2014</v>
      </c>
      <c r="D1588" s="98" t="s">
        <v>335</v>
      </c>
      <c r="E1588" s="98" t="s">
        <v>35</v>
      </c>
      <c r="F1588" s="98" t="s">
        <v>136</v>
      </c>
      <c r="G1588" s="98">
        <v>0</v>
      </c>
      <c r="H1588" s="299" t="str">
        <f>VLOOKUP(LEFT('Rev Adequacy'!D1588,3),'Mapping B'!$D$2:$E$400,2,0)</f>
        <v>N</v>
      </c>
      <c r="BP1588" s="190"/>
    </row>
    <row r="1589" spans="2:68" x14ac:dyDescent="0.25">
      <c r="B1589" s="98" t="s">
        <v>112</v>
      </c>
      <c r="C1589" s="98">
        <v>2014</v>
      </c>
      <c r="D1589" s="98" t="s">
        <v>357</v>
      </c>
      <c r="E1589" s="98" t="s">
        <v>35</v>
      </c>
      <c r="F1589" s="98" t="s">
        <v>145</v>
      </c>
      <c r="G1589" s="98">
        <v>0</v>
      </c>
      <c r="H1589" s="299" t="str">
        <f>VLOOKUP(LEFT('Rev Adequacy'!D1589,3),'Mapping B'!$D$2:$E$400,2,0)</f>
        <v>N</v>
      </c>
      <c r="BP1589" s="190"/>
    </row>
    <row r="1590" spans="2:68" x14ac:dyDescent="0.25">
      <c r="B1590" s="98" t="s">
        <v>112</v>
      </c>
      <c r="C1590" s="98">
        <v>2014</v>
      </c>
      <c r="D1590" s="98" t="s">
        <v>357</v>
      </c>
      <c r="E1590" s="98" t="s">
        <v>138</v>
      </c>
      <c r="F1590" s="98" t="s">
        <v>131</v>
      </c>
      <c r="G1590" s="98">
        <v>14113.961999999899</v>
      </c>
      <c r="H1590" s="299" t="str">
        <f>VLOOKUP(LEFT('Rev Adequacy'!D1590,3),'Mapping B'!$D$2:$E$400,2,0)</f>
        <v>N</v>
      </c>
      <c r="BP1590" s="190"/>
    </row>
    <row r="1591" spans="2:68" x14ac:dyDescent="0.25">
      <c r="B1591" s="98" t="s">
        <v>111</v>
      </c>
      <c r="C1591" s="98">
        <v>2014</v>
      </c>
      <c r="D1591" s="98" t="s">
        <v>137</v>
      </c>
      <c r="E1591" s="98" t="s">
        <v>138</v>
      </c>
      <c r="F1591" s="98" t="s">
        <v>131</v>
      </c>
      <c r="G1591" s="98">
        <v>0</v>
      </c>
      <c r="H1591" s="299" t="str">
        <f>VLOOKUP(LEFT('Rev Adequacy'!D1591,3),'Mapping B'!$D$2:$E$400,2,0)</f>
        <v>S</v>
      </c>
      <c r="BP1591" s="190"/>
    </row>
    <row r="1592" spans="2:68" x14ac:dyDescent="0.25">
      <c r="B1592" s="98" t="s">
        <v>111</v>
      </c>
      <c r="C1592" s="98">
        <v>2014</v>
      </c>
      <c r="D1592" s="98" t="s">
        <v>139</v>
      </c>
      <c r="E1592" s="98" t="s">
        <v>35</v>
      </c>
      <c r="F1592" s="98" t="s">
        <v>136</v>
      </c>
      <c r="G1592" s="98">
        <v>1208351.9010000001</v>
      </c>
      <c r="H1592" s="299" t="str">
        <f>VLOOKUP(LEFT('Rev Adequacy'!D1592,3),'Mapping B'!$D$2:$E$400,2,0)</f>
        <v>S</v>
      </c>
      <c r="BP1592" s="190"/>
    </row>
    <row r="1593" spans="2:68" x14ac:dyDescent="0.25">
      <c r="B1593" s="98" t="s">
        <v>111</v>
      </c>
      <c r="C1593" s="98">
        <v>2014</v>
      </c>
      <c r="D1593" s="98" t="s">
        <v>144</v>
      </c>
      <c r="E1593" s="98" t="s">
        <v>35</v>
      </c>
      <c r="F1593" s="98" t="s">
        <v>136</v>
      </c>
      <c r="G1593" s="98">
        <v>2535764.7119999998</v>
      </c>
      <c r="H1593" s="299" t="str">
        <f>VLOOKUP(LEFT('Rev Adequacy'!D1593,3),'Mapping B'!$D$2:$E$400,2,0)</f>
        <v>S</v>
      </c>
      <c r="BP1593" s="190"/>
    </row>
    <row r="1594" spans="2:68" x14ac:dyDescent="0.25">
      <c r="B1594" s="98" t="s">
        <v>111</v>
      </c>
      <c r="C1594" s="98">
        <v>2014</v>
      </c>
      <c r="D1594" s="98" t="s">
        <v>158</v>
      </c>
      <c r="E1594" s="98" t="s">
        <v>35</v>
      </c>
      <c r="F1594" s="98" t="s">
        <v>145</v>
      </c>
      <c r="G1594" s="98">
        <v>0</v>
      </c>
      <c r="H1594" s="299" t="str">
        <f>VLOOKUP(LEFT('Rev Adequacy'!D1594,3),'Mapping B'!$D$2:$E$400,2,0)</f>
        <v>N</v>
      </c>
      <c r="BP1594" s="190"/>
    </row>
    <row r="1595" spans="2:68" x14ac:dyDescent="0.25">
      <c r="B1595" s="98" t="s">
        <v>111</v>
      </c>
      <c r="C1595" s="98">
        <v>2014</v>
      </c>
      <c r="D1595" s="98" t="s">
        <v>164</v>
      </c>
      <c r="E1595" s="98" t="s">
        <v>138</v>
      </c>
      <c r="F1595" s="98" t="s">
        <v>131</v>
      </c>
      <c r="G1595" s="98">
        <v>0</v>
      </c>
      <c r="H1595" s="299" t="str">
        <f>VLOOKUP(LEFT('Rev Adequacy'!D1595,3),'Mapping B'!$D$2:$E$400,2,0)</f>
        <v>S</v>
      </c>
      <c r="BP1595" s="190"/>
    </row>
    <row r="1596" spans="2:68" x14ac:dyDescent="0.25">
      <c r="B1596" s="98" t="s">
        <v>111</v>
      </c>
      <c r="C1596" s="98">
        <v>2014</v>
      </c>
      <c r="D1596" s="98" t="s">
        <v>165</v>
      </c>
      <c r="E1596" s="98" t="s">
        <v>35</v>
      </c>
      <c r="F1596" s="98" t="s">
        <v>136</v>
      </c>
      <c r="G1596" s="98">
        <v>2471238.844</v>
      </c>
      <c r="H1596" s="299" t="str">
        <f>VLOOKUP(LEFT('Rev Adequacy'!D1596,3),'Mapping B'!$D$2:$E$400,2,0)</f>
        <v>S</v>
      </c>
      <c r="BP1596" s="190"/>
    </row>
    <row r="1597" spans="2:68" x14ac:dyDescent="0.25">
      <c r="B1597" s="98" t="s">
        <v>111</v>
      </c>
      <c r="C1597" s="98">
        <v>2014</v>
      </c>
      <c r="D1597" s="98" t="s">
        <v>170</v>
      </c>
      <c r="E1597" s="98" t="s">
        <v>138</v>
      </c>
      <c r="F1597" s="98" t="s">
        <v>131</v>
      </c>
      <c r="G1597" s="98">
        <v>130.45099999999999</v>
      </c>
      <c r="H1597" s="299" t="str">
        <f>VLOOKUP(LEFT('Rev Adequacy'!D1597,3),'Mapping B'!$D$2:$E$400,2,0)</f>
        <v>S</v>
      </c>
      <c r="BP1597" s="190"/>
    </row>
    <row r="1598" spans="2:68" x14ac:dyDescent="0.25">
      <c r="B1598" s="98" t="s">
        <v>111</v>
      </c>
      <c r="C1598" s="98">
        <v>2014</v>
      </c>
      <c r="D1598" s="98" t="s">
        <v>171</v>
      </c>
      <c r="E1598" s="98" t="s">
        <v>35</v>
      </c>
      <c r="F1598" s="98" t="s">
        <v>136</v>
      </c>
      <c r="G1598" s="98">
        <v>4707441.9599999897</v>
      </c>
      <c r="H1598" s="299" t="str">
        <f>VLOOKUP(LEFT('Rev Adequacy'!D1598,3),'Mapping B'!$D$2:$E$400,2,0)</f>
        <v>S</v>
      </c>
      <c r="BP1598" s="190"/>
    </row>
    <row r="1599" spans="2:68" x14ac:dyDescent="0.25">
      <c r="B1599" s="98" t="s">
        <v>111</v>
      </c>
      <c r="C1599" s="98">
        <v>2014</v>
      </c>
      <c r="D1599" s="98" t="s">
        <v>213</v>
      </c>
      <c r="E1599" s="98" t="s">
        <v>138</v>
      </c>
      <c r="F1599" s="98" t="s">
        <v>131</v>
      </c>
      <c r="G1599" s="98">
        <v>70.7259999999999</v>
      </c>
      <c r="H1599" s="299" t="str">
        <f>VLOOKUP(LEFT('Rev Adequacy'!D1599,3),'Mapping B'!$D$2:$E$400,2,0)</f>
        <v>N</v>
      </c>
      <c r="BP1599" s="190"/>
    </row>
    <row r="1600" spans="2:68" x14ac:dyDescent="0.25">
      <c r="B1600" s="98" t="s">
        <v>111</v>
      </c>
      <c r="C1600" s="98">
        <v>2014</v>
      </c>
      <c r="D1600" s="98" t="s">
        <v>214</v>
      </c>
      <c r="E1600" s="98" t="s">
        <v>35</v>
      </c>
      <c r="F1600" s="98" t="s">
        <v>136</v>
      </c>
      <c r="G1600" s="98">
        <v>0</v>
      </c>
      <c r="H1600" s="299" t="str">
        <f>VLOOKUP(LEFT('Rev Adequacy'!D1600,3),'Mapping B'!$D$2:$E$400,2,0)</f>
        <v>N</v>
      </c>
      <c r="BP1600" s="190"/>
    </row>
    <row r="1601" spans="2:68" x14ac:dyDescent="0.25">
      <c r="B1601" s="98" t="s">
        <v>111</v>
      </c>
      <c r="C1601" s="98">
        <v>2014</v>
      </c>
      <c r="D1601" s="98" t="s">
        <v>215</v>
      </c>
      <c r="E1601" s="98" t="s">
        <v>35</v>
      </c>
      <c r="F1601" s="98" t="s">
        <v>136</v>
      </c>
      <c r="G1601" s="98">
        <v>0</v>
      </c>
      <c r="H1601" s="299" t="str">
        <f>VLOOKUP(LEFT('Rev Adequacy'!D1601,3),'Mapping B'!$D$2:$E$400,2,0)</f>
        <v>N</v>
      </c>
      <c r="BP1601" s="190"/>
    </row>
    <row r="1602" spans="2:68" x14ac:dyDescent="0.25">
      <c r="B1602" s="98" t="s">
        <v>111</v>
      </c>
      <c r="C1602" s="98">
        <v>2014</v>
      </c>
      <c r="D1602" s="98" t="s">
        <v>216</v>
      </c>
      <c r="E1602" s="98" t="s">
        <v>35</v>
      </c>
      <c r="F1602" s="98" t="s">
        <v>136</v>
      </c>
      <c r="G1602" s="98">
        <v>0</v>
      </c>
      <c r="H1602" s="299" t="str">
        <f>VLOOKUP(LEFT('Rev Adequacy'!D1602,3),'Mapping B'!$D$2:$E$400,2,0)</f>
        <v>N</v>
      </c>
      <c r="BP1602" s="190"/>
    </row>
    <row r="1603" spans="2:68" x14ac:dyDescent="0.25">
      <c r="B1603" s="98" t="s">
        <v>111</v>
      </c>
      <c r="C1603" s="98">
        <v>2014</v>
      </c>
      <c r="D1603" s="98" t="s">
        <v>221</v>
      </c>
      <c r="E1603" s="98" t="s">
        <v>35</v>
      </c>
      <c r="F1603" s="98" t="s">
        <v>136</v>
      </c>
      <c r="G1603" s="98">
        <v>1668531.325</v>
      </c>
      <c r="H1603" s="299" t="str">
        <f>VLOOKUP(LEFT('Rev Adequacy'!D1603,3),'Mapping B'!$D$2:$E$400,2,0)</f>
        <v>S</v>
      </c>
      <c r="BP1603" s="190"/>
    </row>
    <row r="1604" spans="2:68" x14ac:dyDescent="0.25">
      <c r="B1604" s="98" t="s">
        <v>111</v>
      </c>
      <c r="C1604" s="98">
        <v>2014</v>
      </c>
      <c r="D1604" s="98" t="s">
        <v>241</v>
      </c>
      <c r="E1604" s="98" t="s">
        <v>35</v>
      </c>
      <c r="F1604" s="98" t="s">
        <v>145</v>
      </c>
      <c r="G1604" s="98">
        <v>247679.68799999999</v>
      </c>
      <c r="H1604" s="299" t="str">
        <f>VLOOKUP(LEFT('Rev Adequacy'!D1604,3),'Mapping B'!$D$2:$E$400,2,0)</f>
        <v>S</v>
      </c>
      <c r="BP1604" s="190"/>
    </row>
    <row r="1605" spans="2:68" x14ac:dyDescent="0.25">
      <c r="B1605" s="98" t="s">
        <v>111</v>
      </c>
      <c r="C1605" s="98">
        <v>2014</v>
      </c>
      <c r="D1605" s="98" t="s">
        <v>242</v>
      </c>
      <c r="E1605" s="98" t="s">
        <v>35</v>
      </c>
      <c r="F1605" s="98" t="s">
        <v>136</v>
      </c>
      <c r="G1605" s="98">
        <v>585836.126999998</v>
      </c>
      <c r="H1605" s="299" t="str">
        <f>VLOOKUP(LEFT('Rev Adequacy'!D1605,3),'Mapping B'!$D$2:$E$400,2,0)</f>
        <v>S</v>
      </c>
      <c r="BP1605" s="190"/>
    </row>
    <row r="1606" spans="2:68" x14ac:dyDescent="0.25">
      <c r="B1606" s="98" t="s">
        <v>111</v>
      </c>
      <c r="C1606" s="98">
        <v>2014</v>
      </c>
      <c r="D1606" s="98" t="s">
        <v>247</v>
      </c>
      <c r="E1606" s="98" t="s">
        <v>35</v>
      </c>
      <c r="F1606" s="98" t="s">
        <v>145</v>
      </c>
      <c r="G1606" s="98">
        <v>0</v>
      </c>
      <c r="H1606" s="299" t="str">
        <f>VLOOKUP(LEFT('Rev Adequacy'!D1606,3),'Mapping B'!$D$2:$E$400,2,0)</f>
        <v>N</v>
      </c>
      <c r="BP1606" s="190"/>
    </row>
    <row r="1607" spans="2:68" x14ac:dyDescent="0.25">
      <c r="B1607" s="98" t="s">
        <v>111</v>
      </c>
      <c r="C1607" s="98">
        <v>2014</v>
      </c>
      <c r="D1607" s="98" t="s">
        <v>249</v>
      </c>
      <c r="E1607" s="98" t="s">
        <v>138</v>
      </c>
      <c r="F1607" s="98" t="s">
        <v>131</v>
      </c>
      <c r="G1607" s="98">
        <v>267.18400000000003</v>
      </c>
      <c r="H1607" s="299" t="str">
        <f>VLOOKUP(LEFT('Rev Adequacy'!D1607,3),'Mapping B'!$D$2:$E$400,2,0)</f>
        <v>N</v>
      </c>
      <c r="BP1607" s="190"/>
    </row>
    <row r="1608" spans="2:68" x14ac:dyDescent="0.25">
      <c r="B1608" s="98" t="s">
        <v>111</v>
      </c>
      <c r="C1608" s="98">
        <v>2014</v>
      </c>
      <c r="D1608" s="98" t="s">
        <v>251</v>
      </c>
      <c r="E1608" s="98" t="s">
        <v>35</v>
      </c>
      <c r="F1608" s="98" t="s">
        <v>136</v>
      </c>
      <c r="G1608" s="98">
        <v>0</v>
      </c>
      <c r="H1608" s="299" t="str">
        <f>VLOOKUP(LEFT('Rev Adequacy'!D1608,3),'Mapping B'!$D$2:$E$400,2,0)</f>
        <v>N</v>
      </c>
      <c r="BP1608" s="190"/>
    </row>
    <row r="1609" spans="2:68" x14ac:dyDescent="0.25">
      <c r="B1609" s="98" t="s">
        <v>111</v>
      </c>
      <c r="C1609" s="98">
        <v>2014</v>
      </c>
      <c r="D1609" s="98" t="s">
        <v>252</v>
      </c>
      <c r="E1609" s="98" t="s">
        <v>35</v>
      </c>
      <c r="F1609" s="98" t="s">
        <v>136</v>
      </c>
      <c r="G1609" s="98">
        <v>0</v>
      </c>
      <c r="H1609" s="299" t="str">
        <f>VLOOKUP(LEFT('Rev Adequacy'!D1609,3),'Mapping B'!$D$2:$E$400,2,0)</f>
        <v>N</v>
      </c>
      <c r="BP1609" s="190"/>
    </row>
    <row r="1610" spans="2:68" x14ac:dyDescent="0.25">
      <c r="B1610" s="98" t="s">
        <v>111</v>
      </c>
      <c r="C1610" s="98">
        <v>2014</v>
      </c>
      <c r="D1610" s="98" t="s">
        <v>281</v>
      </c>
      <c r="E1610" s="98" t="s">
        <v>35</v>
      </c>
      <c r="F1610" s="98" t="s">
        <v>136</v>
      </c>
      <c r="G1610" s="98">
        <v>1290066.2149999901</v>
      </c>
      <c r="H1610" s="299" t="str">
        <f>VLOOKUP(LEFT('Rev Adequacy'!D1610,3),'Mapping B'!$D$2:$E$400,2,0)</f>
        <v>S</v>
      </c>
      <c r="BP1610" s="190"/>
    </row>
    <row r="1611" spans="2:68" x14ac:dyDescent="0.25">
      <c r="B1611" s="98" t="s">
        <v>111</v>
      </c>
      <c r="C1611" s="98">
        <v>2014</v>
      </c>
      <c r="D1611" s="98" t="s">
        <v>313</v>
      </c>
      <c r="E1611" s="98" t="s">
        <v>138</v>
      </c>
      <c r="F1611" s="98" t="s">
        <v>131</v>
      </c>
      <c r="G1611" s="98">
        <v>3.8439999999999999</v>
      </c>
      <c r="H1611" s="299" t="str">
        <f>VLOOKUP(LEFT('Rev Adequacy'!D1611,3),'Mapping B'!$D$2:$E$400,2,0)</f>
        <v>N</v>
      </c>
      <c r="BP1611" s="190"/>
    </row>
    <row r="1612" spans="2:68" x14ac:dyDescent="0.25">
      <c r="B1612" s="98" t="s">
        <v>111</v>
      </c>
      <c r="C1612" s="98">
        <v>2014</v>
      </c>
      <c r="D1612" s="98" t="s">
        <v>314</v>
      </c>
      <c r="E1612" s="98" t="s">
        <v>35</v>
      </c>
      <c r="F1612" s="98" t="s">
        <v>136</v>
      </c>
      <c r="G1612" s="98">
        <v>0</v>
      </c>
      <c r="H1612" s="299" t="str">
        <f>VLOOKUP(LEFT('Rev Adequacy'!D1612,3),'Mapping B'!$D$2:$E$400,2,0)</f>
        <v>N</v>
      </c>
      <c r="BP1612" s="190"/>
    </row>
    <row r="1613" spans="2:68" x14ac:dyDescent="0.25">
      <c r="B1613" s="98" t="s">
        <v>111</v>
      </c>
      <c r="C1613" s="98">
        <v>2014</v>
      </c>
      <c r="D1613" s="98" t="s">
        <v>326</v>
      </c>
      <c r="E1613" s="98" t="s">
        <v>35</v>
      </c>
      <c r="F1613" s="98" t="s">
        <v>136</v>
      </c>
      <c r="G1613" s="98">
        <v>388640.99300001899</v>
      </c>
      <c r="H1613" s="299" t="str">
        <f>VLOOKUP(LEFT('Rev Adequacy'!D1613,3),'Mapping B'!$D$2:$E$400,2,0)</f>
        <v>S</v>
      </c>
      <c r="BP1613" s="190"/>
    </row>
    <row r="1614" spans="2:68" x14ac:dyDescent="0.25">
      <c r="B1614" s="98" t="s">
        <v>111</v>
      </c>
      <c r="C1614" s="98">
        <v>2014</v>
      </c>
      <c r="D1614" s="98" t="s">
        <v>335</v>
      </c>
      <c r="E1614" s="98" t="s">
        <v>35</v>
      </c>
      <c r="F1614" s="98" t="s">
        <v>136</v>
      </c>
      <c r="G1614" s="98">
        <v>0</v>
      </c>
      <c r="H1614" s="299" t="str">
        <f>VLOOKUP(LEFT('Rev Adequacy'!D1614,3),'Mapping B'!$D$2:$E$400,2,0)</f>
        <v>N</v>
      </c>
      <c r="BP1614" s="190"/>
    </row>
    <row r="1615" spans="2:68" x14ac:dyDescent="0.25">
      <c r="B1615" s="98" t="s">
        <v>111</v>
      </c>
      <c r="C1615" s="98">
        <v>2014</v>
      </c>
      <c r="D1615" s="98" t="s">
        <v>357</v>
      </c>
      <c r="E1615" s="98" t="s">
        <v>35</v>
      </c>
      <c r="F1615" s="98" t="s">
        <v>145</v>
      </c>
      <c r="G1615" s="98">
        <v>0</v>
      </c>
      <c r="H1615" s="299" t="str">
        <f>VLOOKUP(LEFT('Rev Adequacy'!D1615,3),'Mapping B'!$D$2:$E$400,2,0)</f>
        <v>N</v>
      </c>
      <c r="BP1615" s="190"/>
    </row>
    <row r="1616" spans="2:68" x14ac:dyDescent="0.25">
      <c r="B1616" s="98" t="s">
        <v>111</v>
      </c>
      <c r="C1616" s="98">
        <v>2014</v>
      </c>
      <c r="D1616" s="98" t="s">
        <v>357</v>
      </c>
      <c r="E1616" s="98" t="s">
        <v>138</v>
      </c>
      <c r="F1616" s="98" t="s">
        <v>131</v>
      </c>
      <c r="G1616" s="98">
        <v>3197.0810000000001</v>
      </c>
      <c r="H1616" s="299" t="str">
        <f>VLOOKUP(LEFT('Rev Adequacy'!D1616,3),'Mapping B'!$D$2:$E$400,2,0)</f>
        <v>N</v>
      </c>
      <c r="BP1616" s="190"/>
    </row>
    <row r="1617" spans="2:68" x14ac:dyDescent="0.25">
      <c r="B1617" s="98" t="s">
        <v>552</v>
      </c>
      <c r="C1617" s="98">
        <v>2014</v>
      </c>
      <c r="D1617" s="98" t="s">
        <v>184</v>
      </c>
      <c r="E1617" s="98" t="s">
        <v>36</v>
      </c>
      <c r="F1617" s="98" t="s">
        <v>131</v>
      </c>
      <c r="G1617" s="248">
        <v>1585.9380000000001</v>
      </c>
      <c r="H1617" s="299" t="str">
        <f>VLOOKUP(LEFT('Rev Adequacy'!D1617,3),'Mapping B'!$D$2:$E$400,2,0)</f>
        <v>N</v>
      </c>
      <c r="BP1617" s="190"/>
    </row>
    <row r="1618" spans="2:68" x14ac:dyDescent="0.25">
      <c r="B1618" s="98" t="s">
        <v>552</v>
      </c>
      <c r="C1618" s="98">
        <v>2014</v>
      </c>
      <c r="D1618" s="98" t="s">
        <v>295</v>
      </c>
      <c r="E1618" s="98" t="s">
        <v>36</v>
      </c>
      <c r="F1618" s="98" t="s">
        <v>131</v>
      </c>
      <c r="G1618" s="248">
        <v>0</v>
      </c>
      <c r="H1618" s="299" t="str">
        <f>VLOOKUP(LEFT('Rev Adequacy'!D1618,3),'Mapping B'!$D$2:$E$400,2,0)</f>
        <v>N</v>
      </c>
      <c r="BP1618" s="190"/>
    </row>
    <row r="1619" spans="2:68" x14ac:dyDescent="0.25">
      <c r="B1619" s="98" t="s">
        <v>552</v>
      </c>
      <c r="C1619" s="98">
        <v>2014</v>
      </c>
      <c r="D1619" s="98" t="s">
        <v>306</v>
      </c>
      <c r="E1619" s="98" t="s">
        <v>36</v>
      </c>
      <c r="F1619" s="98" t="s">
        <v>131</v>
      </c>
      <c r="G1619" s="248">
        <v>205.21300000000599</v>
      </c>
      <c r="H1619" s="299" t="str">
        <f>VLOOKUP(LEFT('Rev Adequacy'!D1619,3),'Mapping B'!$D$2:$E$400,2,0)</f>
        <v>N</v>
      </c>
      <c r="BP1619" s="190"/>
    </row>
    <row r="1620" spans="2:68" x14ac:dyDescent="0.25">
      <c r="B1620" s="98" t="s">
        <v>552</v>
      </c>
      <c r="C1620" s="98">
        <v>2014</v>
      </c>
      <c r="D1620" s="98" t="s">
        <v>311</v>
      </c>
      <c r="E1620" s="98" t="s">
        <v>36</v>
      </c>
      <c r="F1620" s="98" t="s">
        <v>131</v>
      </c>
      <c r="G1620" s="248">
        <v>0</v>
      </c>
      <c r="H1620" s="299" t="str">
        <f>VLOOKUP(LEFT('Rev Adequacy'!D1620,3),'Mapping B'!$D$2:$E$400,2,0)</f>
        <v>N</v>
      </c>
      <c r="BP1620" s="190"/>
    </row>
    <row r="1621" spans="2:68" x14ac:dyDescent="0.25">
      <c r="B1621" s="98" t="s">
        <v>552</v>
      </c>
      <c r="C1621" s="98">
        <v>2014</v>
      </c>
      <c r="D1621" s="98" t="s">
        <v>312</v>
      </c>
      <c r="E1621" s="98" t="s">
        <v>36</v>
      </c>
      <c r="F1621" s="98" t="s">
        <v>131</v>
      </c>
      <c r="G1621" s="248">
        <v>1315.2039999999899</v>
      </c>
      <c r="H1621" s="299" t="str">
        <f>VLOOKUP(LEFT('Rev Adequacy'!D1621,3),'Mapping B'!$D$2:$E$400,2,0)</f>
        <v>N</v>
      </c>
      <c r="BP1621" s="190"/>
    </row>
    <row r="1622" spans="2:68" x14ac:dyDescent="0.25">
      <c r="B1622" s="98" t="s">
        <v>552</v>
      </c>
      <c r="C1622" s="98">
        <v>2014</v>
      </c>
      <c r="D1622" s="98" t="s">
        <v>352</v>
      </c>
      <c r="E1622" s="98" t="s">
        <v>36</v>
      </c>
      <c r="F1622" s="98" t="s">
        <v>131</v>
      </c>
      <c r="G1622" s="248">
        <v>0</v>
      </c>
      <c r="H1622" s="299" t="str">
        <f>VLOOKUP(LEFT('Rev Adequacy'!D1622,3),'Mapping B'!$D$2:$E$400,2,0)</f>
        <v>N</v>
      </c>
      <c r="BP1622" s="190"/>
    </row>
    <row r="1623" spans="2:68" x14ac:dyDescent="0.25">
      <c r="B1623" s="98" t="s">
        <v>552</v>
      </c>
      <c r="C1623" s="98">
        <v>2014</v>
      </c>
      <c r="D1623" s="98" t="s">
        <v>385</v>
      </c>
      <c r="E1623" s="98" t="s">
        <v>36</v>
      </c>
      <c r="F1623" s="98" t="s">
        <v>131</v>
      </c>
      <c r="G1623" s="248">
        <v>0</v>
      </c>
      <c r="H1623" s="299" t="str">
        <f>VLOOKUP(LEFT('Rev Adequacy'!D1623,3),'Mapping B'!$D$2:$E$400,2,0)</f>
        <v>N</v>
      </c>
      <c r="BP1623" s="190"/>
    </row>
    <row r="1624" spans="2:68" x14ac:dyDescent="0.25">
      <c r="B1624" s="98" t="s">
        <v>552</v>
      </c>
      <c r="C1624" s="98">
        <v>2014</v>
      </c>
      <c r="D1624" s="98" t="s">
        <v>391</v>
      </c>
      <c r="E1624" s="98" t="s">
        <v>36</v>
      </c>
      <c r="F1624" s="98" t="s">
        <v>131</v>
      </c>
      <c r="G1624" s="248">
        <v>3642.8559999999202</v>
      </c>
      <c r="H1624" s="299" t="str">
        <f>VLOOKUP(LEFT('Rev Adequacy'!D1624,3),'Mapping B'!$D$2:$E$400,2,0)</f>
        <v>N</v>
      </c>
      <c r="BP1624" s="190"/>
    </row>
    <row r="1625" spans="2:68" x14ac:dyDescent="0.25">
      <c r="B1625" s="98" t="s">
        <v>553</v>
      </c>
      <c r="C1625" s="98">
        <v>2014</v>
      </c>
      <c r="D1625" s="98" t="s">
        <v>184</v>
      </c>
      <c r="E1625" s="98" t="s">
        <v>36</v>
      </c>
      <c r="F1625" s="98" t="s">
        <v>131</v>
      </c>
      <c r="G1625" s="248">
        <v>99743.544999999198</v>
      </c>
      <c r="H1625" s="299" t="str">
        <f>VLOOKUP(LEFT('Rev Adequacy'!D1625,3),'Mapping B'!$D$2:$E$400,2,0)</f>
        <v>N</v>
      </c>
      <c r="BP1625" s="190"/>
    </row>
    <row r="1626" spans="2:68" x14ac:dyDescent="0.25">
      <c r="B1626" s="98" t="s">
        <v>553</v>
      </c>
      <c r="C1626" s="98">
        <v>2014</v>
      </c>
      <c r="D1626" s="98" t="s">
        <v>295</v>
      </c>
      <c r="E1626" s="98" t="s">
        <v>36</v>
      </c>
      <c r="F1626" s="98" t="s">
        <v>131</v>
      </c>
      <c r="G1626" s="248">
        <v>23342.684000000299</v>
      </c>
      <c r="H1626" s="299" t="str">
        <f>VLOOKUP(LEFT('Rev Adequacy'!D1626,3),'Mapping B'!$D$2:$E$400,2,0)</f>
        <v>N</v>
      </c>
      <c r="BP1626" s="190"/>
    </row>
    <row r="1627" spans="2:68" x14ac:dyDescent="0.25">
      <c r="B1627" s="98" t="s">
        <v>553</v>
      </c>
      <c r="C1627" s="98">
        <v>2014</v>
      </c>
      <c r="D1627" s="98" t="s">
        <v>306</v>
      </c>
      <c r="E1627" s="98" t="s">
        <v>36</v>
      </c>
      <c r="F1627" s="98" t="s">
        <v>131</v>
      </c>
      <c r="G1627" s="248">
        <v>111947.086999999</v>
      </c>
      <c r="H1627" s="299" t="str">
        <f>VLOOKUP(LEFT('Rev Adequacy'!D1627,3),'Mapping B'!$D$2:$E$400,2,0)</f>
        <v>N</v>
      </c>
      <c r="BP1627" s="190"/>
    </row>
    <row r="1628" spans="2:68" x14ac:dyDescent="0.25">
      <c r="B1628" s="98" t="s">
        <v>553</v>
      </c>
      <c r="C1628" s="98">
        <v>2014</v>
      </c>
      <c r="D1628" s="98" t="s">
        <v>311</v>
      </c>
      <c r="E1628" s="98" t="s">
        <v>36</v>
      </c>
      <c r="F1628" s="98" t="s">
        <v>131</v>
      </c>
      <c r="G1628" s="248">
        <v>48164.501000000702</v>
      </c>
      <c r="H1628" s="299" t="str">
        <f>VLOOKUP(LEFT('Rev Adequacy'!D1628,3),'Mapping B'!$D$2:$E$400,2,0)</f>
        <v>N</v>
      </c>
      <c r="BP1628" s="190"/>
    </row>
    <row r="1629" spans="2:68" x14ac:dyDescent="0.25">
      <c r="B1629" s="98" t="s">
        <v>553</v>
      </c>
      <c r="C1629" s="98">
        <v>2014</v>
      </c>
      <c r="D1629" s="98" t="s">
        <v>312</v>
      </c>
      <c r="E1629" s="98" t="s">
        <v>36</v>
      </c>
      <c r="F1629" s="98" t="s">
        <v>131</v>
      </c>
      <c r="G1629" s="248">
        <v>83855.283000000898</v>
      </c>
      <c r="H1629" s="299" t="str">
        <f>VLOOKUP(LEFT('Rev Adequacy'!D1629,3),'Mapping B'!$D$2:$E$400,2,0)</f>
        <v>N</v>
      </c>
      <c r="BP1629" s="190"/>
    </row>
    <row r="1630" spans="2:68" x14ac:dyDescent="0.25">
      <c r="B1630" s="98" t="s">
        <v>553</v>
      </c>
      <c r="C1630" s="98">
        <v>2014</v>
      </c>
      <c r="D1630" s="98" t="s">
        <v>352</v>
      </c>
      <c r="E1630" s="98" t="s">
        <v>36</v>
      </c>
      <c r="F1630" s="98" t="s">
        <v>131</v>
      </c>
      <c r="G1630" s="248">
        <v>14336.4469999999</v>
      </c>
      <c r="H1630" s="299" t="str">
        <f>VLOOKUP(LEFT('Rev Adequacy'!D1630,3),'Mapping B'!$D$2:$E$400,2,0)</f>
        <v>N</v>
      </c>
      <c r="BP1630" s="190"/>
    </row>
    <row r="1631" spans="2:68" x14ac:dyDescent="0.25">
      <c r="B1631" s="98" t="s">
        <v>553</v>
      </c>
      <c r="C1631" s="98">
        <v>2014</v>
      </c>
      <c r="D1631" s="98" t="s">
        <v>385</v>
      </c>
      <c r="E1631" s="98" t="s">
        <v>36</v>
      </c>
      <c r="F1631" s="98" t="s">
        <v>131</v>
      </c>
      <c r="G1631" s="248">
        <v>80195.077999999703</v>
      </c>
      <c r="H1631" s="299" t="str">
        <f>VLOOKUP(LEFT('Rev Adequacy'!D1631,3),'Mapping B'!$D$2:$E$400,2,0)</f>
        <v>N</v>
      </c>
      <c r="BP1631" s="190"/>
    </row>
    <row r="1632" spans="2:68" x14ac:dyDescent="0.25">
      <c r="B1632" s="98" t="s">
        <v>553</v>
      </c>
      <c r="C1632" s="98">
        <v>2014</v>
      </c>
      <c r="D1632" s="98" t="s">
        <v>391</v>
      </c>
      <c r="E1632" s="98" t="s">
        <v>36</v>
      </c>
      <c r="F1632" s="98" t="s">
        <v>131</v>
      </c>
      <c r="G1632" s="248">
        <v>163742.28500000201</v>
      </c>
      <c r="H1632" s="299" t="str">
        <f>VLOOKUP(LEFT('Rev Adequacy'!D1632,3),'Mapping B'!$D$2:$E$400,2,0)</f>
        <v>N</v>
      </c>
      <c r="BP1632" s="190"/>
    </row>
    <row r="1633" spans="2:68" x14ac:dyDescent="0.25">
      <c r="B1633" s="98" t="s">
        <v>554</v>
      </c>
      <c r="C1633" s="98">
        <v>2014</v>
      </c>
      <c r="D1633" s="98" t="s">
        <v>184</v>
      </c>
      <c r="E1633" s="98" t="s">
        <v>36</v>
      </c>
      <c r="F1633" s="98" t="s">
        <v>131</v>
      </c>
      <c r="G1633" s="98">
        <v>0</v>
      </c>
      <c r="H1633" s="299" t="str">
        <f>VLOOKUP(LEFT('Rev Adequacy'!D1633,3),'Mapping B'!$D$2:$E$400,2,0)</f>
        <v>N</v>
      </c>
      <c r="BP1633" s="190"/>
    </row>
    <row r="1634" spans="2:68" x14ac:dyDescent="0.25">
      <c r="B1634" s="98" t="s">
        <v>554</v>
      </c>
      <c r="C1634" s="98">
        <v>2014</v>
      </c>
      <c r="D1634" s="98" t="s">
        <v>295</v>
      </c>
      <c r="E1634" s="98" t="s">
        <v>36</v>
      </c>
      <c r="F1634" s="98" t="s">
        <v>131</v>
      </c>
      <c r="G1634" s="98">
        <v>0</v>
      </c>
      <c r="H1634" s="299" t="str">
        <f>VLOOKUP(LEFT('Rev Adequacy'!D1634,3),'Mapping B'!$D$2:$E$400,2,0)</f>
        <v>N</v>
      </c>
      <c r="BP1634" s="190"/>
    </row>
    <row r="1635" spans="2:68" x14ac:dyDescent="0.25">
      <c r="B1635" s="98" t="s">
        <v>554</v>
      </c>
      <c r="C1635" s="98">
        <v>2014</v>
      </c>
      <c r="D1635" s="98" t="s">
        <v>306</v>
      </c>
      <c r="E1635" s="98" t="s">
        <v>36</v>
      </c>
      <c r="F1635" s="98" t="s">
        <v>131</v>
      </c>
      <c r="G1635" s="98">
        <v>0</v>
      </c>
      <c r="H1635" s="299" t="str">
        <f>VLOOKUP(LEFT('Rev Adequacy'!D1635,3),'Mapping B'!$D$2:$E$400,2,0)</f>
        <v>N</v>
      </c>
      <c r="BP1635" s="190"/>
    </row>
    <row r="1636" spans="2:68" x14ac:dyDescent="0.25">
      <c r="B1636" s="98" t="s">
        <v>554</v>
      </c>
      <c r="C1636" s="98">
        <v>2014</v>
      </c>
      <c r="D1636" s="98" t="s">
        <v>311</v>
      </c>
      <c r="E1636" s="98" t="s">
        <v>36</v>
      </c>
      <c r="F1636" s="98" t="s">
        <v>131</v>
      </c>
      <c r="G1636" s="98">
        <v>0</v>
      </c>
      <c r="H1636" s="299" t="str">
        <f>VLOOKUP(LEFT('Rev Adequacy'!D1636,3),'Mapping B'!$D$2:$E$400,2,0)</f>
        <v>N</v>
      </c>
      <c r="BP1636" s="190"/>
    </row>
    <row r="1637" spans="2:68" x14ac:dyDescent="0.25">
      <c r="B1637" s="98" t="s">
        <v>554</v>
      </c>
      <c r="C1637" s="98">
        <v>2014</v>
      </c>
      <c r="D1637" s="98" t="s">
        <v>312</v>
      </c>
      <c r="E1637" s="98" t="s">
        <v>36</v>
      </c>
      <c r="F1637" s="98" t="s">
        <v>131</v>
      </c>
      <c r="G1637" s="98">
        <v>0</v>
      </c>
      <c r="H1637" s="299" t="str">
        <f>VLOOKUP(LEFT('Rev Adequacy'!D1637,3),'Mapping B'!$D$2:$E$400,2,0)</f>
        <v>N</v>
      </c>
      <c r="BP1637" s="190"/>
    </row>
    <row r="1638" spans="2:68" x14ac:dyDescent="0.25">
      <c r="B1638" s="98" t="s">
        <v>554</v>
      </c>
      <c r="C1638" s="98">
        <v>2014</v>
      </c>
      <c r="D1638" s="98" t="s">
        <v>352</v>
      </c>
      <c r="E1638" s="98" t="s">
        <v>36</v>
      </c>
      <c r="F1638" s="98" t="s">
        <v>131</v>
      </c>
      <c r="G1638" s="98">
        <v>0</v>
      </c>
      <c r="H1638" s="299" t="str">
        <f>VLOOKUP(LEFT('Rev Adequacy'!D1638,3),'Mapping B'!$D$2:$E$400,2,0)</f>
        <v>N</v>
      </c>
      <c r="BP1638" s="190"/>
    </row>
    <row r="1639" spans="2:68" x14ac:dyDescent="0.25">
      <c r="B1639" s="98" t="s">
        <v>554</v>
      </c>
      <c r="C1639" s="98">
        <v>2014</v>
      </c>
      <c r="D1639" s="98" t="s">
        <v>385</v>
      </c>
      <c r="E1639" s="98" t="s">
        <v>36</v>
      </c>
      <c r="F1639" s="98" t="s">
        <v>131</v>
      </c>
      <c r="G1639" s="98">
        <v>0</v>
      </c>
      <c r="H1639" s="299" t="str">
        <f>VLOOKUP(LEFT('Rev Adequacy'!D1639,3),'Mapping B'!$D$2:$E$400,2,0)</f>
        <v>N</v>
      </c>
      <c r="BP1639" s="190"/>
    </row>
    <row r="1640" spans="2:68" x14ac:dyDescent="0.25">
      <c r="B1640" s="98" t="s">
        <v>554</v>
      </c>
      <c r="C1640" s="98">
        <v>2014</v>
      </c>
      <c r="D1640" s="98" t="s">
        <v>391</v>
      </c>
      <c r="E1640" s="98" t="s">
        <v>36</v>
      </c>
      <c r="F1640" s="98" t="s">
        <v>131</v>
      </c>
      <c r="G1640" s="98">
        <v>0</v>
      </c>
      <c r="H1640" s="299" t="str">
        <f>VLOOKUP(LEFT('Rev Adequacy'!D1640,3),'Mapping B'!$D$2:$E$400,2,0)</f>
        <v>N</v>
      </c>
      <c r="BP1640" s="190"/>
    </row>
    <row r="1641" spans="2:68" x14ac:dyDescent="0.25">
      <c r="B1641" s="98" t="s">
        <v>563</v>
      </c>
      <c r="C1641" s="98">
        <v>2014</v>
      </c>
      <c r="D1641" s="98" t="s">
        <v>184</v>
      </c>
      <c r="E1641" s="98" t="s">
        <v>36</v>
      </c>
      <c r="F1641" s="98" t="s">
        <v>131</v>
      </c>
      <c r="G1641" s="98">
        <v>343788.14999999898</v>
      </c>
      <c r="H1641" s="299" t="str">
        <f>VLOOKUP(LEFT('Rev Adequacy'!D1641,3),'Mapping B'!$D$2:$E$400,2,0)</f>
        <v>N</v>
      </c>
      <c r="BP1641" s="190"/>
    </row>
    <row r="1642" spans="2:68" x14ac:dyDescent="0.25">
      <c r="B1642" s="98" t="s">
        <v>563</v>
      </c>
      <c r="C1642" s="98">
        <v>2014</v>
      </c>
      <c r="D1642" s="98" t="s">
        <v>295</v>
      </c>
      <c r="E1642" s="98" t="s">
        <v>36</v>
      </c>
      <c r="F1642" s="98" t="s">
        <v>131</v>
      </c>
      <c r="G1642" s="98">
        <v>68349.719000000303</v>
      </c>
      <c r="H1642" s="299" t="str">
        <f>VLOOKUP(LEFT('Rev Adequacy'!D1642,3),'Mapping B'!$D$2:$E$400,2,0)</f>
        <v>N</v>
      </c>
      <c r="BP1642" s="190"/>
    </row>
    <row r="1643" spans="2:68" x14ac:dyDescent="0.25">
      <c r="B1643" s="98" t="s">
        <v>563</v>
      </c>
      <c r="C1643" s="98">
        <v>2014</v>
      </c>
      <c r="D1643" s="98" t="s">
        <v>306</v>
      </c>
      <c r="E1643" s="98" t="s">
        <v>36</v>
      </c>
      <c r="F1643" s="98" t="s">
        <v>131</v>
      </c>
      <c r="G1643" s="98">
        <v>345901.61599999899</v>
      </c>
      <c r="H1643" s="299" t="str">
        <f>VLOOKUP(LEFT('Rev Adequacy'!D1643,3),'Mapping B'!$D$2:$E$400,2,0)</f>
        <v>N</v>
      </c>
      <c r="BP1643" s="190"/>
    </row>
    <row r="1644" spans="2:68" x14ac:dyDescent="0.25">
      <c r="B1644" s="98" t="s">
        <v>563</v>
      </c>
      <c r="C1644" s="98">
        <v>2014</v>
      </c>
      <c r="D1644" s="98" t="s">
        <v>311</v>
      </c>
      <c r="E1644" s="98" t="s">
        <v>36</v>
      </c>
      <c r="F1644" s="98" t="s">
        <v>131</v>
      </c>
      <c r="G1644" s="98">
        <v>147099.25799999901</v>
      </c>
      <c r="H1644" s="299" t="str">
        <f>VLOOKUP(LEFT('Rev Adequacy'!D1644,3),'Mapping B'!$D$2:$E$400,2,0)</f>
        <v>N</v>
      </c>
      <c r="BP1644" s="190"/>
    </row>
    <row r="1645" spans="2:68" x14ac:dyDescent="0.25">
      <c r="B1645" s="98" t="s">
        <v>563</v>
      </c>
      <c r="C1645" s="98">
        <v>2014</v>
      </c>
      <c r="D1645" s="98" t="s">
        <v>312</v>
      </c>
      <c r="E1645" s="98" t="s">
        <v>36</v>
      </c>
      <c r="F1645" s="98" t="s">
        <v>131</v>
      </c>
      <c r="G1645" s="98">
        <v>314563.527</v>
      </c>
      <c r="H1645" s="299" t="str">
        <f>VLOOKUP(LEFT('Rev Adequacy'!D1645,3),'Mapping B'!$D$2:$E$400,2,0)</f>
        <v>N</v>
      </c>
      <c r="BP1645" s="190"/>
    </row>
    <row r="1646" spans="2:68" x14ac:dyDescent="0.25">
      <c r="B1646" s="98" t="s">
        <v>563</v>
      </c>
      <c r="C1646" s="98">
        <v>2014</v>
      </c>
      <c r="D1646" s="98" t="s">
        <v>352</v>
      </c>
      <c r="E1646" s="98" t="s">
        <v>36</v>
      </c>
      <c r="F1646" s="98" t="s">
        <v>131</v>
      </c>
      <c r="G1646" s="98">
        <v>44905.724000000097</v>
      </c>
      <c r="H1646" s="299" t="str">
        <f>VLOOKUP(LEFT('Rev Adequacy'!D1646,3),'Mapping B'!$D$2:$E$400,2,0)</f>
        <v>N</v>
      </c>
      <c r="BP1646" s="190"/>
    </row>
    <row r="1647" spans="2:68" x14ac:dyDescent="0.25">
      <c r="B1647" s="98" t="s">
        <v>563</v>
      </c>
      <c r="C1647" s="98">
        <v>2014</v>
      </c>
      <c r="D1647" s="98" t="s">
        <v>385</v>
      </c>
      <c r="E1647" s="98" t="s">
        <v>36</v>
      </c>
      <c r="F1647" s="98" t="s">
        <v>131</v>
      </c>
      <c r="G1647" s="98">
        <v>265216.21000000002</v>
      </c>
      <c r="H1647" s="299" t="str">
        <f>VLOOKUP(LEFT('Rev Adequacy'!D1647,3),'Mapping B'!$D$2:$E$400,2,0)</f>
        <v>N</v>
      </c>
      <c r="BP1647" s="190"/>
    </row>
    <row r="1648" spans="2:68" x14ac:dyDescent="0.25">
      <c r="B1648" s="98" t="s">
        <v>563</v>
      </c>
      <c r="C1648" s="98">
        <v>2014</v>
      </c>
      <c r="D1648" s="98" t="s">
        <v>391</v>
      </c>
      <c r="E1648" s="98" t="s">
        <v>36</v>
      </c>
      <c r="F1648" s="98" t="s">
        <v>131</v>
      </c>
      <c r="G1648" s="98">
        <v>548787.57599999802</v>
      </c>
      <c r="H1648" s="299" t="str">
        <f>VLOOKUP(LEFT('Rev Adequacy'!D1648,3),'Mapping B'!$D$2:$E$400,2,0)</f>
        <v>N</v>
      </c>
      <c r="BP1648" s="190"/>
    </row>
    <row r="1649" spans="2:68" x14ac:dyDescent="0.25">
      <c r="B1649" s="98" t="s">
        <v>555</v>
      </c>
      <c r="C1649" s="98">
        <v>2014</v>
      </c>
      <c r="D1649" s="98" t="s">
        <v>184</v>
      </c>
      <c r="E1649" s="98" t="s">
        <v>36</v>
      </c>
      <c r="F1649" s="98" t="s">
        <v>131</v>
      </c>
      <c r="G1649" s="98">
        <v>0</v>
      </c>
      <c r="H1649" s="299" t="str">
        <f>VLOOKUP(LEFT('Rev Adequacy'!D1649,3),'Mapping B'!$D$2:$E$400,2,0)</f>
        <v>N</v>
      </c>
      <c r="BP1649" s="190"/>
    </row>
    <row r="1650" spans="2:68" x14ac:dyDescent="0.25">
      <c r="B1650" s="98" t="s">
        <v>555</v>
      </c>
      <c r="C1650" s="98">
        <v>2014</v>
      </c>
      <c r="D1650" s="98" t="s">
        <v>295</v>
      </c>
      <c r="E1650" s="98" t="s">
        <v>36</v>
      </c>
      <c r="F1650" s="98" t="s">
        <v>131</v>
      </c>
      <c r="G1650" s="98">
        <v>61086.040999999699</v>
      </c>
      <c r="H1650" s="299" t="str">
        <f>VLOOKUP(LEFT('Rev Adequacy'!D1650,3),'Mapping B'!$D$2:$E$400,2,0)</f>
        <v>N</v>
      </c>
      <c r="BP1650" s="190"/>
    </row>
    <row r="1651" spans="2:68" x14ac:dyDescent="0.25">
      <c r="B1651" s="98" t="s">
        <v>555</v>
      </c>
      <c r="C1651" s="98">
        <v>2014</v>
      </c>
      <c r="D1651" s="98" t="s">
        <v>306</v>
      </c>
      <c r="E1651" s="98" t="s">
        <v>36</v>
      </c>
      <c r="F1651" s="98" t="s">
        <v>131</v>
      </c>
      <c r="G1651" s="98">
        <v>0</v>
      </c>
      <c r="H1651" s="299" t="str">
        <f>VLOOKUP(LEFT('Rev Adequacy'!D1651,3),'Mapping B'!$D$2:$E$400,2,0)</f>
        <v>N</v>
      </c>
      <c r="BP1651" s="190"/>
    </row>
    <row r="1652" spans="2:68" x14ac:dyDescent="0.25">
      <c r="B1652" s="98" t="s">
        <v>555</v>
      </c>
      <c r="C1652" s="98">
        <v>2014</v>
      </c>
      <c r="D1652" s="98" t="s">
        <v>311</v>
      </c>
      <c r="E1652" s="98" t="s">
        <v>36</v>
      </c>
      <c r="F1652" s="98" t="s">
        <v>131</v>
      </c>
      <c r="G1652" s="98">
        <v>132599.43899999899</v>
      </c>
      <c r="H1652" s="299" t="str">
        <f>VLOOKUP(LEFT('Rev Adequacy'!D1652,3),'Mapping B'!$D$2:$E$400,2,0)</f>
        <v>N</v>
      </c>
      <c r="BP1652" s="190"/>
    </row>
    <row r="1653" spans="2:68" x14ac:dyDescent="0.25">
      <c r="B1653" s="98" t="s">
        <v>555</v>
      </c>
      <c r="C1653" s="98">
        <v>2014</v>
      </c>
      <c r="D1653" s="98" t="s">
        <v>312</v>
      </c>
      <c r="E1653" s="98" t="s">
        <v>36</v>
      </c>
      <c r="F1653" s="98" t="s">
        <v>131</v>
      </c>
      <c r="G1653" s="98">
        <v>258455.47300000099</v>
      </c>
      <c r="H1653" s="299" t="str">
        <f>VLOOKUP(LEFT('Rev Adequacy'!D1653,3),'Mapping B'!$D$2:$E$400,2,0)</f>
        <v>N</v>
      </c>
      <c r="BP1653" s="190"/>
    </row>
    <row r="1654" spans="2:68" x14ac:dyDescent="0.25">
      <c r="B1654" s="98" t="s">
        <v>555</v>
      </c>
      <c r="C1654" s="98">
        <v>2014</v>
      </c>
      <c r="D1654" s="98" t="s">
        <v>352</v>
      </c>
      <c r="E1654" s="98" t="s">
        <v>36</v>
      </c>
      <c r="F1654" s="98" t="s">
        <v>131</v>
      </c>
      <c r="G1654" s="98">
        <v>41049.839</v>
      </c>
      <c r="H1654" s="299" t="str">
        <f>VLOOKUP(LEFT('Rev Adequacy'!D1654,3),'Mapping B'!$D$2:$E$400,2,0)</f>
        <v>N</v>
      </c>
      <c r="BP1654" s="190"/>
    </row>
    <row r="1655" spans="2:68" x14ac:dyDescent="0.25">
      <c r="B1655" s="98" t="s">
        <v>555</v>
      </c>
      <c r="C1655" s="98">
        <v>2014</v>
      </c>
      <c r="D1655" s="98" t="s">
        <v>385</v>
      </c>
      <c r="E1655" s="98" t="s">
        <v>36</v>
      </c>
      <c r="F1655" s="98" t="s">
        <v>131</v>
      </c>
      <c r="G1655" s="98">
        <v>0</v>
      </c>
      <c r="H1655" s="299" t="str">
        <f>VLOOKUP(LEFT('Rev Adequacy'!D1655,3),'Mapping B'!$D$2:$E$400,2,0)</f>
        <v>N</v>
      </c>
      <c r="BP1655" s="190"/>
    </row>
    <row r="1656" spans="2:68" x14ac:dyDescent="0.25">
      <c r="B1656" s="98" t="s">
        <v>555</v>
      </c>
      <c r="C1656" s="98">
        <v>2014</v>
      </c>
      <c r="D1656" s="98" t="s">
        <v>391</v>
      </c>
      <c r="E1656" s="98" t="s">
        <v>36</v>
      </c>
      <c r="F1656" s="98" t="s">
        <v>131</v>
      </c>
      <c r="G1656" s="98">
        <v>0</v>
      </c>
      <c r="H1656" s="299" t="str">
        <f>VLOOKUP(LEFT('Rev Adequacy'!D1656,3),'Mapping B'!$D$2:$E$400,2,0)</f>
        <v>N</v>
      </c>
      <c r="BP1656" s="190"/>
    </row>
    <row r="1657" spans="2:68" x14ac:dyDescent="0.25">
      <c r="B1657" s="98" t="s">
        <v>112</v>
      </c>
      <c r="C1657" s="98">
        <v>2014</v>
      </c>
      <c r="D1657" s="98" t="s">
        <v>184</v>
      </c>
      <c r="E1657" s="98" t="s">
        <v>36</v>
      </c>
      <c r="F1657" s="98" t="s">
        <v>131</v>
      </c>
      <c r="G1657" s="98">
        <v>9998098.2959999796</v>
      </c>
      <c r="H1657" s="299" t="str">
        <f>VLOOKUP(LEFT('Rev Adequacy'!D1657,3),'Mapping B'!$D$2:$E$400,2,0)</f>
        <v>N</v>
      </c>
      <c r="BP1657" s="190"/>
    </row>
    <row r="1658" spans="2:68" x14ac:dyDescent="0.25">
      <c r="B1658" s="98" t="s">
        <v>112</v>
      </c>
      <c r="C1658" s="98">
        <v>2014</v>
      </c>
      <c r="D1658" s="98" t="s">
        <v>295</v>
      </c>
      <c r="E1658" s="98" t="s">
        <v>36</v>
      </c>
      <c r="F1658" s="98" t="s">
        <v>131</v>
      </c>
      <c r="G1658" s="98">
        <v>2260152.3419999899</v>
      </c>
      <c r="H1658" s="299" t="str">
        <f>VLOOKUP(LEFT('Rev Adequacy'!D1658,3),'Mapping B'!$D$2:$E$400,2,0)</f>
        <v>N</v>
      </c>
      <c r="BP1658" s="190"/>
    </row>
    <row r="1659" spans="2:68" x14ac:dyDescent="0.25">
      <c r="B1659" s="98" t="s">
        <v>112</v>
      </c>
      <c r="C1659" s="98">
        <v>2014</v>
      </c>
      <c r="D1659" s="98" t="s">
        <v>306</v>
      </c>
      <c r="E1659" s="98" t="s">
        <v>36</v>
      </c>
      <c r="F1659" s="98" t="s">
        <v>131</v>
      </c>
      <c r="G1659" s="98">
        <v>10805296.632999999</v>
      </c>
      <c r="H1659" s="299" t="str">
        <f>VLOOKUP(LEFT('Rev Adequacy'!D1659,3),'Mapping B'!$D$2:$E$400,2,0)</f>
        <v>N</v>
      </c>
      <c r="BP1659" s="190"/>
    </row>
    <row r="1660" spans="2:68" x14ac:dyDescent="0.25">
      <c r="B1660" s="98" t="s">
        <v>112</v>
      </c>
      <c r="C1660" s="98">
        <v>2014</v>
      </c>
      <c r="D1660" s="98" t="s">
        <v>311</v>
      </c>
      <c r="E1660" s="98" t="s">
        <v>36</v>
      </c>
      <c r="F1660" s="98" t="s">
        <v>131</v>
      </c>
      <c r="G1660" s="98">
        <v>4717138.8500000099</v>
      </c>
      <c r="H1660" s="299" t="str">
        <f>VLOOKUP(LEFT('Rev Adequacy'!D1660,3),'Mapping B'!$D$2:$E$400,2,0)</f>
        <v>N</v>
      </c>
      <c r="BP1660" s="190"/>
    </row>
    <row r="1661" spans="2:68" x14ac:dyDescent="0.25">
      <c r="B1661" s="98" t="s">
        <v>112</v>
      </c>
      <c r="C1661" s="98">
        <v>2014</v>
      </c>
      <c r="D1661" s="98" t="s">
        <v>312</v>
      </c>
      <c r="E1661" s="98" t="s">
        <v>36</v>
      </c>
      <c r="F1661" s="98" t="s">
        <v>131</v>
      </c>
      <c r="G1661" s="98">
        <v>8932764.3389999606</v>
      </c>
      <c r="H1661" s="299" t="str">
        <f>VLOOKUP(LEFT('Rev Adequacy'!D1661,3),'Mapping B'!$D$2:$E$400,2,0)</f>
        <v>N</v>
      </c>
      <c r="BP1661" s="190"/>
    </row>
    <row r="1662" spans="2:68" x14ac:dyDescent="0.25">
      <c r="B1662" s="98" t="s">
        <v>112</v>
      </c>
      <c r="C1662" s="98">
        <v>2014</v>
      </c>
      <c r="D1662" s="98" t="s">
        <v>352</v>
      </c>
      <c r="E1662" s="98" t="s">
        <v>36</v>
      </c>
      <c r="F1662" s="98" t="s">
        <v>131</v>
      </c>
      <c r="G1662" s="98">
        <v>1411474.70299999</v>
      </c>
      <c r="H1662" s="299" t="str">
        <f>VLOOKUP(LEFT('Rev Adequacy'!D1662,3),'Mapping B'!$D$2:$E$400,2,0)</f>
        <v>N</v>
      </c>
      <c r="BP1662" s="190"/>
    </row>
    <row r="1663" spans="2:68" x14ac:dyDescent="0.25">
      <c r="B1663" s="98" t="s">
        <v>112</v>
      </c>
      <c r="C1663" s="98">
        <v>2014</v>
      </c>
      <c r="D1663" s="98" t="s">
        <v>385</v>
      </c>
      <c r="E1663" s="98" t="s">
        <v>36</v>
      </c>
      <c r="F1663" s="98" t="s">
        <v>131</v>
      </c>
      <c r="G1663" s="98">
        <v>7980512.6730000302</v>
      </c>
      <c r="H1663" s="299" t="str">
        <f>VLOOKUP(LEFT('Rev Adequacy'!D1663,3),'Mapping B'!$D$2:$E$400,2,0)</f>
        <v>N</v>
      </c>
      <c r="BP1663" s="190"/>
    </row>
    <row r="1664" spans="2:68" x14ac:dyDescent="0.25">
      <c r="B1664" s="98" t="s">
        <v>112</v>
      </c>
      <c r="C1664" s="98">
        <v>2014</v>
      </c>
      <c r="D1664" s="98" t="s">
        <v>391</v>
      </c>
      <c r="E1664" s="98" t="s">
        <v>36</v>
      </c>
      <c r="F1664" s="98" t="s">
        <v>131</v>
      </c>
      <c r="G1664" s="98">
        <v>16046018.733999999</v>
      </c>
      <c r="H1664" s="299" t="str">
        <f>VLOOKUP(LEFT('Rev Adequacy'!D1664,3),'Mapping B'!$D$2:$E$400,2,0)</f>
        <v>N</v>
      </c>
      <c r="BP1664" s="190"/>
    </row>
    <row r="1665" spans="2:68" x14ac:dyDescent="0.25">
      <c r="B1665" s="98" t="s">
        <v>111</v>
      </c>
      <c r="C1665" s="98">
        <v>2014</v>
      </c>
      <c r="D1665" s="98" t="s">
        <v>184</v>
      </c>
      <c r="E1665" s="98" t="s">
        <v>36</v>
      </c>
      <c r="F1665" s="98" t="s">
        <v>131</v>
      </c>
      <c r="G1665" s="98">
        <v>2591324.4819999798</v>
      </c>
      <c r="H1665" s="299" t="str">
        <f>VLOOKUP(LEFT('Rev Adequacy'!D1665,3),'Mapping B'!$D$2:$E$400,2,0)</f>
        <v>N</v>
      </c>
      <c r="BP1665" s="190"/>
    </row>
    <row r="1666" spans="2:68" x14ac:dyDescent="0.25">
      <c r="B1666" s="98" t="s">
        <v>111</v>
      </c>
      <c r="C1666" s="98">
        <v>2014</v>
      </c>
      <c r="D1666" s="98" t="s">
        <v>295</v>
      </c>
      <c r="E1666" s="98" t="s">
        <v>36</v>
      </c>
      <c r="F1666" s="98" t="s">
        <v>131</v>
      </c>
      <c r="G1666" s="98">
        <v>625988.58200000098</v>
      </c>
      <c r="H1666" s="299" t="str">
        <f>VLOOKUP(LEFT('Rev Adequacy'!D1666,3),'Mapping B'!$D$2:$E$400,2,0)</f>
        <v>N</v>
      </c>
      <c r="BP1666" s="190"/>
    </row>
    <row r="1667" spans="2:68" x14ac:dyDescent="0.25">
      <c r="B1667" s="98" t="s">
        <v>111</v>
      </c>
      <c r="C1667" s="98">
        <v>2014</v>
      </c>
      <c r="D1667" s="98" t="s">
        <v>306</v>
      </c>
      <c r="E1667" s="98" t="s">
        <v>36</v>
      </c>
      <c r="F1667" s="98" t="s">
        <v>131</v>
      </c>
      <c r="G1667" s="98">
        <v>2891462.7719999901</v>
      </c>
      <c r="H1667" s="299" t="str">
        <f>VLOOKUP(LEFT('Rev Adequacy'!D1667,3),'Mapping B'!$D$2:$E$400,2,0)</f>
        <v>N</v>
      </c>
      <c r="BP1667" s="190"/>
    </row>
    <row r="1668" spans="2:68" x14ac:dyDescent="0.25">
      <c r="B1668" s="98" t="s">
        <v>111</v>
      </c>
      <c r="C1668" s="98">
        <v>2014</v>
      </c>
      <c r="D1668" s="98" t="s">
        <v>311</v>
      </c>
      <c r="E1668" s="98" t="s">
        <v>36</v>
      </c>
      <c r="F1668" s="98" t="s">
        <v>131</v>
      </c>
      <c r="G1668" s="98">
        <v>1299868.88899999</v>
      </c>
      <c r="H1668" s="299" t="str">
        <f>VLOOKUP(LEFT('Rev Adequacy'!D1668,3),'Mapping B'!$D$2:$E$400,2,0)</f>
        <v>N</v>
      </c>
      <c r="BP1668" s="190"/>
    </row>
    <row r="1669" spans="2:68" x14ac:dyDescent="0.25">
      <c r="B1669" s="98" t="s">
        <v>111</v>
      </c>
      <c r="C1669" s="98">
        <v>2014</v>
      </c>
      <c r="D1669" s="98" t="s">
        <v>312</v>
      </c>
      <c r="E1669" s="98" t="s">
        <v>36</v>
      </c>
      <c r="F1669" s="98" t="s">
        <v>131</v>
      </c>
      <c r="G1669" s="98">
        <v>2285995.3930000002</v>
      </c>
      <c r="H1669" s="299" t="str">
        <f>VLOOKUP(LEFT('Rev Adequacy'!D1669,3),'Mapping B'!$D$2:$E$400,2,0)</f>
        <v>N</v>
      </c>
      <c r="BP1669" s="190"/>
    </row>
    <row r="1670" spans="2:68" x14ac:dyDescent="0.25">
      <c r="B1670" s="98" t="s">
        <v>111</v>
      </c>
      <c r="C1670" s="98">
        <v>2014</v>
      </c>
      <c r="D1670" s="98" t="s">
        <v>352</v>
      </c>
      <c r="E1670" s="98" t="s">
        <v>36</v>
      </c>
      <c r="F1670" s="98" t="s">
        <v>131</v>
      </c>
      <c r="G1670" s="98">
        <v>378983.61199999898</v>
      </c>
      <c r="H1670" s="299" t="str">
        <f>VLOOKUP(LEFT('Rev Adequacy'!D1670,3),'Mapping B'!$D$2:$E$400,2,0)</f>
        <v>N</v>
      </c>
      <c r="BP1670" s="190"/>
    </row>
    <row r="1671" spans="2:68" x14ac:dyDescent="0.25">
      <c r="B1671" s="98" t="s">
        <v>111</v>
      </c>
      <c r="C1671" s="98">
        <v>2014</v>
      </c>
      <c r="D1671" s="98" t="s">
        <v>385</v>
      </c>
      <c r="E1671" s="98" t="s">
        <v>36</v>
      </c>
      <c r="F1671" s="98" t="s">
        <v>131</v>
      </c>
      <c r="G1671" s="98">
        <v>2086485.7749999999</v>
      </c>
      <c r="H1671" s="299" t="str">
        <f>VLOOKUP(LEFT('Rev Adequacy'!D1671,3),'Mapping B'!$D$2:$E$400,2,0)</f>
        <v>N</v>
      </c>
      <c r="BP1671" s="190"/>
    </row>
    <row r="1672" spans="2:68" x14ac:dyDescent="0.25">
      <c r="B1672" s="98" t="s">
        <v>111</v>
      </c>
      <c r="C1672" s="98">
        <v>2014</v>
      </c>
      <c r="D1672" s="98" t="s">
        <v>391</v>
      </c>
      <c r="E1672" s="98" t="s">
        <v>36</v>
      </c>
      <c r="F1672" s="98" t="s">
        <v>131</v>
      </c>
      <c r="G1672" s="98">
        <v>4196506.4790000096</v>
      </c>
      <c r="H1672" s="299" t="str">
        <f>VLOOKUP(LEFT('Rev Adequacy'!D1672,3),'Mapping B'!$D$2:$E$400,2,0)</f>
        <v>N</v>
      </c>
      <c r="BP1672" s="190"/>
    </row>
    <row r="1673" spans="2:68" x14ac:dyDescent="0.25">
      <c r="B1673" s="98" t="s">
        <v>552</v>
      </c>
      <c r="C1673" s="98">
        <v>2014</v>
      </c>
      <c r="D1673" s="98" t="s">
        <v>132</v>
      </c>
      <c r="E1673" s="98" t="s">
        <v>37</v>
      </c>
      <c r="F1673" s="98" t="s">
        <v>131</v>
      </c>
      <c r="G1673" s="248">
        <v>0</v>
      </c>
      <c r="H1673" s="299" t="str">
        <f>VLOOKUP(LEFT('Rev Adequacy'!D1673,3),'Mapping B'!$D$2:$E$400,2,0)</f>
        <v>N</v>
      </c>
      <c r="BP1673" s="190"/>
    </row>
    <row r="1674" spans="2:68" x14ac:dyDescent="0.25">
      <c r="B1674" s="98" t="s">
        <v>552</v>
      </c>
      <c r="C1674" s="98">
        <v>2014</v>
      </c>
      <c r="D1674" s="98" t="s">
        <v>133</v>
      </c>
      <c r="E1674" s="98" t="s">
        <v>37</v>
      </c>
      <c r="F1674" s="98" t="s">
        <v>131</v>
      </c>
      <c r="G1674" s="248">
        <v>6629.6230000000096</v>
      </c>
      <c r="H1674" s="299" t="str">
        <f>VLOOKUP(LEFT('Rev Adequacy'!D1674,3),'Mapping B'!$D$2:$E$400,2,0)</f>
        <v>N</v>
      </c>
      <c r="BP1674" s="190"/>
    </row>
    <row r="1675" spans="2:68" x14ac:dyDescent="0.25">
      <c r="B1675" s="98" t="s">
        <v>552</v>
      </c>
      <c r="C1675" s="98">
        <v>2014</v>
      </c>
      <c r="D1675" s="98" t="s">
        <v>197</v>
      </c>
      <c r="E1675" s="98" t="s">
        <v>37</v>
      </c>
      <c r="F1675" s="98" t="s">
        <v>131</v>
      </c>
      <c r="G1675" s="248">
        <v>0</v>
      </c>
      <c r="H1675" s="299" t="str">
        <f>VLOOKUP(LEFT('Rev Adequacy'!D1675,3),'Mapping B'!$D$2:$E$400,2,0)</f>
        <v>N</v>
      </c>
      <c r="BP1675" s="190"/>
    </row>
    <row r="1676" spans="2:68" x14ac:dyDescent="0.25">
      <c r="B1676" s="98" t="s">
        <v>552</v>
      </c>
      <c r="C1676" s="98">
        <v>2014</v>
      </c>
      <c r="D1676" s="98" t="s">
        <v>198</v>
      </c>
      <c r="E1676" s="98" t="s">
        <v>37</v>
      </c>
      <c r="F1676" s="98" t="s">
        <v>131</v>
      </c>
      <c r="G1676" s="248">
        <v>0</v>
      </c>
      <c r="H1676" s="299" t="str">
        <f>VLOOKUP(LEFT('Rev Adequacy'!D1676,3),'Mapping B'!$D$2:$E$400,2,0)</f>
        <v>N</v>
      </c>
      <c r="BP1676" s="190"/>
    </row>
    <row r="1677" spans="2:68" x14ac:dyDescent="0.25">
      <c r="B1677" s="98" t="s">
        <v>552</v>
      </c>
      <c r="C1677" s="98">
        <v>2014</v>
      </c>
      <c r="D1677" s="98" t="s">
        <v>206</v>
      </c>
      <c r="E1677" s="98" t="s">
        <v>37</v>
      </c>
      <c r="F1677" s="98" t="s">
        <v>131</v>
      </c>
      <c r="G1677" s="248">
        <v>0</v>
      </c>
      <c r="H1677" s="299" t="str">
        <f>VLOOKUP(LEFT('Rev Adequacy'!D1677,3),'Mapping B'!$D$2:$E$400,2,0)</f>
        <v>N</v>
      </c>
      <c r="BP1677" s="190"/>
    </row>
    <row r="1678" spans="2:68" x14ac:dyDescent="0.25">
      <c r="B1678" s="98" t="s">
        <v>552</v>
      </c>
      <c r="C1678" s="98">
        <v>2014</v>
      </c>
      <c r="D1678" s="98" t="s">
        <v>262</v>
      </c>
      <c r="E1678" s="98" t="s">
        <v>37</v>
      </c>
      <c r="F1678" s="98" t="s">
        <v>131</v>
      </c>
      <c r="G1678" s="248">
        <v>1267.74000000005</v>
      </c>
      <c r="H1678" s="299" t="str">
        <f>VLOOKUP(LEFT('Rev Adequacy'!D1678,3),'Mapping B'!$D$2:$E$400,2,0)</f>
        <v>N</v>
      </c>
      <c r="BP1678" s="190"/>
    </row>
    <row r="1679" spans="2:68" x14ac:dyDescent="0.25">
      <c r="B1679" s="98" t="s">
        <v>552</v>
      </c>
      <c r="C1679" s="98">
        <v>2014</v>
      </c>
      <c r="D1679" s="98" t="s">
        <v>293</v>
      </c>
      <c r="E1679" s="98" t="s">
        <v>37</v>
      </c>
      <c r="F1679" s="98" t="s">
        <v>131</v>
      </c>
      <c r="G1679" s="248">
        <v>550.79810729024302</v>
      </c>
      <c r="H1679" s="299" t="str">
        <f>VLOOKUP(LEFT('Rev Adequacy'!D1679,3),'Mapping B'!$D$2:$E$400,2,0)</f>
        <v>N</v>
      </c>
      <c r="BP1679" s="190"/>
    </row>
    <row r="1680" spans="2:68" x14ac:dyDescent="0.25">
      <c r="B1680" s="98" t="s">
        <v>552</v>
      </c>
      <c r="C1680" s="98">
        <v>2014</v>
      </c>
      <c r="D1680" s="98" t="s">
        <v>296</v>
      </c>
      <c r="E1680" s="98" t="s">
        <v>37</v>
      </c>
      <c r="F1680" s="98" t="s">
        <v>131</v>
      </c>
      <c r="G1680" s="248">
        <v>0</v>
      </c>
      <c r="H1680" s="299" t="str">
        <f>VLOOKUP(LEFT('Rev Adequacy'!D1680,3),'Mapping B'!$D$2:$E$400,2,0)</f>
        <v>N</v>
      </c>
      <c r="BP1680" s="190"/>
    </row>
    <row r="1681" spans="2:68" x14ac:dyDescent="0.25">
      <c r="B1681" s="98" t="s">
        <v>552</v>
      </c>
      <c r="C1681" s="98">
        <v>2014</v>
      </c>
      <c r="D1681" s="98" t="s">
        <v>298</v>
      </c>
      <c r="E1681" s="98" t="s">
        <v>37</v>
      </c>
      <c r="F1681" s="98" t="s">
        <v>131</v>
      </c>
      <c r="G1681" s="248">
        <v>1116.3679999999999</v>
      </c>
      <c r="H1681" s="299" t="str">
        <f>VLOOKUP(LEFT('Rev Adequacy'!D1681,3),'Mapping B'!$D$2:$E$400,2,0)</f>
        <v>N</v>
      </c>
      <c r="BP1681" s="190"/>
    </row>
    <row r="1682" spans="2:68" x14ac:dyDescent="0.25">
      <c r="B1682" s="98" t="s">
        <v>552</v>
      </c>
      <c r="C1682" s="98">
        <v>2014</v>
      </c>
      <c r="D1682" s="98" t="s">
        <v>300</v>
      </c>
      <c r="E1682" s="98" t="s">
        <v>37</v>
      </c>
      <c r="F1682" s="98" t="s">
        <v>131</v>
      </c>
      <c r="G1682" s="248">
        <v>411.591284003694</v>
      </c>
      <c r="H1682" s="299" t="str">
        <f>VLOOKUP(LEFT('Rev Adequacy'!D1682,3),'Mapping B'!$D$2:$E$400,2,0)</f>
        <v>N</v>
      </c>
      <c r="BP1682" s="190"/>
    </row>
    <row r="1683" spans="2:68" x14ac:dyDescent="0.25">
      <c r="B1683" s="98" t="s">
        <v>552</v>
      </c>
      <c r="C1683" s="98">
        <v>2014</v>
      </c>
      <c r="D1683" s="98" t="s">
        <v>301</v>
      </c>
      <c r="E1683" s="98" t="s">
        <v>37</v>
      </c>
      <c r="F1683" s="98" t="s">
        <v>131</v>
      </c>
      <c r="G1683" s="248">
        <v>15486.739</v>
      </c>
      <c r="H1683" s="299" t="str">
        <f>VLOOKUP(LEFT('Rev Adequacy'!D1683,3),'Mapping B'!$D$2:$E$400,2,0)</f>
        <v>N</v>
      </c>
      <c r="BP1683" s="190"/>
    </row>
    <row r="1684" spans="2:68" x14ac:dyDescent="0.25">
      <c r="B1684" s="98" t="s">
        <v>552</v>
      </c>
      <c r="C1684" s="98">
        <v>2014</v>
      </c>
      <c r="D1684" s="98" t="s">
        <v>309</v>
      </c>
      <c r="E1684" s="98" t="s">
        <v>37</v>
      </c>
      <c r="F1684" s="98" t="s">
        <v>131</v>
      </c>
      <c r="G1684" s="248">
        <v>0</v>
      </c>
      <c r="H1684" s="299" t="str">
        <f>VLOOKUP(LEFT('Rev Adequacy'!D1684,3),'Mapping B'!$D$2:$E$400,2,0)</f>
        <v>N</v>
      </c>
      <c r="BP1684" s="190"/>
    </row>
    <row r="1685" spans="2:68" x14ac:dyDescent="0.25">
      <c r="B1685" s="98" t="s">
        <v>552</v>
      </c>
      <c r="C1685" s="98">
        <v>2014</v>
      </c>
      <c r="D1685" s="98" t="s">
        <v>310</v>
      </c>
      <c r="E1685" s="98" t="s">
        <v>37</v>
      </c>
      <c r="F1685" s="98" t="s">
        <v>131</v>
      </c>
      <c r="G1685" s="248">
        <v>0</v>
      </c>
      <c r="H1685" s="299" t="str">
        <f>VLOOKUP(LEFT('Rev Adequacy'!D1685,3),'Mapping B'!$D$2:$E$400,2,0)</f>
        <v>N</v>
      </c>
      <c r="BP1685" s="190"/>
    </row>
    <row r="1686" spans="2:68" x14ac:dyDescent="0.25">
      <c r="B1686" s="98" t="s">
        <v>552</v>
      </c>
      <c r="C1686" s="98">
        <v>2014</v>
      </c>
      <c r="D1686" s="98" t="s">
        <v>328</v>
      </c>
      <c r="E1686" s="98" t="s">
        <v>37</v>
      </c>
      <c r="F1686" s="98" t="s">
        <v>131</v>
      </c>
      <c r="G1686" s="248">
        <v>0</v>
      </c>
      <c r="H1686" s="299" t="str">
        <f>VLOOKUP(LEFT('Rev Adequacy'!D1686,3),'Mapping B'!$D$2:$E$400,2,0)</f>
        <v>N</v>
      </c>
      <c r="BP1686" s="190"/>
    </row>
    <row r="1687" spans="2:68" x14ac:dyDescent="0.25">
      <c r="B1687" s="98" t="s">
        <v>552</v>
      </c>
      <c r="C1687" s="98">
        <v>2014</v>
      </c>
      <c r="D1687" s="98" t="s">
        <v>332</v>
      </c>
      <c r="E1687" s="98" t="s">
        <v>37</v>
      </c>
      <c r="F1687" s="98" t="s">
        <v>131</v>
      </c>
      <c r="G1687" s="248">
        <v>0</v>
      </c>
      <c r="H1687" s="299" t="str">
        <f>VLOOKUP(LEFT('Rev Adequacy'!D1687,3),'Mapping B'!$D$2:$E$400,2,0)</f>
        <v>N</v>
      </c>
      <c r="BP1687" s="190"/>
    </row>
    <row r="1688" spans="2:68" x14ac:dyDescent="0.25">
      <c r="B1688" s="98" t="s">
        <v>552</v>
      </c>
      <c r="C1688" s="98">
        <v>2014</v>
      </c>
      <c r="D1688" s="98" t="s">
        <v>367</v>
      </c>
      <c r="E1688" s="98" t="s">
        <v>37</v>
      </c>
      <c r="F1688" s="98" t="s">
        <v>131</v>
      </c>
      <c r="G1688" s="248">
        <v>0</v>
      </c>
      <c r="H1688" s="299" t="str">
        <f>VLOOKUP(LEFT('Rev Adequacy'!D1688,3),'Mapping B'!$D$2:$E$400,2,0)</f>
        <v>N</v>
      </c>
      <c r="BP1688" s="190"/>
    </row>
    <row r="1689" spans="2:68" x14ac:dyDescent="0.25">
      <c r="B1689" s="98" t="s">
        <v>552</v>
      </c>
      <c r="C1689" s="98">
        <v>2014</v>
      </c>
      <c r="D1689" s="98" t="s">
        <v>374</v>
      </c>
      <c r="E1689" s="98" t="s">
        <v>37</v>
      </c>
      <c r="F1689" s="98" t="s">
        <v>131</v>
      </c>
      <c r="G1689" s="248">
        <v>1377.64400000008</v>
      </c>
      <c r="H1689" s="299" t="str">
        <f>VLOOKUP(LEFT('Rev Adequacy'!D1689,3),'Mapping B'!$D$2:$E$400,2,0)</f>
        <v>N</v>
      </c>
      <c r="BP1689" s="190"/>
    </row>
    <row r="1690" spans="2:68" x14ac:dyDescent="0.25">
      <c r="B1690" s="98" t="s">
        <v>552</v>
      </c>
      <c r="C1690" s="98">
        <v>2014</v>
      </c>
      <c r="D1690" s="98" t="s">
        <v>384</v>
      </c>
      <c r="E1690" s="98" t="s">
        <v>37</v>
      </c>
      <c r="F1690" s="98" t="s">
        <v>131</v>
      </c>
      <c r="G1690" s="248">
        <v>0</v>
      </c>
      <c r="H1690" s="299" t="str">
        <f>VLOOKUP(LEFT('Rev Adequacy'!D1690,3),'Mapping B'!$D$2:$E$400,2,0)</f>
        <v>N</v>
      </c>
      <c r="BP1690" s="190"/>
    </row>
    <row r="1691" spans="2:68" x14ac:dyDescent="0.25">
      <c r="B1691" s="98" t="s">
        <v>553</v>
      </c>
      <c r="C1691" s="98">
        <v>2014</v>
      </c>
      <c r="D1691" s="98" t="s">
        <v>132</v>
      </c>
      <c r="E1691" s="98" t="s">
        <v>37</v>
      </c>
      <c r="F1691" s="98" t="s">
        <v>131</v>
      </c>
      <c r="G1691" s="248">
        <v>1637326.2990000001</v>
      </c>
      <c r="H1691" s="299" t="str">
        <f>VLOOKUP(LEFT('Rev Adequacy'!D1691,3),'Mapping B'!$D$2:$E$400,2,0)</f>
        <v>N</v>
      </c>
      <c r="BP1691" s="190"/>
    </row>
    <row r="1692" spans="2:68" x14ac:dyDescent="0.25">
      <c r="B1692" s="98" t="s">
        <v>553</v>
      </c>
      <c r="C1692" s="98">
        <v>2014</v>
      </c>
      <c r="D1692" s="98" t="s">
        <v>197</v>
      </c>
      <c r="E1692" s="98" t="s">
        <v>37</v>
      </c>
      <c r="F1692" s="98" t="s">
        <v>131</v>
      </c>
      <c r="G1692" s="248">
        <v>419708.44500000001</v>
      </c>
      <c r="H1692" s="299" t="str">
        <f>VLOOKUP(LEFT('Rev Adequacy'!D1692,3),'Mapping B'!$D$2:$E$400,2,0)</f>
        <v>N</v>
      </c>
      <c r="BP1692" s="190"/>
    </row>
    <row r="1693" spans="2:68" x14ac:dyDescent="0.25">
      <c r="B1693" s="98" t="s">
        <v>553</v>
      </c>
      <c r="C1693" s="98">
        <v>2014</v>
      </c>
      <c r="D1693" s="98" t="s">
        <v>198</v>
      </c>
      <c r="E1693" s="98" t="s">
        <v>37</v>
      </c>
      <c r="F1693" s="98" t="s">
        <v>131</v>
      </c>
      <c r="G1693" s="248">
        <v>474883.036000002</v>
      </c>
      <c r="H1693" s="299" t="str">
        <f>VLOOKUP(LEFT('Rev Adequacy'!D1693,3),'Mapping B'!$D$2:$E$400,2,0)</f>
        <v>N</v>
      </c>
      <c r="BP1693" s="190"/>
    </row>
    <row r="1694" spans="2:68" x14ac:dyDescent="0.25">
      <c r="B1694" s="98" t="s">
        <v>553</v>
      </c>
      <c r="C1694" s="98">
        <v>2014</v>
      </c>
      <c r="D1694" s="98" t="s">
        <v>262</v>
      </c>
      <c r="E1694" s="98" t="s">
        <v>37</v>
      </c>
      <c r="F1694" s="98" t="s">
        <v>131</v>
      </c>
      <c r="G1694" s="248">
        <v>209345.81000000099</v>
      </c>
      <c r="H1694" s="299" t="str">
        <f>VLOOKUP(LEFT('Rev Adequacy'!D1694,3),'Mapping B'!$D$2:$E$400,2,0)</f>
        <v>N</v>
      </c>
      <c r="BP1694" s="190"/>
    </row>
    <row r="1695" spans="2:68" x14ac:dyDescent="0.25">
      <c r="B1695" s="98" t="s">
        <v>553</v>
      </c>
      <c r="C1695" s="98">
        <v>2014</v>
      </c>
      <c r="D1695" s="98" t="s">
        <v>293</v>
      </c>
      <c r="E1695" s="98" t="s">
        <v>37</v>
      </c>
      <c r="F1695" s="98" t="s">
        <v>131</v>
      </c>
      <c r="G1695" s="248">
        <v>136707.62230022199</v>
      </c>
      <c r="H1695" s="299" t="str">
        <f>VLOOKUP(LEFT('Rev Adequacy'!D1695,3),'Mapping B'!$D$2:$E$400,2,0)</f>
        <v>N</v>
      </c>
      <c r="BP1695" s="190"/>
    </row>
    <row r="1696" spans="2:68" x14ac:dyDescent="0.25">
      <c r="B1696" s="98" t="s">
        <v>553</v>
      </c>
      <c r="C1696" s="98">
        <v>2014</v>
      </c>
      <c r="D1696" s="98" t="s">
        <v>296</v>
      </c>
      <c r="E1696" s="98" t="s">
        <v>37</v>
      </c>
      <c r="F1696" s="98" t="s">
        <v>131</v>
      </c>
      <c r="G1696" s="248">
        <v>251540.202000002</v>
      </c>
      <c r="H1696" s="299" t="str">
        <f>VLOOKUP(LEFT('Rev Adequacy'!D1696,3),'Mapping B'!$D$2:$E$400,2,0)</f>
        <v>N</v>
      </c>
      <c r="BP1696" s="190"/>
    </row>
    <row r="1697" spans="2:68" x14ac:dyDescent="0.25">
      <c r="B1697" s="98" t="s">
        <v>553</v>
      </c>
      <c r="C1697" s="98">
        <v>2014</v>
      </c>
      <c r="D1697" s="98" t="s">
        <v>298</v>
      </c>
      <c r="E1697" s="98" t="s">
        <v>37</v>
      </c>
      <c r="F1697" s="98" t="s">
        <v>131</v>
      </c>
      <c r="G1697" s="248">
        <v>74407.256999999794</v>
      </c>
      <c r="H1697" s="299" t="str">
        <f>VLOOKUP(LEFT('Rev Adequacy'!D1697,3),'Mapping B'!$D$2:$E$400,2,0)</f>
        <v>N</v>
      </c>
      <c r="BP1697" s="190"/>
    </row>
    <row r="1698" spans="2:68" x14ac:dyDescent="0.25">
      <c r="B1698" s="98" t="s">
        <v>553</v>
      </c>
      <c r="C1698" s="98">
        <v>2014</v>
      </c>
      <c r="D1698" s="98" t="s">
        <v>300</v>
      </c>
      <c r="E1698" s="98" t="s">
        <v>37</v>
      </c>
      <c r="F1698" s="98" t="s">
        <v>131</v>
      </c>
      <c r="G1698" s="248">
        <v>3953031.0628393302</v>
      </c>
      <c r="H1698" s="299" t="str">
        <f>VLOOKUP(LEFT('Rev Adequacy'!D1698,3),'Mapping B'!$D$2:$E$400,2,0)</f>
        <v>N</v>
      </c>
      <c r="BP1698" s="190"/>
    </row>
    <row r="1699" spans="2:68" x14ac:dyDescent="0.25">
      <c r="B1699" s="98" t="s">
        <v>553</v>
      </c>
      <c r="C1699" s="98">
        <v>2014</v>
      </c>
      <c r="D1699" s="98" t="s">
        <v>301</v>
      </c>
      <c r="E1699" s="98" t="s">
        <v>37</v>
      </c>
      <c r="F1699" s="98" t="s">
        <v>131</v>
      </c>
      <c r="G1699" s="248">
        <v>295469.73200000101</v>
      </c>
      <c r="H1699" s="299" t="str">
        <f>VLOOKUP(LEFT('Rev Adequacy'!D1699,3),'Mapping B'!$D$2:$E$400,2,0)</f>
        <v>N</v>
      </c>
      <c r="BP1699" s="190"/>
    </row>
    <row r="1700" spans="2:68" x14ac:dyDescent="0.25">
      <c r="B1700" s="98" t="s">
        <v>553</v>
      </c>
      <c r="C1700" s="98">
        <v>2014</v>
      </c>
      <c r="D1700" s="98" t="s">
        <v>309</v>
      </c>
      <c r="E1700" s="98" t="s">
        <v>37</v>
      </c>
      <c r="F1700" s="98" t="s">
        <v>131</v>
      </c>
      <c r="G1700" s="248">
        <v>318911.32999999903</v>
      </c>
      <c r="H1700" s="299" t="str">
        <f>VLOOKUP(LEFT('Rev Adequacy'!D1700,3),'Mapping B'!$D$2:$E$400,2,0)</f>
        <v>N</v>
      </c>
      <c r="BP1700" s="190"/>
    </row>
    <row r="1701" spans="2:68" x14ac:dyDescent="0.25">
      <c r="B1701" s="98" t="s">
        <v>553</v>
      </c>
      <c r="C1701" s="98">
        <v>2014</v>
      </c>
      <c r="D1701" s="98" t="s">
        <v>310</v>
      </c>
      <c r="E1701" s="98" t="s">
        <v>37</v>
      </c>
      <c r="F1701" s="98" t="s">
        <v>131</v>
      </c>
      <c r="G1701" s="248">
        <v>180210.12499999901</v>
      </c>
      <c r="H1701" s="299" t="str">
        <f>VLOOKUP(LEFT('Rev Adequacy'!D1701,3),'Mapping B'!$D$2:$E$400,2,0)</f>
        <v>N</v>
      </c>
      <c r="BP1701" s="190"/>
    </row>
    <row r="1702" spans="2:68" x14ac:dyDescent="0.25">
      <c r="B1702" s="98" t="s">
        <v>553</v>
      </c>
      <c r="C1702" s="98">
        <v>2014</v>
      </c>
      <c r="D1702" s="98" t="s">
        <v>328</v>
      </c>
      <c r="E1702" s="98" t="s">
        <v>37</v>
      </c>
      <c r="F1702" s="98" t="s">
        <v>131</v>
      </c>
      <c r="G1702" s="248">
        <v>644966.03300000203</v>
      </c>
      <c r="H1702" s="299" t="str">
        <f>VLOOKUP(LEFT('Rev Adequacy'!D1702,3),'Mapping B'!$D$2:$E$400,2,0)</f>
        <v>N</v>
      </c>
      <c r="BP1702" s="190"/>
    </row>
    <row r="1703" spans="2:68" x14ac:dyDescent="0.25">
      <c r="B1703" s="98" t="s">
        <v>553</v>
      </c>
      <c r="C1703" s="98">
        <v>2014</v>
      </c>
      <c r="D1703" s="98" t="s">
        <v>332</v>
      </c>
      <c r="E1703" s="98" t="s">
        <v>37</v>
      </c>
      <c r="F1703" s="98" t="s">
        <v>131</v>
      </c>
      <c r="G1703" s="248">
        <v>217678.24699999701</v>
      </c>
      <c r="H1703" s="299" t="str">
        <f>VLOOKUP(LEFT('Rev Adequacy'!D1703,3),'Mapping B'!$D$2:$E$400,2,0)</f>
        <v>N</v>
      </c>
      <c r="BP1703" s="190"/>
    </row>
    <row r="1704" spans="2:68" x14ac:dyDescent="0.25">
      <c r="B1704" s="98" t="s">
        <v>553</v>
      </c>
      <c r="C1704" s="98">
        <v>2014</v>
      </c>
      <c r="D1704" s="98" t="s">
        <v>367</v>
      </c>
      <c r="E1704" s="98" t="s">
        <v>37</v>
      </c>
      <c r="F1704" s="98" t="s">
        <v>131</v>
      </c>
      <c r="G1704" s="248">
        <v>163445.627000001</v>
      </c>
      <c r="H1704" s="299" t="str">
        <f>VLOOKUP(LEFT('Rev Adequacy'!D1704,3),'Mapping B'!$D$2:$E$400,2,0)</f>
        <v>N</v>
      </c>
      <c r="BP1704" s="190"/>
    </row>
    <row r="1705" spans="2:68" x14ac:dyDescent="0.25">
      <c r="B1705" s="98" t="s">
        <v>553</v>
      </c>
      <c r="C1705" s="98">
        <v>2014</v>
      </c>
      <c r="D1705" s="98" t="s">
        <v>374</v>
      </c>
      <c r="E1705" s="98" t="s">
        <v>37</v>
      </c>
      <c r="F1705" s="98" t="s">
        <v>131</v>
      </c>
      <c r="G1705" s="248">
        <v>191473.35099999799</v>
      </c>
      <c r="H1705" s="299" t="str">
        <f>VLOOKUP(LEFT('Rev Adequacy'!D1705,3),'Mapping B'!$D$2:$E$400,2,0)</f>
        <v>N</v>
      </c>
      <c r="BP1705" s="190"/>
    </row>
    <row r="1706" spans="2:68" x14ac:dyDescent="0.25">
      <c r="B1706" s="98" t="s">
        <v>554</v>
      </c>
      <c r="C1706" s="98">
        <v>2014</v>
      </c>
      <c r="D1706" s="98" t="s">
        <v>132</v>
      </c>
      <c r="E1706" s="98" t="s">
        <v>37</v>
      </c>
      <c r="F1706" s="98" t="s">
        <v>131</v>
      </c>
      <c r="G1706" s="248">
        <v>22126783.879000001</v>
      </c>
      <c r="H1706" s="299" t="str">
        <f>VLOOKUP(LEFT('Rev Adequacy'!D1706,3),'Mapping B'!$D$2:$E$400,2,0)</f>
        <v>N</v>
      </c>
      <c r="BP1706" s="190"/>
    </row>
    <row r="1707" spans="2:68" x14ac:dyDescent="0.25">
      <c r="B1707" s="98" t="s">
        <v>554</v>
      </c>
      <c r="C1707" s="98">
        <v>2014</v>
      </c>
      <c r="D1707" s="98" t="s">
        <v>133</v>
      </c>
      <c r="E1707" s="98" t="s">
        <v>37</v>
      </c>
      <c r="F1707" s="98" t="s">
        <v>131</v>
      </c>
      <c r="G1707" s="248">
        <v>13232824.244999999</v>
      </c>
      <c r="H1707" s="299" t="str">
        <f>VLOOKUP(LEFT('Rev Adequacy'!D1707,3),'Mapping B'!$D$2:$E$400,2,0)</f>
        <v>N</v>
      </c>
      <c r="BP1707" s="190"/>
    </row>
    <row r="1708" spans="2:68" x14ac:dyDescent="0.25">
      <c r="B1708" s="98" t="s">
        <v>554</v>
      </c>
      <c r="C1708" s="98">
        <v>2014</v>
      </c>
      <c r="D1708" s="98" t="s">
        <v>197</v>
      </c>
      <c r="E1708" s="98" t="s">
        <v>37</v>
      </c>
      <c r="F1708" s="98" t="s">
        <v>131</v>
      </c>
      <c r="G1708" s="98">
        <v>16519619.6309999</v>
      </c>
      <c r="H1708" s="299" t="str">
        <f>VLOOKUP(LEFT('Rev Adequacy'!D1708,3),'Mapping B'!$D$2:$E$400,2,0)</f>
        <v>N</v>
      </c>
      <c r="BP1708" s="190"/>
    </row>
    <row r="1709" spans="2:68" x14ac:dyDescent="0.25">
      <c r="B1709" s="98" t="s">
        <v>554</v>
      </c>
      <c r="C1709" s="98">
        <v>2014</v>
      </c>
      <c r="D1709" s="98" t="s">
        <v>198</v>
      </c>
      <c r="E1709" s="98" t="s">
        <v>37</v>
      </c>
      <c r="F1709" s="98" t="s">
        <v>131</v>
      </c>
      <c r="G1709" s="98">
        <v>21101392.541000001</v>
      </c>
      <c r="H1709" s="299" t="str">
        <f>VLOOKUP(LEFT('Rev Adequacy'!D1709,3),'Mapping B'!$D$2:$E$400,2,0)</f>
        <v>N</v>
      </c>
      <c r="BP1709" s="190"/>
    </row>
    <row r="1710" spans="2:68" x14ac:dyDescent="0.25">
      <c r="B1710" s="98" t="s">
        <v>554</v>
      </c>
      <c r="C1710" s="98">
        <v>2014</v>
      </c>
      <c r="D1710" s="98" t="s">
        <v>206</v>
      </c>
      <c r="E1710" s="98" t="s">
        <v>37</v>
      </c>
      <c r="F1710" s="98" t="s">
        <v>131</v>
      </c>
      <c r="G1710" s="98">
        <v>1873637.5719999899</v>
      </c>
      <c r="H1710" s="299" t="str">
        <f>VLOOKUP(LEFT('Rev Adequacy'!D1710,3),'Mapping B'!$D$2:$E$400,2,0)</f>
        <v>N</v>
      </c>
      <c r="BP1710" s="190"/>
    </row>
    <row r="1711" spans="2:68" x14ac:dyDescent="0.25">
      <c r="B1711" s="98" t="s">
        <v>554</v>
      </c>
      <c r="C1711" s="98">
        <v>2014</v>
      </c>
      <c r="D1711" s="98" t="s">
        <v>262</v>
      </c>
      <c r="E1711" s="98" t="s">
        <v>37</v>
      </c>
      <c r="F1711" s="98" t="s">
        <v>131</v>
      </c>
      <c r="G1711" s="98">
        <v>15686139.4719999</v>
      </c>
      <c r="H1711" s="299" t="str">
        <f>VLOOKUP(LEFT('Rev Adequacy'!D1711,3),'Mapping B'!$D$2:$E$400,2,0)</f>
        <v>N</v>
      </c>
      <c r="BP1711" s="190"/>
    </row>
    <row r="1712" spans="2:68" x14ac:dyDescent="0.25">
      <c r="B1712" s="98" t="s">
        <v>554</v>
      </c>
      <c r="C1712" s="98">
        <v>2014</v>
      </c>
      <c r="D1712" s="98" t="s">
        <v>293</v>
      </c>
      <c r="E1712" s="98" t="s">
        <v>37</v>
      </c>
      <c r="F1712" s="98" t="s">
        <v>131</v>
      </c>
      <c r="G1712" s="98">
        <v>9467514.3717963994</v>
      </c>
      <c r="H1712" s="299" t="str">
        <f>VLOOKUP(LEFT('Rev Adequacy'!D1712,3),'Mapping B'!$D$2:$E$400,2,0)</f>
        <v>N</v>
      </c>
      <c r="BP1712" s="190"/>
    </row>
    <row r="1713" spans="2:68" x14ac:dyDescent="0.25">
      <c r="B1713" s="98" t="s">
        <v>554</v>
      </c>
      <c r="C1713" s="98">
        <v>2014</v>
      </c>
      <c r="D1713" s="98" t="s">
        <v>298</v>
      </c>
      <c r="E1713" s="98" t="s">
        <v>37</v>
      </c>
      <c r="F1713" s="98" t="s">
        <v>131</v>
      </c>
      <c r="G1713" s="98">
        <v>6713129.9100000504</v>
      </c>
      <c r="H1713" s="299" t="str">
        <f>VLOOKUP(LEFT('Rev Adequacy'!D1713,3),'Mapping B'!$D$2:$E$400,2,0)</f>
        <v>N</v>
      </c>
      <c r="BP1713" s="190"/>
    </row>
    <row r="1714" spans="2:68" x14ac:dyDescent="0.25">
      <c r="B1714" s="98" t="s">
        <v>554</v>
      </c>
      <c r="C1714" s="98">
        <v>2014</v>
      </c>
      <c r="D1714" s="98" t="s">
        <v>300</v>
      </c>
      <c r="E1714" s="98" t="s">
        <v>37</v>
      </c>
      <c r="F1714" s="98" t="s">
        <v>131</v>
      </c>
      <c r="G1714" s="98">
        <v>41106002.013820402</v>
      </c>
      <c r="H1714" s="299" t="str">
        <f>VLOOKUP(LEFT('Rev Adequacy'!D1714,3),'Mapping B'!$D$2:$E$400,2,0)</f>
        <v>N</v>
      </c>
      <c r="BP1714" s="190"/>
    </row>
    <row r="1715" spans="2:68" x14ac:dyDescent="0.25">
      <c r="B1715" s="98" t="s">
        <v>554</v>
      </c>
      <c r="C1715" s="98">
        <v>2014</v>
      </c>
      <c r="D1715" s="98" t="s">
        <v>301</v>
      </c>
      <c r="E1715" s="98" t="s">
        <v>37</v>
      </c>
      <c r="F1715" s="98" t="s">
        <v>131</v>
      </c>
      <c r="G1715" s="98">
        <v>26967085.019999702</v>
      </c>
      <c r="H1715" s="299" t="str">
        <f>VLOOKUP(LEFT('Rev Adequacy'!D1715,3),'Mapping B'!$D$2:$E$400,2,0)</f>
        <v>N</v>
      </c>
      <c r="BP1715" s="190"/>
    </row>
    <row r="1716" spans="2:68" x14ac:dyDescent="0.25">
      <c r="B1716" s="98" t="s">
        <v>554</v>
      </c>
      <c r="C1716" s="98">
        <v>2014</v>
      </c>
      <c r="D1716" s="98" t="s">
        <v>309</v>
      </c>
      <c r="E1716" s="98" t="s">
        <v>37</v>
      </c>
      <c r="F1716" s="98" t="s">
        <v>131</v>
      </c>
      <c r="G1716" s="98">
        <v>17157295.221999999</v>
      </c>
      <c r="H1716" s="299" t="str">
        <f>VLOOKUP(LEFT('Rev Adequacy'!D1716,3),'Mapping B'!$D$2:$E$400,2,0)</f>
        <v>N</v>
      </c>
      <c r="BP1716" s="190"/>
    </row>
    <row r="1717" spans="2:68" x14ac:dyDescent="0.25">
      <c r="B1717" s="98" t="s">
        <v>554</v>
      </c>
      <c r="C1717" s="98">
        <v>2014</v>
      </c>
      <c r="D1717" s="98" t="s">
        <v>310</v>
      </c>
      <c r="E1717" s="98" t="s">
        <v>37</v>
      </c>
      <c r="F1717" s="98" t="s">
        <v>131</v>
      </c>
      <c r="G1717" s="98">
        <v>8896992.3549999297</v>
      </c>
      <c r="H1717" s="299" t="str">
        <f>VLOOKUP(LEFT('Rev Adequacy'!D1717,3),'Mapping B'!$D$2:$E$400,2,0)</f>
        <v>N</v>
      </c>
      <c r="BP1717" s="190"/>
    </row>
    <row r="1718" spans="2:68" x14ac:dyDescent="0.25">
      <c r="B1718" s="98" t="s">
        <v>554</v>
      </c>
      <c r="C1718" s="98">
        <v>2014</v>
      </c>
      <c r="D1718" s="98" t="s">
        <v>328</v>
      </c>
      <c r="E1718" s="98" t="s">
        <v>37</v>
      </c>
      <c r="F1718" s="98" t="s">
        <v>131</v>
      </c>
      <c r="G1718" s="98">
        <v>11328089.249</v>
      </c>
      <c r="H1718" s="299" t="str">
        <f>VLOOKUP(LEFT('Rev Adequacy'!D1718,3),'Mapping B'!$D$2:$E$400,2,0)</f>
        <v>N</v>
      </c>
      <c r="BP1718" s="190"/>
    </row>
    <row r="1719" spans="2:68" x14ac:dyDescent="0.25">
      <c r="B1719" s="98" t="s">
        <v>554</v>
      </c>
      <c r="C1719" s="98">
        <v>2014</v>
      </c>
      <c r="D1719" s="98" t="s">
        <v>332</v>
      </c>
      <c r="E1719" s="98" t="s">
        <v>37</v>
      </c>
      <c r="F1719" s="98" t="s">
        <v>131</v>
      </c>
      <c r="G1719" s="98">
        <v>15669515.853</v>
      </c>
      <c r="H1719" s="299" t="str">
        <f>VLOOKUP(LEFT('Rev Adequacy'!D1719,3),'Mapping B'!$D$2:$E$400,2,0)</f>
        <v>N</v>
      </c>
      <c r="BP1719" s="190"/>
    </row>
    <row r="1720" spans="2:68" x14ac:dyDescent="0.25">
      <c r="B1720" s="98" t="s">
        <v>554</v>
      </c>
      <c r="C1720" s="98">
        <v>2014</v>
      </c>
      <c r="D1720" s="98" t="s">
        <v>367</v>
      </c>
      <c r="E1720" s="98" t="s">
        <v>37</v>
      </c>
      <c r="F1720" s="98" t="s">
        <v>131</v>
      </c>
      <c r="G1720" s="98">
        <v>5117601.9479999803</v>
      </c>
      <c r="H1720" s="299" t="str">
        <f>VLOOKUP(LEFT('Rev Adequacy'!D1720,3),'Mapping B'!$D$2:$E$400,2,0)</f>
        <v>N</v>
      </c>
      <c r="BP1720" s="190"/>
    </row>
    <row r="1721" spans="2:68" x14ac:dyDescent="0.25">
      <c r="B1721" s="98" t="s">
        <v>554</v>
      </c>
      <c r="C1721" s="98">
        <v>2014</v>
      </c>
      <c r="D1721" s="98" t="s">
        <v>374</v>
      </c>
      <c r="E1721" s="98" t="s">
        <v>37</v>
      </c>
      <c r="F1721" s="98" t="s">
        <v>131</v>
      </c>
      <c r="G1721" s="98">
        <v>13074912.4209999</v>
      </c>
      <c r="H1721" s="299" t="str">
        <f>VLOOKUP(LEFT('Rev Adequacy'!D1721,3),'Mapping B'!$D$2:$E$400,2,0)</f>
        <v>N</v>
      </c>
      <c r="BP1721" s="190"/>
    </row>
    <row r="1722" spans="2:68" x14ac:dyDescent="0.25">
      <c r="B1722" s="98" t="s">
        <v>554</v>
      </c>
      <c r="C1722" s="98">
        <v>2014</v>
      </c>
      <c r="D1722" s="98" t="s">
        <v>384</v>
      </c>
      <c r="E1722" s="98" t="s">
        <v>37</v>
      </c>
      <c r="F1722" s="98" t="s">
        <v>131</v>
      </c>
      <c r="G1722" s="98">
        <v>6059305.8099999698</v>
      </c>
      <c r="H1722" s="299" t="str">
        <f>VLOOKUP(LEFT('Rev Adequacy'!D1722,3),'Mapping B'!$D$2:$E$400,2,0)</f>
        <v>N</v>
      </c>
      <c r="BP1722" s="190"/>
    </row>
    <row r="1723" spans="2:68" x14ac:dyDescent="0.25">
      <c r="B1723" s="98" t="s">
        <v>563</v>
      </c>
      <c r="C1723" s="98">
        <v>2014</v>
      </c>
      <c r="D1723" s="98" t="s">
        <v>132</v>
      </c>
      <c r="E1723" s="98" t="s">
        <v>37</v>
      </c>
      <c r="F1723" s="98" t="s">
        <v>131</v>
      </c>
      <c r="G1723" s="98">
        <v>6146679.0019999798</v>
      </c>
      <c r="H1723" s="299" t="str">
        <f>VLOOKUP(LEFT('Rev Adequacy'!D1723,3),'Mapping B'!$D$2:$E$400,2,0)</f>
        <v>N</v>
      </c>
      <c r="BP1723" s="190"/>
    </row>
    <row r="1724" spans="2:68" x14ac:dyDescent="0.25">
      <c r="B1724" s="98" t="s">
        <v>563</v>
      </c>
      <c r="C1724" s="98">
        <v>2014</v>
      </c>
      <c r="D1724" s="98" t="s">
        <v>133</v>
      </c>
      <c r="E1724" s="98" t="s">
        <v>37</v>
      </c>
      <c r="F1724" s="98" t="s">
        <v>131</v>
      </c>
      <c r="G1724" s="98">
        <v>3850357.4530000002</v>
      </c>
      <c r="H1724" s="299" t="str">
        <f>VLOOKUP(LEFT('Rev Adequacy'!D1724,3),'Mapping B'!$D$2:$E$400,2,0)</f>
        <v>N</v>
      </c>
      <c r="BP1724" s="190"/>
    </row>
    <row r="1725" spans="2:68" x14ac:dyDescent="0.25">
      <c r="B1725" s="98" t="s">
        <v>563</v>
      </c>
      <c r="C1725" s="98">
        <v>2014</v>
      </c>
      <c r="D1725" s="98" t="s">
        <v>197</v>
      </c>
      <c r="E1725" s="98" t="s">
        <v>37</v>
      </c>
      <c r="F1725" s="98" t="s">
        <v>131</v>
      </c>
      <c r="G1725" s="98">
        <v>4485964.3319999902</v>
      </c>
      <c r="H1725" s="299" t="str">
        <f>VLOOKUP(LEFT('Rev Adequacy'!D1725,3),'Mapping B'!$D$2:$E$400,2,0)</f>
        <v>N</v>
      </c>
      <c r="BP1725" s="190"/>
    </row>
    <row r="1726" spans="2:68" x14ac:dyDescent="0.25">
      <c r="B1726" s="98" t="s">
        <v>563</v>
      </c>
      <c r="C1726" s="98">
        <v>2014</v>
      </c>
      <c r="D1726" s="98" t="s">
        <v>198</v>
      </c>
      <c r="E1726" s="98" t="s">
        <v>37</v>
      </c>
      <c r="F1726" s="98" t="s">
        <v>131</v>
      </c>
      <c r="G1726" s="98">
        <v>5860236.5369999902</v>
      </c>
      <c r="H1726" s="299" t="str">
        <f>VLOOKUP(LEFT('Rev Adequacy'!D1726,3),'Mapping B'!$D$2:$E$400,2,0)</f>
        <v>N</v>
      </c>
      <c r="BP1726" s="190"/>
    </row>
    <row r="1727" spans="2:68" x14ac:dyDescent="0.25">
      <c r="B1727" s="98" t="s">
        <v>563</v>
      </c>
      <c r="C1727" s="98">
        <v>2014</v>
      </c>
      <c r="D1727" s="98" t="s">
        <v>206</v>
      </c>
      <c r="E1727" s="98" t="s">
        <v>37</v>
      </c>
      <c r="F1727" s="98" t="s">
        <v>131</v>
      </c>
      <c r="G1727" s="98">
        <v>665792.04</v>
      </c>
      <c r="H1727" s="299" t="str">
        <f>VLOOKUP(LEFT('Rev Adequacy'!D1727,3),'Mapping B'!$D$2:$E$400,2,0)</f>
        <v>N</v>
      </c>
      <c r="BP1727" s="190"/>
    </row>
    <row r="1728" spans="2:68" x14ac:dyDescent="0.25">
      <c r="B1728" s="98" t="s">
        <v>563</v>
      </c>
      <c r="C1728" s="98">
        <v>2014</v>
      </c>
      <c r="D1728" s="98" t="s">
        <v>262</v>
      </c>
      <c r="E1728" s="98" t="s">
        <v>37</v>
      </c>
      <c r="F1728" s="98" t="s">
        <v>131</v>
      </c>
      <c r="G1728" s="98">
        <v>4542910.60100001</v>
      </c>
      <c r="H1728" s="299" t="str">
        <f>VLOOKUP(LEFT('Rev Adequacy'!D1728,3),'Mapping B'!$D$2:$E$400,2,0)</f>
        <v>N</v>
      </c>
      <c r="BP1728" s="190"/>
    </row>
    <row r="1729" spans="2:68" x14ac:dyDescent="0.25">
      <c r="B1729" s="98" t="s">
        <v>563</v>
      </c>
      <c r="C1729" s="98">
        <v>2014</v>
      </c>
      <c r="D1729" s="98" t="s">
        <v>293</v>
      </c>
      <c r="E1729" s="98" t="s">
        <v>37</v>
      </c>
      <c r="F1729" s="98" t="s">
        <v>131</v>
      </c>
      <c r="G1729" s="98">
        <v>2691963.2050288902</v>
      </c>
      <c r="H1729" s="299" t="str">
        <f>VLOOKUP(LEFT('Rev Adequacy'!D1729,3),'Mapping B'!$D$2:$E$400,2,0)</f>
        <v>N</v>
      </c>
      <c r="BP1729" s="190"/>
    </row>
    <row r="1730" spans="2:68" x14ac:dyDescent="0.25">
      <c r="B1730" s="98" t="s">
        <v>563</v>
      </c>
      <c r="C1730" s="98">
        <v>2014</v>
      </c>
      <c r="D1730" s="98" t="s">
        <v>298</v>
      </c>
      <c r="E1730" s="98" t="s">
        <v>37</v>
      </c>
      <c r="F1730" s="98" t="s">
        <v>131</v>
      </c>
      <c r="G1730" s="98">
        <v>2008697.9809999799</v>
      </c>
      <c r="H1730" s="299" t="str">
        <f>VLOOKUP(LEFT('Rev Adequacy'!D1730,3),'Mapping B'!$D$2:$E$400,2,0)</f>
        <v>N</v>
      </c>
      <c r="BP1730" s="190"/>
    </row>
    <row r="1731" spans="2:68" x14ac:dyDescent="0.25">
      <c r="B1731" s="98" t="s">
        <v>563</v>
      </c>
      <c r="C1731" s="98">
        <v>2014</v>
      </c>
      <c r="D1731" s="98" t="s">
        <v>300</v>
      </c>
      <c r="E1731" s="98" t="s">
        <v>37</v>
      </c>
      <c r="F1731" s="98" t="s">
        <v>131</v>
      </c>
      <c r="G1731" s="98">
        <v>11938877.1125375</v>
      </c>
      <c r="H1731" s="299" t="str">
        <f>VLOOKUP(LEFT('Rev Adequacy'!D1731,3),'Mapping B'!$D$2:$E$400,2,0)</f>
        <v>N</v>
      </c>
      <c r="BP1731" s="190"/>
    </row>
    <row r="1732" spans="2:68" x14ac:dyDescent="0.25">
      <c r="B1732" s="98" t="s">
        <v>563</v>
      </c>
      <c r="C1732" s="98">
        <v>2014</v>
      </c>
      <c r="D1732" s="98" t="s">
        <v>301</v>
      </c>
      <c r="E1732" s="98" t="s">
        <v>37</v>
      </c>
      <c r="F1732" s="98" t="s">
        <v>131</v>
      </c>
      <c r="G1732" s="98">
        <v>8138932.2580000097</v>
      </c>
      <c r="H1732" s="299" t="str">
        <f>VLOOKUP(LEFT('Rev Adequacy'!D1732,3),'Mapping B'!$D$2:$E$400,2,0)</f>
        <v>N</v>
      </c>
      <c r="BP1732" s="190"/>
    </row>
    <row r="1733" spans="2:68" x14ac:dyDescent="0.25">
      <c r="B1733" s="98" t="s">
        <v>563</v>
      </c>
      <c r="C1733" s="98">
        <v>2014</v>
      </c>
      <c r="D1733" s="98" t="s">
        <v>309</v>
      </c>
      <c r="E1733" s="98" t="s">
        <v>37</v>
      </c>
      <c r="F1733" s="98" t="s">
        <v>131</v>
      </c>
      <c r="G1733" s="98">
        <v>4584939.2369999997</v>
      </c>
      <c r="H1733" s="299" t="str">
        <f>VLOOKUP(LEFT('Rev Adequacy'!D1733,3),'Mapping B'!$D$2:$E$400,2,0)</f>
        <v>N</v>
      </c>
      <c r="BP1733" s="190"/>
    </row>
    <row r="1734" spans="2:68" x14ac:dyDescent="0.25">
      <c r="B1734" s="98" t="s">
        <v>563</v>
      </c>
      <c r="C1734" s="98">
        <v>2014</v>
      </c>
      <c r="D1734" s="98" t="s">
        <v>310</v>
      </c>
      <c r="E1734" s="98" t="s">
        <v>37</v>
      </c>
      <c r="F1734" s="98" t="s">
        <v>131</v>
      </c>
      <c r="G1734" s="98">
        <v>2525282.6089999899</v>
      </c>
      <c r="H1734" s="299" t="str">
        <f>VLOOKUP(LEFT('Rev Adequacy'!D1734,3),'Mapping B'!$D$2:$E$400,2,0)</f>
        <v>N</v>
      </c>
      <c r="BP1734" s="190"/>
    </row>
    <row r="1735" spans="2:68" x14ac:dyDescent="0.25">
      <c r="B1735" s="98" t="s">
        <v>563</v>
      </c>
      <c r="C1735" s="98">
        <v>2014</v>
      </c>
      <c r="D1735" s="98" t="s">
        <v>328</v>
      </c>
      <c r="E1735" s="98" t="s">
        <v>37</v>
      </c>
      <c r="F1735" s="98" t="s">
        <v>131</v>
      </c>
      <c r="G1735" s="98">
        <v>3090161.1409999998</v>
      </c>
      <c r="H1735" s="299" t="str">
        <f>VLOOKUP(LEFT('Rev Adequacy'!D1735,3),'Mapping B'!$D$2:$E$400,2,0)</f>
        <v>N</v>
      </c>
      <c r="BP1735" s="190"/>
    </row>
    <row r="1736" spans="2:68" x14ac:dyDescent="0.25">
      <c r="B1736" s="98" t="s">
        <v>563</v>
      </c>
      <c r="C1736" s="98">
        <v>2014</v>
      </c>
      <c r="D1736" s="98" t="s">
        <v>332</v>
      </c>
      <c r="E1736" s="98" t="s">
        <v>37</v>
      </c>
      <c r="F1736" s="98" t="s">
        <v>131</v>
      </c>
      <c r="G1736" s="98">
        <v>4222433.4259999897</v>
      </c>
      <c r="H1736" s="299" t="str">
        <f>VLOOKUP(LEFT('Rev Adequacy'!D1736,3),'Mapping B'!$D$2:$E$400,2,0)</f>
        <v>N</v>
      </c>
      <c r="BP1736" s="190"/>
    </row>
    <row r="1737" spans="2:68" x14ac:dyDescent="0.25">
      <c r="B1737" s="98" t="s">
        <v>563</v>
      </c>
      <c r="C1737" s="98">
        <v>2014</v>
      </c>
      <c r="D1737" s="98" t="s">
        <v>367</v>
      </c>
      <c r="E1737" s="98" t="s">
        <v>37</v>
      </c>
      <c r="F1737" s="98" t="s">
        <v>131</v>
      </c>
      <c r="G1737" s="98">
        <v>1441159.7890000001</v>
      </c>
      <c r="H1737" s="299" t="str">
        <f>VLOOKUP(LEFT('Rev Adequacy'!D1737,3),'Mapping B'!$D$2:$E$400,2,0)</f>
        <v>N</v>
      </c>
      <c r="BP1737" s="190"/>
    </row>
    <row r="1738" spans="2:68" x14ac:dyDescent="0.25">
      <c r="B1738" s="98" t="s">
        <v>563</v>
      </c>
      <c r="C1738" s="98">
        <v>2014</v>
      </c>
      <c r="D1738" s="98" t="s">
        <v>374</v>
      </c>
      <c r="E1738" s="98" t="s">
        <v>37</v>
      </c>
      <c r="F1738" s="98" t="s">
        <v>131</v>
      </c>
      <c r="G1738" s="98">
        <v>3749058.12800002</v>
      </c>
      <c r="H1738" s="299" t="str">
        <f>VLOOKUP(LEFT('Rev Adequacy'!D1738,3),'Mapping B'!$D$2:$E$400,2,0)</f>
        <v>N</v>
      </c>
      <c r="BP1738" s="190"/>
    </row>
    <row r="1739" spans="2:68" x14ac:dyDescent="0.25">
      <c r="B1739" s="98" t="s">
        <v>563</v>
      </c>
      <c r="C1739" s="98">
        <v>2014</v>
      </c>
      <c r="D1739" s="98" t="s">
        <v>384</v>
      </c>
      <c r="E1739" s="98" t="s">
        <v>37</v>
      </c>
      <c r="F1739" s="98" t="s">
        <v>131</v>
      </c>
      <c r="G1739" s="98">
        <v>1523466.76599999</v>
      </c>
      <c r="H1739" s="299" t="str">
        <f>VLOOKUP(LEFT('Rev Adequacy'!D1739,3),'Mapping B'!$D$2:$E$400,2,0)</f>
        <v>N</v>
      </c>
      <c r="BP1739" s="190"/>
    </row>
    <row r="1740" spans="2:68" x14ac:dyDescent="0.25">
      <c r="B1740" s="98" t="s">
        <v>555</v>
      </c>
      <c r="C1740" s="98">
        <v>2014</v>
      </c>
      <c r="D1740" s="98" t="s">
        <v>132</v>
      </c>
      <c r="E1740" s="98" t="s">
        <v>37</v>
      </c>
      <c r="F1740" s="98" t="s">
        <v>131</v>
      </c>
      <c r="G1740" s="98">
        <v>1211914.1639999901</v>
      </c>
      <c r="H1740" s="299" t="str">
        <f>VLOOKUP(LEFT('Rev Adequacy'!D1740,3),'Mapping B'!$D$2:$E$400,2,0)</f>
        <v>N</v>
      </c>
      <c r="BP1740" s="190"/>
    </row>
    <row r="1741" spans="2:68" x14ac:dyDescent="0.25">
      <c r="B1741" s="98" t="s">
        <v>555</v>
      </c>
      <c r="C1741" s="98">
        <v>2014</v>
      </c>
      <c r="D1741" s="98" t="s">
        <v>133</v>
      </c>
      <c r="E1741" s="98" t="s">
        <v>37</v>
      </c>
      <c r="F1741" s="98" t="s">
        <v>131</v>
      </c>
      <c r="G1741" s="98">
        <v>682507.699999996</v>
      </c>
      <c r="H1741" s="299" t="str">
        <f>VLOOKUP(LEFT('Rev Adequacy'!D1741,3),'Mapping B'!$D$2:$E$400,2,0)</f>
        <v>N</v>
      </c>
      <c r="BP1741" s="190"/>
    </row>
    <row r="1742" spans="2:68" x14ac:dyDescent="0.25">
      <c r="B1742" s="98" t="s">
        <v>555</v>
      </c>
      <c r="C1742" s="98">
        <v>2014</v>
      </c>
      <c r="D1742" s="98" t="s">
        <v>197</v>
      </c>
      <c r="E1742" s="98" t="s">
        <v>37</v>
      </c>
      <c r="F1742" s="98" t="s">
        <v>131</v>
      </c>
      <c r="G1742" s="98">
        <v>869065.977999995</v>
      </c>
      <c r="H1742" s="299" t="str">
        <f>VLOOKUP(LEFT('Rev Adequacy'!D1742,3),'Mapping B'!$D$2:$E$400,2,0)</f>
        <v>N</v>
      </c>
      <c r="BP1742" s="190"/>
    </row>
    <row r="1743" spans="2:68" x14ac:dyDescent="0.25">
      <c r="B1743" s="98" t="s">
        <v>555</v>
      </c>
      <c r="C1743" s="98">
        <v>2014</v>
      </c>
      <c r="D1743" s="98" t="s">
        <v>198</v>
      </c>
      <c r="E1743" s="98" t="s">
        <v>37</v>
      </c>
      <c r="F1743" s="98" t="s">
        <v>131</v>
      </c>
      <c r="G1743" s="98">
        <v>1188176.64499999</v>
      </c>
      <c r="H1743" s="299" t="str">
        <f>VLOOKUP(LEFT('Rev Adequacy'!D1743,3),'Mapping B'!$D$2:$E$400,2,0)</f>
        <v>N</v>
      </c>
      <c r="BP1743" s="190"/>
    </row>
    <row r="1744" spans="2:68" x14ac:dyDescent="0.25">
      <c r="B1744" s="98" t="s">
        <v>555</v>
      </c>
      <c r="C1744" s="98">
        <v>2014</v>
      </c>
      <c r="D1744" s="98" t="s">
        <v>206</v>
      </c>
      <c r="E1744" s="98" t="s">
        <v>37</v>
      </c>
      <c r="F1744" s="98" t="s">
        <v>131</v>
      </c>
      <c r="G1744" s="98">
        <v>272559.13999999798</v>
      </c>
      <c r="H1744" s="299" t="str">
        <f>VLOOKUP(LEFT('Rev Adequacy'!D1744,3),'Mapping B'!$D$2:$E$400,2,0)</f>
        <v>N</v>
      </c>
      <c r="BP1744" s="190"/>
    </row>
    <row r="1745" spans="2:68" x14ac:dyDescent="0.25">
      <c r="B1745" s="98" t="s">
        <v>555</v>
      </c>
      <c r="C1745" s="98">
        <v>2014</v>
      </c>
      <c r="D1745" s="98" t="s">
        <v>262</v>
      </c>
      <c r="E1745" s="98" t="s">
        <v>37</v>
      </c>
      <c r="F1745" s="98" t="s">
        <v>131</v>
      </c>
      <c r="G1745" s="98">
        <v>1002801.40999999</v>
      </c>
      <c r="H1745" s="299" t="str">
        <f>VLOOKUP(LEFT('Rev Adequacy'!D1745,3),'Mapping B'!$D$2:$E$400,2,0)</f>
        <v>N</v>
      </c>
      <c r="BP1745" s="190"/>
    </row>
    <row r="1746" spans="2:68" x14ac:dyDescent="0.25">
      <c r="B1746" s="98" t="s">
        <v>555</v>
      </c>
      <c r="C1746" s="98">
        <v>2014</v>
      </c>
      <c r="D1746" s="98" t="s">
        <v>293</v>
      </c>
      <c r="E1746" s="98" t="s">
        <v>37</v>
      </c>
      <c r="F1746" s="98" t="s">
        <v>131</v>
      </c>
      <c r="G1746" s="98">
        <v>564270.03067950404</v>
      </c>
      <c r="H1746" s="299" t="str">
        <f>VLOOKUP(LEFT('Rev Adequacy'!D1746,3),'Mapping B'!$D$2:$E$400,2,0)</f>
        <v>N</v>
      </c>
      <c r="BP1746" s="190"/>
    </row>
    <row r="1747" spans="2:68" x14ac:dyDescent="0.25">
      <c r="B1747" s="98" t="s">
        <v>555</v>
      </c>
      <c r="C1747" s="98">
        <v>2014</v>
      </c>
      <c r="D1747" s="98" t="s">
        <v>296</v>
      </c>
      <c r="E1747" s="98" t="s">
        <v>37</v>
      </c>
      <c r="F1747" s="98" t="s">
        <v>131</v>
      </c>
      <c r="G1747" s="98">
        <v>1120950.96299999</v>
      </c>
      <c r="H1747" s="299" t="str">
        <f>VLOOKUP(LEFT('Rev Adequacy'!D1747,3),'Mapping B'!$D$2:$E$400,2,0)</f>
        <v>N</v>
      </c>
      <c r="BP1747" s="190"/>
    </row>
    <row r="1748" spans="2:68" x14ac:dyDescent="0.25">
      <c r="B1748" s="98" t="s">
        <v>555</v>
      </c>
      <c r="C1748" s="98">
        <v>2014</v>
      </c>
      <c r="D1748" s="98" t="s">
        <v>298</v>
      </c>
      <c r="E1748" s="98" t="s">
        <v>37</v>
      </c>
      <c r="F1748" s="98" t="s">
        <v>131</v>
      </c>
      <c r="G1748" s="98">
        <v>407277.855999997</v>
      </c>
      <c r="H1748" s="299" t="str">
        <f>VLOOKUP(LEFT('Rev Adequacy'!D1748,3),'Mapping B'!$D$2:$E$400,2,0)</f>
        <v>N</v>
      </c>
      <c r="BP1748" s="190"/>
    </row>
    <row r="1749" spans="2:68" x14ac:dyDescent="0.25">
      <c r="B1749" s="98" t="s">
        <v>555</v>
      </c>
      <c r="C1749" s="98">
        <v>2014</v>
      </c>
      <c r="D1749" s="98" t="s">
        <v>300</v>
      </c>
      <c r="E1749" s="98" t="s">
        <v>37</v>
      </c>
      <c r="F1749" s="98" t="s">
        <v>131</v>
      </c>
      <c r="G1749" s="98">
        <v>2388119.4705705498</v>
      </c>
      <c r="H1749" s="299" t="str">
        <f>VLOOKUP(LEFT('Rev Adequacy'!D1749,3),'Mapping B'!$D$2:$E$400,2,0)</f>
        <v>N</v>
      </c>
      <c r="BP1749" s="190"/>
    </row>
    <row r="1750" spans="2:68" x14ac:dyDescent="0.25">
      <c r="B1750" s="98" t="s">
        <v>555</v>
      </c>
      <c r="C1750" s="98">
        <v>2014</v>
      </c>
      <c r="D1750" s="98" t="s">
        <v>301</v>
      </c>
      <c r="E1750" s="98" t="s">
        <v>37</v>
      </c>
      <c r="F1750" s="98" t="s">
        <v>131</v>
      </c>
      <c r="G1750" s="98">
        <v>1595867.3149999999</v>
      </c>
      <c r="H1750" s="299" t="str">
        <f>VLOOKUP(LEFT('Rev Adequacy'!D1750,3),'Mapping B'!$D$2:$E$400,2,0)</f>
        <v>N</v>
      </c>
      <c r="BP1750" s="190"/>
    </row>
    <row r="1751" spans="2:68" x14ac:dyDescent="0.25">
      <c r="B1751" s="98" t="s">
        <v>555</v>
      </c>
      <c r="C1751" s="98">
        <v>2014</v>
      </c>
      <c r="D1751" s="98" t="s">
        <v>309</v>
      </c>
      <c r="E1751" s="98" t="s">
        <v>37</v>
      </c>
      <c r="F1751" s="98" t="s">
        <v>131</v>
      </c>
      <c r="G1751" s="98">
        <v>868187.53299999796</v>
      </c>
      <c r="H1751" s="299" t="str">
        <f>VLOOKUP(LEFT('Rev Adequacy'!D1751,3),'Mapping B'!$D$2:$E$400,2,0)</f>
        <v>N</v>
      </c>
      <c r="BP1751" s="190"/>
    </row>
    <row r="1752" spans="2:68" x14ac:dyDescent="0.25">
      <c r="B1752" s="98" t="s">
        <v>555</v>
      </c>
      <c r="C1752" s="98">
        <v>2014</v>
      </c>
      <c r="D1752" s="98" t="s">
        <v>310</v>
      </c>
      <c r="E1752" s="98" t="s">
        <v>37</v>
      </c>
      <c r="F1752" s="98" t="s">
        <v>131</v>
      </c>
      <c r="G1752" s="98">
        <v>507532.975999997</v>
      </c>
      <c r="H1752" s="299" t="str">
        <f>VLOOKUP(LEFT('Rev Adequacy'!D1752,3),'Mapping B'!$D$2:$E$400,2,0)</f>
        <v>N</v>
      </c>
      <c r="BP1752" s="190"/>
    </row>
    <row r="1753" spans="2:68" x14ac:dyDescent="0.25">
      <c r="B1753" s="98" t="s">
        <v>555</v>
      </c>
      <c r="C1753" s="98">
        <v>2014</v>
      </c>
      <c r="D1753" s="98" t="s">
        <v>328</v>
      </c>
      <c r="E1753" s="98" t="s">
        <v>37</v>
      </c>
      <c r="F1753" s="98" t="s">
        <v>131</v>
      </c>
      <c r="G1753" s="98">
        <v>597617.72699999495</v>
      </c>
      <c r="H1753" s="299" t="str">
        <f>VLOOKUP(LEFT('Rev Adequacy'!D1753,3),'Mapping B'!$D$2:$E$400,2,0)</f>
        <v>N</v>
      </c>
      <c r="BP1753" s="190"/>
    </row>
    <row r="1754" spans="2:68" x14ac:dyDescent="0.25">
      <c r="B1754" s="98" t="s">
        <v>555</v>
      </c>
      <c r="C1754" s="98">
        <v>2014</v>
      </c>
      <c r="D1754" s="98" t="s">
        <v>332</v>
      </c>
      <c r="E1754" s="98" t="s">
        <v>37</v>
      </c>
      <c r="F1754" s="98" t="s">
        <v>131</v>
      </c>
      <c r="G1754" s="98">
        <v>841253.84599999699</v>
      </c>
      <c r="H1754" s="299" t="str">
        <f>VLOOKUP(LEFT('Rev Adequacy'!D1754,3),'Mapping B'!$D$2:$E$400,2,0)</f>
        <v>N</v>
      </c>
      <c r="BP1754" s="190"/>
    </row>
    <row r="1755" spans="2:68" x14ac:dyDescent="0.25">
      <c r="B1755" s="98" t="s">
        <v>555</v>
      </c>
      <c r="C1755" s="98">
        <v>2014</v>
      </c>
      <c r="D1755" s="98" t="s">
        <v>367</v>
      </c>
      <c r="E1755" s="98" t="s">
        <v>37</v>
      </c>
      <c r="F1755" s="98" t="s">
        <v>131</v>
      </c>
      <c r="G1755" s="98">
        <v>293895.87299999798</v>
      </c>
      <c r="H1755" s="299" t="str">
        <f>VLOOKUP(LEFT('Rev Adequacy'!D1755,3),'Mapping B'!$D$2:$E$400,2,0)</f>
        <v>N</v>
      </c>
      <c r="BP1755" s="190"/>
    </row>
    <row r="1756" spans="2:68" x14ac:dyDescent="0.25">
      <c r="B1756" s="98" t="s">
        <v>555</v>
      </c>
      <c r="C1756" s="98">
        <v>2014</v>
      </c>
      <c r="D1756" s="98" t="s">
        <v>374</v>
      </c>
      <c r="E1756" s="98" t="s">
        <v>37</v>
      </c>
      <c r="F1756" s="98" t="s">
        <v>131</v>
      </c>
      <c r="G1756" s="98">
        <v>815482.148999998</v>
      </c>
      <c r="H1756" s="299" t="str">
        <f>VLOOKUP(LEFT('Rev Adequacy'!D1756,3),'Mapping B'!$D$2:$E$400,2,0)</f>
        <v>N</v>
      </c>
      <c r="BP1756" s="190"/>
    </row>
    <row r="1757" spans="2:68" x14ac:dyDescent="0.25">
      <c r="B1757" s="98" t="s">
        <v>555</v>
      </c>
      <c r="C1757" s="98">
        <v>2014</v>
      </c>
      <c r="D1757" s="98" t="s">
        <v>384</v>
      </c>
      <c r="E1757" s="98" t="s">
        <v>37</v>
      </c>
      <c r="F1757" s="98" t="s">
        <v>131</v>
      </c>
      <c r="G1757" s="98">
        <v>356998.44299999799</v>
      </c>
      <c r="H1757" s="299" t="str">
        <f>VLOOKUP(LEFT('Rev Adequacy'!D1757,3),'Mapping B'!$D$2:$E$400,2,0)</f>
        <v>N</v>
      </c>
      <c r="BP1757" s="190"/>
    </row>
    <row r="1758" spans="2:68" x14ac:dyDescent="0.25">
      <c r="B1758" s="98" t="s">
        <v>112</v>
      </c>
      <c r="C1758" s="98">
        <v>2014</v>
      </c>
      <c r="D1758" s="98" t="s">
        <v>132</v>
      </c>
      <c r="E1758" s="98" t="s">
        <v>37</v>
      </c>
      <c r="F1758" s="98" t="s">
        <v>131</v>
      </c>
      <c r="G1758" s="98">
        <v>27234002.221999999</v>
      </c>
      <c r="H1758" s="299" t="str">
        <f>VLOOKUP(LEFT('Rev Adequacy'!D1758,3),'Mapping B'!$D$2:$E$400,2,0)</f>
        <v>N</v>
      </c>
      <c r="BP1758" s="190"/>
    </row>
    <row r="1759" spans="2:68" x14ac:dyDescent="0.25">
      <c r="B1759" s="98" t="s">
        <v>112</v>
      </c>
      <c r="C1759" s="98">
        <v>2014</v>
      </c>
      <c r="D1759" s="98" t="s">
        <v>133</v>
      </c>
      <c r="E1759" s="98" t="s">
        <v>37</v>
      </c>
      <c r="F1759" s="98" t="s">
        <v>131</v>
      </c>
      <c r="G1759" s="98">
        <v>17174289.151999898</v>
      </c>
      <c r="H1759" s="299" t="str">
        <f>VLOOKUP(LEFT('Rev Adequacy'!D1759,3),'Mapping B'!$D$2:$E$400,2,0)</f>
        <v>N</v>
      </c>
      <c r="BP1759" s="190"/>
    </row>
    <row r="1760" spans="2:68" x14ac:dyDescent="0.25">
      <c r="B1760" s="98" t="s">
        <v>112</v>
      </c>
      <c r="C1760" s="98">
        <v>2014</v>
      </c>
      <c r="D1760" s="98" t="s">
        <v>197</v>
      </c>
      <c r="E1760" s="98" t="s">
        <v>37</v>
      </c>
      <c r="F1760" s="98" t="s">
        <v>131</v>
      </c>
      <c r="G1760" s="98">
        <v>19624405.870999999</v>
      </c>
      <c r="H1760" s="299" t="str">
        <f>VLOOKUP(LEFT('Rev Adequacy'!D1760,3),'Mapping B'!$D$2:$E$400,2,0)</f>
        <v>N</v>
      </c>
      <c r="BP1760" s="190"/>
    </row>
    <row r="1761" spans="2:68" x14ac:dyDescent="0.25">
      <c r="B1761" s="98" t="s">
        <v>112</v>
      </c>
      <c r="C1761" s="98">
        <v>2014</v>
      </c>
      <c r="D1761" s="98" t="s">
        <v>198</v>
      </c>
      <c r="E1761" s="98" t="s">
        <v>37</v>
      </c>
      <c r="F1761" s="98" t="s">
        <v>131</v>
      </c>
      <c r="G1761" s="98">
        <v>26385101.664999999</v>
      </c>
      <c r="H1761" s="299" t="str">
        <f>VLOOKUP(LEFT('Rev Adequacy'!D1761,3),'Mapping B'!$D$2:$E$400,2,0)</f>
        <v>N</v>
      </c>
      <c r="BP1761" s="190"/>
    </row>
    <row r="1762" spans="2:68" x14ac:dyDescent="0.25">
      <c r="B1762" s="98" t="s">
        <v>112</v>
      </c>
      <c r="C1762" s="98">
        <v>2014</v>
      </c>
      <c r="D1762" s="98" t="s">
        <v>206</v>
      </c>
      <c r="E1762" s="98" t="s">
        <v>37</v>
      </c>
      <c r="F1762" s="98" t="s">
        <v>131</v>
      </c>
      <c r="G1762" s="98">
        <v>3506951.3219999899</v>
      </c>
      <c r="H1762" s="299" t="str">
        <f>VLOOKUP(LEFT('Rev Adequacy'!D1762,3),'Mapping B'!$D$2:$E$400,2,0)</f>
        <v>N</v>
      </c>
      <c r="BP1762" s="190"/>
    </row>
    <row r="1763" spans="2:68" x14ac:dyDescent="0.25">
      <c r="B1763" s="98" t="s">
        <v>112</v>
      </c>
      <c r="C1763" s="98">
        <v>2014</v>
      </c>
      <c r="D1763" s="98" t="s">
        <v>262</v>
      </c>
      <c r="E1763" s="98" t="s">
        <v>37</v>
      </c>
      <c r="F1763" s="98" t="s">
        <v>131</v>
      </c>
      <c r="G1763" s="98">
        <v>21753198.329999801</v>
      </c>
      <c r="H1763" s="299" t="str">
        <f>VLOOKUP(LEFT('Rev Adequacy'!D1763,3),'Mapping B'!$D$2:$E$400,2,0)</f>
        <v>N</v>
      </c>
      <c r="BP1763" s="190"/>
    </row>
    <row r="1764" spans="2:68" x14ac:dyDescent="0.25">
      <c r="B1764" s="98" t="s">
        <v>112</v>
      </c>
      <c r="C1764" s="98">
        <v>2014</v>
      </c>
      <c r="D1764" s="98" t="s">
        <v>293</v>
      </c>
      <c r="E1764" s="98" t="s">
        <v>37</v>
      </c>
      <c r="F1764" s="98" t="s">
        <v>131</v>
      </c>
      <c r="G1764" s="98">
        <v>12753597.755037099</v>
      </c>
      <c r="H1764" s="299" t="str">
        <f>VLOOKUP(LEFT('Rev Adequacy'!D1764,3),'Mapping B'!$D$2:$E$400,2,0)</f>
        <v>N</v>
      </c>
      <c r="BP1764" s="190"/>
    </row>
    <row r="1765" spans="2:68" x14ac:dyDescent="0.25">
      <c r="B1765" s="98" t="s">
        <v>112</v>
      </c>
      <c r="C1765" s="98">
        <v>2014</v>
      </c>
      <c r="D1765" s="98" t="s">
        <v>296</v>
      </c>
      <c r="E1765" s="98" t="s">
        <v>37</v>
      </c>
      <c r="F1765" s="98" t="s">
        <v>131</v>
      </c>
      <c r="G1765" s="98">
        <v>24932110.109000102</v>
      </c>
      <c r="H1765" s="299" t="str">
        <f>VLOOKUP(LEFT('Rev Adequacy'!D1765,3),'Mapping B'!$D$2:$E$400,2,0)</f>
        <v>N</v>
      </c>
      <c r="BP1765" s="190"/>
    </row>
    <row r="1766" spans="2:68" x14ac:dyDescent="0.25">
      <c r="B1766" s="98" t="s">
        <v>112</v>
      </c>
      <c r="C1766" s="98">
        <v>2014</v>
      </c>
      <c r="D1766" s="98" t="s">
        <v>298</v>
      </c>
      <c r="E1766" s="98" t="s">
        <v>37</v>
      </c>
      <c r="F1766" s="98" t="s">
        <v>131</v>
      </c>
      <c r="G1766" s="98">
        <v>9304751.7830000091</v>
      </c>
      <c r="H1766" s="299" t="str">
        <f>VLOOKUP(LEFT('Rev Adequacy'!D1766,3),'Mapping B'!$D$2:$E$400,2,0)</f>
        <v>N</v>
      </c>
      <c r="BP1766" s="190"/>
    </row>
    <row r="1767" spans="2:68" x14ac:dyDescent="0.25">
      <c r="B1767" s="98" t="s">
        <v>112</v>
      </c>
      <c r="C1767" s="98">
        <v>2014</v>
      </c>
      <c r="D1767" s="98" t="s">
        <v>300</v>
      </c>
      <c r="E1767" s="98" t="s">
        <v>37</v>
      </c>
      <c r="F1767" s="98" t="s">
        <v>131</v>
      </c>
      <c r="G1767" s="98">
        <v>55795049.6458418</v>
      </c>
      <c r="H1767" s="299" t="str">
        <f>VLOOKUP(LEFT('Rev Adequacy'!D1767,3),'Mapping B'!$D$2:$E$400,2,0)</f>
        <v>N</v>
      </c>
      <c r="BP1767" s="190"/>
    </row>
    <row r="1768" spans="2:68" x14ac:dyDescent="0.25">
      <c r="B1768" s="98" t="s">
        <v>112</v>
      </c>
      <c r="C1768" s="98">
        <v>2014</v>
      </c>
      <c r="D1768" s="98" t="s">
        <v>301</v>
      </c>
      <c r="E1768" s="98" t="s">
        <v>37</v>
      </c>
      <c r="F1768" s="98" t="s">
        <v>131</v>
      </c>
      <c r="G1768" s="98">
        <v>38303249.4249999</v>
      </c>
      <c r="H1768" s="299" t="str">
        <f>VLOOKUP(LEFT('Rev Adequacy'!D1768,3),'Mapping B'!$D$2:$E$400,2,0)</f>
        <v>N</v>
      </c>
      <c r="BP1768" s="190"/>
    </row>
    <row r="1769" spans="2:68" x14ac:dyDescent="0.25">
      <c r="B1769" s="98" t="s">
        <v>112</v>
      </c>
      <c r="C1769" s="98">
        <v>2014</v>
      </c>
      <c r="D1769" s="98" t="s">
        <v>309</v>
      </c>
      <c r="E1769" s="98" t="s">
        <v>37</v>
      </c>
      <c r="F1769" s="98" t="s">
        <v>131</v>
      </c>
      <c r="G1769" s="98">
        <v>20338607.570999999</v>
      </c>
      <c r="H1769" s="299" t="str">
        <f>VLOOKUP(LEFT('Rev Adequacy'!D1769,3),'Mapping B'!$D$2:$E$400,2,0)</f>
        <v>N</v>
      </c>
      <c r="BP1769" s="190"/>
    </row>
    <row r="1770" spans="2:68" x14ac:dyDescent="0.25">
      <c r="B1770" s="98" t="s">
        <v>112</v>
      </c>
      <c r="C1770" s="98">
        <v>2014</v>
      </c>
      <c r="D1770" s="98" t="s">
        <v>310</v>
      </c>
      <c r="E1770" s="98" t="s">
        <v>37</v>
      </c>
      <c r="F1770" s="98" t="s">
        <v>131</v>
      </c>
      <c r="G1770" s="98">
        <v>11363473.290999999</v>
      </c>
      <c r="H1770" s="299" t="str">
        <f>VLOOKUP(LEFT('Rev Adequacy'!D1770,3),'Mapping B'!$D$2:$E$400,2,0)</f>
        <v>N</v>
      </c>
      <c r="BP1770" s="190"/>
    </row>
    <row r="1771" spans="2:68" x14ac:dyDescent="0.25">
      <c r="B1771" s="98" t="s">
        <v>112</v>
      </c>
      <c r="C1771" s="98">
        <v>2014</v>
      </c>
      <c r="D1771" s="98" t="s">
        <v>328</v>
      </c>
      <c r="E1771" s="98" t="s">
        <v>37</v>
      </c>
      <c r="F1771" s="98" t="s">
        <v>131</v>
      </c>
      <c r="G1771" s="98">
        <v>13225738.680999899</v>
      </c>
      <c r="H1771" s="299" t="str">
        <f>VLOOKUP(LEFT('Rev Adequacy'!D1771,3),'Mapping B'!$D$2:$E$400,2,0)</f>
        <v>N</v>
      </c>
      <c r="BP1771" s="190"/>
    </row>
    <row r="1772" spans="2:68" x14ac:dyDescent="0.25">
      <c r="B1772" s="98" t="s">
        <v>112</v>
      </c>
      <c r="C1772" s="98">
        <v>2014</v>
      </c>
      <c r="D1772" s="98" t="s">
        <v>332</v>
      </c>
      <c r="E1772" s="98" t="s">
        <v>37</v>
      </c>
      <c r="F1772" s="98" t="s">
        <v>131</v>
      </c>
      <c r="G1772" s="98">
        <v>19232041.811999999</v>
      </c>
      <c r="H1772" s="299" t="str">
        <f>VLOOKUP(LEFT('Rev Adequacy'!D1772,3),'Mapping B'!$D$2:$E$400,2,0)</f>
        <v>N</v>
      </c>
      <c r="BP1772" s="190"/>
    </row>
    <row r="1773" spans="2:68" x14ac:dyDescent="0.25">
      <c r="B1773" s="98" t="s">
        <v>112</v>
      </c>
      <c r="C1773" s="98">
        <v>2014</v>
      </c>
      <c r="D1773" s="98" t="s">
        <v>367</v>
      </c>
      <c r="E1773" s="98" t="s">
        <v>37</v>
      </c>
      <c r="F1773" s="98" t="s">
        <v>131</v>
      </c>
      <c r="G1773" s="98">
        <v>6478475.92899998</v>
      </c>
      <c r="H1773" s="299" t="str">
        <f>VLOOKUP(LEFT('Rev Adequacy'!D1773,3),'Mapping B'!$D$2:$E$400,2,0)</f>
        <v>N</v>
      </c>
      <c r="BP1773" s="190"/>
    </row>
    <row r="1774" spans="2:68" x14ac:dyDescent="0.25">
      <c r="B1774" s="98" t="s">
        <v>112</v>
      </c>
      <c r="C1774" s="98">
        <v>2014</v>
      </c>
      <c r="D1774" s="98" t="s">
        <v>374</v>
      </c>
      <c r="E1774" s="98" t="s">
        <v>37</v>
      </c>
      <c r="F1774" s="98" t="s">
        <v>131</v>
      </c>
      <c r="G1774" s="98">
        <v>18340629.237999901</v>
      </c>
      <c r="H1774" s="299" t="str">
        <f>VLOOKUP(LEFT('Rev Adequacy'!D1774,3),'Mapping B'!$D$2:$E$400,2,0)</f>
        <v>N</v>
      </c>
      <c r="BP1774" s="190"/>
    </row>
    <row r="1775" spans="2:68" x14ac:dyDescent="0.25">
      <c r="B1775" s="98" t="s">
        <v>112</v>
      </c>
      <c r="C1775" s="98">
        <v>2014</v>
      </c>
      <c r="D1775" s="98" t="s">
        <v>384</v>
      </c>
      <c r="E1775" s="98" t="s">
        <v>37</v>
      </c>
      <c r="F1775" s="98" t="s">
        <v>131</v>
      </c>
      <c r="G1775" s="98">
        <v>6180279.0679999897</v>
      </c>
      <c r="H1775" s="299" t="str">
        <f>VLOOKUP(LEFT('Rev Adequacy'!D1775,3),'Mapping B'!$D$2:$E$400,2,0)</f>
        <v>N</v>
      </c>
      <c r="BP1775" s="190"/>
    </row>
    <row r="1776" spans="2:68" x14ac:dyDescent="0.25">
      <c r="B1776" s="98" t="s">
        <v>111</v>
      </c>
      <c r="C1776" s="98">
        <v>2014</v>
      </c>
      <c r="D1776" s="98" t="s">
        <v>132</v>
      </c>
      <c r="E1776" s="98" t="s">
        <v>37</v>
      </c>
      <c r="F1776" s="98" t="s">
        <v>131</v>
      </c>
      <c r="G1776" s="98">
        <v>7497363.5320000099</v>
      </c>
      <c r="H1776" s="299" t="str">
        <f>VLOOKUP(LEFT('Rev Adequacy'!D1776,3),'Mapping B'!$D$2:$E$400,2,0)</f>
        <v>N</v>
      </c>
      <c r="BP1776" s="190"/>
    </row>
    <row r="1777" spans="2:68" x14ac:dyDescent="0.25">
      <c r="B1777" s="98" t="s">
        <v>111</v>
      </c>
      <c r="C1777" s="98">
        <v>2014</v>
      </c>
      <c r="D1777" s="98" t="s">
        <v>133</v>
      </c>
      <c r="E1777" s="98" t="s">
        <v>37</v>
      </c>
      <c r="F1777" s="98" t="s">
        <v>131</v>
      </c>
      <c r="G1777" s="98">
        <v>4544502.63600004</v>
      </c>
      <c r="H1777" s="299" t="str">
        <f>VLOOKUP(LEFT('Rev Adequacy'!D1777,3),'Mapping B'!$D$2:$E$400,2,0)</f>
        <v>N</v>
      </c>
      <c r="BP1777" s="190"/>
    </row>
    <row r="1778" spans="2:68" x14ac:dyDescent="0.25">
      <c r="B1778" s="98" t="s">
        <v>111</v>
      </c>
      <c r="C1778" s="98">
        <v>2014</v>
      </c>
      <c r="D1778" s="98" t="s">
        <v>197</v>
      </c>
      <c r="E1778" s="98" t="s">
        <v>37</v>
      </c>
      <c r="F1778" s="98" t="s">
        <v>131</v>
      </c>
      <c r="G1778" s="98">
        <v>5513678.1040000096</v>
      </c>
      <c r="H1778" s="299" t="str">
        <f>VLOOKUP(LEFT('Rev Adequacy'!D1778,3),'Mapping B'!$D$2:$E$400,2,0)</f>
        <v>N</v>
      </c>
      <c r="BP1778" s="190"/>
    </row>
    <row r="1779" spans="2:68" x14ac:dyDescent="0.25">
      <c r="B1779" s="98" t="s">
        <v>111</v>
      </c>
      <c r="C1779" s="98">
        <v>2014</v>
      </c>
      <c r="D1779" s="98" t="s">
        <v>198</v>
      </c>
      <c r="E1779" s="98" t="s">
        <v>37</v>
      </c>
      <c r="F1779" s="98" t="s">
        <v>131</v>
      </c>
      <c r="G1779" s="98">
        <v>7206039.3019999899</v>
      </c>
      <c r="H1779" s="299" t="str">
        <f>VLOOKUP(LEFT('Rev Adequacy'!D1779,3),'Mapping B'!$D$2:$E$400,2,0)</f>
        <v>N</v>
      </c>
      <c r="BP1779" s="190"/>
    </row>
    <row r="1780" spans="2:68" x14ac:dyDescent="0.25">
      <c r="B1780" s="98" t="s">
        <v>111</v>
      </c>
      <c r="C1780" s="98">
        <v>2014</v>
      </c>
      <c r="D1780" s="98" t="s">
        <v>206</v>
      </c>
      <c r="E1780" s="98" t="s">
        <v>37</v>
      </c>
      <c r="F1780" s="98" t="s">
        <v>131</v>
      </c>
      <c r="G1780" s="98">
        <v>920139.13699999999</v>
      </c>
      <c r="H1780" s="299" t="str">
        <f>VLOOKUP(LEFT('Rev Adequacy'!D1780,3),'Mapping B'!$D$2:$E$400,2,0)</f>
        <v>N</v>
      </c>
      <c r="BP1780" s="190"/>
    </row>
    <row r="1781" spans="2:68" x14ac:dyDescent="0.25">
      <c r="B1781" s="98" t="s">
        <v>111</v>
      </c>
      <c r="C1781" s="98">
        <v>2014</v>
      </c>
      <c r="D1781" s="98" t="s">
        <v>262</v>
      </c>
      <c r="E1781" s="98" t="s">
        <v>37</v>
      </c>
      <c r="F1781" s="98" t="s">
        <v>131</v>
      </c>
      <c r="G1781" s="98">
        <v>5734704.1339999801</v>
      </c>
      <c r="H1781" s="299" t="str">
        <f>VLOOKUP(LEFT('Rev Adequacy'!D1781,3),'Mapping B'!$D$2:$E$400,2,0)</f>
        <v>N</v>
      </c>
      <c r="BP1781" s="190"/>
    </row>
    <row r="1782" spans="2:68" x14ac:dyDescent="0.25">
      <c r="B1782" s="98" t="s">
        <v>111</v>
      </c>
      <c r="C1782" s="98">
        <v>2014</v>
      </c>
      <c r="D1782" s="98" t="s">
        <v>293</v>
      </c>
      <c r="E1782" s="98" t="s">
        <v>37</v>
      </c>
      <c r="F1782" s="98" t="s">
        <v>131</v>
      </c>
      <c r="G1782" s="98">
        <v>3394405.7881045402</v>
      </c>
      <c r="H1782" s="299" t="str">
        <f>VLOOKUP(LEFT('Rev Adequacy'!D1782,3),'Mapping B'!$D$2:$E$400,2,0)</f>
        <v>N</v>
      </c>
      <c r="BP1782" s="190"/>
    </row>
    <row r="1783" spans="2:68" x14ac:dyDescent="0.25">
      <c r="B1783" s="98" t="s">
        <v>111</v>
      </c>
      <c r="C1783" s="98">
        <v>2014</v>
      </c>
      <c r="D1783" s="98" t="s">
        <v>296</v>
      </c>
      <c r="E1783" s="98" t="s">
        <v>37</v>
      </c>
      <c r="F1783" s="98" t="s">
        <v>131</v>
      </c>
      <c r="G1783" s="98">
        <v>6811376.5359999696</v>
      </c>
      <c r="H1783" s="299" t="str">
        <f>VLOOKUP(LEFT('Rev Adequacy'!D1783,3),'Mapping B'!$D$2:$E$400,2,0)</f>
        <v>N</v>
      </c>
      <c r="BP1783" s="190"/>
    </row>
    <row r="1784" spans="2:68" x14ac:dyDescent="0.25">
      <c r="B1784" s="98" t="s">
        <v>111</v>
      </c>
      <c r="C1784" s="98">
        <v>2014</v>
      </c>
      <c r="D1784" s="98" t="s">
        <v>298</v>
      </c>
      <c r="E1784" s="98" t="s">
        <v>37</v>
      </c>
      <c r="F1784" s="98" t="s">
        <v>131</v>
      </c>
      <c r="G1784" s="98">
        <v>2430996.2679999899</v>
      </c>
      <c r="H1784" s="299" t="str">
        <f>VLOOKUP(LEFT('Rev Adequacy'!D1784,3),'Mapping B'!$D$2:$E$400,2,0)</f>
        <v>N</v>
      </c>
      <c r="BP1784" s="190"/>
    </row>
    <row r="1785" spans="2:68" x14ac:dyDescent="0.25">
      <c r="B1785" s="98" t="s">
        <v>111</v>
      </c>
      <c r="C1785" s="98">
        <v>2014</v>
      </c>
      <c r="D1785" s="98" t="s">
        <v>300</v>
      </c>
      <c r="E1785" s="98" t="s">
        <v>37</v>
      </c>
      <c r="F1785" s="98" t="s">
        <v>131</v>
      </c>
      <c r="G1785" s="98">
        <v>13342504.010080099</v>
      </c>
      <c r="H1785" s="299" t="str">
        <f>VLOOKUP(LEFT('Rev Adequacy'!D1785,3),'Mapping B'!$D$2:$E$400,2,0)</f>
        <v>N</v>
      </c>
      <c r="BP1785" s="190"/>
    </row>
    <row r="1786" spans="2:68" x14ac:dyDescent="0.25">
      <c r="B1786" s="98" t="s">
        <v>111</v>
      </c>
      <c r="C1786" s="98">
        <v>2014</v>
      </c>
      <c r="D1786" s="98" t="s">
        <v>301</v>
      </c>
      <c r="E1786" s="98" t="s">
        <v>37</v>
      </c>
      <c r="F1786" s="98" t="s">
        <v>131</v>
      </c>
      <c r="G1786" s="98">
        <v>9891070.2180000097</v>
      </c>
      <c r="H1786" s="299" t="str">
        <f>VLOOKUP(LEFT('Rev Adequacy'!D1786,3),'Mapping B'!$D$2:$E$400,2,0)</f>
        <v>N</v>
      </c>
      <c r="BP1786" s="190"/>
    </row>
    <row r="1787" spans="2:68" x14ac:dyDescent="0.25">
      <c r="B1787" s="98" t="s">
        <v>111</v>
      </c>
      <c r="C1787" s="98">
        <v>2014</v>
      </c>
      <c r="D1787" s="98" t="s">
        <v>309</v>
      </c>
      <c r="E1787" s="98" t="s">
        <v>37</v>
      </c>
      <c r="F1787" s="98" t="s">
        <v>131</v>
      </c>
      <c r="G1787" s="98">
        <v>5737001.8759999601</v>
      </c>
      <c r="H1787" s="299" t="str">
        <f>VLOOKUP(LEFT('Rev Adequacy'!D1787,3),'Mapping B'!$D$2:$E$400,2,0)</f>
        <v>N</v>
      </c>
      <c r="BP1787" s="190"/>
    </row>
    <row r="1788" spans="2:68" x14ac:dyDescent="0.25">
      <c r="B1788" s="98" t="s">
        <v>111</v>
      </c>
      <c r="C1788" s="98">
        <v>2014</v>
      </c>
      <c r="D1788" s="98" t="s">
        <v>310</v>
      </c>
      <c r="E1788" s="98" t="s">
        <v>37</v>
      </c>
      <c r="F1788" s="98" t="s">
        <v>131</v>
      </c>
      <c r="G1788" s="98">
        <v>3030836.3889999902</v>
      </c>
      <c r="H1788" s="299" t="str">
        <f>VLOOKUP(LEFT('Rev Adequacy'!D1788,3),'Mapping B'!$D$2:$E$400,2,0)</f>
        <v>N</v>
      </c>
      <c r="BP1788" s="190"/>
    </row>
    <row r="1789" spans="2:68" x14ac:dyDescent="0.25">
      <c r="B1789" s="98" t="s">
        <v>111</v>
      </c>
      <c r="C1789" s="98">
        <v>2014</v>
      </c>
      <c r="D1789" s="98" t="s">
        <v>328</v>
      </c>
      <c r="E1789" s="98" t="s">
        <v>37</v>
      </c>
      <c r="F1789" s="98" t="s">
        <v>131</v>
      </c>
      <c r="G1789" s="98">
        <v>3713221.5460000201</v>
      </c>
      <c r="H1789" s="299" t="str">
        <f>VLOOKUP(LEFT('Rev Adequacy'!D1789,3),'Mapping B'!$D$2:$E$400,2,0)</f>
        <v>N</v>
      </c>
      <c r="BP1789" s="190"/>
    </row>
    <row r="1790" spans="2:68" x14ac:dyDescent="0.25">
      <c r="B1790" s="98" t="s">
        <v>111</v>
      </c>
      <c r="C1790" s="98">
        <v>2014</v>
      </c>
      <c r="D1790" s="98" t="s">
        <v>332</v>
      </c>
      <c r="E1790" s="98" t="s">
        <v>37</v>
      </c>
      <c r="F1790" s="98" t="s">
        <v>131</v>
      </c>
      <c r="G1790" s="98">
        <v>5305984.8199999603</v>
      </c>
      <c r="H1790" s="299" t="str">
        <f>VLOOKUP(LEFT('Rev Adequacy'!D1790,3),'Mapping B'!$D$2:$E$400,2,0)</f>
        <v>N</v>
      </c>
      <c r="BP1790" s="190"/>
    </row>
    <row r="1791" spans="2:68" x14ac:dyDescent="0.25">
      <c r="B1791" s="98" t="s">
        <v>111</v>
      </c>
      <c r="C1791" s="98">
        <v>2014</v>
      </c>
      <c r="D1791" s="98" t="s">
        <v>367</v>
      </c>
      <c r="E1791" s="98" t="s">
        <v>37</v>
      </c>
      <c r="F1791" s="98" t="s">
        <v>131</v>
      </c>
      <c r="G1791" s="98">
        <v>1775965.27299999</v>
      </c>
      <c r="H1791" s="299" t="str">
        <f>VLOOKUP(LEFT('Rev Adequacy'!D1791,3),'Mapping B'!$D$2:$E$400,2,0)</f>
        <v>N</v>
      </c>
      <c r="BP1791" s="190"/>
    </row>
    <row r="1792" spans="2:68" x14ac:dyDescent="0.25">
      <c r="B1792" s="98" t="s">
        <v>111</v>
      </c>
      <c r="C1792" s="98">
        <v>2014</v>
      </c>
      <c r="D1792" s="98" t="s">
        <v>374</v>
      </c>
      <c r="E1792" s="98" t="s">
        <v>37</v>
      </c>
      <c r="F1792" s="98" t="s">
        <v>131</v>
      </c>
      <c r="G1792" s="98">
        <v>4827396.7760000201</v>
      </c>
      <c r="H1792" s="299" t="str">
        <f>VLOOKUP(LEFT('Rev Adequacy'!D1792,3),'Mapping B'!$D$2:$E$400,2,0)</f>
        <v>N</v>
      </c>
      <c r="BP1792" s="190"/>
    </row>
    <row r="1793" spans="2:68" x14ac:dyDescent="0.25">
      <c r="B1793" s="98" t="s">
        <v>111</v>
      </c>
      <c r="C1793" s="98">
        <v>2014</v>
      </c>
      <c r="D1793" s="98" t="s">
        <v>384</v>
      </c>
      <c r="E1793" s="98" t="s">
        <v>37</v>
      </c>
      <c r="F1793" s="98" t="s">
        <v>131</v>
      </c>
      <c r="G1793" s="98">
        <v>1896917.41</v>
      </c>
      <c r="H1793" s="299" t="str">
        <f>VLOOKUP(LEFT('Rev Adequacy'!D1793,3),'Mapping B'!$D$2:$E$400,2,0)</f>
        <v>N</v>
      </c>
      <c r="BP1793" s="190"/>
    </row>
    <row r="1794" spans="2:68" x14ac:dyDescent="0.25">
      <c r="B1794" s="98" t="s">
        <v>552</v>
      </c>
      <c r="C1794" s="98">
        <v>2014</v>
      </c>
      <c r="D1794" s="98" t="s">
        <v>166</v>
      </c>
      <c r="E1794" s="98" t="s">
        <v>38</v>
      </c>
      <c r="F1794" s="98" t="s">
        <v>131</v>
      </c>
      <c r="G1794" s="248">
        <v>15.051000000012399</v>
      </c>
      <c r="H1794" s="299" t="str">
        <f>VLOOKUP(LEFT('Rev Adequacy'!D1794,3),'Mapping B'!$D$2:$E$400,2,0)</f>
        <v>N</v>
      </c>
      <c r="BP1794" s="190"/>
    </row>
    <row r="1795" spans="2:68" x14ac:dyDescent="0.25">
      <c r="B1795" s="98" t="s">
        <v>552</v>
      </c>
      <c r="C1795" s="98">
        <v>2014</v>
      </c>
      <c r="D1795" s="98" t="s">
        <v>349</v>
      </c>
      <c r="E1795" s="98" t="s">
        <v>38</v>
      </c>
      <c r="F1795" s="98" t="s">
        <v>131</v>
      </c>
      <c r="G1795" s="248">
        <v>0</v>
      </c>
      <c r="H1795" s="299" t="str">
        <f>VLOOKUP(LEFT('Rev Adequacy'!D1795,3),'Mapping B'!$D$2:$E$400,2,0)</f>
        <v>N</v>
      </c>
      <c r="BP1795" s="190"/>
    </row>
    <row r="1796" spans="2:68" x14ac:dyDescent="0.25">
      <c r="B1796" s="98" t="s">
        <v>553</v>
      </c>
      <c r="C1796" s="98">
        <v>2014</v>
      </c>
      <c r="D1796" s="98" t="s">
        <v>166</v>
      </c>
      <c r="E1796" s="98" t="s">
        <v>38</v>
      </c>
      <c r="F1796" s="98" t="s">
        <v>131</v>
      </c>
      <c r="G1796" s="248">
        <v>75802.103000000599</v>
      </c>
      <c r="H1796" s="299" t="str">
        <f>VLOOKUP(LEFT('Rev Adequacy'!D1796,3),'Mapping B'!$D$2:$E$400,2,0)</f>
        <v>N</v>
      </c>
      <c r="BP1796" s="190"/>
    </row>
    <row r="1797" spans="2:68" x14ac:dyDescent="0.25">
      <c r="B1797" s="98" t="s">
        <v>553</v>
      </c>
      <c r="C1797" s="98">
        <v>2014</v>
      </c>
      <c r="D1797" s="98" t="s">
        <v>349</v>
      </c>
      <c r="E1797" s="98" t="s">
        <v>38</v>
      </c>
      <c r="F1797" s="98" t="s">
        <v>131</v>
      </c>
      <c r="G1797" s="248">
        <v>70037.713999999905</v>
      </c>
      <c r="H1797" s="299" t="str">
        <f>VLOOKUP(LEFT('Rev Adequacy'!D1797,3),'Mapping B'!$D$2:$E$400,2,0)</f>
        <v>N</v>
      </c>
      <c r="BP1797" s="190"/>
    </row>
    <row r="1798" spans="2:68" x14ac:dyDescent="0.25">
      <c r="B1798" s="98" t="s">
        <v>554</v>
      </c>
      <c r="C1798" s="98">
        <v>2014</v>
      </c>
      <c r="D1798" s="98" t="s">
        <v>166</v>
      </c>
      <c r="E1798" s="98" t="s">
        <v>38</v>
      </c>
      <c r="F1798" s="98" t="s">
        <v>131</v>
      </c>
      <c r="G1798" s="98">
        <v>322830.27699999802</v>
      </c>
      <c r="H1798" s="299" t="str">
        <f>VLOOKUP(LEFT('Rev Adequacy'!D1798,3),'Mapping B'!$D$2:$E$400,2,0)</f>
        <v>N</v>
      </c>
      <c r="BP1798" s="190"/>
    </row>
    <row r="1799" spans="2:68" x14ac:dyDescent="0.25">
      <c r="B1799" s="98" t="s">
        <v>554</v>
      </c>
      <c r="C1799" s="98">
        <v>2014</v>
      </c>
      <c r="D1799" s="98" t="s">
        <v>349</v>
      </c>
      <c r="E1799" s="98" t="s">
        <v>38</v>
      </c>
      <c r="F1799" s="98" t="s">
        <v>131</v>
      </c>
      <c r="G1799" s="98">
        <v>257557.47099999999</v>
      </c>
      <c r="H1799" s="299" t="str">
        <f>VLOOKUP(LEFT('Rev Adequacy'!D1799,3),'Mapping B'!$D$2:$E$400,2,0)</f>
        <v>N</v>
      </c>
      <c r="BP1799" s="190"/>
    </row>
    <row r="1800" spans="2:68" x14ac:dyDescent="0.25">
      <c r="B1800" s="98" t="s">
        <v>563</v>
      </c>
      <c r="C1800" s="98">
        <v>2014</v>
      </c>
      <c r="D1800" s="98" t="s">
        <v>166</v>
      </c>
      <c r="E1800" s="98" t="s">
        <v>38</v>
      </c>
      <c r="F1800" s="98" t="s">
        <v>131</v>
      </c>
      <c r="G1800" s="98">
        <v>668660.19000000402</v>
      </c>
      <c r="H1800" s="299" t="str">
        <f>VLOOKUP(LEFT('Rev Adequacy'!D1800,3),'Mapping B'!$D$2:$E$400,2,0)</f>
        <v>N</v>
      </c>
      <c r="BP1800" s="190"/>
    </row>
    <row r="1801" spans="2:68" x14ac:dyDescent="0.25">
      <c r="B1801" s="98" t="s">
        <v>563</v>
      </c>
      <c r="C1801" s="98">
        <v>2014</v>
      </c>
      <c r="D1801" s="98" t="s">
        <v>349</v>
      </c>
      <c r="E1801" s="98" t="s">
        <v>38</v>
      </c>
      <c r="F1801" s="98" t="s">
        <v>131</v>
      </c>
      <c r="G1801" s="98">
        <v>593302.33199999901</v>
      </c>
      <c r="H1801" s="299" t="str">
        <f>VLOOKUP(LEFT('Rev Adequacy'!D1801,3),'Mapping B'!$D$2:$E$400,2,0)</f>
        <v>N</v>
      </c>
      <c r="BP1801" s="190"/>
    </row>
    <row r="1802" spans="2:68" x14ac:dyDescent="0.25">
      <c r="B1802" s="98" t="s">
        <v>555</v>
      </c>
      <c r="C1802" s="98">
        <v>2014</v>
      </c>
      <c r="D1802" s="98" t="s">
        <v>166</v>
      </c>
      <c r="E1802" s="98" t="s">
        <v>38</v>
      </c>
      <c r="F1802" s="98" t="s">
        <v>131</v>
      </c>
      <c r="G1802" s="98">
        <v>374202.087</v>
      </c>
      <c r="H1802" s="299" t="str">
        <f>VLOOKUP(LEFT('Rev Adequacy'!D1802,3),'Mapping B'!$D$2:$E$400,2,0)</f>
        <v>N</v>
      </c>
      <c r="BP1802" s="190"/>
    </row>
    <row r="1803" spans="2:68" x14ac:dyDescent="0.25">
      <c r="B1803" s="98" t="s">
        <v>555</v>
      </c>
      <c r="C1803" s="98">
        <v>2014</v>
      </c>
      <c r="D1803" s="98" t="s">
        <v>349</v>
      </c>
      <c r="E1803" s="98" t="s">
        <v>38</v>
      </c>
      <c r="F1803" s="98" t="s">
        <v>131</v>
      </c>
      <c r="G1803" s="98">
        <v>331048.02600000001</v>
      </c>
      <c r="H1803" s="299" t="str">
        <f>VLOOKUP(LEFT('Rev Adequacy'!D1803,3),'Mapping B'!$D$2:$E$400,2,0)</f>
        <v>N</v>
      </c>
      <c r="BP1803" s="190"/>
    </row>
    <row r="1804" spans="2:68" x14ac:dyDescent="0.25">
      <c r="B1804" s="98" t="s">
        <v>112</v>
      </c>
      <c r="C1804" s="98">
        <v>2014</v>
      </c>
      <c r="D1804" s="98" t="s">
        <v>166</v>
      </c>
      <c r="E1804" s="98" t="s">
        <v>38</v>
      </c>
      <c r="F1804" s="98" t="s">
        <v>131</v>
      </c>
      <c r="G1804" s="98">
        <v>7752061.9019999802</v>
      </c>
      <c r="H1804" s="299" t="str">
        <f>VLOOKUP(LEFT('Rev Adequacy'!D1804,3),'Mapping B'!$D$2:$E$400,2,0)</f>
        <v>N</v>
      </c>
      <c r="BP1804" s="190"/>
    </row>
    <row r="1805" spans="2:68" x14ac:dyDescent="0.25">
      <c r="B1805" s="98" t="s">
        <v>112</v>
      </c>
      <c r="C1805" s="98">
        <v>2014</v>
      </c>
      <c r="D1805" s="98" t="s">
        <v>349</v>
      </c>
      <c r="E1805" s="98" t="s">
        <v>38</v>
      </c>
      <c r="F1805" s="98" t="s">
        <v>131</v>
      </c>
      <c r="G1805" s="98">
        <v>7106810.1790000396</v>
      </c>
      <c r="H1805" s="299" t="str">
        <f>VLOOKUP(LEFT('Rev Adequacy'!D1805,3),'Mapping B'!$D$2:$E$400,2,0)</f>
        <v>N</v>
      </c>
      <c r="BP1805" s="190"/>
    </row>
    <row r="1806" spans="2:68" x14ac:dyDescent="0.25">
      <c r="B1806" s="98" t="s">
        <v>111</v>
      </c>
      <c r="C1806" s="98">
        <v>2014</v>
      </c>
      <c r="D1806" s="98" t="s">
        <v>166</v>
      </c>
      <c r="E1806" s="98" t="s">
        <v>38</v>
      </c>
      <c r="F1806" s="98" t="s">
        <v>131</v>
      </c>
      <c r="G1806" s="98">
        <v>1981487.537</v>
      </c>
      <c r="H1806" s="299" t="str">
        <f>VLOOKUP(LEFT('Rev Adequacy'!D1806,3),'Mapping B'!$D$2:$E$400,2,0)</f>
        <v>N</v>
      </c>
      <c r="BP1806" s="190"/>
    </row>
    <row r="1807" spans="2:68" x14ac:dyDescent="0.25">
      <c r="B1807" s="98" t="s">
        <v>111</v>
      </c>
      <c r="C1807" s="98">
        <v>2014</v>
      </c>
      <c r="D1807" s="98" t="s">
        <v>349</v>
      </c>
      <c r="E1807" s="98" t="s">
        <v>38</v>
      </c>
      <c r="F1807" s="98" t="s">
        <v>131</v>
      </c>
      <c r="G1807" s="98">
        <v>1850668.9499999899</v>
      </c>
      <c r="H1807" s="299" t="str">
        <f>VLOOKUP(LEFT('Rev Adequacy'!D1807,3),'Mapping B'!$D$2:$E$400,2,0)</f>
        <v>N</v>
      </c>
      <c r="BP1807" s="190"/>
    </row>
    <row r="1808" spans="2:68" x14ac:dyDescent="0.25">
      <c r="B1808" s="98" t="s">
        <v>552</v>
      </c>
      <c r="C1808" s="98">
        <v>2014</v>
      </c>
      <c r="D1808" s="98" t="s">
        <v>192</v>
      </c>
      <c r="E1808" s="98" t="s">
        <v>39</v>
      </c>
      <c r="F1808" s="98" t="s">
        <v>131</v>
      </c>
      <c r="G1808" s="248">
        <v>0</v>
      </c>
      <c r="H1808" s="299" t="str">
        <f>VLOOKUP(LEFT('Rev Adequacy'!D1808,3),'Mapping B'!$D$2:$E$400,2,0)</f>
        <v>N</v>
      </c>
      <c r="BP1808" s="190"/>
    </row>
    <row r="1809" spans="2:68" x14ac:dyDescent="0.25">
      <c r="B1809" s="98" t="s">
        <v>552</v>
      </c>
      <c r="C1809" s="98">
        <v>2014</v>
      </c>
      <c r="D1809" s="98" t="s">
        <v>193</v>
      </c>
      <c r="E1809" s="98" t="s">
        <v>39</v>
      </c>
      <c r="F1809" s="98" t="s">
        <v>131</v>
      </c>
      <c r="G1809" s="248">
        <v>0</v>
      </c>
      <c r="H1809" s="299" t="str">
        <f>VLOOKUP(LEFT('Rev Adequacy'!D1809,3),'Mapping B'!$D$2:$E$400,2,0)</f>
        <v>N</v>
      </c>
      <c r="BP1809" s="190"/>
    </row>
    <row r="1810" spans="2:68" x14ac:dyDescent="0.25">
      <c r="B1810" s="98" t="s">
        <v>552</v>
      </c>
      <c r="C1810" s="98">
        <v>2014</v>
      </c>
      <c r="D1810" s="98" t="s">
        <v>201</v>
      </c>
      <c r="E1810" s="98" t="s">
        <v>39</v>
      </c>
      <c r="F1810" s="98" t="s">
        <v>131</v>
      </c>
      <c r="G1810" s="248">
        <v>0</v>
      </c>
      <c r="H1810" s="299" t="str">
        <f>VLOOKUP(LEFT('Rev Adequacy'!D1810,3),'Mapping B'!$D$2:$E$400,2,0)</f>
        <v>N</v>
      </c>
      <c r="BP1810" s="190"/>
    </row>
    <row r="1811" spans="2:68" x14ac:dyDescent="0.25">
      <c r="B1811" s="98" t="s">
        <v>552</v>
      </c>
      <c r="C1811" s="98">
        <v>2014</v>
      </c>
      <c r="D1811" s="98" t="s">
        <v>254</v>
      </c>
      <c r="E1811" s="98" t="s">
        <v>39</v>
      </c>
      <c r="F1811" s="98" t="s">
        <v>131</v>
      </c>
      <c r="G1811" s="248">
        <v>1E-3</v>
      </c>
      <c r="H1811" s="299" t="str">
        <f>VLOOKUP(LEFT('Rev Adequacy'!D1811,3),'Mapping B'!$D$2:$E$400,2,0)</f>
        <v>N</v>
      </c>
      <c r="BP1811" s="190"/>
    </row>
    <row r="1812" spans="2:68" x14ac:dyDescent="0.25">
      <c r="B1812" s="98" t="s">
        <v>552</v>
      </c>
      <c r="C1812" s="98">
        <v>2014</v>
      </c>
      <c r="D1812" s="98" t="s">
        <v>358</v>
      </c>
      <c r="E1812" s="98" t="s">
        <v>39</v>
      </c>
      <c r="F1812" s="98" t="s">
        <v>131</v>
      </c>
      <c r="G1812" s="248">
        <v>1311.72999999993</v>
      </c>
      <c r="H1812" s="299" t="str">
        <f>VLOOKUP(LEFT('Rev Adequacy'!D1812,3),'Mapping B'!$D$2:$E$400,2,0)</f>
        <v>N</v>
      </c>
      <c r="BP1812" s="190"/>
    </row>
    <row r="1813" spans="2:68" x14ac:dyDescent="0.25">
      <c r="B1813" s="98" t="s">
        <v>553</v>
      </c>
      <c r="C1813" s="98">
        <v>2014</v>
      </c>
      <c r="D1813" s="98" t="s">
        <v>192</v>
      </c>
      <c r="E1813" s="98" t="s">
        <v>39</v>
      </c>
      <c r="F1813" s="98" t="s">
        <v>131</v>
      </c>
      <c r="G1813" s="248">
        <v>58334.092000000797</v>
      </c>
      <c r="H1813" s="299" t="str">
        <f>VLOOKUP(LEFT('Rev Adequacy'!D1813,3),'Mapping B'!$D$2:$E$400,2,0)</f>
        <v>N</v>
      </c>
      <c r="BP1813" s="190"/>
    </row>
    <row r="1814" spans="2:68" x14ac:dyDescent="0.25">
      <c r="B1814" s="98" t="s">
        <v>553</v>
      </c>
      <c r="C1814" s="98">
        <v>2014</v>
      </c>
      <c r="D1814" s="98" t="s">
        <v>193</v>
      </c>
      <c r="E1814" s="98" t="s">
        <v>39</v>
      </c>
      <c r="F1814" s="98" t="s">
        <v>131</v>
      </c>
      <c r="G1814" s="248">
        <v>251037.287999997</v>
      </c>
      <c r="H1814" s="299" t="str">
        <f>VLOOKUP(LEFT('Rev Adequacy'!D1814,3),'Mapping B'!$D$2:$E$400,2,0)</f>
        <v>N</v>
      </c>
      <c r="BP1814" s="190"/>
    </row>
    <row r="1815" spans="2:68" x14ac:dyDescent="0.25">
      <c r="B1815" s="98" t="s">
        <v>553</v>
      </c>
      <c r="C1815" s="98">
        <v>2014</v>
      </c>
      <c r="D1815" s="98" t="s">
        <v>201</v>
      </c>
      <c r="E1815" s="98" t="s">
        <v>39</v>
      </c>
      <c r="F1815" s="98" t="s">
        <v>131</v>
      </c>
      <c r="G1815" s="248">
        <v>51774.507000000704</v>
      </c>
      <c r="H1815" s="299" t="str">
        <f>VLOOKUP(LEFT('Rev Adequacy'!D1815,3),'Mapping B'!$D$2:$E$400,2,0)</f>
        <v>N</v>
      </c>
      <c r="BP1815" s="190"/>
    </row>
    <row r="1816" spans="2:68" x14ac:dyDescent="0.25">
      <c r="B1816" s="98" t="s">
        <v>553</v>
      </c>
      <c r="C1816" s="98">
        <v>2014</v>
      </c>
      <c r="D1816" s="98" t="s">
        <v>358</v>
      </c>
      <c r="E1816" s="98" t="s">
        <v>39</v>
      </c>
      <c r="F1816" s="98" t="s">
        <v>131</v>
      </c>
      <c r="G1816" s="248">
        <v>181924.90100000199</v>
      </c>
      <c r="H1816" s="299" t="str">
        <f>VLOOKUP(LEFT('Rev Adequacy'!D1816,3),'Mapping B'!$D$2:$E$400,2,0)</f>
        <v>N</v>
      </c>
      <c r="BP1816" s="190"/>
    </row>
    <row r="1817" spans="2:68" x14ac:dyDescent="0.25">
      <c r="B1817" s="98" t="s">
        <v>554</v>
      </c>
      <c r="C1817" s="98">
        <v>2014</v>
      </c>
      <c r="D1817" s="98" t="s">
        <v>192</v>
      </c>
      <c r="E1817" s="98" t="s">
        <v>39</v>
      </c>
      <c r="F1817" s="98" t="s">
        <v>131</v>
      </c>
      <c r="G1817" s="98">
        <v>140114.193</v>
      </c>
      <c r="H1817" s="299" t="str">
        <f>VLOOKUP(LEFT('Rev Adequacy'!D1817,3),'Mapping B'!$D$2:$E$400,2,0)</f>
        <v>N</v>
      </c>
      <c r="BP1817" s="190"/>
    </row>
    <row r="1818" spans="2:68" x14ac:dyDescent="0.25">
      <c r="B1818" s="98" t="s">
        <v>554</v>
      </c>
      <c r="C1818" s="98">
        <v>2014</v>
      </c>
      <c r="D1818" s="98" t="s">
        <v>193</v>
      </c>
      <c r="E1818" s="98" t="s">
        <v>39</v>
      </c>
      <c r="F1818" s="98" t="s">
        <v>131</v>
      </c>
      <c r="G1818" s="98">
        <v>937258.51200000104</v>
      </c>
      <c r="H1818" s="299" t="str">
        <f>VLOOKUP(LEFT('Rev Adequacy'!D1818,3),'Mapping B'!$D$2:$E$400,2,0)</f>
        <v>N</v>
      </c>
      <c r="BP1818" s="190"/>
    </row>
    <row r="1819" spans="2:68" x14ac:dyDescent="0.25">
      <c r="B1819" s="98" t="s">
        <v>554</v>
      </c>
      <c r="C1819" s="98">
        <v>2014</v>
      </c>
      <c r="D1819" s="98" t="s">
        <v>201</v>
      </c>
      <c r="E1819" s="98" t="s">
        <v>39</v>
      </c>
      <c r="F1819" s="98" t="s">
        <v>131</v>
      </c>
      <c r="G1819" s="98">
        <v>374867.89299999998</v>
      </c>
      <c r="H1819" s="299" t="str">
        <f>VLOOKUP(LEFT('Rev Adequacy'!D1819,3),'Mapping B'!$D$2:$E$400,2,0)</f>
        <v>N</v>
      </c>
      <c r="BP1819" s="190"/>
    </row>
    <row r="1820" spans="2:68" x14ac:dyDescent="0.25">
      <c r="B1820" s="98" t="s">
        <v>554</v>
      </c>
      <c r="C1820" s="98">
        <v>2014</v>
      </c>
      <c r="D1820" s="98" t="s">
        <v>254</v>
      </c>
      <c r="E1820" s="98" t="s">
        <v>39</v>
      </c>
      <c r="F1820" s="98" t="s">
        <v>131</v>
      </c>
      <c r="G1820" s="98">
        <v>8.2000000000000003E-2</v>
      </c>
      <c r="H1820" s="299" t="str">
        <f>VLOOKUP(LEFT('Rev Adequacy'!D1820,3),'Mapping B'!$D$2:$E$400,2,0)</f>
        <v>N</v>
      </c>
      <c r="BP1820" s="190"/>
    </row>
    <row r="1821" spans="2:68" x14ac:dyDescent="0.25">
      <c r="B1821" s="98" t="s">
        <v>554</v>
      </c>
      <c r="C1821" s="98">
        <v>2014</v>
      </c>
      <c r="D1821" s="98" t="s">
        <v>358</v>
      </c>
      <c r="E1821" s="98" t="s">
        <v>39</v>
      </c>
      <c r="F1821" s="98" t="s">
        <v>131</v>
      </c>
      <c r="G1821" s="98">
        <v>1333470.304</v>
      </c>
      <c r="H1821" s="299" t="str">
        <f>VLOOKUP(LEFT('Rev Adequacy'!D1821,3),'Mapping B'!$D$2:$E$400,2,0)</f>
        <v>N</v>
      </c>
      <c r="BP1821" s="190"/>
    </row>
    <row r="1822" spans="2:68" x14ac:dyDescent="0.25">
      <c r="B1822" s="98" t="s">
        <v>563</v>
      </c>
      <c r="C1822" s="98">
        <v>2014</v>
      </c>
      <c r="D1822" s="98" t="s">
        <v>192</v>
      </c>
      <c r="E1822" s="98" t="s">
        <v>39</v>
      </c>
      <c r="F1822" s="98" t="s">
        <v>131</v>
      </c>
      <c r="G1822" s="98">
        <v>462104.73799999902</v>
      </c>
      <c r="H1822" s="299" t="str">
        <f>VLOOKUP(LEFT('Rev Adequacy'!D1822,3),'Mapping B'!$D$2:$E$400,2,0)</f>
        <v>N</v>
      </c>
      <c r="BP1822" s="190"/>
    </row>
    <row r="1823" spans="2:68" x14ac:dyDescent="0.25">
      <c r="B1823" s="98" t="s">
        <v>563</v>
      </c>
      <c r="C1823" s="98">
        <v>2014</v>
      </c>
      <c r="D1823" s="98" t="s">
        <v>193</v>
      </c>
      <c r="E1823" s="98" t="s">
        <v>39</v>
      </c>
      <c r="F1823" s="98" t="s">
        <v>131</v>
      </c>
      <c r="G1823" s="98">
        <v>2125357.13799999</v>
      </c>
      <c r="H1823" s="299" t="str">
        <f>VLOOKUP(LEFT('Rev Adequacy'!D1823,3),'Mapping B'!$D$2:$E$400,2,0)</f>
        <v>N</v>
      </c>
      <c r="BP1823" s="190"/>
    </row>
    <row r="1824" spans="2:68" x14ac:dyDescent="0.25">
      <c r="B1824" s="98" t="s">
        <v>563</v>
      </c>
      <c r="C1824" s="98">
        <v>2014</v>
      </c>
      <c r="D1824" s="98" t="s">
        <v>201</v>
      </c>
      <c r="E1824" s="98" t="s">
        <v>39</v>
      </c>
      <c r="F1824" s="98" t="s">
        <v>131</v>
      </c>
      <c r="G1824" s="98">
        <v>563317.36600000097</v>
      </c>
      <c r="H1824" s="299" t="str">
        <f>VLOOKUP(LEFT('Rev Adequacy'!D1824,3),'Mapping B'!$D$2:$E$400,2,0)</f>
        <v>N</v>
      </c>
      <c r="BP1824" s="190"/>
    </row>
    <row r="1825" spans="2:68" x14ac:dyDescent="0.25">
      <c r="B1825" s="98" t="s">
        <v>563</v>
      </c>
      <c r="C1825" s="98">
        <v>2014</v>
      </c>
      <c r="D1825" s="98" t="s">
        <v>254</v>
      </c>
      <c r="E1825" s="98" t="s">
        <v>39</v>
      </c>
      <c r="F1825" s="98" t="s">
        <v>131</v>
      </c>
      <c r="G1825" s="98">
        <v>8.2000000000000003E-2</v>
      </c>
      <c r="H1825" s="299" t="str">
        <f>VLOOKUP(LEFT('Rev Adequacy'!D1825,3),'Mapping B'!$D$2:$E$400,2,0)</f>
        <v>N</v>
      </c>
      <c r="BP1825" s="190"/>
    </row>
    <row r="1826" spans="2:68" x14ac:dyDescent="0.25">
      <c r="B1826" s="98" t="s">
        <v>563</v>
      </c>
      <c r="C1826" s="98">
        <v>2014</v>
      </c>
      <c r="D1826" s="98" t="s">
        <v>358</v>
      </c>
      <c r="E1826" s="98" t="s">
        <v>39</v>
      </c>
      <c r="F1826" s="98" t="s">
        <v>131</v>
      </c>
      <c r="G1826" s="98">
        <v>1985186.2419999901</v>
      </c>
      <c r="H1826" s="299" t="str">
        <f>VLOOKUP(LEFT('Rev Adequacy'!D1826,3),'Mapping B'!$D$2:$E$400,2,0)</f>
        <v>N</v>
      </c>
      <c r="BP1826" s="190"/>
    </row>
    <row r="1827" spans="2:68" x14ac:dyDescent="0.25">
      <c r="B1827" s="98" t="s">
        <v>555</v>
      </c>
      <c r="C1827" s="98">
        <v>2014</v>
      </c>
      <c r="D1827" s="98" t="s">
        <v>192</v>
      </c>
      <c r="E1827" s="98" t="s">
        <v>39</v>
      </c>
      <c r="F1827" s="98" t="s">
        <v>131</v>
      </c>
      <c r="G1827" s="98">
        <v>241121.79699999999</v>
      </c>
      <c r="H1827" s="299" t="str">
        <f>VLOOKUP(LEFT('Rev Adequacy'!D1827,3),'Mapping B'!$D$2:$E$400,2,0)</f>
        <v>N</v>
      </c>
      <c r="BP1827" s="190"/>
    </row>
    <row r="1828" spans="2:68" x14ac:dyDescent="0.25">
      <c r="B1828" s="98" t="s">
        <v>555</v>
      </c>
      <c r="C1828" s="98">
        <v>2014</v>
      </c>
      <c r="D1828" s="98" t="s">
        <v>193</v>
      </c>
      <c r="E1828" s="98" t="s">
        <v>39</v>
      </c>
      <c r="F1828" s="98" t="s">
        <v>131</v>
      </c>
      <c r="G1828" s="98">
        <v>1069653.6680000001</v>
      </c>
      <c r="H1828" s="299" t="str">
        <f>VLOOKUP(LEFT('Rev Adequacy'!D1828,3),'Mapping B'!$D$2:$E$400,2,0)</f>
        <v>N</v>
      </c>
      <c r="BP1828" s="190"/>
    </row>
    <row r="1829" spans="2:68" x14ac:dyDescent="0.25">
      <c r="B1829" s="98" t="s">
        <v>555</v>
      </c>
      <c r="C1829" s="98">
        <v>2014</v>
      </c>
      <c r="D1829" s="98" t="s">
        <v>201</v>
      </c>
      <c r="E1829" s="98" t="s">
        <v>39</v>
      </c>
      <c r="F1829" s="98" t="s">
        <v>131</v>
      </c>
      <c r="G1829" s="98">
        <v>223758.91299999901</v>
      </c>
      <c r="H1829" s="299" t="str">
        <f>VLOOKUP(LEFT('Rev Adequacy'!D1829,3),'Mapping B'!$D$2:$E$400,2,0)</f>
        <v>N</v>
      </c>
      <c r="BP1829" s="190"/>
    </row>
    <row r="1830" spans="2:68" x14ac:dyDescent="0.25">
      <c r="B1830" s="98" t="s">
        <v>555</v>
      </c>
      <c r="C1830" s="98">
        <v>2014</v>
      </c>
      <c r="D1830" s="98" t="s">
        <v>254</v>
      </c>
      <c r="E1830" s="98" t="s">
        <v>39</v>
      </c>
      <c r="F1830" s="98" t="s">
        <v>131</v>
      </c>
      <c r="G1830" s="98">
        <v>1E-3</v>
      </c>
      <c r="H1830" s="299" t="str">
        <f>VLOOKUP(LEFT('Rev Adequacy'!D1830,3),'Mapping B'!$D$2:$E$400,2,0)</f>
        <v>N</v>
      </c>
      <c r="BP1830" s="190"/>
    </row>
    <row r="1831" spans="2:68" x14ac:dyDescent="0.25">
      <c r="B1831" s="98" t="s">
        <v>555</v>
      </c>
      <c r="C1831" s="98">
        <v>2014</v>
      </c>
      <c r="D1831" s="98" t="s">
        <v>358</v>
      </c>
      <c r="E1831" s="98" t="s">
        <v>39</v>
      </c>
      <c r="F1831" s="98" t="s">
        <v>131</v>
      </c>
      <c r="G1831" s="98">
        <v>790952.23900000402</v>
      </c>
      <c r="H1831" s="299" t="str">
        <f>VLOOKUP(LEFT('Rev Adequacy'!D1831,3),'Mapping B'!$D$2:$E$400,2,0)</f>
        <v>N</v>
      </c>
      <c r="BP1831" s="190"/>
    </row>
    <row r="1832" spans="2:68" x14ac:dyDescent="0.25">
      <c r="B1832" s="98" t="s">
        <v>112</v>
      </c>
      <c r="C1832" s="98">
        <v>2014</v>
      </c>
      <c r="D1832" s="98" t="s">
        <v>192</v>
      </c>
      <c r="E1832" s="98" t="s">
        <v>39</v>
      </c>
      <c r="F1832" s="98" t="s">
        <v>131</v>
      </c>
      <c r="G1832" s="98">
        <v>5616655.8029999696</v>
      </c>
      <c r="H1832" s="299" t="str">
        <f>VLOOKUP(LEFT('Rev Adequacy'!D1832,3),'Mapping B'!$D$2:$E$400,2,0)</f>
        <v>N</v>
      </c>
      <c r="BP1832" s="190"/>
    </row>
    <row r="1833" spans="2:68" x14ac:dyDescent="0.25">
      <c r="B1833" s="98" t="s">
        <v>112</v>
      </c>
      <c r="C1833" s="98">
        <v>2014</v>
      </c>
      <c r="D1833" s="98" t="s">
        <v>193</v>
      </c>
      <c r="E1833" s="98" t="s">
        <v>39</v>
      </c>
      <c r="F1833" s="98" t="s">
        <v>131</v>
      </c>
      <c r="G1833" s="98">
        <v>26696560.7169999</v>
      </c>
      <c r="H1833" s="299" t="str">
        <f>VLOOKUP(LEFT('Rev Adequacy'!D1833,3),'Mapping B'!$D$2:$E$400,2,0)</f>
        <v>N</v>
      </c>
      <c r="BP1833" s="190"/>
    </row>
    <row r="1834" spans="2:68" x14ac:dyDescent="0.25">
      <c r="B1834" s="98" t="s">
        <v>112</v>
      </c>
      <c r="C1834" s="98">
        <v>2014</v>
      </c>
      <c r="D1834" s="98" t="s">
        <v>201</v>
      </c>
      <c r="E1834" s="98" t="s">
        <v>39</v>
      </c>
      <c r="F1834" s="98" t="s">
        <v>131</v>
      </c>
      <c r="G1834" s="98">
        <v>5071012.5769999595</v>
      </c>
      <c r="H1834" s="299" t="str">
        <f>VLOOKUP(LEFT('Rev Adequacy'!D1834,3),'Mapping B'!$D$2:$E$400,2,0)</f>
        <v>N</v>
      </c>
      <c r="BP1834" s="190"/>
    </row>
    <row r="1835" spans="2:68" x14ac:dyDescent="0.25">
      <c r="B1835" s="98" t="s">
        <v>112</v>
      </c>
      <c r="C1835" s="98">
        <v>2014</v>
      </c>
      <c r="D1835" s="98" t="s">
        <v>254</v>
      </c>
      <c r="E1835" s="98" t="s">
        <v>39</v>
      </c>
      <c r="F1835" s="98" t="s">
        <v>131</v>
      </c>
      <c r="G1835" s="98">
        <v>0.214</v>
      </c>
      <c r="H1835" s="299" t="str">
        <f>VLOOKUP(LEFT('Rev Adequacy'!D1835,3),'Mapping B'!$D$2:$E$400,2,0)</f>
        <v>N</v>
      </c>
      <c r="BP1835" s="190"/>
    </row>
    <row r="1836" spans="2:68" x14ac:dyDescent="0.25">
      <c r="B1836" s="98" t="s">
        <v>112</v>
      </c>
      <c r="C1836" s="98">
        <v>2014</v>
      </c>
      <c r="D1836" s="98" t="s">
        <v>358</v>
      </c>
      <c r="E1836" s="98" t="s">
        <v>39</v>
      </c>
      <c r="F1836" s="98" t="s">
        <v>131</v>
      </c>
      <c r="G1836" s="98">
        <v>18490788.943999801</v>
      </c>
      <c r="H1836" s="299" t="str">
        <f>VLOOKUP(LEFT('Rev Adequacy'!D1836,3),'Mapping B'!$D$2:$E$400,2,0)</f>
        <v>N</v>
      </c>
      <c r="BP1836" s="190"/>
    </row>
    <row r="1837" spans="2:68" x14ac:dyDescent="0.25">
      <c r="B1837" s="98" t="s">
        <v>111</v>
      </c>
      <c r="C1837" s="98">
        <v>2014</v>
      </c>
      <c r="D1837" s="98" t="s">
        <v>192</v>
      </c>
      <c r="E1837" s="98" t="s">
        <v>39</v>
      </c>
      <c r="F1837" s="98" t="s">
        <v>131</v>
      </c>
      <c r="G1837" s="98">
        <v>1551433.0120000001</v>
      </c>
      <c r="H1837" s="299" t="str">
        <f>VLOOKUP(LEFT('Rev Adequacy'!D1837,3),'Mapping B'!$D$2:$E$400,2,0)</f>
        <v>N</v>
      </c>
      <c r="BP1837" s="190"/>
    </row>
    <row r="1838" spans="2:68" x14ac:dyDescent="0.25">
      <c r="B1838" s="98" t="s">
        <v>111</v>
      </c>
      <c r="C1838" s="98">
        <v>2014</v>
      </c>
      <c r="D1838" s="98" t="s">
        <v>193</v>
      </c>
      <c r="E1838" s="98" t="s">
        <v>39</v>
      </c>
      <c r="F1838" s="98" t="s">
        <v>131</v>
      </c>
      <c r="G1838" s="98">
        <v>5207255.9330000002</v>
      </c>
      <c r="H1838" s="299" t="str">
        <f>VLOOKUP(LEFT('Rev Adequacy'!D1838,3),'Mapping B'!$D$2:$E$400,2,0)</f>
        <v>N</v>
      </c>
      <c r="BP1838" s="190"/>
    </row>
    <row r="1839" spans="2:68" x14ac:dyDescent="0.25">
      <c r="B1839" s="98" t="s">
        <v>111</v>
      </c>
      <c r="C1839" s="98">
        <v>2014</v>
      </c>
      <c r="D1839" s="98" t="s">
        <v>201</v>
      </c>
      <c r="E1839" s="98" t="s">
        <v>39</v>
      </c>
      <c r="F1839" s="98" t="s">
        <v>131</v>
      </c>
      <c r="G1839" s="98">
        <v>1344186.39899999</v>
      </c>
      <c r="H1839" s="299" t="str">
        <f>VLOOKUP(LEFT('Rev Adequacy'!D1839,3),'Mapping B'!$D$2:$E$400,2,0)</f>
        <v>N</v>
      </c>
      <c r="BP1839" s="190"/>
    </row>
    <row r="1840" spans="2:68" x14ac:dyDescent="0.25">
      <c r="B1840" s="98" t="s">
        <v>111</v>
      </c>
      <c r="C1840" s="98">
        <v>2014</v>
      </c>
      <c r="D1840" s="98" t="s">
        <v>254</v>
      </c>
      <c r="E1840" s="98" t="s">
        <v>39</v>
      </c>
      <c r="F1840" s="98" t="s">
        <v>131</v>
      </c>
      <c r="G1840" s="98">
        <v>2.3E-2</v>
      </c>
      <c r="H1840" s="299" t="str">
        <f>VLOOKUP(LEFT('Rev Adequacy'!D1840,3),'Mapping B'!$D$2:$E$400,2,0)</f>
        <v>N</v>
      </c>
      <c r="BP1840" s="190"/>
    </row>
    <row r="1841" spans="2:68" x14ac:dyDescent="0.25">
      <c r="B1841" s="98" t="s">
        <v>111</v>
      </c>
      <c r="C1841" s="98">
        <v>2014</v>
      </c>
      <c r="D1841" s="98" t="s">
        <v>358</v>
      </c>
      <c r="E1841" s="98" t="s">
        <v>39</v>
      </c>
      <c r="F1841" s="98" t="s">
        <v>131</v>
      </c>
      <c r="G1841" s="98">
        <v>4722429.8809999898</v>
      </c>
      <c r="H1841" s="299" t="str">
        <f>VLOOKUP(LEFT('Rev Adequacy'!D1841,3),'Mapping B'!$D$2:$E$400,2,0)</f>
        <v>N</v>
      </c>
      <c r="BP1841" s="190"/>
    </row>
    <row r="1842" spans="2:68" x14ac:dyDescent="0.25">
      <c r="B1842" s="98" t="s">
        <v>552</v>
      </c>
      <c r="C1842" s="98">
        <v>2014</v>
      </c>
      <c r="D1842" s="98" t="s">
        <v>172</v>
      </c>
      <c r="E1842" s="98" t="s">
        <v>40</v>
      </c>
      <c r="F1842" s="98" t="s">
        <v>131</v>
      </c>
      <c r="G1842" s="248">
        <v>0</v>
      </c>
      <c r="H1842" s="299" t="str">
        <f>VLOOKUP(LEFT('Rev Adequacy'!D1842,3),'Mapping B'!$D$2:$E$400,2,0)</f>
        <v>N</v>
      </c>
      <c r="BP1842" s="190"/>
    </row>
    <row r="1843" spans="2:68" x14ac:dyDescent="0.25">
      <c r="B1843" s="98" t="s">
        <v>552</v>
      </c>
      <c r="C1843" s="98">
        <v>2014</v>
      </c>
      <c r="D1843" s="98" t="s">
        <v>173</v>
      </c>
      <c r="E1843" s="98" t="s">
        <v>40</v>
      </c>
      <c r="F1843" s="98" t="s">
        <v>131</v>
      </c>
      <c r="G1843" s="248">
        <v>0</v>
      </c>
      <c r="H1843" s="299" t="str">
        <f>VLOOKUP(LEFT('Rev Adequacy'!D1843,3),'Mapping B'!$D$2:$E$400,2,0)</f>
        <v>N</v>
      </c>
      <c r="BP1843" s="190"/>
    </row>
    <row r="1844" spans="2:68" x14ac:dyDescent="0.25">
      <c r="B1844" s="98" t="s">
        <v>552</v>
      </c>
      <c r="C1844" s="98">
        <v>2014</v>
      </c>
      <c r="D1844" s="98" t="s">
        <v>186</v>
      </c>
      <c r="E1844" s="98" t="s">
        <v>40</v>
      </c>
      <c r="F1844" s="98" t="s">
        <v>131</v>
      </c>
      <c r="G1844" s="248">
        <v>0</v>
      </c>
      <c r="H1844" s="299" t="str">
        <f>VLOOKUP(LEFT('Rev Adequacy'!D1844,3),'Mapping B'!$D$2:$E$400,2,0)</f>
        <v>N</v>
      </c>
      <c r="BP1844" s="190"/>
    </row>
    <row r="1845" spans="2:68" x14ac:dyDescent="0.25">
      <c r="B1845" s="98" t="s">
        <v>552</v>
      </c>
      <c r="C1845" s="98">
        <v>2014</v>
      </c>
      <c r="D1845" s="98" t="s">
        <v>195</v>
      </c>
      <c r="E1845" s="98" t="s">
        <v>40</v>
      </c>
      <c r="F1845" s="98" t="s">
        <v>131</v>
      </c>
      <c r="G1845" s="248">
        <v>0</v>
      </c>
      <c r="H1845" s="299" t="str">
        <f>VLOOKUP(LEFT('Rev Adequacy'!D1845,3),'Mapping B'!$D$2:$E$400,2,0)</f>
        <v>N</v>
      </c>
      <c r="BP1845" s="190"/>
    </row>
    <row r="1846" spans="2:68" x14ac:dyDescent="0.25">
      <c r="B1846" s="98" t="s">
        <v>552</v>
      </c>
      <c r="C1846" s="98">
        <v>2014</v>
      </c>
      <c r="D1846" s="98" t="s">
        <v>196</v>
      </c>
      <c r="E1846" s="98" t="s">
        <v>40</v>
      </c>
      <c r="F1846" s="98" t="s">
        <v>131</v>
      </c>
      <c r="G1846" s="248">
        <v>0</v>
      </c>
      <c r="H1846" s="299" t="str">
        <f>VLOOKUP(LEFT('Rev Adequacy'!D1846,3),'Mapping B'!$D$2:$E$400,2,0)</f>
        <v>N</v>
      </c>
      <c r="BP1846" s="190"/>
    </row>
    <row r="1847" spans="2:68" x14ac:dyDescent="0.25">
      <c r="B1847" s="98" t="s">
        <v>552</v>
      </c>
      <c r="C1847" s="98">
        <v>2014</v>
      </c>
      <c r="D1847" s="98" t="s">
        <v>243</v>
      </c>
      <c r="E1847" s="98" t="s">
        <v>40</v>
      </c>
      <c r="F1847" s="98" t="s">
        <v>131</v>
      </c>
      <c r="G1847" s="248">
        <v>501.81200000000598</v>
      </c>
      <c r="H1847" s="299" t="str">
        <f>VLOOKUP(LEFT('Rev Adequacy'!D1847,3),'Mapping B'!$D$2:$E$400,2,0)</f>
        <v>N</v>
      </c>
      <c r="BP1847" s="190"/>
    </row>
    <row r="1848" spans="2:68" x14ac:dyDescent="0.25">
      <c r="B1848" s="98" t="s">
        <v>552</v>
      </c>
      <c r="C1848" s="98">
        <v>2014</v>
      </c>
      <c r="D1848" s="98" t="s">
        <v>260</v>
      </c>
      <c r="E1848" s="98" t="s">
        <v>40</v>
      </c>
      <c r="F1848" s="98" t="s">
        <v>131</v>
      </c>
      <c r="G1848" s="248">
        <v>0</v>
      </c>
      <c r="H1848" s="299" t="str">
        <f>VLOOKUP(LEFT('Rev Adequacy'!D1848,3),'Mapping B'!$D$2:$E$400,2,0)</f>
        <v>N</v>
      </c>
      <c r="BP1848" s="190"/>
    </row>
    <row r="1849" spans="2:68" x14ac:dyDescent="0.25">
      <c r="B1849" s="98" t="s">
        <v>552</v>
      </c>
      <c r="C1849" s="98">
        <v>2014</v>
      </c>
      <c r="D1849" s="98" t="s">
        <v>261</v>
      </c>
      <c r="E1849" s="98" t="s">
        <v>40</v>
      </c>
      <c r="F1849" s="98" t="s">
        <v>131</v>
      </c>
      <c r="G1849" s="248">
        <v>0</v>
      </c>
      <c r="H1849" s="299" t="str">
        <f>VLOOKUP(LEFT('Rev Adequacy'!D1849,3),'Mapping B'!$D$2:$E$400,2,0)</f>
        <v>N</v>
      </c>
      <c r="BP1849" s="190"/>
    </row>
    <row r="1850" spans="2:68" x14ac:dyDescent="0.25">
      <c r="B1850" s="98" t="s">
        <v>552</v>
      </c>
      <c r="C1850" s="98">
        <v>2014</v>
      </c>
      <c r="D1850" s="98" t="s">
        <v>302</v>
      </c>
      <c r="E1850" s="98" t="s">
        <v>40</v>
      </c>
      <c r="F1850" s="98" t="s">
        <v>131</v>
      </c>
      <c r="G1850" s="248">
        <v>0</v>
      </c>
      <c r="H1850" s="299" t="str">
        <f>VLOOKUP(LEFT('Rev Adequacy'!D1850,3),'Mapping B'!$D$2:$E$400,2,0)</f>
        <v>N</v>
      </c>
      <c r="BP1850" s="190"/>
    </row>
    <row r="1851" spans="2:68" x14ac:dyDescent="0.25">
      <c r="B1851" s="98" t="s">
        <v>552</v>
      </c>
      <c r="C1851" s="98">
        <v>2014</v>
      </c>
      <c r="D1851" s="98" t="s">
        <v>343</v>
      </c>
      <c r="E1851" s="98" t="s">
        <v>40</v>
      </c>
      <c r="F1851" s="98" t="s">
        <v>131</v>
      </c>
      <c r="G1851" s="248">
        <v>0</v>
      </c>
      <c r="H1851" s="299" t="str">
        <f>VLOOKUP(LEFT('Rev Adequacy'!D1851,3),'Mapping B'!$D$2:$E$400,2,0)</f>
        <v>N</v>
      </c>
      <c r="BP1851" s="190"/>
    </row>
    <row r="1852" spans="2:68" x14ac:dyDescent="0.25">
      <c r="B1852" s="98" t="s">
        <v>552</v>
      </c>
      <c r="C1852" s="98">
        <v>2014</v>
      </c>
      <c r="D1852" s="98" t="s">
        <v>363</v>
      </c>
      <c r="E1852" s="98" t="s">
        <v>40</v>
      </c>
      <c r="F1852" s="98" t="s">
        <v>131</v>
      </c>
      <c r="G1852" s="248">
        <v>0</v>
      </c>
      <c r="H1852" s="299" t="str">
        <f>VLOOKUP(LEFT('Rev Adequacy'!D1852,3),'Mapping B'!$D$2:$E$400,2,0)</f>
        <v>N</v>
      </c>
      <c r="BP1852" s="190"/>
    </row>
    <row r="1853" spans="2:68" x14ac:dyDescent="0.25">
      <c r="B1853" s="98" t="s">
        <v>552</v>
      </c>
      <c r="C1853" s="98">
        <v>2014</v>
      </c>
      <c r="D1853" s="98" t="s">
        <v>373</v>
      </c>
      <c r="E1853" s="98" t="s">
        <v>40</v>
      </c>
      <c r="F1853" s="98" t="s">
        <v>131</v>
      </c>
      <c r="G1853" s="248">
        <v>0</v>
      </c>
      <c r="H1853" s="299" t="str">
        <f>VLOOKUP(LEFT('Rev Adequacy'!D1853,3),'Mapping B'!$D$2:$E$400,2,0)</f>
        <v>N</v>
      </c>
      <c r="BP1853" s="190"/>
    </row>
    <row r="1854" spans="2:68" x14ac:dyDescent="0.25">
      <c r="B1854" s="98" t="s">
        <v>553</v>
      </c>
      <c r="C1854" s="98">
        <v>2014</v>
      </c>
      <c r="D1854" s="98" t="s">
        <v>172</v>
      </c>
      <c r="E1854" s="98" t="s">
        <v>40</v>
      </c>
      <c r="F1854" s="98" t="s">
        <v>131</v>
      </c>
      <c r="G1854" s="248">
        <v>33832.517999999996</v>
      </c>
      <c r="H1854" s="299" t="str">
        <f>VLOOKUP(LEFT('Rev Adequacy'!D1854,3),'Mapping B'!$D$2:$E$400,2,0)</f>
        <v>N</v>
      </c>
      <c r="BP1854" s="190"/>
    </row>
    <row r="1855" spans="2:68" x14ac:dyDescent="0.25">
      <c r="B1855" s="98" t="s">
        <v>553</v>
      </c>
      <c r="C1855" s="98">
        <v>2014</v>
      </c>
      <c r="D1855" s="98" t="s">
        <v>173</v>
      </c>
      <c r="E1855" s="98" t="s">
        <v>40</v>
      </c>
      <c r="F1855" s="98" t="s">
        <v>131</v>
      </c>
      <c r="G1855" s="248">
        <v>278328.66800000001</v>
      </c>
      <c r="H1855" s="299" t="str">
        <f>VLOOKUP(LEFT('Rev Adequacy'!D1855,3),'Mapping B'!$D$2:$E$400,2,0)</f>
        <v>N</v>
      </c>
      <c r="BP1855" s="190"/>
    </row>
    <row r="1856" spans="2:68" x14ac:dyDescent="0.25">
      <c r="B1856" s="98" t="s">
        <v>553</v>
      </c>
      <c r="C1856" s="98">
        <v>2014</v>
      </c>
      <c r="D1856" s="98" t="s">
        <v>186</v>
      </c>
      <c r="E1856" s="98" t="s">
        <v>40</v>
      </c>
      <c r="F1856" s="98" t="s">
        <v>131</v>
      </c>
      <c r="G1856" s="248">
        <v>107086.984999999</v>
      </c>
      <c r="H1856" s="299" t="str">
        <f>VLOOKUP(LEFT('Rev Adequacy'!D1856,3),'Mapping B'!$D$2:$E$400,2,0)</f>
        <v>N</v>
      </c>
      <c r="BP1856" s="190"/>
    </row>
    <row r="1857" spans="2:68" x14ac:dyDescent="0.25">
      <c r="B1857" s="98" t="s">
        <v>553</v>
      </c>
      <c r="C1857" s="98">
        <v>2014</v>
      </c>
      <c r="D1857" s="98" t="s">
        <v>195</v>
      </c>
      <c r="E1857" s="98" t="s">
        <v>40</v>
      </c>
      <c r="F1857" s="98" t="s">
        <v>131</v>
      </c>
      <c r="G1857" s="248">
        <v>27258.694999999501</v>
      </c>
      <c r="H1857" s="299" t="str">
        <f>VLOOKUP(LEFT('Rev Adequacy'!D1857,3),'Mapping B'!$D$2:$E$400,2,0)</f>
        <v>N</v>
      </c>
      <c r="BP1857" s="190"/>
    </row>
    <row r="1858" spans="2:68" x14ac:dyDescent="0.25">
      <c r="B1858" s="98" t="s">
        <v>553</v>
      </c>
      <c r="C1858" s="98">
        <v>2014</v>
      </c>
      <c r="D1858" s="98" t="s">
        <v>196</v>
      </c>
      <c r="E1858" s="98" t="s">
        <v>40</v>
      </c>
      <c r="F1858" s="98" t="s">
        <v>131</v>
      </c>
      <c r="G1858" s="248">
        <v>24361.871999999501</v>
      </c>
      <c r="H1858" s="299" t="str">
        <f>VLOOKUP(LEFT('Rev Adequacy'!D1858,3),'Mapping B'!$D$2:$E$400,2,0)</f>
        <v>N</v>
      </c>
      <c r="BP1858" s="190"/>
    </row>
    <row r="1859" spans="2:68" x14ac:dyDescent="0.25">
      <c r="B1859" s="98" t="s">
        <v>553</v>
      </c>
      <c r="C1859" s="98">
        <v>2014</v>
      </c>
      <c r="D1859" s="98" t="s">
        <v>243</v>
      </c>
      <c r="E1859" s="98" t="s">
        <v>40</v>
      </c>
      <c r="F1859" s="98" t="s">
        <v>131</v>
      </c>
      <c r="G1859" s="248">
        <v>57759.613999999601</v>
      </c>
      <c r="H1859" s="299" t="str">
        <f>VLOOKUP(LEFT('Rev Adequacy'!D1859,3),'Mapping B'!$D$2:$E$400,2,0)</f>
        <v>N</v>
      </c>
      <c r="BP1859" s="190"/>
    </row>
    <row r="1860" spans="2:68" x14ac:dyDescent="0.25">
      <c r="B1860" s="98" t="s">
        <v>553</v>
      </c>
      <c r="C1860" s="98">
        <v>2014</v>
      </c>
      <c r="D1860" s="98" t="s">
        <v>260</v>
      </c>
      <c r="E1860" s="98" t="s">
        <v>40</v>
      </c>
      <c r="F1860" s="98" t="s">
        <v>131</v>
      </c>
      <c r="G1860" s="248">
        <v>45248.327000000798</v>
      </c>
      <c r="H1860" s="299" t="str">
        <f>VLOOKUP(LEFT('Rev Adequacy'!D1860,3),'Mapping B'!$D$2:$E$400,2,0)</f>
        <v>N</v>
      </c>
      <c r="BP1860" s="190"/>
    </row>
    <row r="1861" spans="2:68" x14ac:dyDescent="0.25">
      <c r="B1861" s="98" t="s">
        <v>553</v>
      </c>
      <c r="C1861" s="98">
        <v>2014</v>
      </c>
      <c r="D1861" s="98" t="s">
        <v>261</v>
      </c>
      <c r="E1861" s="98" t="s">
        <v>40</v>
      </c>
      <c r="F1861" s="98" t="s">
        <v>131</v>
      </c>
      <c r="G1861" s="248">
        <v>56200.521999999997</v>
      </c>
      <c r="H1861" s="299" t="str">
        <f>VLOOKUP(LEFT('Rev Adequacy'!D1861,3),'Mapping B'!$D$2:$E$400,2,0)</f>
        <v>N</v>
      </c>
      <c r="BP1861" s="190"/>
    </row>
    <row r="1862" spans="2:68" x14ac:dyDescent="0.25">
      <c r="B1862" s="98" t="s">
        <v>553</v>
      </c>
      <c r="C1862" s="98">
        <v>2014</v>
      </c>
      <c r="D1862" s="98" t="s">
        <v>302</v>
      </c>
      <c r="E1862" s="98" t="s">
        <v>40</v>
      </c>
      <c r="F1862" s="98" t="s">
        <v>131</v>
      </c>
      <c r="G1862" s="248">
        <v>29420.1719999995</v>
      </c>
      <c r="H1862" s="299" t="str">
        <f>VLOOKUP(LEFT('Rev Adequacy'!D1862,3),'Mapping B'!$D$2:$E$400,2,0)</f>
        <v>N</v>
      </c>
      <c r="BP1862" s="190"/>
    </row>
    <row r="1863" spans="2:68" x14ac:dyDescent="0.25">
      <c r="B1863" s="98" t="s">
        <v>553</v>
      </c>
      <c r="C1863" s="98">
        <v>2014</v>
      </c>
      <c r="D1863" s="98" t="s">
        <v>343</v>
      </c>
      <c r="E1863" s="98" t="s">
        <v>40</v>
      </c>
      <c r="F1863" s="98" t="s">
        <v>131</v>
      </c>
      <c r="G1863" s="248">
        <v>153087.98200000299</v>
      </c>
      <c r="H1863" s="299" t="str">
        <f>VLOOKUP(LEFT('Rev Adequacy'!D1863,3),'Mapping B'!$D$2:$E$400,2,0)</f>
        <v>N</v>
      </c>
      <c r="BP1863" s="190"/>
    </row>
    <row r="1864" spans="2:68" x14ac:dyDescent="0.25">
      <c r="B1864" s="98" t="s">
        <v>553</v>
      </c>
      <c r="C1864" s="98">
        <v>2014</v>
      </c>
      <c r="D1864" s="98" t="s">
        <v>363</v>
      </c>
      <c r="E1864" s="98" t="s">
        <v>40</v>
      </c>
      <c r="F1864" s="98" t="s">
        <v>131</v>
      </c>
      <c r="G1864" s="248">
        <v>50327.259000000202</v>
      </c>
      <c r="H1864" s="299" t="str">
        <f>VLOOKUP(LEFT('Rev Adequacy'!D1864,3),'Mapping B'!$D$2:$E$400,2,0)</f>
        <v>N</v>
      </c>
      <c r="BP1864" s="190"/>
    </row>
    <row r="1865" spans="2:68" x14ac:dyDescent="0.25">
      <c r="B1865" s="98" t="s">
        <v>553</v>
      </c>
      <c r="C1865" s="98">
        <v>2014</v>
      </c>
      <c r="D1865" s="98" t="s">
        <v>373</v>
      </c>
      <c r="E1865" s="98" t="s">
        <v>40</v>
      </c>
      <c r="F1865" s="98" t="s">
        <v>131</v>
      </c>
      <c r="G1865" s="248">
        <v>88083.967000001197</v>
      </c>
      <c r="H1865" s="299" t="str">
        <f>VLOOKUP(LEFT('Rev Adequacy'!D1865,3),'Mapping B'!$D$2:$E$400,2,0)</f>
        <v>N</v>
      </c>
      <c r="BP1865" s="190"/>
    </row>
    <row r="1866" spans="2:68" x14ac:dyDescent="0.25">
      <c r="B1866" s="98" t="s">
        <v>554</v>
      </c>
      <c r="C1866" s="98">
        <v>2014</v>
      </c>
      <c r="D1866" s="98" t="s">
        <v>172</v>
      </c>
      <c r="E1866" s="98" t="s">
        <v>40</v>
      </c>
      <c r="F1866" s="98" t="s">
        <v>131</v>
      </c>
      <c r="G1866" s="98">
        <v>0</v>
      </c>
      <c r="H1866" s="299" t="str">
        <f>VLOOKUP(LEFT('Rev Adequacy'!D1866,3),'Mapping B'!$D$2:$E$400,2,0)</f>
        <v>N</v>
      </c>
      <c r="BP1866" s="190"/>
    </row>
    <row r="1867" spans="2:68" x14ac:dyDescent="0.25">
      <c r="B1867" s="98" t="s">
        <v>554</v>
      </c>
      <c r="C1867" s="98">
        <v>2014</v>
      </c>
      <c r="D1867" s="98" t="s">
        <v>173</v>
      </c>
      <c r="E1867" s="98" t="s">
        <v>40</v>
      </c>
      <c r="F1867" s="98" t="s">
        <v>131</v>
      </c>
      <c r="G1867" s="98">
        <v>0</v>
      </c>
      <c r="H1867" s="299" t="str">
        <f>VLOOKUP(LEFT('Rev Adequacy'!D1867,3),'Mapping B'!$D$2:$E$400,2,0)</f>
        <v>N</v>
      </c>
      <c r="BP1867" s="190"/>
    </row>
    <row r="1868" spans="2:68" x14ac:dyDescent="0.25">
      <c r="B1868" s="98" t="s">
        <v>554</v>
      </c>
      <c r="C1868" s="98">
        <v>2014</v>
      </c>
      <c r="D1868" s="98" t="s">
        <v>186</v>
      </c>
      <c r="E1868" s="98" t="s">
        <v>40</v>
      </c>
      <c r="F1868" s="98" t="s">
        <v>131</v>
      </c>
      <c r="G1868" s="98">
        <v>0</v>
      </c>
      <c r="H1868" s="299" t="str">
        <f>VLOOKUP(LEFT('Rev Adequacy'!D1868,3),'Mapping B'!$D$2:$E$400,2,0)</f>
        <v>N</v>
      </c>
      <c r="BP1868" s="190"/>
    </row>
    <row r="1869" spans="2:68" x14ac:dyDescent="0.25">
      <c r="B1869" s="98" t="s">
        <v>554</v>
      </c>
      <c r="C1869" s="98">
        <v>2014</v>
      </c>
      <c r="D1869" s="98" t="s">
        <v>195</v>
      </c>
      <c r="E1869" s="98" t="s">
        <v>40</v>
      </c>
      <c r="F1869" s="98" t="s">
        <v>131</v>
      </c>
      <c r="G1869" s="98">
        <v>0</v>
      </c>
      <c r="H1869" s="299" t="str">
        <f>VLOOKUP(LEFT('Rev Adequacy'!D1869,3),'Mapping B'!$D$2:$E$400,2,0)</f>
        <v>N</v>
      </c>
      <c r="BP1869" s="190"/>
    </row>
    <row r="1870" spans="2:68" x14ac:dyDescent="0.25">
      <c r="B1870" s="98" t="s">
        <v>554</v>
      </c>
      <c r="C1870" s="98">
        <v>2014</v>
      </c>
      <c r="D1870" s="98" t="s">
        <v>196</v>
      </c>
      <c r="E1870" s="98" t="s">
        <v>40</v>
      </c>
      <c r="F1870" s="98" t="s">
        <v>131</v>
      </c>
      <c r="G1870" s="98">
        <v>0</v>
      </c>
      <c r="H1870" s="299" t="str">
        <f>VLOOKUP(LEFT('Rev Adequacy'!D1870,3),'Mapping B'!$D$2:$E$400,2,0)</f>
        <v>N</v>
      </c>
      <c r="BP1870" s="190"/>
    </row>
    <row r="1871" spans="2:68" x14ac:dyDescent="0.25">
      <c r="B1871" s="98" t="s">
        <v>554</v>
      </c>
      <c r="C1871" s="98">
        <v>2014</v>
      </c>
      <c r="D1871" s="98" t="s">
        <v>243</v>
      </c>
      <c r="E1871" s="98" t="s">
        <v>40</v>
      </c>
      <c r="F1871" s="98" t="s">
        <v>131</v>
      </c>
      <c r="G1871" s="98">
        <v>38466.724999999598</v>
      </c>
      <c r="H1871" s="299" t="str">
        <f>VLOOKUP(LEFT('Rev Adequacy'!D1871,3),'Mapping B'!$D$2:$E$400,2,0)</f>
        <v>N</v>
      </c>
      <c r="BP1871" s="190"/>
    </row>
    <row r="1872" spans="2:68" x14ac:dyDescent="0.25">
      <c r="B1872" s="98" t="s">
        <v>554</v>
      </c>
      <c r="C1872" s="98">
        <v>2014</v>
      </c>
      <c r="D1872" s="98" t="s">
        <v>260</v>
      </c>
      <c r="E1872" s="98" t="s">
        <v>40</v>
      </c>
      <c r="F1872" s="98" t="s">
        <v>131</v>
      </c>
      <c r="G1872" s="98">
        <v>0</v>
      </c>
      <c r="H1872" s="299" t="str">
        <f>VLOOKUP(LEFT('Rev Adequacy'!D1872,3),'Mapping B'!$D$2:$E$400,2,0)</f>
        <v>N</v>
      </c>
      <c r="BP1872" s="190"/>
    </row>
    <row r="1873" spans="2:68" x14ac:dyDescent="0.25">
      <c r="B1873" s="98" t="s">
        <v>554</v>
      </c>
      <c r="C1873" s="98">
        <v>2014</v>
      </c>
      <c r="D1873" s="98" t="s">
        <v>261</v>
      </c>
      <c r="E1873" s="98" t="s">
        <v>40</v>
      </c>
      <c r="F1873" s="98" t="s">
        <v>131</v>
      </c>
      <c r="G1873" s="98">
        <v>0</v>
      </c>
      <c r="H1873" s="299" t="str">
        <f>VLOOKUP(LEFT('Rev Adequacy'!D1873,3),'Mapping B'!$D$2:$E$400,2,0)</f>
        <v>N</v>
      </c>
      <c r="BP1873" s="190"/>
    </row>
    <row r="1874" spans="2:68" x14ac:dyDescent="0.25">
      <c r="B1874" s="98" t="s">
        <v>554</v>
      </c>
      <c r="C1874" s="98">
        <v>2014</v>
      </c>
      <c r="D1874" s="98" t="s">
        <v>302</v>
      </c>
      <c r="E1874" s="98" t="s">
        <v>40</v>
      </c>
      <c r="F1874" s="98" t="s">
        <v>131</v>
      </c>
      <c r="G1874" s="98">
        <v>0</v>
      </c>
      <c r="H1874" s="299" t="str">
        <f>VLOOKUP(LEFT('Rev Adequacy'!D1874,3),'Mapping B'!$D$2:$E$400,2,0)</f>
        <v>N</v>
      </c>
      <c r="BP1874" s="190"/>
    </row>
    <row r="1875" spans="2:68" x14ac:dyDescent="0.25">
      <c r="B1875" s="98" t="s">
        <v>554</v>
      </c>
      <c r="C1875" s="98">
        <v>2014</v>
      </c>
      <c r="D1875" s="98" t="s">
        <v>343</v>
      </c>
      <c r="E1875" s="98" t="s">
        <v>40</v>
      </c>
      <c r="F1875" s="98" t="s">
        <v>131</v>
      </c>
      <c r="G1875" s="98">
        <v>0</v>
      </c>
      <c r="H1875" s="299" t="str">
        <f>VLOOKUP(LEFT('Rev Adequacy'!D1875,3),'Mapping B'!$D$2:$E$400,2,0)</f>
        <v>N</v>
      </c>
      <c r="BP1875" s="190"/>
    </row>
    <row r="1876" spans="2:68" x14ac:dyDescent="0.25">
      <c r="B1876" s="98" t="s">
        <v>554</v>
      </c>
      <c r="C1876" s="98">
        <v>2014</v>
      </c>
      <c r="D1876" s="98" t="s">
        <v>363</v>
      </c>
      <c r="E1876" s="98" t="s">
        <v>40</v>
      </c>
      <c r="F1876" s="98" t="s">
        <v>131</v>
      </c>
      <c r="G1876" s="98">
        <v>0</v>
      </c>
      <c r="H1876" s="299" t="str">
        <f>VLOOKUP(LEFT('Rev Adequacy'!D1876,3),'Mapping B'!$D$2:$E$400,2,0)</f>
        <v>N</v>
      </c>
      <c r="BP1876" s="190"/>
    </row>
    <row r="1877" spans="2:68" x14ac:dyDescent="0.25">
      <c r="B1877" s="98" t="s">
        <v>554</v>
      </c>
      <c r="C1877" s="98">
        <v>2014</v>
      </c>
      <c r="D1877" s="98" t="s">
        <v>373</v>
      </c>
      <c r="E1877" s="98" t="s">
        <v>40</v>
      </c>
      <c r="F1877" s="98" t="s">
        <v>131</v>
      </c>
      <c r="G1877" s="98">
        <v>0</v>
      </c>
      <c r="H1877" s="299" t="str">
        <f>VLOOKUP(LEFT('Rev Adequacy'!D1877,3),'Mapping B'!$D$2:$E$400,2,0)</f>
        <v>N</v>
      </c>
      <c r="BP1877" s="190"/>
    </row>
    <row r="1878" spans="2:68" x14ac:dyDescent="0.25">
      <c r="B1878" s="98" t="s">
        <v>563</v>
      </c>
      <c r="C1878" s="98">
        <v>2014</v>
      </c>
      <c r="D1878" s="98" t="s">
        <v>172</v>
      </c>
      <c r="E1878" s="98" t="s">
        <v>40</v>
      </c>
      <c r="F1878" s="98" t="s">
        <v>131</v>
      </c>
      <c r="G1878" s="98">
        <v>180970.495999999</v>
      </c>
      <c r="H1878" s="299" t="str">
        <f>VLOOKUP(LEFT('Rev Adequacy'!D1878,3),'Mapping B'!$D$2:$E$400,2,0)</f>
        <v>N</v>
      </c>
      <c r="BP1878" s="190"/>
    </row>
    <row r="1879" spans="2:68" x14ac:dyDescent="0.25">
      <c r="B1879" s="98" t="s">
        <v>563</v>
      </c>
      <c r="C1879" s="98">
        <v>2014</v>
      </c>
      <c r="D1879" s="98" t="s">
        <v>173</v>
      </c>
      <c r="E1879" s="98" t="s">
        <v>40</v>
      </c>
      <c r="F1879" s="98" t="s">
        <v>131</v>
      </c>
      <c r="G1879" s="98">
        <v>1452646.3799999901</v>
      </c>
      <c r="H1879" s="299" t="str">
        <f>VLOOKUP(LEFT('Rev Adequacy'!D1879,3),'Mapping B'!$D$2:$E$400,2,0)</f>
        <v>N</v>
      </c>
      <c r="BP1879" s="190"/>
    </row>
    <row r="1880" spans="2:68" x14ac:dyDescent="0.25">
      <c r="B1880" s="98" t="s">
        <v>563</v>
      </c>
      <c r="C1880" s="98">
        <v>2014</v>
      </c>
      <c r="D1880" s="98" t="s">
        <v>186</v>
      </c>
      <c r="E1880" s="98" t="s">
        <v>40</v>
      </c>
      <c r="F1880" s="98" t="s">
        <v>131</v>
      </c>
      <c r="G1880" s="98">
        <v>558160.23800000001</v>
      </c>
      <c r="H1880" s="299" t="str">
        <f>VLOOKUP(LEFT('Rev Adequacy'!D1880,3),'Mapping B'!$D$2:$E$400,2,0)</f>
        <v>N</v>
      </c>
      <c r="BP1880" s="190"/>
    </row>
    <row r="1881" spans="2:68" x14ac:dyDescent="0.25">
      <c r="B1881" s="98" t="s">
        <v>563</v>
      </c>
      <c r="C1881" s="98">
        <v>2014</v>
      </c>
      <c r="D1881" s="98" t="s">
        <v>195</v>
      </c>
      <c r="E1881" s="98" t="s">
        <v>40</v>
      </c>
      <c r="F1881" s="98" t="s">
        <v>131</v>
      </c>
      <c r="G1881" s="98">
        <v>125179.27599999899</v>
      </c>
      <c r="H1881" s="299" t="str">
        <f>VLOOKUP(LEFT('Rev Adequacy'!D1881,3),'Mapping B'!$D$2:$E$400,2,0)</f>
        <v>N</v>
      </c>
      <c r="BP1881" s="190"/>
    </row>
    <row r="1882" spans="2:68" x14ac:dyDescent="0.25">
      <c r="B1882" s="98" t="s">
        <v>563</v>
      </c>
      <c r="C1882" s="98">
        <v>2014</v>
      </c>
      <c r="D1882" s="98" t="s">
        <v>196</v>
      </c>
      <c r="E1882" s="98" t="s">
        <v>40</v>
      </c>
      <c r="F1882" s="98" t="s">
        <v>131</v>
      </c>
      <c r="G1882" s="98">
        <v>114980.496999999</v>
      </c>
      <c r="H1882" s="299" t="str">
        <f>VLOOKUP(LEFT('Rev Adequacy'!D1882,3),'Mapping B'!$D$2:$E$400,2,0)</f>
        <v>N</v>
      </c>
      <c r="BP1882" s="190"/>
    </row>
    <row r="1883" spans="2:68" x14ac:dyDescent="0.25">
      <c r="B1883" s="98" t="s">
        <v>563</v>
      </c>
      <c r="C1883" s="98">
        <v>2014</v>
      </c>
      <c r="D1883" s="98" t="s">
        <v>243</v>
      </c>
      <c r="E1883" s="98" t="s">
        <v>40</v>
      </c>
      <c r="F1883" s="98" t="s">
        <v>131</v>
      </c>
      <c r="G1883" s="98">
        <v>328326.74199999898</v>
      </c>
      <c r="H1883" s="299" t="str">
        <f>VLOOKUP(LEFT('Rev Adequacy'!D1883,3),'Mapping B'!$D$2:$E$400,2,0)</f>
        <v>N</v>
      </c>
      <c r="BP1883" s="190"/>
    </row>
    <row r="1884" spans="2:68" x14ac:dyDescent="0.25">
      <c r="B1884" s="98" t="s">
        <v>563</v>
      </c>
      <c r="C1884" s="98">
        <v>2014</v>
      </c>
      <c r="D1884" s="98" t="s">
        <v>260</v>
      </c>
      <c r="E1884" s="98" t="s">
        <v>40</v>
      </c>
      <c r="F1884" s="98" t="s">
        <v>131</v>
      </c>
      <c r="G1884" s="98">
        <v>232463.197000001</v>
      </c>
      <c r="H1884" s="299" t="str">
        <f>VLOOKUP(LEFT('Rev Adequacy'!D1884,3),'Mapping B'!$D$2:$E$400,2,0)</f>
        <v>N</v>
      </c>
      <c r="BP1884" s="190"/>
    </row>
    <row r="1885" spans="2:68" x14ac:dyDescent="0.25">
      <c r="B1885" s="98" t="s">
        <v>563</v>
      </c>
      <c r="C1885" s="98">
        <v>2014</v>
      </c>
      <c r="D1885" s="98" t="s">
        <v>261</v>
      </c>
      <c r="E1885" s="98" t="s">
        <v>40</v>
      </c>
      <c r="F1885" s="98" t="s">
        <v>131</v>
      </c>
      <c r="G1885" s="98">
        <v>272456.02699999901</v>
      </c>
      <c r="H1885" s="299" t="str">
        <f>VLOOKUP(LEFT('Rev Adequacy'!D1885,3),'Mapping B'!$D$2:$E$400,2,0)</f>
        <v>N</v>
      </c>
      <c r="BP1885" s="190"/>
    </row>
    <row r="1886" spans="2:68" x14ac:dyDescent="0.25">
      <c r="B1886" s="98" t="s">
        <v>563</v>
      </c>
      <c r="C1886" s="98">
        <v>2014</v>
      </c>
      <c r="D1886" s="98" t="s">
        <v>302</v>
      </c>
      <c r="E1886" s="98" t="s">
        <v>40</v>
      </c>
      <c r="F1886" s="98" t="s">
        <v>131</v>
      </c>
      <c r="G1886" s="98">
        <v>128984.58</v>
      </c>
      <c r="H1886" s="299" t="str">
        <f>VLOOKUP(LEFT('Rev Adequacy'!D1886,3),'Mapping B'!$D$2:$E$400,2,0)</f>
        <v>N</v>
      </c>
      <c r="BP1886" s="190"/>
    </row>
    <row r="1887" spans="2:68" x14ac:dyDescent="0.25">
      <c r="B1887" s="98" t="s">
        <v>563</v>
      </c>
      <c r="C1887" s="98">
        <v>2014</v>
      </c>
      <c r="D1887" s="98" t="s">
        <v>343</v>
      </c>
      <c r="E1887" s="98" t="s">
        <v>40</v>
      </c>
      <c r="F1887" s="98" t="s">
        <v>131</v>
      </c>
      <c r="G1887" s="98">
        <v>763378.64000000199</v>
      </c>
      <c r="H1887" s="299" t="str">
        <f>VLOOKUP(LEFT('Rev Adequacy'!D1887,3),'Mapping B'!$D$2:$E$400,2,0)</f>
        <v>N</v>
      </c>
      <c r="BP1887" s="190"/>
    </row>
    <row r="1888" spans="2:68" x14ac:dyDescent="0.25">
      <c r="B1888" s="98" t="s">
        <v>563</v>
      </c>
      <c r="C1888" s="98">
        <v>2014</v>
      </c>
      <c r="D1888" s="98" t="s">
        <v>363</v>
      </c>
      <c r="E1888" s="98" t="s">
        <v>40</v>
      </c>
      <c r="F1888" s="98" t="s">
        <v>131</v>
      </c>
      <c r="G1888" s="98">
        <v>246158.66</v>
      </c>
      <c r="H1888" s="299" t="str">
        <f>VLOOKUP(LEFT('Rev Adequacy'!D1888,3),'Mapping B'!$D$2:$E$400,2,0)</f>
        <v>N</v>
      </c>
      <c r="BP1888" s="190"/>
    </row>
    <row r="1889" spans="2:68" x14ac:dyDescent="0.25">
      <c r="B1889" s="98" t="s">
        <v>563</v>
      </c>
      <c r="C1889" s="98">
        <v>2014</v>
      </c>
      <c r="D1889" s="98" t="s">
        <v>373</v>
      </c>
      <c r="E1889" s="98" t="s">
        <v>40</v>
      </c>
      <c r="F1889" s="98" t="s">
        <v>131</v>
      </c>
      <c r="G1889" s="98">
        <v>462482.09799999901</v>
      </c>
      <c r="H1889" s="299" t="str">
        <f>VLOOKUP(LEFT('Rev Adequacy'!D1889,3),'Mapping B'!$D$2:$E$400,2,0)</f>
        <v>N</v>
      </c>
      <c r="BP1889" s="190"/>
    </row>
    <row r="1890" spans="2:68" x14ac:dyDescent="0.25">
      <c r="B1890" s="98" t="s">
        <v>555</v>
      </c>
      <c r="C1890" s="98">
        <v>2014</v>
      </c>
      <c r="D1890" s="98" t="s">
        <v>172</v>
      </c>
      <c r="E1890" s="98" t="s">
        <v>40</v>
      </c>
      <c r="F1890" s="98" t="s">
        <v>131</v>
      </c>
      <c r="G1890" s="98">
        <v>78893.7409999995</v>
      </c>
      <c r="H1890" s="299" t="str">
        <f>VLOOKUP(LEFT('Rev Adequacy'!D1890,3),'Mapping B'!$D$2:$E$400,2,0)</f>
        <v>N</v>
      </c>
      <c r="BP1890" s="190"/>
    </row>
    <row r="1891" spans="2:68" x14ac:dyDescent="0.25">
      <c r="B1891" s="98" t="s">
        <v>555</v>
      </c>
      <c r="C1891" s="98">
        <v>2014</v>
      </c>
      <c r="D1891" s="98" t="s">
        <v>173</v>
      </c>
      <c r="E1891" s="98" t="s">
        <v>40</v>
      </c>
      <c r="F1891" s="98" t="s">
        <v>131</v>
      </c>
      <c r="G1891" s="98">
        <v>668344.23699999601</v>
      </c>
      <c r="H1891" s="299" t="str">
        <f>VLOOKUP(LEFT('Rev Adequacy'!D1891,3),'Mapping B'!$D$2:$E$400,2,0)</f>
        <v>N</v>
      </c>
      <c r="BP1891" s="190"/>
    </row>
    <row r="1892" spans="2:68" x14ac:dyDescent="0.25">
      <c r="B1892" s="98" t="s">
        <v>555</v>
      </c>
      <c r="C1892" s="98">
        <v>2014</v>
      </c>
      <c r="D1892" s="98" t="s">
        <v>186</v>
      </c>
      <c r="E1892" s="98" t="s">
        <v>40</v>
      </c>
      <c r="F1892" s="98" t="s">
        <v>131</v>
      </c>
      <c r="G1892" s="98">
        <v>255844.72999999899</v>
      </c>
      <c r="H1892" s="299" t="str">
        <f>VLOOKUP(LEFT('Rev Adequacy'!D1892,3),'Mapping B'!$D$2:$E$400,2,0)</f>
        <v>N</v>
      </c>
      <c r="BP1892" s="190"/>
    </row>
    <row r="1893" spans="2:68" x14ac:dyDescent="0.25">
      <c r="B1893" s="98" t="s">
        <v>555</v>
      </c>
      <c r="C1893" s="98">
        <v>2014</v>
      </c>
      <c r="D1893" s="98" t="s">
        <v>195</v>
      </c>
      <c r="E1893" s="98" t="s">
        <v>40</v>
      </c>
      <c r="F1893" s="98" t="s">
        <v>131</v>
      </c>
      <c r="G1893" s="98">
        <v>60508.531000000097</v>
      </c>
      <c r="H1893" s="299" t="str">
        <f>VLOOKUP(LEFT('Rev Adequacy'!D1893,3),'Mapping B'!$D$2:$E$400,2,0)</f>
        <v>N</v>
      </c>
      <c r="BP1893" s="190"/>
    </row>
    <row r="1894" spans="2:68" x14ac:dyDescent="0.25">
      <c r="B1894" s="98" t="s">
        <v>555</v>
      </c>
      <c r="C1894" s="98">
        <v>2014</v>
      </c>
      <c r="D1894" s="98" t="s">
        <v>196</v>
      </c>
      <c r="E1894" s="98" t="s">
        <v>40</v>
      </c>
      <c r="F1894" s="98" t="s">
        <v>131</v>
      </c>
      <c r="G1894" s="98">
        <v>56455.2749999999</v>
      </c>
      <c r="H1894" s="299" t="str">
        <f>VLOOKUP(LEFT('Rev Adequacy'!D1894,3),'Mapping B'!$D$2:$E$400,2,0)</f>
        <v>N</v>
      </c>
      <c r="BP1894" s="190"/>
    </row>
    <row r="1895" spans="2:68" x14ac:dyDescent="0.25">
      <c r="B1895" s="98" t="s">
        <v>555</v>
      </c>
      <c r="C1895" s="98">
        <v>2014</v>
      </c>
      <c r="D1895" s="98" t="s">
        <v>243</v>
      </c>
      <c r="E1895" s="98" t="s">
        <v>40</v>
      </c>
      <c r="F1895" s="98" t="s">
        <v>131</v>
      </c>
      <c r="G1895" s="98">
        <v>147169.96900000001</v>
      </c>
      <c r="H1895" s="299" t="str">
        <f>VLOOKUP(LEFT('Rev Adequacy'!D1895,3),'Mapping B'!$D$2:$E$400,2,0)</f>
        <v>N</v>
      </c>
      <c r="BP1895" s="190"/>
    </row>
    <row r="1896" spans="2:68" x14ac:dyDescent="0.25">
      <c r="B1896" s="98" t="s">
        <v>555</v>
      </c>
      <c r="C1896" s="98">
        <v>2014</v>
      </c>
      <c r="D1896" s="98" t="s">
        <v>260</v>
      </c>
      <c r="E1896" s="98" t="s">
        <v>40</v>
      </c>
      <c r="F1896" s="98" t="s">
        <v>131</v>
      </c>
      <c r="G1896" s="98">
        <v>106479.825</v>
      </c>
      <c r="H1896" s="299" t="str">
        <f>VLOOKUP(LEFT('Rev Adequacy'!D1896,3),'Mapping B'!$D$2:$E$400,2,0)</f>
        <v>N</v>
      </c>
      <c r="BP1896" s="190"/>
    </row>
    <row r="1897" spans="2:68" x14ac:dyDescent="0.25">
      <c r="B1897" s="98" t="s">
        <v>555</v>
      </c>
      <c r="C1897" s="98">
        <v>2014</v>
      </c>
      <c r="D1897" s="98" t="s">
        <v>261</v>
      </c>
      <c r="E1897" s="98" t="s">
        <v>40</v>
      </c>
      <c r="F1897" s="98" t="s">
        <v>131</v>
      </c>
      <c r="G1897" s="98">
        <v>128937.101</v>
      </c>
      <c r="H1897" s="299" t="str">
        <f>VLOOKUP(LEFT('Rev Adequacy'!D1897,3),'Mapping B'!$D$2:$E$400,2,0)</f>
        <v>N</v>
      </c>
      <c r="BP1897" s="190"/>
    </row>
    <row r="1898" spans="2:68" x14ac:dyDescent="0.25">
      <c r="B1898" s="98" t="s">
        <v>555</v>
      </c>
      <c r="C1898" s="98">
        <v>2014</v>
      </c>
      <c r="D1898" s="98" t="s">
        <v>302</v>
      </c>
      <c r="E1898" s="98" t="s">
        <v>40</v>
      </c>
      <c r="F1898" s="98" t="s">
        <v>131</v>
      </c>
      <c r="G1898" s="98">
        <v>64557.911999999902</v>
      </c>
      <c r="H1898" s="299" t="str">
        <f>VLOOKUP(LEFT('Rev Adequacy'!D1898,3),'Mapping B'!$D$2:$E$400,2,0)</f>
        <v>N</v>
      </c>
      <c r="BP1898" s="190"/>
    </row>
    <row r="1899" spans="2:68" x14ac:dyDescent="0.25">
      <c r="B1899" s="98" t="s">
        <v>555</v>
      </c>
      <c r="C1899" s="98">
        <v>2014</v>
      </c>
      <c r="D1899" s="98" t="s">
        <v>343</v>
      </c>
      <c r="E1899" s="98" t="s">
        <v>40</v>
      </c>
      <c r="F1899" s="98" t="s">
        <v>131</v>
      </c>
      <c r="G1899" s="98">
        <v>353507.860999998</v>
      </c>
      <c r="H1899" s="299" t="str">
        <f>VLOOKUP(LEFT('Rev Adequacy'!D1899,3),'Mapping B'!$D$2:$E$400,2,0)</f>
        <v>N</v>
      </c>
      <c r="BP1899" s="190"/>
    </row>
    <row r="1900" spans="2:68" x14ac:dyDescent="0.25">
      <c r="B1900" s="98" t="s">
        <v>555</v>
      </c>
      <c r="C1900" s="98">
        <v>2014</v>
      </c>
      <c r="D1900" s="98" t="s">
        <v>363</v>
      </c>
      <c r="E1900" s="98" t="s">
        <v>40</v>
      </c>
      <c r="F1900" s="98" t="s">
        <v>131</v>
      </c>
      <c r="G1900" s="98">
        <v>115813.897999999</v>
      </c>
      <c r="H1900" s="299" t="str">
        <f>VLOOKUP(LEFT('Rev Adequacy'!D1900,3),'Mapping B'!$D$2:$E$400,2,0)</f>
        <v>N</v>
      </c>
      <c r="BP1900" s="190"/>
    </row>
    <row r="1901" spans="2:68" x14ac:dyDescent="0.25">
      <c r="B1901" s="98" t="s">
        <v>555</v>
      </c>
      <c r="C1901" s="98">
        <v>2014</v>
      </c>
      <c r="D1901" s="98" t="s">
        <v>373</v>
      </c>
      <c r="E1901" s="98" t="s">
        <v>40</v>
      </c>
      <c r="F1901" s="98" t="s">
        <v>131</v>
      </c>
      <c r="G1901" s="98">
        <v>217389.87100000001</v>
      </c>
      <c r="H1901" s="299" t="str">
        <f>VLOOKUP(LEFT('Rev Adequacy'!D1901,3),'Mapping B'!$D$2:$E$400,2,0)</f>
        <v>N</v>
      </c>
      <c r="BP1901" s="190"/>
    </row>
    <row r="1902" spans="2:68" x14ac:dyDescent="0.25">
      <c r="B1902" s="98" t="s">
        <v>112</v>
      </c>
      <c r="C1902" s="98">
        <v>2014</v>
      </c>
      <c r="D1902" s="98" t="s">
        <v>172</v>
      </c>
      <c r="E1902" s="98" t="s">
        <v>40</v>
      </c>
      <c r="F1902" s="98" t="s">
        <v>131</v>
      </c>
      <c r="G1902" s="98">
        <v>4409286.4379999796</v>
      </c>
      <c r="H1902" s="299" t="str">
        <f>VLOOKUP(LEFT('Rev Adequacy'!D1902,3),'Mapping B'!$D$2:$E$400,2,0)</f>
        <v>N</v>
      </c>
      <c r="BP1902" s="190"/>
    </row>
    <row r="1903" spans="2:68" x14ac:dyDescent="0.25">
      <c r="B1903" s="98" t="s">
        <v>112</v>
      </c>
      <c r="C1903" s="98">
        <v>2014</v>
      </c>
      <c r="D1903" s="98" t="s">
        <v>173</v>
      </c>
      <c r="E1903" s="98" t="s">
        <v>40</v>
      </c>
      <c r="F1903" s="98" t="s">
        <v>131</v>
      </c>
      <c r="G1903" s="98">
        <v>34943594.932999797</v>
      </c>
      <c r="H1903" s="299" t="str">
        <f>VLOOKUP(LEFT('Rev Adequacy'!D1903,3),'Mapping B'!$D$2:$E$400,2,0)</f>
        <v>N</v>
      </c>
      <c r="BP1903" s="190"/>
    </row>
    <row r="1904" spans="2:68" x14ac:dyDescent="0.25">
      <c r="B1904" s="98" t="s">
        <v>112</v>
      </c>
      <c r="C1904" s="98">
        <v>2014</v>
      </c>
      <c r="D1904" s="98" t="s">
        <v>186</v>
      </c>
      <c r="E1904" s="98" t="s">
        <v>40</v>
      </c>
      <c r="F1904" s="98" t="s">
        <v>131</v>
      </c>
      <c r="G1904" s="98">
        <v>13324218.0779998</v>
      </c>
      <c r="H1904" s="299" t="str">
        <f>VLOOKUP(LEFT('Rev Adequacy'!D1904,3),'Mapping B'!$D$2:$E$400,2,0)</f>
        <v>N</v>
      </c>
      <c r="BP1904" s="190"/>
    </row>
    <row r="1905" spans="2:68" x14ac:dyDescent="0.25">
      <c r="B1905" s="98" t="s">
        <v>112</v>
      </c>
      <c r="C1905" s="98">
        <v>2014</v>
      </c>
      <c r="D1905" s="98" t="s">
        <v>195</v>
      </c>
      <c r="E1905" s="98" t="s">
        <v>40</v>
      </c>
      <c r="F1905" s="98" t="s">
        <v>131</v>
      </c>
      <c r="G1905" s="98">
        <v>3204777.2310000099</v>
      </c>
      <c r="H1905" s="299" t="str">
        <f>VLOOKUP(LEFT('Rev Adequacy'!D1905,3),'Mapping B'!$D$2:$E$400,2,0)</f>
        <v>N</v>
      </c>
      <c r="BP1905" s="190"/>
    </row>
    <row r="1906" spans="2:68" x14ac:dyDescent="0.25">
      <c r="B1906" s="98" t="s">
        <v>112</v>
      </c>
      <c r="C1906" s="98">
        <v>2014</v>
      </c>
      <c r="D1906" s="98" t="s">
        <v>196</v>
      </c>
      <c r="E1906" s="98" t="s">
        <v>40</v>
      </c>
      <c r="F1906" s="98" t="s">
        <v>131</v>
      </c>
      <c r="G1906" s="98">
        <v>2889671.2769999998</v>
      </c>
      <c r="H1906" s="299" t="str">
        <f>VLOOKUP(LEFT('Rev Adequacy'!D1906,3),'Mapping B'!$D$2:$E$400,2,0)</f>
        <v>N</v>
      </c>
      <c r="BP1906" s="190"/>
    </row>
    <row r="1907" spans="2:68" x14ac:dyDescent="0.25">
      <c r="B1907" s="98" t="s">
        <v>112</v>
      </c>
      <c r="C1907" s="98">
        <v>2014</v>
      </c>
      <c r="D1907" s="98" t="s">
        <v>243</v>
      </c>
      <c r="E1907" s="98" t="s">
        <v>40</v>
      </c>
      <c r="F1907" s="98" t="s">
        <v>131</v>
      </c>
      <c r="G1907" s="98">
        <v>7550343.9780000104</v>
      </c>
      <c r="H1907" s="299" t="str">
        <f>VLOOKUP(LEFT('Rev Adequacy'!D1907,3),'Mapping B'!$D$2:$E$400,2,0)</f>
        <v>N</v>
      </c>
      <c r="BP1907" s="190"/>
    </row>
    <row r="1908" spans="2:68" x14ac:dyDescent="0.25">
      <c r="B1908" s="98" t="s">
        <v>112</v>
      </c>
      <c r="C1908" s="98">
        <v>2014</v>
      </c>
      <c r="D1908" s="98" t="s">
        <v>260</v>
      </c>
      <c r="E1908" s="98" t="s">
        <v>40</v>
      </c>
      <c r="F1908" s="98" t="s">
        <v>131</v>
      </c>
      <c r="G1908" s="98">
        <v>5626135.2240000097</v>
      </c>
      <c r="H1908" s="299" t="str">
        <f>VLOOKUP(LEFT('Rev Adequacy'!D1908,3),'Mapping B'!$D$2:$E$400,2,0)</f>
        <v>N</v>
      </c>
      <c r="BP1908" s="190"/>
    </row>
    <row r="1909" spans="2:68" x14ac:dyDescent="0.25">
      <c r="B1909" s="98" t="s">
        <v>112</v>
      </c>
      <c r="C1909" s="98">
        <v>2014</v>
      </c>
      <c r="D1909" s="98" t="s">
        <v>261</v>
      </c>
      <c r="E1909" s="98" t="s">
        <v>40</v>
      </c>
      <c r="F1909" s="98" t="s">
        <v>131</v>
      </c>
      <c r="G1909" s="98">
        <v>6755126.1310000103</v>
      </c>
      <c r="H1909" s="299" t="str">
        <f>VLOOKUP(LEFT('Rev Adequacy'!D1909,3),'Mapping B'!$D$2:$E$400,2,0)</f>
        <v>N</v>
      </c>
      <c r="BP1909" s="190"/>
    </row>
    <row r="1910" spans="2:68" x14ac:dyDescent="0.25">
      <c r="B1910" s="98" t="s">
        <v>112</v>
      </c>
      <c r="C1910" s="98">
        <v>2014</v>
      </c>
      <c r="D1910" s="98" t="s">
        <v>302</v>
      </c>
      <c r="E1910" s="98" t="s">
        <v>40</v>
      </c>
      <c r="F1910" s="98" t="s">
        <v>131</v>
      </c>
      <c r="G1910" s="98">
        <v>3298927.38900002</v>
      </c>
      <c r="H1910" s="299" t="str">
        <f>VLOOKUP(LEFT('Rev Adequacy'!D1910,3),'Mapping B'!$D$2:$E$400,2,0)</f>
        <v>N</v>
      </c>
      <c r="BP1910" s="190"/>
    </row>
    <row r="1911" spans="2:68" x14ac:dyDescent="0.25">
      <c r="B1911" s="98" t="s">
        <v>112</v>
      </c>
      <c r="C1911" s="98">
        <v>2014</v>
      </c>
      <c r="D1911" s="98" t="s">
        <v>343</v>
      </c>
      <c r="E1911" s="98" t="s">
        <v>40</v>
      </c>
      <c r="F1911" s="98" t="s">
        <v>131</v>
      </c>
      <c r="G1911" s="98">
        <v>18581412.725000001</v>
      </c>
      <c r="H1911" s="299" t="str">
        <f>VLOOKUP(LEFT('Rev Adequacy'!D1911,3),'Mapping B'!$D$2:$E$400,2,0)</f>
        <v>N</v>
      </c>
      <c r="BP1911" s="190"/>
    </row>
    <row r="1912" spans="2:68" x14ac:dyDescent="0.25">
      <c r="B1912" s="98" t="s">
        <v>112</v>
      </c>
      <c r="C1912" s="98">
        <v>2014</v>
      </c>
      <c r="D1912" s="98" t="s">
        <v>363</v>
      </c>
      <c r="E1912" s="98" t="s">
        <v>40</v>
      </c>
      <c r="F1912" s="98" t="s">
        <v>131</v>
      </c>
      <c r="G1912" s="98">
        <v>6046408.1839999901</v>
      </c>
      <c r="H1912" s="299" t="str">
        <f>VLOOKUP(LEFT('Rev Adequacy'!D1912,3),'Mapping B'!$D$2:$E$400,2,0)</f>
        <v>N</v>
      </c>
      <c r="BP1912" s="190"/>
    </row>
    <row r="1913" spans="2:68" x14ac:dyDescent="0.25">
      <c r="B1913" s="98" t="s">
        <v>112</v>
      </c>
      <c r="C1913" s="98">
        <v>2014</v>
      </c>
      <c r="D1913" s="98" t="s">
        <v>373</v>
      </c>
      <c r="E1913" s="98" t="s">
        <v>40</v>
      </c>
      <c r="F1913" s="98" t="s">
        <v>131</v>
      </c>
      <c r="G1913" s="98">
        <v>10906631.006999999</v>
      </c>
      <c r="H1913" s="299" t="str">
        <f>VLOOKUP(LEFT('Rev Adequacy'!D1913,3),'Mapping B'!$D$2:$E$400,2,0)</f>
        <v>N</v>
      </c>
      <c r="BP1913" s="190"/>
    </row>
    <row r="1914" spans="2:68" x14ac:dyDescent="0.25">
      <c r="B1914" s="98" t="s">
        <v>111</v>
      </c>
      <c r="C1914" s="98">
        <v>2014</v>
      </c>
      <c r="D1914" s="98" t="s">
        <v>172</v>
      </c>
      <c r="E1914" s="98" t="s">
        <v>40</v>
      </c>
      <c r="F1914" s="98" t="s">
        <v>131</v>
      </c>
      <c r="G1914" s="98">
        <v>1104997.2879999899</v>
      </c>
      <c r="H1914" s="299" t="str">
        <f>VLOOKUP(LEFT('Rev Adequacy'!D1914,3),'Mapping B'!$D$2:$E$400,2,0)</f>
        <v>N</v>
      </c>
      <c r="BP1914" s="190"/>
    </row>
    <row r="1915" spans="2:68" x14ac:dyDescent="0.25">
      <c r="B1915" s="98" t="s">
        <v>111</v>
      </c>
      <c r="C1915" s="98">
        <v>2014</v>
      </c>
      <c r="D1915" s="98" t="s">
        <v>173</v>
      </c>
      <c r="E1915" s="98" t="s">
        <v>40</v>
      </c>
      <c r="F1915" s="98" t="s">
        <v>131</v>
      </c>
      <c r="G1915" s="98">
        <v>8035177.8619999997</v>
      </c>
      <c r="H1915" s="299" t="str">
        <f>VLOOKUP(LEFT('Rev Adequacy'!D1915,3),'Mapping B'!$D$2:$E$400,2,0)</f>
        <v>N</v>
      </c>
      <c r="BP1915" s="190"/>
    </row>
    <row r="1916" spans="2:68" x14ac:dyDescent="0.25">
      <c r="B1916" s="98" t="s">
        <v>111</v>
      </c>
      <c r="C1916" s="98">
        <v>2014</v>
      </c>
      <c r="D1916" s="98" t="s">
        <v>186</v>
      </c>
      <c r="E1916" s="98" t="s">
        <v>40</v>
      </c>
      <c r="F1916" s="98" t="s">
        <v>131</v>
      </c>
      <c r="G1916" s="98">
        <v>3257925.1949999998</v>
      </c>
      <c r="H1916" s="299" t="str">
        <f>VLOOKUP(LEFT('Rev Adequacy'!D1916,3),'Mapping B'!$D$2:$E$400,2,0)</f>
        <v>N</v>
      </c>
      <c r="BP1916" s="190"/>
    </row>
    <row r="1917" spans="2:68" x14ac:dyDescent="0.25">
      <c r="B1917" s="98" t="s">
        <v>111</v>
      </c>
      <c r="C1917" s="98">
        <v>2014</v>
      </c>
      <c r="D1917" s="98" t="s">
        <v>195</v>
      </c>
      <c r="E1917" s="98" t="s">
        <v>40</v>
      </c>
      <c r="F1917" s="98" t="s">
        <v>131</v>
      </c>
      <c r="G1917" s="98">
        <v>818216.18499999901</v>
      </c>
      <c r="H1917" s="299" t="str">
        <f>VLOOKUP(LEFT('Rev Adequacy'!D1917,3),'Mapping B'!$D$2:$E$400,2,0)</f>
        <v>N</v>
      </c>
      <c r="BP1917" s="190"/>
    </row>
    <row r="1918" spans="2:68" x14ac:dyDescent="0.25">
      <c r="B1918" s="98" t="s">
        <v>111</v>
      </c>
      <c r="C1918" s="98">
        <v>2014</v>
      </c>
      <c r="D1918" s="98" t="s">
        <v>196</v>
      </c>
      <c r="E1918" s="98" t="s">
        <v>40</v>
      </c>
      <c r="F1918" s="98" t="s">
        <v>131</v>
      </c>
      <c r="G1918" s="98">
        <v>734651.57800000196</v>
      </c>
      <c r="H1918" s="299" t="str">
        <f>VLOOKUP(LEFT('Rev Adequacy'!D1918,3),'Mapping B'!$D$2:$E$400,2,0)</f>
        <v>N</v>
      </c>
      <c r="BP1918" s="190"/>
    </row>
    <row r="1919" spans="2:68" x14ac:dyDescent="0.25">
      <c r="B1919" s="98" t="s">
        <v>111</v>
      </c>
      <c r="C1919" s="98">
        <v>2014</v>
      </c>
      <c r="D1919" s="98" t="s">
        <v>243</v>
      </c>
      <c r="E1919" s="98" t="s">
        <v>40</v>
      </c>
      <c r="F1919" s="98" t="s">
        <v>131</v>
      </c>
      <c r="G1919" s="98">
        <v>1794374.821</v>
      </c>
      <c r="H1919" s="299" t="str">
        <f>VLOOKUP(LEFT('Rev Adequacy'!D1919,3),'Mapping B'!$D$2:$E$400,2,0)</f>
        <v>N</v>
      </c>
      <c r="BP1919" s="190"/>
    </row>
    <row r="1920" spans="2:68" x14ac:dyDescent="0.25">
      <c r="B1920" s="98" t="s">
        <v>111</v>
      </c>
      <c r="C1920" s="98">
        <v>2014</v>
      </c>
      <c r="D1920" s="98" t="s">
        <v>260</v>
      </c>
      <c r="E1920" s="98" t="s">
        <v>40</v>
      </c>
      <c r="F1920" s="98" t="s">
        <v>131</v>
      </c>
      <c r="G1920" s="98">
        <v>1377474.86799999</v>
      </c>
      <c r="H1920" s="299" t="str">
        <f>VLOOKUP(LEFT('Rev Adequacy'!D1920,3),'Mapping B'!$D$2:$E$400,2,0)</f>
        <v>N</v>
      </c>
      <c r="BP1920" s="190"/>
    </row>
    <row r="1921" spans="2:68" x14ac:dyDescent="0.25">
      <c r="B1921" s="98" t="s">
        <v>111</v>
      </c>
      <c r="C1921" s="98">
        <v>2014</v>
      </c>
      <c r="D1921" s="98" t="s">
        <v>261</v>
      </c>
      <c r="E1921" s="98" t="s">
        <v>40</v>
      </c>
      <c r="F1921" s="98" t="s">
        <v>131</v>
      </c>
      <c r="G1921" s="98">
        <v>1684291.0689999999</v>
      </c>
      <c r="H1921" s="299" t="str">
        <f>VLOOKUP(LEFT('Rev Adequacy'!D1921,3),'Mapping B'!$D$2:$E$400,2,0)</f>
        <v>N</v>
      </c>
      <c r="BP1921" s="190"/>
    </row>
    <row r="1922" spans="2:68" x14ac:dyDescent="0.25">
      <c r="B1922" s="98" t="s">
        <v>111</v>
      </c>
      <c r="C1922" s="98">
        <v>2014</v>
      </c>
      <c r="D1922" s="98" t="s">
        <v>302</v>
      </c>
      <c r="E1922" s="98" t="s">
        <v>40</v>
      </c>
      <c r="F1922" s="98" t="s">
        <v>131</v>
      </c>
      <c r="G1922" s="98">
        <v>850276.22099999897</v>
      </c>
      <c r="H1922" s="299" t="str">
        <f>VLOOKUP(LEFT('Rev Adequacy'!D1922,3),'Mapping B'!$D$2:$E$400,2,0)</f>
        <v>N</v>
      </c>
      <c r="BP1922" s="190"/>
    </row>
    <row r="1923" spans="2:68" x14ac:dyDescent="0.25">
      <c r="B1923" s="98" t="s">
        <v>111</v>
      </c>
      <c r="C1923" s="98">
        <v>2014</v>
      </c>
      <c r="D1923" s="98" t="s">
        <v>343</v>
      </c>
      <c r="E1923" s="98" t="s">
        <v>40</v>
      </c>
      <c r="F1923" s="98" t="s">
        <v>131</v>
      </c>
      <c r="G1923" s="98">
        <v>4636749.00400001</v>
      </c>
      <c r="H1923" s="299" t="str">
        <f>VLOOKUP(LEFT('Rev Adequacy'!D1923,3),'Mapping B'!$D$2:$E$400,2,0)</f>
        <v>N</v>
      </c>
      <c r="BP1923" s="190"/>
    </row>
    <row r="1924" spans="2:68" x14ac:dyDescent="0.25">
      <c r="B1924" s="98" t="s">
        <v>111</v>
      </c>
      <c r="C1924" s="98">
        <v>2014</v>
      </c>
      <c r="D1924" s="98" t="s">
        <v>363</v>
      </c>
      <c r="E1924" s="98" t="s">
        <v>40</v>
      </c>
      <c r="F1924" s="98" t="s">
        <v>131</v>
      </c>
      <c r="G1924" s="98">
        <v>1511761.152</v>
      </c>
      <c r="H1924" s="299" t="str">
        <f>VLOOKUP(LEFT('Rev Adequacy'!D1924,3),'Mapping B'!$D$2:$E$400,2,0)</f>
        <v>N</v>
      </c>
      <c r="BP1924" s="190"/>
    </row>
    <row r="1925" spans="2:68" x14ac:dyDescent="0.25">
      <c r="B1925" s="98" t="s">
        <v>111</v>
      </c>
      <c r="C1925" s="98">
        <v>2014</v>
      </c>
      <c r="D1925" s="98" t="s">
        <v>373</v>
      </c>
      <c r="E1925" s="98" t="s">
        <v>40</v>
      </c>
      <c r="F1925" s="98" t="s">
        <v>131</v>
      </c>
      <c r="G1925" s="98">
        <v>2664123.1700000102</v>
      </c>
      <c r="H1925" s="299" t="str">
        <f>VLOOKUP(LEFT('Rev Adequacy'!D1925,3),'Mapping B'!$D$2:$E$400,2,0)</f>
        <v>N</v>
      </c>
      <c r="BP1925" s="190"/>
    </row>
    <row r="1926" spans="2:68" x14ac:dyDescent="0.25">
      <c r="B1926" s="98" t="s">
        <v>552</v>
      </c>
      <c r="C1926" s="98">
        <v>2014</v>
      </c>
      <c r="D1926" s="98" t="s">
        <v>148</v>
      </c>
      <c r="E1926" s="98" t="s">
        <v>41</v>
      </c>
      <c r="F1926" s="98" t="s">
        <v>131</v>
      </c>
      <c r="G1926" s="248">
        <v>321.43299999996401</v>
      </c>
      <c r="H1926" s="299" t="str">
        <f>VLOOKUP(LEFT('Rev Adequacy'!D1926,3),'Mapping B'!$D$2:$E$400,2,0)</f>
        <v>S</v>
      </c>
      <c r="BP1926" s="190"/>
    </row>
    <row r="1927" spans="2:68" x14ac:dyDescent="0.25">
      <c r="B1927" s="98" t="s">
        <v>552</v>
      </c>
      <c r="C1927" s="98">
        <v>2014</v>
      </c>
      <c r="D1927" s="98" t="s">
        <v>180</v>
      </c>
      <c r="E1927" s="98" t="s">
        <v>41</v>
      </c>
      <c r="F1927" s="98" t="s">
        <v>131</v>
      </c>
      <c r="G1927" s="248">
        <v>2835.4030000000598</v>
      </c>
      <c r="H1927" s="299" t="str">
        <f>VLOOKUP(LEFT('Rev Adequacy'!D1927,3),'Mapping B'!$D$2:$E$400,2,0)</f>
        <v>S</v>
      </c>
      <c r="BP1927" s="190"/>
    </row>
    <row r="1928" spans="2:68" x14ac:dyDescent="0.25">
      <c r="B1928" s="98" t="s">
        <v>552</v>
      </c>
      <c r="C1928" s="98">
        <v>2014</v>
      </c>
      <c r="D1928" s="98" t="s">
        <v>190</v>
      </c>
      <c r="E1928" s="98" t="s">
        <v>41</v>
      </c>
      <c r="F1928" s="98" t="s">
        <v>131</v>
      </c>
      <c r="G1928" s="248">
        <v>6184.0080000001599</v>
      </c>
      <c r="H1928" s="299" t="str">
        <f>VLOOKUP(LEFT('Rev Adequacy'!D1928,3),'Mapping B'!$D$2:$E$400,2,0)</f>
        <v>S</v>
      </c>
      <c r="BP1928" s="190"/>
    </row>
    <row r="1929" spans="2:68" x14ac:dyDescent="0.25">
      <c r="B1929" s="98" t="s">
        <v>552</v>
      </c>
      <c r="C1929" s="98">
        <v>2014</v>
      </c>
      <c r="D1929" s="98" t="s">
        <v>200</v>
      </c>
      <c r="E1929" s="98" t="s">
        <v>41</v>
      </c>
      <c r="F1929" s="98" t="s">
        <v>131</v>
      </c>
      <c r="G1929" s="248">
        <v>10500.771000000001</v>
      </c>
      <c r="H1929" s="299" t="str">
        <f>VLOOKUP(LEFT('Rev Adequacy'!D1929,3),'Mapping B'!$D$2:$E$400,2,0)</f>
        <v>S</v>
      </c>
      <c r="BP1929" s="190"/>
    </row>
    <row r="1930" spans="2:68" x14ac:dyDescent="0.25">
      <c r="B1930" s="98" t="s">
        <v>552</v>
      </c>
      <c r="C1930" s="98">
        <v>2014</v>
      </c>
      <c r="D1930" s="98" t="s">
        <v>241</v>
      </c>
      <c r="E1930" s="98" t="s">
        <v>41</v>
      </c>
      <c r="F1930" s="98" t="s">
        <v>131</v>
      </c>
      <c r="G1930" s="248">
        <v>943.31199999999103</v>
      </c>
      <c r="H1930" s="299" t="str">
        <f>VLOOKUP(LEFT('Rev Adequacy'!D1930,3),'Mapping B'!$D$2:$E$400,2,0)</f>
        <v>S</v>
      </c>
      <c r="BP1930" s="190"/>
    </row>
    <row r="1931" spans="2:68" x14ac:dyDescent="0.25">
      <c r="B1931" s="98" t="s">
        <v>552</v>
      </c>
      <c r="C1931" s="98">
        <v>2014</v>
      </c>
      <c r="D1931" s="98" t="s">
        <v>294</v>
      </c>
      <c r="E1931" s="98" t="s">
        <v>41</v>
      </c>
      <c r="F1931" s="98" t="s">
        <v>131</v>
      </c>
      <c r="G1931" s="248">
        <v>98.586000000007601</v>
      </c>
      <c r="H1931" s="299" t="str">
        <f>VLOOKUP(LEFT('Rev Adequacy'!D1931,3),'Mapping B'!$D$2:$E$400,2,0)</f>
        <v>S</v>
      </c>
      <c r="BP1931" s="190"/>
    </row>
    <row r="1932" spans="2:68" x14ac:dyDescent="0.25">
      <c r="B1932" s="98" t="s">
        <v>552</v>
      </c>
      <c r="C1932" s="98">
        <v>2014</v>
      </c>
      <c r="D1932" s="98" t="s">
        <v>307</v>
      </c>
      <c r="E1932" s="98" t="s">
        <v>41</v>
      </c>
      <c r="F1932" s="98" t="s">
        <v>131</v>
      </c>
      <c r="G1932" s="248">
        <v>2718.3820000000201</v>
      </c>
      <c r="H1932" s="299" t="str">
        <f>VLOOKUP(LEFT('Rev Adequacy'!D1932,3),'Mapping B'!$D$2:$E$400,2,0)</f>
        <v>S</v>
      </c>
      <c r="BP1932" s="190"/>
    </row>
    <row r="1933" spans="2:68" x14ac:dyDescent="0.25">
      <c r="B1933" s="98" t="s">
        <v>552</v>
      </c>
      <c r="C1933" s="98">
        <v>2014</v>
      </c>
      <c r="D1933" s="98" t="s">
        <v>308</v>
      </c>
      <c r="E1933" s="98" t="s">
        <v>41</v>
      </c>
      <c r="F1933" s="98" t="s">
        <v>131</v>
      </c>
      <c r="G1933" s="248">
        <v>4554.3190000000995</v>
      </c>
      <c r="H1933" s="299" t="str">
        <f>VLOOKUP(LEFT('Rev Adequacy'!D1933,3),'Mapping B'!$D$2:$E$400,2,0)</f>
        <v>S</v>
      </c>
      <c r="BP1933" s="190"/>
    </row>
    <row r="1934" spans="2:68" x14ac:dyDescent="0.25">
      <c r="B1934" s="98" t="s">
        <v>553</v>
      </c>
      <c r="C1934" s="98">
        <v>2014</v>
      </c>
      <c r="D1934" s="98" t="s">
        <v>148</v>
      </c>
      <c r="E1934" s="98" t="s">
        <v>41</v>
      </c>
      <c r="F1934" s="98" t="s">
        <v>131</v>
      </c>
      <c r="G1934" s="248">
        <v>894.38200000000995</v>
      </c>
      <c r="H1934" s="299" t="str">
        <f>VLOOKUP(LEFT('Rev Adequacy'!D1934,3),'Mapping B'!$D$2:$E$400,2,0)</f>
        <v>S</v>
      </c>
      <c r="BP1934" s="190"/>
    </row>
    <row r="1935" spans="2:68" x14ac:dyDescent="0.25">
      <c r="B1935" s="98" t="s">
        <v>553</v>
      </c>
      <c r="C1935" s="98">
        <v>2014</v>
      </c>
      <c r="D1935" s="98" t="s">
        <v>180</v>
      </c>
      <c r="E1935" s="98" t="s">
        <v>41</v>
      </c>
      <c r="F1935" s="98" t="s">
        <v>131</v>
      </c>
      <c r="G1935" s="248">
        <v>9011.6669999998503</v>
      </c>
      <c r="H1935" s="299" t="str">
        <f>VLOOKUP(LEFT('Rev Adequacy'!D1935,3),'Mapping B'!$D$2:$E$400,2,0)</f>
        <v>S</v>
      </c>
      <c r="BP1935" s="190"/>
    </row>
    <row r="1936" spans="2:68" x14ac:dyDescent="0.25">
      <c r="B1936" s="98" t="s">
        <v>553</v>
      </c>
      <c r="C1936" s="98">
        <v>2014</v>
      </c>
      <c r="D1936" s="98" t="s">
        <v>190</v>
      </c>
      <c r="E1936" s="98" t="s">
        <v>41</v>
      </c>
      <c r="F1936" s="98" t="s">
        <v>131</v>
      </c>
      <c r="G1936" s="248">
        <v>22144.3419999992</v>
      </c>
      <c r="H1936" s="299" t="str">
        <f>VLOOKUP(LEFT('Rev Adequacy'!D1936,3),'Mapping B'!$D$2:$E$400,2,0)</f>
        <v>S</v>
      </c>
      <c r="BP1936" s="190"/>
    </row>
    <row r="1937" spans="2:68" x14ac:dyDescent="0.25">
      <c r="B1937" s="98" t="s">
        <v>553</v>
      </c>
      <c r="C1937" s="98">
        <v>2014</v>
      </c>
      <c r="D1937" s="98" t="s">
        <v>200</v>
      </c>
      <c r="E1937" s="98" t="s">
        <v>41</v>
      </c>
      <c r="F1937" s="98" t="s">
        <v>131</v>
      </c>
      <c r="G1937" s="248">
        <v>9532.1389999999101</v>
      </c>
      <c r="H1937" s="299" t="str">
        <f>VLOOKUP(LEFT('Rev Adequacy'!D1937,3),'Mapping B'!$D$2:$E$400,2,0)</f>
        <v>S</v>
      </c>
      <c r="BP1937" s="190"/>
    </row>
    <row r="1938" spans="2:68" x14ac:dyDescent="0.25">
      <c r="B1938" s="98" t="s">
        <v>553</v>
      </c>
      <c r="C1938" s="98">
        <v>2014</v>
      </c>
      <c r="D1938" s="98" t="s">
        <v>241</v>
      </c>
      <c r="E1938" s="98" t="s">
        <v>41</v>
      </c>
      <c r="F1938" s="98" t="s">
        <v>131</v>
      </c>
      <c r="G1938" s="248">
        <v>549.646999999998</v>
      </c>
      <c r="H1938" s="299" t="str">
        <f>VLOOKUP(LEFT('Rev Adequacy'!D1938,3),'Mapping B'!$D$2:$E$400,2,0)</f>
        <v>S</v>
      </c>
      <c r="BP1938" s="190"/>
    </row>
    <row r="1939" spans="2:68" x14ac:dyDescent="0.25">
      <c r="B1939" s="98" t="s">
        <v>553</v>
      </c>
      <c r="C1939" s="98">
        <v>2014</v>
      </c>
      <c r="D1939" s="98" t="s">
        <v>294</v>
      </c>
      <c r="E1939" s="98" t="s">
        <v>41</v>
      </c>
      <c r="F1939" s="98" t="s">
        <v>131</v>
      </c>
      <c r="G1939" s="248">
        <v>558.13199999999995</v>
      </c>
      <c r="H1939" s="299" t="str">
        <f>VLOOKUP(LEFT('Rev Adequacy'!D1939,3),'Mapping B'!$D$2:$E$400,2,0)</f>
        <v>S</v>
      </c>
      <c r="BP1939" s="190"/>
    </row>
    <row r="1940" spans="2:68" x14ac:dyDescent="0.25">
      <c r="B1940" s="98" t="s">
        <v>553</v>
      </c>
      <c r="C1940" s="98">
        <v>2014</v>
      </c>
      <c r="D1940" s="98" t="s">
        <v>307</v>
      </c>
      <c r="E1940" s="98" t="s">
        <v>41</v>
      </c>
      <c r="F1940" s="98" t="s">
        <v>131</v>
      </c>
      <c r="G1940" s="248">
        <v>7355.5289999999004</v>
      </c>
      <c r="H1940" s="299" t="str">
        <f>VLOOKUP(LEFT('Rev Adequacy'!D1940,3),'Mapping B'!$D$2:$E$400,2,0)</f>
        <v>S</v>
      </c>
      <c r="BP1940" s="190"/>
    </row>
    <row r="1941" spans="2:68" x14ac:dyDescent="0.25">
      <c r="B1941" s="98" t="s">
        <v>553</v>
      </c>
      <c r="C1941" s="98">
        <v>2014</v>
      </c>
      <c r="D1941" s="98" t="s">
        <v>308</v>
      </c>
      <c r="E1941" s="98" t="s">
        <v>41</v>
      </c>
      <c r="F1941" s="98" t="s">
        <v>131</v>
      </c>
      <c r="G1941" s="248">
        <v>9280.5259999997306</v>
      </c>
      <c r="H1941" s="299" t="str">
        <f>VLOOKUP(LEFT('Rev Adequacy'!D1941,3),'Mapping B'!$D$2:$E$400,2,0)</f>
        <v>S</v>
      </c>
      <c r="BP1941" s="190"/>
    </row>
    <row r="1942" spans="2:68" x14ac:dyDescent="0.25">
      <c r="B1942" s="98" t="s">
        <v>554</v>
      </c>
      <c r="C1942" s="98">
        <v>2014</v>
      </c>
      <c r="D1942" s="98" t="s">
        <v>148</v>
      </c>
      <c r="E1942" s="98" t="s">
        <v>41</v>
      </c>
      <c r="F1942" s="98" t="s">
        <v>131</v>
      </c>
      <c r="G1942" s="98">
        <v>2088.8069999999998</v>
      </c>
      <c r="H1942" s="299" t="str">
        <f>VLOOKUP(LEFT('Rev Adequacy'!D1942,3),'Mapping B'!$D$2:$E$400,2,0)</f>
        <v>S</v>
      </c>
      <c r="BP1942" s="190"/>
    </row>
    <row r="1943" spans="2:68" x14ac:dyDescent="0.25">
      <c r="B1943" s="98" t="s">
        <v>554</v>
      </c>
      <c r="C1943" s="98">
        <v>2014</v>
      </c>
      <c r="D1943" s="98" t="s">
        <v>180</v>
      </c>
      <c r="E1943" s="98" t="s">
        <v>41</v>
      </c>
      <c r="F1943" s="98" t="s">
        <v>131</v>
      </c>
      <c r="G1943" s="98">
        <v>14229.602000000001</v>
      </c>
      <c r="H1943" s="299" t="str">
        <f>VLOOKUP(LEFT('Rev Adequacy'!D1943,3),'Mapping B'!$D$2:$E$400,2,0)</f>
        <v>S</v>
      </c>
      <c r="BP1943" s="190"/>
    </row>
    <row r="1944" spans="2:68" x14ac:dyDescent="0.25">
      <c r="B1944" s="98" t="s">
        <v>554</v>
      </c>
      <c r="C1944" s="98">
        <v>2014</v>
      </c>
      <c r="D1944" s="98" t="s">
        <v>190</v>
      </c>
      <c r="E1944" s="98" t="s">
        <v>41</v>
      </c>
      <c r="F1944" s="98" t="s">
        <v>131</v>
      </c>
      <c r="G1944" s="98">
        <v>2579.0569999999002</v>
      </c>
      <c r="H1944" s="299" t="str">
        <f>VLOOKUP(LEFT('Rev Adequacy'!D1944,3),'Mapping B'!$D$2:$E$400,2,0)</f>
        <v>S</v>
      </c>
      <c r="BP1944" s="190"/>
    </row>
    <row r="1945" spans="2:68" x14ac:dyDescent="0.25">
      <c r="B1945" s="98" t="s">
        <v>554</v>
      </c>
      <c r="C1945" s="98">
        <v>2014</v>
      </c>
      <c r="D1945" s="98" t="s">
        <v>200</v>
      </c>
      <c r="E1945" s="98" t="s">
        <v>41</v>
      </c>
      <c r="F1945" s="98" t="s">
        <v>131</v>
      </c>
      <c r="G1945" s="98">
        <v>55703.214000000196</v>
      </c>
      <c r="H1945" s="299" t="str">
        <f>VLOOKUP(LEFT('Rev Adequacy'!D1945,3),'Mapping B'!$D$2:$E$400,2,0)</f>
        <v>S</v>
      </c>
      <c r="BP1945" s="190"/>
    </row>
    <row r="1946" spans="2:68" x14ac:dyDescent="0.25">
      <c r="B1946" s="98" t="s">
        <v>554</v>
      </c>
      <c r="C1946" s="98">
        <v>2014</v>
      </c>
      <c r="D1946" s="98" t="s">
        <v>241</v>
      </c>
      <c r="E1946" s="98" t="s">
        <v>41</v>
      </c>
      <c r="F1946" s="98" t="s">
        <v>131</v>
      </c>
      <c r="G1946" s="98">
        <v>4162.1230000000096</v>
      </c>
      <c r="H1946" s="299" t="str">
        <f>VLOOKUP(LEFT('Rev Adequacy'!D1946,3),'Mapping B'!$D$2:$E$400,2,0)</f>
        <v>S</v>
      </c>
      <c r="BP1946" s="190"/>
    </row>
    <row r="1947" spans="2:68" x14ac:dyDescent="0.25">
      <c r="B1947" s="98" t="s">
        <v>554</v>
      </c>
      <c r="C1947" s="98">
        <v>2014</v>
      </c>
      <c r="D1947" s="98" t="s">
        <v>294</v>
      </c>
      <c r="E1947" s="98" t="s">
        <v>41</v>
      </c>
      <c r="F1947" s="98" t="s">
        <v>131</v>
      </c>
      <c r="G1947" s="98">
        <v>341.30000000000399</v>
      </c>
      <c r="H1947" s="299" t="str">
        <f>VLOOKUP(LEFT('Rev Adequacy'!D1947,3),'Mapping B'!$D$2:$E$400,2,0)</f>
        <v>S</v>
      </c>
      <c r="BP1947" s="190"/>
    </row>
    <row r="1948" spans="2:68" x14ac:dyDescent="0.25">
      <c r="B1948" s="98" t="s">
        <v>554</v>
      </c>
      <c r="C1948" s="98">
        <v>2014</v>
      </c>
      <c r="D1948" s="98" t="s">
        <v>307</v>
      </c>
      <c r="E1948" s="98" t="s">
        <v>41</v>
      </c>
      <c r="F1948" s="98" t="s">
        <v>131</v>
      </c>
      <c r="G1948" s="98">
        <v>24165.0799999999</v>
      </c>
      <c r="H1948" s="299" t="str">
        <f>VLOOKUP(LEFT('Rev Adequacy'!D1948,3),'Mapping B'!$D$2:$E$400,2,0)</f>
        <v>S</v>
      </c>
      <c r="BP1948" s="190"/>
    </row>
    <row r="1949" spans="2:68" x14ac:dyDescent="0.25">
      <c r="B1949" s="98" t="s">
        <v>554</v>
      </c>
      <c r="C1949" s="98">
        <v>2014</v>
      </c>
      <c r="D1949" s="98" t="s">
        <v>308</v>
      </c>
      <c r="E1949" s="98" t="s">
        <v>41</v>
      </c>
      <c r="F1949" s="98" t="s">
        <v>131</v>
      </c>
      <c r="G1949" s="98">
        <v>32765.036000000298</v>
      </c>
      <c r="H1949" s="299" t="str">
        <f>VLOOKUP(LEFT('Rev Adequacy'!D1949,3),'Mapping B'!$D$2:$E$400,2,0)</f>
        <v>S</v>
      </c>
      <c r="BP1949" s="190"/>
    </row>
    <row r="1950" spans="2:68" x14ac:dyDescent="0.25">
      <c r="B1950" s="98" t="s">
        <v>563</v>
      </c>
      <c r="C1950" s="98">
        <v>2014</v>
      </c>
      <c r="D1950" s="98" t="s">
        <v>148</v>
      </c>
      <c r="E1950" s="98" t="s">
        <v>41</v>
      </c>
      <c r="F1950" s="98" t="s">
        <v>131</v>
      </c>
      <c r="G1950" s="98">
        <v>5700.62499999998</v>
      </c>
      <c r="H1950" s="299" t="str">
        <f>VLOOKUP(LEFT('Rev Adequacy'!D1950,3),'Mapping B'!$D$2:$E$400,2,0)</f>
        <v>S</v>
      </c>
      <c r="BP1950" s="190"/>
    </row>
    <row r="1951" spans="2:68" x14ac:dyDescent="0.25">
      <c r="B1951" s="98" t="s">
        <v>563</v>
      </c>
      <c r="C1951" s="98">
        <v>2014</v>
      </c>
      <c r="D1951" s="98" t="s">
        <v>180</v>
      </c>
      <c r="E1951" s="98" t="s">
        <v>41</v>
      </c>
      <c r="F1951" s="98" t="s">
        <v>131</v>
      </c>
      <c r="G1951" s="98">
        <v>56458.317999999999</v>
      </c>
      <c r="H1951" s="299" t="str">
        <f>VLOOKUP(LEFT('Rev Adequacy'!D1951,3),'Mapping B'!$D$2:$E$400,2,0)</f>
        <v>S</v>
      </c>
      <c r="BP1951" s="190"/>
    </row>
    <row r="1952" spans="2:68" x14ac:dyDescent="0.25">
      <c r="B1952" s="98" t="s">
        <v>563</v>
      </c>
      <c r="C1952" s="98">
        <v>2014</v>
      </c>
      <c r="D1952" s="98" t="s">
        <v>190</v>
      </c>
      <c r="E1952" s="98" t="s">
        <v>41</v>
      </c>
      <c r="F1952" s="98" t="s">
        <v>131</v>
      </c>
      <c r="G1952" s="98">
        <v>119216.139999999</v>
      </c>
      <c r="H1952" s="299" t="str">
        <f>VLOOKUP(LEFT('Rev Adequacy'!D1952,3),'Mapping B'!$D$2:$E$400,2,0)</f>
        <v>S</v>
      </c>
      <c r="BP1952" s="190"/>
    </row>
    <row r="1953" spans="2:68" x14ac:dyDescent="0.25">
      <c r="B1953" s="98" t="s">
        <v>563</v>
      </c>
      <c r="C1953" s="98">
        <v>2014</v>
      </c>
      <c r="D1953" s="98" t="s">
        <v>200</v>
      </c>
      <c r="E1953" s="98" t="s">
        <v>41</v>
      </c>
      <c r="F1953" s="98" t="s">
        <v>131</v>
      </c>
      <c r="G1953" s="98">
        <v>73446.338000000003</v>
      </c>
      <c r="H1953" s="299" t="str">
        <f>VLOOKUP(LEFT('Rev Adequacy'!D1953,3),'Mapping B'!$D$2:$E$400,2,0)</f>
        <v>S</v>
      </c>
      <c r="BP1953" s="190"/>
    </row>
    <row r="1954" spans="2:68" x14ac:dyDescent="0.25">
      <c r="B1954" s="98" t="s">
        <v>563</v>
      </c>
      <c r="C1954" s="98">
        <v>2014</v>
      </c>
      <c r="D1954" s="98" t="s">
        <v>241</v>
      </c>
      <c r="E1954" s="98" t="s">
        <v>41</v>
      </c>
      <c r="F1954" s="98" t="s">
        <v>131</v>
      </c>
      <c r="G1954" s="98">
        <v>4233.3960000000097</v>
      </c>
      <c r="H1954" s="299" t="str">
        <f>VLOOKUP(LEFT('Rev Adequacy'!D1954,3),'Mapping B'!$D$2:$E$400,2,0)</f>
        <v>S</v>
      </c>
      <c r="BP1954" s="190"/>
    </row>
    <row r="1955" spans="2:68" x14ac:dyDescent="0.25">
      <c r="B1955" s="98" t="s">
        <v>563</v>
      </c>
      <c r="C1955" s="98">
        <v>2014</v>
      </c>
      <c r="D1955" s="98" t="s">
        <v>294</v>
      </c>
      <c r="E1955" s="98" t="s">
        <v>41</v>
      </c>
      <c r="F1955" s="98" t="s">
        <v>131</v>
      </c>
      <c r="G1955" s="98">
        <v>2628.4630000000002</v>
      </c>
      <c r="H1955" s="299" t="str">
        <f>VLOOKUP(LEFT('Rev Adequacy'!D1955,3),'Mapping B'!$D$2:$E$400,2,0)</f>
        <v>S</v>
      </c>
      <c r="BP1955" s="190"/>
    </row>
    <row r="1956" spans="2:68" x14ac:dyDescent="0.25">
      <c r="B1956" s="98" t="s">
        <v>563</v>
      </c>
      <c r="C1956" s="98">
        <v>2014</v>
      </c>
      <c r="D1956" s="98" t="s">
        <v>307</v>
      </c>
      <c r="E1956" s="98" t="s">
        <v>41</v>
      </c>
      <c r="F1956" s="98" t="s">
        <v>131</v>
      </c>
      <c r="G1956" s="98">
        <v>52676.2220000003</v>
      </c>
      <c r="H1956" s="299" t="str">
        <f>VLOOKUP(LEFT('Rev Adequacy'!D1956,3),'Mapping B'!$D$2:$E$400,2,0)</f>
        <v>S</v>
      </c>
      <c r="BP1956" s="190"/>
    </row>
    <row r="1957" spans="2:68" x14ac:dyDescent="0.25">
      <c r="B1957" s="98" t="s">
        <v>563</v>
      </c>
      <c r="C1957" s="98">
        <v>2014</v>
      </c>
      <c r="D1957" s="98" t="s">
        <v>308</v>
      </c>
      <c r="E1957" s="98" t="s">
        <v>41</v>
      </c>
      <c r="F1957" s="98" t="s">
        <v>131</v>
      </c>
      <c r="G1957" s="98">
        <v>63027.425999999701</v>
      </c>
      <c r="H1957" s="299" t="str">
        <f>VLOOKUP(LEFT('Rev Adequacy'!D1957,3),'Mapping B'!$D$2:$E$400,2,0)</f>
        <v>S</v>
      </c>
      <c r="BP1957" s="190"/>
    </row>
    <row r="1958" spans="2:68" x14ac:dyDescent="0.25">
      <c r="B1958" s="98" t="s">
        <v>555</v>
      </c>
      <c r="C1958" s="98">
        <v>2014</v>
      </c>
      <c r="D1958" s="98" t="s">
        <v>148</v>
      </c>
      <c r="E1958" s="98" t="s">
        <v>41</v>
      </c>
      <c r="F1958" s="98" t="s">
        <v>131</v>
      </c>
      <c r="G1958" s="98">
        <v>2792.9940000000001</v>
      </c>
      <c r="H1958" s="299" t="str">
        <f>VLOOKUP(LEFT('Rev Adequacy'!D1958,3),'Mapping B'!$D$2:$E$400,2,0)</f>
        <v>S</v>
      </c>
      <c r="BP1958" s="190"/>
    </row>
    <row r="1959" spans="2:68" x14ac:dyDescent="0.25">
      <c r="B1959" s="98" t="s">
        <v>555</v>
      </c>
      <c r="C1959" s="98">
        <v>2014</v>
      </c>
      <c r="D1959" s="98" t="s">
        <v>180</v>
      </c>
      <c r="E1959" s="98" t="s">
        <v>41</v>
      </c>
      <c r="F1959" s="98" t="s">
        <v>131</v>
      </c>
      <c r="G1959" s="98">
        <v>27118.2049999999</v>
      </c>
      <c r="H1959" s="299" t="str">
        <f>VLOOKUP(LEFT('Rev Adequacy'!D1959,3),'Mapping B'!$D$2:$E$400,2,0)</f>
        <v>S</v>
      </c>
      <c r="BP1959" s="190"/>
    </row>
    <row r="1960" spans="2:68" x14ac:dyDescent="0.25">
      <c r="B1960" s="98" t="s">
        <v>555</v>
      </c>
      <c r="C1960" s="98">
        <v>2014</v>
      </c>
      <c r="D1960" s="98" t="s">
        <v>190</v>
      </c>
      <c r="E1960" s="98" t="s">
        <v>41</v>
      </c>
      <c r="F1960" s="98" t="s">
        <v>131</v>
      </c>
      <c r="G1960" s="98">
        <v>53295.260999999999</v>
      </c>
      <c r="H1960" s="299" t="str">
        <f>VLOOKUP(LEFT('Rev Adequacy'!D1960,3),'Mapping B'!$D$2:$E$400,2,0)</f>
        <v>S</v>
      </c>
      <c r="BP1960" s="190"/>
    </row>
    <row r="1961" spans="2:68" x14ac:dyDescent="0.25">
      <c r="B1961" s="98" t="s">
        <v>555</v>
      </c>
      <c r="C1961" s="98">
        <v>2014</v>
      </c>
      <c r="D1961" s="98" t="s">
        <v>200</v>
      </c>
      <c r="E1961" s="98" t="s">
        <v>41</v>
      </c>
      <c r="F1961" s="98" t="s">
        <v>131</v>
      </c>
      <c r="G1961" s="98">
        <v>32205.797999999999</v>
      </c>
      <c r="H1961" s="299" t="str">
        <f>VLOOKUP(LEFT('Rev Adequacy'!D1961,3),'Mapping B'!$D$2:$E$400,2,0)</f>
        <v>S</v>
      </c>
      <c r="BP1961" s="190"/>
    </row>
    <row r="1962" spans="2:68" x14ac:dyDescent="0.25">
      <c r="B1962" s="98" t="s">
        <v>555</v>
      </c>
      <c r="C1962" s="98">
        <v>2014</v>
      </c>
      <c r="D1962" s="98" t="s">
        <v>241</v>
      </c>
      <c r="E1962" s="98" t="s">
        <v>41</v>
      </c>
      <c r="F1962" s="98" t="s">
        <v>131</v>
      </c>
      <c r="G1962" s="98">
        <v>1108.0029999999999</v>
      </c>
      <c r="H1962" s="299" t="str">
        <f>VLOOKUP(LEFT('Rev Adequacy'!D1962,3),'Mapping B'!$D$2:$E$400,2,0)</f>
        <v>S</v>
      </c>
      <c r="BP1962" s="190"/>
    </row>
    <row r="1963" spans="2:68" x14ac:dyDescent="0.25">
      <c r="B1963" s="98" t="s">
        <v>555</v>
      </c>
      <c r="C1963" s="98">
        <v>2014</v>
      </c>
      <c r="D1963" s="98" t="s">
        <v>294</v>
      </c>
      <c r="E1963" s="98" t="s">
        <v>41</v>
      </c>
      <c r="F1963" s="98" t="s">
        <v>131</v>
      </c>
      <c r="G1963" s="98">
        <v>1163.5430000000099</v>
      </c>
      <c r="H1963" s="299" t="str">
        <f>VLOOKUP(LEFT('Rev Adequacy'!D1963,3),'Mapping B'!$D$2:$E$400,2,0)</f>
        <v>S</v>
      </c>
      <c r="BP1963" s="190"/>
    </row>
    <row r="1964" spans="2:68" x14ac:dyDescent="0.25">
      <c r="B1964" s="98" t="s">
        <v>555</v>
      </c>
      <c r="C1964" s="98">
        <v>2014</v>
      </c>
      <c r="D1964" s="98" t="s">
        <v>307</v>
      </c>
      <c r="E1964" s="98" t="s">
        <v>41</v>
      </c>
      <c r="F1964" s="98" t="s">
        <v>131</v>
      </c>
      <c r="G1964" s="98">
        <v>23118.400000000001</v>
      </c>
      <c r="H1964" s="299" t="str">
        <f>VLOOKUP(LEFT('Rev Adequacy'!D1964,3),'Mapping B'!$D$2:$E$400,2,0)</f>
        <v>S</v>
      </c>
      <c r="BP1964" s="190"/>
    </row>
    <row r="1965" spans="2:68" x14ac:dyDescent="0.25">
      <c r="B1965" s="98" t="s">
        <v>555</v>
      </c>
      <c r="C1965" s="98">
        <v>2014</v>
      </c>
      <c r="D1965" s="98" t="s">
        <v>308</v>
      </c>
      <c r="E1965" s="98" t="s">
        <v>41</v>
      </c>
      <c r="F1965" s="98" t="s">
        <v>131</v>
      </c>
      <c r="G1965" s="98">
        <v>26856.443999999901</v>
      </c>
      <c r="H1965" s="299" t="str">
        <f>VLOOKUP(LEFT('Rev Adequacy'!D1965,3),'Mapping B'!$D$2:$E$400,2,0)</f>
        <v>S</v>
      </c>
      <c r="BP1965" s="190"/>
    </row>
    <row r="1966" spans="2:68" x14ac:dyDescent="0.25">
      <c r="B1966" s="98" t="s">
        <v>112</v>
      </c>
      <c r="C1966" s="98">
        <v>2014</v>
      </c>
      <c r="D1966" s="98" t="s">
        <v>148</v>
      </c>
      <c r="E1966" s="98" t="s">
        <v>41</v>
      </c>
      <c r="F1966" s="98" t="s">
        <v>131</v>
      </c>
      <c r="G1966" s="98">
        <v>0</v>
      </c>
      <c r="H1966" s="299" t="str">
        <f>VLOOKUP(LEFT('Rev Adequacy'!D1966,3),'Mapping B'!$D$2:$E$400,2,0)</f>
        <v>S</v>
      </c>
      <c r="BP1966" s="190"/>
    </row>
    <row r="1967" spans="2:68" x14ac:dyDescent="0.25">
      <c r="B1967" s="98" t="s">
        <v>112</v>
      </c>
      <c r="C1967" s="98">
        <v>2014</v>
      </c>
      <c r="D1967" s="98" t="s">
        <v>180</v>
      </c>
      <c r="E1967" s="98" t="s">
        <v>41</v>
      </c>
      <c r="F1967" s="98" t="s">
        <v>131</v>
      </c>
      <c r="G1967" s="98">
        <v>0</v>
      </c>
      <c r="H1967" s="299" t="str">
        <f>VLOOKUP(LEFT('Rev Adequacy'!D1967,3),'Mapping B'!$D$2:$E$400,2,0)</f>
        <v>S</v>
      </c>
      <c r="BP1967" s="190"/>
    </row>
    <row r="1968" spans="2:68" x14ac:dyDescent="0.25">
      <c r="B1968" s="98" t="s">
        <v>112</v>
      </c>
      <c r="C1968" s="98">
        <v>2014</v>
      </c>
      <c r="D1968" s="98" t="s">
        <v>190</v>
      </c>
      <c r="E1968" s="98" t="s">
        <v>41</v>
      </c>
      <c r="F1968" s="98" t="s">
        <v>131</v>
      </c>
      <c r="G1968" s="98">
        <v>0</v>
      </c>
      <c r="H1968" s="299" t="str">
        <f>VLOOKUP(LEFT('Rev Adequacy'!D1968,3),'Mapping B'!$D$2:$E$400,2,0)</f>
        <v>S</v>
      </c>
      <c r="BP1968" s="190"/>
    </row>
    <row r="1969" spans="2:68" x14ac:dyDescent="0.25">
      <c r="B1969" s="98" t="s">
        <v>112</v>
      </c>
      <c r="C1969" s="98">
        <v>2014</v>
      </c>
      <c r="D1969" s="98" t="s">
        <v>200</v>
      </c>
      <c r="E1969" s="98" t="s">
        <v>41</v>
      </c>
      <c r="F1969" s="98" t="s">
        <v>131</v>
      </c>
      <c r="G1969" s="98">
        <v>0</v>
      </c>
      <c r="H1969" s="299" t="str">
        <f>VLOOKUP(LEFT('Rev Adequacy'!D1969,3),'Mapping B'!$D$2:$E$400,2,0)</f>
        <v>S</v>
      </c>
      <c r="BP1969" s="190"/>
    </row>
    <row r="1970" spans="2:68" x14ac:dyDescent="0.25">
      <c r="B1970" s="98" t="s">
        <v>112</v>
      </c>
      <c r="C1970" s="98">
        <v>2014</v>
      </c>
      <c r="D1970" s="98" t="s">
        <v>241</v>
      </c>
      <c r="E1970" s="98" t="s">
        <v>41</v>
      </c>
      <c r="F1970" s="98" t="s">
        <v>131</v>
      </c>
      <c r="G1970" s="98">
        <v>0</v>
      </c>
      <c r="H1970" s="299" t="str">
        <f>VLOOKUP(LEFT('Rev Adequacy'!D1970,3),'Mapping B'!$D$2:$E$400,2,0)</f>
        <v>S</v>
      </c>
      <c r="BP1970" s="190"/>
    </row>
    <row r="1971" spans="2:68" x14ac:dyDescent="0.25">
      <c r="B1971" s="98" t="s">
        <v>112</v>
      </c>
      <c r="C1971" s="98">
        <v>2014</v>
      </c>
      <c r="D1971" s="98" t="s">
        <v>294</v>
      </c>
      <c r="E1971" s="98" t="s">
        <v>41</v>
      </c>
      <c r="F1971" s="98" t="s">
        <v>131</v>
      </c>
      <c r="G1971" s="98">
        <v>0</v>
      </c>
      <c r="H1971" s="299" t="str">
        <f>VLOOKUP(LEFT('Rev Adequacy'!D1971,3),'Mapping B'!$D$2:$E$400,2,0)</f>
        <v>S</v>
      </c>
      <c r="BP1971" s="190"/>
    </row>
    <row r="1972" spans="2:68" x14ac:dyDescent="0.25">
      <c r="B1972" s="98" t="s">
        <v>112</v>
      </c>
      <c r="C1972" s="98">
        <v>2014</v>
      </c>
      <c r="D1972" s="98" t="s">
        <v>307</v>
      </c>
      <c r="E1972" s="98" t="s">
        <v>41</v>
      </c>
      <c r="F1972" s="98" t="s">
        <v>131</v>
      </c>
      <c r="G1972" s="98">
        <v>0</v>
      </c>
      <c r="H1972" s="299" t="str">
        <f>VLOOKUP(LEFT('Rev Adequacy'!D1972,3),'Mapping B'!$D$2:$E$400,2,0)</f>
        <v>S</v>
      </c>
      <c r="BP1972" s="190"/>
    </row>
    <row r="1973" spans="2:68" x14ac:dyDescent="0.25">
      <c r="B1973" s="98" t="s">
        <v>112</v>
      </c>
      <c r="C1973" s="98">
        <v>2014</v>
      </c>
      <c r="D1973" s="98" t="s">
        <v>308</v>
      </c>
      <c r="E1973" s="98" t="s">
        <v>41</v>
      </c>
      <c r="F1973" s="98" t="s">
        <v>131</v>
      </c>
      <c r="G1973" s="98">
        <v>0</v>
      </c>
      <c r="H1973" s="299" t="str">
        <f>VLOOKUP(LEFT('Rev Adequacy'!D1973,3),'Mapping B'!$D$2:$E$400,2,0)</f>
        <v>S</v>
      </c>
      <c r="BP1973" s="190"/>
    </row>
    <row r="1974" spans="2:68" x14ac:dyDescent="0.25">
      <c r="B1974" s="98" t="s">
        <v>111</v>
      </c>
      <c r="C1974" s="98">
        <v>2014</v>
      </c>
      <c r="D1974" s="98" t="s">
        <v>148</v>
      </c>
      <c r="E1974" s="98" t="s">
        <v>41</v>
      </c>
      <c r="F1974" s="98" t="s">
        <v>131</v>
      </c>
      <c r="G1974" s="98">
        <v>0</v>
      </c>
      <c r="H1974" s="299" t="str">
        <f>VLOOKUP(LEFT('Rev Adequacy'!D1974,3),'Mapping B'!$D$2:$E$400,2,0)</f>
        <v>S</v>
      </c>
      <c r="BP1974" s="190"/>
    </row>
    <row r="1975" spans="2:68" x14ac:dyDescent="0.25">
      <c r="B1975" s="98" t="s">
        <v>111</v>
      </c>
      <c r="C1975" s="98">
        <v>2014</v>
      </c>
      <c r="D1975" s="98" t="s">
        <v>180</v>
      </c>
      <c r="E1975" s="98" t="s">
        <v>41</v>
      </c>
      <c r="F1975" s="98" t="s">
        <v>131</v>
      </c>
      <c r="G1975" s="98">
        <v>0</v>
      </c>
      <c r="H1975" s="299" t="str">
        <f>VLOOKUP(LEFT('Rev Adequacy'!D1975,3),'Mapping B'!$D$2:$E$400,2,0)</f>
        <v>S</v>
      </c>
      <c r="BP1975" s="190"/>
    </row>
    <row r="1976" spans="2:68" x14ac:dyDescent="0.25">
      <c r="B1976" s="98" t="s">
        <v>111</v>
      </c>
      <c r="C1976" s="98">
        <v>2014</v>
      </c>
      <c r="D1976" s="98" t="s">
        <v>190</v>
      </c>
      <c r="E1976" s="98" t="s">
        <v>41</v>
      </c>
      <c r="F1976" s="98" t="s">
        <v>131</v>
      </c>
      <c r="G1976" s="98">
        <v>0</v>
      </c>
      <c r="H1976" s="299" t="str">
        <f>VLOOKUP(LEFT('Rev Adequacy'!D1976,3),'Mapping B'!$D$2:$E$400,2,0)</f>
        <v>S</v>
      </c>
      <c r="BP1976" s="190"/>
    </row>
    <row r="1977" spans="2:68" x14ac:dyDescent="0.25">
      <c r="B1977" s="98" t="s">
        <v>111</v>
      </c>
      <c r="C1977" s="98">
        <v>2014</v>
      </c>
      <c r="D1977" s="98" t="s">
        <v>200</v>
      </c>
      <c r="E1977" s="98" t="s">
        <v>41</v>
      </c>
      <c r="F1977" s="98" t="s">
        <v>131</v>
      </c>
      <c r="G1977" s="98">
        <v>0</v>
      </c>
      <c r="H1977" s="299" t="str">
        <f>VLOOKUP(LEFT('Rev Adequacy'!D1977,3),'Mapping B'!$D$2:$E$400,2,0)</f>
        <v>S</v>
      </c>
      <c r="BP1977" s="190"/>
    </row>
    <row r="1978" spans="2:68" x14ac:dyDescent="0.25">
      <c r="B1978" s="98" t="s">
        <v>111</v>
      </c>
      <c r="C1978" s="98">
        <v>2014</v>
      </c>
      <c r="D1978" s="98" t="s">
        <v>241</v>
      </c>
      <c r="E1978" s="98" t="s">
        <v>41</v>
      </c>
      <c r="F1978" s="98" t="s">
        <v>131</v>
      </c>
      <c r="G1978" s="98">
        <v>0</v>
      </c>
      <c r="H1978" s="299" t="str">
        <f>VLOOKUP(LEFT('Rev Adequacy'!D1978,3),'Mapping B'!$D$2:$E$400,2,0)</f>
        <v>S</v>
      </c>
      <c r="BP1978" s="190"/>
    </row>
    <row r="1979" spans="2:68" x14ac:dyDescent="0.25">
      <c r="B1979" s="98" t="s">
        <v>111</v>
      </c>
      <c r="C1979" s="98">
        <v>2014</v>
      </c>
      <c r="D1979" s="98" t="s">
        <v>294</v>
      </c>
      <c r="E1979" s="98" t="s">
        <v>41</v>
      </c>
      <c r="F1979" s="98" t="s">
        <v>131</v>
      </c>
      <c r="G1979" s="98">
        <v>0</v>
      </c>
      <c r="H1979" s="299" t="str">
        <f>VLOOKUP(LEFT('Rev Adequacy'!D1979,3),'Mapping B'!$D$2:$E$400,2,0)</f>
        <v>S</v>
      </c>
      <c r="BP1979" s="190"/>
    </row>
    <row r="1980" spans="2:68" x14ac:dyDescent="0.25">
      <c r="B1980" s="98" t="s">
        <v>111</v>
      </c>
      <c r="C1980" s="98">
        <v>2014</v>
      </c>
      <c r="D1980" s="98" t="s">
        <v>307</v>
      </c>
      <c r="E1980" s="98" t="s">
        <v>41</v>
      </c>
      <c r="F1980" s="98" t="s">
        <v>131</v>
      </c>
      <c r="G1980" s="98">
        <v>0</v>
      </c>
      <c r="H1980" s="299" t="str">
        <f>VLOOKUP(LEFT('Rev Adequacy'!D1980,3),'Mapping B'!$D$2:$E$400,2,0)</f>
        <v>S</v>
      </c>
      <c r="BP1980" s="190"/>
    </row>
    <row r="1981" spans="2:68" x14ac:dyDescent="0.25">
      <c r="B1981" s="98" t="s">
        <v>111</v>
      </c>
      <c r="C1981" s="98">
        <v>2014</v>
      </c>
      <c r="D1981" s="98" t="s">
        <v>308</v>
      </c>
      <c r="E1981" s="98" t="s">
        <v>41</v>
      </c>
      <c r="F1981" s="98" t="s">
        <v>131</v>
      </c>
      <c r="G1981" s="98">
        <v>0</v>
      </c>
      <c r="H1981" s="299" t="str">
        <f>VLOOKUP(LEFT('Rev Adequacy'!D1981,3),'Mapping B'!$D$2:$E$400,2,0)</f>
        <v>S</v>
      </c>
      <c r="BP1981" s="190"/>
    </row>
    <row r="1982" spans="2:68" x14ac:dyDescent="0.25">
      <c r="B1982" s="98" t="s">
        <v>552</v>
      </c>
      <c r="C1982" s="98">
        <v>2014</v>
      </c>
      <c r="D1982" s="98" t="s">
        <v>350</v>
      </c>
      <c r="E1982" s="98" t="s">
        <v>42</v>
      </c>
      <c r="F1982" s="98" t="s">
        <v>131</v>
      </c>
      <c r="G1982" s="248">
        <v>0</v>
      </c>
      <c r="H1982" s="299" t="str">
        <f>VLOOKUP(LEFT('Rev Adequacy'!D1982,3),'Mapping B'!$D$2:$E$400,2,0)</f>
        <v>N</v>
      </c>
      <c r="BP1982" s="190"/>
    </row>
    <row r="1983" spans="2:68" x14ac:dyDescent="0.25">
      <c r="B1983" s="98" t="s">
        <v>553</v>
      </c>
      <c r="C1983" s="98">
        <v>2014</v>
      </c>
      <c r="D1983" s="98" t="s">
        <v>350</v>
      </c>
      <c r="E1983" s="98" t="s">
        <v>42</v>
      </c>
      <c r="F1983" s="98" t="s">
        <v>131</v>
      </c>
      <c r="G1983" s="248">
        <v>70506.574999999197</v>
      </c>
      <c r="H1983" s="299" t="str">
        <f>VLOOKUP(LEFT('Rev Adequacy'!D1983,3),'Mapping B'!$D$2:$E$400,2,0)</f>
        <v>N</v>
      </c>
      <c r="BP1983" s="190"/>
    </row>
    <row r="1984" spans="2:68" x14ac:dyDescent="0.25">
      <c r="B1984" s="98" t="s">
        <v>554</v>
      </c>
      <c r="C1984" s="98">
        <v>2014</v>
      </c>
      <c r="D1984" s="98" t="s">
        <v>350</v>
      </c>
      <c r="E1984" s="98" t="s">
        <v>42</v>
      </c>
      <c r="F1984" s="98" t="s">
        <v>131</v>
      </c>
      <c r="G1984" s="98">
        <v>15882.495000000101</v>
      </c>
      <c r="H1984" s="299" t="str">
        <f>VLOOKUP(LEFT('Rev Adequacy'!D1984,3),'Mapping B'!$D$2:$E$400,2,0)</f>
        <v>N</v>
      </c>
      <c r="BP1984" s="190"/>
    </row>
    <row r="1985" spans="2:68" x14ac:dyDescent="0.25">
      <c r="B1985" s="98" t="s">
        <v>563</v>
      </c>
      <c r="C1985" s="98">
        <v>2014</v>
      </c>
      <c r="D1985" s="98" t="s">
        <v>350</v>
      </c>
      <c r="E1985" s="98" t="s">
        <v>42</v>
      </c>
      <c r="F1985" s="98" t="s">
        <v>131</v>
      </c>
      <c r="G1985" s="98">
        <v>343160.40799999901</v>
      </c>
      <c r="H1985" s="299" t="str">
        <f>VLOOKUP(LEFT('Rev Adequacy'!D1985,3),'Mapping B'!$D$2:$E$400,2,0)</f>
        <v>N</v>
      </c>
      <c r="BP1985" s="190"/>
    </row>
    <row r="1986" spans="2:68" x14ac:dyDescent="0.25">
      <c r="B1986" s="98" t="s">
        <v>555</v>
      </c>
      <c r="C1986" s="98">
        <v>2014</v>
      </c>
      <c r="D1986" s="98" t="s">
        <v>350</v>
      </c>
      <c r="E1986" s="98" t="s">
        <v>42</v>
      </c>
      <c r="F1986" s="98" t="s">
        <v>131</v>
      </c>
      <c r="G1986" s="98">
        <v>0</v>
      </c>
      <c r="H1986" s="299" t="str">
        <f>VLOOKUP(LEFT('Rev Adequacy'!D1986,3),'Mapping B'!$D$2:$E$400,2,0)</f>
        <v>N</v>
      </c>
      <c r="BP1986" s="190"/>
    </row>
    <row r="1987" spans="2:68" x14ac:dyDescent="0.25">
      <c r="B1987" s="98" t="s">
        <v>112</v>
      </c>
      <c r="C1987" s="98">
        <v>2014</v>
      </c>
      <c r="D1987" s="98" t="s">
        <v>350</v>
      </c>
      <c r="E1987" s="98" t="s">
        <v>42</v>
      </c>
      <c r="F1987" s="98" t="s">
        <v>131</v>
      </c>
      <c r="G1987" s="98">
        <v>11174838.437999999</v>
      </c>
      <c r="H1987" s="299" t="str">
        <f>VLOOKUP(LEFT('Rev Adequacy'!D1987,3),'Mapping B'!$D$2:$E$400,2,0)</f>
        <v>N</v>
      </c>
      <c r="BP1987" s="190"/>
    </row>
    <row r="1988" spans="2:68" x14ac:dyDescent="0.25">
      <c r="B1988" s="98" t="s">
        <v>111</v>
      </c>
      <c r="C1988" s="98">
        <v>2014</v>
      </c>
      <c r="D1988" s="98" t="s">
        <v>350</v>
      </c>
      <c r="E1988" s="98" t="s">
        <v>42</v>
      </c>
      <c r="F1988" s="98" t="s">
        <v>131</v>
      </c>
      <c r="G1988" s="98">
        <v>459407.91599999799</v>
      </c>
      <c r="H1988" s="299" t="str">
        <f>VLOOKUP(LEFT('Rev Adequacy'!D1988,3),'Mapping B'!$D$2:$E$400,2,0)</f>
        <v>N</v>
      </c>
      <c r="BP1988" s="190"/>
    </row>
    <row r="1989" spans="2:68" x14ac:dyDescent="0.25">
      <c r="B1989" s="98"/>
      <c r="C1989" s="98"/>
      <c r="D1989" s="98"/>
      <c r="E1989" s="98"/>
      <c r="F1989" s="98"/>
      <c r="G1989" s="248"/>
      <c r="H1989" s="299" t="e">
        <f>VLOOKUP(LEFT('Rev Adequacy'!D1989,3),'Mapping B'!$D$2:$E$400,2,0)</f>
        <v>#N/A</v>
      </c>
    </row>
    <row r="1990" spans="2:68" x14ac:dyDescent="0.25">
      <c r="B1990" s="98"/>
      <c r="C1990" s="98"/>
      <c r="D1990" s="98"/>
      <c r="E1990" s="98"/>
      <c r="F1990" s="98"/>
      <c r="G1990" s="248"/>
      <c r="H1990" s="299" t="e">
        <f>VLOOKUP(LEFT('Rev Adequacy'!D1990,3),'Mapping B'!$D$2:$E$400,2,0)</f>
        <v>#N/A</v>
      </c>
    </row>
    <row r="1991" spans="2:68" x14ac:dyDescent="0.25">
      <c r="B1991" s="98"/>
      <c r="C1991" s="98"/>
      <c r="D1991" s="98"/>
      <c r="E1991" s="98"/>
      <c r="F1991" s="98"/>
      <c r="G1991" s="98"/>
      <c r="H1991" s="299" t="e">
        <f>VLOOKUP(LEFT('Rev Adequacy'!D1991,3),'Mapping B'!$D$2:$E$400,2,0)</f>
        <v>#N/A</v>
      </c>
    </row>
    <row r="1992" spans="2:68" x14ac:dyDescent="0.25">
      <c r="B1992" s="98"/>
      <c r="C1992" s="98"/>
      <c r="D1992" s="98"/>
      <c r="E1992" s="98"/>
      <c r="F1992" s="98"/>
      <c r="G1992" s="98"/>
      <c r="H1992" s="299" t="e">
        <f>VLOOKUP(LEFT('Rev Adequacy'!D1992,3),'Mapping B'!$D$2:$E$400,2,0)</f>
        <v>#N/A</v>
      </c>
    </row>
    <row r="1993" spans="2:68" x14ac:dyDescent="0.25">
      <c r="B1993" s="98"/>
      <c r="C1993" s="98"/>
      <c r="D1993" s="98"/>
      <c r="E1993" s="98"/>
      <c r="F1993" s="98"/>
      <c r="G1993" s="98"/>
      <c r="H1993" s="299" t="e">
        <f>VLOOKUP(LEFT('Rev Adequacy'!D1993,3),'Mapping B'!$D$2:$E$400,2,0)</f>
        <v>#N/A</v>
      </c>
    </row>
    <row r="1994" spans="2:68" x14ac:dyDescent="0.25">
      <c r="B1994" s="98"/>
      <c r="C1994" s="98"/>
      <c r="D1994" s="98"/>
      <c r="E1994" s="98"/>
      <c r="F1994" s="98"/>
      <c r="G1994" s="98"/>
      <c r="H1994" s="299" t="e">
        <f>VLOOKUP(LEFT('Rev Adequacy'!D1994,3),'Mapping B'!$D$2:$E$400,2,0)</f>
        <v>#N/A</v>
      </c>
    </row>
    <row r="1995" spans="2:68" x14ac:dyDescent="0.25">
      <c r="B1995" s="98"/>
      <c r="C1995" s="98"/>
      <c r="D1995" s="98"/>
      <c r="E1995" s="98"/>
      <c r="F1995" s="98"/>
      <c r="G1995" s="98"/>
      <c r="H1995" s="299" t="e">
        <f>VLOOKUP(LEFT('Rev Adequacy'!D1995,3),'Mapping B'!$D$2:$E$400,2,0)</f>
        <v>#N/A</v>
      </c>
    </row>
    <row r="1996" spans="2:68" x14ac:dyDescent="0.25">
      <c r="B1996" s="98"/>
      <c r="C1996" s="98"/>
      <c r="D1996" s="98"/>
      <c r="E1996" s="98"/>
      <c r="F1996" s="98"/>
      <c r="G1996" s="98"/>
      <c r="H1996" s="299" t="e">
        <f>VLOOKUP(LEFT('Rev Adequacy'!D1996,3),'Mapping B'!$D$2:$E$400,2,0)</f>
        <v>#N/A</v>
      </c>
    </row>
    <row r="1997" spans="2:68" x14ac:dyDescent="0.25">
      <c r="B1997" s="98"/>
      <c r="C1997" s="98"/>
      <c r="D1997" s="98"/>
      <c r="E1997" s="98"/>
      <c r="F1997" s="98"/>
      <c r="G1997" s="98"/>
      <c r="H1997" s="299" t="e">
        <f>VLOOKUP(LEFT('Rev Adequacy'!D1997,3),'Mapping B'!$D$2:$E$400,2,0)</f>
        <v>#N/A</v>
      </c>
    </row>
    <row r="1998" spans="2:68" x14ac:dyDescent="0.25">
      <c r="B1998" s="98"/>
      <c r="C1998" s="98"/>
      <c r="D1998" s="98"/>
      <c r="E1998" s="98"/>
      <c r="F1998" s="98"/>
      <c r="G1998" s="98"/>
      <c r="H1998" s="299" t="e">
        <f>VLOOKUP(LEFT('Rev Adequacy'!D1998,3),'Mapping B'!$D$2:$E$400,2,0)</f>
        <v>#N/A</v>
      </c>
    </row>
    <row r="1999" spans="2:68" x14ac:dyDescent="0.25">
      <c r="B1999" s="98"/>
      <c r="C1999" s="98"/>
      <c r="D1999" s="98"/>
      <c r="E1999" s="98"/>
      <c r="F1999" s="98"/>
      <c r="G1999" s="98"/>
      <c r="H1999" s="299" t="e">
        <f>VLOOKUP(LEFT('Rev Adequacy'!D1999,3),'Mapping B'!$D$2:$E$400,2,0)</f>
        <v>#N/A</v>
      </c>
    </row>
    <row r="2000" spans="2:68" x14ac:dyDescent="0.25">
      <c r="B2000" s="98"/>
      <c r="C2000" s="98"/>
      <c r="D2000" s="98"/>
      <c r="E2000" s="98"/>
      <c r="F2000" s="98"/>
      <c r="G2000" s="98"/>
      <c r="H2000" s="299" t="e">
        <f>VLOOKUP(LEFT('Rev Adequacy'!D2000,3),'Mapping B'!$D$2:$E$400,2,0)</f>
        <v>#N/A</v>
      </c>
    </row>
    <row r="2001" spans="2:8" x14ac:dyDescent="0.25">
      <c r="B2001" s="98"/>
      <c r="C2001" s="98"/>
      <c r="D2001" s="98"/>
      <c r="E2001" s="98"/>
      <c r="F2001" s="98"/>
      <c r="G2001" s="98"/>
      <c r="H2001" s="299" t="e">
        <f>VLOOKUP(LEFT('Rev Adequacy'!D2001,3),'Mapping B'!$D$2:$E$400,2,0)</f>
        <v>#N/A</v>
      </c>
    </row>
    <row r="2002" spans="2:8" x14ac:dyDescent="0.25">
      <c r="B2002" s="98"/>
      <c r="C2002" s="98"/>
      <c r="D2002" s="98"/>
      <c r="E2002" s="98"/>
      <c r="F2002" s="98"/>
      <c r="G2002" s="98"/>
      <c r="H2002" s="299" t="e">
        <f>VLOOKUP(LEFT('Rev Adequacy'!D2002,3),'Mapping B'!$D$2:$E$400,2,0)</f>
        <v>#N/A</v>
      </c>
    </row>
    <row r="2003" spans="2:8" x14ac:dyDescent="0.25">
      <c r="B2003" s="98"/>
      <c r="C2003" s="98"/>
      <c r="D2003" s="98"/>
      <c r="E2003" s="98"/>
      <c r="F2003" s="98"/>
      <c r="G2003" s="98"/>
      <c r="H2003" s="299" t="e">
        <f>VLOOKUP(LEFT('Rev Adequacy'!D2003,3),'Mapping B'!$D$2:$E$400,2,0)</f>
        <v>#N/A</v>
      </c>
    </row>
    <row r="2004" spans="2:8" x14ac:dyDescent="0.25">
      <c r="B2004" s="98"/>
      <c r="C2004" s="98"/>
      <c r="D2004" s="98"/>
      <c r="E2004" s="98"/>
      <c r="F2004" s="98"/>
      <c r="G2004" s="98"/>
      <c r="H2004" s="299" t="e">
        <f>VLOOKUP(LEFT('Rev Adequacy'!D2004,3),'Mapping B'!$D$2:$E$400,2,0)</f>
        <v>#N/A</v>
      </c>
    </row>
    <row r="2005" spans="2:8" x14ac:dyDescent="0.25">
      <c r="B2005" s="98"/>
      <c r="C2005" s="98"/>
      <c r="D2005" s="98"/>
      <c r="E2005" s="98"/>
      <c r="F2005" s="98"/>
      <c r="G2005" s="98"/>
      <c r="H2005" s="299" t="e">
        <f>VLOOKUP(LEFT('Rev Adequacy'!D2005,3),'Mapping B'!$D$2:$E$400,2,0)</f>
        <v>#N/A</v>
      </c>
    </row>
    <row r="2006" spans="2:8" x14ac:dyDescent="0.25">
      <c r="B2006" s="98"/>
      <c r="C2006" s="98"/>
      <c r="D2006" s="98"/>
      <c r="E2006" s="98"/>
      <c r="F2006" s="98"/>
      <c r="G2006" s="98"/>
      <c r="H2006" s="299" t="e">
        <f>VLOOKUP(LEFT('Rev Adequacy'!D2006,3),'Mapping B'!$D$2:$E$400,2,0)</f>
        <v>#N/A</v>
      </c>
    </row>
    <row r="2007" spans="2:8" x14ac:dyDescent="0.25">
      <c r="B2007" s="98"/>
      <c r="C2007" s="98"/>
      <c r="D2007" s="98"/>
      <c r="E2007" s="98"/>
      <c r="F2007" s="98"/>
      <c r="G2007" s="98"/>
      <c r="H2007" s="299" t="e">
        <f>VLOOKUP(LEFT('Rev Adequacy'!D2007,3),'Mapping B'!$D$2:$E$400,2,0)</f>
        <v>#N/A</v>
      </c>
    </row>
    <row r="2008" spans="2:8" x14ac:dyDescent="0.25">
      <c r="B2008" s="98"/>
      <c r="C2008" s="98"/>
      <c r="D2008" s="98"/>
      <c r="E2008" s="98"/>
      <c r="F2008" s="98"/>
      <c r="G2008" s="98"/>
      <c r="H2008" s="299" t="e">
        <f>VLOOKUP(LEFT('Rev Adequacy'!D2008,3),'Mapping B'!$D$2:$E$400,2,0)</f>
        <v>#N/A</v>
      </c>
    </row>
    <row r="2009" spans="2:8" x14ac:dyDescent="0.25">
      <c r="B2009" s="144"/>
      <c r="C2009" s="144"/>
      <c r="D2009" s="144"/>
      <c r="E2009" s="144"/>
      <c r="F2009" s="144"/>
      <c r="G2009" s="144"/>
      <c r="H2009" s="299" t="e">
        <f>VLOOKUP(LEFT('Rev Adequacy'!D2009,3),'Mapping B'!$D$2:$E$400,2,0)</f>
        <v>#N/A</v>
      </c>
    </row>
    <row r="2010" spans="2:8" x14ac:dyDescent="0.25">
      <c r="B2010" s="144"/>
      <c r="C2010" s="144"/>
      <c r="D2010" s="144"/>
      <c r="E2010" s="144"/>
      <c r="F2010" s="144"/>
      <c r="G2010" s="144"/>
      <c r="H2010" s="299" t="e">
        <f>VLOOKUP(LEFT('Rev Adequacy'!D2010,3),'Mapping B'!$D$2:$E$400,2,0)</f>
        <v>#N/A</v>
      </c>
    </row>
    <row r="2011" spans="2:8" x14ac:dyDescent="0.25">
      <c r="B2011" s="144"/>
      <c r="C2011" s="144"/>
      <c r="D2011" s="144"/>
      <c r="E2011" s="144"/>
      <c r="F2011" s="144"/>
      <c r="G2011" s="144"/>
      <c r="H2011" s="299" t="e">
        <f>VLOOKUP(LEFT('Rev Adequacy'!D2011,3),'Mapping B'!$D$2:$E$400,2,0)</f>
        <v>#N/A</v>
      </c>
    </row>
    <row r="2012" spans="2:8" x14ac:dyDescent="0.25">
      <c r="B2012" s="144"/>
      <c r="C2012" s="144"/>
      <c r="D2012" s="144"/>
      <c r="E2012" s="144"/>
      <c r="F2012" s="144"/>
      <c r="G2012" s="144"/>
      <c r="H2012" s="299" t="e">
        <f>VLOOKUP(LEFT('Rev Adequacy'!D2012,3),'Mapping B'!$D$2:$E$400,2,0)</f>
        <v>#N/A</v>
      </c>
    </row>
    <row r="2013" spans="2:8" x14ac:dyDescent="0.25">
      <c r="B2013" s="144"/>
      <c r="C2013" s="144"/>
      <c r="D2013" s="144"/>
      <c r="E2013" s="144"/>
      <c r="F2013" s="144"/>
      <c r="G2013" s="144"/>
      <c r="H2013" s="299" t="e">
        <f>VLOOKUP(LEFT('Rev Adequacy'!D2013,3),'Mapping B'!$D$2:$E$400,2,0)</f>
        <v>#N/A</v>
      </c>
    </row>
    <row r="2014" spans="2:8" x14ac:dyDescent="0.25">
      <c r="B2014" s="144"/>
      <c r="C2014" s="144"/>
      <c r="D2014" s="144"/>
      <c r="E2014" s="144"/>
      <c r="F2014" s="144"/>
      <c r="G2014" s="144"/>
      <c r="H2014" s="299" t="e">
        <f>VLOOKUP(LEFT('Rev Adequacy'!D2014,3),'Mapping B'!$D$2:$E$400,2,0)</f>
        <v>#N/A</v>
      </c>
    </row>
    <row r="2015" spans="2:8" x14ac:dyDescent="0.25">
      <c r="B2015" s="144"/>
      <c r="C2015" s="144"/>
      <c r="D2015" s="144"/>
      <c r="E2015" s="144"/>
      <c r="F2015" s="144"/>
      <c r="G2015" s="144"/>
      <c r="H2015" s="299" t="e">
        <f>VLOOKUP(LEFT('Rev Adequacy'!D2015,3),'Mapping B'!$D$2:$E$400,2,0)</f>
        <v>#N/A</v>
      </c>
    </row>
    <row r="2016" spans="2:8" x14ac:dyDescent="0.25">
      <c r="B2016" s="144"/>
      <c r="C2016" s="144"/>
      <c r="D2016" s="144"/>
      <c r="E2016" s="144"/>
      <c r="F2016" s="144"/>
      <c r="G2016" s="144"/>
      <c r="H2016" s="299" t="e">
        <f>VLOOKUP(LEFT('Rev Adequacy'!D2016,3),'Mapping B'!$D$2:$E$400,2,0)</f>
        <v>#N/A</v>
      </c>
    </row>
    <row r="2017" spans="2:8" x14ac:dyDescent="0.25">
      <c r="B2017" s="144"/>
      <c r="C2017" s="144"/>
      <c r="D2017" s="144"/>
      <c r="E2017" s="144"/>
      <c r="F2017" s="144"/>
      <c r="G2017" s="144"/>
      <c r="H2017" s="299" t="e">
        <f>VLOOKUP(LEFT('Rev Adequacy'!D2017,3),'Mapping B'!$D$2:$E$400,2,0)</f>
        <v>#N/A</v>
      </c>
    </row>
    <row r="2018" spans="2:8" x14ac:dyDescent="0.25">
      <c r="B2018" s="144"/>
      <c r="C2018" s="144"/>
      <c r="D2018" s="144"/>
      <c r="E2018" s="144"/>
      <c r="F2018" s="144"/>
      <c r="G2018" s="144"/>
      <c r="H2018" s="299" t="e">
        <f>VLOOKUP(LEFT('Rev Adequacy'!D2018,3),'Mapping B'!$D$2:$E$400,2,0)</f>
        <v>#N/A</v>
      </c>
    </row>
    <row r="2019" spans="2:8" x14ac:dyDescent="0.25">
      <c r="B2019" s="144"/>
      <c r="C2019" s="144"/>
      <c r="D2019" s="144"/>
      <c r="E2019" s="144"/>
      <c r="F2019" s="144"/>
      <c r="G2019" s="144"/>
      <c r="H2019" s="299" t="e">
        <f>VLOOKUP(LEFT('Rev Adequacy'!D2019,3),'Mapping B'!$D$2:$E$400,2,0)</f>
        <v>#N/A</v>
      </c>
    </row>
    <row r="2020" spans="2:8" x14ac:dyDescent="0.25">
      <c r="B2020" s="144"/>
      <c r="C2020" s="144"/>
      <c r="D2020" s="144"/>
      <c r="E2020" s="144"/>
      <c r="F2020" s="144"/>
      <c r="G2020" s="144"/>
      <c r="H2020" s="299" t="e">
        <f>VLOOKUP(LEFT('Rev Adequacy'!D2020,3),'Mapping B'!$D$2:$E$400,2,0)</f>
        <v>#N/A</v>
      </c>
    </row>
    <row r="2021" spans="2:8" x14ac:dyDescent="0.25">
      <c r="B2021" s="144"/>
      <c r="C2021" s="144"/>
      <c r="D2021" s="144"/>
      <c r="E2021" s="144"/>
      <c r="F2021" s="144"/>
      <c r="G2021" s="144"/>
      <c r="H2021" s="299" t="e">
        <f>VLOOKUP(LEFT('Rev Adequacy'!D2021,3),'Mapping B'!$D$2:$E$400,2,0)</f>
        <v>#N/A</v>
      </c>
    </row>
    <row r="2022" spans="2:8" x14ac:dyDescent="0.25">
      <c r="B2022" s="144"/>
      <c r="C2022" s="144"/>
      <c r="D2022" s="144"/>
      <c r="E2022" s="144"/>
      <c r="F2022" s="144"/>
      <c r="G2022" s="144"/>
      <c r="H2022" s="299" t="e">
        <f>VLOOKUP(LEFT('Rev Adequacy'!D2022,3),'Mapping B'!$D$2:$E$400,2,0)</f>
        <v>#N/A</v>
      </c>
    </row>
    <row r="2023" spans="2:8" x14ac:dyDescent="0.25">
      <c r="B2023" s="144"/>
      <c r="C2023" s="144"/>
      <c r="D2023" s="144"/>
      <c r="E2023" s="144"/>
      <c r="F2023" s="144"/>
      <c r="G2023" s="144"/>
      <c r="H2023" s="299" t="e">
        <f>VLOOKUP(LEFT('Rev Adequacy'!D2023,3),'Mapping B'!$D$2:$E$400,2,0)</f>
        <v>#N/A</v>
      </c>
    </row>
    <row r="2024" spans="2:8" x14ac:dyDescent="0.25">
      <c r="B2024" s="144"/>
      <c r="C2024" s="144"/>
      <c r="D2024" s="144"/>
      <c r="E2024" s="144"/>
      <c r="F2024" s="144"/>
      <c r="G2024" s="144"/>
      <c r="H2024" s="299" t="e">
        <f>VLOOKUP(LEFT('Rev Adequacy'!D2024,3),'Mapping B'!$D$2:$E$400,2,0)</f>
        <v>#N/A</v>
      </c>
    </row>
    <row r="2025" spans="2:8" x14ac:dyDescent="0.25">
      <c r="B2025" s="144"/>
      <c r="C2025" s="144"/>
      <c r="D2025" s="144"/>
      <c r="E2025" s="144"/>
      <c r="F2025" s="144"/>
      <c r="G2025" s="144"/>
      <c r="H2025" s="299" t="e">
        <f>VLOOKUP(LEFT('Rev Adequacy'!D2025,3),'Mapping B'!$D$2:$E$400,2,0)</f>
        <v>#N/A</v>
      </c>
    </row>
    <row r="2026" spans="2:8" x14ac:dyDescent="0.25">
      <c r="B2026" s="144"/>
      <c r="C2026" s="144"/>
      <c r="D2026" s="144"/>
      <c r="E2026" s="144"/>
      <c r="F2026" s="144"/>
      <c r="G2026" s="144"/>
      <c r="H2026" s="299" t="e">
        <f>VLOOKUP(LEFT('Rev Adequacy'!D2026,3),'Mapping B'!$D$2:$E$400,2,0)</f>
        <v>#N/A</v>
      </c>
    </row>
    <row r="2027" spans="2:8" x14ac:dyDescent="0.25">
      <c r="B2027" s="144"/>
      <c r="C2027" s="144"/>
      <c r="D2027" s="144"/>
      <c r="E2027" s="144"/>
      <c r="F2027" s="144"/>
      <c r="G2027" s="144"/>
      <c r="H2027" s="299" t="e">
        <f>VLOOKUP(LEFT('Rev Adequacy'!D2027,3),'Mapping B'!$D$2:$E$400,2,0)</f>
        <v>#N/A</v>
      </c>
    </row>
    <row r="2028" spans="2:8" x14ac:dyDescent="0.25">
      <c r="B2028" s="144"/>
      <c r="C2028" s="144"/>
      <c r="D2028" s="144"/>
      <c r="E2028" s="144"/>
      <c r="F2028" s="144"/>
      <c r="G2028" s="144"/>
      <c r="H2028" s="299" t="e">
        <f>VLOOKUP(LEFT('Rev Adequacy'!D2028,3),'Mapping B'!$D$2:$E$400,2,0)</f>
        <v>#N/A</v>
      </c>
    </row>
    <row r="2029" spans="2:8" x14ac:dyDescent="0.25">
      <c r="B2029" s="144"/>
      <c r="C2029" s="144"/>
      <c r="D2029" s="144"/>
      <c r="E2029" s="144"/>
      <c r="F2029" s="144"/>
      <c r="G2029" s="144"/>
      <c r="H2029" s="299" t="e">
        <f>VLOOKUP(LEFT('Rev Adequacy'!D2029,3),'Mapping B'!$D$2:$E$400,2,0)</f>
        <v>#N/A</v>
      </c>
    </row>
    <row r="2030" spans="2:8" x14ac:dyDescent="0.25">
      <c r="B2030" s="144"/>
      <c r="C2030" s="144"/>
      <c r="D2030" s="144"/>
      <c r="E2030" s="144"/>
      <c r="F2030" s="144"/>
      <c r="G2030" s="144"/>
      <c r="H2030" s="299" t="e">
        <f>VLOOKUP(LEFT('Rev Adequacy'!D2030,3),'Mapping B'!$D$2:$E$400,2,0)</f>
        <v>#N/A</v>
      </c>
    </row>
    <row r="2031" spans="2:8" x14ac:dyDescent="0.25">
      <c r="B2031" s="144"/>
      <c r="C2031" s="144"/>
      <c r="D2031" s="144"/>
      <c r="E2031" s="144"/>
      <c r="F2031" s="144"/>
      <c r="G2031" s="144"/>
      <c r="H2031" s="299" t="e">
        <f>VLOOKUP(LEFT('Rev Adequacy'!D2031,3),'Mapping B'!$D$2:$E$400,2,0)</f>
        <v>#N/A</v>
      </c>
    </row>
    <row r="2032" spans="2:8" x14ac:dyDescent="0.25">
      <c r="B2032" s="144"/>
      <c r="C2032" s="144"/>
      <c r="D2032" s="144"/>
      <c r="E2032" s="144"/>
      <c r="F2032" s="144"/>
      <c r="G2032" s="144"/>
      <c r="H2032" s="299" t="e">
        <f>VLOOKUP(LEFT('Rev Adequacy'!D2032,3),'Mapping B'!$D$2:$E$400,2,0)</f>
        <v>#N/A</v>
      </c>
    </row>
    <row r="2033" spans="2:8" x14ac:dyDescent="0.25">
      <c r="B2033" s="144"/>
      <c r="C2033" s="144"/>
      <c r="D2033" s="144"/>
      <c r="E2033" s="144"/>
      <c r="F2033" s="144"/>
      <c r="G2033" s="144"/>
      <c r="H2033" s="299" t="e">
        <f>VLOOKUP(LEFT('Rev Adequacy'!D2033,3),'Mapping B'!$D$2:$E$400,2,0)</f>
        <v>#N/A</v>
      </c>
    </row>
    <row r="2034" spans="2:8" x14ac:dyDescent="0.25">
      <c r="B2034" s="144"/>
      <c r="C2034" s="144"/>
      <c r="D2034" s="144"/>
      <c r="E2034" s="144"/>
      <c r="F2034" s="144"/>
      <c r="G2034" s="144"/>
      <c r="H2034" s="299" t="e">
        <f>VLOOKUP(LEFT('Rev Adequacy'!D2034,3),'Mapping B'!$D$2:$E$400,2,0)</f>
        <v>#N/A</v>
      </c>
    </row>
    <row r="2035" spans="2:8" x14ac:dyDescent="0.25">
      <c r="B2035" s="144"/>
      <c r="C2035" s="144"/>
      <c r="D2035" s="144"/>
      <c r="E2035" s="144"/>
      <c r="F2035" s="144"/>
      <c r="G2035" s="144"/>
      <c r="H2035" s="299" t="e">
        <f>VLOOKUP(LEFT('Rev Adequacy'!D2035,3),'Mapping B'!$D$2:$E$400,2,0)</f>
        <v>#N/A</v>
      </c>
    </row>
    <row r="2036" spans="2:8" x14ac:dyDescent="0.25">
      <c r="B2036" s="144"/>
      <c r="C2036" s="144"/>
      <c r="D2036" s="144"/>
      <c r="E2036" s="144"/>
      <c r="F2036" s="144"/>
      <c r="G2036" s="144"/>
      <c r="H2036" s="299" t="e">
        <f>VLOOKUP(LEFT('Rev Adequacy'!D2036,3),'Mapping B'!$D$2:$E$400,2,0)</f>
        <v>#N/A</v>
      </c>
    </row>
    <row r="2037" spans="2:8" x14ac:dyDescent="0.25">
      <c r="B2037" s="144"/>
      <c r="C2037" s="144"/>
      <c r="D2037" s="144"/>
      <c r="E2037" s="144"/>
      <c r="F2037" s="144"/>
      <c r="G2037" s="144"/>
      <c r="H2037" s="299" t="e">
        <f>VLOOKUP(LEFT('Rev Adequacy'!D2037,3),'Mapping B'!$D$2:$E$400,2,0)</f>
        <v>#N/A</v>
      </c>
    </row>
    <row r="2038" spans="2:8" x14ac:dyDescent="0.25">
      <c r="B2038" s="144"/>
      <c r="C2038" s="144"/>
      <c r="D2038" s="144"/>
      <c r="E2038" s="144"/>
      <c r="F2038" s="144"/>
      <c r="G2038" s="144"/>
      <c r="H2038" s="299" t="e">
        <f>VLOOKUP(LEFT('Rev Adequacy'!D2038,3),'Mapping B'!$D$2:$E$400,2,0)</f>
        <v>#N/A</v>
      </c>
    </row>
    <row r="2039" spans="2:8" x14ac:dyDescent="0.25">
      <c r="B2039" s="144"/>
      <c r="C2039" s="144"/>
      <c r="D2039" s="144"/>
      <c r="E2039" s="144"/>
      <c r="F2039" s="144"/>
      <c r="G2039" s="144"/>
      <c r="H2039" s="299" t="e">
        <f>VLOOKUP(LEFT('Rev Adequacy'!D2039,3),'Mapping B'!$D$2:$E$400,2,0)</f>
        <v>#N/A</v>
      </c>
    </row>
    <row r="2040" spans="2:8" x14ac:dyDescent="0.25">
      <c r="B2040" s="144"/>
      <c r="C2040" s="144"/>
      <c r="D2040" s="144"/>
      <c r="E2040" s="144"/>
      <c r="F2040" s="144"/>
      <c r="G2040" s="144"/>
      <c r="H2040" s="299" t="e">
        <f>VLOOKUP(LEFT('Rev Adequacy'!D2040,3),'Mapping B'!$D$2:$E$400,2,0)</f>
        <v>#N/A</v>
      </c>
    </row>
    <row r="2041" spans="2:8" x14ac:dyDescent="0.25">
      <c r="B2041" s="144"/>
      <c r="C2041" s="144"/>
      <c r="D2041" s="144"/>
      <c r="E2041" s="144"/>
      <c r="F2041" s="144"/>
      <c r="G2041" s="144"/>
      <c r="H2041" s="299" t="e">
        <f>VLOOKUP(LEFT('Rev Adequacy'!D2041,3),'Mapping B'!$D$2:$E$400,2,0)</f>
        <v>#N/A</v>
      </c>
    </row>
    <row r="2042" spans="2:8" x14ac:dyDescent="0.25">
      <c r="B2042" s="144"/>
      <c r="C2042" s="144"/>
      <c r="D2042" s="144"/>
      <c r="E2042" s="144"/>
      <c r="F2042" s="144"/>
      <c r="G2042" s="144"/>
      <c r="H2042" s="299" t="e">
        <f>VLOOKUP(LEFT('Rev Adequacy'!D2042,3),'Mapping B'!$D$2:$E$400,2,0)</f>
        <v>#N/A</v>
      </c>
    </row>
    <row r="2043" spans="2:8" x14ac:dyDescent="0.25">
      <c r="B2043" s="144"/>
      <c r="C2043" s="144"/>
      <c r="D2043" s="144"/>
      <c r="E2043" s="144"/>
      <c r="F2043" s="144"/>
      <c r="G2043" s="144"/>
      <c r="H2043" s="299" t="e">
        <f>VLOOKUP(LEFT('Rev Adequacy'!D2043,3),'Mapping B'!$D$2:$E$400,2,0)</f>
        <v>#N/A</v>
      </c>
    </row>
    <row r="2044" spans="2:8" x14ac:dyDescent="0.25">
      <c r="B2044" s="144"/>
      <c r="C2044" s="144"/>
      <c r="D2044" s="144"/>
      <c r="E2044" s="144"/>
      <c r="F2044" s="144"/>
      <c r="G2044" s="144"/>
      <c r="H2044" s="299" t="e">
        <f>VLOOKUP(LEFT('Rev Adequacy'!D2044,3),'Mapping B'!$D$2:$E$400,2,0)</f>
        <v>#N/A</v>
      </c>
    </row>
    <row r="2045" spans="2:8" x14ac:dyDescent="0.25">
      <c r="B2045" s="144"/>
      <c r="C2045" s="144"/>
      <c r="D2045" s="144"/>
      <c r="E2045" s="144"/>
      <c r="F2045" s="144"/>
      <c r="G2045" s="144"/>
      <c r="H2045" s="299" t="e">
        <f>VLOOKUP(LEFT('Rev Adequacy'!D2045,3),'Mapping B'!$D$2:$E$400,2,0)</f>
        <v>#N/A</v>
      </c>
    </row>
    <row r="2046" spans="2:8" x14ac:dyDescent="0.25">
      <c r="B2046" s="144"/>
      <c r="C2046" s="144"/>
      <c r="D2046" s="144"/>
      <c r="E2046" s="144"/>
      <c r="F2046" s="144"/>
      <c r="G2046" s="144"/>
      <c r="H2046" s="299" t="e">
        <f>VLOOKUP(LEFT('Rev Adequacy'!D2046,3),'Mapping B'!$D$2:$E$400,2,0)</f>
        <v>#N/A</v>
      </c>
    </row>
    <row r="2047" spans="2:8" x14ac:dyDescent="0.25">
      <c r="B2047" s="144"/>
      <c r="C2047" s="144"/>
      <c r="D2047" s="144"/>
      <c r="E2047" s="144"/>
      <c r="F2047" s="144"/>
      <c r="G2047" s="144"/>
      <c r="H2047" s="299" t="e">
        <f>VLOOKUP(LEFT('Rev Adequacy'!D2047,3),'Mapping B'!$D$2:$E$400,2,0)</f>
        <v>#N/A</v>
      </c>
    </row>
    <row r="2048" spans="2:8" x14ac:dyDescent="0.25">
      <c r="B2048" s="144"/>
      <c r="C2048" s="144"/>
      <c r="D2048" s="144"/>
      <c r="E2048" s="144"/>
      <c r="F2048" s="144"/>
      <c r="G2048" s="144"/>
      <c r="H2048" s="299" t="e">
        <f>VLOOKUP(LEFT('Rev Adequacy'!D2048,3),'Mapping B'!$D$2:$E$400,2,0)</f>
        <v>#N/A</v>
      </c>
    </row>
    <row r="2049" spans="2:8" x14ac:dyDescent="0.25">
      <c r="B2049" s="144"/>
      <c r="C2049" s="144"/>
      <c r="D2049" s="144"/>
      <c r="E2049" s="144"/>
      <c r="F2049" s="144"/>
      <c r="G2049" s="144"/>
      <c r="H2049" s="299" t="e">
        <f>VLOOKUP(LEFT('Rev Adequacy'!D2049,3),'Mapping B'!$D$2:$E$400,2,0)</f>
        <v>#N/A</v>
      </c>
    </row>
    <row r="2050" spans="2:8" x14ac:dyDescent="0.25">
      <c r="B2050" s="144"/>
      <c r="C2050" s="144"/>
      <c r="D2050" s="144"/>
      <c r="E2050" s="144"/>
      <c r="F2050" s="144"/>
      <c r="G2050" s="144"/>
      <c r="H2050" s="299" t="e">
        <f>VLOOKUP(LEFT('Rev Adequacy'!D2050,3),'Mapping B'!$D$2:$E$400,2,0)</f>
        <v>#N/A</v>
      </c>
    </row>
    <row r="2051" spans="2:8" x14ac:dyDescent="0.25">
      <c r="B2051" s="144"/>
      <c r="C2051" s="144"/>
      <c r="D2051" s="144"/>
      <c r="E2051" s="144"/>
      <c r="F2051" s="144"/>
      <c r="G2051" s="144"/>
      <c r="H2051" s="299" t="e">
        <f>VLOOKUP(LEFT('Rev Adequacy'!D2051,3),'Mapping B'!$D$2:$E$400,2,0)</f>
        <v>#N/A</v>
      </c>
    </row>
    <row r="2052" spans="2:8" x14ac:dyDescent="0.25">
      <c r="B2052" s="144"/>
      <c r="C2052" s="144"/>
      <c r="D2052" s="144"/>
      <c r="E2052" s="144"/>
      <c r="F2052" s="144"/>
      <c r="G2052" s="144"/>
      <c r="H2052" s="299" t="e">
        <f>VLOOKUP(LEFT('Rev Adequacy'!D2052,3),'Mapping B'!$D$2:$E$400,2,0)</f>
        <v>#N/A</v>
      </c>
    </row>
    <row r="2053" spans="2:8" x14ac:dyDescent="0.25">
      <c r="B2053" s="144"/>
      <c r="C2053" s="144"/>
      <c r="D2053" s="144"/>
      <c r="E2053" s="144"/>
      <c r="F2053" s="144"/>
      <c r="G2053" s="144"/>
      <c r="H2053" s="299" t="e">
        <f>VLOOKUP(LEFT('Rev Adequacy'!D2053,3),'Mapping B'!$D$2:$E$400,2,0)</f>
        <v>#N/A</v>
      </c>
    </row>
    <row r="2054" spans="2:8" x14ac:dyDescent="0.25">
      <c r="B2054" s="144"/>
      <c r="C2054" s="144"/>
      <c r="D2054" s="144"/>
      <c r="E2054" s="144"/>
      <c r="F2054" s="144"/>
      <c r="G2054" s="144"/>
      <c r="H2054" s="299" t="e">
        <f>VLOOKUP(LEFT('Rev Adequacy'!D2054,3),'Mapping B'!$D$2:$E$400,2,0)</f>
        <v>#N/A</v>
      </c>
    </row>
    <row r="2055" spans="2:8" x14ac:dyDescent="0.25">
      <c r="B2055" s="144"/>
      <c r="C2055" s="144"/>
      <c r="D2055" s="144"/>
      <c r="E2055" s="144"/>
      <c r="F2055" s="144"/>
      <c r="G2055" s="144"/>
      <c r="H2055" s="299" t="e">
        <f>VLOOKUP(LEFT('Rev Adequacy'!D2055,3),'Mapping B'!$D$2:$E$400,2,0)</f>
        <v>#N/A</v>
      </c>
    </row>
    <row r="2056" spans="2:8" x14ac:dyDescent="0.25">
      <c r="B2056" s="144"/>
      <c r="C2056" s="144"/>
      <c r="D2056" s="144"/>
      <c r="E2056" s="144"/>
      <c r="F2056" s="144"/>
      <c r="G2056" s="144"/>
      <c r="H2056" s="299" t="e">
        <f>VLOOKUP(LEFT('Rev Adequacy'!D2056,3),'Mapping B'!$D$2:$E$400,2,0)</f>
        <v>#N/A</v>
      </c>
    </row>
    <row r="2057" spans="2:8" x14ac:dyDescent="0.25">
      <c r="B2057" s="144"/>
      <c r="C2057" s="144"/>
      <c r="D2057" s="144"/>
      <c r="E2057" s="144"/>
      <c r="F2057" s="144"/>
      <c r="G2057" s="144"/>
      <c r="H2057" s="299" t="e">
        <f>VLOOKUP(LEFT('Rev Adequacy'!D2057,3),'Mapping B'!$D$2:$E$400,2,0)</f>
        <v>#N/A</v>
      </c>
    </row>
    <row r="2058" spans="2:8" x14ac:dyDescent="0.25">
      <c r="B2058" s="144"/>
      <c r="C2058" s="144"/>
      <c r="D2058" s="144"/>
      <c r="E2058" s="144"/>
      <c r="F2058" s="144"/>
      <c r="G2058" s="144"/>
      <c r="H2058" s="299" t="e">
        <f>VLOOKUP(LEFT('Rev Adequacy'!D2058,3),'Mapping B'!$D$2:$E$400,2,0)</f>
        <v>#N/A</v>
      </c>
    </row>
    <row r="2059" spans="2:8" x14ac:dyDescent="0.25">
      <c r="B2059" s="144"/>
      <c r="C2059" s="144"/>
      <c r="D2059" s="144"/>
      <c r="E2059" s="144"/>
      <c r="F2059" s="144"/>
      <c r="G2059" s="144"/>
      <c r="H2059" s="299" t="e">
        <f>VLOOKUP(LEFT('Rev Adequacy'!D2059,3),'Mapping B'!$D$2:$E$400,2,0)</f>
        <v>#N/A</v>
      </c>
    </row>
    <row r="2060" spans="2:8" x14ac:dyDescent="0.25">
      <c r="B2060" s="144"/>
      <c r="C2060" s="144"/>
      <c r="D2060" s="144"/>
      <c r="E2060" s="144"/>
      <c r="F2060" s="144"/>
      <c r="G2060" s="144"/>
      <c r="H2060" s="299" t="e">
        <f>VLOOKUP(LEFT('Rev Adequacy'!D2060,3),'Mapping B'!$D$2:$E$400,2,0)</f>
        <v>#N/A</v>
      </c>
    </row>
    <row r="2061" spans="2:8" x14ac:dyDescent="0.25">
      <c r="B2061" s="144"/>
      <c r="C2061" s="144"/>
      <c r="D2061" s="144"/>
      <c r="E2061" s="144"/>
      <c r="F2061" s="144"/>
      <c r="G2061" s="144"/>
      <c r="H2061" s="299" t="e">
        <f>VLOOKUP(LEFT('Rev Adequacy'!D2061,3),'Mapping B'!$D$2:$E$400,2,0)</f>
        <v>#N/A</v>
      </c>
    </row>
    <row r="2062" spans="2:8" x14ac:dyDescent="0.25">
      <c r="B2062" s="144"/>
      <c r="C2062" s="144"/>
      <c r="D2062" s="144"/>
      <c r="E2062" s="144"/>
      <c r="F2062" s="144"/>
      <c r="G2062" s="144"/>
      <c r="H2062" s="299" t="e">
        <f>VLOOKUP(LEFT('Rev Adequacy'!D2062,3),'Mapping B'!$D$2:$E$400,2,0)</f>
        <v>#N/A</v>
      </c>
    </row>
    <row r="2063" spans="2:8" x14ac:dyDescent="0.25">
      <c r="B2063" s="144"/>
      <c r="C2063" s="144"/>
      <c r="D2063" s="144"/>
      <c r="E2063" s="144"/>
      <c r="F2063" s="144"/>
      <c r="G2063" s="144"/>
      <c r="H2063" s="299" t="e">
        <f>VLOOKUP(LEFT('Rev Adequacy'!D2063,3),'Mapping B'!$D$2:$E$400,2,0)</f>
        <v>#N/A</v>
      </c>
    </row>
    <row r="2064" spans="2:8" x14ac:dyDescent="0.25">
      <c r="B2064" s="144"/>
      <c r="C2064" s="144"/>
      <c r="D2064" s="144"/>
      <c r="E2064" s="144"/>
      <c r="F2064" s="144"/>
      <c r="G2064" s="144"/>
      <c r="H2064" s="299" t="e">
        <f>VLOOKUP(LEFT('Rev Adequacy'!D2064,3),'Mapping B'!$D$2:$E$400,2,0)</f>
        <v>#N/A</v>
      </c>
    </row>
    <row r="2065" spans="2:8" x14ac:dyDescent="0.25">
      <c r="B2065" s="144"/>
      <c r="C2065" s="144"/>
      <c r="D2065" s="144"/>
      <c r="E2065" s="144"/>
      <c r="F2065" s="144"/>
      <c r="G2065" s="144"/>
      <c r="H2065" s="299" t="e">
        <f>VLOOKUP(LEFT('Rev Adequacy'!D2065,3),'Mapping B'!$D$2:$E$400,2,0)</f>
        <v>#N/A</v>
      </c>
    </row>
    <row r="2066" spans="2:8" x14ac:dyDescent="0.25">
      <c r="B2066" s="144"/>
      <c r="C2066" s="144"/>
      <c r="D2066" s="144"/>
      <c r="E2066" s="144"/>
      <c r="F2066" s="144"/>
      <c r="G2066" s="144"/>
      <c r="H2066" s="299" t="e">
        <f>VLOOKUP(LEFT('Rev Adequacy'!D2066,3),'Mapping B'!$D$2:$E$400,2,0)</f>
        <v>#N/A</v>
      </c>
    </row>
    <row r="2067" spans="2:8" x14ac:dyDescent="0.25">
      <c r="B2067" s="144"/>
      <c r="C2067" s="144"/>
      <c r="D2067" s="144"/>
      <c r="E2067" s="144"/>
      <c r="F2067" s="144"/>
      <c r="G2067" s="144"/>
      <c r="H2067" s="299" t="e">
        <f>VLOOKUP(LEFT('Rev Adequacy'!D2067,3),'Mapping B'!$D$2:$E$400,2,0)</f>
        <v>#N/A</v>
      </c>
    </row>
    <row r="2068" spans="2:8" x14ac:dyDescent="0.25">
      <c r="B2068" s="144"/>
      <c r="C2068" s="144"/>
      <c r="D2068" s="144"/>
      <c r="E2068" s="144"/>
      <c r="F2068" s="144"/>
      <c r="G2068" s="144"/>
      <c r="H2068" s="299" t="e">
        <f>VLOOKUP(LEFT('Rev Adequacy'!D2068,3),'Mapping B'!$D$2:$E$400,2,0)</f>
        <v>#N/A</v>
      </c>
    </row>
    <row r="2069" spans="2:8" x14ac:dyDescent="0.25">
      <c r="B2069" s="144"/>
      <c r="C2069" s="144"/>
      <c r="D2069" s="144"/>
      <c r="E2069" s="144"/>
      <c r="F2069" s="144"/>
      <c r="G2069" s="144"/>
      <c r="H2069" s="299" t="e">
        <f>VLOOKUP(LEFT('Rev Adequacy'!D2069,3),'Mapping B'!$D$2:$E$400,2,0)</f>
        <v>#N/A</v>
      </c>
    </row>
    <row r="2070" spans="2:8" x14ac:dyDescent="0.25">
      <c r="B2070" s="144"/>
      <c r="C2070" s="144"/>
      <c r="D2070" s="144"/>
      <c r="E2070" s="144"/>
      <c r="F2070" s="144"/>
      <c r="G2070" s="144"/>
      <c r="H2070" s="299" t="e">
        <f>VLOOKUP(LEFT('Rev Adequacy'!D2070,3),'Mapping B'!$D$2:$E$400,2,0)</f>
        <v>#N/A</v>
      </c>
    </row>
    <row r="2071" spans="2:8" x14ac:dyDescent="0.25">
      <c r="B2071" s="144"/>
      <c r="C2071" s="144"/>
      <c r="D2071" s="144"/>
      <c r="E2071" s="144"/>
      <c r="F2071" s="144"/>
      <c r="G2071" s="144"/>
      <c r="H2071" s="299" t="e">
        <f>VLOOKUP(LEFT('Rev Adequacy'!D2071,3),'Mapping B'!$D$2:$E$400,2,0)</f>
        <v>#N/A</v>
      </c>
    </row>
    <row r="2072" spans="2:8" x14ac:dyDescent="0.25">
      <c r="B2072" s="144"/>
      <c r="C2072" s="144"/>
      <c r="D2072" s="144"/>
      <c r="E2072" s="144"/>
      <c r="F2072" s="144"/>
      <c r="G2072" s="144"/>
      <c r="H2072" s="299" t="e">
        <f>VLOOKUP(LEFT('Rev Adequacy'!D2072,3),'Mapping B'!$D$2:$E$400,2,0)</f>
        <v>#N/A</v>
      </c>
    </row>
    <row r="2073" spans="2:8" x14ac:dyDescent="0.25">
      <c r="B2073" s="144"/>
      <c r="C2073" s="144"/>
      <c r="D2073" s="144"/>
      <c r="E2073" s="144"/>
      <c r="F2073" s="144"/>
      <c r="G2073" s="144"/>
      <c r="H2073" s="299" t="e">
        <f>VLOOKUP(LEFT('Rev Adequacy'!D2073,3),'Mapping B'!$D$2:$E$400,2,0)</f>
        <v>#N/A</v>
      </c>
    </row>
    <row r="2074" spans="2:8" x14ac:dyDescent="0.25">
      <c r="B2074" s="144"/>
      <c r="C2074" s="144"/>
      <c r="D2074" s="144"/>
      <c r="E2074" s="144"/>
      <c r="F2074" s="144"/>
      <c r="G2074" s="144"/>
      <c r="H2074" s="299" t="e">
        <f>VLOOKUP(LEFT('Rev Adequacy'!D2074,3),'Mapping B'!$D$2:$E$400,2,0)</f>
        <v>#N/A</v>
      </c>
    </row>
    <row r="2075" spans="2:8" x14ac:dyDescent="0.25">
      <c r="B2075" s="144"/>
      <c r="C2075" s="144"/>
      <c r="D2075" s="144"/>
      <c r="E2075" s="144"/>
      <c r="F2075" s="144"/>
      <c r="G2075" s="144"/>
      <c r="H2075" s="299" t="e">
        <f>VLOOKUP(LEFT('Rev Adequacy'!D2075,3),'Mapping B'!$D$2:$E$400,2,0)</f>
        <v>#N/A</v>
      </c>
    </row>
    <row r="2076" spans="2:8" x14ac:dyDescent="0.25">
      <c r="B2076" s="144"/>
      <c r="C2076" s="144"/>
      <c r="D2076" s="144"/>
      <c r="E2076" s="144"/>
      <c r="F2076" s="144"/>
      <c r="G2076" s="144"/>
      <c r="H2076" s="299" t="e">
        <f>VLOOKUP(LEFT('Rev Adequacy'!D2076,3),'Mapping B'!$D$2:$E$400,2,0)</f>
        <v>#N/A</v>
      </c>
    </row>
    <row r="2077" spans="2:8" x14ac:dyDescent="0.25">
      <c r="B2077" s="144"/>
      <c r="C2077" s="144"/>
      <c r="D2077" s="144"/>
      <c r="E2077" s="144"/>
      <c r="F2077" s="144"/>
      <c r="G2077" s="144"/>
      <c r="H2077" s="299" t="e">
        <f>VLOOKUP(LEFT('Rev Adequacy'!D2077,3),'Mapping B'!$D$2:$E$400,2,0)</f>
        <v>#N/A</v>
      </c>
    </row>
    <row r="2078" spans="2:8" x14ac:dyDescent="0.25">
      <c r="B2078" s="144"/>
      <c r="C2078" s="144"/>
      <c r="D2078" s="144"/>
      <c r="E2078" s="144"/>
      <c r="F2078" s="144"/>
      <c r="G2078" s="144"/>
      <c r="H2078" s="299" t="e">
        <f>VLOOKUP(LEFT('Rev Adequacy'!D2078,3),'Mapping B'!$D$2:$E$400,2,0)</f>
        <v>#N/A</v>
      </c>
    </row>
    <row r="2079" spans="2:8" x14ac:dyDescent="0.25">
      <c r="B2079" s="144"/>
      <c r="C2079" s="144"/>
      <c r="D2079" s="144"/>
      <c r="E2079" s="144"/>
      <c r="F2079" s="144"/>
      <c r="G2079" s="144"/>
      <c r="H2079" s="299" t="e">
        <f>VLOOKUP(LEFT('Rev Adequacy'!D2079,3),'Mapping B'!$D$2:$E$400,2,0)</f>
        <v>#N/A</v>
      </c>
    </row>
    <row r="2080" spans="2:8" x14ac:dyDescent="0.25">
      <c r="B2080" s="144"/>
      <c r="C2080" s="144"/>
      <c r="D2080" s="144"/>
      <c r="E2080" s="144"/>
      <c r="F2080" s="144"/>
      <c r="G2080" s="144"/>
      <c r="H2080" s="299" t="e">
        <f>VLOOKUP(LEFT('Rev Adequacy'!D2080,3),'Mapping B'!$D$2:$E$400,2,0)</f>
        <v>#N/A</v>
      </c>
    </row>
    <row r="2081" spans="2:8" x14ac:dyDescent="0.25">
      <c r="B2081" s="144"/>
      <c r="C2081" s="144"/>
      <c r="D2081" s="144"/>
      <c r="E2081" s="144"/>
      <c r="F2081" s="144"/>
      <c r="G2081" s="144"/>
      <c r="H2081" s="299" t="e">
        <f>VLOOKUP(LEFT('Rev Adequacy'!D2081,3),'Mapping B'!$D$2:$E$400,2,0)</f>
        <v>#N/A</v>
      </c>
    </row>
    <row r="2082" spans="2:8" x14ac:dyDescent="0.25">
      <c r="B2082" s="144"/>
      <c r="C2082" s="144"/>
      <c r="D2082" s="144"/>
      <c r="E2082" s="144"/>
      <c r="F2082" s="144"/>
      <c r="G2082" s="144"/>
      <c r="H2082" s="299" t="e">
        <f>VLOOKUP(LEFT('Rev Adequacy'!D2082,3),'Mapping B'!$D$2:$E$400,2,0)</f>
        <v>#N/A</v>
      </c>
    </row>
    <row r="2083" spans="2:8" x14ac:dyDescent="0.25">
      <c r="B2083" s="144"/>
      <c r="C2083" s="144"/>
      <c r="D2083" s="144"/>
      <c r="E2083" s="144"/>
      <c r="F2083" s="144"/>
      <c r="G2083" s="144"/>
      <c r="H2083" s="299" t="e">
        <f>VLOOKUP(LEFT('Rev Adequacy'!D2083,3),'Mapping B'!$D$2:$E$400,2,0)</f>
        <v>#N/A</v>
      </c>
    </row>
    <row r="2084" spans="2:8" x14ac:dyDescent="0.25">
      <c r="B2084" s="144"/>
      <c r="C2084" s="144"/>
      <c r="D2084" s="144"/>
      <c r="E2084" s="144"/>
      <c r="F2084" s="144"/>
      <c r="G2084" s="144"/>
      <c r="H2084" s="299" t="e">
        <f>VLOOKUP(LEFT('Rev Adequacy'!D2084,3),'Mapping B'!$D$2:$E$400,2,0)</f>
        <v>#N/A</v>
      </c>
    </row>
    <row r="2085" spans="2:8" x14ac:dyDescent="0.25">
      <c r="B2085" s="144"/>
      <c r="C2085" s="144"/>
      <c r="D2085" s="144"/>
      <c r="E2085" s="144"/>
      <c r="F2085" s="144"/>
      <c r="G2085" s="144"/>
      <c r="H2085" s="299" t="e">
        <f>VLOOKUP(LEFT('Rev Adequacy'!D2085,3),'Mapping B'!$D$2:$E$400,2,0)</f>
        <v>#N/A</v>
      </c>
    </row>
    <row r="2086" spans="2:8" x14ac:dyDescent="0.25">
      <c r="B2086" s="144"/>
      <c r="C2086" s="144"/>
      <c r="D2086" s="144"/>
      <c r="E2086" s="144"/>
      <c r="F2086" s="144"/>
      <c r="G2086" s="144"/>
      <c r="H2086" s="299" t="e">
        <f>VLOOKUP(LEFT('Rev Adequacy'!D2086,3),'Mapping B'!$D$2:$E$400,2,0)</f>
        <v>#N/A</v>
      </c>
    </row>
    <row r="2087" spans="2:8" x14ac:dyDescent="0.25">
      <c r="B2087" s="144"/>
      <c r="C2087" s="144"/>
      <c r="D2087" s="144"/>
      <c r="E2087" s="144"/>
      <c r="F2087" s="144"/>
      <c r="G2087" s="144"/>
      <c r="H2087" s="299" t="e">
        <f>VLOOKUP(LEFT('Rev Adequacy'!D2087,3),'Mapping B'!$D$2:$E$400,2,0)</f>
        <v>#N/A</v>
      </c>
    </row>
    <row r="2088" spans="2:8" x14ac:dyDescent="0.25">
      <c r="B2088" s="144"/>
      <c r="C2088" s="144"/>
      <c r="D2088" s="144"/>
      <c r="E2088" s="144"/>
      <c r="F2088" s="144"/>
      <c r="G2088" s="144"/>
      <c r="H2088" s="299" t="e">
        <f>VLOOKUP(LEFT('Rev Adequacy'!D2088,3),'Mapping B'!$D$2:$E$400,2,0)</f>
        <v>#N/A</v>
      </c>
    </row>
    <row r="2089" spans="2:8" x14ac:dyDescent="0.25">
      <c r="B2089" s="144"/>
      <c r="C2089" s="144"/>
      <c r="D2089" s="144"/>
      <c r="E2089" s="144"/>
      <c r="F2089" s="144"/>
      <c r="G2089" s="144"/>
      <c r="H2089" s="299" t="e">
        <f>VLOOKUP(LEFT('Rev Adequacy'!D2089,3),'Mapping B'!$D$2:$E$400,2,0)</f>
        <v>#N/A</v>
      </c>
    </row>
    <row r="2090" spans="2:8" x14ac:dyDescent="0.25">
      <c r="B2090" s="144"/>
      <c r="C2090" s="144"/>
      <c r="D2090" s="144"/>
      <c r="E2090" s="144"/>
      <c r="F2090" s="144"/>
      <c r="G2090" s="144"/>
      <c r="H2090" s="299" t="e">
        <f>VLOOKUP(LEFT('Rev Adequacy'!D2090,3),'Mapping B'!$D$2:$E$400,2,0)</f>
        <v>#N/A</v>
      </c>
    </row>
    <row r="2091" spans="2:8" x14ac:dyDescent="0.25">
      <c r="B2091" s="144"/>
      <c r="C2091" s="144"/>
      <c r="D2091" s="144"/>
      <c r="E2091" s="144"/>
      <c r="F2091" s="144"/>
      <c r="G2091" s="144"/>
      <c r="H2091" s="299" t="e">
        <f>VLOOKUP(LEFT('Rev Adequacy'!D2091,3),'Mapping B'!$D$2:$E$400,2,0)</f>
        <v>#N/A</v>
      </c>
    </row>
    <row r="2092" spans="2:8" x14ac:dyDescent="0.25">
      <c r="B2092" s="144"/>
      <c r="C2092" s="144"/>
      <c r="D2092" s="144"/>
      <c r="E2092" s="144"/>
      <c r="F2092" s="144"/>
      <c r="G2092" s="144"/>
      <c r="H2092" s="299" t="e">
        <f>VLOOKUP(LEFT('Rev Adequacy'!D2092,3),'Mapping B'!$D$2:$E$400,2,0)</f>
        <v>#N/A</v>
      </c>
    </row>
    <row r="2093" spans="2:8" x14ac:dyDescent="0.25">
      <c r="B2093" s="144"/>
      <c r="C2093" s="144"/>
      <c r="D2093" s="144"/>
      <c r="E2093" s="144"/>
      <c r="F2093" s="144"/>
      <c r="G2093" s="144"/>
      <c r="H2093" s="299" t="e">
        <f>VLOOKUP(LEFT('Rev Adequacy'!D2093,3),'Mapping B'!$D$2:$E$400,2,0)</f>
        <v>#N/A</v>
      </c>
    </row>
    <row r="2094" spans="2:8" x14ac:dyDescent="0.25">
      <c r="B2094" s="144"/>
      <c r="C2094" s="144"/>
      <c r="D2094" s="144"/>
      <c r="E2094" s="144"/>
      <c r="F2094" s="144"/>
      <c r="G2094" s="144"/>
      <c r="H2094" s="299" t="e">
        <f>VLOOKUP(LEFT('Rev Adequacy'!D2094,3),'Mapping B'!$D$2:$E$400,2,0)</f>
        <v>#N/A</v>
      </c>
    </row>
    <row r="2095" spans="2:8" x14ac:dyDescent="0.25">
      <c r="B2095" s="144"/>
      <c r="C2095" s="144"/>
      <c r="D2095" s="144"/>
      <c r="E2095" s="144"/>
      <c r="F2095" s="144"/>
      <c r="G2095" s="144"/>
      <c r="H2095" s="299" t="e">
        <f>VLOOKUP(LEFT('Rev Adequacy'!D2095,3),'Mapping B'!$D$2:$E$400,2,0)</f>
        <v>#N/A</v>
      </c>
    </row>
    <row r="2096" spans="2:8" x14ac:dyDescent="0.25">
      <c r="B2096" s="144"/>
      <c r="C2096" s="144"/>
      <c r="D2096" s="144"/>
      <c r="E2096" s="144"/>
      <c r="F2096" s="144"/>
      <c r="G2096" s="144"/>
      <c r="H2096" s="299" t="e">
        <f>VLOOKUP(LEFT('Rev Adequacy'!D2096,3),'Mapping B'!$D$2:$E$400,2,0)</f>
        <v>#N/A</v>
      </c>
    </row>
    <row r="2097" spans="2:8" x14ac:dyDescent="0.25">
      <c r="B2097" s="144"/>
      <c r="C2097" s="144"/>
      <c r="D2097" s="144"/>
      <c r="E2097" s="144"/>
      <c r="F2097" s="144"/>
      <c r="G2097" s="144"/>
      <c r="H2097" s="299" t="e">
        <f>VLOOKUP(LEFT('Rev Adequacy'!D2097,3),'Mapping B'!$D$2:$E$400,2,0)</f>
        <v>#N/A</v>
      </c>
    </row>
    <row r="2098" spans="2:8" x14ac:dyDescent="0.25">
      <c r="B2098" s="144"/>
      <c r="C2098" s="144"/>
      <c r="D2098" s="144"/>
      <c r="E2098" s="144"/>
      <c r="F2098" s="144"/>
      <c r="G2098" s="144"/>
      <c r="H2098" s="299" t="e">
        <f>VLOOKUP(LEFT('Rev Adequacy'!D2098,3),'Mapping B'!$D$2:$E$400,2,0)</f>
        <v>#N/A</v>
      </c>
    </row>
    <row r="2099" spans="2:8" x14ac:dyDescent="0.25">
      <c r="B2099" s="144"/>
      <c r="C2099" s="144"/>
      <c r="D2099" s="144"/>
      <c r="E2099" s="144"/>
      <c r="F2099" s="144"/>
      <c r="G2099" s="144"/>
      <c r="H2099" s="299"/>
    </row>
    <row r="2100" spans="2:8" x14ac:dyDescent="0.25">
      <c r="B2100" s="144"/>
      <c r="C2100" s="144"/>
      <c r="D2100" s="144"/>
      <c r="E2100" s="144"/>
      <c r="F2100" s="144"/>
      <c r="G2100" s="144"/>
      <c r="H2100" s="299"/>
    </row>
    <row r="2101" spans="2:8" x14ac:dyDescent="0.25">
      <c r="B2101" s="144"/>
      <c r="C2101" s="144"/>
      <c r="D2101" s="144"/>
      <c r="E2101" s="144"/>
      <c r="F2101" s="144"/>
      <c r="G2101" s="144"/>
      <c r="H2101" s="299"/>
    </row>
    <row r="2102" spans="2:8" x14ac:dyDescent="0.25">
      <c r="B2102" s="144"/>
      <c r="C2102" s="144"/>
      <c r="D2102" s="144"/>
      <c r="E2102" s="144"/>
      <c r="F2102" s="144"/>
      <c r="G2102" s="144"/>
      <c r="H2102" s="299"/>
    </row>
    <row r="2103" spans="2:8" x14ac:dyDescent="0.25">
      <c r="B2103" s="144"/>
      <c r="C2103" s="144"/>
      <c r="D2103" s="144"/>
      <c r="E2103" s="144"/>
      <c r="F2103" s="144"/>
      <c r="G2103" s="144"/>
      <c r="H2103" s="299"/>
    </row>
    <row r="2104" spans="2:8" x14ac:dyDescent="0.25">
      <c r="B2104" s="144"/>
      <c r="C2104" s="144"/>
      <c r="D2104" s="144"/>
      <c r="E2104" s="144"/>
      <c r="F2104" s="144"/>
      <c r="G2104" s="144"/>
      <c r="H2104" s="299"/>
    </row>
    <row r="2105" spans="2:8" x14ac:dyDescent="0.25">
      <c r="B2105" s="144"/>
      <c r="C2105" s="144"/>
      <c r="D2105" s="144"/>
      <c r="E2105" s="144"/>
      <c r="F2105" s="144"/>
      <c r="G2105" s="144"/>
      <c r="H2105" s="299"/>
    </row>
    <row r="2106" spans="2:8" x14ac:dyDescent="0.25">
      <c r="B2106" s="144"/>
      <c r="C2106" s="144"/>
      <c r="D2106" s="144"/>
      <c r="E2106" s="144"/>
      <c r="F2106" s="144"/>
      <c r="G2106" s="144"/>
      <c r="H2106" s="299"/>
    </row>
    <row r="2107" spans="2:8" x14ac:dyDescent="0.25">
      <c r="B2107" s="144"/>
      <c r="C2107" s="144"/>
      <c r="D2107" s="144"/>
      <c r="E2107" s="144"/>
      <c r="F2107" s="144"/>
      <c r="G2107" s="144"/>
      <c r="H2107" s="299"/>
    </row>
    <row r="2108" spans="2:8" x14ac:dyDescent="0.25">
      <c r="B2108" s="144"/>
      <c r="C2108" s="144"/>
      <c r="D2108" s="144"/>
      <c r="E2108" s="144"/>
      <c r="F2108" s="144"/>
      <c r="G2108" s="144"/>
      <c r="H2108" s="299"/>
    </row>
    <row r="2109" spans="2:8" x14ac:dyDescent="0.25">
      <c r="B2109" s="144"/>
      <c r="C2109" s="144"/>
      <c r="D2109" s="144"/>
      <c r="E2109" s="144"/>
      <c r="F2109" s="144"/>
      <c r="G2109" s="144"/>
      <c r="H2109" s="299"/>
    </row>
    <row r="2110" spans="2:8" x14ac:dyDescent="0.25">
      <c r="B2110" s="144"/>
      <c r="C2110" s="144"/>
      <c r="D2110" s="144"/>
      <c r="E2110" s="144"/>
      <c r="F2110" s="144"/>
      <c r="G2110" s="144"/>
      <c r="H2110" s="299"/>
    </row>
    <row r="2111" spans="2:8" x14ac:dyDescent="0.25">
      <c r="B2111" s="144"/>
      <c r="C2111" s="144"/>
      <c r="D2111" s="144"/>
      <c r="E2111" s="144"/>
      <c r="F2111" s="144"/>
      <c r="G2111" s="144"/>
      <c r="H2111" s="299"/>
    </row>
    <row r="2112" spans="2:8" x14ac:dyDescent="0.25">
      <c r="B2112" s="144"/>
      <c r="C2112" s="144"/>
      <c r="D2112" s="144"/>
      <c r="E2112" s="144"/>
      <c r="F2112" s="144"/>
      <c r="G2112" s="144"/>
      <c r="H2112" s="299"/>
    </row>
    <row r="2113" spans="2:8" x14ac:dyDescent="0.25">
      <c r="B2113" s="144"/>
      <c r="C2113" s="144"/>
      <c r="D2113" s="144"/>
      <c r="E2113" s="144"/>
      <c r="F2113" s="144"/>
      <c r="G2113" s="144"/>
      <c r="H2113" s="299"/>
    </row>
    <row r="2114" spans="2:8" x14ac:dyDescent="0.25">
      <c r="B2114" s="144"/>
      <c r="C2114" s="144"/>
      <c r="D2114" s="144"/>
      <c r="E2114" s="144"/>
      <c r="F2114" s="144"/>
      <c r="G2114" s="144"/>
      <c r="H2114" s="299"/>
    </row>
    <row r="2115" spans="2:8" x14ac:dyDescent="0.25">
      <c r="B2115" s="144"/>
      <c r="C2115" s="144"/>
      <c r="D2115" s="144"/>
      <c r="E2115" s="144"/>
      <c r="F2115" s="144"/>
      <c r="G2115" s="144"/>
      <c r="H2115" s="299"/>
    </row>
    <row r="2116" spans="2:8" x14ac:dyDescent="0.25">
      <c r="B2116" s="144"/>
      <c r="C2116" s="144"/>
      <c r="D2116" s="144"/>
      <c r="E2116" s="144"/>
      <c r="F2116" s="144"/>
      <c r="G2116" s="144"/>
      <c r="H2116" s="299"/>
    </row>
    <row r="2117" spans="2:8" x14ac:dyDescent="0.25">
      <c r="B2117" s="144"/>
      <c r="C2117" s="144"/>
      <c r="D2117" s="144"/>
      <c r="E2117" s="144"/>
      <c r="F2117" s="144"/>
      <c r="G2117" s="144"/>
      <c r="H2117" s="299"/>
    </row>
    <row r="2118" spans="2:8" x14ac:dyDescent="0.25">
      <c r="B2118" s="144"/>
      <c r="C2118" s="144"/>
      <c r="D2118" s="144"/>
      <c r="E2118" s="144"/>
      <c r="F2118" s="144"/>
      <c r="G2118" s="144"/>
      <c r="H2118" s="299"/>
    </row>
    <row r="2119" spans="2:8" x14ac:dyDescent="0.25">
      <c r="B2119" s="144"/>
      <c r="C2119" s="144"/>
      <c r="D2119" s="144"/>
      <c r="E2119" s="144"/>
      <c r="F2119" s="144"/>
      <c r="G2119" s="144"/>
      <c r="H2119" s="299"/>
    </row>
    <row r="2120" spans="2:8" x14ac:dyDescent="0.25">
      <c r="B2120" s="144"/>
      <c r="C2120" s="144"/>
      <c r="D2120" s="144"/>
      <c r="E2120" s="144"/>
      <c r="F2120" s="144"/>
      <c r="G2120" s="144"/>
      <c r="H2120" s="299"/>
    </row>
    <row r="2121" spans="2:8" x14ac:dyDescent="0.25">
      <c r="B2121" s="144"/>
      <c r="C2121" s="144"/>
      <c r="D2121" s="144"/>
      <c r="E2121" s="144"/>
      <c r="F2121" s="144"/>
      <c r="G2121" s="144"/>
      <c r="H2121" s="299"/>
    </row>
    <row r="2122" spans="2:8" x14ac:dyDescent="0.25">
      <c r="B2122" s="144"/>
      <c r="C2122" s="144"/>
      <c r="D2122" s="144"/>
      <c r="E2122" s="144"/>
      <c r="F2122" s="144"/>
      <c r="G2122" s="144"/>
      <c r="H2122" s="299"/>
    </row>
    <row r="2123" spans="2:8" x14ac:dyDescent="0.25">
      <c r="B2123" s="144"/>
      <c r="C2123" s="144"/>
      <c r="D2123" s="144"/>
      <c r="E2123" s="144"/>
      <c r="F2123" s="144"/>
      <c r="G2123" s="144"/>
      <c r="H2123" s="299"/>
    </row>
    <row r="2124" spans="2:8" x14ac:dyDescent="0.25">
      <c r="B2124" s="144"/>
      <c r="C2124" s="144"/>
      <c r="D2124" s="144"/>
      <c r="E2124" s="144"/>
      <c r="F2124" s="144"/>
      <c r="G2124" s="144"/>
      <c r="H2124" s="299"/>
    </row>
    <row r="2125" spans="2:8" x14ac:dyDescent="0.25">
      <c r="B2125" s="144"/>
      <c r="C2125" s="144"/>
      <c r="D2125" s="144"/>
      <c r="E2125" s="144"/>
      <c r="F2125" s="144"/>
      <c r="G2125" s="144"/>
      <c r="H2125" s="299"/>
    </row>
    <row r="2126" spans="2:8" x14ac:dyDescent="0.25">
      <c r="B2126" s="144"/>
      <c r="C2126" s="144"/>
      <c r="D2126" s="144"/>
      <c r="E2126" s="144"/>
      <c r="F2126" s="144"/>
      <c r="G2126" s="144"/>
      <c r="H2126" s="299"/>
    </row>
    <row r="2127" spans="2:8" x14ac:dyDescent="0.25">
      <c r="B2127" s="144"/>
      <c r="C2127" s="144"/>
      <c r="D2127" s="144"/>
      <c r="E2127" s="144"/>
      <c r="F2127" s="144"/>
      <c r="G2127" s="144"/>
      <c r="H2127" s="299"/>
    </row>
    <row r="2128" spans="2:8" x14ac:dyDescent="0.25">
      <c r="B2128" s="144"/>
      <c r="C2128" s="144"/>
      <c r="D2128" s="144"/>
      <c r="E2128" s="144"/>
      <c r="F2128" s="144"/>
      <c r="G2128" s="144"/>
      <c r="H2128" s="299"/>
    </row>
    <row r="2129" spans="2:8" x14ac:dyDescent="0.25">
      <c r="B2129" s="144"/>
      <c r="C2129" s="144"/>
      <c r="D2129" s="144"/>
      <c r="E2129" s="144"/>
      <c r="F2129" s="144"/>
      <c r="G2129" s="144"/>
      <c r="H2129" s="299"/>
    </row>
    <row r="2130" spans="2:8" x14ac:dyDescent="0.25">
      <c r="B2130" s="144"/>
      <c r="C2130" s="144"/>
      <c r="D2130" s="144"/>
      <c r="E2130" s="144"/>
      <c r="F2130" s="144"/>
      <c r="G2130" s="144"/>
      <c r="H2130" s="299"/>
    </row>
    <row r="2131" spans="2:8" x14ac:dyDescent="0.25">
      <c r="B2131" s="144"/>
      <c r="C2131" s="144"/>
      <c r="D2131" s="144"/>
      <c r="E2131" s="144"/>
      <c r="F2131" s="144"/>
      <c r="G2131" s="144"/>
      <c r="H2131" s="299"/>
    </row>
    <row r="2132" spans="2:8" x14ac:dyDescent="0.25">
      <c r="B2132" s="144"/>
      <c r="C2132" s="144"/>
      <c r="D2132" s="144"/>
      <c r="E2132" s="144"/>
      <c r="F2132" s="144"/>
      <c r="G2132" s="144"/>
      <c r="H2132" s="299"/>
    </row>
    <row r="2133" spans="2:8" x14ac:dyDescent="0.25">
      <c r="B2133" s="144"/>
      <c r="C2133" s="144"/>
      <c r="D2133" s="144"/>
      <c r="E2133" s="144"/>
      <c r="F2133" s="144"/>
      <c r="G2133" s="144"/>
      <c r="H2133" s="299"/>
    </row>
    <row r="2134" spans="2:8" x14ac:dyDescent="0.25">
      <c r="B2134" s="144"/>
      <c r="C2134" s="144"/>
      <c r="D2134" s="144"/>
      <c r="E2134" s="144"/>
      <c r="F2134" s="144"/>
      <c r="G2134" s="144"/>
      <c r="H2134" s="299"/>
    </row>
    <row r="2135" spans="2:8" x14ac:dyDescent="0.25">
      <c r="B2135" s="144"/>
      <c r="C2135" s="144"/>
      <c r="D2135" s="144"/>
      <c r="E2135" s="144"/>
      <c r="F2135" s="144"/>
      <c r="G2135" s="144"/>
      <c r="H2135" s="299"/>
    </row>
    <row r="2136" spans="2:8" x14ac:dyDescent="0.25">
      <c r="B2136" s="144"/>
      <c r="C2136" s="144"/>
      <c r="D2136" s="144"/>
      <c r="E2136" s="144"/>
      <c r="F2136" s="144"/>
      <c r="G2136" s="144"/>
      <c r="H2136" s="299"/>
    </row>
    <row r="2137" spans="2:8" x14ac:dyDescent="0.25">
      <c r="B2137" s="144"/>
      <c r="C2137" s="144"/>
      <c r="D2137" s="144"/>
      <c r="E2137" s="144"/>
      <c r="F2137" s="144"/>
      <c r="G2137" s="144"/>
      <c r="H2137" s="299"/>
    </row>
    <row r="2138" spans="2:8" x14ac:dyDescent="0.25">
      <c r="B2138" s="144"/>
      <c r="C2138" s="144"/>
      <c r="D2138" s="144"/>
      <c r="E2138" s="144"/>
      <c r="F2138" s="144"/>
      <c r="G2138" s="144"/>
      <c r="H2138" s="299"/>
    </row>
    <row r="2139" spans="2:8" x14ac:dyDescent="0.25">
      <c r="B2139" s="144"/>
      <c r="C2139" s="144"/>
      <c r="D2139" s="144"/>
      <c r="E2139" s="144"/>
      <c r="F2139" s="144"/>
      <c r="G2139" s="144"/>
      <c r="H2139" s="299"/>
    </row>
    <row r="2140" spans="2:8" x14ac:dyDescent="0.25">
      <c r="B2140" s="144"/>
      <c r="C2140" s="144"/>
      <c r="D2140" s="144"/>
      <c r="E2140" s="144"/>
      <c r="F2140" s="144"/>
      <c r="G2140" s="144"/>
      <c r="H2140" s="299"/>
    </row>
    <row r="2141" spans="2:8" x14ac:dyDescent="0.25">
      <c r="B2141" s="144"/>
      <c r="C2141" s="144"/>
      <c r="D2141" s="144"/>
      <c r="E2141" s="144"/>
      <c r="F2141" s="144"/>
      <c r="G2141" s="144"/>
      <c r="H2141" s="299"/>
    </row>
    <row r="2142" spans="2:8" x14ac:dyDescent="0.25">
      <c r="B2142" s="144"/>
      <c r="C2142" s="144"/>
      <c r="D2142" s="144"/>
      <c r="E2142" s="144"/>
      <c r="F2142" s="144"/>
      <c r="G2142" s="144"/>
      <c r="H2142" s="299"/>
    </row>
    <row r="2143" spans="2:8" x14ac:dyDescent="0.25">
      <c r="B2143" s="144"/>
      <c r="C2143" s="144"/>
      <c r="D2143" s="144"/>
      <c r="E2143" s="144"/>
      <c r="F2143" s="144"/>
      <c r="G2143" s="144"/>
      <c r="H2143" s="299"/>
    </row>
    <row r="2144" spans="2:8" x14ac:dyDescent="0.25">
      <c r="B2144" s="144"/>
      <c r="C2144" s="144"/>
      <c r="D2144" s="144"/>
      <c r="E2144" s="144"/>
      <c r="F2144" s="144"/>
      <c r="G2144" s="144"/>
      <c r="H2144" s="299"/>
    </row>
    <row r="2145" spans="2:8" x14ac:dyDescent="0.25">
      <c r="B2145" s="144"/>
      <c r="C2145" s="144"/>
      <c r="D2145" s="144"/>
      <c r="E2145" s="144"/>
      <c r="F2145" s="144"/>
      <c r="G2145" s="144"/>
      <c r="H2145" s="299"/>
    </row>
    <row r="2146" spans="2:8" x14ac:dyDescent="0.25">
      <c r="B2146" s="144"/>
      <c r="C2146" s="144"/>
      <c r="D2146" s="144"/>
      <c r="E2146" s="144"/>
      <c r="F2146" s="144"/>
      <c r="G2146" s="144"/>
      <c r="H2146" s="299"/>
    </row>
    <row r="2147" spans="2:8" x14ac:dyDescent="0.25">
      <c r="B2147" s="144"/>
      <c r="C2147" s="144"/>
      <c r="D2147" s="144"/>
      <c r="E2147" s="144"/>
      <c r="F2147" s="144"/>
      <c r="G2147" s="144"/>
      <c r="H2147" s="299"/>
    </row>
    <row r="2148" spans="2:8" x14ac:dyDescent="0.25">
      <c r="B2148" s="144"/>
      <c r="C2148" s="144"/>
      <c r="D2148" s="144"/>
      <c r="E2148" s="144"/>
      <c r="F2148" s="144"/>
      <c r="G2148" s="144"/>
      <c r="H2148" s="299"/>
    </row>
    <row r="2149" spans="2:8" x14ac:dyDescent="0.25">
      <c r="B2149" s="144"/>
      <c r="C2149" s="144"/>
      <c r="D2149" s="144"/>
      <c r="E2149" s="144"/>
      <c r="F2149" s="144"/>
      <c r="G2149" s="144"/>
      <c r="H2149" s="299"/>
    </row>
    <row r="2150" spans="2:8" x14ac:dyDescent="0.25">
      <c r="B2150" s="144"/>
      <c r="C2150" s="144"/>
      <c r="D2150" s="144"/>
      <c r="E2150" s="144"/>
      <c r="F2150" s="144"/>
      <c r="G2150" s="144"/>
      <c r="H2150" s="299"/>
    </row>
    <row r="2151" spans="2:8" x14ac:dyDescent="0.25">
      <c r="B2151" s="144"/>
      <c r="C2151" s="144"/>
      <c r="D2151" s="144"/>
      <c r="E2151" s="144"/>
      <c r="F2151" s="144"/>
      <c r="G2151" s="144"/>
      <c r="H2151" s="299"/>
    </row>
    <row r="2152" spans="2:8" x14ac:dyDescent="0.25">
      <c r="B2152" s="144"/>
      <c r="C2152" s="144"/>
      <c r="D2152" s="144"/>
      <c r="E2152" s="144"/>
      <c r="F2152" s="144"/>
      <c r="G2152" s="144"/>
      <c r="H2152" s="299"/>
    </row>
    <row r="2153" spans="2:8" x14ac:dyDescent="0.25">
      <c r="B2153" s="144"/>
      <c r="C2153" s="144"/>
      <c r="D2153" s="144"/>
      <c r="E2153" s="144"/>
      <c r="F2153" s="144"/>
      <c r="G2153" s="144"/>
      <c r="H2153" s="299"/>
    </row>
    <row r="2154" spans="2:8" x14ac:dyDescent="0.25">
      <c r="B2154" s="144"/>
      <c r="C2154" s="144"/>
      <c r="D2154" s="144"/>
      <c r="E2154" s="144"/>
      <c r="F2154" s="144"/>
      <c r="G2154" s="144"/>
      <c r="H2154" s="299"/>
    </row>
    <row r="2155" spans="2:8" x14ac:dyDescent="0.25">
      <c r="B2155" s="144"/>
      <c r="C2155" s="144"/>
      <c r="D2155" s="144"/>
      <c r="E2155" s="144"/>
      <c r="F2155" s="144"/>
      <c r="G2155" s="144"/>
      <c r="H2155" s="299"/>
    </row>
    <row r="2156" spans="2:8" x14ac:dyDescent="0.25">
      <c r="B2156" s="144"/>
      <c r="C2156" s="144"/>
      <c r="D2156" s="144"/>
      <c r="E2156" s="144"/>
      <c r="F2156" s="144"/>
      <c r="G2156" s="144"/>
      <c r="H2156" s="299"/>
    </row>
    <row r="2157" spans="2:8" x14ac:dyDescent="0.25">
      <c r="B2157" s="144"/>
      <c r="C2157" s="144"/>
      <c r="D2157" s="144"/>
      <c r="E2157" s="144"/>
      <c r="F2157" s="144"/>
      <c r="G2157" s="144"/>
      <c r="H2157" s="299"/>
    </row>
    <row r="2158" spans="2:8" x14ac:dyDescent="0.25">
      <c r="B2158" s="144"/>
      <c r="C2158" s="144"/>
      <c r="D2158" s="144"/>
      <c r="E2158" s="144"/>
      <c r="F2158" s="144"/>
      <c r="G2158" s="144"/>
      <c r="H2158" s="299"/>
    </row>
    <row r="2159" spans="2:8" x14ac:dyDescent="0.25">
      <c r="B2159" s="144"/>
      <c r="C2159" s="144"/>
      <c r="D2159" s="144"/>
      <c r="E2159" s="144"/>
      <c r="F2159" s="144"/>
      <c r="G2159" s="144"/>
      <c r="H2159" s="299"/>
    </row>
    <row r="2160" spans="2:8" x14ac:dyDescent="0.25">
      <c r="B2160" s="144"/>
      <c r="C2160" s="144"/>
      <c r="D2160" s="144"/>
      <c r="E2160" s="144"/>
      <c r="F2160" s="144"/>
      <c r="G2160" s="144"/>
      <c r="H2160" s="299"/>
    </row>
    <row r="2161" spans="2:8" x14ac:dyDescent="0.25">
      <c r="B2161" s="144"/>
      <c r="C2161" s="144"/>
      <c r="D2161" s="144"/>
      <c r="E2161" s="144"/>
      <c r="F2161" s="144"/>
      <c r="G2161" s="144"/>
      <c r="H2161" s="299"/>
    </row>
    <row r="2162" spans="2:8" x14ac:dyDescent="0.25">
      <c r="B2162" s="144"/>
      <c r="C2162" s="144"/>
      <c r="D2162" s="144"/>
      <c r="E2162" s="144"/>
      <c r="F2162" s="144"/>
      <c r="G2162" s="144"/>
      <c r="H2162" s="299"/>
    </row>
    <row r="2163" spans="2:8" x14ac:dyDescent="0.25">
      <c r="B2163" s="144"/>
      <c r="C2163" s="144"/>
      <c r="D2163" s="144"/>
      <c r="E2163" s="144"/>
      <c r="F2163" s="144"/>
      <c r="G2163" s="144"/>
      <c r="H2163" s="299"/>
    </row>
    <row r="2164" spans="2:8" x14ac:dyDescent="0.25">
      <c r="B2164" s="144"/>
      <c r="C2164" s="144"/>
      <c r="D2164" s="144"/>
      <c r="E2164" s="144"/>
      <c r="F2164" s="144"/>
      <c r="G2164" s="144"/>
      <c r="H2164" s="299"/>
    </row>
    <row r="2165" spans="2:8" x14ac:dyDescent="0.25">
      <c r="B2165" s="144"/>
      <c r="C2165" s="144"/>
      <c r="D2165" s="144"/>
      <c r="E2165" s="144"/>
      <c r="F2165" s="144"/>
      <c r="G2165" s="144"/>
      <c r="H2165" s="299"/>
    </row>
    <row r="2166" spans="2:8" x14ac:dyDescent="0.25">
      <c r="B2166" s="144"/>
      <c r="C2166" s="144"/>
      <c r="D2166" s="144"/>
      <c r="E2166" s="144"/>
      <c r="F2166" s="144"/>
      <c r="G2166" s="144"/>
      <c r="H2166" s="299"/>
    </row>
    <row r="2167" spans="2:8" x14ac:dyDescent="0.25">
      <c r="B2167" s="144"/>
      <c r="C2167" s="144"/>
      <c r="D2167" s="144"/>
      <c r="E2167" s="144"/>
      <c r="F2167" s="144"/>
      <c r="G2167" s="144"/>
      <c r="H2167" s="299"/>
    </row>
    <row r="2168" spans="2:8" x14ac:dyDescent="0.25">
      <c r="B2168" s="144"/>
      <c r="C2168" s="144"/>
      <c r="D2168" s="144"/>
      <c r="E2168" s="144"/>
      <c r="F2168" s="144"/>
      <c r="G2168" s="144"/>
      <c r="H2168" s="299"/>
    </row>
    <row r="2169" spans="2:8" x14ac:dyDescent="0.25">
      <c r="B2169" s="144"/>
      <c r="C2169" s="144"/>
      <c r="D2169" s="144"/>
      <c r="E2169" s="144"/>
      <c r="F2169" s="144"/>
      <c r="G2169" s="144"/>
      <c r="H2169" s="299"/>
    </row>
    <row r="2170" spans="2:8" x14ac:dyDescent="0.25">
      <c r="B2170" s="144"/>
      <c r="C2170" s="144"/>
      <c r="D2170" s="144"/>
      <c r="E2170" s="144"/>
      <c r="F2170" s="144"/>
      <c r="G2170" s="144"/>
      <c r="H2170" s="299"/>
    </row>
    <row r="2171" spans="2:8" x14ac:dyDescent="0.25">
      <c r="B2171" s="144"/>
      <c r="C2171" s="144"/>
      <c r="D2171" s="144"/>
      <c r="E2171" s="144"/>
      <c r="F2171" s="144"/>
      <c r="G2171" s="144"/>
      <c r="H2171" s="299"/>
    </row>
    <row r="2172" spans="2:8" x14ac:dyDescent="0.25">
      <c r="B2172" s="144"/>
      <c r="C2172" s="144"/>
      <c r="D2172" s="144"/>
      <c r="E2172" s="144"/>
      <c r="F2172" s="144"/>
      <c r="G2172" s="144"/>
      <c r="H2172" s="299"/>
    </row>
    <row r="2173" spans="2:8" x14ac:dyDescent="0.25">
      <c r="B2173" s="144"/>
      <c r="C2173" s="144"/>
      <c r="D2173" s="144"/>
      <c r="E2173" s="144"/>
      <c r="F2173" s="144"/>
      <c r="G2173" s="144"/>
      <c r="H2173" s="299"/>
    </row>
    <row r="2174" spans="2:8" x14ac:dyDescent="0.25">
      <c r="B2174" s="144"/>
      <c r="C2174" s="144"/>
      <c r="D2174" s="144"/>
      <c r="E2174" s="144"/>
      <c r="F2174" s="144"/>
      <c r="G2174" s="144"/>
      <c r="H2174" s="299"/>
    </row>
    <row r="2175" spans="2:8" x14ac:dyDescent="0.25">
      <c r="B2175" s="144"/>
      <c r="C2175" s="144"/>
      <c r="D2175" s="144"/>
      <c r="E2175" s="144"/>
      <c r="F2175" s="144"/>
      <c r="G2175" s="144"/>
      <c r="H2175" s="299"/>
    </row>
    <row r="2176" spans="2:8" x14ac:dyDescent="0.25">
      <c r="B2176" s="144"/>
      <c r="C2176" s="144"/>
      <c r="D2176" s="144"/>
      <c r="E2176" s="144"/>
      <c r="F2176" s="144"/>
      <c r="G2176" s="144"/>
      <c r="H2176" s="299"/>
    </row>
    <row r="2177" spans="2:8" x14ac:dyDescent="0.25">
      <c r="B2177" s="144"/>
      <c r="C2177" s="144"/>
      <c r="D2177" s="144"/>
      <c r="E2177" s="144"/>
      <c r="F2177" s="144"/>
      <c r="G2177" s="144"/>
      <c r="H2177" s="299"/>
    </row>
    <row r="2178" spans="2:8" x14ac:dyDescent="0.25">
      <c r="B2178" s="144"/>
      <c r="C2178" s="144"/>
      <c r="D2178" s="144"/>
      <c r="E2178" s="144"/>
      <c r="F2178" s="144"/>
      <c r="G2178" s="144"/>
      <c r="H2178" s="299"/>
    </row>
    <row r="2179" spans="2:8" x14ac:dyDescent="0.25">
      <c r="B2179" s="144"/>
      <c r="C2179" s="144"/>
      <c r="D2179" s="144"/>
      <c r="E2179" s="144"/>
      <c r="F2179" s="144"/>
      <c r="G2179" s="144"/>
      <c r="H2179" s="299"/>
    </row>
    <row r="2180" spans="2:8" x14ac:dyDescent="0.25">
      <c r="B2180" s="144"/>
      <c r="C2180" s="144"/>
      <c r="D2180" s="144"/>
      <c r="E2180" s="144"/>
      <c r="F2180" s="144"/>
      <c r="G2180" s="144"/>
      <c r="H2180" s="299"/>
    </row>
    <row r="2181" spans="2:8" x14ac:dyDescent="0.25">
      <c r="B2181" s="144"/>
      <c r="C2181" s="144"/>
      <c r="D2181" s="144"/>
      <c r="E2181" s="144"/>
      <c r="F2181" s="144"/>
      <c r="G2181" s="144"/>
      <c r="H2181" s="299"/>
    </row>
    <row r="2182" spans="2:8" x14ac:dyDescent="0.25">
      <c r="B2182" s="144"/>
      <c r="C2182" s="144"/>
      <c r="D2182" s="144"/>
      <c r="E2182" s="144"/>
      <c r="F2182" s="144"/>
      <c r="G2182" s="144"/>
      <c r="H2182" s="299"/>
    </row>
    <row r="2183" spans="2:8" x14ac:dyDescent="0.25">
      <c r="B2183" s="144"/>
      <c r="C2183" s="144"/>
      <c r="D2183" s="144"/>
      <c r="E2183" s="144"/>
      <c r="F2183" s="144"/>
      <c r="G2183" s="144"/>
      <c r="H2183" s="299"/>
    </row>
    <row r="2184" spans="2:8" x14ac:dyDescent="0.25">
      <c r="B2184" s="144"/>
      <c r="C2184" s="144"/>
      <c r="D2184" s="144"/>
      <c r="E2184" s="144"/>
      <c r="F2184" s="144"/>
      <c r="G2184" s="144"/>
      <c r="H2184" s="299"/>
    </row>
    <row r="2185" spans="2:8" x14ac:dyDescent="0.25">
      <c r="B2185" s="144"/>
      <c r="C2185" s="144"/>
      <c r="D2185" s="144"/>
      <c r="E2185" s="144"/>
      <c r="F2185" s="144"/>
      <c r="G2185" s="144"/>
      <c r="H2185" s="299"/>
    </row>
    <row r="2186" spans="2:8" x14ac:dyDescent="0.25">
      <c r="B2186" s="144"/>
      <c r="C2186" s="144"/>
      <c r="D2186" s="144"/>
      <c r="E2186" s="144"/>
      <c r="F2186" s="144"/>
      <c r="G2186" s="144"/>
      <c r="H2186" s="299"/>
    </row>
    <row r="2187" spans="2:8" x14ac:dyDescent="0.25">
      <c r="B2187" s="144"/>
      <c r="C2187" s="144"/>
      <c r="D2187" s="144"/>
      <c r="E2187" s="144"/>
      <c r="F2187" s="144"/>
      <c r="G2187" s="144"/>
      <c r="H2187" s="299"/>
    </row>
    <row r="2188" spans="2:8" x14ac:dyDescent="0.25">
      <c r="B2188" s="144"/>
      <c r="C2188" s="144"/>
      <c r="D2188" s="144"/>
      <c r="E2188" s="144"/>
      <c r="F2188" s="144"/>
      <c r="G2188" s="144"/>
      <c r="H2188" s="299"/>
    </row>
    <row r="2189" spans="2:8" x14ac:dyDescent="0.25">
      <c r="B2189" s="144"/>
      <c r="C2189" s="144"/>
      <c r="D2189" s="144"/>
      <c r="E2189" s="144"/>
      <c r="F2189" s="144"/>
      <c r="G2189" s="144"/>
      <c r="H2189" s="299"/>
    </row>
    <row r="2190" spans="2:8" x14ac:dyDescent="0.25">
      <c r="B2190" s="144"/>
      <c r="C2190" s="144"/>
      <c r="D2190" s="144"/>
      <c r="E2190" s="144"/>
      <c r="F2190" s="144"/>
      <c r="G2190" s="144"/>
      <c r="H2190" s="299"/>
    </row>
    <row r="2191" spans="2:8" x14ac:dyDescent="0.25">
      <c r="B2191" s="144"/>
      <c r="C2191" s="144"/>
      <c r="D2191" s="144"/>
      <c r="E2191" s="144"/>
      <c r="F2191" s="144"/>
      <c r="G2191" s="144"/>
      <c r="H2191" s="299"/>
    </row>
    <row r="2192" spans="2:8" x14ac:dyDescent="0.25">
      <c r="B2192" s="144"/>
      <c r="C2192" s="144"/>
      <c r="D2192" s="144"/>
      <c r="E2192" s="144"/>
      <c r="F2192" s="144"/>
      <c r="G2192" s="144"/>
      <c r="H2192" s="299"/>
    </row>
    <row r="2193" spans="2:8" x14ac:dyDescent="0.25">
      <c r="B2193" s="144"/>
      <c r="C2193" s="144"/>
      <c r="D2193" s="144"/>
      <c r="E2193" s="144"/>
      <c r="F2193" s="144"/>
      <c r="G2193" s="144"/>
      <c r="H2193" s="299"/>
    </row>
    <row r="2194" spans="2:8" x14ac:dyDescent="0.25">
      <c r="B2194" s="144"/>
      <c r="C2194" s="144"/>
      <c r="D2194" s="144"/>
      <c r="E2194" s="144"/>
      <c r="F2194" s="144"/>
      <c r="G2194" s="144"/>
      <c r="H2194" s="299"/>
    </row>
    <row r="2195" spans="2:8" x14ac:dyDescent="0.25">
      <c r="B2195" s="144"/>
      <c r="C2195" s="144"/>
      <c r="D2195" s="144"/>
      <c r="E2195" s="144"/>
      <c r="F2195" s="144"/>
      <c r="G2195" s="144"/>
      <c r="H2195" s="299"/>
    </row>
    <row r="2196" spans="2:8" x14ac:dyDescent="0.25">
      <c r="B2196" s="144"/>
      <c r="C2196" s="144"/>
      <c r="D2196" s="144"/>
      <c r="E2196" s="144"/>
      <c r="F2196" s="144"/>
      <c r="G2196" s="144"/>
      <c r="H2196" s="299"/>
    </row>
    <row r="2197" spans="2:8" x14ac:dyDescent="0.25">
      <c r="B2197" s="144"/>
      <c r="C2197" s="144"/>
      <c r="D2197" s="144"/>
      <c r="E2197" s="144"/>
      <c r="F2197" s="144"/>
      <c r="G2197" s="144"/>
      <c r="H2197" s="299"/>
    </row>
    <row r="2198" spans="2:8" x14ac:dyDescent="0.25">
      <c r="B2198" s="144"/>
      <c r="C2198" s="144"/>
      <c r="D2198" s="144"/>
      <c r="E2198" s="144"/>
      <c r="F2198" s="144"/>
      <c r="G2198" s="144"/>
      <c r="H2198" s="299"/>
    </row>
    <row r="2199" spans="2:8" x14ac:dyDescent="0.25">
      <c r="B2199" s="144"/>
      <c r="C2199" s="144"/>
      <c r="D2199" s="144"/>
      <c r="E2199" s="144"/>
      <c r="F2199" s="144"/>
      <c r="G2199" s="144"/>
      <c r="H2199" s="299"/>
    </row>
    <row r="2200" spans="2:8" x14ac:dyDescent="0.25">
      <c r="B2200" s="144"/>
      <c r="C2200" s="144"/>
      <c r="D2200" s="144"/>
      <c r="E2200" s="144"/>
      <c r="F2200" s="144"/>
      <c r="G2200" s="144"/>
      <c r="H2200" s="299"/>
    </row>
    <row r="2201" spans="2:8" x14ac:dyDescent="0.25">
      <c r="B2201" s="144"/>
      <c r="C2201" s="144"/>
      <c r="D2201" s="144"/>
      <c r="E2201" s="144"/>
      <c r="F2201" s="144"/>
      <c r="G2201" s="144"/>
      <c r="H2201" s="299"/>
    </row>
    <row r="2202" spans="2:8" x14ac:dyDescent="0.25">
      <c r="B2202" s="144"/>
      <c r="C2202" s="144"/>
      <c r="D2202" s="144"/>
      <c r="E2202" s="144"/>
      <c r="F2202" s="144"/>
      <c r="G2202" s="144"/>
      <c r="H2202" s="299"/>
    </row>
    <row r="2203" spans="2:8" x14ac:dyDescent="0.25">
      <c r="B2203" s="144"/>
      <c r="C2203" s="144"/>
      <c r="D2203" s="144"/>
      <c r="E2203" s="144"/>
      <c r="F2203" s="144"/>
      <c r="G2203" s="144"/>
      <c r="H2203" s="299"/>
    </row>
    <row r="2204" spans="2:8" x14ac:dyDescent="0.25">
      <c r="B2204" s="144"/>
      <c r="C2204" s="144"/>
      <c r="D2204" s="144"/>
      <c r="E2204" s="144"/>
      <c r="F2204" s="144"/>
      <c r="G2204" s="144"/>
      <c r="H2204" s="299"/>
    </row>
    <row r="2205" spans="2:8" x14ac:dyDescent="0.25">
      <c r="B2205" s="144"/>
      <c r="C2205" s="144"/>
      <c r="D2205" s="144"/>
      <c r="E2205" s="144"/>
      <c r="F2205" s="144"/>
      <c r="G2205" s="144"/>
      <c r="H2205" s="299"/>
    </row>
    <row r="2206" spans="2:8" x14ac:dyDescent="0.25">
      <c r="B2206" s="144"/>
      <c r="C2206" s="144"/>
      <c r="D2206" s="144"/>
      <c r="E2206" s="144"/>
      <c r="F2206" s="144"/>
      <c r="G2206" s="144"/>
      <c r="H2206" s="299"/>
    </row>
    <row r="2207" spans="2:8" x14ac:dyDescent="0.25">
      <c r="B2207" s="144"/>
      <c r="C2207" s="144"/>
      <c r="D2207" s="144"/>
      <c r="E2207" s="144"/>
      <c r="F2207" s="144"/>
      <c r="G2207" s="144"/>
      <c r="H2207" s="299"/>
    </row>
    <row r="2208" spans="2:8" x14ac:dyDescent="0.25">
      <c r="B2208" s="144"/>
      <c r="C2208" s="144"/>
      <c r="D2208" s="144"/>
      <c r="E2208" s="144"/>
      <c r="F2208" s="144"/>
      <c r="G2208" s="144"/>
      <c r="H2208" s="299"/>
    </row>
    <row r="2209" spans="2:8" x14ac:dyDescent="0.25">
      <c r="B2209" s="144"/>
      <c r="C2209" s="144"/>
      <c r="D2209" s="144"/>
      <c r="E2209" s="144"/>
      <c r="F2209" s="144"/>
      <c r="G2209" s="144"/>
      <c r="H2209" s="299"/>
    </row>
    <row r="2210" spans="2:8" x14ac:dyDescent="0.25">
      <c r="B2210" s="144"/>
      <c r="C2210" s="144"/>
      <c r="D2210" s="144"/>
      <c r="E2210" s="144"/>
      <c r="F2210" s="144"/>
      <c r="G2210" s="144"/>
      <c r="H2210" s="299"/>
    </row>
    <row r="2211" spans="2:8" x14ac:dyDescent="0.25">
      <c r="B2211" s="144"/>
      <c r="C2211" s="144"/>
      <c r="D2211" s="144"/>
      <c r="E2211" s="144"/>
      <c r="F2211" s="144"/>
      <c r="G2211" s="144"/>
      <c r="H2211" s="299"/>
    </row>
    <row r="2212" spans="2:8" x14ac:dyDescent="0.25">
      <c r="B2212" s="144"/>
      <c r="C2212" s="144"/>
      <c r="D2212" s="144"/>
      <c r="E2212" s="144"/>
      <c r="F2212" s="144"/>
      <c r="G2212" s="144"/>
      <c r="H2212" s="299"/>
    </row>
    <row r="2213" spans="2:8" x14ac:dyDescent="0.25">
      <c r="B2213" s="144"/>
      <c r="C2213" s="144"/>
      <c r="D2213" s="144"/>
      <c r="E2213" s="144"/>
      <c r="F2213" s="144"/>
      <c r="G2213" s="144"/>
      <c r="H2213" s="299"/>
    </row>
    <row r="2214" spans="2:8" x14ac:dyDescent="0.25">
      <c r="B2214" s="144"/>
      <c r="C2214" s="144"/>
      <c r="D2214" s="144"/>
      <c r="E2214" s="144"/>
      <c r="F2214" s="144"/>
      <c r="G2214" s="144"/>
      <c r="H2214" s="299"/>
    </row>
    <row r="2215" spans="2:8" x14ac:dyDescent="0.25">
      <c r="B2215" s="144"/>
      <c r="C2215" s="144"/>
      <c r="D2215" s="144"/>
      <c r="E2215" s="144"/>
      <c r="F2215" s="144"/>
      <c r="G2215" s="144"/>
      <c r="H2215" s="299"/>
    </row>
    <row r="2216" spans="2:8" x14ac:dyDescent="0.25">
      <c r="B2216" s="144"/>
      <c r="C2216" s="144"/>
      <c r="D2216" s="144"/>
      <c r="E2216" s="144"/>
      <c r="F2216" s="144"/>
      <c r="G2216" s="144"/>
      <c r="H2216" s="299"/>
    </row>
    <row r="2217" spans="2:8" x14ac:dyDescent="0.25">
      <c r="B2217" s="144"/>
      <c r="C2217" s="144"/>
      <c r="D2217" s="144"/>
      <c r="E2217" s="144"/>
      <c r="F2217" s="144"/>
      <c r="G2217" s="144"/>
      <c r="H2217" s="299"/>
    </row>
    <row r="2218" spans="2:8" x14ac:dyDescent="0.25">
      <c r="B2218" s="144"/>
      <c r="C2218" s="144"/>
      <c r="D2218" s="144"/>
      <c r="E2218" s="144"/>
      <c r="F2218" s="144"/>
      <c r="G2218" s="144"/>
      <c r="H2218" s="299"/>
    </row>
    <row r="2219" spans="2:8" x14ac:dyDescent="0.25">
      <c r="B2219" s="144"/>
      <c r="C2219" s="144"/>
      <c r="D2219" s="144"/>
      <c r="E2219" s="144"/>
      <c r="F2219" s="144"/>
      <c r="G2219" s="144"/>
      <c r="H2219" s="299"/>
    </row>
    <row r="2220" spans="2:8" x14ac:dyDescent="0.25">
      <c r="B2220" s="144"/>
      <c r="C2220" s="144"/>
      <c r="D2220" s="144"/>
      <c r="E2220" s="144"/>
      <c r="F2220" s="144"/>
      <c r="G2220" s="144"/>
      <c r="H2220" s="299"/>
    </row>
    <row r="2221" spans="2:8" x14ac:dyDescent="0.25">
      <c r="B2221" s="144"/>
      <c r="C2221" s="144"/>
      <c r="D2221" s="144"/>
      <c r="E2221" s="144"/>
      <c r="F2221" s="144"/>
      <c r="G2221" s="144"/>
      <c r="H2221" s="299"/>
    </row>
    <row r="2222" spans="2:8" x14ac:dyDescent="0.25">
      <c r="B2222" s="144"/>
      <c r="C2222" s="144"/>
      <c r="D2222" s="144"/>
      <c r="E2222" s="144"/>
      <c r="F2222" s="144"/>
      <c r="G2222" s="144"/>
      <c r="H2222" s="299"/>
    </row>
    <row r="2223" spans="2:8" x14ac:dyDescent="0.25">
      <c r="B2223" s="144"/>
      <c r="C2223" s="144"/>
      <c r="D2223" s="144"/>
      <c r="E2223" s="144"/>
      <c r="F2223" s="144"/>
      <c r="G2223" s="144"/>
      <c r="H2223" s="299"/>
    </row>
    <row r="2224" spans="2:8" x14ac:dyDescent="0.25">
      <c r="B2224" s="144"/>
      <c r="C2224" s="144"/>
      <c r="D2224" s="144"/>
      <c r="E2224" s="144"/>
      <c r="F2224" s="144"/>
      <c r="G2224" s="144"/>
      <c r="H2224" s="299"/>
    </row>
    <row r="2225" spans="2:8" x14ac:dyDescent="0.25">
      <c r="B2225" s="144"/>
      <c r="C2225" s="144"/>
      <c r="D2225" s="144"/>
      <c r="E2225" s="144"/>
      <c r="F2225" s="144"/>
      <c r="G2225" s="144"/>
      <c r="H2225" s="299"/>
    </row>
    <row r="2226" spans="2:8" x14ac:dyDescent="0.25">
      <c r="B2226" s="144"/>
      <c r="C2226" s="144"/>
      <c r="D2226" s="144"/>
      <c r="E2226" s="144"/>
      <c r="F2226" s="144"/>
      <c r="G2226" s="144"/>
      <c r="H2226" s="299"/>
    </row>
    <row r="2227" spans="2:8" x14ac:dyDescent="0.25">
      <c r="B2227" s="144"/>
      <c r="C2227" s="144"/>
      <c r="D2227" s="144"/>
      <c r="E2227" s="144"/>
      <c r="F2227" s="144"/>
      <c r="G2227" s="144"/>
      <c r="H2227" s="299"/>
    </row>
    <row r="2228" spans="2:8" x14ac:dyDescent="0.25">
      <c r="B2228" s="144"/>
      <c r="C2228" s="144"/>
      <c r="D2228" s="144"/>
      <c r="E2228" s="144"/>
      <c r="F2228" s="144"/>
      <c r="G2228" s="144"/>
      <c r="H2228" s="299"/>
    </row>
    <row r="2229" spans="2:8" x14ac:dyDescent="0.25">
      <c r="B2229" s="144"/>
      <c r="C2229" s="144"/>
      <c r="D2229" s="144"/>
      <c r="E2229" s="144"/>
      <c r="F2229" s="144"/>
      <c r="G2229" s="144"/>
      <c r="H2229" s="299"/>
    </row>
    <row r="2230" spans="2:8" x14ac:dyDescent="0.25">
      <c r="B2230" s="144"/>
      <c r="C2230" s="144"/>
      <c r="D2230" s="144"/>
      <c r="E2230" s="144"/>
      <c r="F2230" s="144"/>
      <c r="G2230" s="144"/>
      <c r="H2230" s="299"/>
    </row>
    <row r="2231" spans="2:8" x14ac:dyDescent="0.25">
      <c r="B2231" s="144"/>
      <c r="C2231" s="144"/>
      <c r="D2231" s="144"/>
      <c r="E2231" s="144"/>
      <c r="F2231" s="144"/>
      <c r="G2231" s="144"/>
      <c r="H2231" s="299"/>
    </row>
    <row r="2232" spans="2:8" x14ac:dyDescent="0.25">
      <c r="B2232" s="144"/>
      <c r="C2232" s="144"/>
      <c r="D2232" s="144"/>
      <c r="E2232" s="144"/>
      <c r="F2232" s="144"/>
      <c r="G2232" s="144"/>
      <c r="H2232" s="299"/>
    </row>
    <row r="2233" spans="2:8" x14ac:dyDescent="0.25">
      <c r="B2233" s="144"/>
      <c r="C2233" s="144"/>
      <c r="D2233" s="144"/>
      <c r="E2233" s="144"/>
      <c r="F2233" s="144"/>
      <c r="G2233" s="144"/>
      <c r="H2233" s="299"/>
    </row>
    <row r="2234" spans="2:8" x14ac:dyDescent="0.25">
      <c r="B2234" s="144"/>
      <c r="C2234" s="144"/>
      <c r="D2234" s="144"/>
      <c r="E2234" s="144"/>
      <c r="F2234" s="144"/>
      <c r="G2234" s="144"/>
      <c r="H2234" s="299"/>
    </row>
    <row r="2235" spans="2:8" x14ac:dyDescent="0.25">
      <c r="B2235" s="144"/>
      <c r="C2235" s="144"/>
      <c r="D2235" s="144"/>
      <c r="E2235" s="144"/>
      <c r="F2235" s="144"/>
      <c r="G2235" s="144"/>
      <c r="H2235" s="299"/>
    </row>
    <row r="2236" spans="2:8" x14ac:dyDescent="0.25">
      <c r="B2236" s="144"/>
      <c r="C2236" s="144"/>
      <c r="D2236" s="144"/>
      <c r="E2236" s="144"/>
      <c r="F2236" s="144"/>
      <c r="G2236" s="144"/>
      <c r="H2236" s="299"/>
    </row>
    <row r="2237" spans="2:8" x14ac:dyDescent="0.25">
      <c r="B2237" s="144"/>
      <c r="C2237" s="144"/>
      <c r="D2237" s="144"/>
      <c r="E2237" s="144"/>
      <c r="F2237" s="144"/>
      <c r="G2237" s="144"/>
      <c r="H2237" s="299"/>
    </row>
    <row r="2238" spans="2:8" x14ac:dyDescent="0.25">
      <c r="B2238" s="144"/>
      <c r="C2238" s="144"/>
      <c r="D2238" s="144"/>
      <c r="E2238" s="144"/>
      <c r="F2238" s="144"/>
      <c r="G2238" s="144"/>
      <c r="H2238" s="299"/>
    </row>
    <row r="2239" spans="2:8" x14ac:dyDescent="0.25">
      <c r="B2239" s="144"/>
      <c r="C2239" s="144"/>
      <c r="D2239" s="144"/>
      <c r="E2239" s="144"/>
      <c r="F2239" s="144"/>
      <c r="G2239" s="144"/>
      <c r="H2239" s="299"/>
    </row>
    <row r="2240" spans="2:8" x14ac:dyDescent="0.25">
      <c r="B2240" s="144"/>
      <c r="C2240" s="144"/>
      <c r="D2240" s="144"/>
      <c r="E2240" s="144"/>
      <c r="F2240" s="144"/>
      <c r="G2240" s="144"/>
      <c r="H2240" s="299"/>
    </row>
    <row r="2241" spans="2:8" x14ac:dyDescent="0.25">
      <c r="B2241" s="144"/>
      <c r="C2241" s="144"/>
      <c r="D2241" s="144"/>
      <c r="E2241" s="144"/>
      <c r="F2241" s="144"/>
      <c r="G2241" s="144"/>
      <c r="H2241" s="299"/>
    </row>
    <row r="2242" spans="2:8" x14ac:dyDescent="0.25">
      <c r="B2242" s="144"/>
      <c r="C2242" s="144"/>
      <c r="D2242" s="144"/>
      <c r="E2242" s="144"/>
      <c r="F2242" s="144"/>
      <c r="G2242" s="144"/>
      <c r="H2242" s="299"/>
    </row>
    <row r="2243" spans="2:8" x14ac:dyDescent="0.25">
      <c r="B2243" s="144"/>
      <c r="C2243" s="144"/>
      <c r="D2243" s="144"/>
      <c r="E2243" s="144"/>
      <c r="F2243" s="144"/>
      <c r="G2243" s="144"/>
      <c r="H2243" s="299"/>
    </row>
    <row r="2244" spans="2:8" x14ac:dyDescent="0.25">
      <c r="B2244" s="144"/>
      <c r="C2244" s="144"/>
      <c r="D2244" s="144"/>
      <c r="E2244" s="144"/>
      <c r="F2244" s="144"/>
      <c r="G2244" s="144"/>
      <c r="H2244" s="299"/>
    </row>
    <row r="2245" spans="2:8" x14ac:dyDescent="0.25">
      <c r="B2245" s="144"/>
      <c r="C2245" s="144"/>
      <c r="D2245" s="144"/>
      <c r="E2245" s="144"/>
      <c r="F2245" s="144"/>
      <c r="G2245" s="144"/>
      <c r="H2245" s="299"/>
    </row>
    <row r="2246" spans="2:8" x14ac:dyDescent="0.25">
      <c r="B2246" s="144"/>
      <c r="C2246" s="144"/>
      <c r="D2246" s="144"/>
      <c r="E2246" s="144"/>
      <c r="F2246" s="144"/>
      <c r="G2246" s="144"/>
      <c r="H2246" s="299"/>
    </row>
    <row r="2247" spans="2:8" x14ac:dyDescent="0.25">
      <c r="B2247" s="144"/>
      <c r="C2247" s="144"/>
      <c r="D2247" s="144"/>
      <c r="E2247" s="144"/>
      <c r="F2247" s="144"/>
      <c r="G2247" s="144"/>
      <c r="H2247" s="299"/>
    </row>
    <row r="2248" spans="2:8" x14ac:dyDescent="0.25">
      <c r="B2248" s="144"/>
      <c r="C2248" s="144"/>
      <c r="D2248" s="144"/>
      <c r="E2248" s="144"/>
      <c r="F2248" s="144"/>
      <c r="G2248" s="144"/>
      <c r="H2248" s="299"/>
    </row>
    <row r="2249" spans="2:8" x14ac:dyDescent="0.25">
      <c r="B2249" s="144"/>
      <c r="C2249" s="144"/>
      <c r="D2249" s="144"/>
      <c r="E2249" s="144"/>
      <c r="F2249" s="144"/>
      <c r="G2249" s="144"/>
      <c r="H2249" s="299"/>
    </row>
    <row r="2250" spans="2:8" x14ac:dyDescent="0.25">
      <c r="B2250" s="144"/>
      <c r="C2250" s="144"/>
      <c r="D2250" s="144"/>
      <c r="E2250" s="144"/>
      <c r="F2250" s="144"/>
      <c r="G2250" s="144"/>
      <c r="H2250" s="299"/>
    </row>
    <row r="2251" spans="2:8" x14ac:dyDescent="0.25">
      <c r="B2251" s="144"/>
      <c r="C2251" s="144"/>
      <c r="D2251" s="144"/>
      <c r="E2251" s="144"/>
      <c r="F2251" s="144"/>
      <c r="G2251" s="144"/>
      <c r="H2251" s="299"/>
    </row>
    <row r="2252" spans="2:8" x14ac:dyDescent="0.25">
      <c r="B2252" s="144"/>
      <c r="C2252" s="144"/>
      <c r="D2252" s="144"/>
      <c r="E2252" s="144"/>
      <c r="F2252" s="144"/>
      <c r="G2252" s="144"/>
      <c r="H2252" s="299"/>
    </row>
    <row r="2253" spans="2:8" x14ac:dyDescent="0.25">
      <c r="B2253" s="144"/>
      <c r="C2253" s="144"/>
      <c r="D2253" s="144"/>
      <c r="E2253" s="144"/>
      <c r="F2253" s="144"/>
      <c r="G2253" s="144"/>
      <c r="H2253" s="299"/>
    </row>
    <row r="2254" spans="2:8" x14ac:dyDescent="0.25">
      <c r="B2254" s="144"/>
      <c r="C2254" s="144"/>
      <c r="D2254" s="144"/>
      <c r="E2254" s="144"/>
      <c r="F2254" s="144"/>
      <c r="G2254" s="144"/>
      <c r="H2254" s="299"/>
    </row>
    <row r="2255" spans="2:8" x14ac:dyDescent="0.25">
      <c r="B2255" s="144"/>
      <c r="C2255" s="144"/>
      <c r="D2255" s="144"/>
      <c r="E2255" s="144"/>
      <c r="F2255" s="144"/>
      <c r="G2255" s="144"/>
      <c r="H2255" s="299"/>
    </row>
    <row r="2256" spans="2:8" x14ac:dyDescent="0.25">
      <c r="B2256" s="144"/>
      <c r="C2256" s="144"/>
      <c r="D2256" s="144"/>
      <c r="E2256" s="144"/>
      <c r="F2256" s="144"/>
      <c r="G2256" s="144"/>
      <c r="H2256" s="299"/>
    </row>
    <row r="2257" spans="2:8" x14ac:dyDescent="0.25">
      <c r="B2257" s="144"/>
      <c r="C2257" s="144"/>
      <c r="D2257" s="144"/>
      <c r="E2257" s="144"/>
      <c r="F2257" s="144"/>
      <c r="G2257" s="144"/>
      <c r="H2257" s="299"/>
    </row>
    <row r="2258" spans="2:8" x14ac:dyDescent="0.25">
      <c r="B2258" s="144"/>
      <c r="C2258" s="144"/>
      <c r="D2258" s="144"/>
      <c r="E2258" s="144"/>
      <c r="F2258" s="144"/>
      <c r="G2258" s="144"/>
      <c r="H2258" s="299"/>
    </row>
    <row r="2259" spans="2:8" x14ac:dyDescent="0.25">
      <c r="B2259" s="144"/>
      <c r="C2259" s="144"/>
      <c r="D2259" s="144"/>
      <c r="E2259" s="144"/>
      <c r="F2259" s="144"/>
      <c r="G2259" s="144"/>
      <c r="H2259" s="299"/>
    </row>
    <row r="2260" spans="2:8" x14ac:dyDescent="0.25">
      <c r="B2260" s="144"/>
      <c r="C2260" s="144"/>
      <c r="D2260" s="144"/>
      <c r="E2260" s="144"/>
      <c r="F2260" s="144"/>
      <c r="G2260" s="144"/>
      <c r="H2260" s="299"/>
    </row>
    <row r="2261" spans="2:8" x14ac:dyDescent="0.25">
      <c r="B2261" s="144"/>
      <c r="C2261" s="144"/>
      <c r="D2261" s="144"/>
      <c r="E2261" s="144"/>
      <c r="F2261" s="144"/>
      <c r="G2261" s="144"/>
      <c r="H2261" s="299"/>
    </row>
    <row r="2262" spans="2:8" x14ac:dyDescent="0.25">
      <c r="B2262" s="144"/>
      <c r="C2262" s="144"/>
      <c r="D2262" s="144"/>
      <c r="E2262" s="144"/>
      <c r="F2262" s="144"/>
      <c r="G2262" s="144"/>
      <c r="H2262" s="299"/>
    </row>
    <row r="2263" spans="2:8" x14ac:dyDescent="0.25">
      <c r="B2263" s="144"/>
      <c r="C2263" s="144"/>
      <c r="D2263" s="144"/>
      <c r="E2263" s="144"/>
      <c r="F2263" s="144"/>
      <c r="G2263" s="144"/>
      <c r="H2263" s="299"/>
    </row>
    <row r="2264" spans="2:8" x14ac:dyDescent="0.25">
      <c r="B2264" s="144"/>
      <c r="C2264" s="144"/>
      <c r="D2264" s="144"/>
      <c r="E2264" s="144"/>
      <c r="F2264" s="144"/>
      <c r="G2264" s="144"/>
      <c r="H2264" s="299"/>
    </row>
    <row r="2265" spans="2:8" x14ac:dyDescent="0.25">
      <c r="B2265" s="144"/>
      <c r="C2265" s="144"/>
      <c r="D2265" s="144"/>
      <c r="E2265" s="144"/>
      <c r="F2265" s="144"/>
      <c r="G2265" s="144"/>
      <c r="H2265" s="299"/>
    </row>
    <row r="2266" spans="2:8" x14ac:dyDescent="0.25">
      <c r="B2266" s="144"/>
      <c r="C2266" s="144"/>
      <c r="D2266" s="144"/>
      <c r="E2266" s="144"/>
      <c r="F2266" s="144"/>
      <c r="G2266" s="144"/>
      <c r="H2266" s="299"/>
    </row>
    <row r="2267" spans="2:8" x14ac:dyDescent="0.25">
      <c r="B2267" s="144"/>
      <c r="C2267" s="144"/>
      <c r="D2267" s="144"/>
      <c r="E2267" s="144"/>
      <c r="F2267" s="144"/>
      <c r="G2267" s="144"/>
      <c r="H2267" s="299"/>
    </row>
    <row r="2268" spans="2:8" x14ac:dyDescent="0.25">
      <c r="B2268" s="144"/>
      <c r="C2268" s="144"/>
      <c r="D2268" s="144"/>
      <c r="E2268" s="144"/>
      <c r="F2268" s="144"/>
      <c r="G2268" s="144"/>
      <c r="H2268" s="299"/>
    </row>
    <row r="2269" spans="2:8" x14ac:dyDescent="0.25">
      <c r="B2269" s="144"/>
      <c r="C2269" s="144"/>
      <c r="D2269" s="144"/>
      <c r="E2269" s="144"/>
      <c r="F2269" s="144"/>
      <c r="G2269" s="144"/>
      <c r="H2269" s="299"/>
    </row>
    <row r="2270" spans="2:8" x14ac:dyDescent="0.25">
      <c r="B2270" s="144"/>
      <c r="C2270" s="144"/>
      <c r="D2270" s="144"/>
      <c r="E2270" s="144"/>
      <c r="F2270" s="144"/>
      <c r="G2270" s="144"/>
      <c r="H2270" s="299"/>
    </row>
    <row r="2271" spans="2:8" x14ac:dyDescent="0.25">
      <c r="B2271" s="144"/>
      <c r="C2271" s="144"/>
      <c r="D2271" s="144"/>
      <c r="E2271" s="144"/>
      <c r="F2271" s="144"/>
      <c r="G2271" s="144"/>
      <c r="H2271" s="299"/>
    </row>
    <row r="2272" spans="2:8" x14ac:dyDescent="0.25">
      <c r="B2272" s="144"/>
      <c r="C2272" s="144"/>
      <c r="D2272" s="144"/>
      <c r="E2272" s="144"/>
      <c r="F2272" s="144"/>
      <c r="G2272" s="144"/>
      <c r="H2272" s="299"/>
    </row>
    <row r="2273" spans="2:8" x14ac:dyDescent="0.25">
      <c r="B2273" s="144"/>
      <c r="C2273" s="144"/>
      <c r="D2273" s="144"/>
      <c r="E2273" s="144"/>
      <c r="F2273" s="144"/>
      <c r="G2273" s="144"/>
      <c r="H2273" s="299"/>
    </row>
    <row r="2274" spans="2:8" x14ac:dyDescent="0.25">
      <c r="B2274" s="144"/>
      <c r="C2274" s="144"/>
      <c r="D2274" s="144"/>
      <c r="E2274" s="144"/>
      <c r="F2274" s="144"/>
      <c r="G2274" s="144"/>
      <c r="H2274" s="299"/>
    </row>
    <row r="2275" spans="2:8" x14ac:dyDescent="0.25">
      <c r="B2275" s="144"/>
      <c r="C2275" s="144"/>
      <c r="D2275" s="144"/>
      <c r="E2275" s="144"/>
      <c r="F2275" s="144"/>
      <c r="G2275" s="144"/>
      <c r="H2275" s="299"/>
    </row>
    <row r="2276" spans="2:8" x14ac:dyDescent="0.25">
      <c r="B2276" s="144"/>
      <c r="C2276" s="144"/>
      <c r="D2276" s="144"/>
      <c r="E2276" s="144"/>
      <c r="F2276" s="144"/>
      <c r="G2276" s="144"/>
      <c r="H2276" s="299"/>
    </row>
    <row r="2277" spans="2:8" x14ac:dyDescent="0.25">
      <c r="B2277" s="144"/>
      <c r="C2277" s="144"/>
      <c r="D2277" s="144"/>
      <c r="E2277" s="144"/>
      <c r="F2277" s="144"/>
      <c r="G2277" s="144"/>
      <c r="H2277" s="299"/>
    </row>
    <row r="2278" spans="2:8" x14ac:dyDescent="0.25">
      <c r="B2278" s="144"/>
      <c r="C2278" s="144"/>
      <c r="D2278" s="144"/>
      <c r="E2278" s="144"/>
      <c r="F2278" s="144"/>
      <c r="G2278" s="144"/>
      <c r="H2278" s="299"/>
    </row>
    <row r="2279" spans="2:8" x14ac:dyDescent="0.25">
      <c r="B2279" s="144"/>
      <c r="C2279" s="144"/>
      <c r="D2279" s="144"/>
      <c r="E2279" s="144"/>
      <c r="F2279" s="144"/>
      <c r="G2279" s="144"/>
      <c r="H2279" s="299"/>
    </row>
    <row r="2280" spans="2:8" x14ac:dyDescent="0.25">
      <c r="B2280" s="144"/>
      <c r="C2280" s="144"/>
      <c r="D2280" s="144"/>
      <c r="E2280" s="144"/>
      <c r="F2280" s="144"/>
      <c r="G2280" s="144"/>
      <c r="H2280" s="299"/>
    </row>
    <row r="2281" spans="2:8" x14ac:dyDescent="0.25">
      <c r="B2281" s="144"/>
      <c r="C2281" s="144"/>
      <c r="D2281" s="144"/>
      <c r="E2281" s="144"/>
      <c r="F2281" s="144"/>
      <c r="G2281" s="144"/>
      <c r="H2281" s="299"/>
    </row>
    <row r="2282" spans="2:8" x14ac:dyDescent="0.25">
      <c r="B2282" s="144"/>
      <c r="C2282" s="144"/>
      <c r="D2282" s="144"/>
      <c r="E2282" s="144"/>
      <c r="F2282" s="144"/>
      <c r="G2282" s="144"/>
      <c r="H2282" s="299"/>
    </row>
    <row r="2283" spans="2:8" x14ac:dyDescent="0.25">
      <c r="B2283" s="144"/>
      <c r="C2283" s="144"/>
      <c r="D2283" s="144"/>
      <c r="E2283" s="144"/>
      <c r="F2283" s="144"/>
      <c r="G2283" s="144"/>
      <c r="H2283" s="299"/>
    </row>
    <row r="2284" spans="2:8" x14ac:dyDescent="0.25">
      <c r="B2284" s="144"/>
      <c r="C2284" s="144"/>
      <c r="D2284" s="144"/>
      <c r="E2284" s="144"/>
      <c r="F2284" s="144"/>
      <c r="G2284" s="144"/>
      <c r="H2284" s="299"/>
    </row>
    <row r="2285" spans="2:8" x14ac:dyDescent="0.25">
      <c r="B2285" s="144"/>
      <c r="C2285" s="144"/>
      <c r="D2285" s="144"/>
      <c r="E2285" s="144"/>
      <c r="F2285" s="144"/>
      <c r="G2285" s="144"/>
      <c r="H2285" s="299"/>
    </row>
    <row r="2286" spans="2:8" x14ac:dyDescent="0.25">
      <c r="B2286" s="144"/>
      <c r="C2286" s="144"/>
      <c r="D2286" s="144"/>
      <c r="E2286" s="144"/>
      <c r="F2286" s="144"/>
      <c r="G2286" s="144"/>
      <c r="H2286" s="299"/>
    </row>
    <row r="2287" spans="2:8" x14ac:dyDescent="0.25">
      <c r="B2287" s="144"/>
      <c r="C2287" s="144"/>
      <c r="D2287" s="144"/>
      <c r="E2287" s="144"/>
      <c r="F2287" s="144"/>
      <c r="G2287" s="144"/>
      <c r="H2287" s="299"/>
    </row>
    <row r="2288" spans="2:8" x14ac:dyDescent="0.25">
      <c r="B2288" s="144"/>
      <c r="C2288" s="144"/>
      <c r="D2288" s="144"/>
      <c r="E2288" s="144"/>
      <c r="F2288" s="144"/>
      <c r="G2288" s="144"/>
      <c r="H2288" s="299"/>
    </row>
    <row r="2289" spans="2:8" x14ac:dyDescent="0.25">
      <c r="B2289" s="145"/>
      <c r="C2289" s="145"/>
      <c r="D2289" s="145"/>
      <c r="E2289" s="145"/>
      <c r="F2289" s="145"/>
      <c r="G2289" s="145"/>
      <c r="H2289" s="299"/>
    </row>
    <row r="2290" spans="2:8" x14ac:dyDescent="0.25">
      <c r="B2290" s="145"/>
      <c r="C2290" s="145"/>
      <c r="D2290" s="145"/>
      <c r="E2290" s="145"/>
      <c r="F2290" s="145"/>
      <c r="G2290" s="145"/>
      <c r="H2290" s="299"/>
    </row>
    <row r="2291" spans="2:8" x14ac:dyDescent="0.25">
      <c r="B2291" s="145"/>
      <c r="C2291" s="145"/>
      <c r="D2291" s="145"/>
      <c r="E2291" s="145"/>
      <c r="F2291" s="145"/>
      <c r="G2291" s="145"/>
      <c r="H2291" s="299"/>
    </row>
    <row r="2292" spans="2:8" x14ac:dyDescent="0.25">
      <c r="B2292" s="145"/>
      <c r="C2292" s="145"/>
      <c r="D2292" s="145"/>
      <c r="E2292" s="145"/>
      <c r="F2292" s="145"/>
      <c r="G2292" s="145"/>
      <c r="H2292" s="299"/>
    </row>
    <row r="2293" spans="2:8" x14ac:dyDescent="0.25">
      <c r="B2293" s="145"/>
      <c r="C2293" s="145"/>
      <c r="D2293" s="145"/>
      <c r="E2293" s="145"/>
      <c r="F2293" s="145"/>
      <c r="G2293" s="145"/>
      <c r="H2293" s="299"/>
    </row>
    <row r="2294" spans="2:8" x14ac:dyDescent="0.25">
      <c r="B2294" s="145"/>
      <c r="C2294" s="145"/>
      <c r="D2294" s="145"/>
      <c r="E2294" s="145"/>
      <c r="F2294" s="145"/>
      <c r="G2294" s="145"/>
      <c r="H2294" s="299"/>
    </row>
    <row r="2295" spans="2:8" x14ac:dyDescent="0.25">
      <c r="B2295" s="145"/>
      <c r="C2295" s="145"/>
      <c r="D2295" s="145"/>
      <c r="E2295" s="145"/>
      <c r="F2295" s="145"/>
      <c r="G2295" s="145"/>
      <c r="H2295" s="299"/>
    </row>
    <row r="2296" spans="2:8" x14ac:dyDescent="0.25">
      <c r="B2296" s="145"/>
      <c r="C2296" s="145"/>
      <c r="D2296" s="145"/>
      <c r="E2296" s="145"/>
      <c r="F2296" s="145"/>
      <c r="G2296" s="145"/>
      <c r="H2296" s="299"/>
    </row>
    <row r="2297" spans="2:8" x14ac:dyDescent="0.25">
      <c r="B2297" s="145"/>
      <c r="C2297" s="145"/>
      <c r="D2297" s="145"/>
      <c r="E2297" s="145"/>
      <c r="F2297" s="145"/>
      <c r="G2297" s="145"/>
      <c r="H2297" s="299"/>
    </row>
    <row r="2298" spans="2:8" x14ac:dyDescent="0.25">
      <c r="B2298" s="145"/>
      <c r="C2298" s="145"/>
      <c r="D2298" s="145"/>
      <c r="E2298" s="145"/>
      <c r="F2298" s="145"/>
      <c r="G2298" s="145"/>
      <c r="H2298" s="299"/>
    </row>
    <row r="2299" spans="2:8" x14ac:dyDescent="0.25">
      <c r="B2299" s="145"/>
      <c r="C2299" s="145"/>
      <c r="D2299" s="145"/>
      <c r="E2299" s="145"/>
      <c r="F2299" s="145"/>
      <c r="G2299" s="145"/>
      <c r="H2299" s="299"/>
    </row>
    <row r="2300" spans="2:8" x14ac:dyDescent="0.25">
      <c r="B2300" s="145"/>
      <c r="C2300" s="145"/>
      <c r="D2300" s="145"/>
      <c r="E2300" s="145"/>
      <c r="F2300" s="145"/>
      <c r="G2300" s="145"/>
      <c r="H2300" s="299"/>
    </row>
    <row r="2301" spans="2:8" x14ac:dyDescent="0.25">
      <c r="B2301" s="145"/>
      <c r="C2301" s="145"/>
      <c r="D2301" s="145"/>
      <c r="E2301" s="145"/>
      <c r="F2301" s="145"/>
      <c r="G2301" s="145"/>
      <c r="H2301" s="299"/>
    </row>
    <row r="2302" spans="2:8" x14ac:dyDescent="0.25">
      <c r="B2302" s="145"/>
      <c r="C2302" s="145"/>
      <c r="D2302" s="145"/>
      <c r="E2302" s="145"/>
      <c r="F2302" s="145"/>
      <c r="G2302" s="145"/>
      <c r="H2302" s="299"/>
    </row>
    <row r="2303" spans="2:8" x14ac:dyDescent="0.25">
      <c r="B2303" s="145"/>
      <c r="C2303" s="145"/>
      <c r="D2303" s="145"/>
      <c r="E2303" s="145"/>
      <c r="F2303" s="145"/>
      <c r="G2303" s="145"/>
      <c r="H2303" s="299"/>
    </row>
    <row r="2304" spans="2:8" x14ac:dyDescent="0.25">
      <c r="B2304" s="145"/>
      <c r="C2304" s="145"/>
      <c r="D2304" s="145"/>
      <c r="E2304" s="145"/>
      <c r="F2304" s="145"/>
      <c r="G2304" s="145"/>
      <c r="H2304" s="299"/>
    </row>
    <row r="2305" spans="2:8" x14ac:dyDescent="0.25">
      <c r="B2305" s="145"/>
      <c r="C2305" s="145"/>
      <c r="D2305" s="145"/>
      <c r="E2305" s="145"/>
      <c r="F2305" s="145"/>
      <c r="G2305" s="145"/>
      <c r="H2305" s="299"/>
    </row>
    <row r="2306" spans="2:8" x14ac:dyDescent="0.25">
      <c r="B2306" s="145"/>
      <c r="C2306" s="145"/>
      <c r="D2306" s="145"/>
      <c r="E2306" s="145"/>
      <c r="F2306" s="145"/>
      <c r="G2306" s="145"/>
      <c r="H2306" s="299"/>
    </row>
    <row r="2307" spans="2:8" x14ac:dyDescent="0.25">
      <c r="B2307" s="145"/>
      <c r="C2307" s="145"/>
      <c r="D2307" s="145"/>
      <c r="E2307" s="145"/>
      <c r="F2307" s="145"/>
      <c r="G2307" s="145"/>
      <c r="H2307" s="299"/>
    </row>
    <row r="2308" spans="2:8" x14ac:dyDescent="0.25">
      <c r="B2308" s="145"/>
      <c r="C2308" s="145"/>
      <c r="D2308" s="145"/>
      <c r="E2308" s="145"/>
      <c r="F2308" s="145"/>
      <c r="G2308" s="145"/>
      <c r="H2308" s="299"/>
    </row>
    <row r="2309" spans="2:8" x14ac:dyDescent="0.25">
      <c r="B2309" s="145"/>
      <c r="C2309" s="145"/>
      <c r="D2309" s="145"/>
      <c r="E2309" s="145"/>
      <c r="F2309" s="145"/>
      <c r="G2309" s="145"/>
      <c r="H2309" s="299"/>
    </row>
    <row r="2310" spans="2:8" x14ac:dyDescent="0.25">
      <c r="B2310" s="145"/>
      <c r="C2310" s="145"/>
      <c r="D2310" s="145"/>
      <c r="E2310" s="145"/>
      <c r="F2310" s="145"/>
      <c r="G2310" s="145"/>
      <c r="H2310" s="299"/>
    </row>
    <row r="2311" spans="2:8" x14ac:dyDescent="0.25">
      <c r="B2311" s="145"/>
      <c r="C2311" s="145"/>
      <c r="D2311" s="145"/>
      <c r="E2311" s="145"/>
      <c r="F2311" s="145"/>
      <c r="G2311" s="145"/>
      <c r="H2311" s="299"/>
    </row>
    <row r="2312" spans="2:8" x14ac:dyDescent="0.25">
      <c r="B2312" s="145"/>
      <c r="C2312" s="145"/>
      <c r="D2312" s="145"/>
      <c r="E2312" s="145"/>
      <c r="F2312" s="145"/>
      <c r="G2312" s="145"/>
      <c r="H2312" s="299"/>
    </row>
    <row r="2313" spans="2:8" x14ac:dyDescent="0.25">
      <c r="B2313" s="145"/>
      <c r="C2313" s="145"/>
      <c r="D2313" s="145"/>
      <c r="E2313" s="145"/>
      <c r="F2313" s="145"/>
      <c r="G2313" s="145"/>
      <c r="H2313" s="299"/>
    </row>
    <row r="2314" spans="2:8" x14ac:dyDescent="0.25">
      <c r="B2314" s="145"/>
      <c r="C2314" s="145"/>
      <c r="D2314" s="145"/>
      <c r="E2314" s="145"/>
      <c r="F2314" s="145"/>
      <c r="G2314" s="145"/>
      <c r="H2314" s="299"/>
    </row>
    <row r="2315" spans="2:8" x14ac:dyDescent="0.25">
      <c r="B2315" s="145"/>
      <c r="C2315" s="145"/>
      <c r="D2315" s="145"/>
      <c r="E2315" s="145"/>
      <c r="F2315" s="145"/>
      <c r="G2315" s="145"/>
      <c r="H2315" s="299"/>
    </row>
    <row r="2316" spans="2:8" x14ac:dyDescent="0.25">
      <c r="B2316" s="145"/>
      <c r="C2316" s="145"/>
      <c r="D2316" s="145"/>
      <c r="E2316" s="145"/>
      <c r="F2316" s="145"/>
      <c r="G2316" s="145"/>
      <c r="H2316" s="299"/>
    </row>
    <row r="2317" spans="2:8" x14ac:dyDescent="0.25">
      <c r="B2317" s="145"/>
      <c r="C2317" s="145"/>
      <c r="D2317" s="145"/>
      <c r="E2317" s="145"/>
      <c r="F2317" s="145"/>
      <c r="G2317" s="145"/>
      <c r="H2317" s="299"/>
    </row>
    <row r="2318" spans="2:8" x14ac:dyDescent="0.25">
      <c r="B2318" s="145"/>
      <c r="C2318" s="145"/>
      <c r="D2318" s="145"/>
      <c r="E2318" s="145"/>
      <c r="F2318" s="145"/>
      <c r="G2318" s="145"/>
      <c r="H2318" s="299"/>
    </row>
    <row r="2319" spans="2:8" x14ac:dyDescent="0.25">
      <c r="B2319" s="145"/>
      <c r="C2319" s="145"/>
      <c r="D2319" s="145"/>
      <c r="E2319" s="145"/>
      <c r="F2319" s="145"/>
      <c r="G2319" s="145"/>
      <c r="H2319" s="299"/>
    </row>
    <row r="2320" spans="2:8" x14ac:dyDescent="0.25">
      <c r="B2320" s="145"/>
      <c r="C2320" s="145"/>
      <c r="D2320" s="145"/>
      <c r="E2320" s="145"/>
      <c r="F2320" s="145"/>
      <c r="G2320" s="145"/>
      <c r="H2320" s="299"/>
    </row>
    <row r="2321" spans="2:8" x14ac:dyDescent="0.25">
      <c r="B2321" s="145"/>
      <c r="C2321" s="145"/>
      <c r="D2321" s="145"/>
      <c r="E2321" s="145"/>
      <c r="F2321" s="145"/>
      <c r="G2321" s="145"/>
      <c r="H2321" s="299"/>
    </row>
    <row r="2322" spans="2:8" x14ac:dyDescent="0.25">
      <c r="B2322" s="145"/>
      <c r="C2322" s="145"/>
      <c r="D2322" s="145"/>
      <c r="E2322" s="145"/>
      <c r="F2322" s="145"/>
      <c r="G2322" s="145"/>
      <c r="H2322" s="299"/>
    </row>
    <row r="2323" spans="2:8" x14ac:dyDescent="0.25">
      <c r="B2323" s="145"/>
      <c r="C2323" s="145"/>
      <c r="D2323" s="145"/>
      <c r="E2323" s="145"/>
      <c r="F2323" s="145"/>
      <c r="G2323" s="145"/>
      <c r="H2323" s="299"/>
    </row>
    <row r="2324" spans="2:8" x14ac:dyDescent="0.25">
      <c r="B2324" s="145"/>
      <c r="C2324" s="145"/>
      <c r="D2324" s="145"/>
      <c r="E2324" s="145"/>
      <c r="F2324" s="145"/>
      <c r="G2324" s="145"/>
      <c r="H2324" s="299"/>
    </row>
    <row r="2325" spans="2:8" x14ac:dyDescent="0.25">
      <c r="B2325" s="145"/>
      <c r="C2325" s="145"/>
      <c r="D2325" s="145"/>
      <c r="E2325" s="145"/>
      <c r="F2325" s="145"/>
      <c r="G2325" s="145"/>
      <c r="H2325" s="299"/>
    </row>
    <row r="2326" spans="2:8" x14ac:dyDescent="0.25">
      <c r="B2326" s="145"/>
      <c r="C2326" s="145"/>
      <c r="D2326" s="145"/>
      <c r="E2326" s="145"/>
      <c r="F2326" s="145"/>
      <c r="G2326" s="145"/>
      <c r="H2326" s="299"/>
    </row>
    <row r="2327" spans="2:8" x14ac:dyDescent="0.25">
      <c r="B2327" s="145"/>
      <c r="C2327" s="145"/>
      <c r="D2327" s="145"/>
      <c r="E2327" s="145"/>
      <c r="F2327" s="145"/>
      <c r="G2327" s="145"/>
      <c r="H2327" s="299"/>
    </row>
    <row r="2328" spans="2:8" x14ac:dyDescent="0.25">
      <c r="B2328" s="145"/>
      <c r="C2328" s="145"/>
      <c r="D2328" s="145"/>
      <c r="E2328" s="145"/>
      <c r="F2328" s="145"/>
      <c r="G2328" s="145"/>
      <c r="H2328" s="299"/>
    </row>
    <row r="2329" spans="2:8" x14ac:dyDescent="0.25">
      <c r="B2329" s="145"/>
      <c r="C2329" s="145"/>
      <c r="D2329" s="145"/>
      <c r="E2329" s="145"/>
      <c r="F2329" s="145"/>
      <c r="G2329" s="145"/>
      <c r="H2329" s="299"/>
    </row>
    <row r="2330" spans="2:8" x14ac:dyDescent="0.25">
      <c r="B2330" s="145"/>
      <c r="C2330" s="145"/>
      <c r="D2330" s="145"/>
      <c r="E2330" s="145"/>
      <c r="F2330" s="145"/>
      <c r="G2330" s="145"/>
      <c r="H2330" s="299"/>
    </row>
    <row r="2331" spans="2:8" x14ac:dyDescent="0.25">
      <c r="B2331" s="145"/>
      <c r="C2331" s="145"/>
      <c r="D2331" s="145"/>
      <c r="E2331" s="145"/>
      <c r="F2331" s="145"/>
      <c r="G2331" s="145"/>
      <c r="H2331" s="299"/>
    </row>
    <row r="2332" spans="2:8" x14ac:dyDescent="0.25">
      <c r="B2332" s="145"/>
      <c r="C2332" s="145"/>
      <c r="D2332" s="145"/>
      <c r="E2332" s="145"/>
      <c r="F2332" s="145"/>
      <c r="G2332" s="145"/>
      <c r="H2332" s="299"/>
    </row>
    <row r="2333" spans="2:8" x14ac:dyDescent="0.25">
      <c r="B2333" s="145"/>
      <c r="C2333" s="145"/>
      <c r="D2333" s="145"/>
      <c r="E2333" s="145"/>
      <c r="F2333" s="145"/>
      <c r="G2333" s="145"/>
      <c r="H2333" s="299"/>
    </row>
    <row r="2334" spans="2:8" x14ac:dyDescent="0.25">
      <c r="B2334" s="145"/>
      <c r="C2334" s="145"/>
      <c r="D2334" s="145"/>
      <c r="E2334" s="145"/>
      <c r="F2334" s="145"/>
      <c r="G2334" s="145"/>
      <c r="H2334" s="299"/>
    </row>
    <row r="2335" spans="2:8" x14ac:dyDescent="0.25">
      <c r="B2335" s="145"/>
      <c r="C2335" s="145"/>
      <c r="D2335" s="145"/>
      <c r="E2335" s="145"/>
      <c r="F2335" s="145"/>
      <c r="G2335" s="145"/>
      <c r="H2335" s="299"/>
    </row>
    <row r="2336" spans="2:8" x14ac:dyDescent="0.25">
      <c r="B2336" s="145"/>
      <c r="C2336" s="145"/>
      <c r="D2336" s="145"/>
      <c r="E2336" s="145"/>
      <c r="F2336" s="145"/>
      <c r="G2336" s="145"/>
      <c r="H2336" s="299"/>
    </row>
    <row r="2337" spans="2:8" x14ac:dyDescent="0.25">
      <c r="B2337" s="145"/>
      <c r="C2337" s="145"/>
      <c r="D2337" s="145"/>
      <c r="E2337" s="145"/>
      <c r="F2337" s="145"/>
      <c r="G2337" s="145"/>
      <c r="H2337" s="299"/>
    </row>
    <row r="2338" spans="2:8" x14ac:dyDescent="0.25">
      <c r="B2338" s="145"/>
      <c r="C2338" s="145"/>
      <c r="D2338" s="145"/>
      <c r="E2338" s="145"/>
      <c r="F2338" s="145"/>
      <c r="G2338" s="145"/>
      <c r="H2338" s="299"/>
    </row>
    <row r="2339" spans="2:8" x14ac:dyDescent="0.25">
      <c r="B2339" s="145"/>
      <c r="C2339" s="145"/>
      <c r="D2339" s="145"/>
      <c r="E2339" s="145"/>
      <c r="F2339" s="145"/>
      <c r="G2339" s="145"/>
      <c r="H2339" s="299"/>
    </row>
    <row r="2340" spans="2:8" x14ac:dyDescent="0.25">
      <c r="B2340" s="145"/>
      <c r="C2340" s="145"/>
      <c r="D2340" s="145"/>
      <c r="E2340" s="145"/>
      <c r="F2340" s="145"/>
      <c r="G2340" s="145"/>
      <c r="H2340" s="299"/>
    </row>
    <row r="2341" spans="2:8" x14ac:dyDescent="0.25">
      <c r="B2341" s="145"/>
      <c r="C2341" s="145"/>
      <c r="D2341" s="145"/>
      <c r="E2341" s="145"/>
      <c r="F2341" s="145"/>
      <c r="G2341" s="145"/>
      <c r="H2341" s="299"/>
    </row>
    <row r="2342" spans="2:8" x14ac:dyDescent="0.25">
      <c r="B2342" s="145"/>
      <c r="C2342" s="145"/>
      <c r="D2342" s="145"/>
      <c r="E2342" s="145"/>
      <c r="F2342" s="145"/>
      <c r="G2342" s="145"/>
      <c r="H2342" s="299"/>
    </row>
    <row r="2343" spans="2:8" x14ac:dyDescent="0.25">
      <c r="B2343" s="145"/>
      <c r="C2343" s="145"/>
      <c r="D2343" s="145"/>
      <c r="E2343" s="145"/>
      <c r="F2343" s="145"/>
      <c r="G2343" s="145"/>
      <c r="H2343" s="299"/>
    </row>
    <row r="2344" spans="2:8" x14ac:dyDescent="0.25">
      <c r="B2344" s="145"/>
      <c r="C2344" s="145"/>
      <c r="D2344" s="145"/>
      <c r="E2344" s="145"/>
      <c r="F2344" s="145"/>
      <c r="G2344" s="145"/>
      <c r="H2344" s="299"/>
    </row>
    <row r="2345" spans="2:8" x14ac:dyDescent="0.25">
      <c r="B2345" s="145"/>
      <c r="C2345" s="145"/>
      <c r="D2345" s="145"/>
      <c r="E2345" s="145"/>
      <c r="F2345" s="145"/>
      <c r="G2345" s="145"/>
      <c r="H2345" s="299"/>
    </row>
    <row r="2346" spans="2:8" x14ac:dyDescent="0.25">
      <c r="B2346" s="145"/>
      <c r="C2346" s="145"/>
      <c r="D2346" s="145"/>
      <c r="E2346" s="145"/>
      <c r="F2346" s="145"/>
      <c r="G2346" s="145"/>
      <c r="H2346" s="299"/>
    </row>
    <row r="2347" spans="2:8" x14ac:dyDescent="0.25">
      <c r="B2347" s="145"/>
      <c r="C2347" s="145"/>
      <c r="D2347" s="145"/>
      <c r="E2347" s="145"/>
      <c r="F2347" s="145"/>
      <c r="G2347" s="145"/>
      <c r="H2347" s="299"/>
    </row>
    <row r="2348" spans="2:8" x14ac:dyDescent="0.25">
      <c r="B2348" s="145"/>
      <c r="C2348" s="145"/>
      <c r="D2348" s="145"/>
      <c r="E2348" s="145"/>
      <c r="F2348" s="145"/>
      <c r="G2348" s="145"/>
      <c r="H2348" s="299"/>
    </row>
    <row r="2349" spans="2:8" x14ac:dyDescent="0.25">
      <c r="B2349" s="145"/>
      <c r="C2349" s="145"/>
      <c r="D2349" s="145"/>
      <c r="E2349" s="145"/>
      <c r="F2349" s="145"/>
      <c r="G2349" s="145"/>
      <c r="H2349" s="299"/>
    </row>
    <row r="2350" spans="2:8" x14ac:dyDescent="0.25">
      <c r="B2350" s="145"/>
      <c r="C2350" s="145"/>
      <c r="D2350" s="145"/>
      <c r="E2350" s="145"/>
      <c r="F2350" s="145"/>
      <c r="G2350" s="145"/>
      <c r="H2350" s="299"/>
    </row>
    <row r="2351" spans="2:8" x14ac:dyDescent="0.25">
      <c r="B2351" s="145"/>
      <c r="C2351" s="145"/>
      <c r="D2351" s="145"/>
      <c r="E2351" s="145"/>
      <c r="F2351" s="145"/>
      <c r="G2351" s="145"/>
      <c r="H2351" s="299"/>
    </row>
    <row r="2352" spans="2:8" x14ac:dyDescent="0.25">
      <c r="B2352" s="145"/>
      <c r="C2352" s="145"/>
      <c r="D2352" s="145"/>
      <c r="E2352" s="145"/>
      <c r="F2352" s="145"/>
      <c r="G2352" s="145"/>
      <c r="H2352" s="299"/>
    </row>
    <row r="2353" spans="2:8" x14ac:dyDescent="0.25">
      <c r="B2353" s="145"/>
      <c r="C2353" s="145"/>
      <c r="D2353" s="145"/>
      <c r="E2353" s="145"/>
      <c r="F2353" s="145"/>
      <c r="G2353" s="145"/>
      <c r="H2353" s="299"/>
    </row>
    <row r="2354" spans="2:8" x14ac:dyDescent="0.25">
      <c r="B2354" s="145"/>
      <c r="C2354" s="145"/>
      <c r="D2354" s="145"/>
      <c r="E2354" s="145"/>
      <c r="F2354" s="145"/>
      <c r="G2354" s="145"/>
      <c r="H2354" s="299"/>
    </row>
    <row r="2355" spans="2:8" x14ac:dyDescent="0.25">
      <c r="B2355" s="145"/>
      <c r="C2355" s="145"/>
      <c r="D2355" s="145"/>
      <c r="E2355" s="145"/>
      <c r="F2355" s="145"/>
      <c r="G2355" s="145"/>
      <c r="H2355" s="299"/>
    </row>
    <row r="2356" spans="2:8" x14ac:dyDescent="0.25">
      <c r="B2356" s="145"/>
      <c r="C2356" s="145"/>
      <c r="D2356" s="145"/>
      <c r="E2356" s="145"/>
      <c r="F2356" s="145"/>
      <c r="G2356" s="145"/>
      <c r="H2356" s="299"/>
    </row>
    <row r="2357" spans="2:8" x14ac:dyDescent="0.25">
      <c r="B2357" s="145"/>
      <c r="C2357" s="145"/>
      <c r="D2357" s="145"/>
      <c r="E2357" s="145"/>
      <c r="F2357" s="145"/>
      <c r="G2357" s="145"/>
      <c r="H2357" s="299"/>
    </row>
    <row r="2358" spans="2:8" x14ac:dyDescent="0.25">
      <c r="B2358" s="145"/>
      <c r="C2358" s="145"/>
      <c r="D2358" s="145"/>
      <c r="E2358" s="145"/>
      <c r="F2358" s="145"/>
      <c r="G2358" s="145"/>
      <c r="H2358" s="299"/>
    </row>
    <row r="2359" spans="2:8" x14ac:dyDescent="0.25">
      <c r="B2359" s="145"/>
      <c r="C2359" s="145"/>
      <c r="D2359" s="145"/>
      <c r="E2359" s="145"/>
      <c r="F2359" s="145"/>
      <c r="G2359" s="145"/>
      <c r="H2359" s="299"/>
    </row>
    <row r="2360" spans="2:8" x14ac:dyDescent="0.25">
      <c r="B2360" s="145"/>
      <c r="C2360" s="145"/>
      <c r="D2360" s="145"/>
      <c r="E2360" s="145"/>
      <c r="F2360" s="145"/>
      <c r="G2360" s="145"/>
      <c r="H2360" s="299"/>
    </row>
    <row r="2361" spans="2:8" x14ac:dyDescent="0.25">
      <c r="B2361" s="145"/>
      <c r="C2361" s="145"/>
      <c r="D2361" s="145"/>
      <c r="E2361" s="145"/>
      <c r="F2361" s="145"/>
      <c r="G2361" s="145"/>
      <c r="H2361" s="299"/>
    </row>
    <row r="2362" spans="2:8" x14ac:dyDescent="0.25">
      <c r="B2362" s="145"/>
      <c r="C2362" s="145"/>
      <c r="D2362" s="145"/>
      <c r="E2362" s="145"/>
      <c r="F2362" s="145"/>
      <c r="G2362" s="145"/>
      <c r="H2362" s="299"/>
    </row>
    <row r="2363" spans="2:8" x14ac:dyDescent="0.25">
      <c r="B2363" s="145"/>
      <c r="C2363" s="145"/>
      <c r="D2363" s="145"/>
      <c r="E2363" s="145"/>
      <c r="F2363" s="145"/>
      <c r="G2363" s="145"/>
      <c r="H2363" s="299"/>
    </row>
    <row r="2364" spans="2:8" x14ac:dyDescent="0.25">
      <c r="B2364" s="145"/>
      <c r="C2364" s="145"/>
      <c r="D2364" s="145"/>
      <c r="E2364" s="145"/>
      <c r="F2364" s="145"/>
      <c r="G2364" s="145"/>
      <c r="H2364" s="299"/>
    </row>
    <row r="2365" spans="2:8" x14ac:dyDescent="0.25">
      <c r="B2365" s="145"/>
      <c r="C2365" s="145"/>
      <c r="D2365" s="145"/>
      <c r="E2365" s="145"/>
      <c r="F2365" s="145"/>
      <c r="G2365" s="145"/>
      <c r="H2365" s="299"/>
    </row>
    <row r="2366" spans="2:8" x14ac:dyDescent="0.25">
      <c r="B2366" s="145"/>
      <c r="C2366" s="145"/>
      <c r="D2366" s="145"/>
      <c r="E2366" s="145"/>
      <c r="F2366" s="145"/>
      <c r="G2366" s="145"/>
      <c r="H2366" s="299"/>
    </row>
    <row r="2367" spans="2:8" x14ac:dyDescent="0.25">
      <c r="B2367" s="145"/>
      <c r="C2367" s="145"/>
      <c r="D2367" s="145"/>
      <c r="E2367" s="145"/>
      <c r="F2367" s="145"/>
      <c r="G2367" s="145"/>
      <c r="H2367" s="299"/>
    </row>
    <row r="2368" spans="2:8" x14ac:dyDescent="0.25">
      <c r="B2368" s="145"/>
      <c r="C2368" s="145"/>
      <c r="D2368" s="145"/>
      <c r="E2368" s="145"/>
      <c r="F2368" s="145"/>
      <c r="G2368" s="145"/>
      <c r="H2368" s="299"/>
    </row>
    <row r="2369" spans="2:8" x14ac:dyDescent="0.25">
      <c r="B2369" s="145"/>
      <c r="C2369" s="145"/>
      <c r="D2369" s="145"/>
      <c r="E2369" s="145"/>
      <c r="F2369" s="145"/>
      <c r="G2369" s="145"/>
      <c r="H2369" s="299"/>
    </row>
    <row r="2370" spans="2:8" x14ac:dyDescent="0.25">
      <c r="B2370" s="145"/>
      <c r="C2370" s="145"/>
      <c r="D2370" s="145"/>
      <c r="E2370" s="145"/>
      <c r="F2370" s="145"/>
      <c r="G2370" s="145"/>
      <c r="H2370" s="299"/>
    </row>
    <row r="2371" spans="2:8" x14ac:dyDescent="0.25">
      <c r="B2371" s="145"/>
      <c r="C2371" s="145"/>
      <c r="D2371" s="145"/>
      <c r="E2371" s="145"/>
      <c r="F2371" s="145"/>
      <c r="G2371" s="145"/>
      <c r="H2371" s="299"/>
    </row>
    <row r="2372" spans="2:8" x14ac:dyDescent="0.25">
      <c r="B2372" s="145"/>
      <c r="C2372" s="145"/>
      <c r="D2372" s="145"/>
      <c r="E2372" s="145"/>
      <c r="F2372" s="145"/>
      <c r="G2372" s="145"/>
      <c r="H2372" s="299"/>
    </row>
    <row r="2373" spans="2:8" x14ac:dyDescent="0.25">
      <c r="B2373" s="145"/>
      <c r="C2373" s="145"/>
      <c r="D2373" s="145"/>
      <c r="E2373" s="145"/>
      <c r="F2373" s="145"/>
      <c r="G2373" s="145"/>
      <c r="H2373" s="299"/>
    </row>
    <row r="2374" spans="2:8" x14ac:dyDescent="0.25">
      <c r="B2374" s="145"/>
      <c r="C2374" s="145"/>
      <c r="D2374" s="145"/>
      <c r="E2374" s="145"/>
      <c r="F2374" s="145"/>
      <c r="G2374" s="145"/>
      <c r="H2374" s="299"/>
    </row>
    <row r="2375" spans="2:8" x14ac:dyDescent="0.25">
      <c r="B2375" s="145"/>
      <c r="C2375" s="145"/>
      <c r="D2375" s="145"/>
      <c r="E2375" s="145"/>
      <c r="F2375" s="145"/>
      <c r="G2375" s="145"/>
      <c r="H2375" s="299"/>
    </row>
    <row r="2376" spans="2:8" x14ac:dyDescent="0.25">
      <c r="B2376" s="145"/>
      <c r="C2376" s="145"/>
      <c r="D2376" s="145"/>
      <c r="E2376" s="145"/>
      <c r="F2376" s="145"/>
      <c r="G2376" s="145"/>
      <c r="H2376" s="299"/>
    </row>
    <row r="2377" spans="2:8" x14ac:dyDescent="0.25">
      <c r="B2377" s="145"/>
      <c r="C2377" s="145"/>
      <c r="D2377" s="145"/>
      <c r="E2377" s="145"/>
      <c r="F2377" s="145"/>
      <c r="G2377" s="145"/>
      <c r="H2377" s="299"/>
    </row>
    <row r="2378" spans="2:8" x14ac:dyDescent="0.25">
      <c r="B2378" s="145"/>
      <c r="C2378" s="145"/>
      <c r="D2378" s="145"/>
      <c r="E2378" s="145"/>
      <c r="F2378" s="145"/>
      <c r="G2378" s="145"/>
      <c r="H2378" s="299"/>
    </row>
    <row r="2379" spans="2:8" x14ac:dyDescent="0.25">
      <c r="B2379" s="145"/>
      <c r="C2379" s="145"/>
      <c r="D2379" s="145"/>
      <c r="E2379" s="145"/>
      <c r="F2379" s="145"/>
      <c r="G2379" s="145"/>
      <c r="H2379" s="299"/>
    </row>
    <row r="2380" spans="2:8" x14ac:dyDescent="0.25">
      <c r="B2380" s="145"/>
      <c r="C2380" s="145"/>
      <c r="D2380" s="145"/>
      <c r="E2380" s="145"/>
      <c r="F2380" s="145"/>
      <c r="G2380" s="145"/>
      <c r="H2380" s="299"/>
    </row>
    <row r="2381" spans="2:8" x14ac:dyDescent="0.25">
      <c r="B2381" s="145"/>
      <c r="C2381" s="145"/>
      <c r="D2381" s="145"/>
      <c r="E2381" s="145"/>
      <c r="F2381" s="145"/>
      <c r="G2381" s="145"/>
      <c r="H2381" s="299"/>
    </row>
    <row r="2382" spans="2:8" x14ac:dyDescent="0.25">
      <c r="B2382" s="145"/>
      <c r="C2382" s="145"/>
      <c r="D2382" s="145"/>
      <c r="E2382" s="145"/>
      <c r="F2382" s="145"/>
      <c r="G2382" s="145"/>
      <c r="H2382" s="299"/>
    </row>
    <row r="2383" spans="2:8" x14ac:dyDescent="0.25">
      <c r="B2383" s="145"/>
      <c r="C2383" s="145"/>
      <c r="D2383" s="145"/>
      <c r="E2383" s="145"/>
      <c r="F2383" s="145"/>
      <c r="G2383" s="145"/>
      <c r="H2383" s="299"/>
    </row>
    <row r="2384" spans="2:8" x14ac:dyDescent="0.25">
      <c r="B2384" s="145"/>
      <c r="C2384" s="145"/>
      <c r="D2384" s="145"/>
      <c r="E2384" s="145"/>
      <c r="F2384" s="145"/>
      <c r="G2384" s="145"/>
      <c r="H2384" s="299"/>
    </row>
    <row r="2385" spans="2:8" x14ac:dyDescent="0.25">
      <c r="B2385" s="145"/>
      <c r="C2385" s="145"/>
      <c r="D2385" s="145"/>
      <c r="E2385" s="145"/>
      <c r="F2385" s="145"/>
      <c r="G2385" s="145"/>
      <c r="H2385" s="299"/>
    </row>
    <row r="2386" spans="2:8" x14ac:dyDescent="0.25">
      <c r="B2386" s="145"/>
      <c r="C2386" s="145"/>
      <c r="D2386" s="145"/>
      <c r="E2386" s="145"/>
      <c r="F2386" s="145"/>
      <c r="G2386" s="145"/>
      <c r="H2386" s="299"/>
    </row>
    <row r="2387" spans="2:8" x14ac:dyDescent="0.25">
      <c r="B2387" s="145"/>
      <c r="C2387" s="145"/>
      <c r="D2387" s="145"/>
      <c r="E2387" s="145"/>
      <c r="F2387" s="145"/>
      <c r="G2387" s="145"/>
      <c r="H2387" s="299"/>
    </row>
    <row r="2388" spans="2:8" x14ac:dyDescent="0.25">
      <c r="B2388" s="145"/>
      <c r="C2388" s="145"/>
      <c r="D2388" s="145"/>
      <c r="E2388" s="145"/>
      <c r="F2388" s="145"/>
      <c r="G2388" s="145"/>
      <c r="H2388" s="299"/>
    </row>
    <row r="2389" spans="2:8" x14ac:dyDescent="0.25">
      <c r="B2389" s="145"/>
      <c r="C2389" s="145"/>
      <c r="D2389" s="145"/>
      <c r="E2389" s="145"/>
      <c r="F2389" s="145"/>
      <c r="G2389" s="145"/>
      <c r="H2389" s="299"/>
    </row>
    <row r="2390" spans="2:8" x14ac:dyDescent="0.25">
      <c r="B2390" s="145"/>
      <c r="C2390" s="145"/>
      <c r="D2390" s="145"/>
      <c r="E2390" s="145"/>
      <c r="F2390" s="145"/>
      <c r="G2390" s="145"/>
      <c r="H2390" s="299"/>
    </row>
    <row r="2391" spans="2:8" x14ac:dyDescent="0.25">
      <c r="B2391" s="145"/>
      <c r="C2391" s="145"/>
      <c r="D2391" s="145"/>
      <c r="E2391" s="145"/>
      <c r="F2391" s="145"/>
      <c r="G2391" s="145"/>
      <c r="H2391" s="299"/>
    </row>
    <row r="2392" spans="2:8" x14ac:dyDescent="0.25">
      <c r="B2392" s="145"/>
      <c r="C2392" s="145"/>
      <c r="D2392" s="145"/>
      <c r="E2392" s="145"/>
      <c r="F2392" s="145"/>
      <c r="G2392" s="145"/>
      <c r="H2392" s="299"/>
    </row>
    <row r="2393" spans="2:8" x14ac:dyDescent="0.25">
      <c r="B2393" s="145"/>
      <c r="C2393" s="145"/>
      <c r="D2393" s="145"/>
      <c r="E2393" s="145"/>
      <c r="F2393" s="145"/>
      <c r="G2393" s="145"/>
      <c r="H2393" s="299"/>
    </row>
    <row r="2394" spans="2:8" x14ac:dyDescent="0.25">
      <c r="B2394" s="145"/>
      <c r="C2394" s="145"/>
      <c r="D2394" s="145"/>
      <c r="E2394" s="145"/>
      <c r="F2394" s="145"/>
      <c r="G2394" s="145"/>
      <c r="H2394" s="299"/>
    </row>
    <row r="2395" spans="2:8" x14ac:dyDescent="0.25">
      <c r="B2395" s="145"/>
      <c r="C2395" s="145"/>
      <c r="D2395" s="145"/>
      <c r="E2395" s="145"/>
      <c r="F2395" s="145"/>
      <c r="G2395" s="145"/>
      <c r="H2395" s="299"/>
    </row>
    <row r="2396" spans="2:8" x14ac:dyDescent="0.25">
      <c r="B2396" s="145"/>
      <c r="C2396" s="145"/>
      <c r="D2396" s="145"/>
      <c r="E2396" s="145"/>
      <c r="F2396" s="145"/>
      <c r="G2396" s="145"/>
      <c r="H2396" s="299"/>
    </row>
    <row r="2397" spans="2:8" x14ac:dyDescent="0.25">
      <c r="B2397" s="145"/>
      <c r="C2397" s="145"/>
      <c r="D2397" s="145"/>
      <c r="E2397" s="145"/>
      <c r="F2397" s="145"/>
      <c r="G2397" s="145"/>
      <c r="H2397" s="299"/>
    </row>
    <row r="2398" spans="2:8" x14ac:dyDescent="0.25">
      <c r="B2398" s="145"/>
      <c r="C2398" s="145"/>
      <c r="D2398" s="145"/>
      <c r="E2398" s="145"/>
      <c r="F2398" s="145"/>
      <c r="G2398" s="145"/>
      <c r="H2398" s="299"/>
    </row>
    <row r="2399" spans="2:8" x14ac:dyDescent="0.25">
      <c r="B2399" s="145"/>
      <c r="C2399" s="145"/>
      <c r="D2399" s="145"/>
      <c r="E2399" s="145"/>
      <c r="F2399" s="145"/>
      <c r="G2399" s="145"/>
      <c r="H2399" s="299"/>
    </row>
    <row r="2400" spans="2:8" x14ac:dyDescent="0.25">
      <c r="B2400" s="145"/>
      <c r="C2400" s="145"/>
      <c r="D2400" s="145"/>
      <c r="E2400" s="145"/>
      <c r="F2400" s="145"/>
      <c r="G2400" s="145"/>
      <c r="H2400" s="299"/>
    </row>
    <row r="2401" spans="2:8" x14ac:dyDescent="0.25">
      <c r="B2401" s="145"/>
      <c r="C2401" s="145"/>
      <c r="D2401" s="145"/>
      <c r="E2401" s="145"/>
      <c r="F2401" s="145"/>
      <c r="G2401" s="145"/>
      <c r="H2401" s="299"/>
    </row>
    <row r="2402" spans="2:8" x14ac:dyDescent="0.25">
      <c r="B2402" s="145"/>
      <c r="C2402" s="145"/>
      <c r="D2402" s="145"/>
      <c r="E2402" s="145"/>
      <c r="F2402" s="145"/>
      <c r="G2402" s="145"/>
      <c r="H2402" s="299"/>
    </row>
    <row r="2403" spans="2:8" x14ac:dyDescent="0.25">
      <c r="B2403" s="145"/>
      <c r="C2403" s="145"/>
      <c r="D2403" s="145"/>
      <c r="E2403" s="145"/>
      <c r="F2403" s="145"/>
      <c r="G2403" s="145"/>
      <c r="H2403" s="299"/>
    </row>
    <row r="2404" spans="2:8" x14ac:dyDescent="0.25">
      <c r="B2404" s="145"/>
      <c r="C2404" s="145"/>
      <c r="D2404" s="145"/>
      <c r="E2404" s="145"/>
      <c r="F2404" s="145"/>
      <c r="G2404" s="145"/>
      <c r="H2404" s="299"/>
    </row>
    <row r="2405" spans="2:8" x14ac:dyDescent="0.25">
      <c r="B2405" s="145"/>
      <c r="C2405" s="145"/>
      <c r="D2405" s="145"/>
      <c r="E2405" s="145"/>
      <c r="F2405" s="145"/>
      <c r="G2405" s="145"/>
      <c r="H2405" s="299"/>
    </row>
    <row r="2406" spans="2:8" x14ac:dyDescent="0.25">
      <c r="B2406" s="145"/>
      <c r="C2406" s="145"/>
      <c r="D2406" s="145"/>
      <c r="E2406" s="145"/>
      <c r="F2406" s="145"/>
      <c r="G2406" s="145"/>
      <c r="H2406" s="299"/>
    </row>
    <row r="2407" spans="2:8" x14ac:dyDescent="0.25">
      <c r="B2407" s="145"/>
      <c r="C2407" s="145"/>
      <c r="D2407" s="145"/>
      <c r="E2407" s="145"/>
      <c r="F2407" s="145"/>
      <c r="G2407" s="145"/>
      <c r="H2407" s="299"/>
    </row>
    <row r="2408" spans="2:8" x14ac:dyDescent="0.25">
      <c r="B2408" s="145"/>
      <c r="C2408" s="145"/>
      <c r="D2408" s="145"/>
      <c r="E2408" s="145"/>
      <c r="F2408" s="145"/>
      <c r="G2408" s="145"/>
      <c r="H2408" s="299"/>
    </row>
    <row r="2409" spans="2:8" x14ac:dyDescent="0.25">
      <c r="B2409" s="145"/>
      <c r="C2409" s="145"/>
      <c r="D2409" s="145"/>
      <c r="E2409" s="145"/>
      <c r="F2409" s="145"/>
      <c r="G2409" s="145"/>
      <c r="H2409" s="299"/>
    </row>
    <row r="2410" spans="2:8" x14ac:dyDescent="0.25">
      <c r="B2410" s="145"/>
      <c r="C2410" s="145"/>
      <c r="D2410" s="145"/>
      <c r="E2410" s="145"/>
      <c r="F2410" s="145"/>
      <c r="G2410" s="145"/>
      <c r="H2410" s="299"/>
    </row>
    <row r="2411" spans="2:8" x14ac:dyDescent="0.25">
      <c r="B2411" s="145"/>
      <c r="C2411" s="145"/>
      <c r="D2411" s="145"/>
      <c r="E2411" s="145"/>
      <c r="F2411" s="145"/>
      <c r="G2411" s="145"/>
      <c r="H2411" s="299"/>
    </row>
    <row r="2412" spans="2:8" x14ac:dyDescent="0.25">
      <c r="B2412" s="145"/>
      <c r="C2412" s="145"/>
      <c r="D2412" s="145"/>
      <c r="E2412" s="145"/>
      <c r="F2412" s="145"/>
      <c r="G2412" s="145"/>
      <c r="H2412" s="299"/>
    </row>
    <row r="2413" spans="2:8" x14ac:dyDescent="0.25">
      <c r="B2413" s="145"/>
      <c r="C2413" s="145"/>
      <c r="D2413" s="145"/>
      <c r="E2413" s="145"/>
      <c r="F2413" s="145"/>
      <c r="G2413" s="145"/>
      <c r="H2413" s="299"/>
    </row>
    <row r="2414" spans="2:8" x14ac:dyDescent="0.25">
      <c r="B2414" s="145"/>
      <c r="C2414" s="145"/>
      <c r="D2414" s="145"/>
      <c r="E2414" s="145"/>
      <c r="F2414" s="145"/>
      <c r="G2414" s="145"/>
      <c r="H2414" s="299"/>
    </row>
    <row r="2415" spans="2:8" x14ac:dyDescent="0.25">
      <c r="B2415" s="145"/>
      <c r="C2415" s="145"/>
      <c r="D2415" s="145"/>
      <c r="E2415" s="145"/>
      <c r="F2415" s="145"/>
      <c r="G2415" s="145"/>
      <c r="H2415" s="299"/>
    </row>
    <row r="2416" spans="2:8" x14ac:dyDescent="0.25">
      <c r="B2416" s="145"/>
      <c r="C2416" s="145"/>
      <c r="D2416" s="145"/>
      <c r="E2416" s="145"/>
      <c r="F2416" s="145"/>
      <c r="G2416" s="145"/>
      <c r="H2416" s="299"/>
    </row>
    <row r="2417" spans="2:8" x14ac:dyDescent="0.25">
      <c r="B2417" s="145"/>
      <c r="C2417" s="145"/>
      <c r="D2417" s="145"/>
      <c r="E2417" s="145"/>
      <c r="F2417" s="145"/>
      <c r="G2417" s="145"/>
      <c r="H2417" s="299"/>
    </row>
    <row r="2418" spans="2:8" x14ac:dyDescent="0.25">
      <c r="B2418" s="145"/>
      <c r="C2418" s="145"/>
      <c r="D2418" s="145"/>
      <c r="E2418" s="145"/>
      <c r="F2418" s="145"/>
      <c r="G2418" s="145"/>
      <c r="H2418" s="299"/>
    </row>
    <row r="2419" spans="2:8" x14ac:dyDescent="0.25">
      <c r="B2419" s="145"/>
      <c r="C2419" s="145"/>
      <c r="D2419" s="145"/>
      <c r="E2419" s="145"/>
      <c r="F2419" s="145"/>
      <c r="G2419" s="145"/>
      <c r="H2419" s="299"/>
    </row>
    <row r="2420" spans="2:8" x14ac:dyDescent="0.25">
      <c r="B2420" s="145"/>
      <c r="C2420" s="145"/>
      <c r="D2420" s="145"/>
      <c r="E2420" s="145"/>
      <c r="F2420" s="145"/>
      <c r="G2420" s="145"/>
      <c r="H2420" s="299"/>
    </row>
    <row r="2421" spans="2:8" x14ac:dyDescent="0.25">
      <c r="B2421" s="145"/>
      <c r="C2421" s="145"/>
      <c r="D2421" s="145"/>
      <c r="E2421" s="145"/>
      <c r="F2421" s="145"/>
      <c r="G2421" s="145"/>
      <c r="H2421" s="299"/>
    </row>
    <row r="2422" spans="2:8" x14ac:dyDescent="0.25">
      <c r="B2422" s="145"/>
      <c r="C2422" s="145"/>
      <c r="D2422" s="145"/>
      <c r="E2422" s="145"/>
      <c r="F2422" s="145"/>
      <c r="G2422" s="145"/>
      <c r="H2422" s="299"/>
    </row>
    <row r="2423" spans="2:8" x14ac:dyDescent="0.25">
      <c r="B2423" s="145"/>
      <c r="C2423" s="145"/>
      <c r="D2423" s="145"/>
      <c r="E2423" s="145"/>
      <c r="F2423" s="145"/>
      <c r="G2423" s="145"/>
      <c r="H2423" s="299"/>
    </row>
    <row r="2424" spans="2:8" x14ac:dyDescent="0.25">
      <c r="B2424" s="145"/>
      <c r="C2424" s="145"/>
      <c r="D2424" s="145"/>
      <c r="E2424" s="145"/>
      <c r="F2424" s="145"/>
      <c r="G2424" s="145"/>
      <c r="H2424" s="299"/>
    </row>
    <row r="2425" spans="2:8" x14ac:dyDescent="0.25">
      <c r="B2425" s="145"/>
      <c r="C2425" s="145"/>
      <c r="D2425" s="145"/>
      <c r="E2425" s="145"/>
      <c r="F2425" s="145"/>
      <c r="G2425" s="145"/>
      <c r="H2425" s="299"/>
    </row>
    <row r="2426" spans="2:8" x14ac:dyDescent="0.25">
      <c r="B2426" s="145"/>
      <c r="C2426" s="145"/>
      <c r="D2426" s="145"/>
      <c r="E2426" s="145"/>
      <c r="F2426" s="145"/>
      <c r="G2426" s="145"/>
      <c r="H2426" s="299"/>
    </row>
    <row r="2427" spans="2:8" x14ac:dyDescent="0.25">
      <c r="B2427" s="145"/>
      <c r="C2427" s="145"/>
      <c r="D2427" s="145"/>
      <c r="E2427" s="145"/>
      <c r="F2427" s="145"/>
      <c r="G2427" s="145"/>
      <c r="H2427" s="299"/>
    </row>
    <row r="2428" spans="2:8" x14ac:dyDescent="0.25">
      <c r="B2428" s="145"/>
      <c r="C2428" s="145"/>
      <c r="D2428" s="145"/>
      <c r="E2428" s="145"/>
      <c r="F2428" s="145"/>
      <c r="G2428" s="145"/>
      <c r="H2428" s="299"/>
    </row>
    <row r="2429" spans="2:8" x14ac:dyDescent="0.25">
      <c r="B2429" s="145"/>
      <c r="C2429" s="145"/>
      <c r="D2429" s="145"/>
      <c r="E2429" s="145"/>
      <c r="F2429" s="145"/>
      <c r="G2429" s="145"/>
      <c r="H2429" s="299"/>
    </row>
    <row r="2430" spans="2:8" x14ac:dyDescent="0.25">
      <c r="B2430" s="145"/>
      <c r="C2430" s="145"/>
      <c r="D2430" s="145"/>
      <c r="E2430" s="145"/>
      <c r="F2430" s="145"/>
      <c r="G2430" s="145"/>
      <c r="H2430" s="299"/>
    </row>
    <row r="2431" spans="2:8" x14ac:dyDescent="0.25">
      <c r="B2431" s="145"/>
      <c r="C2431" s="145"/>
      <c r="D2431" s="145"/>
      <c r="E2431" s="145"/>
      <c r="F2431" s="145"/>
      <c r="G2431" s="145"/>
      <c r="H2431" s="299"/>
    </row>
    <row r="2432" spans="2:8" x14ac:dyDescent="0.25">
      <c r="B2432" s="145"/>
      <c r="C2432" s="145"/>
      <c r="D2432" s="145"/>
      <c r="E2432" s="145"/>
      <c r="F2432" s="145"/>
      <c r="G2432" s="145"/>
      <c r="H2432" s="299"/>
    </row>
    <row r="2433" spans="2:8" x14ac:dyDescent="0.25">
      <c r="B2433" s="145"/>
      <c r="C2433" s="145"/>
      <c r="D2433" s="145"/>
      <c r="E2433" s="145"/>
      <c r="F2433" s="145"/>
      <c r="G2433" s="145"/>
      <c r="H2433" s="299"/>
    </row>
    <row r="2434" spans="2:8" x14ac:dyDescent="0.25">
      <c r="B2434" s="145"/>
      <c r="C2434" s="145"/>
      <c r="D2434" s="145"/>
      <c r="E2434" s="145"/>
      <c r="F2434" s="145"/>
      <c r="G2434" s="145"/>
      <c r="H2434" s="299"/>
    </row>
    <row r="2435" spans="2:8" x14ac:dyDescent="0.25">
      <c r="B2435" s="145"/>
      <c r="C2435" s="145"/>
      <c r="D2435" s="145"/>
      <c r="E2435" s="145"/>
      <c r="F2435" s="145"/>
      <c r="G2435" s="145"/>
      <c r="H2435" s="299"/>
    </row>
    <row r="2436" spans="2:8" x14ac:dyDescent="0.25">
      <c r="B2436" s="145"/>
      <c r="C2436" s="145"/>
      <c r="D2436" s="145"/>
      <c r="E2436" s="145"/>
      <c r="F2436" s="145"/>
      <c r="G2436" s="145"/>
      <c r="H2436" s="299"/>
    </row>
    <row r="2437" spans="2:8" x14ac:dyDescent="0.25">
      <c r="B2437" s="145"/>
      <c r="C2437" s="145"/>
      <c r="D2437" s="145"/>
      <c r="E2437" s="145"/>
      <c r="F2437" s="145"/>
      <c r="G2437" s="145"/>
      <c r="H2437" s="299"/>
    </row>
    <row r="2438" spans="2:8" x14ac:dyDescent="0.25">
      <c r="B2438" s="145"/>
      <c r="C2438" s="145"/>
      <c r="D2438" s="145"/>
      <c r="E2438" s="145"/>
      <c r="F2438" s="145"/>
      <c r="G2438" s="145"/>
      <c r="H2438" s="299"/>
    </row>
    <row r="2439" spans="2:8" x14ac:dyDescent="0.25">
      <c r="B2439" s="145"/>
      <c r="C2439" s="145"/>
      <c r="D2439" s="145"/>
      <c r="E2439" s="145"/>
      <c r="F2439" s="145"/>
      <c r="G2439" s="145"/>
      <c r="H2439" s="299"/>
    </row>
    <row r="2440" spans="2:8" x14ac:dyDescent="0.25">
      <c r="B2440" s="145"/>
      <c r="C2440" s="145"/>
      <c r="D2440" s="145"/>
      <c r="E2440" s="145"/>
      <c r="F2440" s="145"/>
      <c r="G2440" s="145"/>
      <c r="H2440" s="299"/>
    </row>
    <row r="2441" spans="2:8" x14ac:dyDescent="0.25">
      <c r="B2441" s="145"/>
      <c r="C2441" s="145"/>
      <c r="D2441" s="145"/>
      <c r="E2441" s="145"/>
      <c r="F2441" s="145"/>
      <c r="G2441" s="145"/>
      <c r="H2441" s="299"/>
    </row>
    <row r="2442" spans="2:8" x14ac:dyDescent="0.25">
      <c r="B2442" s="145"/>
      <c r="C2442" s="145"/>
      <c r="D2442" s="145"/>
      <c r="E2442" s="145"/>
      <c r="F2442" s="145"/>
      <c r="G2442" s="145"/>
      <c r="H2442" s="299"/>
    </row>
    <row r="2443" spans="2:8" x14ac:dyDescent="0.25">
      <c r="B2443" s="145"/>
      <c r="C2443" s="145"/>
      <c r="D2443" s="145"/>
      <c r="E2443" s="145"/>
      <c r="F2443" s="145"/>
      <c r="G2443" s="145"/>
      <c r="H2443" s="299"/>
    </row>
    <row r="2444" spans="2:8" x14ac:dyDescent="0.25">
      <c r="B2444" s="145"/>
      <c r="C2444" s="145"/>
      <c r="D2444" s="145"/>
      <c r="E2444" s="145"/>
      <c r="F2444" s="145"/>
      <c r="G2444" s="145"/>
      <c r="H2444" s="299"/>
    </row>
    <row r="2445" spans="2:8" x14ac:dyDescent="0.25">
      <c r="B2445" s="145"/>
      <c r="C2445" s="145"/>
      <c r="D2445" s="145"/>
      <c r="E2445" s="145"/>
      <c r="F2445" s="145"/>
      <c r="G2445" s="145"/>
      <c r="H2445" s="299"/>
    </row>
    <row r="2446" spans="2:8" x14ac:dyDescent="0.25">
      <c r="B2446" s="145"/>
      <c r="C2446" s="145"/>
      <c r="D2446" s="145"/>
      <c r="E2446" s="145"/>
      <c r="F2446" s="145"/>
      <c r="G2446" s="145"/>
      <c r="H2446" s="299"/>
    </row>
    <row r="2447" spans="2:8" x14ac:dyDescent="0.25">
      <c r="B2447" s="145"/>
      <c r="C2447" s="145"/>
      <c r="D2447" s="145"/>
      <c r="E2447" s="145"/>
      <c r="F2447" s="145"/>
      <c r="G2447" s="145"/>
      <c r="H2447" s="299"/>
    </row>
    <row r="2448" spans="2:8" x14ac:dyDescent="0.25">
      <c r="B2448" s="145"/>
      <c r="C2448" s="145"/>
      <c r="D2448" s="145"/>
      <c r="E2448" s="145"/>
      <c r="F2448" s="145"/>
      <c r="G2448" s="145"/>
      <c r="H2448" s="299"/>
    </row>
    <row r="2449" spans="2:8" x14ac:dyDescent="0.25">
      <c r="B2449" s="145"/>
      <c r="C2449" s="145"/>
      <c r="D2449" s="145"/>
      <c r="E2449" s="145"/>
      <c r="F2449" s="145"/>
      <c r="G2449" s="145"/>
      <c r="H2449" s="299"/>
    </row>
    <row r="2450" spans="2:8" x14ac:dyDescent="0.25">
      <c r="B2450" s="145"/>
      <c r="C2450" s="145"/>
      <c r="D2450" s="145"/>
      <c r="E2450" s="145"/>
      <c r="F2450" s="145"/>
      <c r="G2450" s="145"/>
      <c r="H2450" s="299"/>
    </row>
    <row r="2451" spans="2:8" x14ac:dyDescent="0.25">
      <c r="B2451" s="145"/>
      <c r="C2451" s="145"/>
      <c r="D2451" s="145"/>
      <c r="E2451" s="145"/>
      <c r="F2451" s="145"/>
      <c r="G2451" s="145"/>
      <c r="H2451" s="299"/>
    </row>
    <row r="2452" spans="2:8" x14ac:dyDescent="0.25">
      <c r="B2452" s="145"/>
      <c r="C2452" s="145"/>
      <c r="D2452" s="145"/>
      <c r="E2452" s="145"/>
      <c r="F2452" s="145"/>
      <c r="G2452" s="145"/>
      <c r="H2452" s="299"/>
    </row>
    <row r="2453" spans="2:8" x14ac:dyDescent="0.25">
      <c r="B2453" s="145"/>
      <c r="C2453" s="145"/>
      <c r="D2453" s="145"/>
      <c r="E2453" s="145"/>
      <c r="F2453" s="145"/>
      <c r="G2453" s="145"/>
      <c r="H2453" s="299"/>
    </row>
    <row r="2454" spans="2:8" x14ac:dyDescent="0.25">
      <c r="B2454" s="145"/>
      <c r="C2454" s="145"/>
      <c r="D2454" s="145"/>
      <c r="E2454" s="145"/>
      <c r="F2454" s="145"/>
      <c r="G2454" s="145"/>
      <c r="H2454" s="299"/>
    </row>
    <row r="2455" spans="2:8" x14ac:dyDescent="0.25">
      <c r="B2455" s="145"/>
      <c r="C2455" s="145"/>
      <c r="D2455" s="145"/>
      <c r="E2455" s="145"/>
      <c r="F2455" s="145"/>
      <c r="G2455" s="145"/>
      <c r="H2455" s="299"/>
    </row>
    <row r="2456" spans="2:8" x14ac:dyDescent="0.25">
      <c r="B2456" s="145"/>
      <c r="C2456" s="145"/>
      <c r="D2456" s="145"/>
      <c r="E2456" s="145"/>
      <c r="F2456" s="145"/>
      <c r="G2456" s="145"/>
      <c r="H2456" s="299"/>
    </row>
    <row r="2457" spans="2:8" x14ac:dyDescent="0.25">
      <c r="B2457" s="145"/>
      <c r="C2457" s="145"/>
      <c r="D2457" s="145"/>
      <c r="E2457" s="145"/>
      <c r="F2457" s="145"/>
      <c r="G2457" s="145"/>
      <c r="H2457" s="299"/>
    </row>
    <row r="2458" spans="2:8" x14ac:dyDescent="0.25">
      <c r="B2458" s="145"/>
      <c r="C2458" s="145"/>
      <c r="D2458" s="145"/>
      <c r="E2458" s="145"/>
      <c r="F2458" s="145"/>
      <c r="G2458" s="145"/>
      <c r="H2458" s="299"/>
    </row>
    <row r="2459" spans="2:8" x14ac:dyDescent="0.25">
      <c r="B2459" s="145"/>
      <c r="C2459" s="145"/>
      <c r="D2459" s="145"/>
      <c r="E2459" s="145"/>
      <c r="F2459" s="145"/>
      <c r="G2459" s="145"/>
      <c r="H2459" s="299"/>
    </row>
    <row r="2460" spans="2:8" x14ac:dyDescent="0.25">
      <c r="B2460" s="145"/>
      <c r="C2460" s="145"/>
      <c r="D2460" s="145"/>
      <c r="E2460" s="145"/>
      <c r="F2460" s="145"/>
      <c r="G2460" s="145"/>
      <c r="H2460" s="299"/>
    </row>
    <row r="2461" spans="2:8" x14ac:dyDescent="0.25">
      <c r="B2461" s="145"/>
      <c r="C2461" s="145"/>
      <c r="D2461" s="145"/>
      <c r="E2461" s="145"/>
      <c r="F2461" s="145"/>
      <c r="G2461" s="145"/>
      <c r="H2461" s="299"/>
    </row>
    <row r="2462" spans="2:8" x14ac:dyDescent="0.25">
      <c r="B2462" s="145"/>
      <c r="C2462" s="145"/>
      <c r="D2462" s="145"/>
      <c r="E2462" s="145"/>
      <c r="F2462" s="145"/>
      <c r="G2462" s="145"/>
      <c r="H2462" s="299"/>
    </row>
    <row r="2463" spans="2:8" x14ac:dyDescent="0.25">
      <c r="B2463" s="145"/>
      <c r="C2463" s="145"/>
      <c r="D2463" s="145"/>
      <c r="E2463" s="145"/>
      <c r="F2463" s="145"/>
      <c r="G2463" s="145"/>
      <c r="H2463" s="299"/>
    </row>
    <row r="2464" spans="2:8" x14ac:dyDescent="0.25">
      <c r="B2464" s="145"/>
      <c r="C2464" s="145"/>
      <c r="D2464" s="145"/>
      <c r="E2464" s="145"/>
      <c r="F2464" s="145"/>
      <c r="G2464" s="145"/>
      <c r="H2464" s="299"/>
    </row>
    <row r="2465" spans="2:8" x14ac:dyDescent="0.25">
      <c r="B2465" s="145"/>
      <c r="C2465" s="145"/>
      <c r="D2465" s="145"/>
      <c r="E2465" s="145"/>
      <c r="F2465" s="145"/>
      <c r="G2465" s="145"/>
      <c r="H2465" s="299"/>
    </row>
    <row r="2466" spans="2:8" x14ac:dyDescent="0.25">
      <c r="B2466" s="145"/>
      <c r="C2466" s="145"/>
      <c r="D2466" s="145"/>
      <c r="E2466" s="145"/>
      <c r="F2466" s="145"/>
      <c r="G2466" s="145"/>
      <c r="H2466" s="299"/>
    </row>
    <row r="2467" spans="2:8" x14ac:dyDescent="0.25">
      <c r="B2467" s="145"/>
      <c r="C2467" s="145"/>
      <c r="D2467" s="145"/>
      <c r="E2467" s="145"/>
      <c r="F2467" s="145"/>
      <c r="G2467" s="145"/>
      <c r="H2467" s="299"/>
    </row>
    <row r="2468" spans="2:8" x14ac:dyDescent="0.25">
      <c r="B2468" s="145"/>
      <c r="C2468" s="145"/>
      <c r="D2468" s="145"/>
      <c r="E2468" s="145"/>
      <c r="F2468" s="145"/>
      <c r="G2468" s="145"/>
      <c r="H2468" s="299"/>
    </row>
    <row r="2469" spans="2:8" x14ac:dyDescent="0.25">
      <c r="B2469" s="145"/>
      <c r="C2469" s="145"/>
      <c r="D2469" s="145"/>
      <c r="E2469" s="145"/>
      <c r="F2469" s="145"/>
      <c r="G2469" s="145"/>
      <c r="H2469" s="299"/>
    </row>
    <row r="2470" spans="2:8" x14ac:dyDescent="0.25">
      <c r="B2470" s="145"/>
      <c r="C2470" s="145"/>
      <c r="D2470" s="145"/>
      <c r="E2470" s="145"/>
      <c r="F2470" s="145"/>
      <c r="G2470" s="145"/>
      <c r="H2470" s="299"/>
    </row>
    <row r="2471" spans="2:8" x14ac:dyDescent="0.25">
      <c r="B2471" s="145"/>
      <c r="C2471" s="145"/>
      <c r="D2471" s="145"/>
      <c r="E2471" s="145"/>
      <c r="F2471" s="145"/>
      <c r="G2471" s="145"/>
      <c r="H2471" s="299"/>
    </row>
    <row r="2472" spans="2:8" x14ac:dyDescent="0.25">
      <c r="B2472" s="145"/>
      <c r="C2472" s="145"/>
      <c r="D2472" s="145"/>
      <c r="E2472" s="145"/>
      <c r="F2472" s="145"/>
      <c r="G2472" s="145"/>
      <c r="H2472" s="299"/>
    </row>
    <row r="2473" spans="2:8" x14ac:dyDescent="0.25">
      <c r="B2473" s="145"/>
      <c r="C2473" s="145"/>
      <c r="D2473" s="145"/>
      <c r="E2473" s="145"/>
      <c r="F2473" s="145"/>
      <c r="G2473" s="145"/>
      <c r="H2473" s="299"/>
    </row>
    <row r="2474" spans="2:8" x14ac:dyDescent="0.25">
      <c r="B2474" s="145"/>
      <c r="C2474" s="145"/>
      <c r="D2474" s="145"/>
      <c r="E2474" s="145"/>
      <c r="F2474" s="145"/>
      <c r="G2474" s="145"/>
      <c r="H2474" s="299"/>
    </row>
    <row r="2475" spans="2:8" x14ac:dyDescent="0.25">
      <c r="B2475" s="145"/>
      <c r="C2475" s="145"/>
      <c r="D2475" s="145"/>
      <c r="E2475" s="145"/>
      <c r="F2475" s="145"/>
      <c r="G2475" s="145"/>
      <c r="H2475" s="299"/>
    </row>
    <row r="2476" spans="2:8" x14ac:dyDescent="0.25">
      <c r="B2476" s="145"/>
      <c r="C2476" s="145"/>
      <c r="D2476" s="145"/>
      <c r="E2476" s="145"/>
      <c r="F2476" s="145"/>
      <c r="G2476" s="145"/>
      <c r="H2476" s="299"/>
    </row>
    <row r="2477" spans="2:8" x14ac:dyDescent="0.25">
      <c r="B2477" s="145"/>
      <c r="C2477" s="145"/>
      <c r="D2477" s="145"/>
      <c r="E2477" s="145"/>
      <c r="F2477" s="145"/>
      <c r="G2477" s="145"/>
      <c r="H2477" s="299"/>
    </row>
    <row r="2478" spans="2:8" x14ac:dyDescent="0.25">
      <c r="B2478" s="145"/>
      <c r="C2478" s="145"/>
      <c r="D2478" s="145"/>
      <c r="E2478" s="145"/>
      <c r="F2478" s="145"/>
      <c r="G2478" s="145"/>
      <c r="H2478" s="299"/>
    </row>
    <row r="2479" spans="2:8" x14ac:dyDescent="0.25">
      <c r="B2479" s="145"/>
      <c r="C2479" s="145"/>
      <c r="D2479" s="145"/>
      <c r="E2479" s="145"/>
      <c r="F2479" s="145"/>
      <c r="G2479" s="145"/>
      <c r="H2479" s="299"/>
    </row>
    <row r="2480" spans="2:8" x14ac:dyDescent="0.25">
      <c r="B2480" s="145"/>
      <c r="C2480" s="145"/>
      <c r="D2480" s="145"/>
      <c r="E2480" s="145"/>
      <c r="F2480" s="145"/>
      <c r="G2480" s="145"/>
      <c r="H2480" s="299"/>
    </row>
    <row r="2481" spans="2:8" x14ac:dyDescent="0.25">
      <c r="B2481" s="145"/>
      <c r="C2481" s="145"/>
      <c r="D2481" s="145"/>
      <c r="E2481" s="145"/>
      <c r="F2481" s="145"/>
      <c r="G2481" s="145"/>
      <c r="H2481" s="299"/>
    </row>
    <row r="2482" spans="2:8" x14ac:dyDescent="0.25">
      <c r="B2482" s="145"/>
      <c r="C2482" s="145"/>
      <c r="D2482" s="145"/>
      <c r="E2482" s="145"/>
      <c r="F2482" s="145"/>
      <c r="G2482" s="145"/>
      <c r="H2482" s="299"/>
    </row>
    <row r="2483" spans="2:8" x14ac:dyDescent="0.25">
      <c r="B2483" s="145"/>
      <c r="C2483" s="145"/>
      <c r="D2483" s="145"/>
      <c r="E2483" s="145"/>
      <c r="F2483" s="145"/>
      <c r="G2483" s="145"/>
      <c r="H2483" s="299"/>
    </row>
    <row r="2484" spans="2:8" x14ac:dyDescent="0.25">
      <c r="B2484" s="145"/>
      <c r="C2484" s="145"/>
      <c r="D2484" s="145"/>
      <c r="E2484" s="145"/>
      <c r="F2484" s="145"/>
      <c r="G2484" s="145"/>
      <c r="H2484" s="299"/>
    </row>
    <row r="2485" spans="2:8" x14ac:dyDescent="0.25">
      <c r="B2485" s="145"/>
      <c r="C2485" s="145"/>
      <c r="D2485" s="145"/>
      <c r="E2485" s="145"/>
      <c r="F2485" s="145"/>
      <c r="G2485" s="145"/>
      <c r="H2485" s="299"/>
    </row>
    <row r="2486" spans="2:8" x14ac:dyDescent="0.25">
      <c r="B2486" s="145"/>
      <c r="C2486" s="145"/>
      <c r="D2486" s="145"/>
      <c r="E2486" s="145"/>
      <c r="F2486" s="145"/>
      <c r="G2486" s="145"/>
      <c r="H2486" s="299"/>
    </row>
    <row r="2487" spans="2:8" x14ac:dyDescent="0.25">
      <c r="B2487" s="145"/>
      <c r="C2487" s="145"/>
      <c r="D2487" s="145"/>
      <c r="E2487" s="145"/>
      <c r="F2487" s="145"/>
      <c r="G2487" s="145"/>
      <c r="H2487" s="299"/>
    </row>
    <row r="2488" spans="2:8" x14ac:dyDescent="0.25">
      <c r="B2488" s="145"/>
      <c r="C2488" s="145"/>
      <c r="D2488" s="145"/>
      <c r="E2488" s="145"/>
      <c r="F2488" s="145"/>
      <c r="G2488" s="145"/>
      <c r="H2488" s="299"/>
    </row>
    <row r="2489" spans="2:8" x14ac:dyDescent="0.25">
      <c r="B2489" s="145"/>
      <c r="C2489" s="145"/>
      <c r="D2489" s="145"/>
      <c r="E2489" s="145"/>
      <c r="F2489" s="145"/>
      <c r="G2489" s="145"/>
      <c r="H2489" s="299"/>
    </row>
    <row r="2490" spans="2:8" x14ac:dyDescent="0.25">
      <c r="B2490" s="145"/>
      <c r="C2490" s="145"/>
      <c r="D2490" s="145"/>
      <c r="E2490" s="145"/>
      <c r="F2490" s="145"/>
      <c r="G2490" s="145"/>
      <c r="H2490" s="299"/>
    </row>
    <row r="2491" spans="2:8" x14ac:dyDescent="0.25">
      <c r="B2491" s="145"/>
      <c r="C2491" s="145"/>
      <c r="D2491" s="145"/>
      <c r="E2491" s="145"/>
      <c r="F2491" s="145"/>
      <c r="G2491" s="145"/>
      <c r="H2491" s="299"/>
    </row>
    <row r="2492" spans="2:8" x14ac:dyDescent="0.25">
      <c r="B2492" s="145"/>
      <c r="C2492" s="145"/>
      <c r="D2492" s="145"/>
      <c r="E2492" s="145"/>
      <c r="F2492" s="145"/>
      <c r="G2492" s="145"/>
      <c r="H2492" s="299"/>
    </row>
    <row r="2493" spans="2:8" x14ac:dyDescent="0.25">
      <c r="B2493" s="145"/>
      <c r="C2493" s="145"/>
      <c r="D2493" s="145"/>
      <c r="E2493" s="145"/>
      <c r="F2493" s="145"/>
      <c r="G2493" s="145"/>
      <c r="H2493" s="299"/>
    </row>
    <row r="2494" spans="2:8" x14ac:dyDescent="0.25">
      <c r="B2494" s="145"/>
      <c r="C2494" s="145"/>
      <c r="D2494" s="145"/>
      <c r="E2494" s="145"/>
      <c r="F2494" s="145"/>
      <c r="G2494" s="145"/>
      <c r="H2494" s="299"/>
    </row>
    <row r="2495" spans="2:8" x14ac:dyDescent="0.25">
      <c r="B2495" s="145"/>
      <c r="C2495" s="145"/>
      <c r="D2495" s="145"/>
      <c r="E2495" s="145"/>
      <c r="F2495" s="145"/>
      <c r="G2495" s="145"/>
      <c r="H2495" s="299"/>
    </row>
    <row r="2496" spans="2:8" x14ac:dyDescent="0.25">
      <c r="B2496" s="145"/>
      <c r="C2496" s="145"/>
      <c r="D2496" s="145"/>
      <c r="E2496" s="145"/>
      <c r="F2496" s="145"/>
      <c r="G2496" s="145"/>
      <c r="H2496" s="299"/>
    </row>
    <row r="2497" spans="2:8" x14ac:dyDescent="0.25">
      <c r="B2497" s="145"/>
      <c r="C2497" s="145"/>
      <c r="D2497" s="145"/>
      <c r="E2497" s="145"/>
      <c r="F2497" s="145"/>
      <c r="G2497" s="145"/>
      <c r="H2497" s="299"/>
    </row>
    <row r="2498" spans="2:8" x14ac:dyDescent="0.25">
      <c r="B2498" s="145"/>
      <c r="C2498" s="145"/>
      <c r="D2498" s="145"/>
      <c r="E2498" s="145"/>
      <c r="F2498" s="145"/>
      <c r="G2498" s="145"/>
      <c r="H2498" s="299"/>
    </row>
    <row r="2499" spans="2:8" x14ac:dyDescent="0.25">
      <c r="B2499" s="145"/>
      <c r="C2499" s="145"/>
      <c r="D2499" s="145"/>
      <c r="E2499" s="145"/>
      <c r="F2499" s="145"/>
      <c r="G2499" s="145"/>
      <c r="H2499" s="299"/>
    </row>
    <row r="2500" spans="2:8" x14ac:dyDescent="0.25">
      <c r="B2500" s="145"/>
      <c r="C2500" s="145"/>
      <c r="D2500" s="145"/>
      <c r="E2500" s="145"/>
      <c r="F2500" s="145"/>
      <c r="G2500" s="145"/>
      <c r="H2500" s="299"/>
    </row>
    <row r="2501" spans="2:8" x14ac:dyDescent="0.25">
      <c r="B2501" s="145"/>
      <c r="C2501" s="145"/>
      <c r="D2501" s="145"/>
      <c r="E2501" s="145"/>
      <c r="F2501" s="145"/>
      <c r="G2501" s="145"/>
      <c r="H2501" s="299"/>
    </row>
    <row r="2502" spans="2:8" x14ac:dyDescent="0.25">
      <c r="B2502" s="145"/>
      <c r="C2502" s="145"/>
      <c r="D2502" s="145"/>
      <c r="E2502" s="145"/>
      <c r="F2502" s="145"/>
      <c r="G2502" s="145"/>
      <c r="H2502" s="299"/>
    </row>
    <row r="2503" spans="2:8" x14ac:dyDescent="0.25">
      <c r="B2503" s="145"/>
      <c r="C2503" s="145"/>
      <c r="D2503" s="145"/>
      <c r="E2503" s="145"/>
      <c r="F2503" s="145"/>
      <c r="G2503" s="145"/>
      <c r="H2503" s="299"/>
    </row>
    <row r="2504" spans="2:8" x14ac:dyDescent="0.25">
      <c r="B2504" s="145"/>
      <c r="C2504" s="145"/>
      <c r="D2504" s="145"/>
      <c r="E2504" s="145"/>
      <c r="F2504" s="145"/>
      <c r="G2504" s="145"/>
      <c r="H2504" s="299"/>
    </row>
    <row r="2505" spans="2:8" x14ac:dyDescent="0.25">
      <c r="B2505" s="145"/>
      <c r="C2505" s="145"/>
      <c r="D2505" s="145"/>
      <c r="E2505" s="145"/>
      <c r="F2505" s="145"/>
      <c r="G2505" s="145"/>
      <c r="H2505" s="299"/>
    </row>
    <row r="2506" spans="2:8" x14ac:dyDescent="0.25">
      <c r="B2506" s="145"/>
      <c r="C2506" s="145"/>
      <c r="D2506" s="145"/>
      <c r="E2506" s="145"/>
      <c r="F2506" s="145"/>
      <c r="G2506" s="145"/>
      <c r="H2506" s="299"/>
    </row>
    <row r="2507" spans="2:8" x14ac:dyDescent="0.25">
      <c r="B2507" s="145"/>
      <c r="C2507" s="145"/>
      <c r="D2507" s="145"/>
      <c r="E2507" s="145"/>
      <c r="F2507" s="145"/>
      <c r="G2507" s="145"/>
      <c r="H2507" s="299"/>
    </row>
    <row r="2508" spans="2:8" x14ac:dyDescent="0.25">
      <c r="B2508" s="145"/>
      <c r="C2508" s="145"/>
      <c r="D2508" s="145"/>
      <c r="E2508" s="145"/>
      <c r="F2508" s="145"/>
      <c r="G2508" s="145"/>
      <c r="H2508" s="299"/>
    </row>
    <row r="2509" spans="2:8" x14ac:dyDescent="0.25">
      <c r="B2509" s="145"/>
      <c r="C2509" s="145"/>
      <c r="D2509" s="145"/>
      <c r="E2509" s="145"/>
      <c r="F2509" s="145"/>
      <c r="G2509" s="145"/>
      <c r="H2509" s="299"/>
    </row>
    <row r="2510" spans="2:8" x14ac:dyDescent="0.25">
      <c r="B2510" s="145"/>
      <c r="C2510" s="145"/>
      <c r="D2510" s="145"/>
      <c r="E2510" s="145"/>
      <c r="F2510" s="145"/>
      <c r="G2510" s="145"/>
      <c r="H2510" s="299"/>
    </row>
    <row r="2511" spans="2:8" x14ac:dyDescent="0.25">
      <c r="B2511" s="145"/>
      <c r="C2511" s="145"/>
      <c r="D2511" s="145"/>
      <c r="E2511" s="145"/>
      <c r="F2511" s="145"/>
      <c r="G2511" s="145"/>
      <c r="H2511" s="299"/>
    </row>
    <row r="2512" spans="2:8" x14ac:dyDescent="0.25">
      <c r="B2512" s="145"/>
      <c r="C2512" s="145"/>
      <c r="D2512" s="145"/>
      <c r="E2512" s="145"/>
      <c r="F2512" s="145"/>
      <c r="G2512" s="145"/>
      <c r="H2512" s="299"/>
    </row>
    <row r="2513" spans="2:8" x14ac:dyDescent="0.25">
      <c r="B2513" s="145"/>
      <c r="C2513" s="145"/>
      <c r="D2513" s="145"/>
      <c r="E2513" s="145"/>
      <c r="F2513" s="145"/>
      <c r="G2513" s="145"/>
      <c r="H2513" s="299"/>
    </row>
    <row r="2514" spans="2:8" x14ac:dyDescent="0.25">
      <c r="B2514" s="145"/>
      <c r="C2514" s="145"/>
      <c r="D2514" s="145"/>
      <c r="E2514" s="145"/>
      <c r="F2514" s="145"/>
      <c r="G2514" s="145"/>
      <c r="H2514" s="299"/>
    </row>
    <row r="2515" spans="2:8" x14ac:dyDescent="0.25">
      <c r="B2515" s="145"/>
      <c r="C2515" s="145"/>
      <c r="D2515" s="145"/>
      <c r="E2515" s="145"/>
      <c r="F2515" s="145"/>
      <c r="G2515" s="145"/>
      <c r="H2515" s="299"/>
    </row>
    <row r="2516" spans="2:8" x14ac:dyDescent="0.25">
      <c r="B2516" s="145"/>
      <c r="C2516" s="145"/>
      <c r="D2516" s="145"/>
      <c r="E2516" s="145"/>
      <c r="F2516" s="145"/>
      <c r="G2516" s="145"/>
      <c r="H2516" s="299"/>
    </row>
    <row r="2517" spans="2:8" x14ac:dyDescent="0.25">
      <c r="B2517" s="145"/>
      <c r="C2517" s="145"/>
      <c r="D2517" s="145"/>
      <c r="E2517" s="145"/>
      <c r="F2517" s="145"/>
      <c r="G2517" s="145"/>
      <c r="H2517" s="299"/>
    </row>
    <row r="2518" spans="2:8" x14ac:dyDescent="0.25">
      <c r="B2518" s="145"/>
      <c r="C2518" s="145"/>
      <c r="D2518" s="145"/>
      <c r="E2518" s="145"/>
      <c r="F2518" s="145"/>
      <c r="G2518" s="145"/>
      <c r="H2518" s="299"/>
    </row>
    <row r="2519" spans="2:8" x14ac:dyDescent="0.25">
      <c r="B2519" s="145"/>
      <c r="C2519" s="145"/>
      <c r="D2519" s="145"/>
      <c r="E2519" s="145"/>
      <c r="F2519" s="145"/>
      <c r="G2519" s="145"/>
      <c r="H2519" s="299"/>
    </row>
    <row r="2520" spans="2:8" x14ac:dyDescent="0.25">
      <c r="B2520" s="145"/>
      <c r="C2520" s="145"/>
      <c r="D2520" s="145"/>
      <c r="E2520" s="145"/>
      <c r="F2520" s="145"/>
      <c r="G2520" s="145"/>
      <c r="H2520" s="299"/>
    </row>
    <row r="2521" spans="2:8" x14ac:dyDescent="0.25">
      <c r="B2521" s="145"/>
      <c r="C2521" s="145"/>
      <c r="D2521" s="145"/>
      <c r="E2521" s="145"/>
      <c r="F2521" s="145"/>
      <c r="G2521" s="145"/>
      <c r="H2521" s="299"/>
    </row>
    <row r="2522" spans="2:8" x14ac:dyDescent="0.25">
      <c r="B2522" s="145"/>
      <c r="C2522" s="145"/>
      <c r="D2522" s="145"/>
      <c r="E2522" s="145"/>
      <c r="F2522" s="145"/>
      <c r="G2522" s="145"/>
      <c r="H2522" s="299"/>
    </row>
    <row r="2523" spans="2:8" x14ac:dyDescent="0.25">
      <c r="B2523" s="145"/>
      <c r="C2523" s="145"/>
      <c r="D2523" s="145"/>
      <c r="E2523" s="145"/>
      <c r="F2523" s="145"/>
      <c r="G2523" s="145"/>
      <c r="H2523" s="299"/>
    </row>
    <row r="2524" spans="2:8" x14ac:dyDescent="0.25">
      <c r="B2524" s="145"/>
      <c r="C2524" s="145"/>
      <c r="D2524" s="145"/>
      <c r="E2524" s="145"/>
      <c r="F2524" s="145"/>
      <c r="G2524" s="145"/>
      <c r="H2524" s="299"/>
    </row>
    <row r="2525" spans="2:8" x14ac:dyDescent="0.25">
      <c r="B2525" s="145"/>
      <c r="C2525" s="145"/>
      <c r="D2525" s="145"/>
      <c r="E2525" s="145"/>
      <c r="F2525" s="145"/>
      <c r="G2525" s="145"/>
      <c r="H2525" s="299"/>
    </row>
    <row r="2526" spans="2:8" x14ac:dyDescent="0.25">
      <c r="B2526" s="145"/>
      <c r="C2526" s="145"/>
      <c r="D2526" s="145"/>
      <c r="E2526" s="145"/>
      <c r="F2526" s="145"/>
      <c r="G2526" s="145"/>
      <c r="H2526" s="299"/>
    </row>
    <row r="2527" spans="2:8" x14ac:dyDescent="0.25">
      <c r="B2527" s="145"/>
      <c r="C2527" s="145"/>
      <c r="D2527" s="145"/>
      <c r="E2527" s="145"/>
      <c r="F2527" s="145"/>
      <c r="G2527" s="145"/>
      <c r="H2527" s="299"/>
    </row>
    <row r="2528" spans="2:8" x14ac:dyDescent="0.25">
      <c r="B2528" s="145"/>
      <c r="C2528" s="145"/>
      <c r="D2528" s="145"/>
      <c r="E2528" s="145"/>
      <c r="F2528" s="145"/>
      <c r="G2528" s="145"/>
      <c r="H2528" s="299"/>
    </row>
    <row r="2529" spans="2:8" x14ac:dyDescent="0.25">
      <c r="B2529" s="145"/>
      <c r="C2529" s="145"/>
      <c r="D2529" s="145"/>
      <c r="E2529" s="145"/>
      <c r="F2529" s="145"/>
      <c r="G2529" s="145"/>
      <c r="H2529" s="299"/>
    </row>
    <row r="2530" spans="2:8" x14ac:dyDescent="0.25">
      <c r="B2530" s="145"/>
      <c r="C2530" s="145"/>
      <c r="D2530" s="145"/>
      <c r="E2530" s="145"/>
      <c r="F2530" s="145"/>
      <c r="G2530" s="145"/>
      <c r="H2530" s="299"/>
    </row>
    <row r="2531" spans="2:8" x14ac:dyDescent="0.25">
      <c r="B2531" s="145"/>
      <c r="C2531" s="145"/>
      <c r="D2531" s="145"/>
      <c r="E2531" s="145"/>
      <c r="F2531" s="145"/>
      <c r="G2531" s="145"/>
      <c r="H2531" s="299"/>
    </row>
    <row r="2532" spans="2:8" x14ac:dyDescent="0.25">
      <c r="B2532" s="145"/>
      <c r="C2532" s="145"/>
      <c r="D2532" s="145"/>
      <c r="E2532" s="145"/>
      <c r="F2532" s="145"/>
      <c r="G2532" s="145"/>
      <c r="H2532" s="299"/>
    </row>
    <row r="2533" spans="2:8" x14ac:dyDescent="0.25">
      <c r="B2533" s="145"/>
      <c r="C2533" s="145"/>
      <c r="D2533" s="145"/>
      <c r="E2533" s="145"/>
      <c r="F2533" s="145"/>
      <c r="G2533" s="145"/>
      <c r="H2533" s="299"/>
    </row>
    <row r="2534" spans="2:8" x14ac:dyDescent="0.25">
      <c r="B2534" s="145"/>
      <c r="C2534" s="145"/>
      <c r="D2534" s="145"/>
      <c r="E2534" s="145"/>
      <c r="F2534" s="145"/>
      <c r="G2534" s="145"/>
      <c r="H2534" s="299"/>
    </row>
    <row r="2535" spans="2:8" x14ac:dyDescent="0.25">
      <c r="B2535" s="145"/>
      <c r="C2535" s="145"/>
      <c r="D2535" s="145"/>
      <c r="E2535" s="145"/>
      <c r="F2535" s="145"/>
      <c r="G2535" s="145"/>
      <c r="H2535" s="299"/>
    </row>
    <row r="2536" spans="2:8" x14ac:dyDescent="0.25">
      <c r="B2536" s="145"/>
      <c r="C2536" s="145"/>
      <c r="D2536" s="145"/>
      <c r="E2536" s="145"/>
      <c r="F2536" s="145"/>
      <c r="G2536" s="145"/>
      <c r="H2536" s="299"/>
    </row>
    <row r="2537" spans="2:8" x14ac:dyDescent="0.25">
      <c r="B2537" s="145"/>
      <c r="C2537" s="145"/>
      <c r="D2537" s="145"/>
      <c r="E2537" s="145"/>
      <c r="F2537" s="145"/>
      <c r="G2537" s="145"/>
      <c r="H2537" s="299"/>
    </row>
    <row r="2538" spans="2:8" x14ac:dyDescent="0.25">
      <c r="B2538" s="145"/>
      <c r="C2538" s="145"/>
      <c r="D2538" s="145"/>
      <c r="E2538" s="145"/>
      <c r="F2538" s="145"/>
      <c r="G2538" s="145"/>
      <c r="H2538" s="299"/>
    </row>
    <row r="2539" spans="2:8" x14ac:dyDescent="0.25">
      <c r="B2539" s="145"/>
      <c r="C2539" s="145"/>
      <c r="D2539" s="145"/>
      <c r="E2539" s="145"/>
      <c r="F2539" s="145"/>
      <c r="G2539" s="145"/>
      <c r="H2539" s="299"/>
    </row>
    <row r="2540" spans="2:8" x14ac:dyDescent="0.25">
      <c r="B2540" s="145"/>
      <c r="C2540" s="145"/>
      <c r="D2540" s="145"/>
      <c r="E2540" s="145"/>
      <c r="F2540" s="145"/>
      <c r="G2540" s="145"/>
      <c r="H2540" s="299"/>
    </row>
    <row r="2541" spans="2:8" x14ac:dyDescent="0.25">
      <c r="B2541" s="145"/>
      <c r="C2541" s="145"/>
      <c r="D2541" s="145"/>
      <c r="E2541" s="145"/>
      <c r="F2541" s="145"/>
      <c r="G2541" s="145"/>
      <c r="H2541" s="299"/>
    </row>
    <row r="2542" spans="2:8" x14ac:dyDescent="0.25">
      <c r="B2542" s="145"/>
      <c r="C2542" s="145"/>
      <c r="D2542" s="145"/>
      <c r="E2542" s="145"/>
      <c r="F2542" s="145"/>
      <c r="G2542" s="145"/>
      <c r="H2542" s="299"/>
    </row>
    <row r="2543" spans="2:8" x14ac:dyDescent="0.25">
      <c r="B2543" s="145"/>
      <c r="C2543" s="145"/>
      <c r="D2543" s="145"/>
      <c r="E2543" s="145"/>
      <c r="F2543" s="145"/>
      <c r="G2543" s="145"/>
      <c r="H2543" s="299"/>
    </row>
    <row r="2544" spans="2:8" x14ac:dyDescent="0.25">
      <c r="B2544" s="145"/>
      <c r="C2544" s="145"/>
      <c r="D2544" s="145"/>
      <c r="E2544" s="145"/>
      <c r="F2544" s="145"/>
      <c r="G2544" s="145"/>
      <c r="H2544" s="299"/>
    </row>
    <row r="2545" spans="2:8" x14ac:dyDescent="0.25">
      <c r="B2545" s="145"/>
      <c r="C2545" s="145"/>
      <c r="D2545" s="145"/>
      <c r="E2545" s="145"/>
      <c r="F2545" s="145"/>
      <c r="G2545" s="145"/>
      <c r="H2545" s="299"/>
    </row>
    <row r="2546" spans="2:8" x14ac:dyDescent="0.25">
      <c r="B2546" s="145"/>
      <c r="C2546" s="145"/>
      <c r="D2546" s="145"/>
      <c r="E2546" s="145"/>
      <c r="F2546" s="145"/>
      <c r="G2546" s="145"/>
      <c r="H2546" s="299"/>
    </row>
    <row r="2547" spans="2:8" x14ac:dyDescent="0.25">
      <c r="B2547" s="145"/>
      <c r="C2547" s="145"/>
      <c r="D2547" s="145"/>
      <c r="E2547" s="145"/>
      <c r="F2547" s="145"/>
      <c r="G2547" s="145"/>
      <c r="H2547" s="299"/>
    </row>
    <row r="2548" spans="2:8" x14ac:dyDescent="0.25">
      <c r="B2548" s="145"/>
      <c r="C2548" s="145"/>
      <c r="D2548" s="145"/>
      <c r="E2548" s="145"/>
      <c r="F2548" s="145"/>
      <c r="G2548" s="145"/>
      <c r="H2548" s="299"/>
    </row>
    <row r="2549" spans="2:8" x14ac:dyDescent="0.25">
      <c r="B2549" s="145"/>
      <c r="C2549" s="145"/>
      <c r="D2549" s="145"/>
      <c r="E2549" s="145"/>
      <c r="F2549" s="145"/>
      <c r="G2549" s="145"/>
      <c r="H2549" s="299"/>
    </row>
    <row r="2550" spans="2:8" x14ac:dyDescent="0.25">
      <c r="B2550" s="145"/>
      <c r="C2550" s="145"/>
      <c r="D2550" s="145"/>
      <c r="E2550" s="145"/>
      <c r="F2550" s="145"/>
      <c r="G2550" s="145"/>
      <c r="H2550" s="299"/>
    </row>
    <row r="2551" spans="2:8" x14ac:dyDescent="0.25">
      <c r="B2551" s="145"/>
      <c r="C2551" s="145"/>
      <c r="D2551" s="145"/>
      <c r="E2551" s="145"/>
      <c r="F2551" s="145"/>
      <c r="G2551" s="145"/>
      <c r="H2551" s="299"/>
    </row>
    <row r="2552" spans="2:8" x14ac:dyDescent="0.25">
      <c r="B2552" s="145"/>
      <c r="C2552" s="145"/>
      <c r="D2552" s="145"/>
      <c r="E2552" s="145"/>
      <c r="F2552" s="145"/>
      <c r="G2552" s="145"/>
      <c r="H2552" s="299"/>
    </row>
    <row r="2553" spans="2:8" x14ac:dyDescent="0.25">
      <c r="B2553" s="145"/>
      <c r="C2553" s="145"/>
      <c r="D2553" s="145"/>
      <c r="E2553" s="145"/>
      <c r="F2553" s="145"/>
      <c r="G2553" s="145"/>
      <c r="H2553" s="299"/>
    </row>
    <row r="2554" spans="2:8" x14ac:dyDescent="0.25">
      <c r="B2554" s="145"/>
      <c r="C2554" s="145"/>
      <c r="D2554" s="145"/>
      <c r="E2554" s="145"/>
      <c r="F2554" s="145"/>
      <c r="G2554" s="145"/>
      <c r="H2554" s="299"/>
    </row>
    <row r="2555" spans="2:8" x14ac:dyDescent="0.25">
      <c r="B2555" s="145"/>
      <c r="C2555" s="145"/>
      <c r="D2555" s="145"/>
      <c r="E2555" s="145"/>
      <c r="F2555" s="145"/>
      <c r="G2555" s="145"/>
      <c r="H2555" s="299"/>
    </row>
    <row r="2556" spans="2:8" x14ac:dyDescent="0.25">
      <c r="B2556" s="145"/>
      <c r="C2556" s="145"/>
      <c r="D2556" s="145"/>
      <c r="E2556" s="145"/>
      <c r="F2556" s="145"/>
      <c r="G2556" s="145"/>
      <c r="H2556" s="299"/>
    </row>
    <row r="2557" spans="2:8" x14ac:dyDescent="0.25">
      <c r="B2557" s="145"/>
      <c r="C2557" s="145"/>
      <c r="D2557" s="145"/>
      <c r="E2557" s="145"/>
      <c r="F2557" s="145"/>
      <c r="G2557" s="145"/>
      <c r="H2557" s="299"/>
    </row>
    <row r="2558" spans="2:8" x14ac:dyDescent="0.25">
      <c r="B2558" s="145"/>
      <c r="C2558" s="145"/>
      <c r="D2558" s="145"/>
      <c r="E2558" s="145"/>
      <c r="F2558" s="145"/>
      <c r="G2558" s="145"/>
      <c r="H2558" s="299"/>
    </row>
    <row r="2559" spans="2:8" x14ac:dyDescent="0.25">
      <c r="B2559" s="145"/>
      <c r="C2559" s="145"/>
      <c r="D2559" s="145"/>
      <c r="E2559" s="145"/>
      <c r="F2559" s="145"/>
      <c r="G2559" s="145"/>
      <c r="H2559" s="299"/>
    </row>
    <row r="2560" spans="2:8" x14ac:dyDescent="0.25">
      <c r="B2560" s="145"/>
      <c r="C2560" s="145"/>
      <c r="D2560" s="145"/>
      <c r="E2560" s="145"/>
      <c r="F2560" s="145"/>
      <c r="G2560" s="145"/>
      <c r="H2560" s="299"/>
    </row>
    <row r="2561" spans="2:8" x14ac:dyDescent="0.25">
      <c r="B2561" s="145"/>
      <c r="C2561" s="145"/>
      <c r="D2561" s="145"/>
      <c r="E2561" s="145"/>
      <c r="F2561" s="145"/>
      <c r="G2561" s="145"/>
      <c r="H2561" s="299"/>
    </row>
    <row r="2562" spans="2:8" x14ac:dyDescent="0.25">
      <c r="B2562" s="145"/>
      <c r="C2562" s="145"/>
      <c r="D2562" s="145"/>
      <c r="E2562" s="145"/>
      <c r="F2562" s="145"/>
      <c r="G2562" s="145"/>
      <c r="H2562" s="299"/>
    </row>
    <row r="2563" spans="2:8" x14ac:dyDescent="0.25">
      <c r="B2563" s="145"/>
      <c r="C2563" s="145"/>
      <c r="D2563" s="145"/>
      <c r="E2563" s="145"/>
      <c r="F2563" s="145"/>
      <c r="G2563" s="145"/>
      <c r="H2563" s="299"/>
    </row>
    <row r="2564" spans="2:8" x14ac:dyDescent="0.25">
      <c r="B2564" s="145"/>
      <c r="C2564" s="145"/>
      <c r="D2564" s="145"/>
      <c r="E2564" s="145"/>
      <c r="F2564" s="145"/>
      <c r="G2564" s="145"/>
      <c r="H2564" s="299"/>
    </row>
    <row r="2565" spans="2:8" x14ac:dyDescent="0.25">
      <c r="B2565" s="145"/>
      <c r="C2565" s="145"/>
      <c r="D2565" s="145"/>
      <c r="E2565" s="145"/>
      <c r="F2565" s="145"/>
      <c r="G2565" s="145"/>
      <c r="H2565" s="299"/>
    </row>
    <row r="2566" spans="2:8" x14ac:dyDescent="0.25">
      <c r="B2566" s="145"/>
      <c r="C2566" s="145"/>
      <c r="D2566" s="145"/>
      <c r="E2566" s="145"/>
      <c r="F2566" s="145"/>
      <c r="G2566" s="145"/>
      <c r="H2566" s="299"/>
    </row>
    <row r="2567" spans="2:8" x14ac:dyDescent="0.25">
      <c r="B2567" s="145"/>
      <c r="C2567" s="145"/>
      <c r="D2567" s="145"/>
      <c r="E2567" s="145"/>
      <c r="F2567" s="145"/>
      <c r="G2567" s="145"/>
      <c r="H2567" s="299"/>
    </row>
    <row r="2568" spans="2:8" x14ac:dyDescent="0.25">
      <c r="B2568" s="145"/>
      <c r="C2568" s="145"/>
      <c r="D2568" s="145"/>
      <c r="E2568" s="145"/>
      <c r="F2568" s="145"/>
      <c r="G2568" s="145"/>
      <c r="H2568" s="299"/>
    </row>
    <row r="2569" spans="2:8" x14ac:dyDescent="0.25">
      <c r="B2569" s="145"/>
      <c r="C2569" s="145"/>
      <c r="D2569" s="145"/>
      <c r="E2569" s="145"/>
      <c r="F2569" s="145"/>
      <c r="G2569" s="145"/>
      <c r="H2569" s="299"/>
    </row>
    <row r="2570" spans="2:8" x14ac:dyDescent="0.25">
      <c r="B2570" s="145"/>
      <c r="C2570" s="145"/>
      <c r="D2570" s="145"/>
      <c r="E2570" s="145"/>
      <c r="F2570" s="145"/>
      <c r="G2570" s="145"/>
      <c r="H2570" s="299"/>
    </row>
    <row r="2571" spans="2:8" x14ac:dyDescent="0.25">
      <c r="B2571" s="145"/>
      <c r="C2571" s="145"/>
      <c r="D2571" s="145"/>
      <c r="E2571" s="145"/>
      <c r="F2571" s="145"/>
      <c r="G2571" s="145"/>
      <c r="H2571" s="299"/>
    </row>
    <row r="2572" spans="2:8" x14ac:dyDescent="0.25">
      <c r="B2572" s="145"/>
      <c r="C2572" s="145"/>
      <c r="D2572" s="145"/>
      <c r="E2572" s="145"/>
      <c r="F2572" s="145"/>
      <c r="G2572" s="145"/>
      <c r="H2572" s="299"/>
    </row>
    <row r="2573" spans="2:8" x14ac:dyDescent="0.25">
      <c r="B2573" s="145"/>
      <c r="C2573" s="145"/>
      <c r="D2573" s="145"/>
      <c r="E2573" s="145"/>
      <c r="F2573" s="145"/>
      <c r="G2573" s="145"/>
      <c r="H2573" s="299"/>
    </row>
    <row r="2574" spans="2:8" x14ac:dyDescent="0.25">
      <c r="B2574" s="145"/>
      <c r="C2574" s="145"/>
      <c r="D2574" s="145"/>
      <c r="E2574" s="145"/>
      <c r="F2574" s="145"/>
      <c r="G2574" s="145"/>
      <c r="H2574" s="299"/>
    </row>
    <row r="2575" spans="2:8" x14ac:dyDescent="0.25">
      <c r="B2575" s="145"/>
      <c r="C2575" s="145"/>
      <c r="D2575" s="145"/>
      <c r="E2575" s="145"/>
      <c r="F2575" s="145"/>
      <c r="G2575" s="145"/>
      <c r="H2575" s="299"/>
    </row>
    <row r="2576" spans="2:8" x14ac:dyDescent="0.25">
      <c r="B2576" s="145"/>
      <c r="C2576" s="145"/>
      <c r="D2576" s="145"/>
      <c r="E2576" s="145"/>
      <c r="F2576" s="145"/>
      <c r="G2576" s="145"/>
      <c r="H2576" s="299"/>
    </row>
    <row r="2577" spans="2:8" x14ac:dyDescent="0.25">
      <c r="B2577" s="145"/>
      <c r="C2577" s="145"/>
      <c r="D2577" s="145"/>
      <c r="E2577" s="145"/>
      <c r="F2577" s="145"/>
      <c r="G2577" s="145"/>
      <c r="H2577" s="299"/>
    </row>
    <row r="2578" spans="2:8" x14ac:dyDescent="0.25">
      <c r="B2578" s="145"/>
      <c r="C2578" s="145"/>
      <c r="D2578" s="145"/>
      <c r="E2578" s="145"/>
      <c r="F2578" s="145"/>
      <c r="G2578" s="145"/>
      <c r="H2578" s="299"/>
    </row>
    <row r="2579" spans="2:8" x14ac:dyDescent="0.25">
      <c r="B2579" s="145"/>
      <c r="C2579" s="145"/>
      <c r="D2579" s="145"/>
      <c r="E2579" s="145"/>
      <c r="F2579" s="145"/>
      <c r="G2579" s="145"/>
      <c r="H2579" s="299"/>
    </row>
    <row r="2580" spans="2:8" x14ac:dyDescent="0.25">
      <c r="B2580" s="145"/>
      <c r="C2580" s="145"/>
      <c r="D2580" s="145"/>
      <c r="E2580" s="145"/>
      <c r="F2580" s="145"/>
      <c r="G2580" s="145"/>
      <c r="H2580" s="299"/>
    </row>
    <row r="2581" spans="2:8" x14ac:dyDescent="0.25">
      <c r="B2581" s="145"/>
      <c r="C2581" s="145"/>
      <c r="D2581" s="145"/>
      <c r="E2581" s="145"/>
      <c r="F2581" s="145"/>
      <c r="G2581" s="145"/>
      <c r="H2581" s="299"/>
    </row>
    <row r="2582" spans="2:8" x14ac:dyDescent="0.25">
      <c r="B2582" s="145"/>
      <c r="C2582" s="145"/>
      <c r="D2582" s="145"/>
      <c r="E2582" s="145"/>
      <c r="F2582" s="145"/>
      <c r="G2582" s="145"/>
      <c r="H2582" s="299"/>
    </row>
    <row r="2583" spans="2:8" x14ac:dyDescent="0.25">
      <c r="B2583" s="145"/>
      <c r="C2583" s="145"/>
      <c r="D2583" s="145"/>
      <c r="E2583" s="145"/>
      <c r="F2583" s="145"/>
      <c r="G2583" s="145"/>
      <c r="H2583" s="299"/>
    </row>
    <row r="2584" spans="2:8" x14ac:dyDescent="0.25">
      <c r="B2584" s="145"/>
      <c r="C2584" s="145"/>
      <c r="D2584" s="145"/>
      <c r="E2584" s="145"/>
      <c r="F2584" s="145"/>
      <c r="G2584" s="145"/>
      <c r="H2584" s="299"/>
    </row>
    <row r="2585" spans="2:8" x14ac:dyDescent="0.25">
      <c r="B2585" s="145"/>
      <c r="C2585" s="145"/>
      <c r="D2585" s="145"/>
      <c r="E2585" s="145"/>
      <c r="F2585" s="145"/>
      <c r="G2585" s="145"/>
      <c r="H2585" s="299"/>
    </row>
    <row r="2586" spans="2:8" x14ac:dyDescent="0.25">
      <c r="B2586" s="145"/>
      <c r="C2586" s="145"/>
      <c r="D2586" s="145"/>
      <c r="E2586" s="145"/>
      <c r="F2586" s="145"/>
      <c r="G2586" s="145"/>
      <c r="H2586" s="299"/>
    </row>
    <row r="2587" spans="2:8" x14ac:dyDescent="0.25">
      <c r="B2587" s="145"/>
      <c r="C2587" s="145"/>
      <c r="D2587" s="145"/>
      <c r="E2587" s="145"/>
      <c r="F2587" s="145"/>
      <c r="G2587" s="145"/>
      <c r="H2587" s="299"/>
    </row>
    <row r="2588" spans="2:8" x14ac:dyDescent="0.25">
      <c r="B2588" s="145"/>
      <c r="C2588" s="145"/>
      <c r="D2588" s="145"/>
      <c r="E2588" s="145"/>
      <c r="F2588" s="145"/>
      <c r="G2588" s="145"/>
      <c r="H2588" s="299"/>
    </row>
    <row r="2589" spans="2:8" x14ac:dyDescent="0.25">
      <c r="B2589" s="145"/>
      <c r="C2589" s="145"/>
      <c r="D2589" s="145"/>
      <c r="E2589" s="145"/>
      <c r="F2589" s="145"/>
      <c r="G2589" s="145"/>
      <c r="H2589" s="299"/>
    </row>
    <row r="2590" spans="2:8" x14ac:dyDescent="0.25">
      <c r="B2590" s="145"/>
      <c r="C2590" s="145"/>
      <c r="D2590" s="145"/>
      <c r="E2590" s="145"/>
      <c r="F2590" s="145"/>
      <c r="G2590" s="145"/>
      <c r="H2590" s="299"/>
    </row>
    <row r="2591" spans="2:8" x14ac:dyDescent="0.25">
      <c r="B2591" s="145"/>
      <c r="C2591" s="145"/>
      <c r="D2591" s="145"/>
      <c r="E2591" s="145"/>
      <c r="F2591" s="145"/>
      <c r="G2591" s="145"/>
      <c r="H2591" s="299"/>
    </row>
    <row r="2592" spans="2:8" x14ac:dyDescent="0.25">
      <c r="B2592" s="145"/>
      <c r="C2592" s="145"/>
      <c r="D2592" s="145"/>
      <c r="E2592" s="145"/>
      <c r="F2592" s="145"/>
      <c r="G2592" s="145"/>
      <c r="H2592" s="299"/>
    </row>
    <row r="2593" spans="2:8" x14ac:dyDescent="0.25">
      <c r="B2593" s="145"/>
      <c r="C2593" s="145"/>
      <c r="D2593" s="145"/>
      <c r="E2593" s="145"/>
      <c r="F2593" s="145"/>
      <c r="G2593" s="145"/>
      <c r="H2593" s="299"/>
    </row>
    <row r="2594" spans="2:8" x14ac:dyDescent="0.25">
      <c r="B2594" s="145"/>
      <c r="C2594" s="145"/>
      <c r="D2594" s="145"/>
      <c r="E2594" s="145"/>
      <c r="F2594" s="145"/>
      <c r="G2594" s="145"/>
      <c r="H2594" s="299"/>
    </row>
    <row r="2595" spans="2:8" x14ac:dyDescent="0.25">
      <c r="B2595" s="145"/>
      <c r="C2595" s="145"/>
      <c r="D2595" s="145"/>
      <c r="E2595" s="145"/>
      <c r="F2595" s="145"/>
      <c r="G2595" s="145"/>
      <c r="H2595" s="299"/>
    </row>
    <row r="2596" spans="2:8" x14ac:dyDescent="0.25">
      <c r="B2596" s="145"/>
      <c r="C2596" s="145"/>
      <c r="D2596" s="145"/>
      <c r="E2596" s="145"/>
      <c r="F2596" s="145"/>
      <c r="G2596" s="145"/>
      <c r="H2596" s="299"/>
    </row>
    <row r="2597" spans="2:8" x14ac:dyDescent="0.25">
      <c r="B2597" s="145"/>
      <c r="C2597" s="145"/>
      <c r="D2597" s="145"/>
      <c r="E2597" s="145"/>
      <c r="F2597" s="145"/>
      <c r="G2597" s="145"/>
      <c r="H2597" s="299"/>
    </row>
    <row r="2598" spans="2:8" x14ac:dyDescent="0.25">
      <c r="B2598" s="145"/>
      <c r="C2598" s="145"/>
      <c r="D2598" s="145"/>
      <c r="E2598" s="145"/>
      <c r="F2598" s="145"/>
      <c r="G2598" s="145"/>
      <c r="H2598" s="299"/>
    </row>
    <row r="2599" spans="2:8" x14ac:dyDescent="0.25">
      <c r="B2599" s="145"/>
      <c r="C2599" s="145"/>
      <c r="D2599" s="145"/>
      <c r="E2599" s="145"/>
      <c r="F2599" s="145"/>
      <c r="G2599" s="145"/>
      <c r="H2599" s="299"/>
    </row>
    <row r="2600" spans="2:8" x14ac:dyDescent="0.25">
      <c r="B2600" s="145"/>
      <c r="C2600" s="145"/>
      <c r="D2600" s="145"/>
      <c r="E2600" s="145"/>
      <c r="F2600" s="145"/>
      <c r="G2600" s="145"/>
      <c r="H2600" s="299"/>
    </row>
    <row r="2601" spans="2:8" x14ac:dyDescent="0.25">
      <c r="B2601" s="145"/>
      <c r="C2601" s="145"/>
      <c r="D2601" s="145"/>
      <c r="E2601" s="145"/>
      <c r="F2601" s="145"/>
      <c r="G2601" s="145"/>
      <c r="H2601" s="299"/>
    </row>
    <row r="2602" spans="2:8" x14ac:dyDescent="0.25">
      <c r="B2602" s="145"/>
      <c r="C2602" s="145"/>
      <c r="D2602" s="145"/>
      <c r="E2602" s="145"/>
      <c r="F2602" s="145"/>
      <c r="G2602" s="145"/>
      <c r="H2602" s="299"/>
    </row>
    <row r="2603" spans="2:8" x14ac:dyDescent="0.25">
      <c r="B2603" s="145"/>
      <c r="C2603" s="145"/>
      <c r="D2603" s="145"/>
      <c r="E2603" s="145"/>
      <c r="F2603" s="145"/>
      <c r="G2603" s="145"/>
      <c r="H2603" s="299"/>
    </row>
    <row r="2604" spans="2:8" x14ac:dyDescent="0.25">
      <c r="B2604" s="145"/>
      <c r="C2604" s="145"/>
      <c r="D2604" s="145"/>
      <c r="E2604" s="145"/>
      <c r="F2604" s="145"/>
      <c r="G2604" s="145"/>
      <c r="H2604" s="299"/>
    </row>
    <row r="2605" spans="2:8" x14ac:dyDescent="0.25">
      <c r="B2605" s="145"/>
      <c r="C2605" s="145"/>
      <c r="D2605" s="145"/>
      <c r="E2605" s="145"/>
      <c r="F2605" s="145"/>
      <c r="G2605" s="145"/>
      <c r="H2605" s="299"/>
    </row>
    <row r="2606" spans="2:8" x14ac:dyDescent="0.25">
      <c r="B2606" s="145"/>
      <c r="C2606" s="145"/>
      <c r="D2606" s="145"/>
      <c r="E2606" s="145"/>
      <c r="F2606" s="145"/>
      <c r="G2606" s="145"/>
      <c r="H2606" s="299"/>
    </row>
    <row r="2607" spans="2:8" x14ac:dyDescent="0.25">
      <c r="B2607" s="145"/>
      <c r="C2607" s="145"/>
      <c r="D2607" s="145"/>
      <c r="E2607" s="145"/>
      <c r="F2607" s="145"/>
      <c r="G2607" s="145"/>
      <c r="H2607" s="299"/>
    </row>
    <row r="2608" spans="2:8" x14ac:dyDescent="0.25">
      <c r="B2608" s="145"/>
      <c r="C2608" s="145"/>
      <c r="D2608" s="145"/>
      <c r="E2608" s="145"/>
      <c r="F2608" s="145"/>
      <c r="G2608" s="145"/>
      <c r="H2608" s="299"/>
    </row>
    <row r="2609" spans="2:8" x14ac:dyDescent="0.25">
      <c r="B2609" s="145"/>
      <c r="C2609" s="145"/>
      <c r="D2609" s="145"/>
      <c r="E2609" s="145"/>
      <c r="F2609" s="145"/>
      <c r="G2609" s="145"/>
      <c r="H2609" s="299"/>
    </row>
    <row r="2610" spans="2:8" x14ac:dyDescent="0.25">
      <c r="B2610" s="145"/>
      <c r="C2610" s="145"/>
      <c r="D2610" s="145"/>
      <c r="E2610" s="145"/>
      <c r="F2610" s="145"/>
      <c r="G2610" s="145"/>
      <c r="H2610" s="299"/>
    </row>
    <row r="2611" spans="2:8" x14ac:dyDescent="0.25">
      <c r="B2611" s="145"/>
      <c r="C2611" s="145"/>
      <c r="D2611" s="145"/>
      <c r="E2611" s="145"/>
      <c r="F2611" s="145"/>
      <c r="G2611" s="145"/>
      <c r="H2611" s="299"/>
    </row>
    <row r="2612" spans="2:8" x14ac:dyDescent="0.25">
      <c r="B2612" s="145"/>
      <c r="C2612" s="145"/>
      <c r="D2612" s="145"/>
      <c r="E2612" s="145"/>
      <c r="F2612" s="145"/>
      <c r="G2612" s="145"/>
      <c r="H2612" s="299"/>
    </row>
    <row r="2613" spans="2:8" x14ac:dyDescent="0.25">
      <c r="B2613" s="145"/>
      <c r="C2613" s="145"/>
      <c r="D2613" s="145"/>
      <c r="E2613" s="145"/>
      <c r="F2613" s="145"/>
      <c r="G2613" s="145"/>
      <c r="H2613" s="299"/>
    </row>
    <row r="2614" spans="2:8" x14ac:dyDescent="0.25">
      <c r="B2614" s="145"/>
      <c r="C2614" s="145"/>
      <c r="D2614" s="145"/>
      <c r="E2614" s="145"/>
      <c r="F2614" s="145"/>
      <c r="G2614" s="145"/>
      <c r="H2614" s="299"/>
    </row>
    <row r="2615" spans="2:8" x14ac:dyDescent="0.25">
      <c r="B2615" s="145"/>
      <c r="C2615" s="145"/>
      <c r="D2615" s="145"/>
      <c r="E2615" s="145"/>
      <c r="F2615" s="145"/>
      <c r="G2615" s="145"/>
      <c r="H2615" s="299"/>
    </row>
    <row r="2616" spans="2:8" x14ac:dyDescent="0.25">
      <c r="B2616" s="145"/>
      <c r="C2616" s="145"/>
      <c r="D2616" s="145"/>
      <c r="E2616" s="145"/>
      <c r="F2616" s="145"/>
      <c r="G2616" s="145"/>
      <c r="H2616" s="299"/>
    </row>
    <row r="2617" spans="2:8" x14ac:dyDescent="0.25">
      <c r="B2617" s="145"/>
      <c r="C2617" s="145"/>
      <c r="D2617" s="145"/>
      <c r="E2617" s="145"/>
      <c r="F2617" s="145"/>
      <c r="G2617" s="145"/>
      <c r="H2617" s="299"/>
    </row>
    <row r="2618" spans="2:8" x14ac:dyDescent="0.25">
      <c r="B2618" s="145"/>
      <c r="C2618" s="145"/>
      <c r="D2618" s="145"/>
      <c r="E2618" s="145"/>
      <c r="F2618" s="145"/>
      <c r="G2618" s="145"/>
      <c r="H2618" s="299"/>
    </row>
    <row r="2619" spans="2:8" x14ac:dyDescent="0.25">
      <c r="B2619" s="145"/>
      <c r="C2619" s="145"/>
      <c r="D2619" s="145"/>
      <c r="E2619" s="145"/>
      <c r="F2619" s="145"/>
      <c r="G2619" s="145"/>
      <c r="H2619" s="299"/>
    </row>
    <row r="2620" spans="2:8" x14ac:dyDescent="0.25">
      <c r="B2620" s="145"/>
      <c r="C2620" s="145"/>
      <c r="D2620" s="145"/>
      <c r="E2620" s="145"/>
      <c r="F2620" s="145"/>
      <c r="G2620" s="145"/>
      <c r="H2620" s="299"/>
    </row>
    <row r="2621" spans="2:8" x14ac:dyDescent="0.25">
      <c r="B2621" s="145"/>
      <c r="C2621" s="145"/>
      <c r="D2621" s="145"/>
      <c r="E2621" s="145"/>
      <c r="F2621" s="145"/>
      <c r="G2621" s="145"/>
      <c r="H2621" s="299"/>
    </row>
    <row r="2622" spans="2:8" x14ac:dyDescent="0.25">
      <c r="B2622" s="145"/>
      <c r="C2622" s="145"/>
      <c r="D2622" s="145"/>
      <c r="E2622" s="145"/>
      <c r="F2622" s="145"/>
      <c r="G2622" s="145"/>
      <c r="H2622" s="299"/>
    </row>
    <row r="2623" spans="2:8" x14ac:dyDescent="0.25">
      <c r="B2623" s="145"/>
      <c r="C2623" s="145"/>
      <c r="D2623" s="145"/>
      <c r="E2623" s="145"/>
      <c r="F2623" s="145"/>
      <c r="G2623" s="145"/>
      <c r="H2623" s="299"/>
    </row>
    <row r="2624" spans="2:8" x14ac:dyDescent="0.25">
      <c r="B2624" s="145"/>
      <c r="C2624" s="145"/>
      <c r="D2624" s="145"/>
      <c r="E2624" s="145"/>
      <c r="F2624" s="145"/>
      <c r="G2624" s="145"/>
      <c r="H2624" s="299"/>
    </row>
    <row r="2625" spans="2:8" x14ac:dyDescent="0.25">
      <c r="B2625" s="145"/>
      <c r="C2625" s="145"/>
      <c r="D2625" s="145"/>
      <c r="E2625" s="145"/>
      <c r="F2625" s="145"/>
      <c r="G2625" s="145"/>
      <c r="H2625" s="299"/>
    </row>
    <row r="2626" spans="2:8" x14ac:dyDescent="0.25">
      <c r="B2626" s="145"/>
      <c r="C2626" s="145"/>
      <c r="D2626" s="145"/>
      <c r="E2626" s="145"/>
      <c r="F2626" s="145"/>
      <c r="G2626" s="145"/>
      <c r="H2626" s="299"/>
    </row>
    <row r="2627" spans="2:8" x14ac:dyDescent="0.25">
      <c r="B2627" s="145"/>
      <c r="C2627" s="145"/>
      <c r="D2627" s="145"/>
      <c r="E2627" s="145"/>
      <c r="F2627" s="145"/>
      <c r="G2627" s="145"/>
      <c r="H2627" s="299"/>
    </row>
    <row r="2628" spans="2:8" x14ac:dyDescent="0.25">
      <c r="B2628" s="145"/>
      <c r="C2628" s="145"/>
      <c r="D2628" s="145"/>
      <c r="E2628" s="145"/>
      <c r="F2628" s="145"/>
      <c r="G2628" s="145"/>
      <c r="H2628" s="299"/>
    </row>
    <row r="2629" spans="2:8" x14ac:dyDescent="0.25">
      <c r="B2629" s="145"/>
      <c r="C2629" s="145"/>
      <c r="D2629" s="145"/>
      <c r="E2629" s="145"/>
      <c r="F2629" s="145"/>
      <c r="G2629" s="145"/>
      <c r="H2629" s="299"/>
    </row>
    <row r="2630" spans="2:8" x14ac:dyDescent="0.25">
      <c r="B2630" s="145"/>
      <c r="C2630" s="145"/>
      <c r="D2630" s="145"/>
      <c r="E2630" s="145"/>
      <c r="F2630" s="145"/>
      <c r="G2630" s="145"/>
      <c r="H2630" s="299"/>
    </row>
    <row r="2631" spans="2:8" x14ac:dyDescent="0.25">
      <c r="B2631" s="145"/>
      <c r="C2631" s="145"/>
      <c r="D2631" s="145"/>
      <c r="E2631" s="145"/>
      <c r="F2631" s="145"/>
      <c r="G2631" s="145"/>
      <c r="H2631" s="299"/>
    </row>
    <row r="2632" spans="2:8" x14ac:dyDescent="0.25">
      <c r="B2632" s="145"/>
      <c r="C2632" s="145"/>
      <c r="D2632" s="145"/>
      <c r="E2632" s="145"/>
      <c r="F2632" s="145"/>
      <c r="G2632" s="145"/>
      <c r="H2632" s="299"/>
    </row>
    <row r="2633" spans="2:8" x14ac:dyDescent="0.25">
      <c r="B2633" s="145"/>
      <c r="C2633" s="145"/>
      <c r="D2633" s="145"/>
      <c r="E2633" s="145"/>
      <c r="F2633" s="145"/>
      <c r="G2633" s="145"/>
      <c r="H2633" s="299"/>
    </row>
    <row r="2634" spans="2:8" x14ac:dyDescent="0.25">
      <c r="B2634" s="145"/>
      <c r="C2634" s="145"/>
      <c r="D2634" s="145"/>
      <c r="E2634" s="145"/>
      <c r="F2634" s="145"/>
      <c r="G2634" s="145"/>
      <c r="H2634" s="299"/>
    </row>
    <row r="2635" spans="2:8" x14ac:dyDescent="0.25">
      <c r="B2635" s="145"/>
      <c r="C2635" s="145"/>
      <c r="D2635" s="145"/>
      <c r="E2635" s="145"/>
      <c r="F2635" s="145"/>
      <c r="G2635" s="145"/>
      <c r="H2635" s="299"/>
    </row>
    <row r="2636" spans="2:8" x14ac:dyDescent="0.25">
      <c r="B2636" s="145"/>
      <c r="C2636" s="145"/>
      <c r="D2636" s="145"/>
      <c r="E2636" s="145"/>
      <c r="F2636" s="145"/>
      <c r="G2636" s="145"/>
      <c r="H2636" s="299"/>
    </row>
    <row r="2637" spans="2:8" x14ac:dyDescent="0.25">
      <c r="B2637" s="145"/>
      <c r="C2637" s="145"/>
      <c r="D2637" s="145"/>
      <c r="E2637" s="145"/>
      <c r="F2637" s="145"/>
      <c r="G2637" s="145"/>
      <c r="H2637" s="299"/>
    </row>
    <row r="2638" spans="2:8" x14ac:dyDescent="0.25">
      <c r="B2638" s="145"/>
      <c r="C2638" s="145"/>
      <c r="D2638" s="145"/>
      <c r="E2638" s="145"/>
      <c r="F2638" s="145"/>
      <c r="G2638" s="145"/>
      <c r="H2638" s="299"/>
    </row>
    <row r="2639" spans="2:8" x14ac:dyDescent="0.25">
      <c r="B2639" s="145"/>
      <c r="C2639" s="145"/>
      <c r="D2639" s="145"/>
      <c r="E2639" s="145"/>
      <c r="F2639" s="145"/>
      <c r="G2639" s="145"/>
      <c r="H2639" s="299"/>
    </row>
    <row r="2640" spans="2:8" x14ac:dyDescent="0.25">
      <c r="B2640" s="145"/>
      <c r="C2640" s="145"/>
      <c r="D2640" s="145"/>
      <c r="E2640" s="145"/>
      <c r="F2640" s="145"/>
      <c r="G2640" s="145"/>
      <c r="H2640" s="299"/>
    </row>
    <row r="2641" spans="2:8" x14ac:dyDescent="0.25">
      <c r="B2641" s="145"/>
      <c r="C2641" s="145"/>
      <c r="D2641" s="145"/>
      <c r="E2641" s="145"/>
      <c r="F2641" s="145"/>
      <c r="G2641" s="145"/>
      <c r="H2641" s="299"/>
    </row>
    <row r="2642" spans="2:8" x14ac:dyDescent="0.25">
      <c r="B2642" s="145"/>
      <c r="C2642" s="145"/>
      <c r="D2642" s="145"/>
      <c r="E2642" s="145"/>
      <c r="F2642" s="145"/>
      <c r="G2642" s="145"/>
      <c r="H2642" s="299"/>
    </row>
    <row r="2643" spans="2:8" x14ac:dyDescent="0.25">
      <c r="B2643" s="145"/>
      <c r="C2643" s="145"/>
      <c r="D2643" s="145"/>
      <c r="E2643" s="145"/>
      <c r="F2643" s="145"/>
      <c r="G2643" s="145"/>
      <c r="H2643" s="299"/>
    </row>
    <row r="2644" spans="2:8" x14ac:dyDescent="0.25">
      <c r="B2644" s="145"/>
      <c r="C2644" s="145"/>
      <c r="D2644" s="145"/>
      <c r="E2644" s="145"/>
      <c r="F2644" s="145"/>
      <c r="G2644" s="145"/>
      <c r="H2644" s="299"/>
    </row>
    <row r="2645" spans="2:8" x14ac:dyDescent="0.25">
      <c r="B2645" s="145"/>
      <c r="C2645" s="145"/>
      <c r="D2645" s="145"/>
      <c r="E2645" s="145"/>
      <c r="F2645" s="145"/>
      <c r="G2645" s="145"/>
      <c r="H2645" s="299"/>
    </row>
    <row r="2646" spans="2:8" x14ac:dyDescent="0.25">
      <c r="B2646" s="145"/>
      <c r="C2646" s="145"/>
      <c r="D2646" s="145"/>
      <c r="E2646" s="145"/>
      <c r="F2646" s="145"/>
      <c r="G2646" s="145"/>
      <c r="H2646" s="299"/>
    </row>
    <row r="2647" spans="2:8" x14ac:dyDescent="0.25">
      <c r="B2647" s="145"/>
      <c r="C2647" s="145"/>
      <c r="D2647" s="145"/>
      <c r="E2647" s="145"/>
      <c r="F2647" s="145"/>
      <c r="G2647" s="145"/>
      <c r="H2647" s="299"/>
    </row>
    <row r="2648" spans="2:8" x14ac:dyDescent="0.25">
      <c r="B2648" s="145"/>
      <c r="C2648" s="145"/>
      <c r="D2648" s="145"/>
      <c r="E2648" s="145"/>
      <c r="F2648" s="145"/>
      <c r="G2648" s="145"/>
      <c r="H2648" s="299"/>
    </row>
    <row r="2649" spans="2:8" x14ac:dyDescent="0.25">
      <c r="B2649" s="145"/>
      <c r="C2649" s="145"/>
      <c r="D2649" s="145"/>
      <c r="E2649" s="145"/>
      <c r="F2649" s="145"/>
      <c r="G2649" s="145"/>
      <c r="H2649" s="299"/>
    </row>
    <row r="2650" spans="2:8" x14ac:dyDescent="0.25">
      <c r="B2650" s="145"/>
      <c r="C2650" s="145"/>
      <c r="D2650" s="145"/>
      <c r="E2650" s="145"/>
      <c r="F2650" s="145"/>
      <c r="G2650" s="145"/>
      <c r="H2650" s="299"/>
    </row>
    <row r="2651" spans="2:8" x14ac:dyDescent="0.25">
      <c r="B2651" s="145"/>
      <c r="C2651" s="145"/>
      <c r="D2651" s="145"/>
      <c r="E2651" s="145"/>
      <c r="F2651" s="145"/>
      <c r="G2651" s="145"/>
      <c r="H2651" s="299"/>
    </row>
    <row r="2652" spans="2:8" x14ac:dyDescent="0.25">
      <c r="B2652" s="145"/>
      <c r="C2652" s="145"/>
      <c r="D2652" s="145"/>
      <c r="E2652" s="145"/>
      <c r="F2652" s="145"/>
      <c r="G2652" s="145"/>
      <c r="H2652" s="299"/>
    </row>
    <row r="2653" spans="2:8" x14ac:dyDescent="0.25">
      <c r="B2653" s="145"/>
      <c r="C2653" s="145"/>
      <c r="D2653" s="145"/>
      <c r="E2653" s="145"/>
      <c r="F2653" s="145"/>
      <c r="G2653" s="145"/>
      <c r="H2653" s="299"/>
    </row>
    <row r="2654" spans="2:8" x14ac:dyDescent="0.25">
      <c r="B2654" s="145"/>
      <c r="C2654" s="145"/>
      <c r="D2654" s="145"/>
      <c r="E2654" s="145"/>
      <c r="F2654" s="145"/>
      <c r="G2654" s="145"/>
      <c r="H2654" s="299"/>
    </row>
    <row r="2655" spans="2:8" x14ac:dyDescent="0.25">
      <c r="B2655" s="145"/>
      <c r="C2655" s="145"/>
      <c r="D2655" s="145"/>
      <c r="E2655" s="145"/>
      <c r="F2655" s="145"/>
      <c r="G2655" s="145"/>
      <c r="H2655" s="299"/>
    </row>
    <row r="2656" spans="2:8" x14ac:dyDescent="0.25">
      <c r="B2656" s="145"/>
      <c r="C2656" s="145"/>
      <c r="D2656" s="145"/>
      <c r="E2656" s="145"/>
      <c r="F2656" s="145"/>
      <c r="G2656" s="145"/>
      <c r="H2656" s="299"/>
    </row>
    <row r="2657" spans="2:8" x14ac:dyDescent="0.25">
      <c r="B2657" s="145"/>
      <c r="C2657" s="145"/>
      <c r="D2657" s="145"/>
      <c r="E2657" s="145"/>
      <c r="F2657" s="145"/>
      <c r="G2657" s="145"/>
      <c r="H2657" s="299"/>
    </row>
    <row r="2658" spans="2:8" x14ac:dyDescent="0.25">
      <c r="B2658" s="145"/>
      <c r="C2658" s="145"/>
      <c r="D2658" s="145"/>
      <c r="E2658" s="145"/>
      <c r="F2658" s="145"/>
      <c r="G2658" s="145"/>
      <c r="H2658" s="299"/>
    </row>
    <row r="2659" spans="2:8" x14ac:dyDescent="0.25">
      <c r="B2659" s="145"/>
      <c r="C2659" s="145"/>
      <c r="D2659" s="145"/>
      <c r="E2659" s="145"/>
      <c r="F2659" s="145"/>
      <c r="G2659" s="145"/>
      <c r="H2659" s="299"/>
    </row>
    <row r="2660" spans="2:8" x14ac:dyDescent="0.25">
      <c r="B2660" s="145"/>
      <c r="C2660" s="145"/>
      <c r="D2660" s="145"/>
      <c r="E2660" s="145"/>
      <c r="F2660" s="145"/>
      <c r="G2660" s="145"/>
      <c r="H2660" s="299"/>
    </row>
    <row r="2661" spans="2:8" x14ac:dyDescent="0.25">
      <c r="B2661" s="145"/>
      <c r="C2661" s="145"/>
      <c r="D2661" s="145"/>
      <c r="E2661" s="145"/>
      <c r="F2661" s="145"/>
      <c r="G2661" s="145"/>
      <c r="H2661" s="299"/>
    </row>
    <row r="2662" spans="2:8" x14ac:dyDescent="0.25">
      <c r="B2662" s="145"/>
      <c r="C2662" s="145"/>
      <c r="D2662" s="145"/>
      <c r="E2662" s="145"/>
      <c r="F2662" s="145"/>
      <c r="G2662" s="145"/>
      <c r="H2662" s="299"/>
    </row>
    <row r="2663" spans="2:8" x14ac:dyDescent="0.25">
      <c r="B2663" s="145"/>
      <c r="C2663" s="145"/>
      <c r="D2663" s="145"/>
      <c r="E2663" s="145"/>
      <c r="F2663" s="145"/>
      <c r="G2663" s="145"/>
      <c r="H2663" s="299"/>
    </row>
    <row r="2664" spans="2:8" x14ac:dyDescent="0.25">
      <c r="B2664" s="145"/>
      <c r="C2664" s="145"/>
      <c r="D2664" s="145"/>
      <c r="E2664" s="145"/>
      <c r="F2664" s="145"/>
      <c r="G2664" s="145"/>
      <c r="H2664" s="299"/>
    </row>
    <row r="2665" spans="2:8" x14ac:dyDescent="0.25">
      <c r="B2665" s="145"/>
      <c r="C2665" s="145"/>
      <c r="D2665" s="145"/>
      <c r="E2665" s="145"/>
      <c r="F2665" s="145"/>
      <c r="G2665" s="145"/>
      <c r="H2665" s="299"/>
    </row>
    <row r="2666" spans="2:8" x14ac:dyDescent="0.25">
      <c r="B2666" s="145"/>
      <c r="C2666" s="145"/>
      <c r="D2666" s="145"/>
      <c r="E2666" s="145"/>
      <c r="F2666" s="145"/>
      <c r="G2666" s="145"/>
      <c r="H2666" s="299"/>
    </row>
    <row r="2667" spans="2:8" x14ac:dyDescent="0.25">
      <c r="B2667" s="145"/>
      <c r="C2667" s="145"/>
      <c r="D2667" s="145"/>
      <c r="E2667" s="145"/>
      <c r="F2667" s="145"/>
      <c r="G2667" s="145"/>
      <c r="H2667" s="299"/>
    </row>
    <row r="2668" spans="2:8" x14ac:dyDescent="0.25">
      <c r="B2668" s="145"/>
      <c r="C2668" s="145"/>
      <c r="D2668" s="145"/>
      <c r="E2668" s="145"/>
      <c r="F2668" s="145"/>
      <c r="G2668" s="145"/>
      <c r="H2668" s="299"/>
    </row>
    <row r="2669" spans="2:8" x14ac:dyDescent="0.25">
      <c r="B2669" s="145"/>
      <c r="C2669" s="145"/>
      <c r="D2669" s="145"/>
      <c r="E2669" s="145"/>
      <c r="F2669" s="145"/>
      <c r="G2669" s="145"/>
      <c r="H2669" s="299"/>
    </row>
    <row r="2670" spans="2:8" x14ac:dyDescent="0.25">
      <c r="B2670" s="145"/>
      <c r="C2670" s="145"/>
      <c r="D2670" s="145"/>
      <c r="E2670" s="145"/>
      <c r="F2670" s="145"/>
      <c r="G2670" s="145"/>
      <c r="H2670" s="299"/>
    </row>
    <row r="2671" spans="2:8" x14ac:dyDescent="0.25">
      <c r="B2671" s="145"/>
      <c r="C2671" s="145"/>
      <c r="D2671" s="145"/>
      <c r="E2671" s="145"/>
      <c r="F2671" s="145"/>
      <c r="G2671" s="145"/>
      <c r="H2671" s="299"/>
    </row>
    <row r="2672" spans="2:8" x14ac:dyDescent="0.25">
      <c r="B2672" s="145"/>
      <c r="C2672" s="145"/>
      <c r="D2672" s="145"/>
      <c r="E2672" s="145"/>
      <c r="F2672" s="145"/>
      <c r="G2672" s="145"/>
      <c r="H2672" s="299"/>
    </row>
    <row r="2673" spans="2:8" x14ac:dyDescent="0.25">
      <c r="B2673" s="145"/>
      <c r="C2673" s="145"/>
      <c r="D2673" s="145"/>
      <c r="E2673" s="145"/>
      <c r="F2673" s="145"/>
      <c r="G2673" s="145"/>
      <c r="H2673" s="299"/>
    </row>
    <row r="2674" spans="2:8" x14ac:dyDescent="0.25">
      <c r="B2674" s="145"/>
      <c r="C2674" s="145"/>
      <c r="D2674" s="145"/>
      <c r="E2674" s="145"/>
      <c r="F2674" s="145"/>
      <c r="G2674" s="145"/>
      <c r="H2674" s="299"/>
    </row>
    <row r="2675" spans="2:8" x14ac:dyDescent="0.25">
      <c r="B2675" s="145"/>
      <c r="C2675" s="145"/>
      <c r="D2675" s="145"/>
      <c r="E2675" s="145"/>
      <c r="F2675" s="145"/>
      <c r="G2675" s="145"/>
      <c r="H2675" s="299"/>
    </row>
    <row r="2676" spans="2:8" x14ac:dyDescent="0.25">
      <c r="B2676" s="145"/>
      <c r="C2676" s="145"/>
      <c r="D2676" s="145"/>
      <c r="E2676" s="145"/>
      <c r="F2676" s="145"/>
      <c r="G2676" s="145"/>
      <c r="H2676" s="299"/>
    </row>
    <row r="2677" spans="2:8" x14ac:dyDescent="0.25">
      <c r="B2677" s="145"/>
      <c r="C2677" s="145"/>
      <c r="D2677" s="145"/>
      <c r="E2677" s="145"/>
      <c r="F2677" s="145"/>
      <c r="G2677" s="145"/>
      <c r="H2677" s="299"/>
    </row>
    <row r="2678" spans="2:8" x14ac:dyDescent="0.25">
      <c r="B2678" s="145"/>
      <c r="C2678" s="145"/>
      <c r="D2678" s="145"/>
      <c r="E2678" s="145"/>
      <c r="F2678" s="145"/>
      <c r="G2678" s="145"/>
      <c r="H2678" s="299"/>
    </row>
    <row r="2679" spans="2:8" x14ac:dyDescent="0.25">
      <c r="B2679" s="145"/>
      <c r="C2679" s="145"/>
      <c r="D2679" s="145"/>
      <c r="E2679" s="145"/>
      <c r="F2679" s="145"/>
      <c r="G2679" s="145"/>
      <c r="H2679" s="299"/>
    </row>
    <row r="2680" spans="2:8" x14ac:dyDescent="0.25">
      <c r="B2680" s="145"/>
      <c r="C2680" s="145"/>
      <c r="D2680" s="145"/>
      <c r="E2680" s="145"/>
      <c r="F2680" s="145"/>
      <c r="G2680" s="145"/>
      <c r="H2680" s="299"/>
    </row>
    <row r="2681" spans="2:8" x14ac:dyDescent="0.25">
      <c r="B2681" s="145"/>
      <c r="C2681" s="145"/>
      <c r="D2681" s="145"/>
      <c r="E2681" s="145"/>
      <c r="F2681" s="145"/>
      <c r="G2681" s="145"/>
      <c r="H2681" s="299"/>
    </row>
    <row r="2682" spans="2:8" x14ac:dyDescent="0.25">
      <c r="B2682" s="145"/>
      <c r="C2682" s="145"/>
      <c r="D2682" s="145"/>
      <c r="E2682" s="145"/>
      <c r="F2682" s="145"/>
      <c r="G2682" s="145"/>
      <c r="H2682" s="299"/>
    </row>
    <row r="2683" spans="2:8" x14ac:dyDescent="0.25">
      <c r="B2683" s="145"/>
      <c r="C2683" s="145"/>
      <c r="D2683" s="145"/>
      <c r="E2683" s="145"/>
      <c r="F2683" s="145"/>
      <c r="G2683" s="145"/>
      <c r="H2683" s="299"/>
    </row>
    <row r="2684" spans="2:8" x14ac:dyDescent="0.25">
      <c r="B2684" s="145"/>
      <c r="C2684" s="145"/>
      <c r="D2684" s="145"/>
      <c r="E2684" s="145"/>
      <c r="F2684" s="145"/>
      <c r="G2684" s="145"/>
      <c r="H2684" s="299"/>
    </row>
    <row r="2685" spans="2:8" x14ac:dyDescent="0.25">
      <c r="B2685" s="145"/>
      <c r="C2685" s="145"/>
      <c r="D2685" s="145"/>
      <c r="E2685" s="145"/>
      <c r="F2685" s="145"/>
      <c r="G2685" s="145"/>
      <c r="H2685" s="299"/>
    </row>
    <row r="2686" spans="2:8" x14ac:dyDescent="0.25">
      <c r="B2686" s="145"/>
      <c r="C2686" s="145"/>
      <c r="D2686" s="145"/>
      <c r="E2686" s="145"/>
      <c r="F2686" s="145"/>
      <c r="G2686" s="145"/>
      <c r="H2686" s="299"/>
    </row>
    <row r="2687" spans="2:8" x14ac:dyDescent="0.25">
      <c r="B2687" s="145"/>
      <c r="C2687" s="145"/>
      <c r="D2687" s="145"/>
      <c r="E2687" s="145"/>
      <c r="F2687" s="145"/>
      <c r="G2687" s="145"/>
      <c r="H2687" s="299"/>
    </row>
    <row r="2688" spans="2:8" x14ac:dyDescent="0.25">
      <c r="B2688" s="145"/>
      <c r="C2688" s="145"/>
      <c r="D2688" s="145"/>
      <c r="E2688" s="145"/>
      <c r="F2688" s="145"/>
      <c r="G2688" s="145"/>
      <c r="H2688" s="299"/>
    </row>
    <row r="2689" spans="2:8" x14ac:dyDescent="0.25">
      <c r="B2689" s="145"/>
      <c r="C2689" s="145"/>
      <c r="D2689" s="145"/>
      <c r="E2689" s="145"/>
      <c r="F2689" s="145"/>
      <c r="G2689" s="145"/>
      <c r="H2689" s="299"/>
    </row>
    <row r="2690" spans="2:8" x14ac:dyDescent="0.25">
      <c r="B2690" s="145"/>
      <c r="C2690" s="145"/>
      <c r="D2690" s="145"/>
      <c r="E2690" s="145"/>
      <c r="F2690" s="145"/>
      <c r="G2690" s="145"/>
      <c r="H2690" s="299"/>
    </row>
    <row r="2691" spans="2:8" x14ac:dyDescent="0.25">
      <c r="B2691" s="145"/>
      <c r="C2691" s="145"/>
      <c r="D2691" s="145"/>
      <c r="E2691" s="145"/>
      <c r="F2691" s="145"/>
      <c r="G2691" s="145"/>
      <c r="H2691" s="299"/>
    </row>
    <row r="2692" spans="2:8" x14ac:dyDescent="0.25">
      <c r="B2692" s="145"/>
      <c r="C2692" s="145"/>
      <c r="D2692" s="145"/>
      <c r="E2692" s="145"/>
      <c r="F2692" s="145"/>
      <c r="G2692" s="145"/>
      <c r="H2692" s="299"/>
    </row>
    <row r="2693" spans="2:8" x14ac:dyDescent="0.25">
      <c r="B2693" s="145"/>
      <c r="C2693" s="145"/>
      <c r="D2693" s="145"/>
      <c r="E2693" s="145"/>
      <c r="F2693" s="145"/>
      <c r="G2693" s="145"/>
      <c r="H2693" s="299"/>
    </row>
    <row r="2694" spans="2:8" x14ac:dyDescent="0.25">
      <c r="B2694" s="145"/>
      <c r="C2694" s="145"/>
      <c r="D2694" s="145"/>
      <c r="E2694" s="145"/>
      <c r="F2694" s="145"/>
      <c r="G2694" s="145"/>
      <c r="H2694" s="299"/>
    </row>
    <row r="2695" spans="2:8" x14ac:dyDescent="0.25">
      <c r="B2695" s="145"/>
      <c r="C2695" s="145"/>
      <c r="D2695" s="145"/>
      <c r="E2695" s="145"/>
      <c r="F2695" s="145"/>
      <c r="G2695" s="145"/>
      <c r="H2695" s="299"/>
    </row>
    <row r="2696" spans="2:8" x14ac:dyDescent="0.25">
      <c r="B2696" s="145"/>
      <c r="C2696" s="145"/>
      <c r="D2696" s="145"/>
      <c r="E2696" s="145"/>
      <c r="F2696" s="145"/>
      <c r="G2696" s="145"/>
      <c r="H2696" s="299"/>
    </row>
    <row r="2697" spans="2:8" x14ac:dyDescent="0.25">
      <c r="B2697" s="145"/>
      <c r="C2697" s="145"/>
      <c r="D2697" s="145"/>
      <c r="E2697" s="145"/>
      <c r="F2697" s="145"/>
      <c r="G2697" s="145"/>
      <c r="H2697" s="299"/>
    </row>
    <row r="2698" spans="2:8" x14ac:dyDescent="0.25">
      <c r="B2698" s="145"/>
      <c r="C2698" s="145"/>
      <c r="D2698" s="145"/>
      <c r="E2698" s="145"/>
      <c r="F2698" s="145"/>
      <c r="G2698" s="145"/>
      <c r="H2698" s="299"/>
    </row>
    <row r="2699" spans="2:8" x14ac:dyDescent="0.25">
      <c r="B2699" s="145"/>
      <c r="C2699" s="145"/>
      <c r="D2699" s="145"/>
      <c r="E2699" s="145"/>
      <c r="F2699" s="145"/>
      <c r="G2699" s="145"/>
      <c r="H2699" s="299"/>
    </row>
    <row r="2700" spans="2:8" x14ac:dyDescent="0.25">
      <c r="B2700" s="145"/>
      <c r="C2700" s="145"/>
      <c r="D2700" s="145"/>
      <c r="E2700" s="145"/>
      <c r="F2700" s="145"/>
      <c r="G2700" s="145"/>
      <c r="H2700" s="299"/>
    </row>
    <row r="2701" spans="2:8" x14ac:dyDescent="0.25">
      <c r="B2701" s="145"/>
      <c r="C2701" s="145"/>
      <c r="D2701" s="145"/>
      <c r="E2701" s="145"/>
      <c r="F2701" s="145"/>
      <c r="G2701" s="145"/>
      <c r="H2701" s="299"/>
    </row>
    <row r="2702" spans="2:8" x14ac:dyDescent="0.25">
      <c r="B2702" s="145"/>
      <c r="C2702" s="145"/>
      <c r="D2702" s="145"/>
      <c r="E2702" s="145"/>
      <c r="F2702" s="145"/>
      <c r="G2702" s="145"/>
      <c r="H2702" s="299"/>
    </row>
    <row r="2703" spans="2:8" x14ac:dyDescent="0.25">
      <c r="B2703" s="145"/>
      <c r="C2703" s="145"/>
      <c r="D2703" s="145"/>
      <c r="E2703" s="145"/>
      <c r="F2703" s="145"/>
      <c r="G2703" s="145"/>
      <c r="H2703" s="299"/>
    </row>
    <row r="2704" spans="2:8" x14ac:dyDescent="0.25">
      <c r="B2704" s="145"/>
      <c r="C2704" s="145"/>
      <c r="D2704" s="145"/>
      <c r="E2704" s="145"/>
      <c r="F2704" s="145"/>
      <c r="G2704" s="145"/>
      <c r="H2704" s="299"/>
    </row>
    <row r="2705" spans="2:8" x14ac:dyDescent="0.25">
      <c r="B2705" s="145"/>
      <c r="C2705" s="145"/>
      <c r="D2705" s="145"/>
      <c r="E2705" s="145"/>
      <c r="F2705" s="145"/>
      <c r="G2705" s="145"/>
      <c r="H2705" s="299"/>
    </row>
    <row r="2706" spans="2:8" x14ac:dyDescent="0.25">
      <c r="B2706" s="145"/>
      <c r="C2706" s="145"/>
      <c r="D2706" s="145"/>
      <c r="E2706" s="145"/>
      <c r="F2706" s="145"/>
      <c r="G2706" s="145"/>
      <c r="H2706" s="299"/>
    </row>
    <row r="2707" spans="2:8" x14ac:dyDescent="0.25">
      <c r="B2707" s="145"/>
      <c r="C2707" s="145"/>
      <c r="D2707" s="145"/>
      <c r="E2707" s="145"/>
      <c r="F2707" s="145"/>
      <c r="G2707" s="145"/>
      <c r="H2707" s="299"/>
    </row>
    <row r="2708" spans="2:8" x14ac:dyDescent="0.25">
      <c r="B2708" s="145"/>
      <c r="C2708" s="145"/>
      <c r="D2708" s="145"/>
      <c r="E2708" s="145"/>
      <c r="F2708" s="145"/>
      <c r="G2708" s="145"/>
      <c r="H2708" s="299"/>
    </row>
    <row r="2709" spans="2:8" x14ac:dyDescent="0.25">
      <c r="B2709" s="145"/>
      <c r="C2709" s="145"/>
      <c r="D2709" s="145"/>
      <c r="E2709" s="145"/>
      <c r="F2709" s="145"/>
      <c r="G2709" s="145"/>
      <c r="H2709" s="299"/>
    </row>
    <row r="2710" spans="2:8" x14ac:dyDescent="0.25">
      <c r="B2710" s="145"/>
      <c r="C2710" s="145"/>
      <c r="D2710" s="145"/>
      <c r="E2710" s="145"/>
      <c r="F2710" s="145"/>
      <c r="G2710" s="145"/>
      <c r="H2710" s="299"/>
    </row>
    <row r="2711" spans="2:8" x14ac:dyDescent="0.25">
      <c r="B2711" s="145"/>
      <c r="C2711" s="145"/>
      <c r="D2711" s="145"/>
      <c r="E2711" s="145"/>
      <c r="F2711" s="145"/>
      <c r="G2711" s="145"/>
      <c r="H2711" s="299"/>
    </row>
    <row r="2712" spans="2:8" x14ac:dyDescent="0.25">
      <c r="B2712" s="145"/>
      <c r="C2712" s="145"/>
      <c r="D2712" s="145"/>
      <c r="E2712" s="145"/>
      <c r="F2712" s="145"/>
      <c r="G2712" s="145"/>
      <c r="H2712" s="299"/>
    </row>
    <row r="2713" spans="2:8" x14ac:dyDescent="0.25">
      <c r="B2713" s="145"/>
      <c r="C2713" s="145"/>
      <c r="D2713" s="145"/>
      <c r="E2713" s="145"/>
      <c r="F2713" s="145"/>
      <c r="G2713" s="145"/>
      <c r="H2713" s="299"/>
    </row>
    <row r="2714" spans="2:8" x14ac:dyDescent="0.25">
      <c r="B2714" s="145"/>
      <c r="C2714" s="145"/>
      <c r="D2714" s="145"/>
      <c r="E2714" s="145"/>
      <c r="F2714" s="145"/>
      <c r="G2714" s="145"/>
      <c r="H2714" s="299"/>
    </row>
    <row r="2715" spans="2:8" x14ac:dyDescent="0.25">
      <c r="B2715" s="145"/>
      <c r="C2715" s="145"/>
      <c r="D2715" s="145"/>
      <c r="E2715" s="145"/>
      <c r="F2715" s="145"/>
      <c r="G2715" s="145"/>
      <c r="H2715" s="299"/>
    </row>
    <row r="2716" spans="2:8" x14ac:dyDescent="0.25">
      <c r="B2716" s="145"/>
      <c r="C2716" s="145"/>
      <c r="D2716" s="145"/>
      <c r="E2716" s="145"/>
      <c r="F2716" s="145"/>
      <c r="G2716" s="145"/>
      <c r="H2716" s="299"/>
    </row>
    <row r="2717" spans="2:8" x14ac:dyDescent="0.25">
      <c r="B2717" s="145"/>
      <c r="C2717" s="145"/>
      <c r="D2717" s="145"/>
      <c r="E2717" s="145"/>
      <c r="F2717" s="145"/>
      <c r="G2717" s="145"/>
      <c r="H2717" s="299"/>
    </row>
    <row r="2718" spans="2:8" x14ac:dyDescent="0.25">
      <c r="B2718" s="145"/>
      <c r="C2718" s="145"/>
      <c r="D2718" s="145"/>
      <c r="E2718" s="145"/>
      <c r="F2718" s="145"/>
      <c r="G2718" s="145"/>
      <c r="H2718" s="299"/>
    </row>
    <row r="2719" spans="2:8" x14ac:dyDescent="0.25">
      <c r="B2719" s="145"/>
      <c r="C2719" s="145"/>
      <c r="D2719" s="145"/>
      <c r="E2719" s="145"/>
      <c r="F2719" s="145"/>
      <c r="G2719" s="145"/>
      <c r="H2719" s="299"/>
    </row>
    <row r="2720" spans="2:8" x14ac:dyDescent="0.25">
      <c r="B2720" s="145"/>
      <c r="C2720" s="145"/>
      <c r="D2720" s="145"/>
      <c r="E2720" s="145"/>
      <c r="F2720" s="145"/>
      <c r="G2720" s="145"/>
      <c r="H2720" s="299"/>
    </row>
    <row r="2721" spans="2:8" x14ac:dyDescent="0.25">
      <c r="B2721" s="145"/>
      <c r="C2721" s="145"/>
      <c r="D2721" s="145"/>
      <c r="E2721" s="145"/>
      <c r="F2721" s="145"/>
      <c r="G2721" s="145"/>
      <c r="H2721" s="299"/>
    </row>
    <row r="2722" spans="2:8" x14ac:dyDescent="0.25">
      <c r="B2722" s="145"/>
      <c r="C2722" s="145"/>
      <c r="D2722" s="145"/>
      <c r="E2722" s="145"/>
      <c r="F2722" s="145"/>
      <c r="G2722" s="145"/>
      <c r="H2722" s="299"/>
    </row>
    <row r="2723" spans="2:8" x14ac:dyDescent="0.25">
      <c r="B2723" s="145"/>
      <c r="C2723" s="145"/>
      <c r="D2723" s="145"/>
      <c r="E2723" s="145"/>
      <c r="F2723" s="145"/>
      <c r="G2723" s="145"/>
      <c r="H2723" s="299"/>
    </row>
    <row r="2724" spans="2:8" x14ac:dyDescent="0.25">
      <c r="B2724" s="145"/>
      <c r="C2724" s="145"/>
      <c r="D2724" s="145"/>
      <c r="E2724" s="145"/>
      <c r="F2724" s="145"/>
      <c r="G2724" s="145"/>
      <c r="H2724" s="299"/>
    </row>
    <row r="2725" spans="2:8" x14ac:dyDescent="0.25">
      <c r="B2725" s="145"/>
      <c r="C2725" s="145"/>
      <c r="D2725" s="145"/>
      <c r="E2725" s="145"/>
      <c r="F2725" s="145"/>
      <c r="G2725" s="145"/>
      <c r="H2725" s="299"/>
    </row>
    <row r="2726" spans="2:8" x14ac:dyDescent="0.25">
      <c r="B2726" s="145"/>
      <c r="C2726" s="145"/>
      <c r="D2726" s="145"/>
      <c r="E2726" s="145"/>
      <c r="F2726" s="145"/>
      <c r="G2726" s="145"/>
      <c r="H2726" s="299"/>
    </row>
    <row r="2727" spans="2:8" x14ac:dyDescent="0.25">
      <c r="B2727" s="145"/>
      <c r="C2727" s="145"/>
      <c r="D2727" s="145"/>
      <c r="E2727" s="145"/>
      <c r="F2727" s="145"/>
      <c r="G2727" s="145"/>
      <c r="H2727" s="299"/>
    </row>
    <row r="2728" spans="2:8" x14ac:dyDescent="0.25">
      <c r="B2728" s="145"/>
      <c r="C2728" s="145"/>
      <c r="D2728" s="145"/>
      <c r="E2728" s="145"/>
      <c r="F2728" s="145"/>
      <c r="G2728" s="145"/>
      <c r="H2728" s="299"/>
    </row>
    <row r="2729" spans="2:8" x14ac:dyDescent="0.25">
      <c r="B2729" s="145"/>
      <c r="C2729" s="145"/>
      <c r="D2729" s="145"/>
      <c r="E2729" s="145"/>
      <c r="F2729" s="145"/>
      <c r="G2729" s="145"/>
      <c r="H2729" s="299"/>
    </row>
    <row r="2730" spans="2:8" x14ac:dyDescent="0.25">
      <c r="B2730" s="145"/>
      <c r="C2730" s="145"/>
      <c r="D2730" s="145"/>
      <c r="E2730" s="145"/>
      <c r="F2730" s="145"/>
      <c r="G2730" s="145"/>
      <c r="H2730" s="299"/>
    </row>
    <row r="2731" spans="2:8" x14ac:dyDescent="0.25">
      <c r="B2731" s="145"/>
      <c r="C2731" s="145"/>
      <c r="D2731" s="145"/>
      <c r="E2731" s="145"/>
      <c r="F2731" s="145"/>
      <c r="G2731" s="145"/>
      <c r="H2731" s="299"/>
    </row>
    <row r="2732" spans="2:8" x14ac:dyDescent="0.25">
      <c r="B2732" s="145"/>
      <c r="C2732" s="145"/>
      <c r="D2732" s="145"/>
      <c r="E2732" s="145"/>
      <c r="F2732" s="145"/>
      <c r="G2732" s="145"/>
      <c r="H2732" s="299"/>
    </row>
    <row r="2733" spans="2:8" x14ac:dyDescent="0.25">
      <c r="B2733" s="145"/>
      <c r="C2733" s="145"/>
      <c r="D2733" s="145"/>
      <c r="E2733" s="145"/>
      <c r="F2733" s="145"/>
      <c r="G2733" s="145"/>
      <c r="H2733" s="299"/>
    </row>
    <row r="2734" spans="2:8" x14ac:dyDescent="0.25">
      <c r="B2734" s="145"/>
      <c r="C2734" s="145"/>
      <c r="D2734" s="145"/>
      <c r="E2734" s="145"/>
      <c r="F2734" s="145"/>
      <c r="G2734" s="145"/>
      <c r="H2734" s="299"/>
    </row>
    <row r="2735" spans="2:8" x14ac:dyDescent="0.25">
      <c r="B2735" s="145"/>
      <c r="C2735" s="145"/>
      <c r="D2735" s="145"/>
      <c r="E2735" s="145"/>
      <c r="F2735" s="145"/>
      <c r="G2735" s="145"/>
      <c r="H2735" s="299"/>
    </row>
    <row r="2736" spans="2:8" x14ac:dyDescent="0.25">
      <c r="B2736" s="145"/>
      <c r="C2736" s="145"/>
      <c r="D2736" s="145"/>
      <c r="E2736" s="145"/>
      <c r="F2736" s="145"/>
      <c r="G2736" s="145"/>
      <c r="H2736" s="299"/>
    </row>
    <row r="2737" spans="2:8" x14ac:dyDescent="0.25">
      <c r="B2737" s="145"/>
      <c r="C2737" s="145"/>
      <c r="D2737" s="145"/>
      <c r="E2737" s="145"/>
      <c r="F2737" s="145"/>
      <c r="G2737" s="145"/>
      <c r="H2737" s="299"/>
    </row>
    <row r="2738" spans="2:8" x14ac:dyDescent="0.25">
      <c r="B2738" s="145"/>
      <c r="C2738" s="145"/>
      <c r="D2738" s="145"/>
      <c r="E2738" s="145"/>
      <c r="F2738" s="145"/>
      <c r="G2738" s="145"/>
      <c r="H2738" s="299"/>
    </row>
    <row r="2739" spans="2:8" x14ac:dyDescent="0.25">
      <c r="B2739" s="145"/>
      <c r="C2739" s="145"/>
      <c r="D2739" s="145"/>
      <c r="E2739" s="145"/>
      <c r="F2739" s="145"/>
      <c r="G2739" s="145"/>
      <c r="H2739" s="299"/>
    </row>
    <row r="2740" spans="2:8" x14ac:dyDescent="0.25">
      <c r="B2740" s="145"/>
      <c r="C2740" s="145"/>
      <c r="D2740" s="145"/>
      <c r="E2740" s="145"/>
      <c r="F2740" s="145"/>
      <c r="G2740" s="145"/>
      <c r="H2740" s="299"/>
    </row>
    <row r="2741" spans="2:8" x14ac:dyDescent="0.25">
      <c r="B2741" s="145"/>
      <c r="C2741" s="145"/>
      <c r="D2741" s="145"/>
      <c r="E2741" s="145"/>
      <c r="F2741" s="145"/>
      <c r="G2741" s="145"/>
      <c r="H2741" s="299"/>
    </row>
    <row r="2742" spans="2:8" x14ac:dyDescent="0.25">
      <c r="B2742" s="145"/>
      <c r="C2742" s="145"/>
      <c r="D2742" s="145"/>
      <c r="E2742" s="145"/>
      <c r="F2742" s="145"/>
      <c r="G2742" s="145"/>
      <c r="H2742" s="299"/>
    </row>
    <row r="2743" spans="2:8" x14ac:dyDescent="0.25">
      <c r="B2743" s="145"/>
      <c r="C2743" s="145"/>
      <c r="D2743" s="145"/>
      <c r="E2743" s="145"/>
      <c r="F2743" s="145"/>
      <c r="G2743" s="145"/>
      <c r="H2743" s="299"/>
    </row>
    <row r="2744" spans="2:8" x14ac:dyDescent="0.25">
      <c r="B2744" s="145"/>
      <c r="C2744" s="145"/>
      <c r="D2744" s="145"/>
      <c r="E2744" s="145"/>
      <c r="F2744" s="145"/>
      <c r="G2744" s="145"/>
      <c r="H2744" s="299"/>
    </row>
    <row r="2745" spans="2:8" x14ac:dyDescent="0.25">
      <c r="B2745" s="145"/>
      <c r="C2745" s="145"/>
      <c r="D2745" s="145"/>
      <c r="E2745" s="145"/>
      <c r="F2745" s="145"/>
      <c r="G2745" s="145"/>
      <c r="H2745" s="299"/>
    </row>
    <row r="2746" spans="2:8" x14ac:dyDescent="0.25">
      <c r="B2746" s="145"/>
      <c r="C2746" s="145"/>
      <c r="D2746" s="145"/>
      <c r="E2746" s="145"/>
      <c r="F2746" s="145"/>
      <c r="G2746" s="145"/>
      <c r="H2746" s="299"/>
    </row>
    <row r="2747" spans="2:8" x14ac:dyDescent="0.25">
      <c r="B2747" s="145"/>
      <c r="C2747" s="145"/>
      <c r="D2747" s="145"/>
      <c r="E2747" s="145"/>
      <c r="F2747" s="145"/>
      <c r="G2747" s="145"/>
      <c r="H2747" s="299"/>
    </row>
    <row r="2748" spans="2:8" x14ac:dyDescent="0.25">
      <c r="B2748" s="145"/>
      <c r="C2748" s="145"/>
      <c r="D2748" s="145"/>
      <c r="E2748" s="145"/>
      <c r="F2748" s="145"/>
      <c r="G2748" s="145"/>
      <c r="H2748" s="299"/>
    </row>
    <row r="2749" spans="2:8" x14ac:dyDescent="0.25">
      <c r="B2749" s="145"/>
      <c r="C2749" s="145"/>
      <c r="D2749" s="145"/>
      <c r="E2749" s="145"/>
      <c r="F2749" s="145"/>
      <c r="G2749" s="145"/>
      <c r="H2749" s="299"/>
    </row>
    <row r="2750" spans="2:8" x14ac:dyDescent="0.25">
      <c r="B2750" s="145"/>
      <c r="C2750" s="145"/>
      <c r="D2750" s="145"/>
      <c r="E2750" s="145"/>
      <c r="F2750" s="145"/>
      <c r="G2750" s="145"/>
      <c r="H2750" s="299"/>
    </row>
    <row r="2751" spans="2:8" x14ac:dyDescent="0.25">
      <c r="B2751" s="145"/>
      <c r="C2751" s="145"/>
      <c r="D2751" s="145"/>
      <c r="E2751" s="145"/>
      <c r="F2751" s="145"/>
      <c r="G2751" s="145"/>
      <c r="H2751" s="299"/>
    </row>
    <row r="2752" spans="2:8" x14ac:dyDescent="0.25">
      <c r="B2752" s="145"/>
      <c r="C2752" s="145"/>
      <c r="D2752" s="145"/>
      <c r="E2752" s="145"/>
      <c r="F2752" s="145"/>
      <c r="G2752" s="145"/>
      <c r="H2752" s="299"/>
    </row>
    <row r="2753" spans="2:8" x14ac:dyDescent="0.25">
      <c r="B2753" s="145"/>
      <c r="C2753" s="145"/>
      <c r="D2753" s="145"/>
      <c r="E2753" s="145"/>
      <c r="F2753" s="145"/>
      <c r="G2753" s="145"/>
      <c r="H2753" s="299"/>
    </row>
    <row r="2754" spans="2:8" x14ac:dyDescent="0.25">
      <c r="B2754" s="145"/>
      <c r="C2754" s="145"/>
      <c r="D2754" s="145"/>
      <c r="E2754" s="145"/>
      <c r="F2754" s="145"/>
      <c r="G2754" s="145"/>
      <c r="H2754" s="299"/>
    </row>
    <row r="2755" spans="2:8" x14ac:dyDescent="0.25">
      <c r="B2755" s="145"/>
      <c r="C2755" s="145"/>
      <c r="D2755" s="145"/>
      <c r="E2755" s="145"/>
      <c r="F2755" s="145"/>
      <c r="G2755" s="145"/>
      <c r="H2755" s="299"/>
    </row>
    <row r="2756" spans="2:8" x14ac:dyDescent="0.25">
      <c r="B2756" s="145"/>
      <c r="C2756" s="145"/>
      <c r="D2756" s="145"/>
      <c r="E2756" s="145"/>
      <c r="F2756" s="145"/>
      <c r="G2756" s="145"/>
      <c r="H2756" s="299"/>
    </row>
    <row r="2757" spans="2:8" x14ac:dyDescent="0.25">
      <c r="B2757" s="145"/>
      <c r="C2757" s="145"/>
      <c r="D2757" s="145"/>
      <c r="E2757" s="145"/>
      <c r="F2757" s="145"/>
      <c r="G2757" s="145"/>
      <c r="H2757" s="299"/>
    </row>
    <row r="2758" spans="2:8" x14ac:dyDescent="0.25">
      <c r="B2758" s="145"/>
      <c r="C2758" s="145"/>
      <c r="D2758" s="145"/>
      <c r="E2758" s="145"/>
      <c r="F2758" s="145"/>
      <c r="G2758" s="145"/>
      <c r="H2758" s="299"/>
    </row>
    <row r="2759" spans="2:8" x14ac:dyDescent="0.25">
      <c r="B2759" s="145"/>
      <c r="C2759" s="145"/>
      <c r="D2759" s="145"/>
      <c r="E2759" s="145"/>
      <c r="F2759" s="145"/>
      <c r="G2759" s="145"/>
      <c r="H2759" s="299"/>
    </row>
    <row r="2760" spans="2:8" x14ac:dyDescent="0.25">
      <c r="B2760" s="145"/>
      <c r="C2760" s="145"/>
      <c r="D2760" s="145"/>
      <c r="E2760" s="145"/>
      <c r="F2760" s="145"/>
      <c r="G2760" s="145"/>
      <c r="H2760" s="299"/>
    </row>
    <row r="2761" spans="2:8" x14ac:dyDescent="0.25">
      <c r="B2761" s="145"/>
      <c r="C2761" s="145"/>
      <c r="D2761" s="145"/>
      <c r="E2761" s="145"/>
      <c r="F2761" s="145"/>
      <c r="G2761" s="145"/>
      <c r="H2761" s="299"/>
    </row>
    <row r="2762" spans="2:8" x14ac:dyDescent="0.25">
      <c r="B2762" s="145"/>
      <c r="C2762" s="145"/>
      <c r="D2762" s="145"/>
      <c r="E2762" s="145"/>
      <c r="F2762" s="145"/>
      <c r="G2762" s="145"/>
      <c r="H2762" s="299"/>
    </row>
    <row r="2763" spans="2:8" x14ac:dyDescent="0.25">
      <c r="B2763" s="145"/>
      <c r="C2763" s="145"/>
      <c r="D2763" s="145"/>
      <c r="E2763" s="145"/>
      <c r="F2763" s="145"/>
      <c r="G2763" s="145"/>
      <c r="H2763" s="299"/>
    </row>
    <row r="2764" spans="2:8" x14ac:dyDescent="0.25">
      <c r="B2764" s="145"/>
      <c r="C2764" s="145"/>
      <c r="D2764" s="145"/>
      <c r="E2764" s="145"/>
      <c r="F2764" s="145"/>
      <c r="G2764" s="145"/>
      <c r="H2764" s="299"/>
    </row>
    <row r="2765" spans="2:8" x14ac:dyDescent="0.25">
      <c r="B2765" s="145"/>
      <c r="C2765" s="145"/>
      <c r="D2765" s="145"/>
      <c r="E2765" s="145"/>
      <c r="F2765" s="145"/>
      <c r="G2765" s="145"/>
      <c r="H2765" s="299"/>
    </row>
    <row r="2766" spans="2:8" x14ac:dyDescent="0.25">
      <c r="B2766" s="145"/>
      <c r="C2766" s="145"/>
      <c r="D2766" s="145"/>
      <c r="E2766" s="145"/>
      <c r="F2766" s="145"/>
      <c r="G2766" s="145"/>
      <c r="H2766" s="299"/>
    </row>
    <row r="2767" spans="2:8" x14ac:dyDescent="0.25">
      <c r="B2767" s="145"/>
      <c r="C2767" s="145"/>
      <c r="D2767" s="145"/>
      <c r="E2767" s="145"/>
      <c r="F2767" s="145"/>
      <c r="G2767" s="145"/>
      <c r="H2767" s="299"/>
    </row>
    <row r="2768" spans="2:8" x14ac:dyDescent="0.25">
      <c r="B2768" s="145"/>
      <c r="C2768" s="145"/>
      <c r="D2768" s="145"/>
      <c r="E2768" s="145"/>
      <c r="F2768" s="145"/>
      <c r="G2768" s="145"/>
      <c r="H2768" s="299"/>
    </row>
    <row r="2769" spans="2:8" x14ac:dyDescent="0.25">
      <c r="B2769" s="145"/>
      <c r="C2769" s="145"/>
      <c r="D2769" s="145"/>
      <c r="E2769" s="145"/>
      <c r="F2769" s="145"/>
      <c r="G2769" s="145"/>
      <c r="H2769" s="299"/>
    </row>
    <row r="2770" spans="2:8" x14ac:dyDescent="0.25">
      <c r="B2770" s="145"/>
      <c r="C2770" s="145"/>
      <c r="D2770" s="145"/>
      <c r="E2770" s="145"/>
      <c r="F2770" s="145"/>
      <c r="G2770" s="145"/>
      <c r="H2770" s="299"/>
    </row>
    <row r="2771" spans="2:8" x14ac:dyDescent="0.25">
      <c r="B2771" s="145"/>
      <c r="C2771" s="145"/>
      <c r="D2771" s="145"/>
      <c r="E2771" s="145"/>
      <c r="F2771" s="145"/>
      <c r="G2771" s="145"/>
      <c r="H2771" s="299"/>
    </row>
    <row r="2772" spans="2:8" x14ac:dyDescent="0.25">
      <c r="B2772" s="145"/>
      <c r="C2772" s="145"/>
      <c r="D2772" s="145"/>
      <c r="E2772" s="145"/>
      <c r="F2772" s="145"/>
      <c r="G2772" s="145"/>
      <c r="H2772" s="299"/>
    </row>
    <row r="2773" spans="2:8" x14ac:dyDescent="0.25">
      <c r="B2773" s="145"/>
      <c r="C2773" s="145"/>
      <c r="D2773" s="145"/>
      <c r="E2773" s="145"/>
      <c r="F2773" s="145"/>
      <c r="G2773" s="145"/>
      <c r="H2773" s="299"/>
    </row>
    <row r="2774" spans="2:8" x14ac:dyDescent="0.25">
      <c r="B2774" s="145"/>
      <c r="C2774" s="145"/>
      <c r="D2774" s="145"/>
      <c r="E2774" s="145"/>
      <c r="F2774" s="145"/>
      <c r="G2774" s="145"/>
      <c r="H2774" s="299"/>
    </row>
    <row r="2775" spans="2:8" x14ac:dyDescent="0.25">
      <c r="B2775" s="145"/>
      <c r="C2775" s="145"/>
      <c r="D2775" s="145"/>
      <c r="E2775" s="145"/>
      <c r="F2775" s="145"/>
      <c r="G2775" s="145"/>
      <c r="H2775" s="299"/>
    </row>
    <row r="2776" spans="2:8" x14ac:dyDescent="0.25">
      <c r="B2776" s="145"/>
      <c r="C2776" s="145"/>
      <c r="D2776" s="145"/>
      <c r="E2776" s="145"/>
      <c r="F2776" s="145"/>
      <c r="G2776" s="145"/>
      <c r="H2776" s="299"/>
    </row>
    <row r="2777" spans="2:8" x14ac:dyDescent="0.25">
      <c r="B2777" s="145"/>
      <c r="C2777" s="145"/>
      <c r="D2777" s="145"/>
      <c r="E2777" s="145"/>
      <c r="F2777" s="145"/>
      <c r="G2777" s="145"/>
      <c r="H2777" s="299"/>
    </row>
    <row r="2778" spans="2:8" x14ac:dyDescent="0.25">
      <c r="B2778" s="145"/>
      <c r="C2778" s="145"/>
      <c r="D2778" s="145"/>
      <c r="E2778" s="145"/>
      <c r="F2778" s="145"/>
      <c r="G2778" s="145"/>
      <c r="H2778" s="299"/>
    </row>
    <row r="2779" spans="2:8" x14ac:dyDescent="0.25">
      <c r="B2779" s="145"/>
      <c r="C2779" s="145"/>
      <c r="D2779" s="145"/>
      <c r="E2779" s="145"/>
      <c r="F2779" s="145"/>
      <c r="G2779" s="145"/>
      <c r="H2779" s="299"/>
    </row>
    <row r="2780" spans="2:8" x14ac:dyDescent="0.25">
      <c r="B2780" s="145"/>
      <c r="C2780" s="145"/>
      <c r="D2780" s="145"/>
      <c r="E2780" s="145"/>
      <c r="F2780" s="145"/>
      <c r="G2780" s="145"/>
      <c r="H2780" s="299"/>
    </row>
    <row r="2781" spans="2:8" x14ac:dyDescent="0.25">
      <c r="B2781" s="145"/>
      <c r="C2781" s="145"/>
      <c r="D2781" s="145"/>
      <c r="E2781" s="145"/>
      <c r="F2781" s="145"/>
      <c r="G2781" s="145"/>
      <c r="H2781" s="299"/>
    </row>
    <row r="2782" spans="2:8" x14ac:dyDescent="0.25">
      <c r="B2782" s="145"/>
      <c r="C2782" s="145"/>
      <c r="D2782" s="145"/>
      <c r="E2782" s="145"/>
      <c r="F2782" s="145"/>
      <c r="G2782" s="145"/>
      <c r="H2782" s="299"/>
    </row>
    <row r="2783" spans="2:8" x14ac:dyDescent="0.25">
      <c r="B2783" s="145"/>
      <c r="C2783" s="145"/>
      <c r="D2783" s="145"/>
      <c r="E2783" s="145"/>
      <c r="F2783" s="145"/>
      <c r="G2783" s="145"/>
      <c r="H2783" s="299"/>
    </row>
    <row r="2784" spans="2:8" x14ac:dyDescent="0.25">
      <c r="B2784" s="145"/>
      <c r="C2784" s="145"/>
      <c r="D2784" s="145"/>
      <c r="E2784" s="145"/>
      <c r="F2784" s="145"/>
      <c r="G2784" s="145"/>
      <c r="H2784" s="299"/>
    </row>
    <row r="2785" spans="2:8" x14ac:dyDescent="0.25">
      <c r="B2785" s="145"/>
      <c r="C2785" s="145"/>
      <c r="D2785" s="145"/>
      <c r="E2785" s="145"/>
      <c r="F2785" s="145"/>
      <c r="G2785" s="145"/>
      <c r="H2785" s="299"/>
    </row>
    <row r="2786" spans="2:8" x14ac:dyDescent="0.25">
      <c r="B2786" s="145"/>
      <c r="C2786" s="145"/>
      <c r="D2786" s="145"/>
      <c r="E2786" s="145"/>
      <c r="F2786" s="145"/>
      <c r="G2786" s="145"/>
      <c r="H2786" s="299"/>
    </row>
    <row r="2787" spans="2:8" x14ac:dyDescent="0.25">
      <c r="B2787" s="145"/>
      <c r="C2787" s="145"/>
      <c r="D2787" s="145"/>
      <c r="E2787" s="145"/>
      <c r="F2787" s="145"/>
      <c r="G2787" s="145"/>
      <c r="H2787" s="299"/>
    </row>
    <row r="2788" spans="2:8" x14ac:dyDescent="0.25">
      <c r="B2788" s="145"/>
      <c r="C2788" s="145"/>
      <c r="D2788" s="145"/>
      <c r="E2788" s="145"/>
      <c r="F2788" s="145"/>
      <c r="G2788" s="145"/>
      <c r="H2788" s="299"/>
    </row>
    <row r="2789" spans="2:8" x14ac:dyDescent="0.25">
      <c r="B2789" s="145"/>
      <c r="C2789" s="145"/>
      <c r="D2789" s="145"/>
      <c r="E2789" s="145"/>
      <c r="F2789" s="145"/>
      <c r="G2789" s="145"/>
      <c r="H2789" s="299"/>
    </row>
    <row r="2790" spans="2:8" x14ac:dyDescent="0.25">
      <c r="B2790" s="145"/>
      <c r="C2790" s="145"/>
      <c r="D2790" s="145"/>
      <c r="E2790" s="145"/>
      <c r="F2790" s="145"/>
      <c r="G2790" s="145"/>
      <c r="H2790" s="299"/>
    </row>
    <row r="2791" spans="2:8" x14ac:dyDescent="0.25">
      <c r="B2791" s="145"/>
      <c r="C2791" s="145"/>
      <c r="D2791" s="145"/>
      <c r="E2791" s="145"/>
      <c r="F2791" s="145"/>
      <c r="G2791" s="145"/>
      <c r="H2791" s="299"/>
    </row>
    <row r="2792" spans="2:8" x14ac:dyDescent="0.25">
      <c r="B2792" s="145"/>
      <c r="C2792" s="145"/>
      <c r="D2792" s="145"/>
      <c r="E2792" s="145"/>
      <c r="F2792" s="145"/>
      <c r="G2792" s="145"/>
      <c r="H2792" s="299"/>
    </row>
    <row r="2793" spans="2:8" x14ac:dyDescent="0.25">
      <c r="B2793" s="145"/>
      <c r="C2793" s="145"/>
      <c r="D2793" s="145"/>
      <c r="E2793" s="145"/>
      <c r="F2793" s="145"/>
      <c r="G2793" s="145"/>
      <c r="H2793" s="299"/>
    </row>
    <row r="2794" spans="2:8" x14ac:dyDescent="0.25">
      <c r="B2794" s="145"/>
      <c r="C2794" s="145"/>
      <c r="D2794" s="145"/>
      <c r="E2794" s="145"/>
      <c r="F2794" s="145"/>
      <c r="G2794" s="145"/>
      <c r="H2794" s="299"/>
    </row>
    <row r="2795" spans="2:8" x14ac:dyDescent="0.25">
      <c r="B2795" s="145"/>
      <c r="C2795" s="145"/>
      <c r="D2795" s="145"/>
      <c r="E2795" s="145"/>
      <c r="F2795" s="145"/>
      <c r="G2795" s="145"/>
      <c r="H2795" s="299"/>
    </row>
    <row r="2796" spans="2:8" x14ac:dyDescent="0.25">
      <c r="B2796" s="145"/>
      <c r="C2796" s="145"/>
      <c r="D2796" s="145"/>
      <c r="E2796" s="145"/>
      <c r="F2796" s="145"/>
      <c r="G2796" s="145"/>
      <c r="H2796" s="299"/>
    </row>
    <row r="2797" spans="2:8" x14ac:dyDescent="0.25">
      <c r="B2797" s="145"/>
      <c r="C2797" s="145"/>
      <c r="D2797" s="145"/>
      <c r="E2797" s="145"/>
      <c r="F2797" s="145"/>
      <c r="G2797" s="145"/>
      <c r="H2797" s="299"/>
    </row>
    <row r="2798" spans="2:8" x14ac:dyDescent="0.25">
      <c r="B2798" s="145"/>
      <c r="C2798" s="145"/>
      <c r="D2798" s="145"/>
      <c r="E2798" s="145"/>
      <c r="F2798" s="145"/>
      <c r="G2798" s="145"/>
      <c r="H2798" s="299"/>
    </row>
    <row r="2799" spans="2:8" x14ac:dyDescent="0.25">
      <c r="B2799" s="145"/>
      <c r="C2799" s="145"/>
      <c r="D2799" s="145"/>
      <c r="E2799" s="145"/>
      <c r="F2799" s="145"/>
      <c r="G2799" s="145"/>
      <c r="H2799" s="299"/>
    </row>
    <row r="2800" spans="2:8" x14ac:dyDescent="0.25">
      <c r="B2800" s="145"/>
      <c r="C2800" s="145"/>
      <c r="D2800" s="145"/>
      <c r="E2800" s="145"/>
      <c r="F2800" s="145"/>
      <c r="G2800" s="145"/>
      <c r="H2800" s="299"/>
    </row>
    <row r="2801" spans="2:8" x14ac:dyDescent="0.25">
      <c r="B2801" s="145"/>
      <c r="C2801" s="145"/>
      <c r="D2801" s="145"/>
      <c r="E2801" s="145"/>
      <c r="F2801" s="145"/>
      <c r="G2801" s="145"/>
      <c r="H2801" s="299"/>
    </row>
    <row r="2802" spans="2:8" x14ac:dyDescent="0.25">
      <c r="B2802" s="145"/>
      <c r="C2802" s="145"/>
      <c r="D2802" s="145"/>
      <c r="E2802" s="145"/>
      <c r="F2802" s="145"/>
      <c r="G2802" s="145"/>
      <c r="H2802" s="299"/>
    </row>
    <row r="2803" spans="2:8" x14ac:dyDescent="0.25">
      <c r="B2803" s="145"/>
      <c r="C2803" s="145"/>
      <c r="D2803" s="145"/>
      <c r="E2803" s="145"/>
      <c r="F2803" s="145"/>
      <c r="G2803" s="145"/>
      <c r="H2803" s="299"/>
    </row>
    <row r="2804" spans="2:8" x14ac:dyDescent="0.25">
      <c r="B2804" s="145"/>
      <c r="C2804" s="145"/>
      <c r="D2804" s="145"/>
      <c r="E2804" s="145"/>
      <c r="F2804" s="145"/>
      <c r="G2804" s="145"/>
      <c r="H2804" s="299"/>
    </row>
    <row r="2805" spans="2:8" x14ac:dyDescent="0.25">
      <c r="B2805" s="145"/>
      <c r="C2805" s="145"/>
      <c r="D2805" s="145"/>
      <c r="E2805" s="145"/>
      <c r="F2805" s="145"/>
      <c r="G2805" s="145"/>
      <c r="H2805" s="299"/>
    </row>
    <row r="2806" spans="2:8" x14ac:dyDescent="0.25">
      <c r="B2806" s="145"/>
      <c r="C2806" s="145"/>
      <c r="D2806" s="145"/>
      <c r="E2806" s="145"/>
      <c r="F2806" s="145"/>
      <c r="G2806" s="145"/>
      <c r="H2806" s="299"/>
    </row>
    <row r="2807" spans="2:8" x14ac:dyDescent="0.25">
      <c r="B2807" s="145"/>
      <c r="C2807" s="145"/>
      <c r="D2807" s="145"/>
      <c r="E2807" s="145"/>
      <c r="F2807" s="145"/>
      <c r="G2807" s="145"/>
      <c r="H2807" s="299"/>
    </row>
    <row r="2808" spans="2:8" x14ac:dyDescent="0.25">
      <c r="B2808" s="145"/>
      <c r="C2808" s="145"/>
      <c r="D2808" s="145"/>
      <c r="E2808" s="145"/>
      <c r="F2808" s="145"/>
      <c r="G2808" s="145"/>
      <c r="H2808" s="299"/>
    </row>
    <row r="2809" spans="2:8" x14ac:dyDescent="0.25">
      <c r="B2809" s="145"/>
      <c r="C2809" s="145"/>
      <c r="D2809" s="145"/>
      <c r="E2809" s="145"/>
      <c r="F2809" s="145"/>
      <c r="G2809" s="145"/>
      <c r="H2809" s="299"/>
    </row>
    <row r="2810" spans="2:8" x14ac:dyDescent="0.25">
      <c r="B2810" s="145"/>
      <c r="C2810" s="145"/>
      <c r="D2810" s="145"/>
      <c r="E2810" s="145"/>
      <c r="F2810" s="145"/>
      <c r="G2810" s="145"/>
      <c r="H2810" s="299"/>
    </row>
    <row r="2811" spans="2:8" x14ac:dyDescent="0.25">
      <c r="B2811" s="145"/>
      <c r="C2811" s="145"/>
      <c r="D2811" s="145"/>
      <c r="E2811" s="145"/>
      <c r="F2811" s="145"/>
      <c r="G2811" s="145"/>
      <c r="H2811" s="299"/>
    </row>
    <row r="2812" spans="2:8" x14ac:dyDescent="0.25">
      <c r="B2812" s="145"/>
      <c r="C2812" s="145"/>
      <c r="D2812" s="145"/>
      <c r="E2812" s="145"/>
      <c r="F2812" s="145"/>
      <c r="G2812" s="145"/>
      <c r="H2812" s="299"/>
    </row>
    <row r="2813" spans="2:8" x14ac:dyDescent="0.25">
      <c r="B2813" s="145"/>
      <c r="C2813" s="145"/>
      <c r="D2813" s="145"/>
      <c r="E2813" s="145"/>
      <c r="F2813" s="145"/>
      <c r="G2813" s="145"/>
      <c r="H2813" s="299"/>
    </row>
    <row r="2814" spans="2:8" x14ac:dyDescent="0.25">
      <c r="B2814" s="145"/>
      <c r="C2814" s="145"/>
      <c r="D2814" s="145"/>
      <c r="E2814" s="145"/>
      <c r="F2814" s="145"/>
      <c r="G2814" s="145"/>
      <c r="H2814" s="299"/>
    </row>
    <row r="2815" spans="2:8" x14ac:dyDescent="0.25">
      <c r="B2815" s="145"/>
      <c r="C2815" s="145"/>
      <c r="D2815" s="145"/>
      <c r="E2815" s="145"/>
      <c r="F2815" s="145"/>
      <c r="G2815" s="145"/>
      <c r="H2815" s="299"/>
    </row>
    <row r="2816" spans="2:8" x14ac:dyDescent="0.25">
      <c r="B2816" s="145"/>
      <c r="C2816" s="145"/>
      <c r="D2816" s="145"/>
      <c r="E2816" s="145"/>
      <c r="F2816" s="145"/>
      <c r="G2816" s="145"/>
      <c r="H2816" s="299"/>
    </row>
    <row r="2817" spans="2:8" x14ac:dyDescent="0.25">
      <c r="B2817" s="145"/>
      <c r="C2817" s="145"/>
      <c r="D2817" s="145"/>
      <c r="E2817" s="145"/>
      <c r="F2817" s="145"/>
      <c r="G2817" s="145"/>
      <c r="H2817" s="299"/>
    </row>
    <row r="2818" spans="2:8" x14ac:dyDescent="0.25">
      <c r="B2818" s="145"/>
      <c r="C2818" s="145"/>
      <c r="D2818" s="145"/>
      <c r="E2818" s="145"/>
      <c r="F2818" s="145"/>
      <c r="G2818" s="145"/>
      <c r="H2818" s="299"/>
    </row>
    <row r="2819" spans="2:8" x14ac:dyDescent="0.25">
      <c r="B2819" s="145"/>
      <c r="C2819" s="145"/>
      <c r="D2819" s="145"/>
      <c r="E2819" s="145"/>
      <c r="F2819" s="145"/>
      <c r="G2819" s="145"/>
      <c r="H2819" s="299"/>
    </row>
    <row r="2820" spans="2:8" x14ac:dyDescent="0.25">
      <c r="B2820" s="145"/>
      <c r="C2820" s="145"/>
      <c r="D2820" s="145"/>
      <c r="E2820" s="145"/>
      <c r="F2820" s="145"/>
      <c r="G2820" s="145"/>
      <c r="H2820" s="299"/>
    </row>
    <row r="2821" spans="2:8" x14ac:dyDescent="0.25">
      <c r="B2821" s="145"/>
      <c r="C2821" s="145"/>
      <c r="D2821" s="145"/>
      <c r="E2821" s="145"/>
      <c r="F2821" s="145"/>
      <c r="G2821" s="145"/>
      <c r="H2821" s="299"/>
    </row>
    <row r="2822" spans="2:8" x14ac:dyDescent="0.25">
      <c r="B2822" s="145"/>
      <c r="C2822" s="145"/>
      <c r="D2822" s="145"/>
      <c r="E2822" s="145"/>
      <c r="F2822" s="145"/>
      <c r="G2822" s="145"/>
      <c r="H2822" s="299"/>
    </row>
    <row r="2823" spans="2:8" x14ac:dyDescent="0.25">
      <c r="B2823" s="145"/>
      <c r="C2823" s="145"/>
      <c r="D2823" s="145"/>
      <c r="E2823" s="145"/>
      <c r="F2823" s="145"/>
      <c r="G2823" s="145"/>
      <c r="H2823" s="299"/>
    </row>
    <row r="2824" spans="2:8" x14ac:dyDescent="0.25">
      <c r="B2824" s="145"/>
      <c r="C2824" s="145"/>
      <c r="D2824" s="145"/>
      <c r="E2824" s="145"/>
      <c r="F2824" s="145"/>
      <c r="G2824" s="145"/>
      <c r="H2824" s="299"/>
    </row>
    <row r="2825" spans="2:8" x14ac:dyDescent="0.25">
      <c r="B2825" s="145"/>
      <c r="C2825" s="145"/>
      <c r="D2825" s="145"/>
      <c r="E2825" s="145"/>
      <c r="F2825" s="145"/>
      <c r="G2825" s="145"/>
      <c r="H2825" s="299"/>
    </row>
    <row r="2826" spans="2:8" x14ac:dyDescent="0.25">
      <c r="B2826" s="145"/>
      <c r="C2826" s="145"/>
      <c r="D2826" s="145"/>
      <c r="E2826" s="145"/>
      <c r="F2826" s="145"/>
      <c r="G2826" s="145"/>
      <c r="H2826" s="299"/>
    </row>
    <row r="2827" spans="2:8" x14ac:dyDescent="0.25">
      <c r="B2827" s="145"/>
      <c r="C2827" s="145"/>
      <c r="D2827" s="145"/>
      <c r="E2827" s="145"/>
      <c r="F2827" s="145"/>
      <c r="G2827" s="145"/>
      <c r="H2827" s="299"/>
    </row>
    <row r="2828" spans="2:8" x14ac:dyDescent="0.25">
      <c r="B2828" s="145"/>
      <c r="C2828" s="145"/>
      <c r="D2828" s="145"/>
      <c r="E2828" s="145"/>
      <c r="F2828" s="145"/>
      <c r="G2828" s="145"/>
      <c r="H2828" s="299"/>
    </row>
    <row r="2829" spans="2:8" x14ac:dyDescent="0.25">
      <c r="B2829" s="145"/>
      <c r="C2829" s="145"/>
      <c r="D2829" s="145"/>
      <c r="E2829" s="145"/>
      <c r="F2829" s="145"/>
      <c r="G2829" s="145"/>
      <c r="H2829" s="299"/>
    </row>
    <row r="2830" spans="2:8" x14ac:dyDescent="0.25">
      <c r="B2830" s="145"/>
      <c r="C2830" s="145"/>
      <c r="D2830" s="145"/>
      <c r="E2830" s="145"/>
      <c r="F2830" s="145"/>
      <c r="G2830" s="145"/>
      <c r="H2830" s="299"/>
    </row>
    <row r="2831" spans="2:8" x14ac:dyDescent="0.25">
      <c r="B2831" s="145"/>
      <c r="C2831" s="145"/>
      <c r="D2831" s="145"/>
      <c r="E2831" s="145"/>
      <c r="F2831" s="145"/>
      <c r="G2831" s="145"/>
      <c r="H2831" s="299"/>
    </row>
    <row r="2832" spans="2:8" x14ac:dyDescent="0.25">
      <c r="B2832" s="145"/>
      <c r="C2832" s="145"/>
      <c r="D2832" s="145"/>
      <c r="E2832" s="145"/>
      <c r="F2832" s="145"/>
      <c r="G2832" s="145"/>
      <c r="H2832" s="299"/>
    </row>
    <row r="2833" spans="2:8" x14ac:dyDescent="0.25">
      <c r="B2833" s="145"/>
      <c r="C2833" s="145"/>
      <c r="D2833" s="145"/>
      <c r="E2833" s="145"/>
      <c r="F2833" s="145"/>
      <c r="G2833" s="145"/>
      <c r="H2833" s="299"/>
    </row>
    <row r="2834" spans="2:8" x14ac:dyDescent="0.25">
      <c r="B2834" s="145"/>
      <c r="C2834" s="145"/>
      <c r="D2834" s="145"/>
      <c r="E2834" s="145"/>
      <c r="F2834" s="145"/>
      <c r="G2834" s="145"/>
      <c r="H2834" s="299"/>
    </row>
    <row r="2835" spans="2:8" x14ac:dyDescent="0.25">
      <c r="B2835" s="145"/>
      <c r="C2835" s="145"/>
      <c r="D2835" s="145"/>
      <c r="E2835" s="145"/>
      <c r="F2835" s="145"/>
      <c r="G2835" s="145"/>
      <c r="H2835" s="299"/>
    </row>
    <row r="2836" spans="2:8" x14ac:dyDescent="0.25">
      <c r="B2836" s="145"/>
      <c r="C2836" s="145"/>
      <c r="D2836" s="145"/>
      <c r="E2836" s="145"/>
      <c r="F2836" s="145"/>
      <c r="G2836" s="145"/>
      <c r="H2836" s="299"/>
    </row>
    <row r="2837" spans="2:8" x14ac:dyDescent="0.25">
      <c r="B2837" s="145"/>
      <c r="C2837" s="145"/>
      <c r="D2837" s="145"/>
      <c r="E2837" s="145"/>
      <c r="F2837" s="145"/>
      <c r="G2837" s="145"/>
      <c r="H2837" s="299"/>
    </row>
    <row r="2838" spans="2:8" x14ac:dyDescent="0.25">
      <c r="B2838" s="145"/>
      <c r="C2838" s="145"/>
      <c r="D2838" s="145"/>
      <c r="E2838" s="145"/>
      <c r="F2838" s="145"/>
      <c r="G2838" s="145"/>
      <c r="H2838" s="299"/>
    </row>
    <row r="2839" spans="2:8" x14ac:dyDescent="0.25">
      <c r="B2839" s="145"/>
      <c r="C2839" s="145"/>
      <c r="D2839" s="145"/>
      <c r="E2839" s="145"/>
      <c r="F2839" s="145"/>
      <c r="G2839" s="145"/>
      <c r="H2839" s="299"/>
    </row>
    <row r="2840" spans="2:8" x14ac:dyDescent="0.25">
      <c r="B2840" s="145"/>
      <c r="C2840" s="145"/>
      <c r="D2840" s="145"/>
      <c r="E2840" s="145"/>
      <c r="F2840" s="145"/>
      <c r="G2840" s="145"/>
      <c r="H2840" s="299"/>
    </row>
    <row r="2841" spans="2:8" x14ac:dyDescent="0.25">
      <c r="B2841" s="145"/>
      <c r="C2841" s="145"/>
      <c r="D2841" s="145"/>
      <c r="E2841" s="145"/>
      <c r="F2841" s="145"/>
      <c r="G2841" s="145"/>
      <c r="H2841" s="299"/>
    </row>
    <row r="2842" spans="2:8" x14ac:dyDescent="0.25">
      <c r="B2842" s="145"/>
      <c r="C2842" s="145"/>
      <c r="D2842" s="145"/>
      <c r="E2842" s="145"/>
      <c r="F2842" s="145"/>
      <c r="G2842" s="145"/>
      <c r="H2842" s="299"/>
    </row>
    <row r="2843" spans="2:8" x14ac:dyDescent="0.25">
      <c r="B2843" s="145"/>
      <c r="C2843" s="145"/>
      <c r="D2843" s="145"/>
      <c r="E2843" s="145"/>
      <c r="F2843" s="145"/>
      <c r="G2843" s="145"/>
      <c r="H2843" s="299"/>
    </row>
    <row r="2844" spans="2:8" x14ac:dyDescent="0.25">
      <c r="B2844" s="145"/>
      <c r="C2844" s="145"/>
      <c r="D2844" s="145"/>
      <c r="E2844" s="145"/>
      <c r="F2844" s="145"/>
      <c r="G2844" s="145"/>
      <c r="H2844" s="299"/>
    </row>
    <row r="2845" spans="2:8" x14ac:dyDescent="0.25">
      <c r="B2845" s="145"/>
      <c r="C2845" s="145"/>
      <c r="D2845" s="145"/>
      <c r="E2845" s="145"/>
      <c r="F2845" s="145"/>
      <c r="G2845" s="145"/>
      <c r="H2845" s="299"/>
    </row>
    <row r="2846" spans="2:8" x14ac:dyDescent="0.25">
      <c r="B2846" s="145"/>
      <c r="C2846" s="145"/>
      <c r="D2846" s="145"/>
      <c r="E2846" s="145"/>
      <c r="F2846" s="145"/>
      <c r="G2846" s="145"/>
      <c r="H2846" s="299"/>
    </row>
    <row r="2847" spans="2:8" x14ac:dyDescent="0.25">
      <c r="B2847" s="145"/>
      <c r="C2847" s="145"/>
      <c r="D2847" s="145"/>
      <c r="E2847" s="145"/>
      <c r="F2847" s="145"/>
      <c r="G2847" s="145"/>
      <c r="H2847" s="299"/>
    </row>
    <row r="2848" spans="2:8" x14ac:dyDescent="0.25">
      <c r="B2848" s="145"/>
      <c r="C2848" s="145"/>
      <c r="D2848" s="145"/>
      <c r="E2848" s="145"/>
      <c r="F2848" s="145"/>
      <c r="G2848" s="145"/>
      <c r="H2848" s="299"/>
    </row>
    <row r="2849" spans="2:8" x14ac:dyDescent="0.25">
      <c r="B2849" s="145"/>
      <c r="C2849" s="145"/>
      <c r="D2849" s="145"/>
      <c r="E2849" s="145"/>
      <c r="F2849" s="145"/>
      <c r="G2849" s="145"/>
      <c r="H2849" s="299"/>
    </row>
    <row r="2850" spans="2:8" x14ac:dyDescent="0.25">
      <c r="B2850" s="145"/>
      <c r="C2850" s="145"/>
      <c r="D2850" s="145"/>
      <c r="E2850" s="145"/>
      <c r="F2850" s="145"/>
      <c r="G2850" s="145"/>
      <c r="H2850" s="299"/>
    </row>
    <row r="2851" spans="2:8" x14ac:dyDescent="0.25">
      <c r="B2851" s="145"/>
      <c r="C2851" s="145"/>
      <c r="D2851" s="145"/>
      <c r="E2851" s="145"/>
      <c r="F2851" s="145"/>
      <c r="G2851" s="145"/>
      <c r="H2851" s="299"/>
    </row>
    <row r="2852" spans="2:8" x14ac:dyDescent="0.25">
      <c r="B2852" s="145"/>
      <c r="C2852" s="145"/>
      <c r="D2852" s="145"/>
      <c r="E2852" s="145"/>
      <c r="F2852" s="145"/>
      <c r="G2852" s="145"/>
      <c r="H2852" s="299"/>
    </row>
    <row r="2853" spans="2:8" x14ac:dyDescent="0.25">
      <c r="B2853" s="145"/>
      <c r="C2853" s="145"/>
      <c r="D2853" s="145"/>
      <c r="E2853" s="145"/>
      <c r="F2853" s="145"/>
      <c r="G2853" s="145"/>
      <c r="H2853" s="299"/>
    </row>
    <row r="2854" spans="2:8" x14ac:dyDescent="0.25">
      <c r="B2854" s="145"/>
      <c r="C2854" s="145"/>
      <c r="D2854" s="145"/>
      <c r="E2854" s="145"/>
      <c r="F2854" s="145"/>
      <c r="G2854" s="145"/>
      <c r="H2854" s="299"/>
    </row>
    <row r="2855" spans="2:8" x14ac:dyDescent="0.25">
      <c r="B2855" s="145"/>
      <c r="C2855" s="145"/>
      <c r="D2855" s="145"/>
      <c r="E2855" s="145"/>
      <c r="F2855" s="145"/>
      <c r="G2855" s="145"/>
      <c r="H2855" s="299"/>
    </row>
    <row r="2856" spans="2:8" x14ac:dyDescent="0.25">
      <c r="B2856" s="145"/>
      <c r="C2856" s="145"/>
      <c r="D2856" s="145"/>
      <c r="E2856" s="145"/>
      <c r="F2856" s="145"/>
      <c r="G2856" s="145"/>
      <c r="H2856" s="299"/>
    </row>
    <row r="2857" spans="2:8" x14ac:dyDescent="0.25">
      <c r="B2857" s="145"/>
      <c r="C2857" s="145"/>
      <c r="D2857" s="145"/>
      <c r="E2857" s="145"/>
      <c r="F2857" s="145"/>
      <c r="G2857" s="145"/>
      <c r="H2857" s="299"/>
    </row>
    <row r="2858" spans="2:8" x14ac:dyDescent="0.25">
      <c r="B2858" s="145"/>
      <c r="C2858" s="145"/>
      <c r="D2858" s="145"/>
      <c r="E2858" s="145"/>
      <c r="F2858" s="145"/>
      <c r="G2858" s="145"/>
      <c r="H2858" s="299"/>
    </row>
    <row r="2859" spans="2:8" x14ac:dyDescent="0.25">
      <c r="B2859" s="145"/>
      <c r="C2859" s="145"/>
      <c r="D2859" s="145"/>
      <c r="E2859" s="145"/>
      <c r="F2859" s="145"/>
      <c r="G2859" s="145"/>
      <c r="H2859" s="299"/>
    </row>
    <row r="2860" spans="2:8" x14ac:dyDescent="0.25">
      <c r="B2860" s="145"/>
      <c r="C2860" s="145"/>
      <c r="D2860" s="145"/>
      <c r="E2860" s="145"/>
      <c r="F2860" s="145"/>
      <c r="G2860" s="145"/>
      <c r="H2860" s="299"/>
    </row>
    <row r="4497" spans="1:9" x14ac:dyDescent="0.25">
      <c r="A4497" s="198"/>
    </row>
    <row r="4499" spans="1:9" x14ac:dyDescent="0.25">
      <c r="A4499" s="7"/>
      <c r="B4499" s="190"/>
      <c r="C4499" s="190"/>
      <c r="D4499" s="166"/>
    </row>
    <row r="4500" spans="1:9" x14ac:dyDescent="0.25">
      <c r="A4500" s="7"/>
      <c r="D4500" s="166"/>
      <c r="I4500"/>
    </row>
    <row r="4501" spans="1:9" x14ac:dyDescent="0.25">
      <c r="A4501" s="7"/>
      <c r="D4501" s="166"/>
    </row>
    <row r="4502" spans="1:9" x14ac:dyDescent="0.25">
      <c r="A4502" s="7"/>
      <c r="D4502" s="166"/>
    </row>
    <row r="4503" spans="1:9" x14ac:dyDescent="0.25">
      <c r="A4503" s="7"/>
      <c r="D4503" s="166"/>
    </row>
    <row r="4504" spans="1:9" x14ac:dyDescent="0.25">
      <c r="A4504" s="7"/>
      <c r="D4504" s="166"/>
    </row>
    <row r="4505" spans="1:9" x14ac:dyDescent="0.25">
      <c r="A4505" s="7"/>
      <c r="D4505" s="166"/>
    </row>
    <row r="4506" spans="1:9" x14ac:dyDescent="0.25">
      <c r="A4506" s="7"/>
      <c r="B4506" s="190"/>
      <c r="C4506" s="190"/>
      <c r="D4506" s="166"/>
    </row>
    <row r="4507" spans="1:9" x14ac:dyDescent="0.25">
      <c r="A4507" s="7"/>
      <c r="B4507" s="190"/>
      <c r="D4507" s="166"/>
    </row>
    <row r="4508" spans="1:9" x14ac:dyDescent="0.25">
      <c r="A4508" s="7"/>
      <c r="B4508" s="190"/>
      <c r="D4508" s="166"/>
    </row>
    <row r="4509" spans="1:9" x14ac:dyDescent="0.25">
      <c r="A4509" s="7"/>
      <c r="B4509" s="190"/>
      <c r="D4509" s="166"/>
    </row>
    <row r="4510" spans="1:9" x14ac:dyDescent="0.25">
      <c r="A4510" s="7"/>
      <c r="B4510" s="190"/>
      <c r="D4510" s="166"/>
    </row>
    <row r="4511" spans="1:9" x14ac:dyDescent="0.25">
      <c r="A4511" s="7"/>
      <c r="B4511" s="190"/>
      <c r="D4511" s="166"/>
    </row>
    <row r="4512" spans="1:9" x14ac:dyDescent="0.25">
      <c r="A4512" s="7"/>
      <c r="B4512" s="190"/>
      <c r="D4512" s="166"/>
    </row>
    <row r="4514" spans="1:8" x14ac:dyDescent="0.25">
      <c r="C4514" s="28"/>
      <c r="D4514" s="159"/>
    </row>
    <row r="4515" spans="1:8" x14ac:dyDescent="0.25">
      <c r="C4515" s="28"/>
      <c r="D4515" s="197"/>
    </row>
    <row r="4516" spans="1:8" x14ac:dyDescent="0.25">
      <c r="A4516" s="36"/>
      <c r="B4516" s="20"/>
      <c r="C4516" s="20"/>
      <c r="D4516" s="20"/>
      <c r="E4516" s="20"/>
      <c r="F4516" s="20"/>
      <c r="G4516" s="20"/>
      <c r="H4516" s="20"/>
    </row>
    <row r="4517" spans="1:8" x14ac:dyDescent="0.25">
      <c r="A4517" s="36"/>
      <c r="B4517" s="20"/>
      <c r="C4517" s="20"/>
      <c r="D4517" s="20"/>
      <c r="E4517" s="20"/>
      <c r="F4517" s="20"/>
      <c r="G4517" s="20"/>
      <c r="H4517" s="20"/>
    </row>
    <row r="4518" spans="1:8" x14ac:dyDescent="0.25">
      <c r="A4518" s="36"/>
      <c r="B4518" s="20"/>
      <c r="C4518" s="20"/>
      <c r="D4518" s="20"/>
      <c r="E4518" s="20"/>
      <c r="F4518" s="20"/>
      <c r="G4518" s="20"/>
      <c r="H4518" s="20"/>
    </row>
    <row r="4519" spans="1:8" x14ac:dyDescent="0.25">
      <c r="A4519" s="36"/>
      <c r="B4519" s="20"/>
      <c r="C4519" s="20"/>
      <c r="D4519" s="20"/>
      <c r="E4519" s="20"/>
      <c r="F4519" s="20"/>
      <c r="G4519" s="20"/>
      <c r="H4519" s="20"/>
    </row>
    <row r="4520" spans="1:8" x14ac:dyDescent="0.25">
      <c r="A4520" s="36"/>
      <c r="B4520" s="20"/>
      <c r="C4520" s="20"/>
      <c r="D4520" s="20"/>
      <c r="E4520" s="20"/>
      <c r="F4520" s="20"/>
      <c r="G4520" s="20"/>
      <c r="H4520" s="20"/>
    </row>
    <row r="4521" spans="1:8" x14ac:dyDescent="0.25">
      <c r="A4521" s="36"/>
      <c r="B4521" s="20"/>
      <c r="C4521" s="20"/>
      <c r="D4521" s="20"/>
      <c r="E4521" s="20"/>
      <c r="F4521" s="20"/>
      <c r="G4521" s="20"/>
      <c r="H4521" s="20"/>
    </row>
    <row r="4522" spans="1:8" x14ac:dyDescent="0.25">
      <c r="A4522" s="36"/>
      <c r="B4522" s="20"/>
      <c r="C4522" s="20"/>
      <c r="D4522" s="20"/>
      <c r="E4522" s="20"/>
      <c r="F4522" s="20"/>
      <c r="G4522" s="20"/>
      <c r="H4522" s="20"/>
    </row>
    <row r="4523" spans="1:8" x14ac:dyDescent="0.25">
      <c r="A4523" s="36"/>
      <c r="B4523" s="20"/>
      <c r="C4523" s="20"/>
      <c r="D4523" s="20"/>
      <c r="E4523" s="20"/>
      <c r="F4523" s="20"/>
      <c r="G4523" s="20"/>
      <c r="H4523" s="20"/>
    </row>
    <row r="4524" spans="1:8" x14ac:dyDescent="0.25">
      <c r="A4524" s="36"/>
      <c r="B4524" s="20"/>
      <c r="C4524" s="20"/>
      <c r="D4524" s="20"/>
      <c r="E4524" s="20"/>
      <c r="F4524" s="20"/>
      <c r="G4524" s="20"/>
      <c r="H4524" s="20"/>
    </row>
    <row r="4525" spans="1:8" x14ac:dyDescent="0.25">
      <c r="A4525" s="36"/>
      <c r="B4525" s="20"/>
      <c r="C4525" s="20"/>
      <c r="D4525" s="20"/>
      <c r="E4525" s="20"/>
      <c r="F4525" s="20"/>
      <c r="G4525" s="20"/>
      <c r="H4525" s="20"/>
    </row>
    <row r="4526" spans="1:8" x14ac:dyDescent="0.25">
      <c r="A4526" s="36"/>
      <c r="B4526" s="20"/>
      <c r="C4526" s="20"/>
      <c r="D4526" s="20"/>
      <c r="E4526" s="20"/>
      <c r="F4526" s="20"/>
      <c r="G4526" s="20"/>
      <c r="H4526" s="20"/>
    </row>
  </sheetData>
  <sortState ref="B6:G1988">
    <sortCondition ref="E6:E1995"/>
  </sortState>
  <mergeCells count="6">
    <mergeCell ref="BD25:BH25"/>
    <mergeCell ref="BI3:BJ3"/>
    <mergeCell ref="BK3:BM3"/>
    <mergeCell ref="BG3:BG4"/>
    <mergeCell ref="BH3:BH4"/>
    <mergeCell ref="BK24:BL24"/>
  </mergeCell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topLeftCell="M1" zoomScale="70" zoomScaleNormal="70" workbookViewId="0">
      <selection activeCell="AF5" sqref="AF5"/>
    </sheetView>
  </sheetViews>
  <sheetFormatPr defaultRowHeight="15" x14ac:dyDescent="0.25"/>
  <cols>
    <col min="1" max="1" width="10" customWidth="1"/>
    <col min="2" max="2" width="22" bestFit="1" customWidth="1"/>
    <col min="3" max="3" width="9.140625" style="7"/>
    <col min="4" max="4" width="13.7109375" customWidth="1"/>
    <col min="5" max="5" width="15.5703125" bestFit="1" customWidth="1"/>
    <col min="6" max="6" width="14.28515625" style="190" bestFit="1" customWidth="1"/>
    <col min="7" max="8" width="15.28515625" bestFit="1" customWidth="1"/>
    <col min="9" max="10" width="13.28515625" bestFit="1" customWidth="1"/>
    <col min="11" max="11" width="14.28515625" bestFit="1" customWidth="1"/>
    <col min="12" max="15" width="14.28515625" style="190" customWidth="1"/>
  </cols>
  <sheetData>
    <row r="1" spans="1:15" x14ac:dyDescent="0.25">
      <c r="E1" s="130"/>
      <c r="F1" s="130"/>
      <c r="G1" s="130"/>
      <c r="H1" s="130"/>
      <c r="I1" s="130"/>
      <c r="J1" s="130"/>
      <c r="K1" s="130"/>
    </row>
    <row r="2" spans="1:15" x14ac:dyDescent="0.25">
      <c r="E2" s="196">
        <f t="shared" ref="E2:K2" si="0">SUM(E5:E58)</f>
        <v>335.32014964989054</v>
      </c>
      <c r="F2" s="196">
        <f t="shared" si="0"/>
        <v>143.50446471371879</v>
      </c>
      <c r="G2" s="196">
        <f t="shared" si="0"/>
        <v>581.18799637047141</v>
      </c>
      <c r="H2" s="196">
        <f t="shared" si="0"/>
        <v>1325.1932849936056</v>
      </c>
      <c r="I2" s="196">
        <f t="shared" si="0"/>
        <v>20.285001651222942</v>
      </c>
      <c r="J2" s="196">
        <f t="shared" si="0"/>
        <v>4.023443908914067</v>
      </c>
      <c r="K2" s="196">
        <f t="shared" si="0"/>
        <v>49.383102220696117</v>
      </c>
      <c r="L2" s="196"/>
      <c r="M2" s="196"/>
      <c r="N2" s="196"/>
      <c r="O2" s="196"/>
    </row>
    <row r="3" spans="1:15" x14ac:dyDescent="0.25">
      <c r="M3" s="534" t="s">
        <v>912</v>
      </c>
      <c r="N3" s="534"/>
    </row>
    <row r="4" spans="1:15" ht="30" x14ac:dyDescent="0.25">
      <c r="A4" s="110"/>
      <c r="B4" s="110" t="s">
        <v>1667</v>
      </c>
      <c r="E4" s="110" t="s">
        <v>554</v>
      </c>
      <c r="F4" s="110" t="s">
        <v>563</v>
      </c>
      <c r="G4" s="110" t="s">
        <v>111</v>
      </c>
      <c r="H4" s="110" t="s">
        <v>112</v>
      </c>
      <c r="I4" s="110" t="s">
        <v>553</v>
      </c>
      <c r="J4" s="110" t="s">
        <v>552</v>
      </c>
      <c r="K4" s="110" t="s">
        <v>555</v>
      </c>
      <c r="L4" s="110"/>
      <c r="M4" s="110" t="s">
        <v>913</v>
      </c>
      <c r="N4" s="110" t="s">
        <v>914</v>
      </c>
      <c r="O4" s="255"/>
    </row>
    <row r="5" spans="1:15" x14ac:dyDescent="0.25">
      <c r="A5" s="50"/>
      <c r="B5" s="50" t="str">
        <f>VLOOKUP(C5,'Mapping B'!$I$2:$J$56,2,0)</f>
        <v>Alpine Energy</v>
      </c>
      <c r="C5" s="7" t="s">
        <v>0</v>
      </c>
      <c r="E5" s="199">
        <f>SUMIFS('Rev Adequacy'!$G$6:$G$3000,'Rev Adequacy'!$B$6:$B$3000,'Beneficiary graphs'!E$4,'Rev Adequacy'!$E$6:$E$3000,'Beneficiary graphs'!$C5)/1000000</f>
        <v>0.49142554484129575</v>
      </c>
      <c r="F5" s="199">
        <f>SUMIFS('Rev Adequacy'!$G$6:$G$3000,'Rev Adequacy'!$B$6:$B$3000,'Beneficiary graphs'!F$4,'Rev Adequacy'!$E$6:$E$3000,'Beneficiary graphs'!$C5)/1000000</f>
        <v>1.4376900028132344</v>
      </c>
      <c r="G5" s="199">
        <f>SUMIFS('Rev Adequacy'!$G$6:$G$3000,'Rev Adequacy'!$B$6:$B$3000,'Beneficiary graphs'!G$4,'Rev Adequacy'!$E$6:$E$3000,'Beneficiary graphs'!$C5)/1000000</f>
        <v>0</v>
      </c>
      <c r="H5" s="199">
        <f>SUMIFS('Rev Adequacy'!$G$6:$G$3000,'Rev Adequacy'!$B$6:$B$3000,'Beneficiary graphs'!H$4,'Rev Adequacy'!$E$6:$E$3000,'Beneficiary graphs'!$C5)/1000000</f>
        <v>0</v>
      </c>
      <c r="I5" s="199">
        <f>SUMIFS('Rev Adequacy'!$G$6:$G$3000,'Rev Adequacy'!$B$6:$B$3000,'Beneficiary graphs'!I$4,'Rev Adequacy'!$E$6:$E$3000,'Beneficiary graphs'!$C5)/1000000</f>
        <v>0.22958876855588922</v>
      </c>
      <c r="J5" s="199">
        <f>SUMIFS('Rev Adequacy'!$G$6:$G$3000,'Rev Adequacy'!$B$6:$B$3000,'Beneficiary graphs'!J$4,'Rev Adequacy'!$E$6:$E$3000,'Beneficiary graphs'!$C5)/1000000</f>
        <v>6.681711450000119E-2</v>
      </c>
      <c r="K5" s="199">
        <f>SUMIFS('Rev Adequacy'!$G$6:$G$3000,'Rev Adequacy'!$B$6:$B$3000,'Beneficiary graphs'!K$4,'Rev Adequacy'!$E$6:$E$3000,'Beneficiary graphs'!$C5)/1000000</f>
        <v>0.67167007511924581</v>
      </c>
      <c r="L5" s="199"/>
      <c r="M5" s="51">
        <f t="shared" ref="M5:M36" si="1">E5/SUM($E$5:$E$58)</f>
        <v>1.4655413501228473E-3</v>
      </c>
      <c r="N5" s="51">
        <f t="shared" ref="N5:N36" si="2">F5/SUM($F$5:$F$58)</f>
        <v>1.0018433960792257E-2</v>
      </c>
      <c r="O5" s="199"/>
    </row>
    <row r="6" spans="1:15" x14ac:dyDescent="0.25">
      <c r="A6" s="50"/>
      <c r="B6" s="50" t="str">
        <f>VLOOKUP(C6,'Mapping B'!$I$2:$J$56,2,0)</f>
        <v>Aurora Energy</v>
      </c>
      <c r="C6" s="7" t="s">
        <v>1</v>
      </c>
      <c r="E6" s="199">
        <f>SUMIFS('Rev Adequacy'!$G$6:$G$3000,'Rev Adequacy'!$B$6:$B$3000,'Beneficiary graphs'!E$4,'Rev Adequacy'!$E$6:$E$3000,'Beneficiary graphs'!$C6)/1000000</f>
        <v>2.1924765900572053E-2</v>
      </c>
      <c r="F6" s="199">
        <f>SUMIFS('Rev Adequacy'!$G$6:$G$3000,'Rev Adequacy'!$B$6:$B$3000,'Beneficiary graphs'!F$4,'Rev Adequacy'!$E$6:$E$3000,'Beneficiary graphs'!$C6)/1000000</f>
        <v>2.1001643870075331</v>
      </c>
      <c r="G6" s="199">
        <f>SUMIFS('Rev Adequacy'!$G$6:$G$3000,'Rev Adequacy'!$B$6:$B$3000,'Beneficiary graphs'!G$4,'Rev Adequacy'!$E$6:$E$3000,'Beneficiary graphs'!$C6)/1000000</f>
        <v>0</v>
      </c>
      <c r="H6" s="199">
        <f>SUMIFS('Rev Adequacy'!$G$6:$G$3000,'Rev Adequacy'!$B$6:$B$3000,'Beneficiary graphs'!H$4,'Rev Adequacy'!$E$6:$E$3000,'Beneficiary graphs'!$C6)/1000000</f>
        <v>0</v>
      </c>
      <c r="I6" s="199">
        <f>SUMIFS('Rev Adequacy'!$G$6:$G$3000,'Rev Adequacy'!$B$6:$B$3000,'Beneficiary graphs'!I$4,'Rev Adequacy'!$E$6:$E$3000,'Beneficiary graphs'!$C6)/1000000</f>
        <v>0.41209311046611125</v>
      </c>
      <c r="J6" s="199">
        <f>SUMIFS('Rev Adequacy'!$G$6:$G$3000,'Rev Adequacy'!$B$6:$B$3000,'Beneficiary graphs'!J$4,'Rev Adequacy'!$E$6:$E$3000,'Beneficiary graphs'!$C6)/1000000</f>
        <v>0.35519237607665777</v>
      </c>
      <c r="K6" s="199">
        <f>SUMIFS('Rev Adequacy'!$G$6:$G$3000,'Rev Adequacy'!$B$6:$B$3000,'Beneficiary graphs'!K$4,'Rev Adequacy'!$E$6:$E$3000,'Beneficiary graphs'!$C6)/1000000</f>
        <v>0.91536661717810897</v>
      </c>
      <c r="L6" s="199"/>
      <c r="M6" s="51">
        <f t="shared" si="1"/>
        <v>6.5384576272746545E-5</v>
      </c>
      <c r="N6" s="51">
        <f t="shared" si="2"/>
        <v>1.463483656203458E-2</v>
      </c>
      <c r="O6" s="199"/>
    </row>
    <row r="7" spans="1:15" x14ac:dyDescent="0.25">
      <c r="A7" s="50"/>
      <c r="B7" s="50" t="str">
        <f>VLOOKUP(C7,'Mapping B'!$I$2:$J$56,2,0)</f>
        <v>Buller Electricity</v>
      </c>
      <c r="C7" s="7" t="s">
        <v>2</v>
      </c>
      <c r="E7" s="199">
        <f>SUMIFS('Rev Adequacy'!$G$6:$G$3000,'Rev Adequacy'!$B$6:$B$3000,'Beneficiary graphs'!E$4,'Rev Adequacy'!$E$6:$E$3000,'Beneficiary graphs'!$C7)/1000000</f>
        <v>4.6979894999999605E-2</v>
      </c>
      <c r="F7" s="199">
        <f>SUMIFS('Rev Adequacy'!$G$6:$G$3000,'Rev Adequacy'!$B$6:$B$3000,'Beneficiary graphs'!F$4,'Rev Adequacy'!$E$6:$E$3000,'Beneficiary graphs'!$C7)/1000000</f>
        <v>0.1903966290000004</v>
      </c>
      <c r="G7" s="199">
        <f>SUMIFS('Rev Adequacy'!$G$6:$G$3000,'Rev Adequacy'!$B$6:$B$3000,'Beneficiary graphs'!G$4,'Rev Adequacy'!$E$6:$E$3000,'Beneficiary graphs'!$C7)/1000000</f>
        <v>0</v>
      </c>
      <c r="H7" s="199">
        <f>SUMIFS('Rev Adequacy'!$G$6:$G$3000,'Rev Adequacy'!$B$6:$B$3000,'Beneficiary graphs'!H$4,'Rev Adequacy'!$E$6:$E$3000,'Beneficiary graphs'!$C7)/1000000</f>
        <v>0</v>
      </c>
      <c r="I7" s="199">
        <f>SUMIFS('Rev Adequacy'!$G$6:$G$3000,'Rev Adequacy'!$B$6:$B$3000,'Beneficiary graphs'!I$4,'Rev Adequacy'!$E$6:$E$3000,'Beneficiary graphs'!$C7)/1000000</f>
        <v>3.2711598999999328E-2</v>
      </c>
      <c r="J7" s="199">
        <f>SUMIFS('Rev Adequacy'!$G$6:$G$3000,'Rev Adequacy'!$B$6:$B$3000,'Beneficiary graphs'!J$4,'Rev Adequacy'!$E$6:$E$3000,'Beneficiary graphs'!$C7)/1000000</f>
        <v>1.0601284000000141E-2</v>
      </c>
      <c r="K7" s="199">
        <f>SUMIFS('Rev Adequacy'!$G$6:$G$3000,'Rev Adequacy'!$B$6:$B$3000,'Beneficiary graphs'!K$4,'Rev Adequacy'!$E$6:$E$3000,'Beneficiary graphs'!$C7)/1000000</f>
        <v>8.0827183999999885E-2</v>
      </c>
      <c r="L7" s="199"/>
      <c r="M7" s="51">
        <f t="shared" si="1"/>
        <v>1.4010459869188163E-4</v>
      </c>
      <c r="N7" s="51">
        <f t="shared" si="2"/>
        <v>1.3267644973961482E-3</v>
      </c>
      <c r="O7" s="199"/>
    </row>
    <row r="8" spans="1:15" x14ac:dyDescent="0.25">
      <c r="A8" s="50"/>
      <c r="B8" s="50" t="str">
        <f>VLOOKUP(C8,'Mapping B'!$I$2:$J$56,2,0)</f>
        <v>Centralines</v>
      </c>
      <c r="C8" s="7" t="s">
        <v>100</v>
      </c>
      <c r="E8" s="199">
        <f>SUMIFS('Rev Adequacy'!$G$6:$G$3000,'Rev Adequacy'!$B$6:$B$3000,'Beneficiary graphs'!E$4,'Rev Adequacy'!$E$6:$E$3000,'Beneficiary graphs'!$C8)/1000000</f>
        <v>3.40265750000001E-2</v>
      </c>
      <c r="F8" s="199">
        <f>SUMIFS('Rev Adequacy'!$G$6:$G$3000,'Rev Adequacy'!$B$6:$B$3000,'Beneficiary graphs'!F$4,'Rev Adequacy'!$E$6:$E$3000,'Beneficiary graphs'!$C8)/1000000</f>
        <v>0.23049540199999999</v>
      </c>
      <c r="G8" s="199">
        <f>SUMIFS('Rev Adequacy'!$G$6:$G$3000,'Rev Adequacy'!$B$6:$B$3000,'Beneficiary graphs'!G$4,'Rev Adequacy'!$E$6:$E$3000,'Beneficiary graphs'!$C8)/1000000</f>
        <v>1.18416662999999</v>
      </c>
      <c r="H8" s="199">
        <f>SUMIFS('Rev Adequacy'!$G$6:$G$3000,'Rev Adequacy'!$B$6:$B$3000,'Beneficiary graphs'!H$4,'Rev Adequacy'!$E$6:$E$3000,'Beneficiary graphs'!$C8)/1000000</f>
        <v>4.9729217650000095</v>
      </c>
      <c r="I8" s="199">
        <f>SUMIFS('Rev Adequacy'!$G$6:$G$3000,'Rev Adequacy'!$B$6:$B$3000,'Beneficiary graphs'!I$4,'Rev Adequacy'!$E$6:$E$3000,'Beneficiary graphs'!$C8)/1000000</f>
        <v>4.0635350999999903E-2</v>
      </c>
      <c r="J8" s="199">
        <f>SUMIFS('Rev Adequacy'!$G$6:$G$3000,'Rev Adequacy'!$B$6:$B$3000,'Beneficiary graphs'!J$4,'Rev Adequacy'!$E$6:$E$3000,'Beneficiary graphs'!$C8)/1000000</f>
        <v>5.3508800000000799E-4</v>
      </c>
      <c r="K8" s="199">
        <f>SUMIFS('Rev Adequacy'!$G$6:$G$3000,'Rev Adequacy'!$B$6:$B$3000,'Beneficiary graphs'!K$4,'Rev Adequacy'!$E$6:$E$3000,'Beneficiary graphs'!$C8)/1000000</f>
        <v>0.107910125999999</v>
      </c>
      <c r="L8" s="199"/>
      <c r="M8" s="51">
        <f t="shared" si="1"/>
        <v>1.0147488910382337E-4</v>
      </c>
      <c r="N8" s="51">
        <f t="shared" si="2"/>
        <v>1.6061897618295147E-3</v>
      </c>
      <c r="O8" s="199"/>
    </row>
    <row r="9" spans="1:15" x14ac:dyDescent="0.25">
      <c r="A9" s="50"/>
      <c r="B9" s="50" t="str">
        <f>VLOOKUP(C9,'Mapping B'!$I$2:$J$56,2,0)</f>
        <v>Counties Power</v>
      </c>
      <c r="C9" s="7" t="s">
        <v>5</v>
      </c>
      <c r="E9" s="199">
        <f>SUMIFS('Rev Adequacy'!$G$6:$G$3000,'Rev Adequacy'!$B$6:$B$3000,'Beneficiary graphs'!E$4,'Rev Adequacy'!$E$6:$E$3000,'Beneficiary graphs'!$C9)/1000000</f>
        <v>11.305138140000009</v>
      </c>
      <c r="F9" s="199">
        <f>SUMIFS('Rev Adequacy'!$G$6:$G$3000,'Rev Adequacy'!$B$6:$B$3000,'Beneficiary graphs'!F$4,'Rev Adequacy'!$E$6:$E$3000,'Beneficiary graphs'!$C9)/1000000</f>
        <v>3.0132452779999972</v>
      </c>
      <c r="G9" s="199">
        <f>SUMIFS('Rev Adequacy'!$G$6:$G$3000,'Rev Adequacy'!$B$6:$B$3000,'Beneficiary graphs'!G$4,'Rev Adequacy'!$E$6:$E$3000,'Beneficiary graphs'!$C9)/1000000</f>
        <v>3.7770176400000097</v>
      </c>
      <c r="H9" s="199">
        <f>SUMIFS('Rev Adequacy'!$G$6:$G$3000,'Rev Adequacy'!$B$6:$B$3000,'Beneficiary graphs'!H$4,'Rev Adequacy'!$E$6:$E$3000,'Beneficiary graphs'!$C9)/1000000</f>
        <v>15.985985137999911</v>
      </c>
      <c r="I9" s="199">
        <f>SUMIFS('Rev Adequacy'!$G$6:$G$3000,'Rev Adequacy'!$B$6:$B$3000,'Beneficiary graphs'!I$4,'Rev Adequacy'!$E$6:$E$3000,'Beneficiary graphs'!$C9)/1000000</f>
        <v>0.16063522800000091</v>
      </c>
      <c r="J9" s="199">
        <f>SUMIFS('Rev Adequacy'!$G$6:$G$3000,'Rev Adequacy'!$B$6:$B$3000,'Beneficiary graphs'!J$4,'Rev Adequacy'!$E$6:$E$3000,'Beneficiary graphs'!$C9)/1000000</f>
        <v>8.3274099999998809E-4</v>
      </c>
      <c r="K9" s="199">
        <f>SUMIFS('Rev Adequacy'!$G$6:$G$3000,'Rev Adequacy'!$B$6:$B$3000,'Beneficiary graphs'!K$4,'Rev Adequacy'!$E$6:$E$3000,'Beneficiary graphs'!$C9)/1000000</f>
        <v>0.66609586399999798</v>
      </c>
      <c r="L9" s="199"/>
      <c r="M9" s="51">
        <f t="shared" si="1"/>
        <v>3.3714461095772981E-2</v>
      </c>
      <c r="N9" s="51">
        <f t="shared" si="2"/>
        <v>2.0997571636612193E-2</v>
      </c>
      <c r="O9" s="199"/>
    </row>
    <row r="10" spans="1:15" x14ac:dyDescent="0.25">
      <c r="A10" s="50"/>
      <c r="B10" s="50" t="str">
        <f>VLOOKUP(C10,'Mapping B'!$I$2:$J$56,2,0)</f>
        <v>Eastland Network</v>
      </c>
      <c r="C10" s="7" t="s">
        <v>7</v>
      </c>
      <c r="E10" s="199">
        <f>SUMIFS('Rev Adequacy'!$G$6:$G$3000,'Rev Adequacy'!$B$6:$B$3000,'Beneficiary graphs'!E$4,'Rev Adequacy'!$E$6:$E$3000,'Beneficiary graphs'!$C10)/1000000</f>
        <v>0</v>
      </c>
      <c r="F10" s="199">
        <f>SUMIFS('Rev Adequacy'!$G$6:$G$3000,'Rev Adequacy'!$B$6:$B$3000,'Beneficiary graphs'!F$4,'Rev Adequacy'!$E$6:$E$3000,'Beneficiary graphs'!$C10)/1000000</f>
        <v>0.37095763199999704</v>
      </c>
      <c r="G10" s="199">
        <f>SUMIFS('Rev Adequacy'!$G$6:$G$3000,'Rev Adequacy'!$B$6:$B$3000,'Beneficiary graphs'!G$4,'Rev Adequacy'!$E$6:$E$3000,'Beneficiary graphs'!$C10)/1000000</f>
        <v>2.7979592439999901</v>
      </c>
      <c r="H10" s="199">
        <f>SUMIFS('Rev Adequacy'!$G$6:$G$3000,'Rev Adequacy'!$B$6:$B$3000,'Beneficiary graphs'!H$4,'Rev Adequacy'!$E$6:$E$3000,'Beneficiary graphs'!$C10)/1000000</f>
        <v>10.4739932049999</v>
      </c>
      <c r="I10" s="199">
        <f>SUMIFS('Rev Adequacy'!$G$6:$G$3000,'Rev Adequacy'!$B$6:$B$3000,'Beneficiary graphs'!I$4,'Rev Adequacy'!$E$6:$E$3000,'Beneficiary graphs'!$C10)/1000000</f>
        <v>0.10519606099999701</v>
      </c>
      <c r="J10" s="199">
        <f>SUMIFS('Rev Adequacy'!$G$6:$G$3000,'Rev Adequacy'!$B$6:$B$3000,'Beneficiary graphs'!J$4,'Rev Adequacy'!$E$6:$E$3000,'Beneficiary graphs'!$C10)/1000000</f>
        <v>1.0498119999999501E-3</v>
      </c>
      <c r="K10" s="199">
        <f>SUMIFS('Rev Adequacy'!$G$6:$G$3000,'Rev Adequacy'!$B$6:$B$3000,'Beneficiary graphs'!K$4,'Rev Adequacy'!$E$6:$E$3000,'Beneficiary graphs'!$C10)/1000000</f>
        <v>0</v>
      </c>
      <c r="L10" s="199"/>
      <c r="M10" s="51">
        <f t="shared" si="1"/>
        <v>0</v>
      </c>
      <c r="N10" s="51">
        <f t="shared" si="2"/>
        <v>2.584990179504388E-3</v>
      </c>
      <c r="O10" s="199"/>
    </row>
    <row r="11" spans="1:15" x14ac:dyDescent="0.25">
      <c r="A11" s="50"/>
      <c r="B11" s="50" t="str">
        <f>VLOOKUP(C11,'Mapping B'!$I$2:$J$56,2,0)</f>
        <v>Electra</v>
      </c>
      <c r="C11" s="7" t="s">
        <v>8</v>
      </c>
      <c r="E11" s="199">
        <f>SUMIFS('Rev Adequacy'!$G$6:$G$3000,'Rev Adequacy'!$B$6:$B$3000,'Beneficiary graphs'!E$4,'Rev Adequacy'!$E$6:$E$3000,'Beneficiary graphs'!$C11)/1000000</f>
        <v>2.1971503000000298E-2</v>
      </c>
      <c r="F11" s="199">
        <f>SUMIFS('Rev Adequacy'!$G$6:$G$3000,'Rev Adequacy'!$B$6:$B$3000,'Beneficiary graphs'!F$4,'Rev Adequacy'!$E$6:$E$3000,'Beneficiary graphs'!$C11)/1000000</f>
        <v>0.86152644600000106</v>
      </c>
      <c r="G11" s="199">
        <f>SUMIFS('Rev Adequacy'!$G$6:$G$3000,'Rev Adequacy'!$B$6:$B$3000,'Beneficiary graphs'!G$4,'Rev Adequacy'!$E$6:$E$3000,'Beneficiary graphs'!$C11)/1000000</f>
        <v>1.880270455</v>
      </c>
      <c r="H11" s="199">
        <f>SUMIFS('Rev Adequacy'!$G$6:$G$3000,'Rev Adequacy'!$B$6:$B$3000,'Beneficiary graphs'!H$4,'Rev Adequacy'!$E$6:$E$3000,'Beneficiary graphs'!$C11)/1000000</f>
        <v>35.000821119999941</v>
      </c>
      <c r="I11" s="199">
        <f>SUMIFS('Rev Adequacy'!$G$6:$G$3000,'Rev Adequacy'!$B$6:$B$3000,'Beneficiary graphs'!I$4,'Rev Adequacy'!$E$6:$E$3000,'Beneficiary graphs'!$C11)/1000000</f>
        <v>0.1632088930000001</v>
      </c>
      <c r="J11" s="199">
        <f>SUMIFS('Rev Adequacy'!$G$6:$G$3000,'Rev Adequacy'!$B$6:$B$3000,'Beneficiary graphs'!J$4,'Rev Adequacy'!$E$6:$E$3000,'Beneficiary graphs'!$C11)/1000000</f>
        <v>0</v>
      </c>
      <c r="K11" s="199">
        <f>SUMIFS('Rev Adequacy'!$G$6:$G$3000,'Rev Adequacy'!$B$6:$B$3000,'Beneficiary graphs'!K$4,'Rev Adequacy'!$E$6:$E$3000,'Beneficiary graphs'!$C11)/1000000</f>
        <v>0.39968856199999997</v>
      </c>
      <c r="L11" s="199"/>
      <c r="M11" s="51">
        <f t="shared" si="1"/>
        <v>6.5523956800510961E-5</v>
      </c>
      <c r="N11" s="51">
        <f t="shared" si="2"/>
        <v>6.0034818269848614E-3</v>
      </c>
      <c r="O11" s="199"/>
    </row>
    <row r="12" spans="1:15" x14ac:dyDescent="0.25">
      <c r="A12" s="50"/>
      <c r="B12" s="50" t="str">
        <f>VLOOKUP(C12,'Mapping B'!$I$2:$J$56,2,0)</f>
        <v>Electricity Ashburton</v>
      </c>
      <c r="C12" s="7" t="s">
        <v>9</v>
      </c>
      <c r="E12" s="199">
        <f>SUMIFS('Rev Adequacy'!$G$6:$G$3000,'Rev Adequacy'!$B$6:$B$3000,'Beneficiary graphs'!E$4,'Rev Adequacy'!$E$6:$E$3000,'Beneficiary graphs'!$C12)/1000000</f>
        <v>0.4842130669999975</v>
      </c>
      <c r="F12" s="199">
        <f>SUMIFS('Rev Adequacy'!$G$6:$G$3000,'Rev Adequacy'!$B$6:$B$3000,'Beneficiary graphs'!F$4,'Rev Adequacy'!$E$6:$E$3000,'Beneficiary graphs'!$C12)/1000000</f>
        <v>1.0657195169999991</v>
      </c>
      <c r="G12" s="199">
        <f>SUMIFS('Rev Adequacy'!$G$6:$G$3000,'Rev Adequacy'!$B$6:$B$3000,'Beneficiary graphs'!G$4,'Rev Adequacy'!$E$6:$E$3000,'Beneficiary graphs'!$C12)/1000000</f>
        <v>0</v>
      </c>
      <c r="H12" s="199">
        <f>SUMIFS('Rev Adequacy'!$G$6:$G$3000,'Rev Adequacy'!$B$6:$B$3000,'Beneficiary graphs'!H$4,'Rev Adequacy'!$E$6:$E$3000,'Beneficiary graphs'!$C12)/1000000</f>
        <v>0</v>
      </c>
      <c r="I12" s="199">
        <f>SUMIFS('Rev Adequacy'!$G$6:$G$3000,'Rev Adequacy'!$B$6:$B$3000,'Beneficiary graphs'!I$4,'Rev Adequacy'!$E$6:$E$3000,'Beneficiary graphs'!$C12)/1000000</f>
        <v>0.15743624999999839</v>
      </c>
      <c r="J12" s="199">
        <f>SUMIFS('Rev Adequacy'!$G$6:$G$3000,'Rev Adequacy'!$B$6:$B$3000,'Beneficiary graphs'!J$4,'Rev Adequacy'!$E$6:$E$3000,'Beneficiary graphs'!$C12)/1000000</f>
        <v>2.9242175000000599E-2</v>
      </c>
      <c r="K12" s="199">
        <f>SUMIFS('Rev Adequacy'!$G$6:$G$3000,'Rev Adequacy'!$B$6:$B$3000,'Beneficiary graphs'!K$4,'Rev Adequacy'!$E$6:$E$3000,'Beneficiary graphs'!$C12)/1000000</f>
        <v>0.52949170800000001</v>
      </c>
      <c r="L12" s="199"/>
      <c r="M12" s="51">
        <f t="shared" si="1"/>
        <v>1.4440321212595389E-3</v>
      </c>
      <c r="N12" s="51">
        <f t="shared" si="2"/>
        <v>7.4263857861567853E-3</v>
      </c>
      <c r="O12" s="199"/>
    </row>
    <row r="13" spans="1:15" x14ac:dyDescent="0.25">
      <c r="A13" s="50"/>
      <c r="B13" s="50" t="str">
        <f>VLOOKUP(C13,'Mapping B'!$I$2:$J$56,2,0)</f>
        <v>Electricity Invercargill</v>
      </c>
      <c r="C13" s="7" t="s">
        <v>101</v>
      </c>
      <c r="E13" s="199">
        <f>SUMIFS('Rev Adequacy'!$G$6:$G$3000,'Rev Adequacy'!$B$6:$B$3000,'Beneficiary graphs'!E$4,'Rev Adequacy'!$E$6:$E$3000,'Beneficiary graphs'!$C13)/1000000</f>
        <v>2.9895879887864203E-2</v>
      </c>
      <c r="F13" s="199">
        <f>SUMIFS('Rev Adequacy'!$G$6:$G$3000,'Rev Adequacy'!$B$6:$B$3000,'Beneficiary graphs'!F$4,'Rev Adequacy'!$E$6:$E$3000,'Beneficiary graphs'!$C13)/1000000</f>
        <v>0.441719088779227</v>
      </c>
      <c r="G13" s="199">
        <f>SUMIFS('Rev Adequacy'!$G$6:$G$3000,'Rev Adequacy'!$B$6:$B$3000,'Beneficiary graphs'!G$4,'Rev Adequacy'!$E$6:$E$3000,'Beneficiary graphs'!$C13)/1000000</f>
        <v>0</v>
      </c>
      <c r="H13" s="199">
        <f>SUMIFS('Rev Adequacy'!$G$6:$G$3000,'Rev Adequacy'!$B$6:$B$3000,'Beneficiary graphs'!H$4,'Rev Adequacy'!$E$6:$E$3000,'Beneficiary graphs'!$C13)/1000000</f>
        <v>0</v>
      </c>
      <c r="I13" s="199">
        <f>SUMIFS('Rev Adequacy'!$G$6:$G$3000,'Rev Adequacy'!$B$6:$B$3000,'Beneficiary graphs'!I$4,'Rev Adequacy'!$E$6:$E$3000,'Beneficiary graphs'!$C13)/1000000</f>
        <v>8.2771778127167295E-2</v>
      </c>
      <c r="J13" s="199">
        <f>SUMIFS('Rev Adequacy'!$G$6:$G$3000,'Rev Adequacy'!$B$6:$B$3000,'Beneficiary graphs'!J$4,'Rev Adequacy'!$E$6:$E$3000,'Beneficiary graphs'!$C13)/1000000</f>
        <v>9.7690835466109599E-2</v>
      </c>
      <c r="K13" s="199">
        <f>SUMIFS('Rev Adequacy'!$G$6:$G$3000,'Rev Adequacy'!$B$6:$B$3000,'Beneficiary graphs'!K$4,'Rev Adequacy'!$E$6:$E$3000,'Beneficiary graphs'!$C13)/1000000</f>
        <v>0.19848801436622401</v>
      </c>
      <c r="L13" s="199"/>
      <c r="M13" s="51">
        <f t="shared" si="1"/>
        <v>8.9156228514983789E-5</v>
      </c>
      <c r="N13" s="51">
        <f t="shared" si="2"/>
        <v>3.0780860348869647E-3</v>
      </c>
      <c r="O13" s="199"/>
    </row>
    <row r="14" spans="1:15" x14ac:dyDescent="0.25">
      <c r="A14" s="50"/>
      <c r="B14" s="50" t="str">
        <f>VLOOKUP(C14,'Mapping B'!$I$2:$J$56,2,0)</f>
        <v>Horizon</v>
      </c>
      <c r="C14" s="7" t="s">
        <v>11</v>
      </c>
      <c r="E14" s="199">
        <f>SUMIFS('Rev Adequacy'!$G$6:$G$3000,'Rev Adequacy'!$B$6:$B$3000,'Beneficiary graphs'!E$4,'Rev Adequacy'!$E$6:$E$3000,'Beneficiary graphs'!$C14)/1000000</f>
        <v>0</v>
      </c>
      <c r="F14" s="199">
        <f>SUMIFS('Rev Adequacy'!$G$6:$G$3000,'Rev Adequacy'!$B$6:$B$3000,'Beneficiary graphs'!F$4,'Rev Adequacy'!$E$6:$E$3000,'Beneficiary graphs'!$C14)/1000000</f>
        <v>0.59336204299999584</v>
      </c>
      <c r="G14" s="199">
        <f>SUMIFS('Rev Adequacy'!$G$6:$G$3000,'Rev Adequacy'!$B$6:$B$3000,'Beneficiary graphs'!G$4,'Rev Adequacy'!$E$6:$E$3000,'Beneficiary graphs'!$C14)/1000000</f>
        <v>4.3346001849999976</v>
      </c>
      <c r="H14" s="199">
        <f>SUMIFS('Rev Adequacy'!$G$6:$G$3000,'Rev Adequacy'!$B$6:$B$3000,'Beneficiary graphs'!H$4,'Rev Adequacy'!$E$6:$E$3000,'Beneficiary graphs'!$C14)/1000000</f>
        <v>16.713319934999983</v>
      </c>
      <c r="I14" s="199">
        <f>SUMIFS('Rev Adequacy'!$G$6:$G$3000,'Rev Adequacy'!$B$6:$B$3000,'Beneficiary graphs'!I$4,'Rev Adequacy'!$E$6:$E$3000,'Beneficiary graphs'!$C14)/1000000</f>
        <v>0.16120163399999748</v>
      </c>
      <c r="J14" s="199">
        <f>SUMIFS('Rev Adequacy'!$G$6:$G$3000,'Rev Adequacy'!$B$6:$B$3000,'Beneficiary graphs'!J$4,'Rev Adequacy'!$E$6:$E$3000,'Beneficiary graphs'!$C14)/1000000</f>
        <v>1.2726760000000259E-3</v>
      </c>
      <c r="K14" s="199">
        <f>SUMIFS('Rev Adequacy'!$G$6:$G$3000,'Rev Adequacy'!$B$6:$B$3000,'Beneficiary graphs'!K$4,'Rev Adequacy'!$E$6:$E$3000,'Beneficiary graphs'!$C14)/1000000</f>
        <v>0.38411762599999993</v>
      </c>
      <c r="L14" s="199"/>
      <c r="M14" s="51">
        <f t="shared" si="1"/>
        <v>0</v>
      </c>
      <c r="N14" s="51">
        <f t="shared" si="2"/>
        <v>4.1347984829859545E-3</v>
      </c>
      <c r="O14" s="199"/>
    </row>
    <row r="15" spans="1:15" x14ac:dyDescent="0.25">
      <c r="A15" s="50"/>
      <c r="B15" s="50" t="str">
        <f>VLOOKUP(C15,'Mapping B'!$I$2:$J$56,2,0)</f>
        <v>Lakeland Network</v>
      </c>
      <c r="C15" s="7" t="s">
        <v>102</v>
      </c>
      <c r="E15" s="199">
        <f>SUMIFS('Rev Adequacy'!$G$6:$G$3000,'Rev Adequacy'!$B$6:$B$3000,'Beneficiary graphs'!E$4,'Rev Adequacy'!$E$6:$E$3000,'Beneficiary graphs'!$C15)/1000000</f>
        <v>0</v>
      </c>
      <c r="F15" s="199">
        <f>SUMIFS('Rev Adequacy'!$G$6:$G$3000,'Rev Adequacy'!$B$6:$B$3000,'Beneficiary graphs'!F$4,'Rev Adequacy'!$E$6:$E$3000,'Beneficiary graphs'!$C15)/1000000</f>
        <v>1.8026814152399099E-2</v>
      </c>
      <c r="G15" s="199">
        <f>SUMIFS('Rev Adequacy'!$G$6:$G$3000,'Rev Adequacy'!$B$6:$B$3000,'Beneficiary graphs'!G$4,'Rev Adequacy'!$E$6:$E$3000,'Beneficiary graphs'!$C15)/1000000</f>
        <v>0</v>
      </c>
      <c r="H15" s="199">
        <f>SUMIFS('Rev Adequacy'!$G$6:$G$3000,'Rev Adequacy'!$B$6:$B$3000,'Beneficiary graphs'!H$4,'Rev Adequacy'!$E$6:$E$3000,'Beneficiary graphs'!$C15)/1000000</f>
        <v>0</v>
      </c>
      <c r="I15" s="199">
        <f>SUMIFS('Rev Adequacy'!$G$6:$G$3000,'Rev Adequacy'!$B$6:$B$3000,'Beneficiary graphs'!I$4,'Rev Adequacy'!$E$6:$E$3000,'Beneficiary graphs'!$C15)/1000000</f>
        <v>3.7955413326992596E-3</v>
      </c>
      <c r="J15" s="199">
        <f>SUMIFS('Rev Adequacy'!$G$6:$G$3000,'Rev Adequacy'!$B$6:$B$3000,'Beneficiary graphs'!J$4,'Rev Adequacy'!$E$6:$E$3000,'Beneficiary graphs'!$C15)/1000000</f>
        <v>1.7282078476996301E-4</v>
      </c>
      <c r="K15" s="199">
        <f>SUMIFS('Rev Adequacy'!$G$6:$G$3000,'Rev Adequacy'!$B$6:$B$3000,'Beneficiary graphs'!K$4,'Rev Adequacy'!$E$6:$E$3000,'Beneficiary graphs'!$C15)/1000000</f>
        <v>7.9541057345169693E-3</v>
      </c>
      <c r="L15" s="199"/>
      <c r="M15" s="51">
        <f t="shared" si="1"/>
        <v>0</v>
      </c>
      <c r="N15" s="51">
        <f t="shared" si="2"/>
        <v>1.2561848990804092E-4</v>
      </c>
      <c r="O15" s="199"/>
    </row>
    <row r="16" spans="1:15" x14ac:dyDescent="0.25">
      <c r="A16" s="50"/>
      <c r="B16" s="50" t="str">
        <f>VLOOKUP(C16,'Mapping B'!$I$2:$J$56,2,0)</f>
        <v>Mainpower</v>
      </c>
      <c r="C16" s="7" t="s">
        <v>12</v>
      </c>
      <c r="E16" s="199">
        <f>SUMIFS('Rev Adequacy'!$G$6:$G$3000,'Rev Adequacy'!$B$6:$B$3000,'Beneficiary graphs'!E$4,'Rev Adequacy'!$E$6:$E$3000,'Beneficiary graphs'!$C16)/1000000</f>
        <v>0.13241015500000008</v>
      </c>
      <c r="F16" s="199">
        <f>SUMIFS('Rev Adequacy'!$G$6:$G$3000,'Rev Adequacy'!$B$6:$B$3000,'Beneficiary graphs'!F$4,'Rev Adequacy'!$E$6:$E$3000,'Beneficiary graphs'!$C16)/1000000</f>
        <v>1.0703157019999967</v>
      </c>
      <c r="G16" s="199">
        <f>SUMIFS('Rev Adequacy'!$G$6:$G$3000,'Rev Adequacy'!$B$6:$B$3000,'Beneficiary graphs'!G$4,'Rev Adequacy'!$E$6:$E$3000,'Beneficiary graphs'!$C16)/1000000</f>
        <v>0</v>
      </c>
      <c r="H16" s="199">
        <f>SUMIFS('Rev Adequacy'!$G$6:$G$3000,'Rev Adequacy'!$B$6:$B$3000,'Beneficiary graphs'!H$4,'Rev Adequacy'!$E$6:$E$3000,'Beneficiary graphs'!$C16)/1000000</f>
        <v>0</v>
      </c>
      <c r="I16" s="199">
        <f>SUMIFS('Rev Adequacy'!$G$6:$G$3000,'Rev Adequacy'!$B$6:$B$3000,'Beneficiary graphs'!I$4,'Rev Adequacy'!$E$6:$E$3000,'Beneficiary graphs'!$C16)/1000000</f>
        <v>0.1962530749999985</v>
      </c>
      <c r="J16" s="199">
        <f>SUMIFS('Rev Adequacy'!$G$6:$G$3000,'Rev Adequacy'!$B$6:$B$3000,'Beneficiary graphs'!J$4,'Rev Adequacy'!$E$6:$E$3000,'Beneficiary graphs'!$C16)/1000000</f>
        <v>6.3401774000001077E-2</v>
      </c>
      <c r="K16" s="199">
        <f>SUMIFS('Rev Adequacy'!$G$6:$G$3000,'Rev Adequacy'!$B$6:$B$3000,'Beneficiary graphs'!K$4,'Rev Adequacy'!$E$6:$E$3000,'Beneficiary graphs'!$C16)/1000000</f>
        <v>0.47183297699999888</v>
      </c>
      <c r="L16" s="199"/>
      <c r="M16" s="51">
        <f t="shared" si="1"/>
        <v>3.9487682186188395E-4</v>
      </c>
      <c r="N16" s="51">
        <f t="shared" si="2"/>
        <v>7.4584139534278632E-3</v>
      </c>
      <c r="O16" s="199"/>
    </row>
    <row r="17" spans="1:15" x14ac:dyDescent="0.25">
      <c r="A17" s="50"/>
      <c r="B17" s="50" t="str">
        <f>VLOOKUP(C17,'Mapping B'!$I$2:$J$56,2,0)</f>
        <v>Marlborough Lines</v>
      </c>
      <c r="C17" s="7" t="s">
        <v>13</v>
      </c>
      <c r="E17" s="199">
        <f>SUMIFS('Rev Adequacy'!$G$6:$G$3000,'Rev Adequacy'!$B$6:$B$3000,'Beneficiary graphs'!E$4,'Rev Adequacy'!$E$6:$E$3000,'Beneficiary graphs'!$C17)/1000000</f>
        <v>0.11147588800000099</v>
      </c>
      <c r="F17" s="199">
        <f>SUMIFS('Rev Adequacy'!$G$6:$G$3000,'Rev Adequacy'!$B$6:$B$3000,'Beneficiary graphs'!F$4,'Rev Adequacy'!$E$6:$E$3000,'Beneficiary graphs'!$C17)/1000000</f>
        <v>0.82963113199999994</v>
      </c>
      <c r="G17" s="199">
        <f>SUMIFS('Rev Adequacy'!$G$6:$G$3000,'Rev Adequacy'!$B$6:$B$3000,'Beneficiary graphs'!G$4,'Rev Adequacy'!$E$6:$E$3000,'Beneficiary graphs'!$C17)/1000000</f>
        <v>0</v>
      </c>
      <c r="H17" s="199">
        <f>SUMIFS('Rev Adequacy'!$G$6:$G$3000,'Rev Adequacy'!$B$6:$B$3000,'Beneficiary graphs'!H$4,'Rev Adequacy'!$E$6:$E$3000,'Beneficiary graphs'!$C17)/1000000</f>
        <v>0</v>
      </c>
      <c r="I17" s="199">
        <f>SUMIFS('Rev Adequacy'!$G$6:$G$3000,'Rev Adequacy'!$B$6:$B$3000,'Beneficiary graphs'!I$4,'Rev Adequacy'!$E$6:$E$3000,'Beneficiary graphs'!$C17)/1000000</f>
        <v>0.14729361200000199</v>
      </c>
      <c r="J17" s="199">
        <f>SUMIFS('Rev Adequacy'!$G$6:$G$3000,'Rev Adequacy'!$B$6:$B$3000,'Beneficiary graphs'!J$4,'Rev Adequacy'!$E$6:$E$3000,'Beneficiary graphs'!$C17)/1000000</f>
        <v>5.5039723000000297E-2</v>
      </c>
      <c r="K17" s="199">
        <f>SUMIFS('Rev Adequacy'!$G$6:$G$3000,'Rev Adequacy'!$B$6:$B$3000,'Beneficiary graphs'!K$4,'Rev Adequacy'!$E$6:$E$3000,'Beneficiary graphs'!$C17)/1000000</f>
        <v>0.35987054800000001</v>
      </c>
      <c r="L17" s="199"/>
      <c r="M17" s="51">
        <f t="shared" si="1"/>
        <v>3.3244613577917563E-4</v>
      </c>
      <c r="N17" s="51">
        <f t="shared" si="2"/>
        <v>5.7812217456443262E-3</v>
      </c>
      <c r="O17" s="199"/>
    </row>
    <row r="18" spans="1:15" x14ac:dyDescent="0.25">
      <c r="A18" s="50"/>
      <c r="B18" s="50" t="str">
        <f>VLOOKUP(C18,'Mapping B'!$I$2:$J$56,2,0)</f>
        <v>Network Tasman</v>
      </c>
      <c r="C18" s="7" t="s">
        <v>19</v>
      </c>
      <c r="E18" s="199">
        <f>SUMIFS('Rev Adequacy'!$G$6:$G$3000,'Rev Adequacy'!$B$6:$B$3000,'Beneficiary graphs'!E$4,'Rev Adequacy'!$E$6:$E$3000,'Beneficiary graphs'!$C18)/1000000</f>
        <v>7.3216267999996698E-2</v>
      </c>
      <c r="F18" s="199">
        <f>SUMIFS('Rev Adequacy'!$G$6:$G$3000,'Rev Adequacy'!$B$6:$B$3000,'Beneficiary graphs'!F$4,'Rev Adequacy'!$E$6:$E$3000,'Beneficiary graphs'!$C18)/1000000</f>
        <v>1.6125571049999898</v>
      </c>
      <c r="G18" s="199">
        <f>SUMIFS('Rev Adequacy'!$G$6:$G$3000,'Rev Adequacy'!$B$6:$B$3000,'Beneficiary graphs'!G$4,'Rev Adequacy'!$E$6:$E$3000,'Beneficiary graphs'!$C18)/1000000</f>
        <v>0</v>
      </c>
      <c r="H18" s="199">
        <f>SUMIFS('Rev Adequacy'!$G$6:$G$3000,'Rev Adequacy'!$B$6:$B$3000,'Beneficiary graphs'!H$4,'Rev Adequacy'!$E$6:$E$3000,'Beneficiary graphs'!$C18)/1000000</f>
        <v>0</v>
      </c>
      <c r="I18" s="199">
        <f>SUMIFS('Rev Adequacy'!$G$6:$G$3000,'Rev Adequacy'!$B$6:$B$3000,'Beneficiary graphs'!I$4,'Rev Adequacy'!$E$6:$E$3000,'Beneficiary graphs'!$C18)/1000000</f>
        <v>0.2980410760000049</v>
      </c>
      <c r="J18" s="199">
        <f>SUMIFS('Rev Adequacy'!$G$6:$G$3000,'Rev Adequacy'!$B$6:$B$3000,'Beneficiary graphs'!J$4,'Rev Adequacy'!$E$6:$E$3000,'Beneficiary graphs'!$C18)/1000000</f>
        <v>9.0240108999999832E-2</v>
      </c>
      <c r="K18" s="199">
        <f>SUMIFS('Rev Adequacy'!$G$6:$G$3000,'Rev Adequacy'!$B$6:$B$3000,'Beneficiary graphs'!K$4,'Rev Adequacy'!$E$6:$E$3000,'Beneficiary graphs'!$C18)/1000000</f>
        <v>0.70157323999999899</v>
      </c>
      <c r="L18" s="199"/>
      <c r="M18" s="51">
        <f t="shared" si="1"/>
        <v>2.1834735573284867E-4</v>
      </c>
      <c r="N18" s="51">
        <f t="shared" si="2"/>
        <v>1.1236982126074799E-2</v>
      </c>
      <c r="O18" s="199"/>
    </row>
    <row r="19" spans="1:15" x14ac:dyDescent="0.25">
      <c r="A19" s="50"/>
      <c r="B19" s="50" t="str">
        <f>VLOOKUP(C19,'Mapping B'!$I$2:$J$56,2,0)</f>
        <v>Network Waitaki</v>
      </c>
      <c r="C19" s="7" t="s">
        <v>20</v>
      </c>
      <c r="E19" s="199">
        <f>SUMIFS('Rev Adequacy'!$G$6:$G$3000,'Rev Adequacy'!$B$6:$B$3000,'Beneficiary graphs'!E$4,'Rev Adequacy'!$E$6:$E$3000,'Beneficiary graphs'!$C19)/1000000</f>
        <v>0.18062680049978155</v>
      </c>
      <c r="F19" s="199">
        <f>SUMIFS('Rev Adequacy'!$G$6:$G$3000,'Rev Adequacy'!$B$6:$B$3000,'Beneficiary graphs'!F$4,'Rev Adequacy'!$E$6:$E$3000,'Beneficiary graphs'!$C19)/1000000</f>
        <v>0.48888696272073806</v>
      </c>
      <c r="G19" s="199">
        <f>SUMIFS('Rev Adequacy'!$G$6:$G$3000,'Rev Adequacy'!$B$6:$B$3000,'Beneficiary graphs'!G$4,'Rev Adequacy'!$E$6:$E$3000,'Beneficiary graphs'!$C19)/1000000</f>
        <v>0</v>
      </c>
      <c r="H19" s="199">
        <f>SUMIFS('Rev Adequacy'!$G$6:$G$3000,'Rev Adequacy'!$B$6:$B$3000,'Beneficiary graphs'!H$4,'Rev Adequacy'!$E$6:$E$3000,'Beneficiary graphs'!$C19)/1000000</f>
        <v>0</v>
      </c>
      <c r="I19" s="199">
        <f>SUMIFS('Rev Adequacy'!$G$6:$G$3000,'Rev Adequacy'!$B$6:$B$3000,'Beneficiary graphs'!I$4,'Rev Adequacy'!$E$6:$E$3000,'Beneficiary graphs'!$C19)/1000000</f>
        <v>7.7774987730316381E-2</v>
      </c>
      <c r="J19" s="199">
        <f>SUMIFS('Rev Adequacy'!$G$6:$G$3000,'Rev Adequacy'!$B$6:$B$3000,'Beneficiary graphs'!J$4,'Rev Adequacy'!$E$6:$E$3000,'Beneficiary graphs'!$C19)/1000000</f>
        <v>6.8970830020732191E-2</v>
      </c>
      <c r="K19" s="199">
        <f>SUMIFS('Rev Adequacy'!$G$6:$G$3000,'Rev Adequacy'!$B$6:$B$3000,'Beneficiary graphs'!K$4,'Rev Adequacy'!$E$6:$E$3000,'Beneficiary graphs'!$C19)/1000000</f>
        <v>0.25345138406093792</v>
      </c>
      <c r="L19" s="199"/>
      <c r="M19" s="51">
        <f t="shared" si="1"/>
        <v>5.386696883213696E-4</v>
      </c>
      <c r="N19" s="51">
        <f t="shared" si="2"/>
        <v>3.4067717941461458E-3</v>
      </c>
      <c r="O19" s="199"/>
    </row>
    <row r="20" spans="1:15" x14ac:dyDescent="0.25">
      <c r="A20" s="50"/>
      <c r="B20" s="50" t="str">
        <f>VLOOKUP(C20,'Mapping B'!$I$2:$J$56,2,0)</f>
        <v>Northpower</v>
      </c>
      <c r="C20" s="7" t="s">
        <v>23</v>
      </c>
      <c r="E20" s="199">
        <f>SUMIFS('Rev Adequacy'!$G$6:$G$3000,'Rev Adequacy'!$B$6:$B$3000,'Beneficiary graphs'!E$4,'Rev Adequacy'!$E$6:$E$3000,'Beneficiary graphs'!$C20)/1000000</f>
        <v>21.4914526862262</v>
      </c>
      <c r="F20" s="199">
        <f>SUMIFS('Rev Adequacy'!$G$6:$G$3000,'Rev Adequacy'!$B$6:$B$3000,'Beneficiary graphs'!F$4,'Rev Adequacy'!$E$6:$E$3000,'Beneficiary graphs'!$C20)/1000000</f>
        <v>6.2739478982688164</v>
      </c>
      <c r="G20" s="199">
        <f>SUMIFS('Rev Adequacy'!$G$6:$G$3000,'Rev Adequacy'!$B$6:$B$3000,'Beneficiary graphs'!G$4,'Rev Adequacy'!$E$6:$E$3000,'Beneficiary graphs'!$C20)/1000000</f>
        <v>7.6092542086865835</v>
      </c>
      <c r="H20" s="199">
        <f>SUMIFS('Rev Adequacy'!$G$6:$G$3000,'Rev Adequacy'!$B$6:$B$3000,'Beneficiary graphs'!H$4,'Rev Adequacy'!$E$6:$E$3000,'Beneficiary graphs'!$C20)/1000000</f>
        <v>29.834410462951343</v>
      </c>
      <c r="I20" s="199">
        <f>SUMIFS('Rev Adequacy'!$G$6:$G$3000,'Rev Adequacy'!$B$6:$B$3000,'Beneficiary graphs'!I$4,'Rev Adequacy'!$E$6:$E$3000,'Beneficiary graphs'!$C20)/1000000</f>
        <v>0.78541719767299445</v>
      </c>
      <c r="J20" s="199">
        <f>SUMIFS('Rev Adequacy'!$G$6:$G$3000,'Rev Adequacy'!$B$6:$B$3000,'Beneficiary graphs'!J$4,'Rev Adequacy'!$E$6:$E$3000,'Beneficiary graphs'!$C20)/1000000</f>
        <v>8.2175699999997799E-4</v>
      </c>
      <c r="K20" s="199">
        <f>SUMIFS('Rev Adequacy'!$G$6:$G$3000,'Rev Adequacy'!$B$6:$B$3000,'Beneficiary graphs'!K$4,'Rev Adequacy'!$E$6:$E$3000,'Beneficiary graphs'!$C20)/1000000</f>
        <v>1.3613980267722978</v>
      </c>
      <c r="L20" s="199"/>
      <c r="M20" s="51">
        <f t="shared" si="1"/>
        <v>6.409233894433583E-2</v>
      </c>
      <c r="N20" s="51">
        <f t="shared" si="2"/>
        <v>4.3719531031908287E-2</v>
      </c>
      <c r="O20" s="199"/>
    </row>
    <row r="21" spans="1:15" x14ac:dyDescent="0.25">
      <c r="A21" s="50"/>
      <c r="B21" s="50" t="str">
        <f>VLOOKUP(C21,'Mapping B'!$I$2:$J$56,2,0)</f>
        <v>Orion</v>
      </c>
      <c r="C21" s="7" t="s">
        <v>25</v>
      </c>
      <c r="E21" s="199">
        <f>SUMIFS('Rev Adequacy'!$G$6:$G$3000,'Rev Adequacy'!$B$6:$B$3000,'Beneficiary graphs'!E$4,'Rev Adequacy'!$E$6:$E$3000,'Beneficiary graphs'!$C21)/1000000</f>
        <v>0.39327584399999932</v>
      </c>
      <c r="F21" s="199">
        <f>SUMIFS('Rev Adequacy'!$G$6:$G$3000,'Rev Adequacy'!$B$6:$B$3000,'Beneficiary graphs'!F$4,'Rev Adequacy'!$E$6:$E$3000,'Beneficiary graphs'!$C21)/1000000</f>
        <v>6.1410044969999946</v>
      </c>
      <c r="G21" s="199">
        <f>SUMIFS('Rev Adequacy'!$G$6:$G$3000,'Rev Adequacy'!$B$6:$B$3000,'Beneficiary graphs'!G$4,'Rev Adequacy'!$E$6:$E$3000,'Beneficiary graphs'!$C21)/1000000</f>
        <v>0</v>
      </c>
      <c r="H21" s="199">
        <f>SUMIFS('Rev Adequacy'!$G$6:$G$3000,'Rev Adequacy'!$B$6:$B$3000,'Beneficiary graphs'!H$4,'Rev Adequacy'!$E$6:$E$3000,'Beneficiary graphs'!$C21)/1000000</f>
        <v>0</v>
      </c>
      <c r="I21" s="199">
        <f>SUMIFS('Rev Adequacy'!$G$6:$G$3000,'Rev Adequacy'!$B$6:$B$3000,'Beneficiary graphs'!I$4,'Rev Adequacy'!$E$6:$E$3000,'Beneficiary graphs'!$C21)/1000000</f>
        <v>1.1598587750000042</v>
      </c>
      <c r="J21" s="199">
        <f>SUMIFS('Rev Adequacy'!$G$6:$G$3000,'Rev Adequacy'!$B$6:$B$3000,'Beneficiary graphs'!J$4,'Rev Adequacy'!$E$6:$E$3000,'Beneficiary graphs'!$C21)/1000000</f>
        <v>0.35502011599999656</v>
      </c>
      <c r="K21" s="199">
        <f>SUMIFS('Rev Adequacy'!$G$6:$G$3000,'Rev Adequacy'!$B$6:$B$3000,'Beneficiary graphs'!K$4,'Rev Adequacy'!$E$6:$E$3000,'Beneficiary graphs'!$C21)/1000000</f>
        <v>2.5116730729999888</v>
      </c>
      <c r="L21" s="199"/>
      <c r="M21" s="51">
        <f t="shared" si="1"/>
        <v>1.1728368975458844E-3</v>
      </c>
      <c r="N21" s="51">
        <f t="shared" si="2"/>
        <v>4.2793125003120026E-2</v>
      </c>
      <c r="O21" s="199"/>
    </row>
    <row r="22" spans="1:15" x14ac:dyDescent="0.25">
      <c r="A22" s="50"/>
      <c r="B22" s="50" t="str">
        <f>VLOOKUP(C22,'Mapping B'!$I$2:$J$56,2,0)</f>
        <v>OtagoNet JV</v>
      </c>
      <c r="C22" s="7" t="s">
        <v>103</v>
      </c>
      <c r="E22" s="199">
        <f>SUMIFS('Rev Adequacy'!$G$6:$G$3000,'Rev Adequacy'!$B$6:$B$3000,'Beneficiary graphs'!E$4,'Rev Adequacy'!$E$6:$E$3000,'Beneficiary graphs'!$C22)/1000000</f>
        <v>0.25735856767335069</v>
      </c>
      <c r="F22" s="199">
        <f>SUMIFS('Rev Adequacy'!$G$6:$G$3000,'Rev Adequacy'!$B$6:$B$3000,'Beneficiary graphs'!F$4,'Rev Adequacy'!$E$6:$E$3000,'Beneficiary graphs'!$C22)/1000000</f>
        <v>0.71438283867335273</v>
      </c>
      <c r="G22" s="199">
        <f>SUMIFS('Rev Adequacy'!$G$6:$G$3000,'Rev Adequacy'!$B$6:$B$3000,'Beneficiary graphs'!G$4,'Rev Adequacy'!$E$6:$E$3000,'Beneficiary graphs'!$C22)/1000000</f>
        <v>0</v>
      </c>
      <c r="H22" s="199">
        <f>SUMIFS('Rev Adequacy'!$G$6:$G$3000,'Rev Adequacy'!$B$6:$B$3000,'Beneficiary graphs'!H$4,'Rev Adequacy'!$E$6:$E$3000,'Beneficiary graphs'!$C22)/1000000</f>
        <v>0</v>
      </c>
      <c r="I22" s="199">
        <f>SUMIFS('Rev Adequacy'!$G$6:$G$3000,'Rev Adequacy'!$B$6:$B$3000,'Beneficiary graphs'!I$4,'Rev Adequacy'!$E$6:$E$3000,'Beneficiary graphs'!$C22)/1000000</f>
        <v>0.11521493682400162</v>
      </c>
      <c r="J22" s="199">
        <f>SUMIFS('Rev Adequacy'!$G$6:$G$3000,'Rev Adequacy'!$B$6:$B$3000,'Beneficiary graphs'!J$4,'Rev Adequacy'!$E$6:$E$3000,'Beneficiary graphs'!$C22)/1000000</f>
        <v>0.15641937679202664</v>
      </c>
      <c r="K22" s="199">
        <f>SUMIFS('Rev Adequacy'!$G$6:$G$3000,'Rev Adequacy'!$B$6:$B$3000,'Beneficiary graphs'!K$4,'Rev Adequacy'!$E$6:$E$3000,'Beneficiary graphs'!$C22)/1000000</f>
        <v>0.30275306040023586</v>
      </c>
      <c r="L22" s="199"/>
      <c r="M22" s="51">
        <f t="shared" si="1"/>
        <v>7.675010521797156E-4</v>
      </c>
      <c r="N22" s="51">
        <f t="shared" si="2"/>
        <v>4.9781227371461633E-3</v>
      </c>
      <c r="O22" s="199"/>
    </row>
    <row r="23" spans="1:15" x14ac:dyDescent="0.25">
      <c r="A23" s="50"/>
      <c r="B23" s="50" t="str">
        <f>VLOOKUP(C23,'Mapping B'!$I$2:$J$56,2,0)</f>
        <v>Powerco</v>
      </c>
      <c r="C23" s="7" t="s">
        <v>28</v>
      </c>
      <c r="E23" s="199">
        <f>SUMIFS('Rev Adequacy'!$G$6:$G$3000,'Rev Adequacy'!$B$6:$B$3000,'Beneficiary graphs'!E$4,'Rev Adequacy'!$E$6:$E$3000,'Beneficiary graphs'!$C23)/1000000</f>
        <v>2.530330567323849</v>
      </c>
      <c r="F23" s="199">
        <f>SUMIFS('Rev Adequacy'!$G$6:$G$3000,'Rev Adequacy'!$B$6:$B$3000,'Beneficiary graphs'!F$4,'Rev Adequacy'!$E$6:$E$3000,'Beneficiary graphs'!$C23)/1000000</f>
        <v>9.59433522993446</v>
      </c>
      <c r="G23" s="199">
        <f>SUMIFS('Rev Adequacy'!$G$6:$G$3000,'Rev Adequacy'!$B$6:$B$3000,'Beneficiary graphs'!G$4,'Rev Adequacy'!$E$6:$E$3000,'Beneficiary graphs'!$C23)/1000000</f>
        <v>42.604949260258152</v>
      </c>
      <c r="H23" s="199">
        <f>SUMIFS('Rev Adequacy'!$G$6:$G$3000,'Rev Adequacy'!$B$6:$B$3000,'Beneficiary graphs'!H$4,'Rev Adequacy'!$E$6:$E$3000,'Beneficiary graphs'!$C23)/1000000</f>
        <v>190.43014684206895</v>
      </c>
      <c r="I23" s="199">
        <f>SUMIFS('Rev Adequacy'!$G$6:$G$3000,'Rev Adequacy'!$B$6:$B$3000,'Beneficiary graphs'!I$4,'Rev Adequacy'!$E$6:$E$3000,'Beneficiary graphs'!$C23)/1000000</f>
        <v>1.6061266088144599</v>
      </c>
      <c r="J23" s="199">
        <f>SUMIFS('Rev Adequacy'!$G$6:$G$3000,'Rev Adequacy'!$B$6:$B$3000,'Beneficiary graphs'!J$4,'Rev Adequacy'!$E$6:$E$3000,'Beneficiary graphs'!$C23)/1000000</f>
        <v>6.3921929999999584E-3</v>
      </c>
      <c r="K23" s="199">
        <f>SUMIFS('Rev Adequacy'!$G$6:$G$3000,'Rev Adequacy'!$B$6:$B$3000,'Beneficiary graphs'!K$4,'Rev Adequacy'!$E$6:$E$3000,'Beneficiary graphs'!$C23)/1000000</f>
        <v>5.2121686751037384</v>
      </c>
      <c r="L23" s="199"/>
      <c r="M23" s="51">
        <f t="shared" si="1"/>
        <v>7.54601407033183E-3</v>
      </c>
      <c r="N23" s="51">
        <f t="shared" si="2"/>
        <v>6.6857398820827474E-2</v>
      </c>
      <c r="O23" s="199"/>
    </row>
    <row r="24" spans="1:15" x14ac:dyDescent="0.25">
      <c r="A24" s="50"/>
      <c r="B24" s="50" t="str">
        <f>VLOOKUP(C24,'Mapping B'!$I$2:$J$56,2,0)</f>
        <v>Scanpower</v>
      </c>
      <c r="C24" s="7" t="s">
        <v>31</v>
      </c>
      <c r="E24" s="199">
        <f>SUMIFS('Rev Adequacy'!$G$6:$G$3000,'Rev Adequacy'!$B$6:$B$3000,'Beneficiary graphs'!E$4,'Rev Adequacy'!$E$6:$E$3000,'Beneficiary graphs'!$C24)/1000000</f>
        <v>2.6643053999999583E-2</v>
      </c>
      <c r="F24" s="199">
        <f>SUMIFS('Rev Adequacy'!$G$6:$G$3000,'Rev Adequacy'!$B$6:$B$3000,'Beneficiary graphs'!F$4,'Rev Adequacy'!$E$6:$E$3000,'Beneficiary graphs'!$C24)/1000000</f>
        <v>0.17002055499999891</v>
      </c>
      <c r="G24" s="199">
        <f>SUMIFS('Rev Adequacy'!$G$6:$G$3000,'Rev Adequacy'!$B$6:$B$3000,'Beneficiary graphs'!G$4,'Rev Adequacy'!$E$6:$E$3000,'Beneficiary graphs'!$C24)/1000000</f>
        <v>0.87788799399999995</v>
      </c>
      <c r="H24" s="199">
        <f>SUMIFS('Rev Adequacy'!$G$6:$G$3000,'Rev Adequacy'!$B$6:$B$3000,'Beneficiary graphs'!H$4,'Rev Adequacy'!$E$6:$E$3000,'Beneficiary graphs'!$C24)/1000000</f>
        <v>3.6600604410000082</v>
      </c>
      <c r="I24" s="199">
        <f>SUMIFS('Rev Adequacy'!$G$6:$G$3000,'Rev Adequacy'!$B$6:$B$3000,'Beneficiary graphs'!I$4,'Rev Adequacy'!$E$6:$E$3000,'Beneficiary graphs'!$C24)/1000000</f>
        <v>2.97891179999995E-2</v>
      </c>
      <c r="J24" s="199">
        <f>SUMIFS('Rev Adequacy'!$G$6:$G$3000,'Rev Adequacy'!$B$6:$B$3000,'Beneficiary graphs'!J$4,'Rev Adequacy'!$E$6:$E$3000,'Beneficiary graphs'!$C24)/1000000</f>
        <v>3.1063099999999503E-4</v>
      </c>
      <c r="K24" s="199">
        <f>SUMIFS('Rev Adequacy'!$G$6:$G$3000,'Rev Adequacy'!$B$6:$B$3000,'Beneficiary graphs'!K$4,'Rev Adequacy'!$E$6:$E$3000,'Beneficiary graphs'!$C24)/1000000</f>
        <v>8.4291990999999705E-2</v>
      </c>
      <c r="L24" s="199"/>
      <c r="M24" s="51">
        <f t="shared" si="1"/>
        <v>7.9455571124543902E-5</v>
      </c>
      <c r="N24" s="51">
        <f t="shared" si="2"/>
        <v>1.1847753680638289E-3</v>
      </c>
      <c r="O24" s="199"/>
    </row>
    <row r="25" spans="1:15" x14ac:dyDescent="0.25">
      <c r="A25" s="50"/>
      <c r="B25" s="50" t="str">
        <f>VLOOKUP(C25,'Mapping B'!$I$2:$J$56,2,0)</f>
        <v>The Lines Company</v>
      </c>
      <c r="C25" s="7" t="s">
        <v>32</v>
      </c>
      <c r="E25" s="199">
        <f>SUMIFS('Rev Adequacy'!$G$6:$G$3000,'Rev Adequacy'!$B$6:$B$3000,'Beneficiary graphs'!E$4,'Rev Adequacy'!$E$6:$E$3000,'Beneficiary graphs'!$C25)/1000000</f>
        <v>0.15483659569044778</v>
      </c>
      <c r="F25" s="199">
        <f>SUMIFS('Rev Adequacy'!$G$6:$G$3000,'Rev Adequacy'!$B$6:$B$3000,'Beneficiary graphs'!F$4,'Rev Adequacy'!$E$6:$E$3000,'Beneficiary graphs'!$C25)/1000000</f>
        <v>0.52898527009434904</v>
      </c>
      <c r="G25" s="199">
        <f>SUMIFS('Rev Adequacy'!$G$6:$G$3000,'Rev Adequacy'!$B$6:$B$3000,'Beneficiary graphs'!G$4,'Rev Adequacy'!$E$6:$E$3000,'Beneficiary graphs'!$C25)/1000000</f>
        <v>2.1068045711777921</v>
      </c>
      <c r="H25" s="199">
        <f>SUMIFS('Rev Adequacy'!$G$6:$G$3000,'Rev Adequacy'!$B$6:$B$3000,'Beneficiary graphs'!H$4,'Rev Adequacy'!$E$6:$E$3000,'Beneficiary graphs'!$C25)/1000000</f>
        <v>8.6961289615350221</v>
      </c>
      <c r="I25" s="199">
        <f>SUMIFS('Rev Adequacy'!$G$6:$G$3000,'Rev Adequacy'!$B$6:$B$3000,'Beneficiary graphs'!I$4,'Rev Adequacy'!$E$6:$E$3000,'Beneficiary graphs'!$C25)/1000000</f>
        <v>8.3670132691660154E-2</v>
      </c>
      <c r="J25" s="199">
        <f>SUMIFS('Rev Adequacy'!$G$6:$G$3000,'Rev Adequacy'!$B$6:$B$3000,'Beneficiary graphs'!J$4,'Rev Adequacy'!$E$6:$E$3000,'Beneficiary graphs'!$C25)/1000000</f>
        <v>2.8643579999999905E-3</v>
      </c>
      <c r="K25" s="199">
        <f>SUMIFS('Rev Adequacy'!$G$6:$G$3000,'Rev Adequacy'!$B$6:$B$3000,'Beneficiary graphs'!K$4,'Rev Adequacy'!$E$6:$E$3000,'Beneficiary graphs'!$C25)/1000000</f>
        <v>0.30401664830269359</v>
      </c>
      <c r="L25" s="199"/>
      <c r="M25" s="51">
        <f t="shared" si="1"/>
        <v>4.617575050354518E-4</v>
      </c>
      <c r="N25" s="51">
        <f t="shared" si="2"/>
        <v>3.6861938138972685E-3</v>
      </c>
      <c r="O25" s="199"/>
    </row>
    <row r="26" spans="1:15" x14ac:dyDescent="0.25">
      <c r="A26" s="50"/>
      <c r="B26" s="50" t="str">
        <f>VLOOKUP(C26,'Mapping B'!$I$2:$J$56,2,0)</f>
        <v>The Power Company</v>
      </c>
      <c r="C26" s="7" t="s">
        <v>105</v>
      </c>
      <c r="E26" s="199">
        <f>SUMIFS('Rev Adequacy'!$G$6:$G$3000,'Rev Adequacy'!$B$6:$B$3000,'Beneficiary graphs'!E$4,'Rev Adequacy'!$E$6:$E$3000,'Beneficiary graphs'!$C26)/1000000</f>
        <v>0.39893250211213716</v>
      </c>
      <c r="F26" s="199">
        <f>SUMIFS('Rev Adequacy'!$G$6:$G$3000,'Rev Adequacy'!$B$6:$B$3000,'Beneficiary graphs'!F$4,'Rev Adequacy'!$E$6:$E$3000,'Beneficiary graphs'!$C26)/1000000</f>
        <v>1.377814335220769</v>
      </c>
      <c r="G26" s="199">
        <f>SUMIFS('Rev Adequacy'!$G$6:$G$3000,'Rev Adequacy'!$B$6:$B$3000,'Beneficiary graphs'!G$4,'Rev Adequacy'!$E$6:$E$3000,'Beneficiary graphs'!$C26)/1000000</f>
        <v>0</v>
      </c>
      <c r="H26" s="199">
        <f>SUMIFS('Rev Adequacy'!$G$6:$G$3000,'Rev Adequacy'!$B$6:$B$3000,'Beneficiary graphs'!H$4,'Rev Adequacy'!$E$6:$E$3000,'Beneficiary graphs'!$C26)/1000000</f>
        <v>0</v>
      </c>
      <c r="I26" s="199">
        <f>SUMIFS('Rev Adequacy'!$G$6:$G$3000,'Rev Adequacy'!$B$6:$B$3000,'Beneficiary graphs'!I$4,'Rev Adequacy'!$E$6:$E$3000,'Beneficiary graphs'!$C26)/1000000</f>
        <v>0.22464059587283491</v>
      </c>
      <c r="J26" s="199">
        <f>SUMIFS('Rev Adequacy'!$G$6:$G$3000,'Rev Adequacy'!$B$6:$B$3000,'Beneficiary graphs'!J$4,'Rev Adequacy'!$E$6:$E$3000,'Beneficiary graphs'!$C26)/1000000</f>
        <v>0.32602918753388771</v>
      </c>
      <c r="K26" s="199">
        <f>SUMIFS('Rev Adequacy'!$G$6:$G$3000,'Rev Adequacy'!$B$6:$B$3000,'Beneficiary graphs'!K$4,'Rev Adequacy'!$E$6:$E$3000,'Beneficiary graphs'!$C26)/1000000</f>
        <v>0.61745496663377197</v>
      </c>
      <c r="L26" s="199"/>
      <c r="M26" s="51">
        <f t="shared" si="1"/>
        <v>1.1897063225358351E-3</v>
      </c>
      <c r="N26" s="51">
        <f t="shared" si="2"/>
        <v>9.6011949033739871E-3</v>
      </c>
      <c r="O26" s="199"/>
    </row>
    <row r="27" spans="1:15" x14ac:dyDescent="0.25">
      <c r="A27" s="50"/>
      <c r="B27" s="50" t="str">
        <f>VLOOKUP(C27,'Mapping B'!$I$2:$J$56,2,0)</f>
        <v>Top Energy</v>
      </c>
      <c r="C27" s="7" t="s">
        <v>34</v>
      </c>
      <c r="E27" s="199">
        <f>SUMIFS('Rev Adequacy'!$G$6:$G$3000,'Rev Adequacy'!$B$6:$B$3000,'Beneficiary graphs'!E$4,'Rev Adequacy'!$E$6:$E$3000,'Beneficiary graphs'!$C27)/1000000</f>
        <v>7.8736709520000305</v>
      </c>
      <c r="F27" s="199">
        <f>SUMIFS('Rev Adequacy'!$G$6:$G$3000,'Rev Adequacy'!$B$6:$B$3000,'Beneficiary graphs'!F$4,'Rev Adequacy'!$E$6:$E$3000,'Beneficiary graphs'!$C27)/1000000</f>
        <v>2.4471092099999701</v>
      </c>
      <c r="G27" s="199">
        <f>SUMIFS('Rev Adequacy'!$G$6:$G$3000,'Rev Adequacy'!$B$6:$B$3000,'Beneficiary graphs'!G$4,'Rev Adequacy'!$E$6:$E$3000,'Beneficiary graphs'!$C27)/1000000</f>
        <v>2.77925784700001</v>
      </c>
      <c r="H27" s="199">
        <f>SUMIFS('Rev Adequacy'!$G$6:$G$3000,'Rev Adequacy'!$B$6:$B$3000,'Beneficiary graphs'!H$4,'Rev Adequacy'!$E$6:$E$3000,'Beneficiary graphs'!$C27)/1000000</f>
        <v>11.310997625999899</v>
      </c>
      <c r="I27" s="199">
        <f>SUMIFS('Rev Adequacy'!$G$6:$G$3000,'Rev Adequacy'!$B$6:$B$3000,'Beneficiary graphs'!I$4,'Rev Adequacy'!$E$6:$E$3000,'Beneficiary graphs'!$C27)/1000000</f>
        <v>0.31438659999999996</v>
      </c>
      <c r="J27" s="199">
        <f>SUMIFS('Rev Adequacy'!$G$6:$G$3000,'Rev Adequacy'!$B$6:$B$3000,'Beneficiary graphs'!J$4,'Rev Adequacy'!$E$6:$E$3000,'Beneficiary graphs'!$C27)/1000000</f>
        <v>5.4584130000000499E-3</v>
      </c>
      <c r="K27" s="199">
        <f>SUMIFS('Rev Adequacy'!$G$6:$G$3000,'Rev Adequacy'!$B$6:$B$3000,'Beneficiary graphs'!K$4,'Rev Adequacy'!$E$6:$E$3000,'Beneficiary graphs'!$C27)/1000000</f>
        <v>0.463417883999998</v>
      </c>
      <c r="L27" s="199"/>
      <c r="M27" s="51">
        <f t="shared" si="1"/>
        <v>2.348105522504678E-2</v>
      </c>
      <c r="N27" s="51">
        <f t="shared" si="2"/>
        <v>1.7052495299583737E-2</v>
      </c>
      <c r="O27" s="199"/>
    </row>
    <row r="28" spans="1:15" x14ac:dyDescent="0.25">
      <c r="A28" s="50"/>
      <c r="B28" s="50" t="str">
        <f>VLOOKUP(C28,'Mapping B'!$I$2:$J$56,2,0)</f>
        <v>Unison</v>
      </c>
      <c r="C28" s="7" t="s">
        <v>36</v>
      </c>
      <c r="E28" s="199">
        <f>SUMIFS('Rev Adequacy'!$G$6:$G$3000,'Rev Adequacy'!$B$6:$B$3000,'Beneficiary graphs'!E$4,'Rev Adequacy'!$E$6:$E$3000,'Beneficiary graphs'!$C28)/1000000</f>
        <v>0</v>
      </c>
      <c r="F28" s="199">
        <f>SUMIFS('Rev Adequacy'!$G$6:$G$3000,'Rev Adequacy'!$B$6:$B$3000,'Beneficiary graphs'!F$4,'Rev Adequacy'!$E$6:$E$3000,'Beneficiary graphs'!$C28)/1000000</f>
        <v>2.0786117799999952</v>
      </c>
      <c r="G28" s="199">
        <f>SUMIFS('Rev Adequacy'!$G$6:$G$3000,'Rev Adequacy'!$B$6:$B$3000,'Beneficiary graphs'!G$4,'Rev Adequacy'!$E$6:$E$3000,'Beneficiary graphs'!$C28)/1000000</f>
        <v>16.356615983999973</v>
      </c>
      <c r="H28" s="199">
        <f>SUMIFS('Rev Adequacy'!$G$6:$G$3000,'Rev Adequacy'!$B$6:$B$3000,'Beneficiary graphs'!H$4,'Rev Adequacy'!$E$6:$E$3000,'Beneficiary graphs'!$C28)/1000000</f>
        <v>62.151456569999951</v>
      </c>
      <c r="I28" s="199">
        <f>SUMIFS('Rev Adequacy'!$G$6:$G$3000,'Rev Adequacy'!$B$6:$B$3000,'Beneficiary graphs'!I$4,'Rev Adequacy'!$E$6:$E$3000,'Beneficiary graphs'!$C28)/1000000</f>
        <v>0.62532691000000173</v>
      </c>
      <c r="J28" s="199">
        <f>SUMIFS('Rev Adequacy'!$G$6:$G$3000,'Rev Adequacy'!$B$6:$B$3000,'Beneficiary graphs'!J$4,'Rev Adequacy'!$E$6:$E$3000,'Beneficiary graphs'!$C28)/1000000</f>
        <v>6.7492109999999156E-3</v>
      </c>
      <c r="K28" s="199">
        <f>SUMIFS('Rev Adequacy'!$G$6:$G$3000,'Rev Adequacy'!$B$6:$B$3000,'Beneficiary graphs'!K$4,'Rev Adequacy'!$E$6:$E$3000,'Beneficiary graphs'!$C28)/1000000</f>
        <v>0.49319079199999966</v>
      </c>
      <c r="L28" s="199"/>
      <c r="M28" s="51">
        <f t="shared" si="1"/>
        <v>0</v>
      </c>
      <c r="N28" s="51">
        <f t="shared" si="2"/>
        <v>1.4484648851495165E-2</v>
      </c>
      <c r="O28" s="199"/>
    </row>
    <row r="29" spans="1:15" x14ac:dyDescent="0.25">
      <c r="A29" s="50"/>
      <c r="B29" s="50" t="str">
        <f>VLOOKUP(C29,'Mapping B'!$I$2:$J$56,2,0)</f>
        <v>Vector</v>
      </c>
      <c r="C29" s="7" t="s">
        <v>37</v>
      </c>
      <c r="E29" s="199">
        <f>SUMIFS('Rev Adequacy'!$G$6:$G$3000,'Rev Adequacy'!$B$6:$B$3000,'Beneficiary graphs'!E$4,'Rev Adequacy'!$E$6:$E$3000,'Beneficiary graphs'!$C29)/1000000</f>
        <v>252.09784151361617</v>
      </c>
      <c r="F29" s="199">
        <f>SUMIFS('Rev Adequacy'!$G$6:$G$3000,'Rev Adequacy'!$B$6:$B$3000,'Beneficiary graphs'!F$4,'Rev Adequacy'!$E$6:$E$3000,'Beneficiary graphs'!$C29)/1000000</f>
        <v>71.466911617566339</v>
      </c>
      <c r="G29" s="199">
        <f>SUMIFS('Rev Adequacy'!$G$6:$G$3000,'Rev Adequacy'!$B$6:$B$3000,'Beneficiary graphs'!G$4,'Rev Adequacy'!$E$6:$E$3000,'Beneficiary graphs'!$C29)/1000000</f>
        <v>93.574103755184581</v>
      </c>
      <c r="H29" s="199">
        <f>SUMIFS('Rev Adequacy'!$G$6:$G$3000,'Rev Adequacy'!$B$6:$B$3000,'Beneficiary graphs'!H$4,'Rev Adequacy'!$E$6:$E$3000,'Beneficiary graphs'!$C29)/1000000</f>
        <v>351.92595286987836</v>
      </c>
      <c r="I29" s="199">
        <f>SUMIFS('Rev Adequacy'!$G$6:$G$3000,'Rev Adequacy'!$B$6:$B$3000,'Beneficiary graphs'!I$4,'Rev Adequacy'!$E$6:$E$3000,'Beneficiary graphs'!$C29)/1000000</f>
        <v>9.1691041791395538</v>
      </c>
      <c r="J29" s="199">
        <f>SUMIFS('Rev Adequacy'!$G$6:$G$3000,'Rev Adequacy'!$B$6:$B$3000,'Beneficiary graphs'!J$4,'Rev Adequacy'!$E$6:$E$3000,'Beneficiary graphs'!$C29)/1000000</f>
        <v>2.6840503391294079E-2</v>
      </c>
      <c r="K29" s="199">
        <f>SUMIFS('Rev Adequacy'!$G$6:$G$3000,'Rev Adequacy'!$B$6:$B$3000,'Beneficiary graphs'!K$4,'Rev Adequacy'!$E$6:$E$3000,'Beneficiary graphs'!$C29)/1000000</f>
        <v>15.58447921924998</v>
      </c>
      <c r="L29" s="199"/>
      <c r="M29" s="51">
        <f t="shared" si="1"/>
        <v>0.75181238519913818</v>
      </c>
      <c r="N29" s="51">
        <f t="shared" si="2"/>
        <v>0.49801176402516639</v>
      </c>
      <c r="O29" s="199"/>
    </row>
    <row r="30" spans="1:15" x14ac:dyDescent="0.25">
      <c r="A30" s="50"/>
      <c r="B30" s="50" t="str">
        <f>VLOOKUP(C30,'Mapping B'!$I$2:$J$56,2,0)</f>
        <v>Waipa Power</v>
      </c>
      <c r="C30" s="7" t="s">
        <v>38</v>
      </c>
      <c r="E30" s="199">
        <f>SUMIFS('Rev Adequacy'!$G$6:$G$3000,'Rev Adequacy'!$B$6:$B$3000,'Beneficiary graphs'!E$4,'Rev Adequacy'!$E$6:$E$3000,'Beneficiary graphs'!$C30)/1000000</f>
        <v>0.58038774799999804</v>
      </c>
      <c r="F30" s="199">
        <f>SUMIFS('Rev Adequacy'!$G$6:$G$3000,'Rev Adequacy'!$B$6:$B$3000,'Beneficiary graphs'!F$4,'Rev Adequacy'!$E$6:$E$3000,'Beneficiary graphs'!$C30)/1000000</f>
        <v>1.2619625220000033</v>
      </c>
      <c r="G30" s="199">
        <f>SUMIFS('Rev Adequacy'!$G$6:$G$3000,'Rev Adequacy'!$B$6:$B$3000,'Beneficiary graphs'!G$4,'Rev Adequacy'!$E$6:$E$3000,'Beneficiary graphs'!$C30)/1000000</f>
        <v>3.83215648699999</v>
      </c>
      <c r="H30" s="199">
        <f>SUMIFS('Rev Adequacy'!$G$6:$G$3000,'Rev Adequacy'!$B$6:$B$3000,'Beneficiary graphs'!H$4,'Rev Adequacy'!$E$6:$E$3000,'Beneficiary graphs'!$C30)/1000000</f>
        <v>14.858872081000019</v>
      </c>
      <c r="I30" s="199">
        <f>SUMIFS('Rev Adequacy'!$G$6:$G$3000,'Rev Adequacy'!$B$6:$B$3000,'Beneficiary graphs'!I$4,'Rev Adequacy'!$E$6:$E$3000,'Beneficiary graphs'!$C30)/1000000</f>
        <v>0.14583981700000051</v>
      </c>
      <c r="J30" s="199">
        <f>SUMIFS('Rev Adequacy'!$G$6:$G$3000,'Rev Adequacy'!$B$6:$B$3000,'Beneficiary graphs'!J$4,'Rev Adequacy'!$E$6:$E$3000,'Beneficiary graphs'!$C30)/1000000</f>
        <v>1.5051000000012399E-5</v>
      </c>
      <c r="K30" s="199">
        <f>SUMIFS('Rev Adequacy'!$G$6:$G$3000,'Rev Adequacy'!$B$6:$B$3000,'Beneficiary graphs'!K$4,'Rev Adequacy'!$E$6:$E$3000,'Beneficiary graphs'!$C30)/1000000</f>
        <v>0.70525011300000007</v>
      </c>
      <c r="L30" s="199"/>
      <c r="M30" s="51">
        <f t="shared" si="1"/>
        <v>1.7308466210753629E-3</v>
      </c>
      <c r="N30" s="51">
        <f t="shared" si="2"/>
        <v>8.7938903121762019E-3</v>
      </c>
      <c r="O30" s="199"/>
    </row>
    <row r="31" spans="1:15" x14ac:dyDescent="0.25">
      <c r="A31" s="50"/>
      <c r="B31" s="50" t="str">
        <f>VLOOKUP(C31,'Mapping B'!$I$2:$J$56,2,0)</f>
        <v>WEL Networks</v>
      </c>
      <c r="C31" s="7" t="s">
        <v>39</v>
      </c>
      <c r="E31" s="199">
        <f>SUMIFS('Rev Adequacy'!$G$6:$G$3000,'Rev Adequacy'!$B$6:$B$3000,'Beneficiary graphs'!E$4,'Rev Adequacy'!$E$6:$E$3000,'Beneficiary graphs'!$C31)/1000000</f>
        <v>2.7857109840000009</v>
      </c>
      <c r="F31" s="199">
        <f>SUMIFS('Rev Adequacy'!$G$6:$G$3000,'Rev Adequacy'!$B$6:$B$3000,'Beneficiary graphs'!F$4,'Rev Adequacy'!$E$6:$E$3000,'Beneficiary graphs'!$C31)/1000000</f>
        <v>5.1359655659999799</v>
      </c>
      <c r="G31" s="199">
        <f>SUMIFS('Rev Adequacy'!$G$6:$G$3000,'Rev Adequacy'!$B$6:$B$3000,'Beneficiary graphs'!G$4,'Rev Adequacy'!$E$6:$E$3000,'Beneficiary graphs'!$C31)/1000000</f>
        <v>12.825305247999982</v>
      </c>
      <c r="H31" s="199">
        <f>SUMIFS('Rev Adequacy'!$G$6:$G$3000,'Rev Adequacy'!$B$6:$B$3000,'Beneficiary graphs'!H$4,'Rev Adequacy'!$E$6:$E$3000,'Beneficiary graphs'!$C31)/1000000</f>
        <v>55.875018254999638</v>
      </c>
      <c r="I31" s="199">
        <f>SUMIFS('Rev Adequacy'!$G$6:$G$3000,'Rev Adequacy'!$B$6:$B$3000,'Beneficiary graphs'!I$4,'Rev Adequacy'!$E$6:$E$3000,'Beneficiary graphs'!$C31)/1000000</f>
        <v>0.54307078800000042</v>
      </c>
      <c r="J31" s="199">
        <f>SUMIFS('Rev Adequacy'!$G$6:$G$3000,'Rev Adequacy'!$B$6:$B$3000,'Beneficiary graphs'!J$4,'Rev Adequacy'!$E$6:$E$3000,'Beneficiary graphs'!$C31)/1000000</f>
        <v>1.31173099999993E-3</v>
      </c>
      <c r="K31" s="199">
        <f>SUMIFS('Rev Adequacy'!$G$6:$G$3000,'Rev Adequacy'!$B$6:$B$3000,'Beneficiary graphs'!K$4,'Rev Adequacy'!$E$6:$E$3000,'Beneficiary graphs'!$C31)/1000000</f>
        <v>2.3254866180000029</v>
      </c>
      <c r="L31" s="199"/>
      <c r="M31" s="51">
        <f t="shared" si="1"/>
        <v>8.3076158319402398E-3</v>
      </c>
      <c r="N31" s="51">
        <f t="shared" si="2"/>
        <v>3.5789587287377196E-2</v>
      </c>
      <c r="O31" s="199"/>
    </row>
    <row r="32" spans="1:15" x14ac:dyDescent="0.25">
      <c r="A32" s="50"/>
      <c r="B32" s="50" t="str">
        <f>VLOOKUP(C32,'Mapping B'!$I$2:$J$56,2,0)</f>
        <v>Wellington Electricity</v>
      </c>
      <c r="C32" s="7" t="s">
        <v>40</v>
      </c>
      <c r="E32" s="199">
        <f>SUMIFS('Rev Adequacy'!$G$6:$G$3000,'Rev Adequacy'!$B$6:$B$3000,'Beneficiary graphs'!E$4,'Rev Adequacy'!$E$6:$E$3000,'Beneficiary graphs'!$C32)/1000000</f>
        <v>3.8466724999999598E-2</v>
      </c>
      <c r="F32" s="199">
        <f>SUMIFS('Rev Adequacy'!$G$6:$G$3000,'Rev Adequacy'!$B$6:$B$3000,'Beneficiary graphs'!F$4,'Rev Adequacy'!$E$6:$E$3000,'Beneficiary graphs'!$C32)/1000000</f>
        <v>4.8661868309999869</v>
      </c>
      <c r="G32" s="199">
        <f>SUMIFS('Rev Adequacy'!$G$6:$G$3000,'Rev Adequacy'!$B$6:$B$3000,'Beneficiary graphs'!G$4,'Rev Adequacy'!$E$6:$E$3000,'Beneficiary graphs'!$C32)/1000000</f>
        <v>28.470018412999991</v>
      </c>
      <c r="H32" s="199">
        <f>SUMIFS('Rev Adequacy'!$G$6:$G$3000,'Rev Adequacy'!$B$6:$B$3000,'Beneficiary graphs'!H$4,'Rev Adequacy'!$E$6:$E$3000,'Beneficiary graphs'!$C32)/1000000</f>
        <v>117.53653259499961</v>
      </c>
      <c r="I32" s="199">
        <f>SUMIFS('Rev Adequacy'!$G$6:$G$3000,'Rev Adequacy'!$B$6:$B$3000,'Beneficiary graphs'!I$4,'Rev Adequacy'!$E$6:$E$3000,'Beneficiary graphs'!$C32)/1000000</f>
        <v>0.95099658100000228</v>
      </c>
      <c r="J32" s="199">
        <f>SUMIFS('Rev Adequacy'!$G$6:$G$3000,'Rev Adequacy'!$B$6:$B$3000,'Beneficiary graphs'!J$4,'Rev Adequacy'!$E$6:$E$3000,'Beneficiary graphs'!$C32)/1000000</f>
        <v>5.0181200000000599E-4</v>
      </c>
      <c r="K32" s="199">
        <f>SUMIFS('Rev Adequacy'!$G$6:$G$3000,'Rev Adequacy'!$B$6:$B$3000,'Beneficiary graphs'!K$4,'Rev Adequacy'!$E$6:$E$3000,'Beneficiary graphs'!$C32)/1000000</f>
        <v>2.2539029509999917</v>
      </c>
      <c r="L32" s="199"/>
      <c r="M32" s="51">
        <f t="shared" si="1"/>
        <v>1.1471641367261377E-4</v>
      </c>
      <c r="N32" s="51">
        <f t="shared" si="2"/>
        <v>3.3909654593030844E-2</v>
      </c>
      <c r="O32" s="199"/>
    </row>
    <row r="33" spans="1:15" x14ac:dyDescent="0.25">
      <c r="A33" s="50"/>
      <c r="B33" s="50" t="str">
        <f>VLOOKUP(C33,'Mapping B'!$I$2:$J$56,2,0)</f>
        <v>Westpower</v>
      </c>
      <c r="C33" s="7" t="s">
        <v>41</v>
      </c>
      <c r="E33" s="199">
        <f>SUMIFS('Rev Adequacy'!$G$6:$G$3000,'Rev Adequacy'!$B$6:$B$3000,'Beneficiary graphs'!E$4,'Rev Adequacy'!$E$6:$E$3000,'Beneficiary graphs'!$C33)/1000000</f>
        <v>0.13603421900000029</v>
      </c>
      <c r="F33" s="199">
        <f>SUMIFS('Rev Adequacy'!$G$6:$G$3000,'Rev Adequacy'!$B$6:$B$3000,'Beneficiary graphs'!F$4,'Rev Adequacy'!$E$6:$E$3000,'Beneficiary graphs'!$C33)/1000000</f>
        <v>0.37738692799999896</v>
      </c>
      <c r="G33" s="199">
        <f>SUMIFS('Rev Adequacy'!$G$6:$G$3000,'Rev Adequacy'!$B$6:$B$3000,'Beneficiary graphs'!G$4,'Rev Adequacy'!$E$6:$E$3000,'Beneficiary graphs'!$C33)/1000000</f>
        <v>0</v>
      </c>
      <c r="H33" s="199">
        <f>SUMIFS('Rev Adequacy'!$G$6:$G$3000,'Rev Adequacy'!$B$6:$B$3000,'Beneficiary graphs'!H$4,'Rev Adequacy'!$E$6:$E$3000,'Beneficiary graphs'!$C33)/1000000</f>
        <v>0</v>
      </c>
      <c r="I33" s="199">
        <f>SUMIFS('Rev Adequacy'!$G$6:$G$3000,'Rev Adequacy'!$B$6:$B$3000,'Beneficiary graphs'!I$4,'Rev Adequacy'!$E$6:$E$3000,'Beneficiary graphs'!$C33)/1000000</f>
        <v>5.9326363999998598E-2</v>
      </c>
      <c r="J33" s="199">
        <f>SUMIFS('Rev Adequacy'!$G$6:$G$3000,'Rev Adequacy'!$B$6:$B$3000,'Beneficiary graphs'!J$4,'Rev Adequacy'!$E$6:$E$3000,'Beneficiary graphs'!$C33)/1000000</f>
        <v>2.8156214000000297E-2</v>
      </c>
      <c r="K33" s="199">
        <f>SUMIFS('Rev Adequacy'!$G$6:$G$3000,'Rev Adequacy'!$B$6:$B$3000,'Beneficiary graphs'!K$4,'Rev Adequacy'!$E$6:$E$3000,'Beneficiary graphs'!$C33)/1000000</f>
        <v>0.1676586479999998</v>
      </c>
      <c r="L33" s="199"/>
      <c r="M33" s="51">
        <f t="shared" si="1"/>
        <v>4.0568459468372036E-4</v>
      </c>
      <c r="N33" s="51">
        <f t="shared" si="2"/>
        <v>2.6297922420243794E-3</v>
      </c>
      <c r="O33" s="199"/>
    </row>
    <row r="34" spans="1:15" x14ac:dyDescent="0.25">
      <c r="A34" s="50"/>
      <c r="B34" s="50"/>
      <c r="E34" s="199">
        <f>SUMIFS('Rev Adequacy'!$G$6:$G$3000,'Rev Adequacy'!$B$6:$B$3000,'Beneficiary graphs'!E$4,'Rev Adequacy'!$E$6:$E$3000,'Beneficiary graphs'!$C34)/1000000</f>
        <v>0</v>
      </c>
      <c r="F34" s="199">
        <f>SUMIFS('Rev Adequacy'!$G$6:$G$3000,'Rev Adequacy'!$B$6:$B$3000,'Beneficiary graphs'!F$4,'Rev Adequacy'!$E$6:$E$3000,'Beneficiary graphs'!$C34)/1000000</f>
        <v>0</v>
      </c>
      <c r="G34" s="199">
        <f>SUMIFS('Rev Adequacy'!$G$6:$G$3000,'Rev Adequacy'!$B$6:$B$3000,'Beneficiary graphs'!G$4,'Rev Adequacy'!$E$6:$E$3000,'Beneficiary graphs'!$C34)/1000000</f>
        <v>0</v>
      </c>
      <c r="H34" s="199">
        <f>SUMIFS('Rev Adequacy'!$G$6:$G$3000,'Rev Adequacy'!$B$6:$B$3000,'Beneficiary graphs'!H$4,'Rev Adequacy'!$E$6:$E$3000,'Beneficiary graphs'!$C34)/1000000</f>
        <v>0</v>
      </c>
      <c r="I34" s="199">
        <f>SUMIFS('Rev Adequacy'!$G$6:$G$3000,'Rev Adequacy'!$B$6:$B$3000,'Beneficiary graphs'!I$4,'Rev Adequacy'!$E$6:$E$3000,'Beneficiary graphs'!$C34)/1000000</f>
        <v>0</v>
      </c>
      <c r="J34" s="199">
        <f>SUMIFS('Rev Adequacy'!$G$6:$G$3000,'Rev Adequacy'!$B$6:$B$3000,'Beneficiary graphs'!J$4,'Rev Adequacy'!$E$6:$E$3000,'Beneficiary graphs'!$C34)/1000000</f>
        <v>0</v>
      </c>
      <c r="K34" s="199">
        <f>SUMIFS('Rev Adequacy'!$G$6:$G$3000,'Rev Adequacy'!$B$6:$B$3000,'Beneficiary graphs'!K$4,'Rev Adequacy'!$E$6:$E$3000,'Beneficiary graphs'!$C34)/1000000</f>
        <v>0</v>
      </c>
      <c r="L34" s="199"/>
      <c r="M34" s="51">
        <f t="shared" si="1"/>
        <v>0</v>
      </c>
      <c r="N34" s="51">
        <f t="shared" si="2"/>
        <v>0</v>
      </c>
      <c r="O34" s="199"/>
    </row>
    <row r="35" spans="1:15" x14ac:dyDescent="0.25">
      <c r="A35" s="50"/>
      <c r="B35" s="50"/>
      <c r="E35" s="199">
        <f>SUMIFS('Rev Adequacy'!$G$6:$G$3000,'Rev Adequacy'!$B$6:$B$3000,'Beneficiary graphs'!E$4,'Rev Adequacy'!$E$6:$E$3000,'Beneficiary graphs'!$C35)/1000000</f>
        <v>0</v>
      </c>
      <c r="F35" s="199">
        <f>SUMIFS('Rev Adequacy'!$G$6:$G$3000,'Rev Adequacy'!$B$6:$B$3000,'Beneficiary graphs'!F$4,'Rev Adequacy'!$E$6:$E$3000,'Beneficiary graphs'!$C35)/1000000</f>
        <v>0</v>
      </c>
      <c r="G35" s="199">
        <f>SUMIFS('Rev Adequacy'!$G$6:$G$3000,'Rev Adequacy'!$B$6:$B$3000,'Beneficiary graphs'!G$4,'Rev Adequacy'!$E$6:$E$3000,'Beneficiary graphs'!$C35)/1000000</f>
        <v>0</v>
      </c>
      <c r="H35" s="199">
        <f>SUMIFS('Rev Adequacy'!$G$6:$G$3000,'Rev Adequacy'!$B$6:$B$3000,'Beneficiary graphs'!H$4,'Rev Adequacy'!$E$6:$E$3000,'Beneficiary graphs'!$C35)/1000000</f>
        <v>0</v>
      </c>
      <c r="I35" s="199">
        <f>SUMIFS('Rev Adequacy'!$G$6:$G$3000,'Rev Adequacy'!$B$6:$B$3000,'Beneficiary graphs'!I$4,'Rev Adequacy'!$E$6:$E$3000,'Beneficiary graphs'!$C35)/1000000</f>
        <v>0</v>
      </c>
      <c r="J35" s="199">
        <f>SUMIFS('Rev Adequacy'!$G$6:$G$3000,'Rev Adequacy'!$B$6:$B$3000,'Beneficiary graphs'!J$4,'Rev Adequacy'!$E$6:$E$3000,'Beneficiary graphs'!$C35)/1000000</f>
        <v>0</v>
      </c>
      <c r="K35" s="199">
        <f>SUMIFS('Rev Adequacy'!$G$6:$G$3000,'Rev Adequacy'!$B$6:$B$3000,'Beneficiary graphs'!K$4,'Rev Adequacy'!$E$6:$E$3000,'Beneficiary graphs'!$C35)/1000000</f>
        <v>0</v>
      </c>
      <c r="L35" s="199"/>
      <c r="M35" s="51">
        <f t="shared" si="1"/>
        <v>0</v>
      </c>
      <c r="N35" s="51">
        <f t="shared" si="2"/>
        <v>0</v>
      </c>
      <c r="O35" s="199"/>
    </row>
    <row r="36" spans="1:15" x14ac:dyDescent="0.25">
      <c r="A36" s="50"/>
      <c r="B36" s="50" t="str">
        <f>VLOOKUP(C36,'Mapping B'!$I$2:$J$56,2,0)</f>
        <v>Contact</v>
      </c>
      <c r="C36" s="7" t="s">
        <v>4</v>
      </c>
      <c r="E36" s="199">
        <f>SUMIFS('Rev Adequacy'!$G$6:$G$3000,'Rev Adequacy'!$B$6:$B$3000,'Beneficiary graphs'!E$4,'Rev Adequacy'!$E$6:$E$3000,'Beneficiary graphs'!$C36)/1000000</f>
        <v>0.94592563366766391</v>
      </c>
      <c r="F36" s="199">
        <f>SUMIFS('Rev Adequacy'!$G$6:$G$3000,'Rev Adequacy'!$B$6:$B$3000,'Beneficiary graphs'!F$4,'Rev Adequacy'!$E$6:$E$3000,'Beneficiary graphs'!$C36)/1000000</f>
        <v>0.11270865997508965</v>
      </c>
      <c r="G36" s="199">
        <f>SUMIFS('Rev Adequacy'!$G$6:$G$3000,'Rev Adequacy'!$B$6:$B$3000,'Beneficiary graphs'!G$4,'Rev Adequacy'!$E$6:$E$3000,'Beneficiary graphs'!$C36)/1000000</f>
        <v>79.080210274389827</v>
      </c>
      <c r="H36" s="199">
        <f>SUMIFS('Rev Adequacy'!$G$6:$G$3000,'Rev Adequacy'!$B$6:$B$3000,'Beneficiary graphs'!H$4,'Rev Adequacy'!$E$6:$E$3000,'Beneficiary graphs'!$C36)/1000000</f>
        <v>78.066132151988754</v>
      </c>
      <c r="I36" s="199">
        <f>SUMIFS('Rev Adequacy'!$G$6:$G$3000,'Rev Adequacy'!$B$6:$B$3000,'Beneficiary graphs'!I$4,'Rev Adequacy'!$E$6:$E$3000,'Beneficiary graphs'!$C36)/1000000</f>
        <v>5.1425540472914213E-3</v>
      </c>
      <c r="J36" s="199">
        <f>SUMIFS('Rev Adequacy'!$G$6:$G$3000,'Rev Adequacy'!$B$6:$B$3000,'Beneficiary graphs'!J$4,'Rev Adequacy'!$E$6:$E$3000,'Beneficiary graphs'!$C36)/1000000</f>
        <v>9.8654917767568073E-2</v>
      </c>
      <c r="K36" s="199">
        <f>SUMIFS('Rev Adequacy'!$G$6:$G$3000,'Rev Adequacy'!$B$6:$B$3000,'Beneficiary graphs'!K$4,'Rev Adequacy'!$E$6:$E$3000,'Beneficiary graphs'!$C36)/1000000</f>
        <v>2.4205088479900221</v>
      </c>
      <c r="L36" s="199"/>
      <c r="M36" s="51">
        <f t="shared" si="1"/>
        <v>2.8209626968594332E-3</v>
      </c>
      <c r="N36" s="51">
        <f t="shared" si="2"/>
        <v>7.8540176572161309E-4</v>
      </c>
      <c r="O36" s="199"/>
    </row>
    <row r="37" spans="1:15" x14ac:dyDescent="0.25">
      <c r="A37" s="50"/>
      <c r="B37" s="50" t="str">
        <f>VLOOKUP(C37,'Mapping B'!$I$2:$J$56,2,0)</f>
        <v>Genesis</v>
      </c>
      <c r="C37" s="7" t="s">
        <v>10</v>
      </c>
      <c r="E37" s="199">
        <f>SUMIFS('Rev Adequacy'!$G$6:$G$3000,'Rev Adequacy'!$B$6:$B$3000,'Beneficiary graphs'!E$4,'Rev Adequacy'!$E$6:$E$3000,'Beneficiary graphs'!$C37)/1000000</f>
        <v>2.1279011458069017</v>
      </c>
      <c r="F37" s="199">
        <f>SUMIFS('Rev Adequacy'!$G$6:$G$3000,'Rev Adequacy'!$B$6:$B$3000,'Beneficiary graphs'!F$4,'Rev Adequacy'!$E$6:$E$3000,'Beneficiary graphs'!$C37)/1000000</f>
        <v>1.4069614692762654E-3</v>
      </c>
      <c r="G37" s="199">
        <f>SUMIFS('Rev Adequacy'!$G$6:$G$3000,'Rev Adequacy'!$B$6:$B$3000,'Beneficiary graphs'!G$4,'Rev Adequacy'!$E$6:$E$3000,'Beneficiary graphs'!$C37)/1000000</f>
        <v>17.23456891524949</v>
      </c>
      <c r="H37" s="199">
        <f>SUMIFS('Rev Adequacy'!$G$6:$G$3000,'Rev Adequacy'!$B$6:$B$3000,'Beneficiary graphs'!H$4,'Rev Adequacy'!$E$6:$E$3000,'Beneficiary graphs'!$C37)/1000000</f>
        <v>13.354502271153693</v>
      </c>
      <c r="I37" s="199">
        <f>SUMIFS('Rev Adequacy'!$G$6:$G$3000,'Rev Adequacy'!$B$6:$B$3000,'Beneficiary graphs'!I$4,'Rev Adequacy'!$E$6:$E$3000,'Beneficiary graphs'!$C37)/1000000</f>
        <v>1.18517427109337E-4</v>
      </c>
      <c r="J37" s="199">
        <f>SUMIFS('Rev Adequacy'!$G$6:$G$3000,'Rev Adequacy'!$B$6:$B$3000,'Beneficiary graphs'!J$4,'Rev Adequacy'!$E$6:$E$3000,'Beneficiary graphs'!$C37)/1000000</f>
        <v>5.4173024592274625E-2</v>
      </c>
      <c r="K37" s="199">
        <f>SUMIFS('Rev Adequacy'!$G$6:$G$3000,'Rev Adequacy'!$B$6:$B$3000,'Beneficiary graphs'!K$4,'Rev Adequacy'!$E$6:$E$3000,'Beneficiary graphs'!$C37)/1000000</f>
        <v>0.96135374217882286</v>
      </c>
      <c r="L37" s="199"/>
      <c r="M37" s="51">
        <f t="shared" ref="M37:M58" si="3">E37/SUM($E$5:$E$58)</f>
        <v>6.3458791487140094E-3</v>
      </c>
      <c r="N37" s="51">
        <f t="shared" ref="N37:N58" si="4">F37/SUM($F$5:$F$58)</f>
        <v>9.8043045007906452E-6</v>
      </c>
      <c r="O37" s="199"/>
    </row>
    <row r="38" spans="1:15" x14ac:dyDescent="0.25">
      <c r="A38" s="50"/>
      <c r="B38" s="50" t="str">
        <f>VLOOKUP(C38,'Mapping B'!$I$2:$J$56,2,0)</f>
        <v>Meridian</v>
      </c>
      <c r="C38" s="7" t="s">
        <v>14</v>
      </c>
      <c r="E38" s="199">
        <f>SUMIFS('Rev Adequacy'!$G$6:$G$3000,'Rev Adequacy'!$B$6:$B$3000,'Beneficiary graphs'!E$4,'Rev Adequacy'!$E$6:$E$3000,'Beneficiary graphs'!$C38)/1000000</f>
        <v>4.7188306658923915E-2</v>
      </c>
      <c r="F38" s="199">
        <f>SUMIFS('Rev Adequacy'!$G$6:$G$3000,'Rev Adequacy'!$B$6:$B$3000,'Beneficiary graphs'!F$4,'Rev Adequacy'!$E$6:$E$3000,'Beneficiary graphs'!$C38)/1000000</f>
        <v>1.0363706466023657E-2</v>
      </c>
      <c r="G38" s="199">
        <f>SUMIFS('Rev Adequacy'!$G$6:$G$3000,'Rev Adequacy'!$B$6:$B$3000,'Beneficiary graphs'!G$4,'Rev Adequacy'!$E$6:$E$3000,'Beneficiary graphs'!$C38)/1000000</f>
        <v>227.21458868799971</v>
      </c>
      <c r="H38" s="199">
        <f>SUMIFS('Rev Adequacy'!$G$6:$G$3000,'Rev Adequacy'!$B$6:$B$3000,'Beneficiary graphs'!H$4,'Rev Adequacy'!$E$6:$E$3000,'Beneficiary graphs'!$C38)/1000000</f>
        <v>216.47232237399794</v>
      </c>
      <c r="I38" s="199">
        <f>SUMIFS('Rev Adequacy'!$G$6:$G$3000,'Rev Adequacy'!$B$6:$B$3000,'Beneficiary graphs'!I$4,'Rev Adequacy'!$E$6:$E$3000,'Beneficiary graphs'!$C38)/1000000</f>
        <v>1.7129437137885688E-3</v>
      </c>
      <c r="J38" s="199">
        <f>SUMIFS('Rev Adequacy'!$G$6:$G$3000,'Rev Adequacy'!$B$6:$B$3000,'Beneficiary graphs'!J$4,'Rev Adequacy'!$E$6:$E$3000,'Beneficiary graphs'!$C38)/1000000</f>
        <v>0.11678435347926659</v>
      </c>
      <c r="K38" s="199">
        <f>SUMIFS('Rev Adequacy'!$G$6:$G$3000,'Rev Adequacy'!$B$6:$B$3000,'Beneficiary graphs'!K$4,'Rev Adequacy'!$E$6:$E$3000,'Beneficiary graphs'!$C38)/1000000</f>
        <v>4.0891058198158697E-3</v>
      </c>
      <c r="L38" s="199"/>
      <c r="M38" s="51">
        <f t="shared" si="3"/>
        <v>1.407261290685736E-4</v>
      </c>
      <c r="N38" s="51">
        <f t="shared" si="4"/>
        <v>7.2218704043100788E-5</v>
      </c>
      <c r="O38" s="199"/>
    </row>
    <row r="39" spans="1:15" x14ac:dyDescent="0.25">
      <c r="A39" s="50"/>
      <c r="B39" s="50" t="str">
        <f>VLOOKUP(C39,'Mapping B'!$I$2:$J$56,2,0)</f>
        <v>Tuaropaki</v>
      </c>
      <c r="C39" s="7" t="s">
        <v>16</v>
      </c>
      <c r="E39" s="199">
        <f>SUMIFS('Rev Adequacy'!$G$6:$G$3000,'Rev Adequacy'!$B$6:$B$3000,'Beneficiary graphs'!E$4,'Rev Adequacy'!$E$6:$E$3000,'Beneficiary graphs'!$C39)/1000000</f>
        <v>0.27483723099999896</v>
      </c>
      <c r="F39" s="199">
        <f>SUMIFS('Rev Adequacy'!$G$6:$G$3000,'Rev Adequacy'!$B$6:$B$3000,'Beneficiary graphs'!F$4,'Rev Adequacy'!$E$6:$E$3000,'Beneficiary graphs'!$C39)/1000000</f>
        <v>0</v>
      </c>
      <c r="G39" s="199">
        <f>SUMIFS('Rev Adequacy'!$G$6:$G$3000,'Rev Adequacy'!$B$6:$B$3000,'Beneficiary graphs'!G$4,'Rev Adequacy'!$E$6:$E$3000,'Beneficiary graphs'!$C39)/1000000</f>
        <v>0</v>
      </c>
      <c r="H39" s="199">
        <f>SUMIFS('Rev Adequacy'!$G$6:$G$3000,'Rev Adequacy'!$B$6:$B$3000,'Beneficiary graphs'!H$4,'Rev Adequacy'!$E$6:$E$3000,'Beneficiary graphs'!$C39)/1000000</f>
        <v>0</v>
      </c>
      <c r="I39" s="199">
        <f>SUMIFS('Rev Adequacy'!$G$6:$G$3000,'Rev Adequacy'!$B$6:$B$3000,'Beneficiary graphs'!I$4,'Rev Adequacy'!$E$6:$E$3000,'Beneficiary graphs'!$C39)/1000000</f>
        <v>0</v>
      </c>
      <c r="J39" s="199">
        <f>SUMIFS('Rev Adequacy'!$G$6:$G$3000,'Rev Adequacy'!$B$6:$B$3000,'Beneficiary graphs'!J$4,'Rev Adequacy'!$E$6:$E$3000,'Beneficiary graphs'!$C39)/1000000</f>
        <v>0</v>
      </c>
      <c r="K39" s="199">
        <f>SUMIFS('Rev Adequacy'!$G$6:$G$3000,'Rev Adequacy'!$B$6:$B$3000,'Beneficiary graphs'!K$4,'Rev Adequacy'!$E$6:$E$3000,'Beneficiary graphs'!$C39)/1000000</f>
        <v>0</v>
      </c>
      <c r="L39" s="199"/>
      <c r="M39" s="51">
        <f t="shared" si="3"/>
        <v>8.1962635197126653E-4</v>
      </c>
      <c r="N39" s="51">
        <f t="shared" si="4"/>
        <v>0</v>
      </c>
      <c r="O39" s="199"/>
    </row>
    <row r="40" spans="1:15" x14ac:dyDescent="0.25">
      <c r="A40" s="50"/>
      <c r="B40" s="50" t="str">
        <f>VLOOKUP(C40,'Mapping B'!$I$2:$J$56,2,0)</f>
        <v>Mercury</v>
      </c>
      <c r="C40" s="7" t="s">
        <v>17</v>
      </c>
      <c r="E40" s="199">
        <f>SUMIFS('Rev Adequacy'!$G$6:$G$3000,'Rev Adequacy'!$B$6:$B$3000,'Beneficiary graphs'!E$4,'Rev Adequacy'!$E$6:$E$3000,'Beneficiary graphs'!$C40)/1000000</f>
        <v>4.629667245999987</v>
      </c>
      <c r="F40" s="199">
        <f>SUMIFS('Rev Adequacy'!$G$6:$G$3000,'Rev Adequacy'!$B$6:$B$3000,'Beneficiary graphs'!F$4,'Rev Adequacy'!$E$6:$E$3000,'Beneficiary graphs'!$C40)/1000000</f>
        <v>2.1819101000000004E-2</v>
      </c>
      <c r="G40" s="199">
        <f>SUMIFS('Rev Adequacy'!$G$6:$G$3000,'Rev Adequacy'!$B$6:$B$3000,'Beneficiary graphs'!G$4,'Rev Adequacy'!$E$6:$E$3000,'Beneficiary graphs'!$C40)/1000000</f>
        <v>2.42802739999999E-2</v>
      </c>
      <c r="H40" s="199">
        <f>SUMIFS('Rev Adequacy'!$G$6:$G$3000,'Rev Adequacy'!$B$6:$B$3000,'Beneficiary graphs'!H$4,'Rev Adequacy'!$E$6:$E$3000,'Beneficiary graphs'!$C40)/1000000</f>
        <v>0.136138492999998</v>
      </c>
      <c r="I40" s="199">
        <f>SUMIFS('Rev Adequacy'!$G$6:$G$3000,'Rev Adequacy'!$B$6:$B$3000,'Beneficiary graphs'!I$4,'Rev Adequacy'!$E$6:$E$3000,'Beneficiary graphs'!$C40)/1000000</f>
        <v>1.6140540000000199E-3</v>
      </c>
      <c r="J40" s="199">
        <f>SUMIFS('Rev Adequacy'!$G$6:$G$3000,'Rev Adequacy'!$B$6:$B$3000,'Beneficiary graphs'!J$4,'Rev Adequacy'!$E$6:$E$3000,'Beneficiary graphs'!$C40)/1000000</f>
        <v>3.3311195000000023E-2</v>
      </c>
      <c r="K40" s="199">
        <f>SUMIFS('Rev Adequacy'!$G$6:$G$3000,'Rev Adequacy'!$B$6:$B$3000,'Beneficiary graphs'!K$4,'Rev Adequacy'!$E$6:$E$3000,'Beneficiary graphs'!$C40)/1000000</f>
        <v>0.74064572799999684</v>
      </c>
      <c r="L40" s="199"/>
      <c r="M40" s="51">
        <f t="shared" si="3"/>
        <v>1.3806707562411164E-2</v>
      </c>
      <c r="N40" s="51">
        <f t="shared" si="4"/>
        <v>1.5204475375402124E-4</v>
      </c>
      <c r="O40" s="199"/>
    </row>
    <row r="41" spans="1:15" x14ac:dyDescent="0.25">
      <c r="A41" s="50"/>
      <c r="B41" s="50" t="str">
        <f>VLOOKUP(C41,'Mapping B'!$I$2:$J$56,2,0)</f>
        <v>Nga Awa Purua JV</v>
      </c>
      <c r="C41" s="7" t="s">
        <v>18</v>
      </c>
      <c r="E41" s="199">
        <f>SUMIFS('Rev Adequacy'!$G$6:$G$3000,'Rev Adequacy'!$B$6:$B$3000,'Beneficiary graphs'!E$4,'Rev Adequacy'!$E$6:$E$3000,'Beneficiary graphs'!$C41)/1000000</f>
        <v>0.19193210600000099</v>
      </c>
      <c r="F41" s="199">
        <f>SUMIFS('Rev Adequacy'!$G$6:$G$3000,'Rev Adequacy'!$B$6:$B$3000,'Beneficiary graphs'!F$4,'Rev Adequacy'!$E$6:$E$3000,'Beneficiary graphs'!$C41)/1000000</f>
        <v>0</v>
      </c>
      <c r="G41" s="199">
        <f>SUMIFS('Rev Adequacy'!$G$6:$G$3000,'Rev Adequacy'!$B$6:$B$3000,'Beneficiary graphs'!G$4,'Rev Adequacy'!$E$6:$E$3000,'Beneficiary graphs'!$C41)/1000000</f>
        <v>0</v>
      </c>
      <c r="H41" s="199">
        <f>SUMIFS('Rev Adequacy'!$G$6:$G$3000,'Rev Adequacy'!$B$6:$B$3000,'Beneficiary graphs'!H$4,'Rev Adequacy'!$E$6:$E$3000,'Beneficiary graphs'!$C41)/1000000</f>
        <v>0</v>
      </c>
      <c r="I41" s="199">
        <f>SUMIFS('Rev Adequacy'!$G$6:$G$3000,'Rev Adequacy'!$B$6:$B$3000,'Beneficiary graphs'!I$4,'Rev Adequacy'!$E$6:$E$3000,'Beneficiary graphs'!$C41)/1000000</f>
        <v>0</v>
      </c>
      <c r="J41" s="199">
        <f>SUMIFS('Rev Adequacy'!$G$6:$G$3000,'Rev Adequacy'!$B$6:$B$3000,'Beneficiary graphs'!J$4,'Rev Adequacy'!$E$6:$E$3000,'Beneficiary graphs'!$C41)/1000000</f>
        <v>0</v>
      </c>
      <c r="K41" s="199">
        <f>SUMIFS('Rev Adequacy'!$G$6:$G$3000,'Rev Adequacy'!$B$6:$B$3000,'Beneficiary graphs'!K$4,'Rev Adequacy'!$E$6:$E$3000,'Beneficiary graphs'!$C41)/1000000</f>
        <v>1.18099032699999</v>
      </c>
      <c r="L41" s="199"/>
      <c r="M41" s="51">
        <f t="shared" si="3"/>
        <v>5.7238464852290649E-4</v>
      </c>
      <c r="N41" s="51">
        <f t="shared" si="4"/>
        <v>0</v>
      </c>
      <c r="O41" s="199"/>
    </row>
    <row r="42" spans="1:15" x14ac:dyDescent="0.25">
      <c r="A42" s="50"/>
      <c r="B42" s="50" t="str">
        <f>VLOOKUP(C42,'Mapping B'!$I$2:$J$56,2,0)</f>
        <v>Ngatamariki</v>
      </c>
      <c r="C42" s="7" t="s">
        <v>21</v>
      </c>
      <c r="E42" s="199">
        <f>SUMIFS('Rev Adequacy'!$G$6:$G$3000,'Rev Adequacy'!$B$6:$B$3000,'Beneficiary graphs'!E$4,'Rev Adequacy'!$E$6:$E$3000,'Beneficiary graphs'!$C42)/1000000</f>
        <v>0.13047832299999901</v>
      </c>
      <c r="F42" s="199">
        <f>SUMIFS('Rev Adequacy'!$G$6:$G$3000,'Rev Adequacy'!$B$6:$B$3000,'Beneficiary graphs'!F$4,'Rev Adequacy'!$E$6:$E$3000,'Beneficiary graphs'!$C42)/1000000</f>
        <v>0</v>
      </c>
      <c r="G42" s="199">
        <f>SUMIFS('Rev Adequacy'!$G$6:$G$3000,'Rev Adequacy'!$B$6:$B$3000,'Beneficiary graphs'!G$4,'Rev Adequacy'!$E$6:$E$3000,'Beneficiary graphs'!$C42)/1000000</f>
        <v>0</v>
      </c>
      <c r="H42" s="199">
        <f>SUMIFS('Rev Adequacy'!$G$6:$G$3000,'Rev Adequacy'!$B$6:$B$3000,'Beneficiary graphs'!H$4,'Rev Adequacy'!$E$6:$E$3000,'Beneficiary graphs'!$C42)/1000000</f>
        <v>0</v>
      </c>
      <c r="I42" s="199">
        <f>SUMIFS('Rev Adequacy'!$G$6:$G$3000,'Rev Adequacy'!$B$6:$B$3000,'Beneficiary graphs'!I$4,'Rev Adequacy'!$E$6:$E$3000,'Beneficiary graphs'!$C42)/1000000</f>
        <v>0</v>
      </c>
      <c r="J42" s="199">
        <f>SUMIFS('Rev Adequacy'!$G$6:$G$3000,'Rev Adequacy'!$B$6:$B$3000,'Beneficiary graphs'!J$4,'Rev Adequacy'!$E$6:$E$3000,'Beneficiary graphs'!$C42)/1000000</f>
        <v>0</v>
      </c>
      <c r="K42" s="199">
        <f>SUMIFS('Rev Adequacy'!$G$6:$G$3000,'Rev Adequacy'!$B$6:$B$3000,'Beneficiary graphs'!K$4,'Rev Adequacy'!$E$6:$E$3000,'Beneficiary graphs'!$C42)/1000000</f>
        <v>0.70772691899999896</v>
      </c>
      <c r="L42" s="199"/>
      <c r="M42" s="51">
        <f t="shared" si="3"/>
        <v>3.8911566494358326E-4</v>
      </c>
      <c r="N42" s="51">
        <f t="shared" si="4"/>
        <v>0</v>
      </c>
      <c r="O42" s="199"/>
    </row>
    <row r="43" spans="1:15" x14ac:dyDescent="0.25">
      <c r="A43" s="50"/>
      <c r="B43" s="50" t="str">
        <f>VLOOKUP(C43,'Mapping B'!$I$2:$J$56,2,0)</f>
        <v>Pioneer</v>
      </c>
      <c r="C43" s="7" t="s">
        <v>27</v>
      </c>
      <c r="E43" s="199">
        <f>SUMIFS('Rev Adequacy'!$G$6:$G$3000,'Rev Adequacy'!$B$6:$B$3000,'Beneficiary graphs'!E$4,'Rev Adequacy'!$E$6:$E$3000,'Beneficiary graphs'!$C43)/1000000</f>
        <v>0</v>
      </c>
      <c r="F43" s="199">
        <f>SUMIFS('Rev Adequacy'!$G$6:$G$3000,'Rev Adequacy'!$B$6:$B$3000,'Beneficiary graphs'!F$4,'Rev Adequacy'!$E$6:$E$3000,'Beneficiary graphs'!$C43)/1000000</f>
        <v>0</v>
      </c>
      <c r="G43" s="199">
        <f>SUMIFS('Rev Adequacy'!$G$6:$G$3000,'Rev Adequacy'!$B$6:$B$3000,'Beneficiary graphs'!G$4,'Rev Adequacy'!$E$6:$E$3000,'Beneficiary graphs'!$C43)/1000000</f>
        <v>0.62501885100000099</v>
      </c>
      <c r="H43" s="199">
        <f>SUMIFS('Rev Adequacy'!$G$6:$G$3000,'Rev Adequacy'!$B$6:$B$3000,'Beneficiary graphs'!H$4,'Rev Adequacy'!$E$6:$E$3000,'Beneficiary graphs'!$C43)/1000000</f>
        <v>0.58984969300000101</v>
      </c>
      <c r="I43" s="199">
        <f>SUMIFS('Rev Adequacy'!$G$6:$G$3000,'Rev Adequacy'!$B$6:$B$3000,'Beneficiary graphs'!I$4,'Rev Adequacy'!$E$6:$E$3000,'Beneficiary graphs'!$C43)/1000000</f>
        <v>0</v>
      </c>
      <c r="J43" s="199">
        <f>SUMIFS('Rev Adequacy'!$G$6:$G$3000,'Rev Adequacy'!$B$6:$B$3000,'Beneficiary graphs'!J$4,'Rev Adequacy'!$E$6:$E$3000,'Beneficiary graphs'!$C43)/1000000</f>
        <v>0</v>
      </c>
      <c r="K43" s="199">
        <f>SUMIFS('Rev Adequacy'!$G$6:$G$3000,'Rev Adequacy'!$B$6:$B$3000,'Beneficiary graphs'!K$4,'Rev Adequacy'!$E$6:$E$3000,'Beneficiary graphs'!$C43)/1000000</f>
        <v>0</v>
      </c>
      <c r="L43" s="199"/>
      <c r="M43" s="51">
        <f t="shared" si="3"/>
        <v>0</v>
      </c>
      <c r="N43" s="51">
        <f t="shared" si="4"/>
        <v>0</v>
      </c>
      <c r="O43" s="199"/>
    </row>
    <row r="44" spans="1:15" x14ac:dyDescent="0.25">
      <c r="A44" s="50"/>
      <c r="B44" s="50" t="str">
        <f>VLOOKUP(C44,'Mapping B'!$I$2:$J$56,2,0)</f>
        <v>Todd</v>
      </c>
      <c r="C44" s="7" t="s">
        <v>33</v>
      </c>
      <c r="E44" s="199">
        <f>SUMIFS('Rev Adequacy'!$G$6:$G$3000,'Rev Adequacy'!$B$6:$B$3000,'Beneficiary graphs'!E$4,'Rev Adequacy'!$E$6:$E$3000,'Beneficiary graphs'!$C44)/1000000</f>
        <v>9.7782881999999988E-2</v>
      </c>
      <c r="F44" s="199">
        <f>SUMIFS('Rev Adequacy'!$G$6:$G$3000,'Rev Adequacy'!$B$6:$B$3000,'Beneficiary graphs'!F$4,'Rev Adequacy'!$E$6:$E$3000,'Beneficiary graphs'!$C44)/1000000</f>
        <v>2.0109439999999898E-3</v>
      </c>
      <c r="G44" s="199">
        <f>SUMIFS('Rev Adequacy'!$G$6:$G$3000,'Rev Adequacy'!$B$6:$B$3000,'Beneficiary graphs'!G$4,'Rev Adequacy'!$E$6:$E$3000,'Beneficiary graphs'!$C44)/1000000</f>
        <v>1.0818189000000001E-2</v>
      </c>
      <c r="H44" s="199">
        <f>SUMIFS('Rev Adequacy'!$G$6:$G$3000,'Rev Adequacy'!$B$6:$B$3000,'Beneficiary graphs'!H$4,'Rev Adequacy'!$E$6:$E$3000,'Beneficiary graphs'!$C44)/1000000</f>
        <v>3.7768659999999697E-2</v>
      </c>
      <c r="I44" s="199">
        <f>SUMIFS('Rev Adequacy'!$G$6:$G$3000,'Rev Adequacy'!$B$6:$B$3000,'Beneficiary graphs'!I$4,'Rev Adequacy'!$E$6:$E$3000,'Beneficiary graphs'!$C44)/1000000</f>
        <v>2.06601E-4</v>
      </c>
      <c r="J44" s="199">
        <f>SUMIFS('Rev Adequacy'!$G$6:$G$3000,'Rev Adequacy'!$B$6:$B$3000,'Beneficiary graphs'!J$4,'Rev Adequacy'!$E$6:$E$3000,'Beneficiary graphs'!$C44)/1000000</f>
        <v>4.0250890000000008E-3</v>
      </c>
      <c r="K44" s="199">
        <f>SUMIFS('Rev Adequacy'!$G$6:$G$3000,'Rev Adequacy'!$B$6:$B$3000,'Beneficiary graphs'!K$4,'Rev Adequacy'!$E$6:$E$3000,'Beneficiary graphs'!$C44)/1000000</f>
        <v>3.9602599999999898E-4</v>
      </c>
      <c r="L44" s="199"/>
      <c r="M44" s="51">
        <f t="shared" si="3"/>
        <v>2.9161051640378782E-4</v>
      </c>
      <c r="N44" s="51">
        <f t="shared" si="4"/>
        <v>1.4013111048577339E-5</v>
      </c>
      <c r="O44" s="199"/>
    </row>
    <row r="45" spans="1:15" x14ac:dyDescent="0.25">
      <c r="A45" s="50"/>
      <c r="B45" s="50" t="str">
        <f>VLOOKUP(C45,'Mapping B'!$I$2:$J$56,2,0)</f>
        <v>Trustpower</v>
      </c>
      <c r="C45" s="7" t="s">
        <v>35</v>
      </c>
      <c r="E45" s="199">
        <f>SUMIFS('Rev Adequacy'!$G$6:$G$3000,'Rev Adequacy'!$B$6:$B$3000,'Beneficiary graphs'!E$4,'Rev Adequacy'!$E$6:$E$3000,'Beneficiary graphs'!$C45)/1000000</f>
        <v>0.8723745509999955</v>
      </c>
      <c r="F45" s="199">
        <f>SUMIFS('Rev Adequacy'!$G$6:$G$3000,'Rev Adequacy'!$B$6:$B$3000,'Beneficiary graphs'!F$4,'Rev Adequacy'!$E$6:$E$3000,'Beneficiary graphs'!$C45)/1000000</f>
        <v>1.1902899999999971E-3</v>
      </c>
      <c r="G45" s="199">
        <f>SUMIFS('Rev Adequacy'!$G$6:$G$3000,'Rev Adequacy'!$B$6:$B$3000,'Beneficiary graphs'!G$4,'Rev Adequacy'!$E$6:$E$3000,'Beneficiary graphs'!$C45)/1000000</f>
        <v>15.107221050999998</v>
      </c>
      <c r="H45" s="199">
        <f>SUMIFS('Rev Adequacy'!$G$6:$G$3000,'Rev Adequacy'!$B$6:$B$3000,'Beneficiary graphs'!H$4,'Rev Adequacy'!$E$6:$E$3000,'Beneficiary graphs'!$C45)/1000000</f>
        <v>10.189727886999977</v>
      </c>
      <c r="I45" s="199">
        <f>SUMIFS('Rev Adequacy'!$G$6:$G$3000,'Rev Adequacy'!$B$6:$B$3000,'Beneficiary graphs'!I$4,'Rev Adequacy'!$E$6:$E$3000,'Beneficiary graphs'!$C45)/1000000</f>
        <v>1.9424199999999877E-4</v>
      </c>
      <c r="J45" s="199">
        <f>SUMIFS('Rev Adequacy'!$G$6:$G$3000,'Rev Adequacy'!$B$6:$B$3000,'Beneficiary graphs'!J$4,'Rev Adequacy'!$E$6:$E$3000,'Beneficiary graphs'!$C45)/1000000</f>
        <v>8.0393930000000023E-3</v>
      </c>
      <c r="K45" s="199">
        <f>SUMIFS('Rev Adequacy'!$G$6:$G$3000,'Rev Adequacy'!$B$6:$B$3000,'Beneficiary graphs'!K$4,'Rev Adequacy'!$E$6:$E$3000,'Beneficiary graphs'!$C45)/1000000</f>
        <v>2.9735999999999874E-4</v>
      </c>
      <c r="L45" s="199"/>
      <c r="M45" s="51">
        <f t="shared" si="3"/>
        <v>2.6016168485873759E-3</v>
      </c>
      <c r="N45" s="51">
        <f t="shared" si="4"/>
        <v>8.2944457677643763E-6</v>
      </c>
      <c r="O45" s="199"/>
    </row>
    <row r="46" spans="1:15" x14ac:dyDescent="0.25">
      <c r="A46" s="50"/>
      <c r="B46" s="50"/>
      <c r="E46" s="199">
        <f>SUMIFS('Rev Adequacy'!$G$6:$G$3000,'Rev Adequacy'!$B$6:$B$3000,'Beneficiary graphs'!E$4,'Rev Adequacy'!$E$6:$E$3000,'Beneficiary graphs'!$C46)/1000000</f>
        <v>0</v>
      </c>
      <c r="F46" s="199">
        <f>SUMIFS('Rev Adequacy'!$G$6:$G$3000,'Rev Adequacy'!$B$6:$B$3000,'Beneficiary graphs'!F$4,'Rev Adequacy'!$E$6:$E$3000,'Beneficiary graphs'!$C46)/1000000</f>
        <v>0</v>
      </c>
      <c r="G46" s="199">
        <f>SUMIFS('Rev Adequacy'!$G$6:$G$3000,'Rev Adequacy'!$B$6:$B$3000,'Beneficiary graphs'!G$4,'Rev Adequacy'!$E$6:$E$3000,'Beneficiary graphs'!$C46)/1000000</f>
        <v>0</v>
      </c>
      <c r="H46" s="199">
        <f>SUMIFS('Rev Adequacy'!$G$6:$G$3000,'Rev Adequacy'!$B$6:$B$3000,'Beneficiary graphs'!H$4,'Rev Adequacy'!$E$6:$E$3000,'Beneficiary graphs'!$C46)/1000000</f>
        <v>0</v>
      </c>
      <c r="I46" s="199">
        <f>SUMIFS('Rev Adequacy'!$G$6:$G$3000,'Rev Adequacy'!$B$6:$B$3000,'Beneficiary graphs'!I$4,'Rev Adequacy'!$E$6:$E$3000,'Beneficiary graphs'!$C46)/1000000</f>
        <v>0</v>
      </c>
      <c r="J46" s="199">
        <f>SUMIFS('Rev Adequacy'!$G$6:$G$3000,'Rev Adequacy'!$B$6:$B$3000,'Beneficiary graphs'!J$4,'Rev Adequacy'!$E$6:$E$3000,'Beneficiary graphs'!$C46)/1000000</f>
        <v>0</v>
      </c>
      <c r="K46" s="199">
        <f>SUMIFS('Rev Adequacy'!$G$6:$G$3000,'Rev Adequacy'!$B$6:$B$3000,'Beneficiary graphs'!K$4,'Rev Adequacy'!$E$6:$E$3000,'Beneficiary graphs'!$C46)/1000000</f>
        <v>0</v>
      </c>
      <c r="L46" s="199"/>
      <c r="M46" s="51">
        <f t="shared" si="3"/>
        <v>0</v>
      </c>
      <c r="N46" s="51">
        <f t="shared" si="4"/>
        <v>0</v>
      </c>
      <c r="O46" s="199"/>
    </row>
    <row r="47" spans="1:15" x14ac:dyDescent="0.25">
      <c r="A47" s="50"/>
      <c r="B47" s="50"/>
      <c r="E47" s="199">
        <f>SUMIFS('Rev Adequacy'!$G$6:$G$3000,'Rev Adequacy'!$B$6:$B$3000,'Beneficiary graphs'!E$4,'Rev Adequacy'!$E$6:$E$3000,'Beneficiary graphs'!$C47)/1000000</f>
        <v>0</v>
      </c>
      <c r="F47" s="199">
        <f>SUMIFS('Rev Adequacy'!$G$6:$G$3000,'Rev Adequacy'!$B$6:$B$3000,'Beneficiary graphs'!F$4,'Rev Adequacy'!$E$6:$E$3000,'Beneficiary graphs'!$C47)/1000000</f>
        <v>0</v>
      </c>
      <c r="G47" s="199">
        <f>SUMIFS('Rev Adequacy'!$G$6:$G$3000,'Rev Adequacy'!$B$6:$B$3000,'Beneficiary graphs'!G$4,'Rev Adequacy'!$E$6:$E$3000,'Beneficiary graphs'!$C47)/1000000</f>
        <v>0</v>
      </c>
      <c r="H47" s="199">
        <f>SUMIFS('Rev Adequacy'!$G$6:$G$3000,'Rev Adequacy'!$B$6:$B$3000,'Beneficiary graphs'!H$4,'Rev Adequacy'!$E$6:$E$3000,'Beneficiary graphs'!$C47)/1000000</f>
        <v>0</v>
      </c>
      <c r="I47" s="199">
        <f>SUMIFS('Rev Adequacy'!$G$6:$G$3000,'Rev Adequacy'!$B$6:$B$3000,'Beneficiary graphs'!I$4,'Rev Adequacy'!$E$6:$E$3000,'Beneficiary graphs'!$C47)/1000000</f>
        <v>0</v>
      </c>
      <c r="J47" s="199">
        <f>SUMIFS('Rev Adequacy'!$G$6:$G$3000,'Rev Adequacy'!$B$6:$B$3000,'Beneficiary graphs'!J$4,'Rev Adequacy'!$E$6:$E$3000,'Beneficiary graphs'!$C47)/1000000</f>
        <v>0</v>
      </c>
      <c r="K47" s="199">
        <f>SUMIFS('Rev Adequacy'!$G$6:$G$3000,'Rev Adequacy'!$B$6:$B$3000,'Beneficiary graphs'!K$4,'Rev Adequacy'!$E$6:$E$3000,'Beneficiary graphs'!$C47)/1000000</f>
        <v>0</v>
      </c>
      <c r="L47" s="199"/>
      <c r="M47" s="51">
        <f t="shared" si="3"/>
        <v>0</v>
      </c>
      <c r="N47" s="51">
        <f t="shared" si="4"/>
        <v>0</v>
      </c>
      <c r="O47" s="199"/>
    </row>
    <row r="48" spans="1:15" x14ac:dyDescent="0.25">
      <c r="A48" s="50"/>
      <c r="B48" s="50" t="str">
        <f>VLOOKUP(C48,'Mapping B'!$I$2:$J$56,2,0)</f>
        <v>Carter Holt Harvey</v>
      </c>
      <c r="C48" s="7" t="s">
        <v>3</v>
      </c>
      <c r="E48" s="199">
        <f>SUMIFS('Rev Adequacy'!$G$6:$G$3000,'Rev Adequacy'!$B$6:$B$3000,'Beneficiary graphs'!E$4,'Rev Adequacy'!$E$6:$E$3000,'Beneficiary graphs'!$C48)/1000000</f>
        <v>0.17564438500000001</v>
      </c>
      <c r="F48" s="199">
        <f>SUMIFS('Rev Adequacy'!$G$6:$G$3000,'Rev Adequacy'!$B$6:$B$3000,'Beneficiary graphs'!F$4,'Rev Adequacy'!$E$6:$E$3000,'Beneficiary graphs'!$C48)/1000000</f>
        <v>0.66941740099999991</v>
      </c>
      <c r="G48" s="199">
        <f>SUMIFS('Rev Adequacy'!$G$6:$G$3000,'Rev Adequacy'!$B$6:$B$3000,'Beneficiary graphs'!G$4,'Rev Adequacy'!$E$6:$E$3000,'Beneficiary graphs'!$C48)/1000000</f>
        <v>2.6681036649999998</v>
      </c>
      <c r="H48" s="199">
        <f>SUMIFS('Rev Adequacy'!$G$6:$G$3000,'Rev Adequacy'!$B$6:$B$3000,'Beneficiary graphs'!H$4,'Rev Adequacy'!$E$6:$E$3000,'Beneficiary graphs'!$C48)/1000000</f>
        <v>10.9405695969999</v>
      </c>
      <c r="I48" s="199">
        <f>SUMIFS('Rev Adequacy'!$G$6:$G$3000,'Rev Adequacy'!$B$6:$B$3000,'Beneficiary graphs'!I$4,'Rev Adequacy'!$E$6:$E$3000,'Beneficiary graphs'!$C48)/1000000</f>
        <v>0.104110541</v>
      </c>
      <c r="J48" s="199">
        <f>SUMIFS('Rev Adequacy'!$G$6:$G$3000,'Rev Adequacy'!$B$6:$B$3000,'Beneficiary graphs'!J$4,'Rev Adequacy'!$E$6:$E$3000,'Beneficiary graphs'!$C48)/1000000</f>
        <v>3.3145120000000303E-3</v>
      </c>
      <c r="K48" s="199">
        <f>SUMIFS('Rev Adequacy'!$G$6:$G$3000,'Rev Adequacy'!$B$6:$B$3000,'Beneficiary graphs'!K$4,'Rev Adequacy'!$E$6:$E$3000,'Beneficiary graphs'!$C48)/1000000</f>
        <v>0.21681274200000097</v>
      </c>
      <c r="L48" s="199"/>
      <c r="M48" s="51">
        <f t="shared" si="3"/>
        <v>5.238110062380421E-4</v>
      </c>
      <c r="N48" s="51">
        <f t="shared" si="4"/>
        <v>4.6647844883114962E-3</v>
      </c>
      <c r="O48" s="199"/>
    </row>
    <row r="49" spans="1:15" x14ac:dyDescent="0.25">
      <c r="A49" s="50"/>
      <c r="B49" s="50" t="str">
        <f>VLOOKUP(C49,'Mapping B'!$I$2:$J$56,2,0)</f>
        <v>Daiken MDF</v>
      </c>
      <c r="C49" s="7" t="s">
        <v>6</v>
      </c>
      <c r="E49" s="199">
        <f>SUMIFS('Rev Adequacy'!$G$6:$G$3000,'Rev Adequacy'!$B$6:$B$3000,'Beneficiary graphs'!E$4,'Rev Adequacy'!$E$6:$E$3000,'Beneficiary graphs'!$C49)/1000000</f>
        <v>3.5465893999999998E-2</v>
      </c>
      <c r="F49" s="199">
        <f>SUMIFS('Rev Adequacy'!$G$6:$G$3000,'Rev Adequacy'!$B$6:$B$3000,'Beneficiary graphs'!F$4,'Rev Adequacy'!$E$6:$E$3000,'Beneficiary graphs'!$C49)/1000000</f>
        <v>0.12518469599999998</v>
      </c>
      <c r="G49" s="199">
        <f>SUMIFS('Rev Adequacy'!$G$6:$G$3000,'Rev Adequacy'!$B$6:$B$3000,'Beneficiary graphs'!G$4,'Rev Adequacy'!$E$6:$E$3000,'Beneficiary graphs'!$C49)/1000000</f>
        <v>0</v>
      </c>
      <c r="H49" s="199">
        <f>SUMIFS('Rev Adequacy'!$G$6:$G$3000,'Rev Adequacy'!$B$6:$B$3000,'Beneficiary graphs'!H$4,'Rev Adequacy'!$E$6:$E$3000,'Beneficiary graphs'!$C49)/1000000</f>
        <v>0</v>
      </c>
      <c r="I49" s="199">
        <f>SUMIFS('Rev Adequacy'!$G$6:$G$3000,'Rev Adequacy'!$B$6:$B$3000,'Beneficiary graphs'!I$4,'Rev Adequacy'!$E$6:$E$3000,'Beneficiary graphs'!$C49)/1000000</f>
        <v>2.0112566999999502E-2</v>
      </c>
      <c r="J49" s="199">
        <f>SUMIFS('Rev Adequacy'!$G$6:$G$3000,'Rev Adequacy'!$B$6:$B$3000,'Beneficiary graphs'!J$4,'Rev Adequacy'!$E$6:$E$3000,'Beneficiary graphs'!$C49)/1000000</f>
        <v>7.7805720000001998E-3</v>
      </c>
      <c r="K49" s="199">
        <f>SUMIFS('Rev Adequacy'!$G$6:$G$3000,'Rev Adequacy'!$B$6:$B$3000,'Beneficiary graphs'!K$4,'Rev Adequacy'!$E$6:$E$3000,'Beneficiary graphs'!$C49)/1000000</f>
        <v>4.9597469000000102E-2</v>
      </c>
      <c r="L49" s="199"/>
      <c r="M49" s="51">
        <f t="shared" si="3"/>
        <v>1.0576726163646926E-4</v>
      </c>
      <c r="N49" s="51">
        <f t="shared" si="4"/>
        <v>8.723400784061636E-4</v>
      </c>
      <c r="O49" s="199"/>
    </row>
    <row r="50" spans="1:15" x14ac:dyDescent="0.25">
      <c r="A50" s="50"/>
      <c r="B50" s="50" t="str">
        <f>VLOOKUP(C50,'Mapping B'!$I$2:$J$56,2,0)</f>
        <v>Kiwirail</v>
      </c>
      <c r="C50" s="7" t="s">
        <v>51</v>
      </c>
      <c r="E50" s="199">
        <f>SUMIFS('Rev Adequacy'!$G$6:$G$3000,'Rev Adequacy'!$B$6:$B$3000,'Beneficiary graphs'!E$4,'Rev Adequacy'!$E$6:$E$3000,'Beneficiary graphs'!$C50)/1000000</f>
        <v>0.10688440499999947</v>
      </c>
      <c r="F50" s="199">
        <f>SUMIFS('Rev Adequacy'!$G$6:$G$3000,'Rev Adequacy'!$B$6:$B$3000,'Beneficiary graphs'!F$4,'Rev Adequacy'!$E$6:$E$3000,'Beneficiary graphs'!$C50)/1000000</f>
        <v>9.7245210999999401E-2</v>
      </c>
      <c r="G50" s="199">
        <f>SUMIFS('Rev Adequacy'!$G$6:$G$3000,'Rev Adequacy'!$B$6:$B$3000,'Beneficiary graphs'!G$4,'Rev Adequacy'!$E$6:$E$3000,'Beneficiary graphs'!$C50)/1000000</f>
        <v>0.2919412930000001</v>
      </c>
      <c r="H50" s="199">
        <f>SUMIFS('Rev Adequacy'!$G$6:$G$3000,'Rev Adequacy'!$B$6:$B$3000,'Beneficiary graphs'!H$4,'Rev Adequacy'!$E$6:$E$3000,'Beneficiary graphs'!$C50)/1000000</f>
        <v>1.2004847510000001</v>
      </c>
      <c r="I50" s="199">
        <f>SUMIFS('Rev Adequacy'!$G$6:$G$3000,'Rev Adequacy'!$B$6:$B$3000,'Beneficiary graphs'!I$4,'Rev Adequacy'!$E$6:$E$3000,'Beneficiary graphs'!$C50)/1000000</f>
        <v>1.3954444000000088E-2</v>
      </c>
      <c r="J50" s="199">
        <f>SUMIFS('Rev Adequacy'!$G$6:$G$3000,'Rev Adequacy'!$B$6:$B$3000,'Beneficiary graphs'!J$4,'Rev Adequacy'!$E$6:$E$3000,'Beneficiary graphs'!$C50)/1000000</f>
        <v>3.3718600000000158E-4</v>
      </c>
      <c r="K50" s="199">
        <f>SUMIFS('Rev Adequacy'!$G$6:$G$3000,'Rev Adequacy'!$B$6:$B$3000,'Beneficiary graphs'!K$4,'Rev Adequacy'!$E$6:$E$3000,'Beneficiary graphs'!$C50)/1000000</f>
        <v>4.3559160000000076E-2</v>
      </c>
      <c r="L50" s="199"/>
      <c r="M50" s="51">
        <f t="shared" si="3"/>
        <v>3.1875330221460899E-4</v>
      </c>
      <c r="N50" s="51">
        <f t="shared" si="4"/>
        <v>6.7764589202152484E-4</v>
      </c>
      <c r="O50" s="199"/>
    </row>
    <row r="51" spans="1:15" x14ac:dyDescent="0.25">
      <c r="A51" s="50"/>
      <c r="B51" s="50" t="str">
        <f>VLOOKUP(C51,'Mapping B'!$I$2:$J$56,2,0)</f>
        <v>Methanex</v>
      </c>
      <c r="C51" s="7" t="s">
        <v>15</v>
      </c>
      <c r="E51" s="199">
        <f>SUMIFS('Rev Adequacy'!$G$6:$G$3000,'Rev Adequacy'!$B$6:$B$3000,'Beneficiary graphs'!E$4,'Rev Adequacy'!$E$6:$E$3000,'Beneficiary graphs'!$C51)/1000000</f>
        <v>6.1859466000000099E-2</v>
      </c>
      <c r="F51" s="199">
        <f>SUMIFS('Rev Adequacy'!$G$6:$G$3000,'Rev Adequacy'!$B$6:$B$3000,'Beneficiary graphs'!F$4,'Rev Adequacy'!$E$6:$E$3000,'Beneficiary graphs'!$C51)/1000000</f>
        <v>0.118555174999999</v>
      </c>
      <c r="G51" s="199">
        <f>SUMIFS('Rev Adequacy'!$G$6:$G$3000,'Rev Adequacy'!$B$6:$B$3000,'Beneficiary graphs'!G$4,'Rev Adequacy'!$E$6:$E$3000,'Beneficiary graphs'!$C51)/1000000</f>
        <v>0.419059984000001</v>
      </c>
      <c r="H51" s="199">
        <f>SUMIFS('Rev Adequacy'!$G$6:$G$3000,'Rev Adequacy'!$B$6:$B$3000,'Beneficiary graphs'!H$4,'Rev Adequacy'!$E$6:$E$3000,'Beneficiary graphs'!$C51)/1000000</f>
        <v>1.75276752599999</v>
      </c>
      <c r="I51" s="199">
        <f>SUMIFS('Rev Adequacy'!$G$6:$G$3000,'Rev Adequacy'!$B$6:$B$3000,'Beneficiary graphs'!I$4,'Rev Adequacy'!$E$6:$E$3000,'Beneficiary graphs'!$C51)/1000000</f>
        <v>1.5189425999999799E-2</v>
      </c>
      <c r="J51" s="199">
        <f>SUMIFS('Rev Adequacy'!$G$6:$G$3000,'Rev Adequacy'!$B$6:$B$3000,'Beneficiary graphs'!J$4,'Rev Adequacy'!$E$6:$E$3000,'Beneficiary graphs'!$C51)/1000000</f>
        <v>4.6181400000000299E-4</v>
      </c>
      <c r="K51" s="199">
        <f>SUMIFS('Rev Adequacy'!$G$6:$G$3000,'Rev Adequacy'!$B$6:$B$3000,'Beneficiary graphs'!K$4,'Rev Adequacy'!$E$6:$E$3000,'Beneficiary graphs'!$C51)/1000000</f>
        <v>4.8227062000000001E-2</v>
      </c>
      <c r="L51" s="199"/>
      <c r="M51" s="51">
        <f t="shared" si="3"/>
        <v>1.8447882140273372E-4</v>
      </c>
      <c r="N51" s="51">
        <f t="shared" si="4"/>
        <v>8.2614276312941305E-4</v>
      </c>
      <c r="O51" s="199"/>
    </row>
    <row r="52" spans="1:15" x14ac:dyDescent="0.25">
      <c r="A52" s="50"/>
      <c r="B52" s="50" t="str">
        <f>VLOOKUP(C52,'Mapping B'!$I$2:$J$56,2,0)</f>
        <v>Norske Skog</v>
      </c>
      <c r="C52" s="7" t="s">
        <v>22</v>
      </c>
      <c r="E52" s="199">
        <f>SUMIFS('Rev Adequacy'!$G$6:$G$3000,'Rev Adequacy'!$B$6:$B$3000,'Beneficiary graphs'!E$4,'Rev Adequacy'!$E$6:$E$3000,'Beneficiary graphs'!$C52)/1000000</f>
        <v>0.256660524</v>
      </c>
      <c r="F52" s="199">
        <f>SUMIFS('Rev Adequacy'!$G$6:$G$3000,'Rev Adequacy'!$B$6:$B$3000,'Beneficiary graphs'!F$4,'Rev Adequacy'!$E$6:$E$3000,'Beneficiary graphs'!$C52)/1000000</f>
        <v>0.16011023700000102</v>
      </c>
      <c r="G52" s="199">
        <f>SUMIFS('Rev Adequacy'!$G$6:$G$3000,'Rev Adequacy'!$B$6:$B$3000,'Beneficiary graphs'!G$4,'Rev Adequacy'!$E$6:$E$3000,'Beneficiary graphs'!$C52)/1000000</f>
        <v>0.62209726400000098</v>
      </c>
      <c r="H52" s="199">
        <f>SUMIFS('Rev Adequacy'!$G$6:$G$3000,'Rev Adequacy'!$B$6:$B$3000,'Beneficiary graphs'!H$4,'Rev Adequacy'!$E$6:$E$3000,'Beneficiary graphs'!$C52)/1000000</f>
        <v>1.8983717520000001</v>
      </c>
      <c r="I52" s="199">
        <f>SUMIFS('Rev Adequacy'!$G$6:$G$3000,'Rev Adequacy'!$B$6:$B$3000,'Beneficiary graphs'!I$4,'Rev Adequacy'!$E$6:$E$3000,'Beneficiary graphs'!$C52)/1000000</f>
        <v>2.4358289999999901E-2</v>
      </c>
      <c r="J52" s="199">
        <f>SUMIFS('Rev Adequacy'!$G$6:$G$3000,'Rev Adequacy'!$B$6:$B$3000,'Beneficiary graphs'!J$4,'Rev Adequacy'!$E$6:$E$3000,'Beneficiary graphs'!$C52)/1000000</f>
        <v>0</v>
      </c>
      <c r="K52" s="199">
        <f>SUMIFS('Rev Adequacy'!$G$6:$G$3000,'Rev Adequacy'!$B$6:$B$3000,'Beneficiary graphs'!K$4,'Rev Adequacy'!$E$6:$E$3000,'Beneficiary graphs'!$C52)/1000000</f>
        <v>3.9692698999999901E-2</v>
      </c>
      <c r="L52" s="199"/>
      <c r="M52" s="51">
        <f t="shared" si="3"/>
        <v>7.6541932916342952E-4</v>
      </c>
      <c r="N52" s="51">
        <f t="shared" si="4"/>
        <v>1.1157160672276613E-3</v>
      </c>
      <c r="O52" s="199"/>
    </row>
    <row r="53" spans="1:15" x14ac:dyDescent="0.25">
      <c r="A53" s="50"/>
      <c r="B53" s="50" t="str">
        <f>VLOOKUP(C53,'Mapping B'!$I$2:$J$56,2,0)</f>
        <v>NZ Steel</v>
      </c>
      <c r="C53" s="7" t="s">
        <v>24</v>
      </c>
      <c r="E53" s="199">
        <f>SUMIFS('Rev Adequacy'!$G$6:$G$3000,'Rev Adequacy'!$B$6:$B$3000,'Beneficiary graphs'!E$4,'Rev Adequacy'!$E$6:$E$3000,'Beneficiary graphs'!$C53)/1000000</f>
        <v>14.0987070719999</v>
      </c>
      <c r="F53" s="199">
        <f>SUMIFS('Rev Adequacy'!$G$6:$G$3000,'Rev Adequacy'!$B$6:$B$3000,'Beneficiary graphs'!F$4,'Rev Adequacy'!$E$6:$E$3000,'Beneficiary graphs'!$C53)/1000000</f>
        <v>4.2790205699999699</v>
      </c>
      <c r="G53" s="199">
        <f>SUMIFS('Rev Adequacy'!$G$6:$G$3000,'Rev Adequacy'!$B$6:$B$3000,'Beneficiary graphs'!G$4,'Rev Adequacy'!$E$6:$E$3000,'Beneficiary graphs'!$C53)/1000000</f>
        <v>5.7791826379999698</v>
      </c>
      <c r="H53" s="199">
        <f>SUMIFS('Rev Adequacy'!$G$6:$G$3000,'Rev Adequacy'!$B$6:$B$3000,'Beneficiary graphs'!H$4,'Rev Adequacy'!$E$6:$E$3000,'Beneficiary graphs'!$C53)/1000000</f>
        <v>23.068337998000001</v>
      </c>
      <c r="I53" s="199">
        <f>SUMIFS('Rev Adequacy'!$G$6:$G$3000,'Rev Adequacy'!$B$6:$B$3000,'Beneficiary graphs'!I$4,'Rev Adequacy'!$E$6:$E$3000,'Beneficiary graphs'!$C53)/1000000</f>
        <v>0.218549410000001</v>
      </c>
      <c r="J53" s="199">
        <f>SUMIFS('Rev Adequacy'!$G$6:$G$3000,'Rev Adequacy'!$B$6:$B$3000,'Beneficiary graphs'!J$4,'Rev Adequacy'!$E$6:$E$3000,'Beneficiary graphs'!$C53)/1000000</f>
        <v>2.2611950000000301E-3</v>
      </c>
      <c r="K53" s="199">
        <f>SUMIFS('Rev Adequacy'!$G$6:$G$3000,'Rev Adequacy'!$B$6:$B$3000,'Beneficiary graphs'!K$4,'Rev Adequacy'!$E$6:$E$3000,'Beneficiary graphs'!$C53)/1000000</f>
        <v>0.97541169100000003</v>
      </c>
      <c r="L53" s="199"/>
      <c r="M53" s="51">
        <f t="shared" si="3"/>
        <v>4.2045511093563664E-2</v>
      </c>
      <c r="N53" s="51">
        <f t="shared" si="4"/>
        <v>2.9818030947931215E-2</v>
      </c>
      <c r="O53" s="199"/>
    </row>
    <row r="54" spans="1:15" x14ac:dyDescent="0.25">
      <c r="A54" s="50" t="s">
        <v>54</v>
      </c>
      <c r="B54" s="50" t="str">
        <f>VLOOKUP(C54,'Mapping B'!$I$2:$J$56,2,0)</f>
        <v>NZ Aluminium Smelter</v>
      </c>
      <c r="C54" s="7" t="s">
        <v>44</v>
      </c>
      <c r="E54" s="199">
        <f>SUMIFS('Rev Adequacy'!$G$6:$G$3000,'Rev Adequacy'!$B$6:$B$3000,'Beneficiary graphs'!E$4,'Rev Adequacy'!$E$6:$E$3000,'Beneficiary graphs'!$A54)/1000000</f>
        <v>2.6413110389999903</v>
      </c>
      <c r="F54" s="199">
        <f>SUMIFS('Rev Adequacy'!$G$6:$G$3000,'Rev Adequacy'!$B$6:$B$3000,'Beneficiary graphs'!F$4,'Rev Adequacy'!$E$6:$E$3000,'Beneficiary graphs'!$A54)/1000000</f>
        <v>8.0584275650000308</v>
      </c>
      <c r="G54" s="199">
        <f>SUMIFS('Rev Adequacy'!$G$6:$G$3000,'Rev Adequacy'!$B$6:$B$3000,'Beneficiary graphs'!G$4,'Rev Adequacy'!$E$6:$E$3000,'Beneficiary graphs'!$A54)/1000000</f>
        <v>0</v>
      </c>
      <c r="H54" s="199">
        <f>SUMIFS('Rev Adequacy'!$G$6:$G$3000,'Rev Adequacy'!$B$6:$B$3000,'Beneficiary graphs'!H$4,'Rev Adequacy'!$E$6:$E$3000,'Beneficiary graphs'!$A54)/1000000</f>
        <v>0</v>
      </c>
      <c r="I54" s="199">
        <f>SUMIFS('Rev Adequacy'!$G$6:$G$3000,'Rev Adequacy'!$B$6:$B$3000,'Beneficiary graphs'!I$4,'Rev Adequacy'!$E$6:$E$3000,'Beneficiary graphs'!$A54)/1000000</f>
        <v>1.32087735099999</v>
      </c>
      <c r="J54" s="199">
        <f>SUMIFS('Rev Adequacy'!$G$6:$G$3000,'Rev Adequacy'!$B$6:$B$3000,'Beneficiary graphs'!J$4,'Rev Adequacy'!$E$6:$E$3000,'Beneficiary graphs'!$A54)/1000000</f>
        <v>1.9118282279999901</v>
      </c>
      <c r="K54" s="199">
        <f>SUMIFS('Rev Adequacy'!$G$6:$G$3000,'Rev Adequacy'!$B$6:$B$3000,'Beneficiary graphs'!K$4,'Rev Adequacy'!$E$6:$E$3000,'Beneficiary graphs'!$A54)/1000000</f>
        <v>3.37047457500001</v>
      </c>
      <c r="L54" s="199"/>
      <c r="M54" s="51">
        <f t="shared" si="3"/>
        <v>7.8769827633615105E-3</v>
      </c>
      <c r="N54" s="51">
        <f t="shared" si="4"/>
        <v>5.6154542515983882E-2</v>
      </c>
      <c r="O54" s="199"/>
    </row>
    <row r="55" spans="1:15" x14ac:dyDescent="0.25">
      <c r="A55" s="50"/>
      <c r="B55" s="50" t="str">
        <f>VLOOKUP(C55,'Mapping B'!$I$2:$J$56,2,0)</f>
        <v>Pan Pac</v>
      </c>
      <c r="C55" s="7" t="s">
        <v>26</v>
      </c>
      <c r="E55" s="199">
        <f>SUMIFS('Rev Adequacy'!$G$6:$G$3000,'Rev Adequacy'!$B$6:$B$3000,'Beneficiary graphs'!E$4,'Rev Adequacy'!$E$6:$E$3000,'Beneficiary graphs'!$C55)/1000000</f>
        <v>0.15041548020522799</v>
      </c>
      <c r="F55" s="199">
        <f>SUMIFS('Rev Adequacy'!$G$6:$G$3000,'Rev Adequacy'!$B$6:$B$3000,'Beneficiary graphs'!F$4,'Rev Adequacy'!$E$6:$E$3000,'Beneficiary graphs'!$C55)/1000000</f>
        <v>0.64135122835980296</v>
      </c>
      <c r="G55" s="199">
        <f>SUMIFS('Rev Adequacy'!$G$6:$G$3000,'Rev Adequacy'!$B$6:$B$3000,'Beneficiary graphs'!G$4,'Rev Adequacy'!$E$6:$E$3000,'Beneficiary graphs'!$C55)/1000000</f>
        <v>4.0145047962117602</v>
      </c>
      <c r="H55" s="199">
        <f>SUMIFS('Rev Adequacy'!$G$6:$G$3000,'Rev Adequacy'!$B$6:$B$3000,'Beneficiary graphs'!H$4,'Rev Adequacy'!$E$6:$E$3000,'Beneficiary graphs'!$C55)/1000000</f>
        <v>16.585562636984299</v>
      </c>
      <c r="I55" s="199">
        <f>SUMIFS('Rev Adequacy'!$G$6:$G$3000,'Rev Adequacy'!$B$6:$B$3000,'Beneficiary graphs'!I$4,'Rev Adequacy'!$E$6:$E$3000,'Beneficiary graphs'!$C55)/1000000</f>
        <v>0.13623905999027699</v>
      </c>
      <c r="J55" s="199">
        <f>SUMIFS('Rev Adequacy'!$G$6:$G$3000,'Rev Adequacy'!$B$6:$B$3000,'Beneficiary graphs'!J$4,'Rev Adequacy'!$E$6:$E$3000,'Beneficiary graphs'!$C55)/1000000</f>
        <v>2.8968723685155102E-3</v>
      </c>
      <c r="K55" s="199">
        <f>SUMIFS('Rev Adequacy'!$G$6:$G$3000,'Rev Adequacy'!$B$6:$B$3000,'Beneficiary graphs'!K$4,'Rev Adequacy'!$E$6:$E$3000,'Beneficiary graphs'!$C55)/1000000</f>
        <v>0</v>
      </c>
      <c r="L55" s="199"/>
      <c r="M55" s="51">
        <f t="shared" si="3"/>
        <v>4.485727456649341E-4</v>
      </c>
      <c r="N55" s="51">
        <f t="shared" si="4"/>
        <v>4.4692074886955825E-3</v>
      </c>
      <c r="O55" s="199"/>
    </row>
    <row r="56" spans="1:15" s="190" customFormat="1" x14ac:dyDescent="0.25">
      <c r="A56" s="50"/>
      <c r="B56" s="50" t="str">
        <f>VLOOKUP(C56,'Mapping B'!$I$2:$J$56,2,0)</f>
        <v>Rayonier</v>
      </c>
      <c r="C56" s="7" t="s">
        <v>30</v>
      </c>
      <c r="E56" s="199">
        <f>SUMIFS('Rev Adequacy'!$G$6:$G$3000,'Rev Adequacy'!$B$6:$B$3000,'Beneficiary graphs'!E$4,'Rev Adequacy'!$E$6:$E$3000,'Beneficiary graphs'!$C56)/1000000</f>
        <v>3.0024577006224899E-2</v>
      </c>
      <c r="F56" s="199">
        <f>SUMIFS('Rev Adequacy'!$G$6:$G$3000,'Rev Adequacy'!$B$6:$B$3000,'Beneficiary graphs'!F$4,'Rev Adequacy'!$E$6:$E$3000,'Beneficiary graphs'!$C56)/1000000</f>
        <v>8.9843470486268798E-2</v>
      </c>
      <c r="G56" s="199">
        <f>SUMIFS('Rev Adequacy'!$G$6:$G$3000,'Rev Adequacy'!$B$6:$B$3000,'Beneficiary graphs'!G$4,'Rev Adequacy'!$E$6:$E$3000,'Beneficiary graphs'!$C56)/1000000</f>
        <v>0</v>
      </c>
      <c r="H56" s="199">
        <f>SUMIFS('Rev Adequacy'!$G$6:$G$3000,'Rev Adequacy'!$B$6:$B$3000,'Beneficiary graphs'!H$4,'Rev Adequacy'!$E$6:$E$3000,'Beneficiary graphs'!$C56)/1000000</f>
        <v>0</v>
      </c>
      <c r="I56" s="199">
        <f>SUMIFS('Rev Adequacy'!$G$6:$G$3000,'Rev Adequacy'!$B$6:$B$3000,'Beneficiary graphs'!I$4,'Rev Adequacy'!$E$6:$E$3000,'Beneficiary graphs'!$C56)/1000000</f>
        <v>1.5083082489795799E-2</v>
      </c>
      <c r="J56" s="199">
        <f>SUMIFS('Rev Adequacy'!$G$6:$G$3000,'Rev Adequacy'!$B$6:$B$3000,'Beneficiary graphs'!J$4,'Rev Adequacy'!$E$6:$E$3000,'Beneficiary graphs'!$C56)/1000000</f>
        <v>2.1625643140973903E-2</v>
      </c>
      <c r="K56" s="199">
        <f>SUMIFS('Rev Adequacy'!$G$6:$G$3000,'Rev Adequacy'!$B$6:$B$3000,'Beneficiary graphs'!K$4,'Rev Adequacy'!$E$6:$E$3000,'Beneficiary graphs'!$C56)/1000000</f>
        <v>3.8941485558037205E-2</v>
      </c>
      <c r="L56" s="199"/>
      <c r="M56" s="51">
        <f t="shared" si="3"/>
        <v>8.9540032227629961E-5</v>
      </c>
      <c r="N56" s="51">
        <f t="shared" si="4"/>
        <v>6.2606742351535983E-4</v>
      </c>
      <c r="O56" s="199"/>
    </row>
    <row r="57" spans="1:15" x14ac:dyDescent="0.25">
      <c r="A57" s="50"/>
      <c r="B57" s="50" t="str">
        <f>VLOOKUP(C57,'Mapping B'!$I$2:$J$56,2,0)</f>
        <v>Refining NZ</v>
      </c>
      <c r="C57" s="7" t="s">
        <v>904</v>
      </c>
      <c r="E57" s="199">
        <f>SUMIFS('Rev Adequacy'!$G$6:$G$3000,'Rev Adequacy'!$B$6:$B$3000,'Beneficiary graphs'!E$4,'Rev Adequacy'!$E$6:$E$3000,'Beneficiary graphs'!$C57)/1000000</f>
        <v>6.7309604467738904</v>
      </c>
      <c r="F57" s="199">
        <f>SUMIFS('Rev Adequacy'!$G$6:$G$3000,'Rev Adequacy'!$B$6:$B$3000,'Beneficiary graphs'!F$4,'Rev Adequacy'!$E$6:$E$3000,'Beneficiary graphs'!$C57)/1000000</f>
        <v>2.0133298687311698</v>
      </c>
      <c r="G57" s="199">
        <f>SUMIFS('Rev Adequacy'!$G$6:$G$3000,'Rev Adequacy'!$B$6:$B$3000,'Beneficiary graphs'!G$4,'Rev Adequacy'!$E$6:$E$3000,'Beneficiary graphs'!$C57)/1000000</f>
        <v>2.62662464931344</v>
      </c>
      <c r="H57" s="199">
        <f>SUMIFS('Rev Adequacy'!$G$6:$G$3000,'Rev Adequacy'!$B$6:$B$3000,'Beneficiary graphs'!H$4,'Rev Adequacy'!$E$6:$E$3000,'Beneficiary graphs'!$C57)/1000000</f>
        <v>10.299292897048499</v>
      </c>
      <c r="I57" s="199">
        <f>SUMIFS('Rev Adequacy'!$G$6:$G$3000,'Rev Adequacy'!$B$6:$B$3000,'Beneficiary graphs'!I$4,'Rev Adequacy'!$E$6:$E$3000,'Beneficiary graphs'!$C57)/1000000</f>
        <v>0.25562642332700297</v>
      </c>
      <c r="J57" s="199">
        <f>SUMIFS('Rev Adequacy'!$G$6:$G$3000,'Rev Adequacy'!$B$6:$B$3000,'Beneficiary graphs'!J$4,'Rev Adequacy'!$E$6:$E$3000,'Beneficiary graphs'!$C57)/1000000</f>
        <v>0</v>
      </c>
      <c r="K57" s="199">
        <f>SUMIFS('Rev Adequacy'!$G$6:$G$3000,'Rev Adequacy'!$B$6:$B$3000,'Beneficiary graphs'!K$4,'Rev Adequacy'!$E$6:$E$3000,'Beneficiary graphs'!$C57)/1000000</f>
        <v>0.44889658322770104</v>
      </c>
      <c r="L57" s="199"/>
      <c r="M57" s="51">
        <f t="shared" si="3"/>
        <v>2.007323584282579E-2</v>
      </c>
      <c r="N57" s="51">
        <f t="shared" si="4"/>
        <v>1.4029736794235774E-2</v>
      </c>
      <c r="O57" s="199"/>
    </row>
    <row r="58" spans="1:15" x14ac:dyDescent="0.25">
      <c r="A58" s="50"/>
      <c r="B58" s="50" t="str">
        <f>VLOOKUP(C58,'Mapping B'!$I$2:$J$56,2,0)</f>
        <v>Winstones</v>
      </c>
      <c r="C58" s="7" t="s">
        <v>42</v>
      </c>
      <c r="E58" s="199">
        <f>SUMIFS('Rev Adequacy'!$G$6:$G$3000,'Rev Adequacy'!$B$6:$B$3000,'Beneficiary graphs'!E$4,'Rev Adequacy'!$E$6:$E$3000,'Beneficiary graphs'!$C58)/1000000</f>
        <v>1.5882495000000101E-2</v>
      </c>
      <c r="F58" s="199">
        <f>SUMIFS('Rev Adequacy'!$G$6:$G$3000,'Rev Adequacy'!$B$6:$B$3000,'Beneficiary graphs'!F$4,'Rev Adequacy'!$E$6:$E$3000,'Beneficiary graphs'!$C58)/1000000</f>
        <v>0.34316040799999903</v>
      </c>
      <c r="G58" s="199">
        <f>SUMIFS('Rev Adequacy'!$G$6:$G$3000,'Rev Adequacy'!$B$6:$B$3000,'Beneficiary graphs'!G$4,'Rev Adequacy'!$E$6:$E$3000,'Beneficiary graphs'!$C58)/1000000</f>
        <v>0.45940791599999797</v>
      </c>
      <c r="H58" s="199">
        <f>SUMIFS('Rev Adequacy'!$G$6:$G$3000,'Rev Adequacy'!$B$6:$B$3000,'Beneficiary graphs'!H$4,'Rev Adequacy'!$E$6:$E$3000,'Beneficiary graphs'!$C58)/1000000</f>
        <v>11.174838437999998</v>
      </c>
      <c r="I58" s="199">
        <f>SUMIFS('Rev Adequacy'!$G$6:$G$3000,'Rev Adequacy'!$B$6:$B$3000,'Beneficiary graphs'!I$4,'Rev Adequacy'!$E$6:$E$3000,'Beneficiary graphs'!$C58)/1000000</f>
        <v>7.0506574999999197E-2</v>
      </c>
      <c r="J58" s="199">
        <f>SUMIFS('Rev Adequacy'!$G$6:$G$3000,'Rev Adequacy'!$B$6:$B$3000,'Beneficiary graphs'!J$4,'Rev Adequacy'!$E$6:$E$3000,'Beneficiary graphs'!$C58)/1000000</f>
        <v>0</v>
      </c>
      <c r="K58" s="199">
        <f>SUMIFS('Rev Adequacy'!$G$6:$G$3000,'Rev Adequacy'!$B$6:$B$3000,'Beneficiary graphs'!K$4,'Rev Adequacy'!$E$6:$E$3000,'Beneficiary graphs'!$C58)/1000000</f>
        <v>0</v>
      </c>
      <c r="L58" s="199"/>
      <c r="M58" s="51">
        <f t="shared" si="3"/>
        <v>4.7365167338088967E-5</v>
      </c>
      <c r="N58" s="51">
        <f t="shared" si="4"/>
        <v>2.3912873281300316E-3</v>
      </c>
      <c r="O58" s="199"/>
    </row>
  </sheetData>
  <mergeCells count="1">
    <mergeCell ref="M3:N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C153"/>
  <sheetViews>
    <sheetView topLeftCell="AK1" zoomScale="70" zoomScaleNormal="70" workbookViewId="0">
      <selection activeCell="AU9" sqref="AU9"/>
    </sheetView>
  </sheetViews>
  <sheetFormatPr defaultRowHeight="15" x14ac:dyDescent="0.25"/>
  <cols>
    <col min="1" max="1" width="9.140625" style="15"/>
    <col min="2" max="2" width="11.7109375" style="155" bestFit="1" customWidth="1"/>
    <col min="3" max="3" width="19.5703125" style="20" customWidth="1"/>
    <col min="6" max="7" width="10.7109375" bestFit="1" customWidth="1"/>
    <col min="8" max="8" width="9.7109375" bestFit="1" customWidth="1"/>
    <col min="9" max="9" width="10.7109375" bestFit="1" customWidth="1"/>
    <col min="10" max="10" width="14" customWidth="1"/>
    <col min="11" max="11" width="13.7109375" customWidth="1"/>
    <col min="12" max="13" width="9.7109375" bestFit="1" customWidth="1"/>
    <col min="14" max="14" width="11.85546875" customWidth="1"/>
    <col min="15" max="15" width="13.5703125" customWidth="1"/>
    <col min="16" max="16" width="11.5703125" customWidth="1"/>
    <col min="17" max="17" width="12.42578125" customWidth="1"/>
    <col min="18" max="18" width="13" customWidth="1"/>
    <col min="19" max="19" width="2.7109375" customWidth="1"/>
    <col min="20" max="20" width="3.28515625" customWidth="1"/>
    <col min="22" max="22" width="14.140625" bestFit="1" customWidth="1"/>
    <col min="23" max="23" width="11.7109375" bestFit="1" customWidth="1"/>
    <col min="24" max="24" width="10.140625" customWidth="1"/>
    <col min="25" max="25" width="11.7109375" bestFit="1" customWidth="1"/>
    <col min="26" max="26" width="10.140625" bestFit="1" customWidth="1"/>
    <col min="27" max="27" width="11.42578125" bestFit="1" customWidth="1"/>
    <col min="28" max="31" width="2.7109375" customWidth="1"/>
    <col min="32" max="32" width="2.85546875" customWidth="1"/>
    <col min="33" max="33" width="2.42578125" customWidth="1"/>
    <col min="34" max="34" width="2.7109375" customWidth="1"/>
    <col min="35" max="35" width="6.42578125" customWidth="1"/>
    <col min="36" max="36" width="20.42578125" customWidth="1"/>
    <col min="37" max="37" width="18.42578125" customWidth="1"/>
    <col min="38" max="38" width="22.140625" customWidth="1"/>
    <col min="39" max="39" width="18.28515625" customWidth="1"/>
    <col min="40" max="40" width="18.28515625" style="190" customWidth="1"/>
    <col min="41" max="41" width="24.42578125" customWidth="1"/>
    <col min="42" max="42" width="13.85546875" customWidth="1"/>
    <col min="43" max="43" width="13.85546875" style="190" customWidth="1"/>
    <col min="44" max="44" width="10.85546875" style="190" customWidth="1"/>
    <col min="45" max="45" width="11.5703125" style="190" customWidth="1"/>
    <col min="46" max="46" width="16.140625" style="190" customWidth="1"/>
    <col min="47" max="48" width="13.85546875" style="190" customWidth="1"/>
    <col min="50" max="50" width="13.5703125" customWidth="1"/>
    <col min="51" max="51" width="12.42578125" customWidth="1"/>
    <col min="52" max="52" width="12" customWidth="1"/>
    <col min="53" max="53" width="11.85546875" customWidth="1"/>
    <col min="55" max="55" width="13.7109375" customWidth="1"/>
    <col min="56" max="56" width="11" customWidth="1"/>
    <col min="57" max="57" width="11" bestFit="1" customWidth="1"/>
    <col min="58" max="60" width="9.28515625" bestFit="1" customWidth="1"/>
    <col min="76" max="76" width="26.140625" customWidth="1"/>
    <col min="77" max="77" width="14.140625" customWidth="1"/>
    <col min="78" max="78" width="13.5703125" customWidth="1"/>
    <col min="79" max="79" width="15.7109375" customWidth="1"/>
    <col min="80" max="80" width="9.5703125" customWidth="1"/>
  </cols>
  <sheetData>
    <row r="1" spans="2:81" x14ac:dyDescent="0.25">
      <c r="C1" s="21" t="s">
        <v>547</v>
      </c>
    </row>
    <row r="2" spans="2:81" x14ac:dyDescent="0.25">
      <c r="Q2" s="88">
        <v>2.0771392405063285</v>
      </c>
      <c r="R2" s="88">
        <v>2.7695189873417716</v>
      </c>
      <c r="AZ2" s="275" t="s">
        <v>950</v>
      </c>
      <c r="BA2" s="276">
        <f>'Rev Adequacy'!BH15*'Rev Adequacy'!BH13</f>
        <v>188</v>
      </c>
    </row>
    <row r="3" spans="2:81" x14ac:dyDescent="0.25">
      <c r="F3" s="535" t="s">
        <v>548</v>
      </c>
      <c r="G3" s="535"/>
      <c r="H3" s="535"/>
      <c r="I3" s="535"/>
      <c r="J3" s="535"/>
      <c r="K3" s="535"/>
      <c r="L3" s="535"/>
      <c r="M3" s="535"/>
      <c r="N3" s="535"/>
      <c r="O3" s="535"/>
      <c r="P3" s="535"/>
      <c r="Q3" s="535"/>
      <c r="R3" s="535"/>
      <c r="U3" s="536" t="s">
        <v>551</v>
      </c>
      <c r="V3" s="536"/>
      <c r="W3" s="536"/>
      <c r="X3" s="536"/>
      <c r="Y3" s="536"/>
      <c r="Z3" s="536"/>
      <c r="AA3" s="536"/>
      <c r="AB3" s="536"/>
      <c r="AC3" s="536"/>
      <c r="AD3" s="536"/>
      <c r="AE3" s="536"/>
      <c r="AF3" s="536"/>
      <c r="AG3" s="536"/>
      <c r="AH3" s="536"/>
      <c r="AZ3" s="275" t="s">
        <v>951</v>
      </c>
      <c r="BA3" s="276">
        <f>'Rev Adequacy'!BH14*'Rev Adequacy'!BH13</f>
        <v>12</v>
      </c>
    </row>
    <row r="4" spans="2:81" ht="53.25" customHeight="1" x14ac:dyDescent="0.25">
      <c r="E4" s="28" t="s">
        <v>109</v>
      </c>
      <c r="F4" s="110" t="s">
        <v>554</v>
      </c>
      <c r="G4" s="110" t="s">
        <v>111</v>
      </c>
      <c r="H4" s="110" t="s">
        <v>112</v>
      </c>
      <c r="I4" s="398" t="s">
        <v>553</v>
      </c>
      <c r="J4" s="110" t="s">
        <v>552</v>
      </c>
      <c r="K4" s="110" t="s">
        <v>555</v>
      </c>
      <c r="L4" s="110" t="s">
        <v>116</v>
      </c>
      <c r="M4" s="110" t="s">
        <v>117</v>
      </c>
      <c r="N4" s="110" t="s">
        <v>118</v>
      </c>
      <c r="O4" s="110" t="s">
        <v>119</v>
      </c>
      <c r="P4" s="110" t="s">
        <v>120</v>
      </c>
      <c r="Q4" s="110" t="s">
        <v>121</v>
      </c>
      <c r="R4" s="110" t="s">
        <v>122</v>
      </c>
      <c r="U4" s="111"/>
      <c r="V4" s="112" t="s">
        <v>554</v>
      </c>
      <c r="W4" s="112" t="str">
        <f>'Rev Adequacy'!P6</f>
        <v>Pole 3</v>
      </c>
      <c r="X4" s="112" t="str">
        <f>'Rev Adequacy'!Q6</f>
        <v>Pole 2</v>
      </c>
      <c r="Y4" s="397" t="s">
        <v>553</v>
      </c>
      <c r="Z4" s="112" t="s">
        <v>552</v>
      </c>
      <c r="AA4" s="112" t="s">
        <v>555</v>
      </c>
      <c r="AB4" s="112" t="s">
        <v>116</v>
      </c>
      <c r="AC4" s="112" t="s">
        <v>117</v>
      </c>
      <c r="AD4" s="112" t="s">
        <v>118</v>
      </c>
      <c r="AE4" s="112" t="s">
        <v>119</v>
      </c>
      <c r="AF4" s="112" t="s">
        <v>120</v>
      </c>
      <c r="AG4" s="112" t="s">
        <v>121</v>
      </c>
      <c r="AH4" s="112" t="s">
        <v>122</v>
      </c>
      <c r="AL4" s="98"/>
      <c r="AM4" s="166"/>
      <c r="AN4" s="166"/>
      <c r="AR4" s="281"/>
      <c r="AS4" s="281"/>
    </row>
    <row r="5" spans="2:81" x14ac:dyDescent="0.25">
      <c r="E5" s="28" t="s">
        <v>395</v>
      </c>
      <c r="F5" s="88">
        <v>85.33</v>
      </c>
      <c r="G5" s="88">
        <v>72.930555555555557</v>
      </c>
      <c r="H5" s="88">
        <v>45.069444444444443</v>
      </c>
      <c r="I5" s="88">
        <v>39.150000000000006</v>
      </c>
      <c r="J5" s="88">
        <v>4.16</v>
      </c>
      <c r="K5" s="88">
        <v>14.840000000000002</v>
      </c>
      <c r="L5" s="88">
        <v>12.01</v>
      </c>
      <c r="M5" s="88">
        <v>5.5390379746835432</v>
      </c>
      <c r="N5" s="88">
        <v>3.4618987341772147</v>
      </c>
      <c r="O5" s="88">
        <v>5.5390379746835432</v>
      </c>
      <c r="P5" s="88">
        <v>2.0771392405063285</v>
      </c>
      <c r="Q5" s="88">
        <v>0</v>
      </c>
      <c r="R5" s="88">
        <v>0</v>
      </c>
      <c r="U5" t="s">
        <v>549</v>
      </c>
      <c r="V5" s="88">
        <f ca="1">'Rev Adequacy'!O9</f>
        <v>85.33</v>
      </c>
      <c r="W5" s="88">
        <f ca="1">'Rev Adequacy'!P9</f>
        <v>72.930555555555557</v>
      </c>
      <c r="X5" s="88">
        <f ca="1">'Rev Adequacy'!Q9</f>
        <v>45.069444444444443</v>
      </c>
      <c r="Y5" s="88">
        <f ca="1">'Rev Adequacy'!R9</f>
        <v>20.329744645152342</v>
      </c>
      <c r="Z5" s="88">
        <f ca="1">'Rev Adequacy'!S9</f>
        <v>4.16</v>
      </c>
      <c r="AA5" s="88">
        <f ca="1">'Rev Adequacy'!T9</f>
        <v>14.840000000000002</v>
      </c>
      <c r="AB5" s="88">
        <v>12.01</v>
      </c>
      <c r="AC5" s="88">
        <v>5.5390379746835432</v>
      </c>
      <c r="AD5" s="88">
        <v>3.4618987341772147</v>
      </c>
      <c r="AE5" s="88">
        <v>5.5390379746835432</v>
      </c>
      <c r="AF5" s="88">
        <v>2.0771392405063285</v>
      </c>
      <c r="AG5" s="88">
        <v>2.0771392405063285</v>
      </c>
      <c r="AH5" s="88">
        <v>2.7695189873417716</v>
      </c>
      <c r="AL5" s="20"/>
      <c r="AZ5" s="190">
        <v>1</v>
      </c>
      <c r="BA5" s="190" t="s">
        <v>1572</v>
      </c>
    </row>
    <row r="6" spans="2:81" ht="18.75" x14ac:dyDescent="0.3">
      <c r="U6" t="s">
        <v>550</v>
      </c>
      <c r="V6">
        <f>SUMIF('Rev Adequacy'!$B$6:$B$4999,'Charges to party by investment'!V4,'Rev Adequacy'!$G$6:$G$4999)</f>
        <v>335430251.53772449</v>
      </c>
      <c r="W6" s="15">
        <f>SUMIF('Rev Adequacy'!$B$6:$B$4999,'Charges to party by investment'!W4,'Rev Adequacy'!$G$6:$G$4999)</f>
        <v>582398377.83842087</v>
      </c>
      <c r="X6" s="15">
        <f>SUMIF('Rev Adequacy'!$B$6:$B$4999,'Charges to party by investment'!X4,'Rev Adequacy'!$G$6:$G$4999)</f>
        <v>1330197526.5174901</v>
      </c>
      <c r="Y6" s="15">
        <f>SUMIF('Rev Adequacy'!$B$6:$B$4999,'Charges to party by investment'!Y4,'Rev Adequacy'!$G$6:$G$4999)</f>
        <v>20329744.645152342</v>
      </c>
      <c r="Z6" s="15">
        <f>SUMIF('Rev Adequacy'!$B$6:$B$4999,'Charges to party by investment'!Z4,'Rev Adequacy'!$G$6:$G$4999)</f>
        <v>4026352.7995043211</v>
      </c>
      <c r="AA6" s="15">
        <f>SUMIF('Rev Adequacy'!$B$6:$B$4999,'Charges to party by investment'!AA4,'Rev Adequacy'!$G$6:$G$4999)</f>
        <v>49567833.247832768</v>
      </c>
      <c r="AB6" s="15">
        <f>SUMIF('Rev Adequacy'!$B$6:$B$4999,'Charges to party by investment'!AB4,'Rev Adequacy'!$G$6:$G$4999)</f>
        <v>0</v>
      </c>
      <c r="AC6" s="15">
        <f>SUMIF('Rev Adequacy'!$B$6:$B$4999,'Charges to party by investment'!AC4,'Rev Adequacy'!$G$6:$G$4999)</f>
        <v>0</v>
      </c>
      <c r="AD6" s="15">
        <f>SUMIF('Rev Adequacy'!$B$6:$B$4999,'Charges to party by investment'!AD4,'Rev Adequacy'!$G$6:$G$4999)</f>
        <v>0</v>
      </c>
      <c r="AE6" s="15">
        <f>SUMIF('Rev Adequacy'!$B$6:$B$4999,'Charges to party by investment'!AE4,'Rev Adequacy'!$G$6:$G$4999)</f>
        <v>0</v>
      </c>
      <c r="AF6" s="15">
        <f>SUMIF('Rev Adequacy'!$B$6:$B$4999,'Charges to party by investment'!AF4,'Rev Adequacy'!$G$6:$G$4999)</f>
        <v>0</v>
      </c>
      <c r="AG6" s="15">
        <f>SUMIF('Rev Adequacy'!$B$6:$B$4999,'Charges to party by investment'!AG4,'Rev Adequacy'!$G$6:$G$4999)</f>
        <v>0</v>
      </c>
      <c r="AH6" s="15">
        <f>SUMIF('Rev Adequacy'!$B$6:$B$4999,'Charges to party by investment'!AH4,'Rev Adequacy'!$G$6:$G$4999)</f>
        <v>0</v>
      </c>
      <c r="AK6" t="s">
        <v>557</v>
      </c>
      <c r="AL6" s="20"/>
      <c r="AQ6" s="415" t="s">
        <v>1575</v>
      </c>
      <c r="AZ6" s="190">
        <v>2</v>
      </c>
      <c r="BA6" s="190" t="s">
        <v>1571</v>
      </c>
      <c r="BX6" s="538" t="s">
        <v>1576</v>
      </c>
      <c r="BY6" s="538"/>
      <c r="BZ6" s="538"/>
      <c r="CA6" s="538"/>
      <c r="CB6" s="538"/>
      <c r="CC6" s="538"/>
    </row>
    <row r="7" spans="2:81" x14ac:dyDescent="0.25">
      <c r="F7" s="94">
        <f t="shared" ref="F7:R7" ca="1" si="0">SUM(F9:F63)</f>
        <v>0</v>
      </c>
      <c r="G7" s="94">
        <f t="shared" ca="1" si="0"/>
        <v>0</v>
      </c>
      <c r="H7" s="94">
        <f t="shared" ca="1" si="0"/>
        <v>0</v>
      </c>
      <c r="I7" s="94">
        <f t="shared" ca="1" si="0"/>
        <v>18.820255354847664</v>
      </c>
      <c r="J7" s="94">
        <f t="shared" si="0"/>
        <v>0</v>
      </c>
      <c r="K7" s="94">
        <f t="shared" ca="1" si="0"/>
        <v>0</v>
      </c>
      <c r="L7" s="94">
        <f t="shared" ca="1" si="0"/>
        <v>12.01</v>
      </c>
      <c r="M7" s="94">
        <f t="shared" ca="1" si="0"/>
        <v>5.5075591928248295</v>
      </c>
      <c r="N7" s="94">
        <f t="shared" ca="1" si="0"/>
        <v>3.4618987341772138</v>
      </c>
      <c r="O7" s="94">
        <f t="shared" ca="1" si="0"/>
        <v>5.5390379746835441</v>
      </c>
      <c r="P7" s="94">
        <f t="shared" ca="1" si="0"/>
        <v>2.0771392405063285</v>
      </c>
      <c r="Q7" s="94">
        <f t="shared" si="0"/>
        <v>0</v>
      </c>
      <c r="R7" s="94">
        <f t="shared" si="0"/>
        <v>0</v>
      </c>
      <c r="AL7" s="20"/>
      <c r="AQ7" s="416">
        <v>1</v>
      </c>
      <c r="AZ7" s="537" t="s">
        <v>1574</v>
      </c>
      <c r="BA7" s="537"/>
      <c r="CB7" s="358">
        <f>AQ7</f>
        <v>1</v>
      </c>
    </row>
    <row r="8" spans="2:81" ht="30.75" customHeight="1" x14ac:dyDescent="0.25">
      <c r="B8" s="155" t="s">
        <v>571</v>
      </c>
      <c r="C8" s="102" t="s">
        <v>87</v>
      </c>
      <c r="AJ8" t="s">
        <v>1646</v>
      </c>
      <c r="AK8" t="s">
        <v>941</v>
      </c>
      <c r="AL8" s="20" t="s">
        <v>562</v>
      </c>
      <c r="AM8" t="s">
        <v>561</v>
      </c>
      <c r="AN8" s="87" t="s">
        <v>71</v>
      </c>
      <c r="AO8" t="s">
        <v>1593</v>
      </c>
      <c r="AP8" s="87" t="s">
        <v>1565</v>
      </c>
      <c r="AQ8" s="87" t="s">
        <v>1566</v>
      </c>
      <c r="AR8" s="87" t="s">
        <v>952</v>
      </c>
      <c r="AS8" s="87"/>
      <c r="AT8" s="87" t="s">
        <v>1570</v>
      </c>
      <c r="AU8" s="190" t="s">
        <v>945</v>
      </c>
      <c r="AV8" s="87"/>
      <c r="AX8" s="87" t="s">
        <v>628</v>
      </c>
      <c r="AY8" s="87" t="s">
        <v>1641</v>
      </c>
      <c r="AZ8" s="90">
        <v>1</v>
      </c>
      <c r="BA8" s="90">
        <v>2</v>
      </c>
      <c r="BB8" s="156"/>
      <c r="BD8" s="20"/>
      <c r="BE8" s="20"/>
      <c r="BF8" s="20"/>
      <c r="BG8" s="20"/>
      <c r="BH8" s="20"/>
      <c r="BI8" s="20"/>
      <c r="BX8" s="115"/>
      <c r="BY8" s="287" t="str">
        <f>"Main  "&amp;AL8</f>
        <v>Main  AoB Charge</v>
      </c>
      <c r="BZ8" s="287" t="str">
        <f t="shared" ref="BZ8" si="1">AM8</f>
        <v>Residual Charge</v>
      </c>
      <c r="CA8" s="287" t="str">
        <f>AO8</f>
        <v>&gt; $5m projectAoB</v>
      </c>
      <c r="CB8" s="287" t="str">
        <f>AR8</f>
        <v xml:space="preserve">O/H </v>
      </c>
      <c r="CC8" s="288" t="str">
        <f>AU8</f>
        <v>total charge</v>
      </c>
    </row>
    <row r="9" spans="2:81" x14ac:dyDescent="0.25">
      <c r="C9" s="56" t="s">
        <v>0</v>
      </c>
      <c r="F9" s="221">
        <f ca="1">SUMIF('Rev Adequacy'!$AH$22:$AH$652,'Charges to party by investment'!C9,'Rev Adequacy'!$AL$22:$AL$652)</f>
        <v>0</v>
      </c>
      <c r="G9" s="221">
        <f ca="1">SUMIF('Rev Adequacy'!$AH$22:$AH$652,'Charges to party by investment'!$C9,'Rev Adequacy'!AM$22:AM$652)</f>
        <v>0</v>
      </c>
      <c r="H9" s="221">
        <f ca="1">SUMIF('Rev Adequacy'!$AH$22:$AH$652,'Charges to party by investment'!$C9,'Rev Adequacy'!AN$22:AN$652)</f>
        <v>0</v>
      </c>
      <c r="I9" s="221">
        <f ca="1">SUMIF('Rev Adequacy'!$AH$22:$AH$652,'Charges to party by investment'!$C9,'Rev Adequacy'!AO$22:AO$652)</f>
        <v>0</v>
      </c>
      <c r="J9" s="221">
        <f>SUMIF('Rev Adequacy'!$AH$22:$AH$652,'Charges to party by investment'!$C9,'Rev Adequacy'!AP$22:AP$652)</f>
        <v>0</v>
      </c>
      <c r="K9" s="221">
        <f ca="1">SUMIF('Rev Adequacy'!$AH$22:$AH$652,'Charges to party by investment'!$C9,'Rev Adequacy'!AQ$22:AQ$652)</f>
        <v>0</v>
      </c>
      <c r="L9" s="221">
        <f ca="1">SUMIF('Rev Adequacy'!$AH$22:$AH$652,'Charges to party by investment'!$C9,'Rev Adequacy'!AR$22:AR$652)</f>
        <v>0</v>
      </c>
      <c r="M9" s="221">
        <f>SUMIF('Rev Adequacy'!$AH$22:$AH$652,'Charges to party by investment'!$C9,'Rev Adequacy'!AS$22:AS$652)</f>
        <v>0</v>
      </c>
      <c r="N9" s="221">
        <f ca="1">SUMIF('Rev Adequacy'!$AH$22:$AH$652,'Charges to party by investment'!$C9,'Rev Adequacy'!AT$22:AT$652)</f>
        <v>0</v>
      </c>
      <c r="O9" s="221">
        <f ca="1">SUMIF('Rev Adequacy'!$AH$22:$AH$652,'Charges to party by investment'!$C9,'Rev Adequacy'!AU$22:AU$652)</f>
        <v>0</v>
      </c>
      <c r="P9" s="221">
        <f ca="1">SUMIF('Rev Adequacy'!$AH$22:$AH$652,'Charges to party by investment'!$C9,'Rev Adequacy'!AV$22:AV$652)</f>
        <v>0</v>
      </c>
      <c r="Q9" s="221">
        <f>SUMIF('Rev Adequacy'!$AH$22:$AH$652,'Charges to party by investment'!$C9,'Rev Adequacy'!AW$22:AW$652)</f>
        <v>0</v>
      </c>
      <c r="R9" s="221">
        <f>SUMIF('Rev Adequacy'!$AH$22:$AH$652,'Charges to party by investment'!$C9,'Rev Adequacy'!AX$22:AX$652)</f>
        <v>0</v>
      </c>
      <c r="S9" s="15"/>
      <c r="T9" s="15"/>
      <c r="V9" s="221">
        <f ca="1">SUMIFS('Rev Adequacy'!$G$6:$G$4999,'Rev Adequacy'!$B$6:$B$4999,'Charges to party by investment'!V$4,'Rev Adequacy'!$E$6:$E$4999,'Charges to party by investment'!$C9)*V$5/V$6</f>
        <v>0.1250135953721267</v>
      </c>
      <c r="W9" s="221">
        <f ca="1">SUMIFS('Rev Adequacy'!$G$6:$G$4999,'Rev Adequacy'!$B$6:$B$4999,'Charges to party by investment'!W$4,'Rev Adequacy'!$E$6:$E$4999,'Charges to party by investment'!$C9)*W$5/W$6</f>
        <v>0</v>
      </c>
      <c r="X9" s="221">
        <f ca="1">SUMIFS('Rev Adequacy'!$G$6:$G$4999,'Rev Adequacy'!$B$6:$B$4999,'Charges to party by investment'!X$4,'Rev Adequacy'!$E$6:$E$4999,'Charges to party by investment'!$C9)*X$5/X$6</f>
        <v>0</v>
      </c>
      <c r="Y9" s="221">
        <f ca="1">SUMIFS('Rev Adequacy'!$G$6:$G$4999,'Rev Adequacy'!$B$6:$B$4999,'Charges to party by investment'!Y$4,'Rev Adequacy'!$E$6:$E$4999,'Charges to party by investment'!$C9)*Y$5/Y$6</f>
        <v>0.22958876855588922</v>
      </c>
      <c r="Z9" s="221">
        <f ca="1">SUMIFS('Rev Adequacy'!$G$6:$G$4999,'Rev Adequacy'!$B$6:$B$4999,'Charges to party by investment'!Z$4,'Rev Adequacy'!$E$6:$E$4999,'Charges to party by investment'!$C9)*Z$5/Z$6</f>
        <v>6.9034982814775728E-2</v>
      </c>
      <c r="AA9" s="221">
        <f ca="1">SUMIFS('Rev Adequacy'!$G$6:$G$4999,'Rev Adequacy'!$B$6:$B$4999,'Charges to party by investment'!AA$4,'Rev Adequacy'!$E$6:$E$4999,'Charges to party by investment'!$C9)*AA$5/AA$6</f>
        <v>0.20108976450378566</v>
      </c>
      <c r="AB9" s="221">
        <f>SUMIFS('Rev Adequacy'!$G$6:$G$4999,'Rev Adequacy'!$B$6:$B$4999,'Charges to party by investment'!AB$4,'Rev Adequacy'!$E$6:$E$4999,'Charges to party by investment'!$C9)</f>
        <v>0</v>
      </c>
      <c r="AC9" s="221">
        <f>SUMIFS('Rev Adequacy'!$G$6:$G$4999,'Rev Adequacy'!$B$6:$B$4999,'Charges to party by investment'!AC$4,'Rev Adequacy'!$E$6:$E$4999,'Charges to party by investment'!$C9)</f>
        <v>0</v>
      </c>
      <c r="AD9" s="221">
        <f>SUMIFS('Rev Adequacy'!$G$6:$G$4999,'Rev Adequacy'!$B$6:$B$4999,'Charges to party by investment'!AD$4,'Rev Adequacy'!$E$6:$E$4999,'Charges to party by investment'!$C9)</f>
        <v>0</v>
      </c>
      <c r="AE9" s="221">
        <f>SUMIFS('Rev Adequacy'!$G$6:$G$4999,'Rev Adequacy'!$B$6:$B$4999,'Charges to party by investment'!AE$4,'Rev Adequacy'!$E$6:$E$4999,'Charges to party by investment'!$C9)</f>
        <v>0</v>
      </c>
      <c r="AF9" s="221">
        <f>SUMIFS('Rev Adequacy'!$G$6:$G$4999,'Rev Adequacy'!$B$6:$B$4999,'Charges to party by investment'!AF$4,'Rev Adequacy'!$E$6:$E$4999,'Charges to party by investment'!$C9)</f>
        <v>0</v>
      </c>
      <c r="AG9" s="221">
        <f>SUMIFS('Rev Adequacy'!$G$6:$G$4999,'Rev Adequacy'!$B$6:$B$4999,'Charges to party by investment'!AG$4,'Rev Adequacy'!$E$6:$E$4999,'Charges to party by investment'!$C9)</f>
        <v>0</v>
      </c>
      <c r="AH9" s="221">
        <f>SUMIFS('Rev Adequacy'!$G$6:$G$4999,'Rev Adequacy'!$B$6:$B$4999,'Charges to party by investment'!AH$4,'Rev Adequacy'!$E$6:$E$4999,'Charges to party by investment'!$C9)</f>
        <v>0</v>
      </c>
      <c r="AJ9" t="str">
        <f>'Charges as $M per year'!A4</f>
        <v>Alpine Energy</v>
      </c>
      <c r="AK9" s="215" t="str">
        <f>C9</f>
        <v>Alpine Energy</v>
      </c>
      <c r="AL9" s="216">
        <f ca="1">SUM(F9:AH9)</f>
        <v>0.62472711124657732</v>
      </c>
      <c r="AM9" s="216">
        <f>SUMIF('Rev Adequacy'!$BF$27:$BF$257,'Charges to party by investment'!AK9,'Rev Adequacy'!$BJ$27:$BJ$257)</f>
        <v>5.6363393543439004</v>
      </c>
      <c r="AN9" s="216">
        <f>VLOOKUP(AK9,Connection!$X$5:$AB$55,5,0)/1000000</f>
        <v>2.9937634400000013</v>
      </c>
      <c r="AO9" s="216">
        <v>0.18837160933055502</v>
      </c>
      <c r="AP9" s="217">
        <f ca="1">(AL9+AO9)/(AL9+AM9+AO9+AR9)</f>
        <v>8.1923857878163781E-2</v>
      </c>
      <c r="AQ9" s="217">
        <f>IF($AQ$7=1,AZ9,BA9)</f>
        <v>1.8487319221019927E-2</v>
      </c>
      <c r="AR9" s="274">
        <f t="shared" ref="AR9:AR37" si="2">AQ9*$BA$2</f>
        <v>3.475616013551746</v>
      </c>
      <c r="AS9" s="217"/>
      <c r="AT9" s="277">
        <f>AR9+AM9</f>
        <v>9.1119553678956464</v>
      </c>
      <c r="AU9" s="274">
        <f ca="1">AR9+AL9+AM9+AO9</f>
        <v>9.9250540884727805</v>
      </c>
      <c r="AV9" s="217"/>
      <c r="AW9" s="215" t="s">
        <v>0</v>
      </c>
      <c r="AX9" s="216">
        <f>SUMIF('Rev Adequacy'!$BF$27:$BF$257,'Charges to party by investment'!AK9,'Rev Adequacy'!$BK$27:$BK$257)</f>
        <v>6.1788222955625809</v>
      </c>
      <c r="AY9" s="216">
        <f>SUMIF('Rev Adequacy'!$BF$27:$BF$257,'Charges to party by investment'!AK9,'Rev Adequacy'!$BL$27:$BL$257)</f>
        <v>6.5404775897083685</v>
      </c>
      <c r="AZ9" s="279">
        <f t="shared" ref="AZ9:AZ37" si="3">$AM9/($AM$64-SUM($AM$40:$AM$49))</f>
        <v>1.8487319221019927E-2</v>
      </c>
      <c r="BA9" s="280">
        <f t="shared" ref="BA9:BA37" ca="1" si="4">SUM($AL9:$AO9)/(SUM($AL$52:$AO$62)+SUM($AL$9:$AO$37))</f>
        <v>1.4929493186477606E-2</v>
      </c>
      <c r="BB9" s="21"/>
      <c r="BD9" s="20"/>
      <c r="BE9" s="20"/>
      <c r="BF9" s="20"/>
      <c r="BG9" s="21"/>
      <c r="BH9" s="20"/>
      <c r="BI9" s="20"/>
      <c r="BX9" s="115" t="str">
        <f>C9</f>
        <v>Alpine Energy</v>
      </c>
      <c r="BY9" s="286">
        <f t="shared" ref="BY9:BY62" ca="1" si="5">AL9</f>
        <v>0.62472711124657732</v>
      </c>
      <c r="BZ9" s="286">
        <f t="shared" ref="BZ9:BZ62" si="6">AM9</f>
        <v>5.6363393543439004</v>
      </c>
      <c r="CA9" s="286">
        <f t="shared" ref="CA9:CA62" si="7">AO9</f>
        <v>0.18837160933055502</v>
      </c>
      <c r="CB9" s="286">
        <f t="shared" ref="CB9:CB62" si="8">AR9</f>
        <v>3.475616013551746</v>
      </c>
      <c r="CC9" s="286">
        <f ca="1">AU9</f>
        <v>9.9250540884727805</v>
      </c>
    </row>
    <row r="10" spans="2:81" x14ac:dyDescent="0.25">
      <c r="C10" s="56" t="s">
        <v>1</v>
      </c>
      <c r="D10" s="15"/>
      <c r="F10" s="221">
        <f ca="1">SUMIF('Rev Adequacy'!$AH$22:$AH$652,'Charges to party by investment'!C10,'Rev Adequacy'!$AL$22:$AL$652)</f>
        <v>0</v>
      </c>
      <c r="G10" s="221">
        <f ca="1">SUMIF('Rev Adequacy'!$AH$22:$AH$652,'Charges to party by investment'!$C10,'Rev Adequacy'!AM$22:AM$652)</f>
        <v>0</v>
      </c>
      <c r="H10" s="221">
        <f ca="1">SUMIF('Rev Adequacy'!$AH$22:$AH$652,'Charges to party by investment'!$C10,'Rev Adequacy'!AN$22:AN$652)</f>
        <v>0</v>
      </c>
      <c r="I10" s="221">
        <f ca="1">SUMIF('Rev Adequacy'!$AH$22:$AH$652,'Charges to party by investment'!$C10,'Rev Adequacy'!AO$22:AO$652)</f>
        <v>0</v>
      </c>
      <c r="J10" s="221">
        <f>SUMIF('Rev Adequacy'!$AH$22:$AH$652,'Charges to party by investment'!$C10,'Rev Adequacy'!AP$22:AP$652)</f>
        <v>0</v>
      </c>
      <c r="K10" s="221">
        <f ca="1">SUMIF('Rev Adequacy'!$AH$22:$AH$652,'Charges to party by investment'!$C10,'Rev Adequacy'!AQ$22:AQ$652)</f>
        <v>0</v>
      </c>
      <c r="L10" s="221">
        <f ca="1">SUMIF('Rev Adequacy'!$AH$22:$AH$652,'Charges to party by investment'!$C10,'Rev Adequacy'!AR$22:AR$652)</f>
        <v>0</v>
      </c>
      <c r="M10" s="221">
        <f>SUMIF('Rev Adequacy'!$AH$22:$AH$652,'Charges to party by investment'!$C10,'Rev Adequacy'!AS$22:AS$652)</f>
        <v>0</v>
      </c>
      <c r="N10" s="221">
        <f ca="1">SUMIF('Rev Adequacy'!$AH$22:$AH$652,'Charges to party by investment'!$C10,'Rev Adequacy'!AT$22:AT$652)</f>
        <v>0</v>
      </c>
      <c r="O10" s="221">
        <f ca="1">SUMIF('Rev Adequacy'!$AH$22:$AH$652,'Charges to party by investment'!$C10,'Rev Adequacy'!AU$22:AU$652)</f>
        <v>0</v>
      </c>
      <c r="P10" s="221">
        <f ca="1">SUMIF('Rev Adequacy'!$AH$22:$AH$652,'Charges to party by investment'!$C10,'Rev Adequacy'!AV$22:AV$652)</f>
        <v>0</v>
      </c>
      <c r="Q10" s="221">
        <f>SUMIF('Rev Adequacy'!$AH$22:$AH$652,'Charges to party by investment'!$C10,'Rev Adequacy'!AW$22:AW$652)</f>
        <v>0</v>
      </c>
      <c r="R10" s="221">
        <f>SUMIF('Rev Adequacy'!$AH$22:$AH$652,'Charges to party by investment'!$C10,'Rev Adequacy'!AX$22:AX$652)</f>
        <v>0</v>
      </c>
      <c r="S10" s="15"/>
      <c r="T10" s="15"/>
      <c r="V10" s="221">
        <f ca="1">SUMIFS('Rev Adequacy'!$G$6:$G$4999,'Rev Adequacy'!$B$6:$B$4999,'Charges to party by investment'!V$4,'Rev Adequacy'!$E$6:$E$4999,'Charges to party by investment'!$C10)*V$5/V$6</f>
        <v>5.577434550757588E-3</v>
      </c>
      <c r="W10" s="221">
        <f ca="1">SUMIFS('Rev Adequacy'!$G$6:$G$4999,'Rev Adequacy'!$B$6:$B$4999,'Charges to party by investment'!W$4,'Rev Adequacy'!$E$6:$E$4999,'Charges to party by investment'!$C10)*W$5/W$6</f>
        <v>0</v>
      </c>
      <c r="X10" s="221">
        <f ca="1">SUMIFS('Rev Adequacy'!$G$6:$G$4999,'Rev Adequacy'!$B$6:$B$4999,'Charges to party by investment'!X$4,'Rev Adequacy'!$E$6:$E$4999,'Charges to party by investment'!$C10)*X$5/X$6</f>
        <v>0</v>
      </c>
      <c r="Y10" s="221">
        <f ca="1">SUMIFS('Rev Adequacy'!$G$6:$G$4999,'Rev Adequacy'!$B$6:$B$4999,'Charges to party by investment'!Y$4,'Rev Adequacy'!$E$6:$E$4999,'Charges to party by investment'!$C10)*Y$5/Y$6</f>
        <v>0.41209311046611125</v>
      </c>
      <c r="Z10" s="221">
        <f ca="1">SUMIFS('Rev Adequacy'!$G$6:$G$4999,'Rev Adequacy'!$B$6:$B$4999,'Charges to party by investment'!Z$4,'Rev Adequacy'!$E$6:$E$4999,'Charges to party by investment'!$C10)*Z$5/Z$6</f>
        <v>0.36698231825606586</v>
      </c>
      <c r="AA10" s="221">
        <f ca="1">SUMIFS('Rev Adequacy'!$G$6:$G$4999,'Rev Adequacy'!$B$6:$B$4999,'Charges to party by investment'!AA$4,'Rev Adequacy'!$E$6:$E$4999,'Charges to party by investment'!$C10)*AA$5/AA$6</f>
        <v>0.27404951374421976</v>
      </c>
      <c r="AB10" s="221">
        <f>SUMIFS('Rev Adequacy'!$G$6:$G$4999,'Rev Adequacy'!$B$6:$B$4999,'Charges to party by investment'!AB$4,'Rev Adequacy'!$E$6:$E$4999,'Charges to party by investment'!$C10)</f>
        <v>0</v>
      </c>
      <c r="AC10" s="221">
        <f>SUMIFS('Rev Adequacy'!$G$6:$G$4999,'Rev Adequacy'!$B$6:$B$4999,'Charges to party by investment'!AC$4,'Rev Adequacy'!$E$6:$E$4999,'Charges to party by investment'!$C10)</f>
        <v>0</v>
      </c>
      <c r="AD10" s="221">
        <f>SUMIFS('Rev Adequacy'!$G$6:$G$4999,'Rev Adequacy'!$B$6:$B$4999,'Charges to party by investment'!AD$4,'Rev Adequacy'!$E$6:$E$4999,'Charges to party by investment'!$C10)</f>
        <v>0</v>
      </c>
      <c r="AE10" s="221">
        <f>SUMIFS('Rev Adequacy'!$G$6:$G$4999,'Rev Adequacy'!$B$6:$B$4999,'Charges to party by investment'!AE$4,'Rev Adequacy'!$E$6:$E$4999,'Charges to party by investment'!$C10)</f>
        <v>0</v>
      </c>
      <c r="AF10" s="221">
        <f>SUMIFS('Rev Adequacy'!$G$6:$G$4999,'Rev Adequacy'!$B$6:$B$4999,'Charges to party by investment'!AF$4,'Rev Adequacy'!$E$6:$E$4999,'Charges to party by investment'!$C10)</f>
        <v>0</v>
      </c>
      <c r="AG10" s="221">
        <f>SUMIFS('Rev Adequacy'!$G$6:$G$4999,'Rev Adequacy'!$B$6:$B$4999,'Charges to party by investment'!AG$4,'Rev Adequacy'!$E$6:$E$4999,'Charges to party by investment'!$C10)</f>
        <v>0</v>
      </c>
      <c r="AH10" s="221">
        <f>SUMIFS('Rev Adequacy'!$G$6:$G$4999,'Rev Adequacy'!$B$6:$B$4999,'Charges to party by investment'!AH$4,'Rev Adequacy'!$E$6:$E$4999,'Charges to party by investment'!$C10)</f>
        <v>0</v>
      </c>
      <c r="AJ10" s="190" t="str">
        <f>'Charges as $M per year'!A5</f>
        <v>Aurora Energy</v>
      </c>
      <c r="AK10" s="215" t="str">
        <f t="shared" ref="AK10:AK62" si="9">C10</f>
        <v>Aurora Energy</v>
      </c>
      <c r="AL10" s="216">
        <f t="shared" ref="AL10:AL62" ca="1" si="10">SUM(F10:AH10)</f>
        <v>1.0587023770171544</v>
      </c>
      <c r="AM10" s="216">
        <f>SUMIF('Rev Adequacy'!$BF$27:$BF$257,'Charges to party by investment'!AK10,'Rev Adequacy'!$BJ$27:$BJ$257)</f>
        <v>11.287521780062685</v>
      </c>
      <c r="AN10" s="216">
        <f>VLOOKUP(AK10,Connection!$X$5:$AB$55,5,0)/1000000</f>
        <v>4.244808209999996</v>
      </c>
      <c r="AO10" s="216">
        <v>0</v>
      </c>
      <c r="AP10" s="217">
        <f t="shared" ref="AP10:AP62" ca="1" si="11">(AL10+AO10)/(AL10+AM10+AO10+AR10)</f>
        <v>5.4836267349218128E-2</v>
      </c>
      <c r="AQ10" s="217">
        <f t="shared" ref="AQ10:AQ62" si="12">IF($AQ$7=1,AZ10,BA10)</f>
        <v>3.7023324048330822E-2</v>
      </c>
      <c r="AR10" s="274">
        <f t="shared" si="2"/>
        <v>6.9603849210861943</v>
      </c>
      <c r="AS10" s="217"/>
      <c r="AT10" s="277">
        <f t="shared" ref="AT10:AT62" si="13">AR10+AM10</f>
        <v>18.247906701148878</v>
      </c>
      <c r="AU10" s="274">
        <f t="shared" ref="AU10:AU62" ca="1" si="14">AR10+AL10+AM10+AO10</f>
        <v>19.306609078166034</v>
      </c>
      <c r="AV10" s="217"/>
      <c r="AW10" s="215" t="s">
        <v>1</v>
      </c>
      <c r="AX10" s="216">
        <f>SUMIF('Rev Adequacy'!$BF$27:$BF$257,'Charges to party by investment'!AK10,'Rev Adequacy'!$BK$27:$BK$257)</f>
        <v>12.373916269351044</v>
      </c>
      <c r="AY10" s="216">
        <f>SUMIF('Rev Adequacy'!$BF$27:$BF$257,'Charges to party by investment'!AK10,'Rev Adequacy'!$BL$27:$BL$257)</f>
        <v>13.098179262209952</v>
      </c>
      <c r="AZ10" s="279">
        <f t="shared" si="3"/>
        <v>3.7023324048330822E-2</v>
      </c>
      <c r="BA10" s="280">
        <f t="shared" ca="1" si="4"/>
        <v>2.6230056013267132E-2</v>
      </c>
      <c r="BB10" s="20"/>
      <c r="BD10" s="20"/>
      <c r="BE10" s="20"/>
      <c r="BF10" s="20"/>
      <c r="BG10" s="20"/>
      <c r="BH10" s="20"/>
      <c r="BI10" s="20"/>
      <c r="BX10" s="115" t="str">
        <f t="shared" ref="BX10:BX62" si="15">C10</f>
        <v>Aurora Energy</v>
      </c>
      <c r="BY10" s="286">
        <f t="shared" ca="1" si="5"/>
        <v>1.0587023770171544</v>
      </c>
      <c r="BZ10" s="286">
        <f t="shared" si="6"/>
        <v>11.287521780062685</v>
      </c>
      <c r="CA10" s="286">
        <f t="shared" si="7"/>
        <v>0</v>
      </c>
      <c r="CB10" s="286">
        <f t="shared" si="8"/>
        <v>6.9603849210861943</v>
      </c>
      <c r="CC10" s="286">
        <f t="shared" ref="CC10:CC62" ca="1" si="16">AU10</f>
        <v>19.306609078166034</v>
      </c>
    </row>
    <row r="11" spans="2:81" x14ac:dyDescent="0.25">
      <c r="C11" s="56" t="s">
        <v>2</v>
      </c>
      <c r="D11" s="15"/>
      <c r="F11" s="221">
        <f ca="1">SUMIF('Rev Adequacy'!$AH$22:$AH$652,'Charges to party by investment'!C11,'Rev Adequacy'!$AL$22:$AL$652)</f>
        <v>0</v>
      </c>
      <c r="G11" s="221">
        <f ca="1">SUMIF('Rev Adequacy'!$AH$22:$AH$652,'Charges to party by investment'!$C11,'Rev Adequacy'!AM$22:AM$652)</f>
        <v>0</v>
      </c>
      <c r="H11" s="221">
        <f ca="1">SUMIF('Rev Adequacy'!$AH$22:$AH$652,'Charges to party by investment'!$C11,'Rev Adequacy'!AN$22:AN$652)</f>
        <v>0</v>
      </c>
      <c r="I11" s="221">
        <f ca="1">SUMIF('Rev Adequacy'!$AH$22:$AH$652,'Charges to party by investment'!$C11,'Rev Adequacy'!AO$22:AO$652)</f>
        <v>0</v>
      </c>
      <c r="J11" s="221">
        <f>SUMIF('Rev Adequacy'!$AH$22:$AH$652,'Charges to party by investment'!$C11,'Rev Adequacy'!AP$22:AP$652)</f>
        <v>0</v>
      </c>
      <c r="K11" s="221">
        <f ca="1">SUMIF('Rev Adequacy'!$AH$22:$AH$652,'Charges to party by investment'!$C11,'Rev Adequacy'!AQ$22:AQ$652)</f>
        <v>0</v>
      </c>
      <c r="L11" s="221">
        <f ca="1">SUMIF('Rev Adequacy'!$AH$22:$AH$652,'Charges to party by investment'!$C11,'Rev Adequacy'!AR$22:AR$652)</f>
        <v>0</v>
      </c>
      <c r="M11" s="221">
        <f>SUMIF('Rev Adequacy'!$AH$22:$AH$652,'Charges to party by investment'!$C11,'Rev Adequacy'!AS$22:AS$652)</f>
        <v>0</v>
      </c>
      <c r="N11" s="221">
        <f ca="1">SUMIF('Rev Adequacy'!$AH$22:$AH$652,'Charges to party by investment'!$C11,'Rev Adequacy'!AT$22:AT$652)</f>
        <v>8.1163298630768238E-2</v>
      </c>
      <c r="O11" s="221">
        <f ca="1">SUMIF('Rev Adequacy'!$AH$22:$AH$652,'Charges to party by investment'!$C11,'Rev Adequacy'!AU$22:AU$652)</f>
        <v>0</v>
      </c>
      <c r="P11" s="221">
        <f ca="1">SUMIF('Rev Adequacy'!$AH$22:$AH$652,'Charges to party by investment'!$C11,'Rev Adequacy'!AV$22:AV$652)</f>
        <v>0</v>
      </c>
      <c r="Q11" s="221">
        <f>SUMIF('Rev Adequacy'!$AH$22:$AH$652,'Charges to party by investment'!$C11,'Rev Adequacy'!AW$22:AW$652)</f>
        <v>0</v>
      </c>
      <c r="R11" s="221">
        <f>SUMIF('Rev Adequacy'!$AH$22:$AH$652,'Charges to party by investment'!$C11,'Rev Adequacy'!AX$22:AX$652)</f>
        <v>0</v>
      </c>
      <c r="S11" s="15"/>
      <c r="T11" s="15"/>
      <c r="V11" s="221">
        <f ca="1">SUMIFS('Rev Adequacy'!$G$6:$G$4999,'Rev Adequacy'!$B$6:$B$4999,'Charges to party by investment'!V$4,'Rev Adequacy'!$E$6:$E$4999,'Charges to party by investment'!$C11)*V$5/V$6</f>
        <v>1.1951201246674417E-2</v>
      </c>
      <c r="W11" s="221">
        <f ca="1">SUMIFS('Rev Adequacy'!$G$6:$G$4999,'Rev Adequacy'!$B$6:$B$4999,'Charges to party by investment'!W$4,'Rev Adequacy'!$E$6:$E$4999,'Charges to party by investment'!$C11)*W$5/W$6</f>
        <v>0</v>
      </c>
      <c r="X11" s="221">
        <f ca="1">SUMIFS('Rev Adequacy'!$G$6:$G$4999,'Rev Adequacy'!$B$6:$B$4999,'Charges to party by investment'!X$4,'Rev Adequacy'!$E$6:$E$4999,'Charges to party by investment'!$C11)*X$5/X$6</f>
        <v>0</v>
      </c>
      <c r="Y11" s="221">
        <f ca="1">SUMIFS('Rev Adequacy'!$G$6:$G$4999,'Rev Adequacy'!$B$6:$B$4999,'Charges to party by investment'!Y$4,'Rev Adequacy'!$E$6:$E$4999,'Charges to party by investment'!$C11)*Y$5/Y$6</f>
        <v>3.2711598999999328E-2</v>
      </c>
      <c r="Z11" s="221">
        <f ca="1">SUMIFS('Rev Adequacy'!$G$6:$G$4999,'Rev Adequacy'!$B$6:$B$4999,'Charges to party by investment'!Z$4,'Rev Adequacy'!$E$6:$E$4999,'Charges to party by investment'!$C11)*Z$5/Z$6</f>
        <v>1.0953173662633302E-2</v>
      </c>
      <c r="AA11" s="221">
        <f ca="1">SUMIFS('Rev Adequacy'!$G$6:$G$4999,'Rev Adequacy'!$B$6:$B$4999,'Charges to party by investment'!AA$4,'Rev Adequacy'!$E$6:$E$4999,'Charges to party by investment'!$C11)*AA$5/AA$6</f>
        <v>2.4198665383713191E-2</v>
      </c>
      <c r="AB11" s="221">
        <f>SUMIFS('Rev Adequacy'!$G$6:$G$4999,'Rev Adequacy'!$B$6:$B$4999,'Charges to party by investment'!AB$4,'Rev Adequacy'!$E$6:$E$4999,'Charges to party by investment'!$C11)</f>
        <v>0</v>
      </c>
      <c r="AC11" s="221">
        <f>SUMIFS('Rev Adequacy'!$G$6:$G$4999,'Rev Adequacy'!$B$6:$B$4999,'Charges to party by investment'!AC$4,'Rev Adequacy'!$E$6:$E$4999,'Charges to party by investment'!$C11)</f>
        <v>0</v>
      </c>
      <c r="AD11" s="221">
        <f>SUMIFS('Rev Adequacy'!$G$6:$G$4999,'Rev Adequacy'!$B$6:$B$4999,'Charges to party by investment'!AD$4,'Rev Adequacy'!$E$6:$E$4999,'Charges to party by investment'!$C11)</f>
        <v>0</v>
      </c>
      <c r="AE11" s="221">
        <f>SUMIFS('Rev Adequacy'!$G$6:$G$4999,'Rev Adequacy'!$B$6:$B$4999,'Charges to party by investment'!AE$4,'Rev Adequacy'!$E$6:$E$4999,'Charges to party by investment'!$C11)</f>
        <v>0</v>
      </c>
      <c r="AF11" s="221">
        <f>SUMIFS('Rev Adequacy'!$G$6:$G$4999,'Rev Adequacy'!$B$6:$B$4999,'Charges to party by investment'!AF$4,'Rev Adequacy'!$E$6:$E$4999,'Charges to party by investment'!$C11)</f>
        <v>0</v>
      </c>
      <c r="AG11" s="221">
        <f>SUMIFS('Rev Adequacy'!$G$6:$G$4999,'Rev Adequacy'!$B$6:$B$4999,'Charges to party by investment'!AG$4,'Rev Adequacy'!$E$6:$E$4999,'Charges to party by investment'!$C11)</f>
        <v>0</v>
      </c>
      <c r="AH11" s="221">
        <f>SUMIFS('Rev Adequacy'!$G$6:$G$4999,'Rev Adequacy'!$B$6:$B$4999,'Charges to party by investment'!AH$4,'Rev Adequacy'!$E$6:$E$4999,'Charges to party by investment'!$C11)</f>
        <v>0</v>
      </c>
      <c r="AJ11" s="190" t="str">
        <f>'Charges as $M per year'!A6</f>
        <v>Buller Electricity</v>
      </c>
      <c r="AK11" s="215" t="str">
        <f t="shared" si="9"/>
        <v>Buller Electricity</v>
      </c>
      <c r="AL11" s="216">
        <f t="shared" ca="1" si="10"/>
        <v>0.16097793792378845</v>
      </c>
      <c r="AM11" s="216">
        <f>SUMIF('Rev Adequacy'!$BF$27:$BF$257,'Charges to party by investment'!AK11,'Rev Adequacy'!$BJ$27:$BJ$257)</f>
        <v>1.0102239130724637</v>
      </c>
      <c r="AN11" s="216">
        <f>VLOOKUP(AK11,Connection!$X$5:$AB$55,5,0)/1000000</f>
        <v>1.4912408599999996</v>
      </c>
      <c r="AO11" s="216">
        <v>0</v>
      </c>
      <c r="AP11" s="217">
        <f t="shared" ca="1" si="11"/>
        <v>8.9723761291626875E-2</v>
      </c>
      <c r="AQ11" s="217">
        <f t="shared" si="12"/>
        <v>3.3135570432402659E-3</v>
      </c>
      <c r="AR11" s="274">
        <f t="shared" si="2"/>
        <v>0.62294872412917002</v>
      </c>
      <c r="AS11" s="217"/>
      <c r="AT11" s="277">
        <f t="shared" si="13"/>
        <v>1.6331726372016337</v>
      </c>
      <c r="AU11" s="274">
        <f t="shared" ca="1" si="14"/>
        <v>1.7941505751254221</v>
      </c>
      <c r="AV11" s="217"/>
      <c r="AW11" s="215" t="s">
        <v>2</v>
      </c>
      <c r="AX11" s="216">
        <f>SUMIF('Rev Adequacy'!$BF$27:$BF$257,'Charges to party by investment'!AK11,'Rev Adequacy'!$BK$27:$BK$257)</f>
        <v>1.1074553260871238</v>
      </c>
      <c r="AY11" s="216">
        <f>SUMIF('Rev Adequacy'!$BF$27:$BF$257,'Charges to party by investment'!AK11,'Rev Adequacy'!$BL$27:$BL$257)</f>
        <v>1.1722762680968972</v>
      </c>
      <c r="AZ11" s="279">
        <f t="shared" si="3"/>
        <v>3.3135570432402659E-3</v>
      </c>
      <c r="BA11" s="280">
        <f t="shared" ca="1" si="4"/>
        <v>4.2092631667765366E-3</v>
      </c>
      <c r="BB11" s="20"/>
      <c r="BD11" s="47"/>
      <c r="BE11" s="157"/>
      <c r="BF11" s="20"/>
      <c r="BG11" s="20"/>
      <c r="BH11" s="20"/>
      <c r="BI11" s="20"/>
      <c r="BX11" s="115" t="str">
        <f t="shared" si="15"/>
        <v>Buller Electricity</v>
      </c>
      <c r="BY11" s="286">
        <f t="shared" ca="1" si="5"/>
        <v>0.16097793792378845</v>
      </c>
      <c r="BZ11" s="286">
        <f t="shared" si="6"/>
        <v>1.0102239130724637</v>
      </c>
      <c r="CA11" s="286">
        <f t="shared" si="7"/>
        <v>0</v>
      </c>
      <c r="CB11" s="286">
        <f t="shared" si="8"/>
        <v>0.62294872412917002</v>
      </c>
      <c r="CC11" s="286">
        <f t="shared" ca="1" si="16"/>
        <v>1.7941505751254221</v>
      </c>
    </row>
    <row r="12" spans="2:81" x14ac:dyDescent="0.25">
      <c r="C12" s="56" t="s">
        <v>100</v>
      </c>
      <c r="D12" s="15"/>
      <c r="F12" s="221">
        <f ca="1">SUMIF('Rev Adequacy'!$AH$22:$AH$652,'Charges to party by investment'!C12,'Rev Adequacy'!$AL$22:$AL$652)</f>
        <v>0</v>
      </c>
      <c r="G12" s="221">
        <f ca="1">SUMIF('Rev Adequacy'!$AH$22:$AH$652,'Charges to party by investment'!$C12,'Rev Adequacy'!AM$22:AM$652)</f>
        <v>0</v>
      </c>
      <c r="H12" s="221">
        <f ca="1">SUMIF('Rev Adequacy'!$AH$22:$AH$652,'Charges to party by investment'!$C12,'Rev Adequacy'!AN$22:AN$652)</f>
        <v>0</v>
      </c>
      <c r="I12" s="221">
        <f ca="1">SUMIF('Rev Adequacy'!$AH$22:$AH$652,'Charges to party by investment'!$C12,'Rev Adequacy'!AO$22:AO$652)</f>
        <v>0</v>
      </c>
      <c r="J12" s="221">
        <f>SUMIF('Rev Adequacy'!$AH$22:$AH$652,'Charges to party by investment'!$C12,'Rev Adequacy'!AP$22:AP$652)</f>
        <v>0</v>
      </c>
      <c r="K12" s="221">
        <f ca="1">SUMIF('Rev Adequacy'!$AH$22:$AH$652,'Charges to party by investment'!$C12,'Rev Adequacy'!AQ$22:AQ$652)</f>
        <v>0</v>
      </c>
      <c r="L12" s="221">
        <f ca="1">SUMIF('Rev Adequacy'!$AH$22:$AH$652,'Charges to party by investment'!$C12,'Rev Adequacy'!AR$22:AR$652)</f>
        <v>0</v>
      </c>
      <c r="M12" s="221">
        <f>SUMIF('Rev Adequacy'!$AH$22:$AH$652,'Charges to party by investment'!$C12,'Rev Adequacy'!AS$22:AS$652)</f>
        <v>0</v>
      </c>
      <c r="N12" s="221">
        <f ca="1">SUMIF('Rev Adequacy'!$AH$22:$AH$652,'Charges to party by investment'!$C12,'Rev Adequacy'!AT$22:AT$652)</f>
        <v>0</v>
      </c>
      <c r="O12" s="221">
        <f ca="1">SUMIF('Rev Adequacy'!$AH$22:$AH$652,'Charges to party by investment'!$C12,'Rev Adequacy'!AU$22:AU$652)</f>
        <v>0</v>
      </c>
      <c r="P12" s="221">
        <f ca="1">SUMIF('Rev Adequacy'!$AH$22:$AH$652,'Charges to party by investment'!$C12,'Rev Adequacy'!AV$22:AV$652)</f>
        <v>0</v>
      </c>
      <c r="Q12" s="221">
        <f>SUMIF('Rev Adequacy'!$AH$22:$AH$652,'Charges to party by investment'!$C12,'Rev Adequacy'!AW$22:AW$652)</f>
        <v>0</v>
      </c>
      <c r="R12" s="221">
        <f>SUMIF('Rev Adequacy'!$AH$22:$AH$652,'Charges to party by investment'!$C12,'Rev Adequacy'!AX$22:AX$652)</f>
        <v>0</v>
      </c>
      <c r="S12" s="15"/>
      <c r="T12" s="15"/>
      <c r="V12" s="221">
        <f ca="1">SUMIFS('Rev Adequacy'!$G$6:$G$4999,'Rev Adequacy'!$B$6:$B$4999,'Charges to party by investment'!V$4,'Rev Adequacy'!$E$6:$E$4999,'Charges to party by investment'!$C12)*V$5/V$6</f>
        <v>8.6560100987893903E-3</v>
      </c>
      <c r="W12" s="393">
        <f ca="1">SUMIFS('Rev Adequacy'!$G$6:$G$4999,'Rev Adequacy'!$B$6:$B$4999,'Charges to party by investment'!W$4,'Rev Adequacy'!$E$6:$E$4999,'Charges to party by investment'!$C12)*W$5/W$6</f>
        <v>0.14828669426721741</v>
      </c>
      <c r="X12" s="393">
        <f ca="1">SUMIFS('Rev Adequacy'!$G$6:$G$4999,'Rev Adequacy'!$B$6:$B$4999,'Charges to party by investment'!X$4,'Rev Adequacy'!$E$6:$E$4999,'Charges to party by investment'!$C12)*X$5/X$6</f>
        <v>0.16849138323163887</v>
      </c>
      <c r="Y12" s="393">
        <f ca="1">SUMIFS('Rev Adequacy'!$G$6:$G$4999,'Rev Adequacy'!$B$6:$B$4999,'Charges to party by investment'!Y$4,'Rev Adequacy'!$E$6:$E$4999,'Charges to party by investment'!$C12)*Y$5/Y$6</f>
        <v>4.0635350999999903E-2</v>
      </c>
      <c r="Z12" s="393">
        <f ca="1">SUMIFS('Rev Adequacy'!$G$6:$G$4999,'Rev Adequacy'!$B$6:$B$4999,'Charges to party by investment'!Z$4,'Rev Adequacy'!$E$6:$E$4999,'Charges to party by investment'!$C12)*Z$5/Z$6</f>
        <v>5.5284923871402154E-4</v>
      </c>
      <c r="AA12" s="393">
        <f ca="1">SUMIFS('Rev Adequacy'!$G$6:$G$4999,'Rev Adequacy'!$B$6:$B$4999,'Charges to party by investment'!AA$4,'Rev Adequacy'!$E$6:$E$4999,'Charges to party by investment'!$C12)*AA$5/AA$6</f>
        <v>3.2306965322314182E-2</v>
      </c>
      <c r="AB12" s="221">
        <f>SUMIFS('Rev Adequacy'!$G$6:$G$4999,'Rev Adequacy'!$B$6:$B$4999,'Charges to party by investment'!AB$4,'Rev Adequacy'!$E$6:$E$4999,'Charges to party by investment'!$C12)</f>
        <v>0</v>
      </c>
      <c r="AC12" s="221">
        <f>SUMIFS('Rev Adequacy'!$G$6:$G$4999,'Rev Adequacy'!$B$6:$B$4999,'Charges to party by investment'!AC$4,'Rev Adequacy'!$E$6:$E$4999,'Charges to party by investment'!$C12)</f>
        <v>0</v>
      </c>
      <c r="AD12" s="221">
        <f>SUMIFS('Rev Adequacy'!$G$6:$G$4999,'Rev Adequacy'!$B$6:$B$4999,'Charges to party by investment'!AD$4,'Rev Adequacy'!$E$6:$E$4999,'Charges to party by investment'!$C12)</f>
        <v>0</v>
      </c>
      <c r="AE12" s="221">
        <f>SUMIFS('Rev Adequacy'!$G$6:$G$4999,'Rev Adequacy'!$B$6:$B$4999,'Charges to party by investment'!AE$4,'Rev Adequacy'!$E$6:$E$4999,'Charges to party by investment'!$C12)</f>
        <v>0</v>
      </c>
      <c r="AF12" s="221">
        <f>SUMIFS('Rev Adequacy'!$G$6:$G$4999,'Rev Adequacy'!$B$6:$B$4999,'Charges to party by investment'!AF$4,'Rev Adequacy'!$E$6:$E$4999,'Charges to party by investment'!$C12)</f>
        <v>0</v>
      </c>
      <c r="AG12" s="221">
        <f>SUMIFS('Rev Adequacy'!$G$6:$G$4999,'Rev Adequacy'!$B$6:$B$4999,'Charges to party by investment'!AG$4,'Rev Adequacy'!$E$6:$E$4999,'Charges to party by investment'!$C12)</f>
        <v>0</v>
      </c>
      <c r="AH12" s="221">
        <f>SUMIFS('Rev Adequacy'!$G$6:$G$4999,'Rev Adequacy'!$B$6:$B$4999,'Charges to party by investment'!AH$4,'Rev Adequacy'!$E$6:$E$4999,'Charges to party by investment'!$C12)</f>
        <v>0</v>
      </c>
      <c r="AJ12" s="190" t="str">
        <f>'Charges as $M per year'!A7</f>
        <v>Centralines</v>
      </c>
      <c r="AK12" s="215" t="str">
        <f t="shared" si="9"/>
        <v>Centralines</v>
      </c>
      <c r="AL12" s="216">
        <f t="shared" ca="1" si="10"/>
        <v>0.39892925315867384</v>
      </c>
      <c r="AM12" s="216">
        <f>SUMIF('Rev Adequacy'!$BF$27:$BF$257,'Charges to party by investment'!AK12,'Rev Adequacy'!$BJ$27:$BJ$257)</f>
        <v>0.72552037820849491</v>
      </c>
      <c r="AN12" s="216">
        <f>VLOOKUP(AK12,Connection!$X$5:$AB$55,5,0)/1000000</f>
        <v>0.72055638</v>
      </c>
      <c r="AO12" s="216">
        <v>1.176617400095752E-2</v>
      </c>
      <c r="AP12" s="217">
        <f t="shared" ca="1" si="11"/>
        <v>0.25934229363826289</v>
      </c>
      <c r="AQ12" s="217">
        <f t="shared" si="12"/>
        <v>2.3797230773477604E-3</v>
      </c>
      <c r="AR12" s="274">
        <f t="shared" si="2"/>
        <v>0.44738793854137893</v>
      </c>
      <c r="AS12" s="217"/>
      <c r="AT12" s="277">
        <f t="shared" si="13"/>
        <v>1.1729083167498739</v>
      </c>
      <c r="AU12" s="274">
        <f t="shared" ca="1" si="14"/>
        <v>1.5836037439095052</v>
      </c>
      <c r="AV12" s="217"/>
      <c r="AW12" s="215" t="s">
        <v>100</v>
      </c>
      <c r="AX12" s="216">
        <f>SUMIF('Rev Adequacy'!$BF$27:$BF$257,'Charges to party by investment'!AK12,'Rev Adequacy'!$BK$27:$BK$257)</f>
        <v>0.79534981961381079</v>
      </c>
      <c r="AY12" s="216">
        <f>SUMIF('Rev Adequacy'!$BF$27:$BF$257,'Charges to party by investment'!AK12,'Rev Adequacy'!$BL$27:$BL$257)</f>
        <v>0.84190278055068812</v>
      </c>
      <c r="AZ12" s="279">
        <f t="shared" si="3"/>
        <v>2.3797230773477604E-3</v>
      </c>
      <c r="BA12" s="280">
        <f t="shared" ca="1" si="4"/>
        <v>2.9355158466642522E-3</v>
      </c>
      <c r="BB12" s="20"/>
      <c r="BD12" s="95"/>
      <c r="BE12" s="95"/>
      <c r="BF12" s="20"/>
      <c r="BG12" s="20"/>
      <c r="BH12" s="20"/>
      <c r="BI12" s="20"/>
      <c r="BX12" s="115" t="str">
        <f t="shared" si="15"/>
        <v>Centralines</v>
      </c>
      <c r="BY12" s="286">
        <f t="shared" ca="1" si="5"/>
        <v>0.39892925315867384</v>
      </c>
      <c r="BZ12" s="286">
        <f t="shared" si="6"/>
        <v>0.72552037820849491</v>
      </c>
      <c r="CA12" s="286">
        <f t="shared" si="7"/>
        <v>1.176617400095752E-2</v>
      </c>
      <c r="CB12" s="286">
        <f t="shared" si="8"/>
        <v>0.44738793854137893</v>
      </c>
      <c r="CC12" s="286">
        <f t="shared" ca="1" si="16"/>
        <v>1.5836037439095052</v>
      </c>
    </row>
    <row r="13" spans="2:81" x14ac:dyDescent="0.25">
      <c r="C13" s="56" t="s">
        <v>5</v>
      </c>
      <c r="D13" s="15"/>
      <c r="F13" s="221">
        <f ca="1">SUMIF('Rev Adequacy'!$AH$22:$AH$652,'Charges to party by investment'!C13,'Rev Adequacy'!$AL$22:$AL$652)</f>
        <v>0</v>
      </c>
      <c r="G13" s="221">
        <f ca="1">SUMIF('Rev Adequacy'!$AH$22:$AH$652,'Charges to party by investment'!$C13,'Rev Adequacy'!AM$22:AM$652)</f>
        <v>0</v>
      </c>
      <c r="H13" s="221">
        <f ca="1">SUMIF('Rev Adequacy'!$AH$22:$AH$652,'Charges to party by investment'!$C13,'Rev Adequacy'!AN$22:AN$652)</f>
        <v>0</v>
      </c>
      <c r="I13" s="221">
        <f ca="1">SUMIF('Rev Adequacy'!$AH$22:$AH$652,'Charges to party by investment'!$C13,'Rev Adequacy'!AO$22:AO$652)</f>
        <v>0</v>
      </c>
      <c r="J13" s="221">
        <f>SUMIF('Rev Adequacy'!$AH$22:$AH$652,'Charges to party by investment'!$C13,'Rev Adequacy'!AP$22:AP$652)</f>
        <v>0</v>
      </c>
      <c r="K13" s="221">
        <f ca="1">SUMIF('Rev Adequacy'!$AH$22:$AH$652,'Charges to party by investment'!$C13,'Rev Adequacy'!AQ$22:AQ$652)</f>
        <v>0</v>
      </c>
      <c r="L13" s="221">
        <f ca="1">SUMIF('Rev Adequacy'!$AH$22:$AH$652,'Charges to party by investment'!$C13,'Rev Adequacy'!AR$22:AR$652)</f>
        <v>0.5570588041770943</v>
      </c>
      <c r="M13" s="221">
        <f>SUMIF('Rev Adequacy'!$AH$22:$AH$652,'Charges to party by investment'!$C13,'Rev Adequacy'!AS$22:AS$652)</f>
        <v>0</v>
      </c>
      <c r="N13" s="221">
        <f ca="1">SUMIF('Rev Adequacy'!$AH$22:$AH$652,'Charges to party by investment'!$C13,'Rev Adequacy'!AT$22:AT$652)</f>
        <v>0</v>
      </c>
      <c r="O13" s="221">
        <f ca="1">SUMIF('Rev Adequacy'!$AH$22:$AH$652,'Charges to party by investment'!$C13,'Rev Adequacy'!AU$22:AU$652)</f>
        <v>0.25691672526800408</v>
      </c>
      <c r="P13" s="221">
        <f ca="1">SUMIF('Rev Adequacy'!$AH$22:$AH$652,'Charges to party by investment'!$C13,'Rev Adequacy'!AV$22:AV$652)</f>
        <v>0</v>
      </c>
      <c r="Q13" s="221">
        <f>SUMIF('Rev Adequacy'!$AH$22:$AH$652,'Charges to party by investment'!$C13,'Rev Adequacy'!AW$22:AW$652)</f>
        <v>0</v>
      </c>
      <c r="R13" s="221">
        <f>SUMIF('Rev Adequacy'!$AH$22:$AH$652,'Charges to party by investment'!$C13,'Rev Adequacy'!AX$22:AX$652)</f>
        <v>0</v>
      </c>
      <c r="S13" s="15"/>
      <c r="T13" s="15"/>
      <c r="V13" s="221">
        <f ca="1">SUMIFS('Rev Adequacy'!$G$6:$G$4999,'Rev Adequacy'!$B$6:$B$4999,'Charges to party by investment'!V$4,'Rev Adequacy'!$E$6:$E$4999,'Charges to party by investment'!$C13)*V$5/V$6</f>
        <v>2.8759106641808319</v>
      </c>
      <c r="W13" s="393">
        <f ca="1">SUMIFS('Rev Adequacy'!$G$6:$G$4999,'Rev Adequacy'!$B$6:$B$4999,'Charges to party by investment'!W$4,'Rev Adequacy'!$E$6:$E$4999,'Charges to party by investment'!$C13)*W$5/W$6</f>
        <v>0.4729752095991534</v>
      </c>
      <c r="X13" s="393">
        <f ca="1">SUMIFS('Rev Adequacy'!$G$6:$G$4999,'Rev Adequacy'!$B$6:$B$4999,'Charges to party by investment'!X$4,'Rev Adequacy'!$E$6:$E$4999,'Charges to party by investment'!$C13)*X$5/X$6</f>
        <v>0.54163344518693046</v>
      </c>
      <c r="Y13" s="393">
        <f ca="1">SUMIFS('Rev Adequacy'!$G$6:$G$4999,'Rev Adequacy'!$B$6:$B$4999,'Charges to party by investment'!Y$4,'Rev Adequacy'!$E$6:$E$4999,'Charges to party by investment'!$C13)*Y$5/Y$6</f>
        <v>0.16063522800000091</v>
      </c>
      <c r="Z13" s="393">
        <f ca="1">SUMIFS('Rev Adequacy'!$G$6:$G$4999,'Rev Adequacy'!$B$6:$B$4999,'Charges to party by investment'!Z$4,'Rev Adequacy'!$E$6:$E$4999,'Charges to party by investment'!$C13)*Z$5/Z$6</f>
        <v>8.6038226963777839E-4</v>
      </c>
      <c r="AA13" s="393">
        <f ca="1">SUMIFS('Rev Adequacy'!$G$6:$G$4999,'Rev Adequacy'!$B$6:$B$4999,'Charges to party by investment'!AA$4,'Rev Adequacy'!$E$6:$E$4999,'Charges to party by investment'!$C13)*AA$5/AA$6</f>
        <v>0.19942091421137847</v>
      </c>
      <c r="AB13" s="221">
        <f>SUMIFS('Rev Adequacy'!$G$6:$G$4999,'Rev Adequacy'!$B$6:$B$4999,'Charges to party by investment'!AB$4,'Rev Adequacy'!$E$6:$E$4999,'Charges to party by investment'!$C13)</f>
        <v>0</v>
      </c>
      <c r="AC13" s="221">
        <f>SUMIFS('Rev Adequacy'!$G$6:$G$4999,'Rev Adequacy'!$B$6:$B$4999,'Charges to party by investment'!AC$4,'Rev Adequacy'!$E$6:$E$4999,'Charges to party by investment'!$C13)</f>
        <v>0</v>
      </c>
      <c r="AD13" s="221">
        <f>SUMIFS('Rev Adequacy'!$G$6:$G$4999,'Rev Adequacy'!$B$6:$B$4999,'Charges to party by investment'!AD$4,'Rev Adequacy'!$E$6:$E$4999,'Charges to party by investment'!$C13)</f>
        <v>0</v>
      </c>
      <c r="AE13" s="221">
        <f>SUMIFS('Rev Adequacy'!$G$6:$G$4999,'Rev Adequacy'!$B$6:$B$4999,'Charges to party by investment'!AE$4,'Rev Adequacy'!$E$6:$E$4999,'Charges to party by investment'!$C13)</f>
        <v>0</v>
      </c>
      <c r="AF13" s="221">
        <f>SUMIFS('Rev Adequacy'!$G$6:$G$4999,'Rev Adequacy'!$B$6:$B$4999,'Charges to party by investment'!AF$4,'Rev Adequacy'!$E$6:$E$4999,'Charges to party by investment'!$C13)</f>
        <v>0</v>
      </c>
      <c r="AG13" s="221">
        <f>SUMIFS('Rev Adequacy'!$G$6:$G$4999,'Rev Adequacy'!$B$6:$B$4999,'Charges to party by investment'!AG$4,'Rev Adequacy'!$E$6:$E$4999,'Charges to party by investment'!$C13)</f>
        <v>0</v>
      </c>
      <c r="AH13" s="221">
        <f>SUMIFS('Rev Adequacy'!$G$6:$G$4999,'Rev Adequacy'!$B$6:$B$4999,'Charges to party by investment'!AH$4,'Rev Adequacy'!$E$6:$E$4999,'Charges to party by investment'!$C13)</f>
        <v>0</v>
      </c>
      <c r="AJ13" s="190" t="str">
        <f>'Charges as $M per year'!A8</f>
        <v>Counties Power</v>
      </c>
      <c r="AK13" s="215" t="str">
        <f t="shared" si="9"/>
        <v>Counties Power</v>
      </c>
      <c r="AL13" s="216">
        <f t="shared" ca="1" si="10"/>
        <v>5.0654113728930303</v>
      </c>
      <c r="AM13" s="216">
        <f>SUMIF('Rev Adequacy'!$BF$27:$BF$257,'Charges to party by investment'!AK13,'Rev Adequacy'!$BJ$27:$BJ$257)</f>
        <v>4.5218410001554226</v>
      </c>
      <c r="AN13" s="216">
        <f>VLOOKUP(AK13,Connection!$X$5:$AB$55,5,0)/1000000</f>
        <v>0.88525239</v>
      </c>
      <c r="AO13" s="216">
        <v>0.10513475299452564</v>
      </c>
      <c r="AP13" s="217">
        <f t="shared" ca="1" si="11"/>
        <v>0.41428154493628266</v>
      </c>
      <c r="AQ13" s="217">
        <f t="shared" si="12"/>
        <v>1.4831739677303446E-2</v>
      </c>
      <c r="AR13" s="274">
        <f t="shared" si="2"/>
        <v>2.7883670593330478</v>
      </c>
      <c r="AS13" s="217"/>
      <c r="AT13" s="277">
        <f t="shared" si="13"/>
        <v>7.3102080594884704</v>
      </c>
      <c r="AU13" s="274">
        <f t="shared" ca="1" si="14"/>
        <v>12.480754185376027</v>
      </c>
      <c r="AV13" s="217"/>
      <c r="AW13" s="215" t="s">
        <v>5</v>
      </c>
      <c r="AX13" s="216">
        <f>SUMIF('Rev Adequacy'!$BF$27:$BF$257,'Charges to party by investment'!AK13,'Rev Adequacy'!$BK$27:$BK$257)</f>
        <v>4.9570563857579586</v>
      </c>
      <c r="AY13" s="216">
        <f>SUMIF('Rev Adequacy'!$BF$27:$BF$257,'Charges to party by investment'!AK13,'Rev Adequacy'!$BL$27:$BL$257)</f>
        <v>5.2471999761596502</v>
      </c>
      <c r="AZ13" s="279">
        <f t="shared" si="3"/>
        <v>1.4831739677303446E-2</v>
      </c>
      <c r="BA13" s="280">
        <f t="shared" ca="1" si="4"/>
        <v>1.6723014629546475E-2</v>
      </c>
      <c r="BB13" s="20"/>
      <c r="BD13" s="95"/>
      <c r="BE13" s="95"/>
      <c r="BF13" s="20"/>
      <c r="BG13" s="20"/>
      <c r="BH13" s="20"/>
      <c r="BI13" s="20"/>
      <c r="BX13" s="115" t="str">
        <f t="shared" si="15"/>
        <v>Counties Power</v>
      </c>
      <c r="BY13" s="286">
        <f t="shared" ca="1" si="5"/>
        <v>5.0654113728930303</v>
      </c>
      <c r="BZ13" s="286">
        <f t="shared" si="6"/>
        <v>4.5218410001554226</v>
      </c>
      <c r="CA13" s="286">
        <f t="shared" si="7"/>
        <v>0.10513475299452564</v>
      </c>
      <c r="CB13" s="286">
        <f t="shared" si="8"/>
        <v>2.7883670593330478</v>
      </c>
      <c r="CC13" s="286">
        <f t="shared" ca="1" si="16"/>
        <v>12.480754185376027</v>
      </c>
    </row>
    <row r="14" spans="2:81" x14ac:dyDescent="0.25">
      <c r="C14" s="56" t="s">
        <v>7</v>
      </c>
      <c r="D14" s="15"/>
      <c r="F14" s="221">
        <f ca="1">SUMIF('Rev Adequacy'!$AH$22:$AH$652,'Charges to party by investment'!C14,'Rev Adequacy'!$AL$22:$AL$652)</f>
        <v>0</v>
      </c>
      <c r="G14" s="221">
        <f ca="1">SUMIF('Rev Adequacy'!$AH$22:$AH$652,'Charges to party by investment'!$C14,'Rev Adequacy'!AM$22:AM$652)</f>
        <v>0</v>
      </c>
      <c r="H14" s="221">
        <f ca="1">SUMIF('Rev Adequacy'!$AH$22:$AH$652,'Charges to party by investment'!$C14,'Rev Adequacy'!AN$22:AN$652)</f>
        <v>0</v>
      </c>
      <c r="I14" s="221">
        <f ca="1">SUMIF('Rev Adequacy'!$AH$22:$AH$652,'Charges to party by investment'!$C14,'Rev Adequacy'!AO$22:AO$652)</f>
        <v>0</v>
      </c>
      <c r="J14" s="221">
        <f>SUMIF('Rev Adequacy'!$AH$22:$AH$652,'Charges to party by investment'!$C14,'Rev Adequacy'!AP$22:AP$652)</f>
        <v>0</v>
      </c>
      <c r="K14" s="221">
        <f ca="1">SUMIF('Rev Adequacy'!$AH$22:$AH$652,'Charges to party by investment'!$C14,'Rev Adequacy'!AQ$22:AQ$652)</f>
        <v>0</v>
      </c>
      <c r="L14" s="221">
        <f ca="1">SUMIF('Rev Adequacy'!$AH$22:$AH$652,'Charges to party by investment'!$C14,'Rev Adequacy'!AR$22:AR$652)</f>
        <v>0</v>
      </c>
      <c r="M14" s="221">
        <f>SUMIF('Rev Adequacy'!$AH$22:$AH$652,'Charges to party by investment'!$C14,'Rev Adequacy'!AS$22:AS$652)</f>
        <v>0</v>
      </c>
      <c r="N14" s="221">
        <f ca="1">SUMIF('Rev Adequacy'!$AH$22:$AH$652,'Charges to party by investment'!$C14,'Rev Adequacy'!AT$22:AT$652)</f>
        <v>0</v>
      </c>
      <c r="O14" s="221">
        <f ca="1">SUMIF('Rev Adequacy'!$AH$22:$AH$652,'Charges to party by investment'!$C14,'Rev Adequacy'!AU$22:AU$652)</f>
        <v>0</v>
      </c>
      <c r="P14" s="221">
        <f ca="1">SUMIF('Rev Adequacy'!$AH$22:$AH$652,'Charges to party by investment'!$C14,'Rev Adequacy'!AV$22:AV$652)</f>
        <v>0</v>
      </c>
      <c r="Q14" s="221">
        <f>SUMIF('Rev Adequacy'!$AH$22:$AH$652,'Charges to party by investment'!$C14,'Rev Adequacy'!AW$22:AW$652)</f>
        <v>0</v>
      </c>
      <c r="R14" s="221">
        <f>SUMIF('Rev Adequacy'!$AH$22:$AH$652,'Charges to party by investment'!$C14,'Rev Adequacy'!AX$22:AX$652)</f>
        <v>0</v>
      </c>
      <c r="S14" s="15"/>
      <c r="T14" s="15"/>
      <c r="V14" s="221">
        <f ca="1">SUMIFS('Rev Adequacy'!$G$6:$G$4999,'Rev Adequacy'!$B$6:$B$4999,'Charges to party by investment'!V$4,'Rev Adequacy'!$E$6:$E$4999,'Charges to party by investment'!$C14)*V$5/V$6</f>
        <v>0</v>
      </c>
      <c r="W14" s="393">
        <f ca="1">SUMIFS('Rev Adequacy'!$G$6:$G$4999,'Rev Adequacy'!$B$6:$B$4999,'Charges to party by investment'!W$4,'Rev Adequacy'!$E$6:$E$4999,'Charges to party by investment'!$C14)*W$5/W$6</f>
        <v>0.35037309486348617</v>
      </c>
      <c r="X14" s="393">
        <f ca="1">SUMIFS('Rev Adequacy'!$G$6:$G$4999,'Rev Adequacy'!$B$6:$B$4999,'Charges to party by investment'!X$4,'Rev Adequacy'!$E$6:$E$4999,'Charges to party by investment'!$C14)*X$5/X$6</f>
        <v>0.35487741140227169</v>
      </c>
      <c r="Y14" s="393">
        <f ca="1">SUMIFS('Rev Adequacy'!$G$6:$G$4999,'Rev Adequacy'!$B$6:$B$4999,'Charges to party by investment'!Y$4,'Rev Adequacy'!$E$6:$E$4999,'Charges to party by investment'!$C14)*Y$5/Y$6</f>
        <v>0.10519606099999701</v>
      </c>
      <c r="Z14" s="393">
        <f ca="1">SUMIFS('Rev Adequacy'!$G$6:$G$4999,'Rev Adequacy'!$B$6:$B$4999,'Charges to party by investment'!Z$4,'Rev Adequacy'!$E$6:$E$4999,'Charges to party by investment'!$C14)*Z$5/Z$6</f>
        <v>1.0846585327886407E-3</v>
      </c>
      <c r="AA14" s="393">
        <f ca="1">SUMIFS('Rev Adequacy'!$G$6:$G$4999,'Rev Adequacy'!$B$6:$B$4999,'Charges to party by investment'!AA$4,'Rev Adequacy'!$E$6:$E$4999,'Charges to party by investment'!$C14)*AA$5/AA$6</f>
        <v>0</v>
      </c>
      <c r="AB14" s="221">
        <f>SUMIFS('Rev Adequacy'!$G$6:$G$4999,'Rev Adequacy'!$B$6:$B$4999,'Charges to party by investment'!AB$4,'Rev Adequacy'!$E$6:$E$4999,'Charges to party by investment'!$C14)</f>
        <v>0</v>
      </c>
      <c r="AC14" s="221">
        <f>SUMIFS('Rev Adequacy'!$G$6:$G$4999,'Rev Adequacy'!$B$6:$B$4999,'Charges to party by investment'!AC$4,'Rev Adequacy'!$E$6:$E$4999,'Charges to party by investment'!$C14)</f>
        <v>0</v>
      </c>
      <c r="AD14" s="221">
        <f>SUMIFS('Rev Adequacy'!$G$6:$G$4999,'Rev Adequacy'!$B$6:$B$4999,'Charges to party by investment'!AD$4,'Rev Adequacy'!$E$6:$E$4999,'Charges to party by investment'!$C14)</f>
        <v>0</v>
      </c>
      <c r="AE14" s="221">
        <f>SUMIFS('Rev Adequacy'!$G$6:$G$4999,'Rev Adequacy'!$B$6:$B$4999,'Charges to party by investment'!AE$4,'Rev Adequacy'!$E$6:$E$4999,'Charges to party by investment'!$C14)</f>
        <v>0</v>
      </c>
      <c r="AF14" s="221">
        <f>SUMIFS('Rev Adequacy'!$G$6:$G$4999,'Rev Adequacy'!$B$6:$B$4999,'Charges to party by investment'!AF$4,'Rev Adequacy'!$E$6:$E$4999,'Charges to party by investment'!$C14)</f>
        <v>0</v>
      </c>
      <c r="AG14" s="221">
        <f>SUMIFS('Rev Adequacy'!$G$6:$G$4999,'Rev Adequacy'!$B$6:$B$4999,'Charges to party by investment'!AG$4,'Rev Adequacy'!$E$6:$E$4999,'Charges to party by investment'!$C14)</f>
        <v>0</v>
      </c>
      <c r="AH14" s="221">
        <f>SUMIFS('Rev Adequacy'!$G$6:$G$4999,'Rev Adequacy'!$B$6:$B$4999,'Charges to party by investment'!AH$4,'Rev Adequacy'!$E$6:$E$4999,'Charges to party by investment'!$C14)</f>
        <v>0</v>
      </c>
      <c r="AJ14" s="190" t="str">
        <f>'Charges as $M per year'!A9</f>
        <v>Eastland Network</v>
      </c>
      <c r="AK14" s="215" t="str">
        <f t="shared" si="9"/>
        <v>Eastland Network</v>
      </c>
      <c r="AL14" s="216">
        <f t="shared" ca="1" si="10"/>
        <v>0.81153122579854353</v>
      </c>
      <c r="AM14" s="216">
        <f>SUMIF('Rev Adequacy'!$BF$27:$BF$257,'Charges to party by investment'!AK14,'Rev Adequacy'!$BJ$27:$BJ$257)</f>
        <v>2.0640819806891826</v>
      </c>
      <c r="AN14" s="216">
        <f>VLOOKUP(AK14,Connection!$X$5:$AB$55,5,0)/1000000</f>
        <v>3.3524211900000034</v>
      </c>
      <c r="AO14" s="216">
        <v>1.2922829339105896E-2</v>
      </c>
      <c r="AP14" s="217">
        <f t="shared" ca="1" si="11"/>
        <v>0.19812224164069717</v>
      </c>
      <c r="AQ14" s="217">
        <f t="shared" si="12"/>
        <v>6.7702350898986912E-3</v>
      </c>
      <c r="AR14" s="274">
        <f t="shared" si="2"/>
        <v>1.272804196900954</v>
      </c>
      <c r="AS14" s="217"/>
      <c r="AT14" s="277">
        <f t="shared" si="13"/>
        <v>3.3368861775901366</v>
      </c>
      <c r="AU14" s="274">
        <f t="shared" ca="1" si="14"/>
        <v>4.1613402327277855</v>
      </c>
      <c r="AV14" s="217"/>
      <c r="AW14" s="215" t="s">
        <v>7</v>
      </c>
      <c r="AX14" s="216">
        <f>SUMIF('Rev Adequacy'!$BF$27:$BF$257,'Charges to party by investment'!AK14,'Rev Adequacy'!$BK$27:$BK$257)</f>
        <v>2.2627444801247032</v>
      </c>
      <c r="AY14" s="216">
        <f>SUMIF('Rev Adequacy'!$BF$27:$BF$257,'Charges to party by investment'!AK14,'Rev Adequacy'!$BL$27:$BL$257)</f>
        <v>2.3951861464150501</v>
      </c>
      <c r="AZ14" s="279">
        <f t="shared" si="3"/>
        <v>6.7702350898986912E-3</v>
      </c>
      <c r="BA14" s="280">
        <f t="shared" ca="1" si="4"/>
        <v>9.8668156379864182E-3</v>
      </c>
      <c r="BB14" s="20"/>
      <c r="BD14" s="95"/>
      <c r="BE14" s="95"/>
      <c r="BF14" s="20"/>
      <c r="BG14" s="20"/>
      <c r="BH14" s="20"/>
      <c r="BI14" s="20"/>
      <c r="BX14" s="115" t="str">
        <f t="shared" si="15"/>
        <v>Eastland Network</v>
      </c>
      <c r="BY14" s="286">
        <f t="shared" ca="1" si="5"/>
        <v>0.81153122579854353</v>
      </c>
      <c r="BZ14" s="286">
        <f t="shared" si="6"/>
        <v>2.0640819806891826</v>
      </c>
      <c r="CA14" s="286">
        <f t="shared" si="7"/>
        <v>1.2922829339105896E-2</v>
      </c>
      <c r="CB14" s="286">
        <f t="shared" si="8"/>
        <v>1.272804196900954</v>
      </c>
      <c r="CC14" s="286">
        <f t="shared" ca="1" si="16"/>
        <v>4.1613402327277855</v>
      </c>
    </row>
    <row r="15" spans="2:81" x14ac:dyDescent="0.25">
      <c r="C15" s="5" t="s">
        <v>8</v>
      </c>
      <c r="D15" s="15"/>
      <c r="F15" s="221">
        <f ca="1">SUMIF('Rev Adequacy'!$AH$22:$AH$652,'Charges to party by investment'!C15,'Rev Adequacy'!$AL$22:$AL$652)</f>
        <v>0</v>
      </c>
      <c r="G15" s="221">
        <f ca="1">SUMIF('Rev Adequacy'!$AH$22:$AH$652,'Charges to party by investment'!$C15,'Rev Adequacy'!AM$22:AM$652)</f>
        <v>0</v>
      </c>
      <c r="H15" s="221">
        <f ca="1">SUMIF('Rev Adequacy'!$AH$22:$AH$652,'Charges to party by investment'!$C15,'Rev Adequacy'!AN$22:AN$652)</f>
        <v>0</v>
      </c>
      <c r="I15" s="221">
        <f ca="1">SUMIF('Rev Adequacy'!$AH$22:$AH$652,'Charges to party by investment'!$C15,'Rev Adequacy'!AO$22:AO$652)</f>
        <v>0</v>
      </c>
      <c r="J15" s="221">
        <f>SUMIF('Rev Adequacy'!$AH$22:$AH$652,'Charges to party by investment'!$C15,'Rev Adequacy'!AP$22:AP$652)</f>
        <v>0</v>
      </c>
      <c r="K15" s="221">
        <f ca="1">SUMIF('Rev Adequacy'!$AH$22:$AH$652,'Charges to party by investment'!$C15,'Rev Adequacy'!AQ$22:AQ$652)</f>
        <v>0</v>
      </c>
      <c r="L15" s="221">
        <f ca="1">SUMIF('Rev Adequacy'!$AH$22:$AH$652,'Charges to party by investment'!$C15,'Rev Adequacy'!AR$22:AR$652)</f>
        <v>0</v>
      </c>
      <c r="M15" s="221">
        <f>SUMIF('Rev Adequacy'!$AH$22:$AH$652,'Charges to party by investment'!$C15,'Rev Adequacy'!AS$22:AS$652)</f>
        <v>0</v>
      </c>
      <c r="N15" s="221">
        <f ca="1">SUMIF('Rev Adequacy'!$AH$22:$AH$652,'Charges to party by investment'!$C15,'Rev Adequacy'!AT$22:AT$652)</f>
        <v>0</v>
      </c>
      <c r="O15" s="221">
        <f ca="1">SUMIF('Rev Adequacy'!$AH$22:$AH$652,'Charges to party by investment'!$C15,'Rev Adequacy'!AU$22:AU$652)</f>
        <v>0</v>
      </c>
      <c r="P15" s="221">
        <f ca="1">SUMIF('Rev Adequacy'!$AH$22:$AH$652,'Charges to party by investment'!$C15,'Rev Adequacy'!AV$22:AV$652)</f>
        <v>0</v>
      </c>
      <c r="Q15" s="221">
        <f>SUMIF('Rev Adequacy'!$AH$22:$AH$652,'Charges to party by investment'!$C15,'Rev Adequacy'!AW$22:AW$652)</f>
        <v>0</v>
      </c>
      <c r="R15" s="221">
        <f>SUMIF('Rev Adequacy'!$AH$22:$AH$652,'Charges to party by investment'!$C15,'Rev Adequacy'!AX$22:AX$652)</f>
        <v>0</v>
      </c>
      <c r="S15" s="15"/>
      <c r="T15" s="15"/>
      <c r="V15" s="221">
        <f ca="1">SUMIFS('Rev Adequacy'!$G$6:$G$4999,'Rev Adequacy'!$B$6:$B$4999,'Charges to party by investment'!V$4,'Rev Adequacy'!$E$6:$E$4999,'Charges to party by investment'!$C15)*V$5/V$6</f>
        <v>5.5893239873123701E-3</v>
      </c>
      <c r="W15" s="393">
        <f ca="1">SUMIFS('Rev Adequacy'!$G$6:$G$4999,'Rev Adequacy'!$B$6:$B$4999,'Charges to party by investment'!W$4,'Rev Adequacy'!$E$6:$E$4999,'Charges to party by investment'!$C15)*W$5/W$6</f>
        <v>0.23545595952173479</v>
      </c>
      <c r="X15" s="393">
        <f ca="1">SUMIFS('Rev Adequacy'!$G$6:$G$4999,'Rev Adequacy'!$B$6:$B$4999,'Charges to party by investment'!X$4,'Rev Adequacy'!$E$6:$E$4999,'Charges to party by investment'!$C15)*X$5/X$6</f>
        <v>1.185889713017019</v>
      </c>
      <c r="Y15" s="393">
        <f ca="1">SUMIFS('Rev Adequacy'!$G$6:$G$4999,'Rev Adequacy'!$B$6:$B$4999,'Charges to party by investment'!Y$4,'Rev Adequacy'!$E$6:$E$4999,'Charges to party by investment'!$C15)*Y$5/Y$6</f>
        <v>0.1632088930000001</v>
      </c>
      <c r="Z15" s="393">
        <f ca="1">SUMIFS('Rev Adequacy'!$G$6:$G$4999,'Rev Adequacy'!$B$6:$B$4999,'Charges to party by investment'!Z$4,'Rev Adequacy'!$E$6:$E$4999,'Charges to party by investment'!$C15)*Z$5/Z$6</f>
        <v>0</v>
      </c>
      <c r="AA15" s="393">
        <f ca="1">SUMIFS('Rev Adequacy'!$G$6:$G$4999,'Rev Adequacy'!$B$6:$B$4999,'Charges to party by investment'!AA$4,'Rev Adequacy'!$E$6:$E$4999,'Charges to party by investment'!$C15)*AA$5/AA$6</f>
        <v>0.11966184259908789</v>
      </c>
      <c r="AB15" s="221">
        <f>SUMIFS('Rev Adequacy'!$G$6:$G$4999,'Rev Adequacy'!$B$6:$B$4999,'Charges to party by investment'!AB$4,'Rev Adequacy'!$E$6:$E$4999,'Charges to party by investment'!$C15)</f>
        <v>0</v>
      </c>
      <c r="AC15" s="221">
        <f>SUMIFS('Rev Adequacy'!$G$6:$G$4999,'Rev Adequacy'!$B$6:$B$4999,'Charges to party by investment'!AC$4,'Rev Adequacy'!$E$6:$E$4999,'Charges to party by investment'!$C15)</f>
        <v>0</v>
      </c>
      <c r="AD15" s="221">
        <f>SUMIFS('Rev Adequacy'!$G$6:$G$4999,'Rev Adequacy'!$B$6:$B$4999,'Charges to party by investment'!AD$4,'Rev Adequacy'!$E$6:$E$4999,'Charges to party by investment'!$C15)</f>
        <v>0</v>
      </c>
      <c r="AE15" s="221">
        <f>SUMIFS('Rev Adequacy'!$G$6:$G$4999,'Rev Adequacy'!$B$6:$B$4999,'Charges to party by investment'!AE$4,'Rev Adequacy'!$E$6:$E$4999,'Charges to party by investment'!$C15)</f>
        <v>0</v>
      </c>
      <c r="AF15" s="221">
        <f>SUMIFS('Rev Adequacy'!$G$6:$G$4999,'Rev Adequacy'!$B$6:$B$4999,'Charges to party by investment'!AF$4,'Rev Adequacy'!$E$6:$E$4999,'Charges to party by investment'!$C15)</f>
        <v>0</v>
      </c>
      <c r="AG15" s="221">
        <f>SUMIFS('Rev Adequacy'!$G$6:$G$4999,'Rev Adequacy'!$B$6:$B$4999,'Charges to party by investment'!AG$4,'Rev Adequacy'!$E$6:$E$4999,'Charges to party by investment'!$C15)</f>
        <v>0</v>
      </c>
      <c r="AH15" s="221">
        <f>SUMIFS('Rev Adequacy'!$G$6:$G$4999,'Rev Adequacy'!$B$6:$B$4999,'Charges to party by investment'!AH$4,'Rev Adequacy'!$E$6:$E$4999,'Charges to party by investment'!$C15)</f>
        <v>0</v>
      </c>
      <c r="AJ15" s="190" t="str">
        <f>'Charges as $M per year'!A10</f>
        <v>Electra</v>
      </c>
      <c r="AK15" s="215" t="str">
        <f t="shared" si="9"/>
        <v>Electra</v>
      </c>
      <c r="AL15" s="216">
        <f t="shared" ca="1" si="10"/>
        <v>1.7098057321251541</v>
      </c>
      <c r="AM15" s="216">
        <f>SUMIF('Rev Adequacy'!$BF$27:$BF$257,'Charges to party by investment'!AK15,'Rev Adequacy'!$BJ$27:$BJ$257)</f>
        <v>3.4368796121199781</v>
      </c>
      <c r="AN15" s="216">
        <f>VLOOKUP(AK15,Connection!$X$5:$AB$55,5,0)/1000000</f>
        <v>1.0931924599999998</v>
      </c>
      <c r="AO15" s="216">
        <v>5.3436265168844532E-2</v>
      </c>
      <c r="AP15" s="217">
        <f t="shared" ca="1" si="11"/>
        <v>0.24089803890625189</v>
      </c>
      <c r="AQ15" s="217">
        <f t="shared" si="12"/>
        <v>1.1273042043593102E-2</v>
      </c>
      <c r="AR15" s="274">
        <f t="shared" si="2"/>
        <v>2.1193319041955032</v>
      </c>
      <c r="AS15" s="217"/>
      <c r="AT15" s="277">
        <f t="shared" si="13"/>
        <v>5.5562115163154813</v>
      </c>
      <c r="AU15" s="274">
        <f t="shared" ca="1" si="14"/>
        <v>7.3194535136094796</v>
      </c>
      <c r="AV15" s="217"/>
      <c r="AW15" s="215" t="s">
        <v>8</v>
      </c>
      <c r="AX15" s="216">
        <f>SUMIF('Rev Adequacy'!$BF$27:$BF$257,'Charges to party by investment'!AK15,'Rev Adequacy'!$BK$27:$BK$257)</f>
        <v>3.7676702979505681</v>
      </c>
      <c r="AY15" s="216">
        <f>SUMIF('Rev Adequacy'!$BF$27:$BF$257,'Charges to party by investment'!AK15,'Rev Adequacy'!$BL$27:$BL$257)</f>
        <v>3.9881974218376275</v>
      </c>
      <c r="AZ15" s="279">
        <f t="shared" si="3"/>
        <v>1.1273042043593102E-2</v>
      </c>
      <c r="BA15" s="280">
        <f t="shared" ca="1" si="4"/>
        <v>9.9495906521979254E-3</v>
      </c>
      <c r="BB15" s="20"/>
      <c r="BD15" s="95"/>
      <c r="BE15" s="95"/>
      <c r="BF15" s="20"/>
      <c r="BG15" s="20"/>
      <c r="BH15" s="20"/>
      <c r="BI15" s="20"/>
      <c r="BX15" s="115" t="str">
        <f t="shared" si="15"/>
        <v>Electra</v>
      </c>
      <c r="BY15" s="286">
        <f t="shared" ca="1" si="5"/>
        <v>1.7098057321251541</v>
      </c>
      <c r="BZ15" s="286">
        <f t="shared" si="6"/>
        <v>3.4368796121199781</v>
      </c>
      <c r="CA15" s="286">
        <f t="shared" si="7"/>
        <v>5.3436265168844532E-2</v>
      </c>
      <c r="CB15" s="286">
        <f t="shared" si="8"/>
        <v>2.1193319041955032</v>
      </c>
      <c r="CC15" s="286">
        <f t="shared" ca="1" si="16"/>
        <v>7.3194535136094796</v>
      </c>
    </row>
    <row r="16" spans="2:81" x14ac:dyDescent="0.25">
      <c r="C16" s="5" t="s">
        <v>9</v>
      </c>
      <c r="D16" s="15"/>
      <c r="F16" s="221">
        <f ca="1">SUMIF('Rev Adequacy'!$AH$22:$AH$652,'Charges to party by investment'!C16,'Rev Adequacy'!$AL$22:$AL$652)</f>
        <v>0</v>
      </c>
      <c r="G16" s="221">
        <f ca="1">SUMIF('Rev Adequacy'!$AH$22:$AH$652,'Charges to party by investment'!$C16,'Rev Adequacy'!AM$22:AM$652)</f>
        <v>0</v>
      </c>
      <c r="H16" s="221">
        <f ca="1">SUMIF('Rev Adequacy'!$AH$22:$AH$652,'Charges to party by investment'!$C16,'Rev Adequacy'!AN$22:AN$652)</f>
        <v>0</v>
      </c>
      <c r="I16" s="221">
        <f ca="1">SUMIF('Rev Adequacy'!$AH$22:$AH$652,'Charges to party by investment'!$C16,'Rev Adequacy'!AO$22:AO$652)</f>
        <v>0</v>
      </c>
      <c r="J16" s="221">
        <f>SUMIF('Rev Adequacy'!$AH$22:$AH$652,'Charges to party by investment'!$C16,'Rev Adequacy'!AP$22:AP$652)</f>
        <v>0</v>
      </c>
      <c r="K16" s="221">
        <f ca="1">SUMIF('Rev Adequacy'!$AH$22:$AH$652,'Charges to party by investment'!$C16,'Rev Adequacy'!AQ$22:AQ$652)</f>
        <v>0</v>
      </c>
      <c r="L16" s="221">
        <f ca="1">SUMIF('Rev Adequacy'!$AH$22:$AH$652,'Charges to party by investment'!$C16,'Rev Adequacy'!AR$22:AR$652)</f>
        <v>0</v>
      </c>
      <c r="M16" s="221">
        <f>SUMIF('Rev Adequacy'!$AH$22:$AH$652,'Charges to party by investment'!$C16,'Rev Adequacy'!AS$22:AS$652)</f>
        <v>0</v>
      </c>
      <c r="N16" s="221">
        <f ca="1">SUMIF('Rev Adequacy'!$AH$22:$AH$652,'Charges to party by investment'!$C16,'Rev Adequacy'!AT$22:AT$652)</f>
        <v>0</v>
      </c>
      <c r="O16" s="221">
        <f ca="1">SUMIF('Rev Adequacy'!$AH$22:$AH$652,'Charges to party by investment'!$C16,'Rev Adequacy'!AU$22:AU$652)</f>
        <v>0</v>
      </c>
      <c r="P16" s="221">
        <f ca="1">SUMIF('Rev Adequacy'!$AH$22:$AH$652,'Charges to party by investment'!$C16,'Rev Adequacy'!AV$22:AV$652)</f>
        <v>0</v>
      </c>
      <c r="Q16" s="221">
        <f>SUMIF('Rev Adequacy'!$AH$22:$AH$652,'Charges to party by investment'!$C16,'Rev Adequacy'!AW$22:AW$652)</f>
        <v>0</v>
      </c>
      <c r="R16" s="221">
        <f>SUMIF('Rev Adequacy'!$AH$22:$AH$652,'Charges to party by investment'!$C16,'Rev Adequacy'!AX$22:AX$652)</f>
        <v>0</v>
      </c>
      <c r="S16" s="15"/>
      <c r="T16" s="15"/>
      <c r="V16" s="221">
        <f ca="1">SUMIFS('Rev Adequacy'!$G$6:$G$4999,'Rev Adequacy'!$B$6:$B$4999,'Charges to party by investment'!V$4,'Rev Adequacy'!$E$6:$E$4999,'Charges to party by investment'!$C16)*V$5/V$6</f>
        <v>0.123178815320606</v>
      </c>
      <c r="W16" s="393">
        <f ca="1">SUMIFS('Rev Adequacy'!$G$6:$G$4999,'Rev Adequacy'!$B$6:$B$4999,'Charges to party by investment'!W$4,'Rev Adequacy'!$E$6:$E$4999,'Charges to party by investment'!$C16)*W$5/W$6</f>
        <v>0</v>
      </c>
      <c r="X16" s="393">
        <f ca="1">SUMIFS('Rev Adequacy'!$G$6:$G$4999,'Rev Adequacy'!$B$6:$B$4999,'Charges to party by investment'!X$4,'Rev Adequacy'!$E$6:$E$4999,'Charges to party by investment'!$C16)*X$5/X$6</f>
        <v>0</v>
      </c>
      <c r="Y16" s="393">
        <f ca="1">SUMIFS('Rev Adequacy'!$G$6:$G$4999,'Rev Adequacy'!$B$6:$B$4999,'Charges to party by investment'!Y$4,'Rev Adequacy'!$E$6:$E$4999,'Charges to party by investment'!$C16)*Y$5/Y$6</f>
        <v>0.15743624999999842</v>
      </c>
      <c r="Z16" s="393">
        <f ca="1">SUMIFS('Rev Adequacy'!$G$6:$G$4999,'Rev Adequacy'!$B$6:$B$4999,'Charges to party by investment'!Z$4,'Rev Adequacy'!$E$6:$E$4999,'Charges to party by investment'!$C16)*Z$5/Z$6</f>
        <v>3.0212813942925801E-2</v>
      </c>
      <c r="AA16" s="393">
        <f ca="1">SUMIFS('Rev Adequacy'!$G$6:$G$4999,'Rev Adequacy'!$B$6:$B$4999,'Charges to party by investment'!AA$4,'Rev Adequacy'!$E$6:$E$4999,'Charges to party by investment'!$C16)*AA$5/AA$6</f>
        <v>0.15852330900632131</v>
      </c>
      <c r="AB16" s="221">
        <f>SUMIFS('Rev Adequacy'!$G$6:$G$4999,'Rev Adequacy'!$B$6:$B$4999,'Charges to party by investment'!AB$4,'Rev Adequacy'!$E$6:$E$4999,'Charges to party by investment'!$C16)</f>
        <v>0</v>
      </c>
      <c r="AC16" s="221">
        <f>SUMIFS('Rev Adequacy'!$G$6:$G$4999,'Rev Adequacy'!$B$6:$B$4999,'Charges to party by investment'!AC$4,'Rev Adequacy'!$E$6:$E$4999,'Charges to party by investment'!$C16)</f>
        <v>0</v>
      </c>
      <c r="AD16" s="221">
        <f>SUMIFS('Rev Adequacy'!$G$6:$G$4999,'Rev Adequacy'!$B$6:$B$4999,'Charges to party by investment'!AD$4,'Rev Adequacy'!$E$6:$E$4999,'Charges to party by investment'!$C16)</f>
        <v>0</v>
      </c>
      <c r="AE16" s="221">
        <f>SUMIFS('Rev Adequacy'!$G$6:$G$4999,'Rev Adequacy'!$B$6:$B$4999,'Charges to party by investment'!AE$4,'Rev Adequacy'!$E$6:$E$4999,'Charges to party by investment'!$C16)</f>
        <v>0</v>
      </c>
      <c r="AF16" s="221">
        <f>SUMIFS('Rev Adequacy'!$G$6:$G$4999,'Rev Adequacy'!$B$6:$B$4999,'Charges to party by investment'!AF$4,'Rev Adequacy'!$E$6:$E$4999,'Charges to party by investment'!$C16)</f>
        <v>0</v>
      </c>
      <c r="AG16" s="221">
        <f>SUMIFS('Rev Adequacy'!$G$6:$G$4999,'Rev Adequacy'!$B$6:$B$4999,'Charges to party by investment'!AG$4,'Rev Adequacy'!$E$6:$E$4999,'Charges to party by investment'!$C16)</f>
        <v>0</v>
      </c>
      <c r="AH16" s="221">
        <f>SUMIFS('Rev Adequacy'!$G$6:$G$4999,'Rev Adequacy'!$B$6:$B$4999,'Charges to party by investment'!AH$4,'Rev Adequacy'!$E$6:$E$4999,'Charges to party by investment'!$C16)</f>
        <v>0</v>
      </c>
      <c r="AJ16" s="190" t="str">
        <f>'Charges as $M per year'!A11</f>
        <v>Electricity Ashburton</v>
      </c>
      <c r="AK16" s="215" t="str">
        <f t="shared" si="9"/>
        <v>Electricity Ashburton</v>
      </c>
      <c r="AL16" s="216">
        <f t="shared" ca="1" si="10"/>
        <v>0.46935118826985156</v>
      </c>
      <c r="AM16" s="216">
        <f>SUMIF('Rev Adequacy'!$BF$27:$BF$257,'Charges to party by investment'!AK16,'Rev Adequacy'!$BJ$27:$BJ$257)</f>
        <v>7.004214158082525</v>
      </c>
      <c r="AN16" s="216">
        <f>VLOOKUP(AK16,Connection!$X$5:$AB$55,5,0)/1000000</f>
        <v>0.68745484999999995</v>
      </c>
      <c r="AO16" s="216">
        <v>0.25116482044337163</v>
      </c>
      <c r="AP16" s="217">
        <f t="shared" ca="1" si="11"/>
        <v>5.9824450768117488E-2</v>
      </c>
      <c r="AQ16" s="217">
        <f t="shared" si="12"/>
        <v>2.297397918971332E-2</v>
      </c>
      <c r="AR16" s="274">
        <f t="shared" si="2"/>
        <v>4.3191080876661045</v>
      </c>
      <c r="AS16" s="217"/>
      <c r="AT16" s="277">
        <f t="shared" si="13"/>
        <v>11.32332224574863</v>
      </c>
      <c r="AU16" s="274">
        <f t="shared" ca="1" si="14"/>
        <v>12.043838254461853</v>
      </c>
      <c r="AV16" s="217"/>
      <c r="AW16" s="215" t="s">
        <v>9</v>
      </c>
      <c r="AX16" s="216">
        <f>SUMIF('Rev Adequacy'!$BF$27:$BF$257,'Charges to party by investment'!AK16,'Rev Adequacy'!$BK$27:$BK$257)</f>
        <v>7.6783514763889089</v>
      </c>
      <c r="AY16" s="216">
        <f>SUMIF('Rev Adequacy'!$BF$27:$BF$257,'Charges to party by investment'!AK16,'Rev Adequacy'!$BL$27:$BL$257)</f>
        <v>8.1277763552598312</v>
      </c>
      <c r="AZ16" s="279">
        <f t="shared" si="3"/>
        <v>2.297397918971332E-2</v>
      </c>
      <c r="BA16" s="280">
        <f t="shared" ca="1" si="4"/>
        <v>1.3299478857165033E-2</v>
      </c>
      <c r="BB16" s="20"/>
      <c r="BD16" s="95"/>
      <c r="BE16" s="95"/>
      <c r="BF16" s="20"/>
      <c r="BG16" s="20"/>
      <c r="BH16" s="20"/>
      <c r="BI16" s="20"/>
      <c r="BX16" s="115" t="str">
        <f t="shared" si="15"/>
        <v>Electricity Ashburton</v>
      </c>
      <c r="BY16" s="286">
        <f t="shared" ca="1" si="5"/>
        <v>0.46935118826985156</v>
      </c>
      <c r="BZ16" s="286">
        <f t="shared" si="6"/>
        <v>7.004214158082525</v>
      </c>
      <c r="CA16" s="286">
        <f t="shared" si="7"/>
        <v>0.25116482044337163</v>
      </c>
      <c r="CB16" s="286">
        <f t="shared" si="8"/>
        <v>4.3191080876661045</v>
      </c>
      <c r="CC16" s="286">
        <f t="shared" ca="1" si="16"/>
        <v>12.043838254461853</v>
      </c>
    </row>
    <row r="17" spans="2:81" x14ac:dyDescent="0.25">
      <c r="B17" s="155" t="str">
        <f>BG17&amp;BH17</f>
        <v/>
      </c>
      <c r="C17" s="5" t="s">
        <v>101</v>
      </c>
      <c r="D17" s="15"/>
      <c r="F17" s="221">
        <f ca="1">SUMIF('Rev Adequacy'!$AH$22:$AH$652,'Charges to party by investment'!C17,'Rev Adequacy'!$AL$22:$AL$652)</f>
        <v>0</v>
      </c>
      <c r="G17" s="221">
        <f ca="1">SUMIF('Rev Adequacy'!$AH$22:$AH$652,'Charges to party by investment'!$C17,'Rev Adequacy'!AM$22:AM$652)</f>
        <v>0</v>
      </c>
      <c r="H17" s="221">
        <f ca="1">SUMIF('Rev Adequacy'!$AH$22:$AH$652,'Charges to party by investment'!$C17,'Rev Adequacy'!AN$22:AN$652)</f>
        <v>0</v>
      </c>
      <c r="I17" s="221">
        <f ca="1">SUMIF('Rev Adequacy'!$AH$22:$AH$652,'Charges to party by investment'!$C17,'Rev Adequacy'!AO$22:AO$652)</f>
        <v>0</v>
      </c>
      <c r="J17" s="221">
        <f>SUMIF('Rev Adequacy'!$AH$22:$AH$652,'Charges to party by investment'!$C17,'Rev Adequacy'!AP$22:AP$652)</f>
        <v>0</v>
      </c>
      <c r="K17" s="221">
        <f ca="1">SUMIF('Rev Adequacy'!$AH$22:$AH$652,'Charges to party by investment'!$C17,'Rev Adequacy'!AQ$22:AQ$652)</f>
        <v>0</v>
      </c>
      <c r="L17" s="221">
        <f ca="1">SUMIF('Rev Adequacy'!$AH$22:$AH$652,'Charges to party by investment'!$C17,'Rev Adequacy'!AR$22:AR$652)</f>
        <v>0</v>
      </c>
      <c r="M17" s="221">
        <f>SUMIF('Rev Adequacy'!$AH$22:$AH$652,'Charges to party by investment'!$C17,'Rev Adequacy'!AS$22:AS$652)</f>
        <v>0</v>
      </c>
      <c r="N17" s="221">
        <f ca="1">SUMIF('Rev Adequacy'!$AH$22:$AH$652,'Charges to party by investment'!$C17,'Rev Adequacy'!AT$22:AT$652)</f>
        <v>0</v>
      </c>
      <c r="O17" s="221">
        <f ca="1">SUMIF('Rev Adequacy'!$AH$22:$AH$652,'Charges to party by investment'!$C17,'Rev Adequacy'!AU$22:AU$652)</f>
        <v>0</v>
      </c>
      <c r="P17" s="221">
        <f ca="1">SUMIF('Rev Adequacy'!$AH$22:$AH$652,'Charges to party by investment'!$C17,'Rev Adequacy'!AV$22:AV$652)</f>
        <v>0.1496172182840019</v>
      </c>
      <c r="Q17" s="221">
        <f>SUMIF('Rev Adequacy'!$AH$22:$AH$652,'Charges to party by investment'!$C17,'Rev Adequacy'!AW$22:AW$652)</f>
        <v>0</v>
      </c>
      <c r="R17" s="221">
        <f>SUMIF('Rev Adequacy'!$AH$22:$AH$652,'Charges to party by investment'!$C17,'Rev Adequacy'!AX$22:AX$652)</f>
        <v>0</v>
      </c>
      <c r="S17" s="15"/>
      <c r="T17" s="15"/>
      <c r="V17" s="221">
        <f ca="1">SUMIFS('Rev Adequacy'!$G$6:$G$4999,'Rev Adequacy'!$B$6:$B$4999,'Charges to party by investment'!V$4,'Rev Adequacy'!$E$6:$E$4999,'Charges to party by investment'!$C17)*V$5/V$6</f>
        <v>7.6052038214703185E-3</v>
      </c>
      <c r="W17" s="393">
        <f ca="1">SUMIFS('Rev Adequacy'!$G$6:$G$4999,'Rev Adequacy'!$B$6:$B$4999,'Charges to party by investment'!W$4,'Rev Adequacy'!$E$6:$E$4999,'Charges to party by investment'!$C17)*W$5/W$6</f>
        <v>0</v>
      </c>
      <c r="X17" s="393">
        <f ca="1">SUMIFS('Rev Adequacy'!$G$6:$G$4999,'Rev Adequacy'!$B$6:$B$4999,'Charges to party by investment'!X$4,'Rev Adequacy'!$E$6:$E$4999,'Charges to party by investment'!$C17)*X$5/X$6</f>
        <v>0</v>
      </c>
      <c r="Y17" s="393">
        <f ca="1">SUMIFS('Rev Adequacy'!$G$6:$G$4999,'Rev Adequacy'!$B$6:$B$4999,'Charges to party by investment'!Y$4,'Rev Adequacy'!$E$6:$E$4999,'Charges to party by investment'!$C17)*Y$5/Y$6</f>
        <v>8.2771778127167309E-2</v>
      </c>
      <c r="Z17" s="393">
        <f ca="1">SUMIFS('Rev Adequacy'!$G$6:$G$4999,'Rev Adequacy'!$B$6:$B$4999,'Charges to party by investment'!Z$4,'Rev Adequacy'!$E$6:$E$4999,'Charges to party by investment'!$C17)*Z$5/Z$6</f>
        <v>0.10093349882033351</v>
      </c>
      <c r="AA17" s="393">
        <f ca="1">SUMIFS('Rev Adequacy'!$G$6:$G$4999,'Rev Adequacy'!$B$6:$B$4999,'Charges to party by investment'!AA$4,'Rev Adequacy'!$E$6:$E$4999,'Charges to party by investment'!$C17)*AA$5/AA$6</f>
        <v>5.9424871740254091E-2</v>
      </c>
      <c r="AB17" s="221">
        <f>SUMIFS('Rev Adequacy'!$G$6:$G$4999,'Rev Adequacy'!$B$6:$B$4999,'Charges to party by investment'!AB$4,'Rev Adequacy'!$E$6:$E$4999,'Charges to party by investment'!$C17)</f>
        <v>0</v>
      </c>
      <c r="AC17" s="221">
        <f>SUMIFS('Rev Adequacy'!$G$6:$G$4999,'Rev Adequacy'!$B$6:$B$4999,'Charges to party by investment'!AC$4,'Rev Adequacy'!$E$6:$E$4999,'Charges to party by investment'!$C17)</f>
        <v>0</v>
      </c>
      <c r="AD17" s="221">
        <f>SUMIFS('Rev Adequacy'!$G$6:$G$4999,'Rev Adequacy'!$B$6:$B$4999,'Charges to party by investment'!AD$4,'Rev Adequacy'!$E$6:$E$4999,'Charges to party by investment'!$C17)</f>
        <v>0</v>
      </c>
      <c r="AE17" s="221">
        <f>SUMIFS('Rev Adequacy'!$G$6:$G$4999,'Rev Adequacy'!$B$6:$B$4999,'Charges to party by investment'!AE$4,'Rev Adequacy'!$E$6:$E$4999,'Charges to party by investment'!$C17)</f>
        <v>0</v>
      </c>
      <c r="AF17" s="221">
        <f>SUMIFS('Rev Adequacy'!$G$6:$G$4999,'Rev Adequacy'!$B$6:$B$4999,'Charges to party by investment'!AF$4,'Rev Adequacy'!$E$6:$E$4999,'Charges to party by investment'!$C17)</f>
        <v>0</v>
      </c>
      <c r="AG17" s="221">
        <f>SUMIFS('Rev Adequacy'!$G$6:$G$4999,'Rev Adequacy'!$B$6:$B$4999,'Charges to party by investment'!AG$4,'Rev Adequacy'!$E$6:$E$4999,'Charges to party by investment'!$C17)</f>
        <v>0</v>
      </c>
      <c r="AH17" s="221">
        <f>SUMIFS('Rev Adequacy'!$G$6:$G$4999,'Rev Adequacy'!$B$6:$B$4999,'Charges to party by investment'!AH$4,'Rev Adequacy'!$E$6:$E$4999,'Charges to party by investment'!$C17)</f>
        <v>0</v>
      </c>
      <c r="AJ17" s="190" t="str">
        <f>'Charges as $M per year'!A12</f>
        <v>Electricity Invercargill</v>
      </c>
      <c r="AK17" s="218" t="str">
        <f t="shared" si="9"/>
        <v>Electricity Invercargill</v>
      </c>
      <c r="AL17" s="216">
        <f t="shared" ca="1" si="10"/>
        <v>0.40035257079322711</v>
      </c>
      <c r="AM17" s="216">
        <f>SUMIF('Rev Adequacy'!$BF$27:$BF$257,'Charges to party by investment'!AK17,'Rev Adequacy'!$BJ$27:$BJ$257)</f>
        <v>1.973648996655704</v>
      </c>
      <c r="AN17" s="216">
        <f>VLOOKUP(AK17,Connection!$X$5:$AB$55,5,0)/1000000</f>
        <v>0.9388440099999994</v>
      </c>
      <c r="AO17" s="216">
        <v>0</v>
      </c>
      <c r="AP17" s="217">
        <f t="shared" ca="1" si="11"/>
        <v>0.11148650053352255</v>
      </c>
      <c r="AQ17" s="217">
        <f t="shared" si="12"/>
        <v>6.473612878418856E-3</v>
      </c>
      <c r="AR17" s="274">
        <f t="shared" si="2"/>
        <v>1.217039221142745</v>
      </c>
      <c r="AS17" s="217"/>
      <c r="AT17" s="277">
        <f t="shared" si="13"/>
        <v>3.1906882177984492</v>
      </c>
      <c r="AU17" s="274">
        <f t="shared" ca="1" si="14"/>
        <v>3.591040788591676</v>
      </c>
      <c r="AV17" s="217"/>
      <c r="AW17" s="215" t="s">
        <v>101</v>
      </c>
      <c r="AX17" s="216">
        <f>SUMIF('Rev Adequacy'!$BF$27:$BF$257,'Charges to party by investment'!AK17,'Rev Adequacy'!$BK$27:$BK$257)</f>
        <v>2.1636075575812312</v>
      </c>
      <c r="AY17" s="216">
        <f>SUMIF('Rev Adequacy'!$BF$27:$BF$257,'Charges to party by investment'!AK17,'Rev Adequacy'!$BL$27:$BL$257)</f>
        <v>2.2902465981982498</v>
      </c>
      <c r="AZ17" s="279">
        <f t="shared" si="3"/>
        <v>6.473612878418856E-3</v>
      </c>
      <c r="BA17" s="280">
        <f t="shared" ca="1" si="4"/>
        <v>5.2375357444429012E-3</v>
      </c>
      <c r="BB17" s="20"/>
      <c r="BD17" s="95"/>
      <c r="BE17" s="95"/>
      <c r="BF17" s="158"/>
      <c r="BG17" s="20"/>
      <c r="BH17" s="20"/>
      <c r="BI17" s="20"/>
      <c r="BX17" s="115" t="str">
        <f t="shared" si="15"/>
        <v>Electricity Invercargill</v>
      </c>
      <c r="BY17" s="286">
        <f t="shared" ca="1" si="5"/>
        <v>0.40035257079322711</v>
      </c>
      <c r="BZ17" s="286">
        <f t="shared" si="6"/>
        <v>1.973648996655704</v>
      </c>
      <c r="CA17" s="286">
        <f t="shared" si="7"/>
        <v>0</v>
      </c>
      <c r="CB17" s="286">
        <f t="shared" si="8"/>
        <v>1.217039221142745</v>
      </c>
      <c r="CC17" s="286">
        <f t="shared" ca="1" si="16"/>
        <v>3.591040788591676</v>
      </c>
    </row>
    <row r="18" spans="2:81" x14ac:dyDescent="0.25">
      <c r="C18" s="5" t="s">
        <v>11</v>
      </c>
      <c r="D18" s="15"/>
      <c r="F18" s="221">
        <f ca="1">SUMIF('Rev Adequacy'!$AH$22:$AH$652,'Charges to party by investment'!C18,'Rev Adequacy'!$AL$22:$AL$652)</f>
        <v>0</v>
      </c>
      <c r="G18" s="221">
        <f ca="1">SUMIF('Rev Adequacy'!$AH$22:$AH$652,'Charges to party by investment'!$C18,'Rev Adequacy'!AM$22:AM$652)</f>
        <v>0</v>
      </c>
      <c r="H18" s="221">
        <f ca="1">SUMIF('Rev Adequacy'!$AH$22:$AH$652,'Charges to party by investment'!$C18,'Rev Adequacy'!AN$22:AN$652)</f>
        <v>0</v>
      </c>
      <c r="I18" s="221">
        <f ca="1">SUMIF('Rev Adequacy'!$AH$22:$AH$652,'Charges to party by investment'!$C18,'Rev Adequacy'!AO$22:AO$652)</f>
        <v>0</v>
      </c>
      <c r="J18" s="221">
        <f>SUMIF('Rev Adequacy'!$AH$22:$AH$652,'Charges to party by investment'!$C18,'Rev Adequacy'!AP$22:AP$652)</f>
        <v>0</v>
      </c>
      <c r="K18" s="221">
        <f ca="1">SUMIF('Rev Adequacy'!$AH$22:$AH$652,'Charges to party by investment'!$C18,'Rev Adequacy'!AQ$22:AQ$652)</f>
        <v>0</v>
      </c>
      <c r="L18" s="221">
        <f ca="1">SUMIF('Rev Adequacy'!$AH$22:$AH$652,'Charges to party by investment'!$C18,'Rev Adequacy'!AR$22:AR$652)</f>
        <v>0</v>
      </c>
      <c r="M18" s="221">
        <f>SUMIF('Rev Adequacy'!$AH$22:$AH$652,'Charges to party by investment'!$C18,'Rev Adequacy'!AS$22:AS$652)</f>
        <v>0</v>
      </c>
      <c r="N18" s="221">
        <f ca="1">SUMIF('Rev Adequacy'!$AH$22:$AH$652,'Charges to party by investment'!$C18,'Rev Adequacy'!AT$22:AT$652)</f>
        <v>0</v>
      </c>
      <c r="O18" s="221">
        <f ca="1">SUMIF('Rev Adequacy'!$AH$22:$AH$652,'Charges to party by investment'!$C18,'Rev Adequacy'!AU$22:AU$652)</f>
        <v>0</v>
      </c>
      <c r="P18" s="221">
        <f ca="1">SUMIF('Rev Adequacy'!$AH$22:$AH$652,'Charges to party by investment'!$C18,'Rev Adequacy'!AV$22:AV$652)</f>
        <v>0</v>
      </c>
      <c r="Q18" s="221">
        <f>SUMIF('Rev Adequacy'!$AH$22:$AH$652,'Charges to party by investment'!$C18,'Rev Adequacy'!AW$22:AW$652)</f>
        <v>0</v>
      </c>
      <c r="R18" s="221">
        <f>SUMIF('Rev Adequacy'!$AH$22:$AH$652,'Charges to party by investment'!$C18,'Rev Adequacy'!AX$22:AX$652)</f>
        <v>0</v>
      </c>
      <c r="S18" s="15"/>
      <c r="T18" s="15"/>
      <c r="V18" s="221">
        <f ca="1">SUMIFS('Rev Adequacy'!$G$6:$G$4999,'Rev Adequacy'!$B$6:$B$4999,'Charges to party by investment'!V$4,'Rev Adequacy'!$E$6:$E$4999,'Charges to party by investment'!$C18)*V$5/V$6</f>
        <v>0</v>
      </c>
      <c r="W18" s="393">
        <f ca="1">SUMIFS('Rev Adequacy'!$G$6:$G$4999,'Rev Adequacy'!$B$6:$B$4999,'Charges to party by investment'!W$4,'Rev Adequacy'!$E$6:$E$4999,'Charges to party by investment'!$C18)*W$5/W$6</f>
        <v>0.54279821447402554</v>
      </c>
      <c r="X18" s="393">
        <f ca="1">SUMIFS('Rev Adequacy'!$G$6:$G$4999,'Rev Adequacy'!$B$6:$B$4999,'Charges to party by investment'!X$4,'Rev Adequacy'!$E$6:$E$4999,'Charges to party by investment'!$C18)*X$5/X$6</f>
        <v>0.56627683428698905</v>
      </c>
      <c r="Y18" s="393">
        <f ca="1">SUMIFS('Rev Adequacy'!$G$6:$G$4999,'Rev Adequacy'!$B$6:$B$4999,'Charges to party by investment'!Y$4,'Rev Adequacy'!$E$6:$E$4999,'Charges to party by investment'!$C18)*Y$5/Y$6</f>
        <v>0.16120163399999748</v>
      </c>
      <c r="Z18" s="393">
        <f ca="1">SUMIFS('Rev Adequacy'!$G$6:$G$4999,'Rev Adequacy'!$B$6:$B$4999,'Charges to party by investment'!Z$4,'Rev Adequacy'!$E$6:$E$4999,'Charges to party by investment'!$C18)*Z$5/Z$6</f>
        <v>1.3149200836677518E-3</v>
      </c>
      <c r="AA18" s="393">
        <f ca="1">SUMIFS('Rev Adequacy'!$G$6:$G$4999,'Rev Adequacy'!$B$6:$B$4999,'Charges to party by investment'!AA$4,'Rev Adequacy'!$E$6:$E$4999,'Charges to party by investment'!$C18)*AA$5/AA$6</f>
        <v>0.11500009575442219</v>
      </c>
      <c r="AB18" s="221">
        <f>SUMIFS('Rev Adequacy'!$G$6:$G$4999,'Rev Adequacy'!$B$6:$B$4999,'Charges to party by investment'!AB$4,'Rev Adequacy'!$E$6:$E$4999,'Charges to party by investment'!$C18)</f>
        <v>0</v>
      </c>
      <c r="AC18" s="221">
        <f>SUMIFS('Rev Adequacy'!$G$6:$G$4999,'Rev Adequacy'!$B$6:$B$4999,'Charges to party by investment'!AC$4,'Rev Adequacy'!$E$6:$E$4999,'Charges to party by investment'!$C18)</f>
        <v>0</v>
      </c>
      <c r="AD18" s="221">
        <f>SUMIFS('Rev Adequacy'!$G$6:$G$4999,'Rev Adequacy'!$B$6:$B$4999,'Charges to party by investment'!AD$4,'Rev Adequacy'!$E$6:$E$4999,'Charges to party by investment'!$C18)</f>
        <v>0</v>
      </c>
      <c r="AE18" s="221">
        <f>SUMIFS('Rev Adequacy'!$G$6:$G$4999,'Rev Adequacy'!$B$6:$B$4999,'Charges to party by investment'!AE$4,'Rev Adequacy'!$E$6:$E$4999,'Charges to party by investment'!$C18)</f>
        <v>0</v>
      </c>
      <c r="AF18" s="221">
        <f>SUMIFS('Rev Adequacy'!$G$6:$G$4999,'Rev Adequacy'!$B$6:$B$4999,'Charges to party by investment'!AF$4,'Rev Adequacy'!$E$6:$E$4999,'Charges to party by investment'!$C18)</f>
        <v>0</v>
      </c>
      <c r="AG18" s="221">
        <f>SUMIFS('Rev Adequacy'!$G$6:$G$4999,'Rev Adequacy'!$B$6:$B$4999,'Charges to party by investment'!AG$4,'Rev Adequacy'!$E$6:$E$4999,'Charges to party by investment'!$C18)</f>
        <v>0</v>
      </c>
      <c r="AH18" s="221">
        <f>SUMIFS('Rev Adequacy'!$G$6:$G$4999,'Rev Adequacy'!$B$6:$B$4999,'Charges to party by investment'!AH$4,'Rev Adequacy'!$E$6:$E$4999,'Charges to party by investment'!$C18)</f>
        <v>0</v>
      </c>
      <c r="AJ18" s="190" t="str">
        <f>'Charges as $M per year'!A13</f>
        <v>Horizon</v>
      </c>
      <c r="AK18" s="215" t="str">
        <f t="shared" si="9"/>
        <v>Horizon</v>
      </c>
      <c r="AL18" s="216">
        <f t="shared" ca="1" si="10"/>
        <v>1.386591698599102</v>
      </c>
      <c r="AM18" s="216">
        <f>SUMIF('Rev Adequacy'!$BF$27:$BF$257,'Charges to party by investment'!AK18,'Rev Adequacy'!$BJ$27:$BJ$257)</f>
        <v>3.3705706148723831</v>
      </c>
      <c r="AN18" s="216">
        <f>VLOOKUP(AK18,Connection!$X$5:$AB$55,5,0)/1000000</f>
        <v>2.303110999999999</v>
      </c>
      <c r="AO18" s="216">
        <v>2.0620920501149331E-2</v>
      </c>
      <c r="AP18" s="217">
        <f t="shared" ca="1" si="11"/>
        <v>0.20524594767751753</v>
      </c>
      <c r="AQ18" s="217">
        <f t="shared" si="12"/>
        <v>1.1055547048655075E-2</v>
      </c>
      <c r="AR18" s="274">
        <f t="shared" si="2"/>
        <v>2.0784428451471544</v>
      </c>
      <c r="AS18" s="217"/>
      <c r="AT18" s="277">
        <f t="shared" si="13"/>
        <v>5.4490134600195379</v>
      </c>
      <c r="AU18" s="274">
        <f t="shared" ca="1" si="14"/>
        <v>6.8562260791197884</v>
      </c>
      <c r="AV18" s="217"/>
      <c r="AW18" s="215" t="s">
        <v>11</v>
      </c>
      <c r="AX18" s="216">
        <f>SUMIF('Rev Adequacy'!$BF$27:$BF$257,'Charges to party by investment'!AK18,'Rev Adequacy'!$BK$27:$BK$257)</f>
        <v>3.6949792329113285</v>
      </c>
      <c r="AY18" s="216">
        <f>SUMIF('Rev Adequacy'!$BF$27:$BF$257,'Charges to party by investment'!AK18,'Rev Adequacy'!$BL$27:$BL$257)</f>
        <v>3.9112516449372925</v>
      </c>
      <c r="AZ18" s="279">
        <f t="shared" si="3"/>
        <v>1.1055547048655075E-2</v>
      </c>
      <c r="BA18" s="280">
        <f t="shared" ca="1" si="4"/>
        <v>1.1194737510708198E-2</v>
      </c>
      <c r="BB18" s="20"/>
      <c r="BD18" s="95"/>
      <c r="BE18" s="95"/>
      <c r="BF18" s="158"/>
      <c r="BG18" s="20"/>
      <c r="BH18" s="20"/>
      <c r="BI18" s="20"/>
      <c r="BX18" s="115" t="str">
        <f t="shared" si="15"/>
        <v>Horizon</v>
      </c>
      <c r="BY18" s="286">
        <f t="shared" ca="1" si="5"/>
        <v>1.386591698599102</v>
      </c>
      <c r="BZ18" s="286">
        <f t="shared" si="6"/>
        <v>3.3705706148723831</v>
      </c>
      <c r="CA18" s="286">
        <f t="shared" si="7"/>
        <v>2.0620920501149331E-2</v>
      </c>
      <c r="CB18" s="286">
        <f t="shared" si="8"/>
        <v>2.0784428451471544</v>
      </c>
      <c r="CC18" s="286">
        <f t="shared" ca="1" si="16"/>
        <v>6.8562260791197884</v>
      </c>
    </row>
    <row r="19" spans="2:81" x14ac:dyDescent="0.25">
      <c r="C19" s="5" t="s">
        <v>102</v>
      </c>
      <c r="D19" s="15"/>
      <c r="F19" s="221">
        <f ca="1">SUMIF('Rev Adequacy'!$AH$22:$AH$652,'Charges to party by investment'!C19,'Rev Adequacy'!$AL$22:$AL$652)</f>
        <v>0</v>
      </c>
      <c r="G19" s="221">
        <f ca="1">SUMIF('Rev Adequacy'!$AH$22:$AH$652,'Charges to party by investment'!$C19,'Rev Adequacy'!AM$22:AM$652)</f>
        <v>0</v>
      </c>
      <c r="H19" s="221">
        <f ca="1">SUMIF('Rev Adequacy'!$AH$22:$AH$652,'Charges to party by investment'!$C19,'Rev Adequacy'!AN$22:AN$652)</f>
        <v>0</v>
      </c>
      <c r="I19" s="221">
        <f ca="1">SUMIF('Rev Adequacy'!$AH$22:$AH$652,'Charges to party by investment'!$C19,'Rev Adequacy'!AO$22:AO$652)</f>
        <v>0</v>
      </c>
      <c r="J19" s="221">
        <f>SUMIF('Rev Adequacy'!$AH$22:$AH$652,'Charges to party by investment'!$C19,'Rev Adequacy'!AP$22:AP$652)</f>
        <v>0</v>
      </c>
      <c r="K19" s="221">
        <f ca="1">SUMIF('Rev Adequacy'!$AH$22:$AH$652,'Charges to party by investment'!$C19,'Rev Adequacy'!AQ$22:AQ$652)</f>
        <v>0</v>
      </c>
      <c r="L19" s="221">
        <f ca="1">SUMIF('Rev Adequacy'!$AH$22:$AH$652,'Charges to party by investment'!$C19,'Rev Adequacy'!AR$22:AR$652)</f>
        <v>0</v>
      </c>
      <c r="M19" s="221">
        <f>SUMIF('Rev Adequacy'!$AH$22:$AH$652,'Charges to party by investment'!$C19,'Rev Adequacy'!AS$22:AS$652)</f>
        <v>0</v>
      </c>
      <c r="N19" s="221">
        <f ca="1">SUMIF('Rev Adequacy'!$AH$22:$AH$652,'Charges to party by investment'!$C19,'Rev Adequacy'!AT$22:AT$652)</f>
        <v>0</v>
      </c>
      <c r="O19" s="221">
        <f ca="1">SUMIF('Rev Adequacy'!$AH$22:$AH$652,'Charges to party by investment'!$C19,'Rev Adequacy'!AU$22:AU$652)</f>
        <v>0</v>
      </c>
      <c r="P19" s="221">
        <f ca="1">SUMIF('Rev Adequacy'!$AH$22:$AH$652,'Charges to party by investment'!$C19,'Rev Adequacy'!AV$22:AV$652)</f>
        <v>0</v>
      </c>
      <c r="Q19" s="221">
        <f>SUMIF('Rev Adequacy'!$AH$22:$AH$652,'Charges to party by investment'!$C19,'Rev Adequacy'!AW$22:AW$652)</f>
        <v>0</v>
      </c>
      <c r="R19" s="221">
        <f>SUMIF('Rev Adequacy'!$AH$22:$AH$652,'Charges to party by investment'!$C19,'Rev Adequacy'!AX$22:AX$652)</f>
        <v>0</v>
      </c>
      <c r="S19" s="15"/>
      <c r="T19" s="15"/>
      <c r="V19" s="221">
        <f ca="1">SUMIFS('Rev Adequacy'!$G$6:$G$4999,'Rev Adequacy'!$B$6:$B$4999,'Charges to party by investment'!V$4,'Rev Adequacy'!$E$6:$E$4999,'Charges to party by investment'!$C19)*V$5/V$6</f>
        <v>0</v>
      </c>
      <c r="W19" s="393">
        <f ca="1">SUMIFS('Rev Adequacy'!$G$6:$G$4999,'Rev Adequacy'!$B$6:$B$4999,'Charges to party by investment'!W$4,'Rev Adequacy'!$E$6:$E$4999,'Charges to party by investment'!$C19)*W$5/W$6</f>
        <v>0</v>
      </c>
      <c r="X19" s="393">
        <f ca="1">SUMIFS('Rev Adequacy'!$G$6:$G$4999,'Rev Adequacy'!$B$6:$B$4999,'Charges to party by investment'!X$4,'Rev Adequacy'!$E$6:$E$4999,'Charges to party by investment'!$C19)*X$5/X$6</f>
        <v>0</v>
      </c>
      <c r="Y19" s="393">
        <f ca="1">SUMIFS('Rev Adequacy'!$G$6:$G$4999,'Rev Adequacy'!$B$6:$B$4999,'Charges to party by investment'!Y$4,'Rev Adequacy'!$E$6:$E$4999,'Charges to party by investment'!$C19)*Y$5/Y$6</f>
        <v>3.79554133269926E-3</v>
      </c>
      <c r="Z19" s="393">
        <f ca="1">SUMIFS('Rev Adequacy'!$G$6:$G$4999,'Rev Adequacy'!$B$6:$B$4999,'Charges to party by investment'!Z$4,'Rev Adequacy'!$E$6:$E$4999,'Charges to party by investment'!$C19)*Z$5/Z$6</f>
        <v>1.7855724533914495E-4</v>
      </c>
      <c r="AA19" s="393">
        <f ca="1">SUMIFS('Rev Adequacy'!$G$6:$G$4999,'Rev Adequacy'!$B$6:$B$4999,'Charges to party by investment'!AA$4,'Rev Adequacy'!$E$6:$E$4999,'Charges to party by investment'!$C19)*AA$5/AA$6</f>
        <v>2.3813614871978049E-3</v>
      </c>
      <c r="AB19" s="221">
        <f>SUMIFS('Rev Adequacy'!$G$6:$G$4999,'Rev Adequacy'!$B$6:$B$4999,'Charges to party by investment'!AB$4,'Rev Adequacy'!$E$6:$E$4999,'Charges to party by investment'!$C19)</f>
        <v>0</v>
      </c>
      <c r="AC19" s="221">
        <f>SUMIFS('Rev Adequacy'!$G$6:$G$4999,'Rev Adequacy'!$B$6:$B$4999,'Charges to party by investment'!AC$4,'Rev Adequacy'!$E$6:$E$4999,'Charges to party by investment'!$C19)</f>
        <v>0</v>
      </c>
      <c r="AD19" s="221">
        <f>SUMIFS('Rev Adequacy'!$G$6:$G$4999,'Rev Adequacy'!$B$6:$B$4999,'Charges to party by investment'!AD$4,'Rev Adequacy'!$E$6:$E$4999,'Charges to party by investment'!$C19)</f>
        <v>0</v>
      </c>
      <c r="AE19" s="221">
        <f>SUMIFS('Rev Adequacy'!$G$6:$G$4999,'Rev Adequacy'!$B$6:$B$4999,'Charges to party by investment'!AE$4,'Rev Adequacy'!$E$6:$E$4999,'Charges to party by investment'!$C19)</f>
        <v>0</v>
      </c>
      <c r="AF19" s="221">
        <f>SUMIFS('Rev Adequacy'!$G$6:$G$4999,'Rev Adequacy'!$B$6:$B$4999,'Charges to party by investment'!AF$4,'Rev Adequacy'!$E$6:$E$4999,'Charges to party by investment'!$C19)</f>
        <v>0</v>
      </c>
      <c r="AG19" s="221">
        <f>SUMIFS('Rev Adequacy'!$G$6:$G$4999,'Rev Adequacy'!$B$6:$B$4999,'Charges to party by investment'!AG$4,'Rev Adequacy'!$E$6:$E$4999,'Charges to party by investment'!$C19)</f>
        <v>0</v>
      </c>
      <c r="AH19" s="221">
        <f>SUMIFS('Rev Adequacy'!$G$6:$G$4999,'Rev Adequacy'!$B$6:$B$4999,'Charges to party by investment'!AH$4,'Rev Adequacy'!$E$6:$E$4999,'Charges to party by investment'!$C19)</f>
        <v>0</v>
      </c>
      <c r="AJ19" s="190" t="str">
        <f>'Charges as $M per year'!A14</f>
        <v>Lakeland Network</v>
      </c>
      <c r="AK19" s="215" t="str">
        <f t="shared" si="9"/>
        <v>Lakeland Network</v>
      </c>
      <c r="AL19" s="216">
        <f t="shared" ca="1" si="10"/>
        <v>6.3554600652362099E-3</v>
      </c>
      <c r="AM19" s="216">
        <f>SUMIF('Rev Adequacy'!$BF$27:$BF$257,'Charges to party by investment'!AK19,'Rev Adequacy'!$BJ$27:$BJ$257)</f>
        <v>9.8904083633644904E-2</v>
      </c>
      <c r="AN19" s="216">
        <f>VLOOKUP(AK19,Connection!$X$5:$AB$55,5,0)/1000000</f>
        <v>5.7698709999999986E-2</v>
      </c>
      <c r="AO19" s="216">
        <v>0</v>
      </c>
      <c r="AP19" s="217">
        <f t="shared" ca="1" si="11"/>
        <v>3.8228751113611785E-2</v>
      </c>
      <c r="AQ19" s="217">
        <f t="shared" si="12"/>
        <v>3.2440760774782865E-4</v>
      </c>
      <c r="AR19" s="274">
        <f t="shared" si="2"/>
        <v>6.0988630256591785E-2</v>
      </c>
      <c r="AS19" s="217"/>
      <c r="AT19" s="277">
        <f t="shared" si="13"/>
        <v>0.15989271389023668</v>
      </c>
      <c r="AU19" s="274">
        <f t="shared" ca="1" si="14"/>
        <v>0.16624817395547289</v>
      </c>
      <c r="AV19" s="217"/>
      <c r="AW19" s="215" t="s">
        <v>102</v>
      </c>
      <c r="AX19" s="216">
        <f>SUMIF('Rev Adequacy'!$BF$27:$BF$257,'Charges to party by investment'!AK19,'Rev Adequacy'!$BK$27:$BK$257)</f>
        <v>0.10842334335436549</v>
      </c>
      <c r="AY19" s="216">
        <f>SUMIF('Rev Adequacy'!$BF$27:$BF$257,'Charges to party by investment'!AK19,'Rev Adequacy'!$BL$27:$BL$257)</f>
        <v>0.11476951650151253</v>
      </c>
      <c r="AZ19" s="279">
        <f t="shared" si="3"/>
        <v>3.2440760774782865E-4</v>
      </c>
      <c r="BA19" s="280">
        <f t="shared" ca="1" si="4"/>
        <v>2.5763340265836515E-4</v>
      </c>
      <c r="BB19" s="20"/>
      <c r="BD19" s="95"/>
      <c r="BE19" s="95"/>
      <c r="BF19" s="20"/>
      <c r="BG19" s="20"/>
      <c r="BH19" s="20"/>
      <c r="BI19" s="20"/>
      <c r="BX19" s="115" t="str">
        <f t="shared" si="15"/>
        <v>Lakeland Network</v>
      </c>
      <c r="BY19" s="286">
        <f t="shared" ca="1" si="5"/>
        <v>6.3554600652362099E-3</v>
      </c>
      <c r="BZ19" s="286">
        <f t="shared" si="6"/>
        <v>9.8904083633644904E-2</v>
      </c>
      <c r="CA19" s="286">
        <f t="shared" si="7"/>
        <v>0</v>
      </c>
      <c r="CB19" s="286">
        <f t="shared" si="8"/>
        <v>6.0988630256591785E-2</v>
      </c>
      <c r="CC19" s="286">
        <f t="shared" ca="1" si="16"/>
        <v>0.16624817395547289</v>
      </c>
    </row>
    <row r="20" spans="2:81" x14ac:dyDescent="0.25">
      <c r="C20" s="5" t="s">
        <v>12</v>
      </c>
      <c r="D20" s="15"/>
      <c r="F20" s="221">
        <f ca="1">SUMIF('Rev Adequacy'!$AH$22:$AH$652,'Charges to party by investment'!C20,'Rev Adequacy'!$AL$22:$AL$652)</f>
        <v>0</v>
      </c>
      <c r="G20" s="221">
        <f ca="1">SUMIF('Rev Adequacy'!$AH$22:$AH$652,'Charges to party by investment'!$C20,'Rev Adequacy'!AM$22:AM$652)</f>
        <v>0</v>
      </c>
      <c r="H20" s="221">
        <f ca="1">SUMIF('Rev Adequacy'!$AH$22:$AH$652,'Charges to party by investment'!$C20,'Rev Adequacy'!AN$22:AN$652)</f>
        <v>0</v>
      </c>
      <c r="I20" s="221">
        <f ca="1">SUMIF('Rev Adequacy'!$AH$22:$AH$652,'Charges to party by investment'!$C20,'Rev Adequacy'!AO$22:AO$652)</f>
        <v>0</v>
      </c>
      <c r="J20" s="221">
        <f>SUMIF('Rev Adequacy'!$AH$22:$AH$652,'Charges to party by investment'!$C20,'Rev Adequacy'!AP$22:AP$652)</f>
        <v>0</v>
      </c>
      <c r="K20" s="221">
        <f ca="1">SUMIF('Rev Adequacy'!$AH$22:$AH$652,'Charges to party by investment'!$C20,'Rev Adequacy'!AQ$22:AQ$652)</f>
        <v>0</v>
      </c>
      <c r="L20" s="221">
        <f ca="1">SUMIF('Rev Adequacy'!$AH$22:$AH$652,'Charges to party by investment'!$C20,'Rev Adequacy'!AR$22:AR$652)</f>
        <v>0</v>
      </c>
      <c r="M20" s="221">
        <f>SUMIF('Rev Adequacy'!$AH$22:$AH$652,'Charges to party by investment'!$C20,'Rev Adequacy'!AS$22:AS$652)</f>
        <v>0</v>
      </c>
      <c r="N20" s="221">
        <f ca="1">SUMIF('Rev Adequacy'!$AH$22:$AH$652,'Charges to party by investment'!$C20,'Rev Adequacy'!AT$22:AT$652)</f>
        <v>0.36334119333880238</v>
      </c>
      <c r="O20" s="221">
        <f ca="1">SUMIF('Rev Adequacy'!$AH$22:$AH$652,'Charges to party by investment'!$C20,'Rev Adequacy'!AU$22:AU$652)</f>
        <v>0</v>
      </c>
      <c r="P20" s="221">
        <f ca="1">SUMIF('Rev Adequacy'!$AH$22:$AH$652,'Charges to party by investment'!$C20,'Rev Adequacy'!AV$22:AV$652)</f>
        <v>0</v>
      </c>
      <c r="Q20" s="221">
        <f>SUMIF('Rev Adequacy'!$AH$22:$AH$652,'Charges to party by investment'!$C20,'Rev Adequacy'!AW$22:AW$652)</f>
        <v>0</v>
      </c>
      <c r="R20" s="221">
        <f>SUMIF('Rev Adequacy'!$AH$22:$AH$652,'Charges to party by investment'!$C20,'Rev Adequacy'!AX$22:AX$652)</f>
        <v>0</v>
      </c>
      <c r="S20" s="15"/>
      <c r="T20" s="15"/>
      <c r="V20" s="221">
        <f ca="1">SUMIFS('Rev Adequacy'!$G$6:$G$4999,'Rev Adequacy'!$B$6:$B$4999,'Charges to party by investment'!V$4,'Rev Adequacy'!$E$6:$E$4999,'Charges to party by investment'!$C20)*V$5/V$6</f>
        <v>3.3683779189126906E-2</v>
      </c>
      <c r="W20" s="393">
        <f ca="1">SUMIFS('Rev Adequacy'!$G$6:$G$4999,'Rev Adequacy'!$B$6:$B$4999,'Charges to party by investment'!W$4,'Rev Adequacy'!$E$6:$E$4999,'Charges to party by investment'!$C20)*W$5/W$6</f>
        <v>0</v>
      </c>
      <c r="X20" s="393">
        <f ca="1">SUMIFS('Rev Adequacy'!$G$6:$G$4999,'Rev Adequacy'!$B$6:$B$4999,'Charges to party by investment'!X$4,'Rev Adequacy'!$E$6:$E$4999,'Charges to party by investment'!$C20)*X$5/X$6</f>
        <v>0</v>
      </c>
      <c r="Y20" s="393">
        <f ca="1">SUMIFS('Rev Adequacy'!$G$6:$G$4999,'Rev Adequacy'!$B$6:$B$4999,'Charges to party by investment'!Y$4,'Rev Adequacy'!$E$6:$E$4999,'Charges to party by investment'!$C20)*Y$5/Y$6</f>
        <v>0.1962530749999985</v>
      </c>
      <c r="Z20" s="393">
        <f ca="1">SUMIFS('Rev Adequacy'!$G$6:$G$4999,'Rev Adequacy'!$B$6:$B$4999,'Charges to party by investment'!Z$4,'Rev Adequacy'!$E$6:$E$4999,'Charges to party by investment'!$C20)*Z$5/Z$6</f>
        <v>6.5506276517168241E-2</v>
      </c>
      <c r="AA20" s="393">
        <f ca="1">SUMIFS('Rev Adequacy'!$G$6:$G$4999,'Rev Adequacy'!$B$6:$B$4999,'Charges to party by investment'!AA$4,'Rev Adequacy'!$E$6:$E$4999,'Charges to party by investment'!$C20)*AA$5/AA$6</f>
        <v>0.14126099367044914</v>
      </c>
      <c r="AB20" s="221">
        <f>SUMIFS('Rev Adequacy'!$G$6:$G$4999,'Rev Adequacy'!$B$6:$B$4999,'Charges to party by investment'!AB$4,'Rev Adequacy'!$E$6:$E$4999,'Charges to party by investment'!$C20)</f>
        <v>0</v>
      </c>
      <c r="AC20" s="221">
        <f>SUMIFS('Rev Adequacy'!$G$6:$G$4999,'Rev Adequacy'!$B$6:$B$4999,'Charges to party by investment'!AC$4,'Rev Adequacy'!$E$6:$E$4999,'Charges to party by investment'!$C20)</f>
        <v>0</v>
      </c>
      <c r="AD20" s="221">
        <f>SUMIFS('Rev Adequacy'!$G$6:$G$4999,'Rev Adequacy'!$B$6:$B$4999,'Charges to party by investment'!AD$4,'Rev Adequacy'!$E$6:$E$4999,'Charges to party by investment'!$C20)</f>
        <v>0</v>
      </c>
      <c r="AE20" s="221">
        <f>SUMIFS('Rev Adequacy'!$G$6:$G$4999,'Rev Adequacy'!$B$6:$B$4999,'Charges to party by investment'!AE$4,'Rev Adequacy'!$E$6:$E$4999,'Charges to party by investment'!$C20)</f>
        <v>0</v>
      </c>
      <c r="AF20" s="221">
        <f>SUMIFS('Rev Adequacy'!$G$6:$G$4999,'Rev Adequacy'!$B$6:$B$4999,'Charges to party by investment'!AF$4,'Rev Adequacy'!$E$6:$E$4999,'Charges to party by investment'!$C20)</f>
        <v>0</v>
      </c>
      <c r="AG20" s="221">
        <f>SUMIFS('Rev Adequacy'!$G$6:$G$4999,'Rev Adequacy'!$B$6:$B$4999,'Charges to party by investment'!AG$4,'Rev Adequacy'!$E$6:$E$4999,'Charges to party by investment'!$C20)</f>
        <v>0</v>
      </c>
      <c r="AH20" s="221">
        <f>SUMIFS('Rev Adequacy'!$G$6:$G$4999,'Rev Adequacy'!$B$6:$B$4999,'Charges to party by investment'!AH$4,'Rev Adequacy'!$E$6:$E$4999,'Charges to party by investment'!$C20)</f>
        <v>0</v>
      </c>
      <c r="AJ20" s="190" t="str">
        <f>'Charges as $M per year'!A15</f>
        <v>Mainpower</v>
      </c>
      <c r="AK20" s="215" t="str">
        <f t="shared" si="9"/>
        <v>Mainpower</v>
      </c>
      <c r="AL20" s="216">
        <f t="shared" ca="1" si="10"/>
        <v>0.8000453177155451</v>
      </c>
      <c r="AM20" s="216">
        <f>SUMIF('Rev Adequacy'!$BF$27:$BF$257,'Charges to party by investment'!AK20,'Rev Adequacy'!$BJ$27:$BJ$257)</f>
        <v>4.5224377065423527</v>
      </c>
      <c r="AN20" s="216">
        <f>VLOOKUP(AK20,Connection!$X$5:$AB$55,5,0)/1000000</f>
        <v>2.7979099600000006</v>
      </c>
      <c r="AO20" s="216">
        <v>0.1621705488858155</v>
      </c>
      <c r="AP20" s="217">
        <f t="shared" ca="1" si="11"/>
        <v>0.11630251091981718</v>
      </c>
      <c r="AQ20" s="217">
        <f t="shared" si="12"/>
        <v>1.4833696887606601E-2</v>
      </c>
      <c r="AR20" s="274">
        <f t="shared" si="2"/>
        <v>2.7887350148700412</v>
      </c>
      <c r="AS20" s="217"/>
      <c r="AT20" s="277">
        <f t="shared" si="13"/>
        <v>7.3111727214123938</v>
      </c>
      <c r="AU20" s="274">
        <f t="shared" ca="1" si="14"/>
        <v>8.2733885880137539</v>
      </c>
      <c r="AV20" s="217"/>
      <c r="AW20" s="215" t="s">
        <v>12</v>
      </c>
      <c r="AX20" s="216">
        <f>SUMIF('Rev Adequacy'!$BF$27:$BF$257,'Charges to party by investment'!AK20,'Rev Adequacy'!$BK$27:$BK$257)</f>
        <v>4.9577105235760852</v>
      </c>
      <c r="AY20" s="216">
        <f>SUMIF('Rev Adequacy'!$BF$27:$BF$257,'Charges to party by investment'!AK20,'Rev Adequacy'!$BL$27:$BL$257)</f>
        <v>5.2478924015985733</v>
      </c>
      <c r="AZ20" s="279">
        <f t="shared" si="3"/>
        <v>1.4833696887606601E-2</v>
      </c>
      <c r="BA20" s="280">
        <f t="shared" ca="1" si="4"/>
        <v>1.3094550152218261E-2</v>
      </c>
      <c r="BB20" s="20"/>
      <c r="BD20" s="95"/>
      <c r="BE20" s="95"/>
      <c r="BF20" s="20"/>
      <c r="BG20" s="20"/>
      <c r="BH20" s="20"/>
      <c r="BI20" s="20"/>
      <c r="BX20" s="115" t="str">
        <f t="shared" si="15"/>
        <v>Mainpower</v>
      </c>
      <c r="BY20" s="286">
        <f t="shared" ca="1" si="5"/>
        <v>0.8000453177155451</v>
      </c>
      <c r="BZ20" s="286">
        <f t="shared" si="6"/>
        <v>4.5224377065423527</v>
      </c>
      <c r="CA20" s="286">
        <f t="shared" si="7"/>
        <v>0.1621705488858155</v>
      </c>
      <c r="CB20" s="286">
        <f t="shared" si="8"/>
        <v>2.7887350148700412</v>
      </c>
      <c r="CC20" s="286">
        <f t="shared" ca="1" si="16"/>
        <v>8.2733885880137539</v>
      </c>
    </row>
    <row r="21" spans="2:81" x14ac:dyDescent="0.25">
      <c r="C21" s="5" t="s">
        <v>13</v>
      </c>
      <c r="D21" s="15"/>
      <c r="F21" s="221">
        <f ca="1">SUMIF('Rev Adequacy'!$AH$22:$AH$652,'Charges to party by investment'!C21,'Rev Adequacy'!$AL$22:$AL$652)</f>
        <v>0</v>
      </c>
      <c r="G21" s="221">
        <f ca="1">SUMIF('Rev Adequacy'!$AH$22:$AH$652,'Charges to party by investment'!$C21,'Rev Adequacy'!AM$22:AM$652)</f>
        <v>0</v>
      </c>
      <c r="H21" s="221">
        <f ca="1">SUMIF('Rev Adequacy'!$AH$22:$AH$652,'Charges to party by investment'!$C21,'Rev Adequacy'!AN$22:AN$652)</f>
        <v>0</v>
      </c>
      <c r="I21" s="221">
        <f ca="1">SUMIF('Rev Adequacy'!$AH$22:$AH$652,'Charges to party by investment'!$C21,'Rev Adequacy'!AO$22:AO$652)</f>
        <v>0</v>
      </c>
      <c r="J21" s="221">
        <f>SUMIF('Rev Adequacy'!$AH$22:$AH$652,'Charges to party by investment'!$C21,'Rev Adequacy'!AP$22:AP$652)</f>
        <v>0</v>
      </c>
      <c r="K21" s="221">
        <f ca="1">SUMIF('Rev Adequacy'!$AH$22:$AH$652,'Charges to party by investment'!$C21,'Rev Adequacy'!AQ$22:AQ$652)</f>
        <v>0</v>
      </c>
      <c r="L21" s="221">
        <f ca="1">SUMIF('Rev Adequacy'!$AH$22:$AH$652,'Charges to party by investment'!$C21,'Rev Adequacy'!AR$22:AR$652)</f>
        <v>0</v>
      </c>
      <c r="M21" s="221">
        <f>SUMIF('Rev Adequacy'!$AH$22:$AH$652,'Charges to party by investment'!$C21,'Rev Adequacy'!AS$22:AS$652)</f>
        <v>0</v>
      </c>
      <c r="N21" s="221">
        <f ca="1">SUMIF('Rev Adequacy'!$AH$22:$AH$652,'Charges to party by investment'!$C21,'Rev Adequacy'!AT$22:AT$652)</f>
        <v>0.21762598590335053</v>
      </c>
      <c r="O21" s="221">
        <f ca="1">SUMIF('Rev Adequacy'!$AH$22:$AH$652,'Charges to party by investment'!$C21,'Rev Adequacy'!AU$22:AU$652)</f>
        <v>0</v>
      </c>
      <c r="P21" s="221">
        <f ca="1">SUMIF('Rev Adequacy'!$AH$22:$AH$652,'Charges to party by investment'!$C21,'Rev Adequacy'!AV$22:AV$652)</f>
        <v>0</v>
      </c>
      <c r="Q21" s="221">
        <f>SUMIF('Rev Adequacy'!$AH$22:$AH$652,'Charges to party by investment'!$C21,'Rev Adequacy'!AW$22:AW$652)</f>
        <v>0</v>
      </c>
      <c r="R21" s="221">
        <f>SUMIF('Rev Adequacy'!$AH$22:$AH$652,'Charges to party by investment'!$C21,'Rev Adequacy'!AX$22:AX$652)</f>
        <v>0</v>
      </c>
      <c r="S21" s="15"/>
      <c r="T21" s="15"/>
      <c r="V21" s="221">
        <f ca="1">SUMIFS('Rev Adequacy'!$G$6:$G$4999,'Rev Adequacy'!$B$6:$B$4999,'Charges to party by investment'!V$4,'Rev Adequacy'!$E$6:$E$4999,'Charges to party by investment'!$C21)*V$5/V$6</f>
        <v>2.8358317353407467E-2</v>
      </c>
      <c r="W21" s="393">
        <f ca="1">SUMIFS('Rev Adequacy'!$G$6:$G$4999,'Rev Adequacy'!$B$6:$B$4999,'Charges to party by investment'!W$4,'Rev Adequacy'!$E$6:$E$4999,'Charges to party by investment'!$C21)*W$5/W$6</f>
        <v>0</v>
      </c>
      <c r="X21" s="393">
        <f ca="1">SUMIFS('Rev Adequacy'!$G$6:$G$4999,'Rev Adequacy'!$B$6:$B$4999,'Charges to party by investment'!X$4,'Rev Adequacy'!$E$6:$E$4999,'Charges to party by investment'!$C21)*X$5/X$6</f>
        <v>0</v>
      </c>
      <c r="Y21" s="393">
        <f ca="1">SUMIFS('Rev Adequacy'!$G$6:$G$4999,'Rev Adequacy'!$B$6:$B$4999,'Charges to party by investment'!Y$4,'Rev Adequacy'!$E$6:$E$4999,'Charges to party by investment'!$C21)*Y$5/Y$6</f>
        <v>0.14729361200000199</v>
      </c>
      <c r="Z21" s="393">
        <f ca="1">SUMIFS('Rev Adequacy'!$G$6:$G$4999,'Rev Adequacy'!$B$6:$B$4999,'Charges to party by investment'!Z$4,'Rev Adequacy'!$E$6:$E$4999,'Charges to party by investment'!$C21)*Z$5/Z$6</f>
        <v>5.6866662978015452E-2</v>
      </c>
      <c r="AA21" s="393">
        <f ca="1">SUMIFS('Rev Adequacy'!$G$6:$G$4999,'Rev Adequacy'!$B$6:$B$4999,'Charges to party by investment'!AA$4,'Rev Adequacy'!$E$6:$E$4999,'Charges to party by investment'!$C21)*AA$5/AA$6</f>
        <v>0.10774081863974758</v>
      </c>
      <c r="AB21" s="221">
        <f>SUMIFS('Rev Adequacy'!$G$6:$G$4999,'Rev Adequacy'!$B$6:$B$4999,'Charges to party by investment'!AB$4,'Rev Adequacy'!$E$6:$E$4999,'Charges to party by investment'!$C21)</f>
        <v>0</v>
      </c>
      <c r="AC21" s="221">
        <f>SUMIFS('Rev Adequacy'!$G$6:$G$4999,'Rev Adequacy'!$B$6:$B$4999,'Charges to party by investment'!AC$4,'Rev Adequacy'!$E$6:$E$4999,'Charges to party by investment'!$C21)</f>
        <v>0</v>
      </c>
      <c r="AD21" s="221">
        <f>SUMIFS('Rev Adequacy'!$G$6:$G$4999,'Rev Adequacy'!$B$6:$B$4999,'Charges to party by investment'!AD$4,'Rev Adequacy'!$E$6:$E$4999,'Charges to party by investment'!$C21)</f>
        <v>0</v>
      </c>
      <c r="AE21" s="221">
        <f>SUMIFS('Rev Adequacy'!$G$6:$G$4999,'Rev Adequacy'!$B$6:$B$4999,'Charges to party by investment'!AE$4,'Rev Adequacy'!$E$6:$E$4999,'Charges to party by investment'!$C21)</f>
        <v>0</v>
      </c>
      <c r="AF21" s="221">
        <f>SUMIFS('Rev Adequacy'!$G$6:$G$4999,'Rev Adequacy'!$B$6:$B$4999,'Charges to party by investment'!AF$4,'Rev Adequacy'!$E$6:$E$4999,'Charges to party by investment'!$C21)</f>
        <v>0</v>
      </c>
      <c r="AG21" s="221">
        <f>SUMIFS('Rev Adequacy'!$G$6:$G$4999,'Rev Adequacy'!$B$6:$B$4999,'Charges to party by investment'!AG$4,'Rev Adequacy'!$E$6:$E$4999,'Charges to party by investment'!$C21)</f>
        <v>0</v>
      </c>
      <c r="AH21" s="221">
        <f>SUMIFS('Rev Adequacy'!$G$6:$G$4999,'Rev Adequacy'!$B$6:$B$4999,'Charges to party by investment'!AH$4,'Rev Adequacy'!$E$6:$E$4999,'Charges to party by investment'!$C21)</f>
        <v>0</v>
      </c>
      <c r="AJ21" s="190" t="str">
        <f>'Charges as $M per year'!A16</f>
        <v>Marlborough Lines</v>
      </c>
      <c r="AK21" s="215" t="str">
        <f t="shared" si="9"/>
        <v>Marlborough Lines</v>
      </c>
      <c r="AL21" s="216">
        <f t="shared" ca="1" si="10"/>
        <v>0.55788539687452299</v>
      </c>
      <c r="AM21" s="216">
        <f>SUMIF('Rev Adequacy'!$BF$27:$BF$257,'Charges to party by investment'!AK21,'Rev Adequacy'!$BJ$27:$BJ$257)</f>
        <v>2.7087486434686645</v>
      </c>
      <c r="AN21" s="216">
        <f>VLOOKUP(AK21,Connection!$X$5:$AB$55,5,0)/1000000</f>
        <v>0.47703765000000004</v>
      </c>
      <c r="AO21" s="216">
        <v>0</v>
      </c>
      <c r="AP21" s="217">
        <f t="shared" ca="1" si="11"/>
        <v>0.1130016184457957</v>
      </c>
      <c r="AQ21" s="217">
        <f t="shared" si="12"/>
        <v>8.8847561711690413E-3</v>
      </c>
      <c r="AR21" s="274">
        <f t="shared" si="2"/>
        <v>1.6703341601797799</v>
      </c>
      <c r="AS21" s="217"/>
      <c r="AT21" s="277">
        <f t="shared" si="13"/>
        <v>4.3790828036484442</v>
      </c>
      <c r="AU21" s="274">
        <f t="shared" ca="1" si="14"/>
        <v>4.9369682005229674</v>
      </c>
      <c r="AV21" s="217"/>
      <c r="AW21" s="215" t="s">
        <v>13</v>
      </c>
      <c r="AX21" s="216">
        <f>SUMIF('Rev Adequacy'!$BF$27:$BF$257,'Charges to party by investment'!AK21,'Rev Adequacy'!$BK$27:$BK$257)</f>
        <v>2.9694586253824569</v>
      </c>
      <c r="AY21" s="216">
        <f>SUMIF('Rev Adequacy'!$BF$27:$BF$257,'Charges to party by investment'!AK21,'Rev Adequacy'!$BL$27:$BL$257)</f>
        <v>3.1432652799916512</v>
      </c>
      <c r="AZ21" s="279">
        <f t="shared" si="3"/>
        <v>8.8847561711690413E-3</v>
      </c>
      <c r="BA21" s="280">
        <f t="shared" ca="1" si="4"/>
        <v>5.9186623207262016E-3</v>
      </c>
      <c r="BB21" s="20"/>
      <c r="BD21" s="95"/>
      <c r="BE21" s="95"/>
      <c r="BF21" s="20"/>
      <c r="BG21" s="20"/>
      <c r="BH21" s="20"/>
      <c r="BI21" s="20"/>
      <c r="BX21" s="115" t="str">
        <f t="shared" si="15"/>
        <v>Marlborough Lines</v>
      </c>
      <c r="BY21" s="286">
        <f t="shared" ca="1" si="5"/>
        <v>0.55788539687452299</v>
      </c>
      <c r="BZ21" s="286">
        <f t="shared" si="6"/>
        <v>2.7087486434686645</v>
      </c>
      <c r="CA21" s="286">
        <f t="shared" si="7"/>
        <v>0</v>
      </c>
      <c r="CB21" s="286">
        <f t="shared" si="8"/>
        <v>1.6703341601797799</v>
      </c>
      <c r="CC21" s="286">
        <f t="shared" ca="1" si="16"/>
        <v>4.9369682005229674</v>
      </c>
    </row>
    <row r="22" spans="2:81" x14ac:dyDescent="0.25">
      <c r="C22" s="5" t="s">
        <v>19</v>
      </c>
      <c r="D22" s="15"/>
      <c r="F22" s="221">
        <f ca="1">SUMIF('Rev Adequacy'!$AH$22:$AH$652,'Charges to party by investment'!C22,'Rev Adequacy'!$AL$22:$AL$652)</f>
        <v>0</v>
      </c>
      <c r="G22" s="221">
        <f ca="1">SUMIF('Rev Adequacy'!$AH$22:$AH$652,'Charges to party by investment'!$C22,'Rev Adequacy'!AM$22:AM$652)</f>
        <v>0</v>
      </c>
      <c r="H22" s="221">
        <f ca="1">SUMIF('Rev Adequacy'!$AH$22:$AH$652,'Charges to party by investment'!$C22,'Rev Adequacy'!AN$22:AN$652)</f>
        <v>0</v>
      </c>
      <c r="I22" s="221">
        <f ca="1">SUMIF('Rev Adequacy'!$AH$22:$AH$652,'Charges to party by investment'!$C22,'Rev Adequacy'!AO$22:AO$652)</f>
        <v>0</v>
      </c>
      <c r="J22" s="221">
        <f>SUMIF('Rev Adequacy'!$AH$22:$AH$652,'Charges to party by investment'!$C22,'Rev Adequacy'!AP$22:AP$652)</f>
        <v>0</v>
      </c>
      <c r="K22" s="221">
        <f ca="1">SUMIF('Rev Adequacy'!$AH$22:$AH$652,'Charges to party by investment'!$C22,'Rev Adequacy'!AQ$22:AQ$652)</f>
        <v>0</v>
      </c>
      <c r="L22" s="221">
        <f ca="1">SUMIF('Rev Adequacy'!$AH$22:$AH$652,'Charges to party by investment'!$C22,'Rev Adequacy'!AR$22:AR$652)</f>
        <v>0</v>
      </c>
      <c r="M22" s="221">
        <f>SUMIF('Rev Adequacy'!$AH$22:$AH$652,'Charges to party by investment'!$C22,'Rev Adequacy'!AS$22:AS$652)</f>
        <v>0</v>
      </c>
      <c r="N22" s="221">
        <f ca="1">SUMIF('Rev Adequacy'!$AH$22:$AH$652,'Charges to party by investment'!$C22,'Rev Adequacy'!AT$22:AT$652)</f>
        <v>0.45850312351132161</v>
      </c>
      <c r="O22" s="221">
        <f ca="1">SUMIF('Rev Adequacy'!$AH$22:$AH$652,'Charges to party by investment'!$C22,'Rev Adequacy'!AU$22:AU$652)</f>
        <v>0</v>
      </c>
      <c r="P22" s="221">
        <f ca="1">SUMIF('Rev Adequacy'!$AH$22:$AH$652,'Charges to party by investment'!$C22,'Rev Adequacy'!AV$22:AV$652)</f>
        <v>0</v>
      </c>
      <c r="Q22" s="221">
        <f>SUMIF('Rev Adequacy'!$AH$22:$AH$652,'Charges to party by investment'!$C22,'Rev Adequacy'!AW$22:AW$652)</f>
        <v>0</v>
      </c>
      <c r="R22" s="221">
        <f>SUMIF('Rev Adequacy'!$AH$22:$AH$652,'Charges to party by investment'!$C22,'Rev Adequacy'!AX$22:AX$652)</f>
        <v>0</v>
      </c>
      <c r="S22" s="15"/>
      <c r="T22" s="15"/>
      <c r="V22" s="221">
        <f ca="1">SUMIFS('Rev Adequacy'!$G$6:$G$4999,'Rev Adequacy'!$B$6:$B$4999,'Charges to party by investment'!V$4,'Rev Adequacy'!$E$6:$E$4999,'Charges to party by investment'!$C22)*V$5/V$6</f>
        <v>1.8625464220352474E-2</v>
      </c>
      <c r="W22" s="393">
        <f ca="1">SUMIFS('Rev Adequacy'!$G$6:$G$4999,'Rev Adequacy'!$B$6:$B$4999,'Charges to party by investment'!W$4,'Rev Adequacy'!$E$6:$E$4999,'Charges to party by investment'!$C22)*W$5/W$6</f>
        <v>0</v>
      </c>
      <c r="X22" s="393">
        <f ca="1">SUMIFS('Rev Adequacy'!$G$6:$G$4999,'Rev Adequacy'!$B$6:$B$4999,'Charges to party by investment'!X$4,'Rev Adequacy'!$E$6:$E$4999,'Charges to party by investment'!$C22)*X$5/X$6</f>
        <v>0</v>
      </c>
      <c r="Y22" s="393">
        <f ca="1">SUMIFS('Rev Adequacy'!$G$6:$G$4999,'Rev Adequacy'!$B$6:$B$4999,'Charges to party by investment'!Y$4,'Rev Adequacy'!$E$6:$E$4999,'Charges to party by investment'!$C22)*Y$5/Y$6</f>
        <v>0.2980410760000049</v>
      </c>
      <c r="Z22" s="393">
        <f ca="1">SUMIFS('Rev Adequacy'!$G$6:$G$4999,'Rev Adequacy'!$B$6:$B$4999,'Charges to party by investment'!Z$4,'Rev Adequacy'!$E$6:$E$4999,'Charges to party by investment'!$C22)*Z$5/Z$6</f>
        <v>9.3235459517162583E-2</v>
      </c>
      <c r="AA22" s="393">
        <f ca="1">SUMIFS('Rev Adequacy'!$G$6:$G$4999,'Rev Adequacy'!$B$6:$B$4999,'Charges to party by investment'!AA$4,'Rev Adequacy'!$E$6:$E$4999,'Charges to party by investment'!$C22)*AA$5/AA$6</f>
        <v>0.21004240450746747</v>
      </c>
      <c r="AB22" s="221">
        <f>SUMIFS('Rev Adequacy'!$G$6:$G$4999,'Rev Adequacy'!$B$6:$B$4999,'Charges to party by investment'!AB$4,'Rev Adequacy'!$E$6:$E$4999,'Charges to party by investment'!$C22)</f>
        <v>0</v>
      </c>
      <c r="AC22" s="221">
        <f>SUMIFS('Rev Adequacy'!$G$6:$G$4999,'Rev Adequacy'!$B$6:$B$4999,'Charges to party by investment'!AC$4,'Rev Adequacy'!$E$6:$E$4999,'Charges to party by investment'!$C22)</f>
        <v>0</v>
      </c>
      <c r="AD22" s="221">
        <f>SUMIFS('Rev Adequacy'!$G$6:$G$4999,'Rev Adequacy'!$B$6:$B$4999,'Charges to party by investment'!AD$4,'Rev Adequacy'!$E$6:$E$4999,'Charges to party by investment'!$C22)</f>
        <v>0</v>
      </c>
      <c r="AE22" s="221">
        <f>SUMIFS('Rev Adequacy'!$G$6:$G$4999,'Rev Adequacy'!$B$6:$B$4999,'Charges to party by investment'!AE$4,'Rev Adequacy'!$E$6:$E$4999,'Charges to party by investment'!$C22)</f>
        <v>0</v>
      </c>
      <c r="AF22" s="221">
        <f>SUMIFS('Rev Adequacy'!$G$6:$G$4999,'Rev Adequacy'!$B$6:$B$4999,'Charges to party by investment'!AF$4,'Rev Adequacy'!$E$6:$E$4999,'Charges to party by investment'!$C22)</f>
        <v>0</v>
      </c>
      <c r="AG22" s="221">
        <f>SUMIFS('Rev Adequacy'!$G$6:$G$4999,'Rev Adequacy'!$B$6:$B$4999,'Charges to party by investment'!AG$4,'Rev Adequacy'!$E$6:$E$4999,'Charges to party by investment'!$C22)</f>
        <v>0</v>
      </c>
      <c r="AH22" s="221">
        <f>SUMIFS('Rev Adequacy'!$G$6:$G$4999,'Rev Adequacy'!$B$6:$B$4999,'Charges to party by investment'!AH$4,'Rev Adequacy'!$E$6:$E$4999,'Charges to party by investment'!$C22)</f>
        <v>0</v>
      </c>
      <c r="AJ22" s="190" t="str">
        <f>'Charges as $M per year'!A17</f>
        <v>Network Tasman</v>
      </c>
      <c r="AK22" s="215" t="str">
        <f t="shared" si="9"/>
        <v>Network Tasman</v>
      </c>
      <c r="AL22" s="216">
        <f t="shared" ca="1" si="10"/>
        <v>1.078447527756309</v>
      </c>
      <c r="AM22" s="216">
        <f>SUMIF('Rev Adequacy'!$BF$27:$BF$257,'Charges to party by investment'!AK22,'Rev Adequacy'!$BJ$27:$BJ$257)</f>
        <v>5.7068998845983723</v>
      </c>
      <c r="AN22" s="216">
        <f>VLOOKUP(AK22,Connection!$X$5:$AB$55,5,0)/1000000</f>
        <v>3.0244478099999985</v>
      </c>
      <c r="AO22" s="216">
        <v>0</v>
      </c>
      <c r="AP22" s="217">
        <f t="shared" ca="1" si="11"/>
        <v>0.1046581815003292</v>
      </c>
      <c r="AQ22" s="217">
        <f t="shared" si="12"/>
        <v>1.8718759339367931E-2</v>
      </c>
      <c r="AR22" s="274">
        <f t="shared" si="2"/>
        <v>3.519126755801171</v>
      </c>
      <c r="AS22" s="217"/>
      <c r="AT22" s="277">
        <f t="shared" si="13"/>
        <v>9.2260266403995423</v>
      </c>
      <c r="AU22" s="274">
        <f t="shared" ca="1" si="14"/>
        <v>10.304474168155853</v>
      </c>
      <c r="AV22" s="217"/>
      <c r="AW22" s="215" t="s">
        <v>19</v>
      </c>
      <c r="AX22" s="216">
        <f>SUMIF('Rev Adequacy'!$BF$27:$BF$257,'Charges to party by investment'!AK22,'Rev Adequacy'!$BK$27:$BK$257)</f>
        <v>6.256174092555967</v>
      </c>
      <c r="AY22" s="216">
        <f>SUMIF('Rev Adequacy'!$BF$27:$BF$257,'Charges to party by investment'!AK22,'Rev Adequacy'!$BL$27:$BL$257)</f>
        <v>6.6223568978610317</v>
      </c>
      <c r="AZ22" s="279">
        <f t="shared" si="3"/>
        <v>1.8718759339367931E-2</v>
      </c>
      <c r="BA22" s="280">
        <f t="shared" ca="1" si="4"/>
        <v>1.5509069747317515E-2</v>
      </c>
      <c r="BB22" s="20"/>
      <c r="BD22" s="95"/>
      <c r="BE22" s="95"/>
      <c r="BF22" s="20"/>
      <c r="BG22" s="143"/>
      <c r="BH22" s="143"/>
      <c r="BI22" s="20"/>
      <c r="BX22" s="115" t="str">
        <f t="shared" si="15"/>
        <v>Network Tasman</v>
      </c>
      <c r="BY22" s="286">
        <f t="shared" ca="1" si="5"/>
        <v>1.078447527756309</v>
      </c>
      <c r="BZ22" s="286">
        <f t="shared" si="6"/>
        <v>5.7068998845983723</v>
      </c>
      <c r="CA22" s="286">
        <f t="shared" si="7"/>
        <v>0</v>
      </c>
      <c r="CB22" s="286">
        <f t="shared" si="8"/>
        <v>3.519126755801171</v>
      </c>
      <c r="CC22" s="286">
        <f t="shared" ca="1" si="16"/>
        <v>10.304474168155853</v>
      </c>
    </row>
    <row r="23" spans="2:81" x14ac:dyDescent="0.25">
      <c r="C23" s="5" t="s">
        <v>20</v>
      </c>
      <c r="D23" s="15"/>
      <c r="F23" s="221">
        <f ca="1">SUMIF('Rev Adequacy'!$AH$22:$AH$652,'Charges to party by investment'!C23,'Rev Adequacy'!$AL$22:$AL$652)</f>
        <v>0</v>
      </c>
      <c r="G23" s="221">
        <f ca="1">SUMIF('Rev Adequacy'!$AH$22:$AH$652,'Charges to party by investment'!$C23,'Rev Adequacy'!AM$22:AM$652)</f>
        <v>0</v>
      </c>
      <c r="H23" s="221">
        <f ca="1">SUMIF('Rev Adequacy'!$AH$22:$AH$652,'Charges to party by investment'!$C23,'Rev Adequacy'!AN$22:AN$652)</f>
        <v>0</v>
      </c>
      <c r="I23" s="221">
        <f ca="1">SUMIF('Rev Adequacy'!$AH$22:$AH$652,'Charges to party by investment'!$C23,'Rev Adequacy'!AO$22:AO$652)</f>
        <v>0</v>
      </c>
      <c r="J23" s="221">
        <f>SUMIF('Rev Adequacy'!$AH$22:$AH$652,'Charges to party by investment'!$C23,'Rev Adequacy'!AP$22:AP$652)</f>
        <v>0</v>
      </c>
      <c r="K23" s="221">
        <f ca="1">SUMIF('Rev Adequacy'!$AH$22:$AH$652,'Charges to party by investment'!$C23,'Rev Adequacy'!AQ$22:AQ$652)</f>
        <v>0</v>
      </c>
      <c r="L23" s="221">
        <f ca="1">SUMIF('Rev Adequacy'!$AH$22:$AH$652,'Charges to party by investment'!$C23,'Rev Adequacy'!AR$22:AR$652)</f>
        <v>0</v>
      </c>
      <c r="M23" s="221">
        <f>SUMIF('Rev Adequacy'!$AH$22:$AH$652,'Charges to party by investment'!$C23,'Rev Adequacy'!AS$22:AS$652)</f>
        <v>0</v>
      </c>
      <c r="N23" s="221">
        <f ca="1">SUMIF('Rev Adequacy'!$AH$22:$AH$652,'Charges to party by investment'!$C23,'Rev Adequacy'!AT$22:AT$652)</f>
        <v>0</v>
      </c>
      <c r="O23" s="221">
        <f ca="1">SUMIF('Rev Adequacy'!$AH$22:$AH$652,'Charges to party by investment'!$C23,'Rev Adequacy'!AU$22:AU$652)</f>
        <v>0</v>
      </c>
      <c r="P23" s="221">
        <f ca="1">SUMIF('Rev Adequacy'!$AH$22:$AH$652,'Charges to party by investment'!$C23,'Rev Adequacy'!AV$22:AV$652)</f>
        <v>0</v>
      </c>
      <c r="Q23" s="221">
        <f>SUMIF('Rev Adequacy'!$AH$22:$AH$652,'Charges to party by investment'!$C23,'Rev Adequacy'!AW$22:AW$652)</f>
        <v>0</v>
      </c>
      <c r="R23" s="221">
        <f>SUMIF('Rev Adequacy'!$AH$22:$AH$652,'Charges to party by investment'!$C23,'Rev Adequacy'!AX$22:AX$652)</f>
        <v>0</v>
      </c>
      <c r="S23" s="15"/>
      <c r="T23" s="15"/>
      <c r="V23" s="221">
        <f ca="1">SUMIFS('Rev Adequacy'!$G$6:$G$4999,'Rev Adequacy'!$B$6:$B$4999,'Charges to party by investment'!V$4,'Rev Adequacy'!$E$6:$E$4999,'Charges to party by investment'!$C23)*V$5/V$6</f>
        <v>4.5949597020508853E-2</v>
      </c>
      <c r="W23" s="393">
        <f ca="1">SUMIFS('Rev Adequacy'!$G$6:$G$4999,'Rev Adequacy'!$B$6:$B$4999,'Charges to party by investment'!W$4,'Rev Adequacy'!$E$6:$E$4999,'Charges to party by investment'!$C23)*W$5/W$6</f>
        <v>0</v>
      </c>
      <c r="X23" s="393">
        <f ca="1">SUMIFS('Rev Adequacy'!$G$6:$G$4999,'Rev Adequacy'!$B$6:$B$4999,'Charges to party by investment'!X$4,'Rev Adequacy'!$E$6:$E$4999,'Charges to party by investment'!$C23)*X$5/X$6</f>
        <v>0</v>
      </c>
      <c r="Y23" s="393">
        <f ca="1">SUMIFS('Rev Adequacy'!$G$6:$G$4999,'Rev Adequacy'!$B$6:$B$4999,'Charges to party by investment'!Y$4,'Rev Adequacy'!$E$6:$E$4999,'Charges to party by investment'!$C23)*Y$5/Y$6</f>
        <v>7.7774987730316381E-2</v>
      </c>
      <c r="Z23" s="393">
        <f ca="1">SUMIFS('Rev Adequacy'!$G$6:$G$4999,'Rev Adequacy'!$B$6:$B$4999,'Charges to party by investment'!Z$4,'Rev Adequacy'!$E$6:$E$4999,'Charges to party by investment'!$C23)*Z$5/Z$6</f>
        <v>7.1260186867273062E-2</v>
      </c>
      <c r="AA23" s="393">
        <f ca="1">SUMIFS('Rev Adequacy'!$G$6:$G$4999,'Rev Adequacy'!$B$6:$B$4999,'Charges to party by investment'!AA$4,'Rev Adequacy'!$E$6:$E$4999,'Charges to party by investment'!$C23)*AA$5/AA$6</f>
        <v>7.5880229031975471E-2</v>
      </c>
      <c r="AB23" s="221">
        <f>SUMIFS('Rev Adequacy'!$G$6:$G$4999,'Rev Adequacy'!$B$6:$B$4999,'Charges to party by investment'!AB$4,'Rev Adequacy'!$E$6:$E$4999,'Charges to party by investment'!$C23)</f>
        <v>0</v>
      </c>
      <c r="AC23" s="221">
        <f>SUMIFS('Rev Adequacy'!$G$6:$G$4999,'Rev Adequacy'!$B$6:$B$4999,'Charges to party by investment'!AC$4,'Rev Adequacy'!$E$6:$E$4999,'Charges to party by investment'!$C23)</f>
        <v>0</v>
      </c>
      <c r="AD23" s="221">
        <f>SUMIFS('Rev Adequacy'!$G$6:$G$4999,'Rev Adequacy'!$B$6:$B$4999,'Charges to party by investment'!AD$4,'Rev Adequacy'!$E$6:$E$4999,'Charges to party by investment'!$C23)</f>
        <v>0</v>
      </c>
      <c r="AE23" s="221">
        <f>SUMIFS('Rev Adequacy'!$G$6:$G$4999,'Rev Adequacy'!$B$6:$B$4999,'Charges to party by investment'!AE$4,'Rev Adequacy'!$E$6:$E$4999,'Charges to party by investment'!$C23)</f>
        <v>0</v>
      </c>
      <c r="AF23" s="221">
        <f>SUMIFS('Rev Adequacy'!$G$6:$G$4999,'Rev Adequacy'!$B$6:$B$4999,'Charges to party by investment'!AF$4,'Rev Adequacy'!$E$6:$E$4999,'Charges to party by investment'!$C23)</f>
        <v>0</v>
      </c>
      <c r="AG23" s="221">
        <f>SUMIFS('Rev Adequacy'!$G$6:$G$4999,'Rev Adequacy'!$B$6:$B$4999,'Charges to party by investment'!AG$4,'Rev Adequacy'!$E$6:$E$4999,'Charges to party by investment'!$C23)</f>
        <v>0</v>
      </c>
      <c r="AH23" s="221">
        <f>SUMIFS('Rev Adequacy'!$G$6:$G$4999,'Rev Adequacy'!$B$6:$B$4999,'Charges to party by investment'!AH$4,'Rev Adequacy'!$E$6:$E$4999,'Charges to party by investment'!$C23)</f>
        <v>0</v>
      </c>
      <c r="AJ23" s="190" t="str">
        <f>'Charges as $M per year'!A18</f>
        <v>Network Waitaki</v>
      </c>
      <c r="AK23" s="215" t="str">
        <f t="shared" si="9"/>
        <v>Network Waitaki</v>
      </c>
      <c r="AL23" s="216">
        <f t="shared" ca="1" si="10"/>
        <v>0.2708650006500738</v>
      </c>
      <c r="AM23" s="216">
        <f>SUMIF('Rev Adequacy'!$BF$27:$BF$257,'Charges to party by investment'!AK23,'Rev Adequacy'!$BJ$27:$BJ$257)</f>
        <v>2.2682301533176035</v>
      </c>
      <c r="AN23" s="216">
        <f>VLOOKUP(AK23,Connection!$X$5:$AB$55,5,0)/1000000</f>
        <v>0.64943285999999989</v>
      </c>
      <c r="AO23" s="216">
        <v>2.0707289706326421E-2</v>
      </c>
      <c r="AP23" s="217">
        <f t="shared" ca="1" si="11"/>
        <v>7.3657389006822449E-2</v>
      </c>
      <c r="AQ23" s="217">
        <f t="shared" si="12"/>
        <v>7.4398456648653629E-3</v>
      </c>
      <c r="AR23" s="274">
        <f t="shared" si="2"/>
        <v>1.3986909849946882</v>
      </c>
      <c r="AS23" s="217"/>
      <c r="AT23" s="277">
        <f t="shared" si="13"/>
        <v>3.6669211383122917</v>
      </c>
      <c r="AU23" s="274">
        <f t="shared" ca="1" si="14"/>
        <v>3.9584934286686919</v>
      </c>
      <c r="AV23" s="217"/>
      <c r="AW23" s="215" t="s">
        <v>20</v>
      </c>
      <c r="AX23" s="216">
        <f>SUMIF('Rev Adequacy'!$BF$27:$BF$257,'Charges to party by investment'!AK23,'Rev Adequacy'!$BK$27:$BK$257)</f>
        <v>2.4865413811510213</v>
      </c>
      <c r="AY23" s="216">
        <f>SUMIF('Rev Adequacy'!$BF$27:$BF$257,'Charges to party by investment'!AK23,'Rev Adequacy'!$BL$27:$BL$257)</f>
        <v>2.6320821997066335</v>
      </c>
      <c r="AZ23" s="279">
        <f t="shared" si="3"/>
        <v>7.4398456648653629E-3</v>
      </c>
      <c r="BA23" s="280">
        <f t="shared" ca="1" si="4"/>
        <v>5.0737301882522699E-3</v>
      </c>
      <c r="BB23" s="20"/>
      <c r="BD23" s="95"/>
      <c r="BE23" s="95"/>
      <c r="BF23" s="20"/>
      <c r="BG23" s="20"/>
      <c r="BH23" s="20"/>
      <c r="BI23" s="20"/>
      <c r="BX23" s="115" t="str">
        <f t="shared" si="15"/>
        <v>Network Waitaki</v>
      </c>
      <c r="BY23" s="286">
        <f t="shared" ca="1" si="5"/>
        <v>0.2708650006500738</v>
      </c>
      <c r="BZ23" s="286">
        <f t="shared" si="6"/>
        <v>2.2682301533176035</v>
      </c>
      <c r="CA23" s="286">
        <f t="shared" si="7"/>
        <v>2.0707289706326421E-2</v>
      </c>
      <c r="CB23" s="286">
        <f t="shared" si="8"/>
        <v>1.3986909849946882</v>
      </c>
      <c r="CC23" s="286">
        <f t="shared" ca="1" si="16"/>
        <v>3.9584934286686919</v>
      </c>
    </row>
    <row r="24" spans="2:81" x14ac:dyDescent="0.25">
      <c r="C24" s="5" t="s">
        <v>23</v>
      </c>
      <c r="D24" s="15"/>
      <c r="F24" s="221">
        <f ca="1">SUMIF('Rev Adequacy'!$AH$22:$AH$652,'Charges to party by investment'!C24,'Rev Adequacy'!$AL$22:$AL$652)</f>
        <v>0</v>
      </c>
      <c r="G24" s="221">
        <f ca="1">SUMIF('Rev Adequacy'!$AH$22:$AH$652,'Charges to party by investment'!$C24,'Rev Adequacy'!AM$22:AM$652)</f>
        <v>0</v>
      </c>
      <c r="H24" s="221">
        <f ca="1">SUMIF('Rev Adequacy'!$AH$22:$AH$652,'Charges to party by investment'!$C24,'Rev Adequacy'!AN$22:AN$652)</f>
        <v>0</v>
      </c>
      <c r="I24" s="221">
        <f ca="1">SUMIF('Rev Adequacy'!$AH$22:$AH$652,'Charges to party by investment'!$C24,'Rev Adequacy'!AO$22:AO$652)</f>
        <v>2.9883926375190319</v>
      </c>
      <c r="J24" s="221">
        <f>SUMIF('Rev Adequacy'!$AH$22:$AH$652,'Charges to party by investment'!$C24,'Rev Adequacy'!AP$22:AP$652)</f>
        <v>0</v>
      </c>
      <c r="K24" s="221">
        <f ca="1">SUMIF('Rev Adequacy'!$AH$22:$AH$652,'Charges to party by investment'!$C24,'Rev Adequacy'!AQ$22:AQ$652)</f>
        <v>0</v>
      </c>
      <c r="L24" s="221">
        <f ca="1">SUMIF('Rev Adequacy'!$AH$22:$AH$652,'Charges to party by investment'!$C24,'Rev Adequacy'!AR$22:AR$652)</f>
        <v>0.60451869998691687</v>
      </c>
      <c r="M24" s="221">
        <f>SUMIF('Rev Adequacy'!$AH$22:$AH$652,'Charges to party by investment'!$C24,'Rev Adequacy'!AS$22:AS$652)</f>
        <v>0</v>
      </c>
      <c r="N24" s="221">
        <f ca="1">SUMIF('Rev Adequacy'!$AH$22:$AH$652,'Charges to party by investment'!$C24,'Rev Adequacy'!AT$22:AT$652)</f>
        <v>0</v>
      </c>
      <c r="O24" s="221">
        <f ca="1">SUMIF('Rev Adequacy'!$AH$22:$AH$652,'Charges to party by investment'!$C24,'Rev Adequacy'!AU$22:AU$652)</f>
        <v>0.27880533185960543</v>
      </c>
      <c r="P24" s="221">
        <f ca="1">SUMIF('Rev Adequacy'!$AH$22:$AH$652,'Charges to party by investment'!$C24,'Rev Adequacy'!AV$22:AV$652)</f>
        <v>0</v>
      </c>
      <c r="Q24" s="221">
        <f>SUMIF('Rev Adequacy'!$AH$22:$AH$652,'Charges to party by investment'!$C24,'Rev Adequacy'!AW$22:AW$652)</f>
        <v>0</v>
      </c>
      <c r="R24" s="221">
        <f>SUMIF('Rev Adequacy'!$AH$22:$AH$652,'Charges to party by investment'!$C24,'Rev Adequacy'!AX$22:AX$652)</f>
        <v>0</v>
      </c>
      <c r="S24" s="15"/>
      <c r="T24" s="15"/>
      <c r="V24" s="221">
        <f ca="1">SUMIFS('Rev Adequacy'!$G$6:$G$4999,'Rev Adequacy'!$B$6:$B$4999,'Charges to party by investment'!V$4,'Rev Adequacy'!$E$6:$E$4999,'Charges to party by investment'!$C24)*V$5/V$6</f>
        <v>5.467204133522924</v>
      </c>
      <c r="W24" s="393">
        <f ca="1">SUMIFS('Rev Adequacy'!$G$6:$G$4999,'Rev Adequacy'!$B$6:$B$4999,'Charges to party by investment'!W$4,'Rev Adequacy'!$E$6:$E$4999,'Charges to party by investment'!$C24)*W$5/W$6</f>
        <v>0.95286518287131106</v>
      </c>
      <c r="X24" s="393">
        <f ca="1">SUMIFS('Rev Adequacy'!$G$6:$G$4999,'Rev Adequacy'!$B$6:$B$4999,'Charges to party by investment'!X$4,'Rev Adequacy'!$E$6:$E$4999,'Charges to party by investment'!$C24)*X$5/X$6</f>
        <v>1.0108425839679667</v>
      </c>
      <c r="Y24" s="393">
        <f ca="1">SUMIFS('Rev Adequacy'!$G$6:$G$4999,'Rev Adequacy'!$B$6:$B$4999,'Charges to party by investment'!Y$4,'Rev Adequacy'!$E$6:$E$4999,'Charges to party by investment'!$C24)*Y$5/Y$6</f>
        <v>0.78541719767299445</v>
      </c>
      <c r="Z24" s="393">
        <f ca="1">SUMIFS('Rev Adequacy'!$G$6:$G$4999,'Rev Adequacy'!$B$6:$B$4999,'Charges to party by investment'!Z$4,'Rev Adequacy'!$E$6:$E$4999,'Charges to party by investment'!$C24)*Z$5/Z$6</f>
        <v>8.4903367643807983E-4</v>
      </c>
      <c r="AA24" s="393">
        <f ca="1">SUMIFS('Rev Adequacy'!$G$6:$G$4999,'Rev Adequacy'!$B$6:$B$4999,'Charges to party by investment'!AA$4,'Rev Adequacy'!$E$6:$E$4999,'Charges to party by investment'!$C24)*AA$5/AA$6</f>
        <v>0.40758583527925818</v>
      </c>
      <c r="AB24" s="221">
        <f>SUMIFS('Rev Adequacy'!$G$6:$G$4999,'Rev Adequacy'!$B$6:$B$4999,'Charges to party by investment'!AB$4,'Rev Adequacy'!$E$6:$E$4999,'Charges to party by investment'!$C24)</f>
        <v>0</v>
      </c>
      <c r="AC24" s="221">
        <f>SUMIFS('Rev Adequacy'!$G$6:$G$4999,'Rev Adequacy'!$B$6:$B$4999,'Charges to party by investment'!AC$4,'Rev Adequacy'!$E$6:$E$4999,'Charges to party by investment'!$C24)</f>
        <v>0</v>
      </c>
      <c r="AD24" s="221">
        <f>SUMIFS('Rev Adequacy'!$G$6:$G$4999,'Rev Adequacy'!$B$6:$B$4999,'Charges to party by investment'!AD$4,'Rev Adequacy'!$E$6:$E$4999,'Charges to party by investment'!$C24)</f>
        <v>0</v>
      </c>
      <c r="AE24" s="221">
        <f>SUMIFS('Rev Adequacy'!$G$6:$G$4999,'Rev Adequacy'!$B$6:$B$4999,'Charges to party by investment'!AE$4,'Rev Adequacy'!$E$6:$E$4999,'Charges to party by investment'!$C24)</f>
        <v>0</v>
      </c>
      <c r="AF24" s="221">
        <f>SUMIFS('Rev Adequacy'!$G$6:$G$4999,'Rev Adequacy'!$B$6:$B$4999,'Charges to party by investment'!AF$4,'Rev Adequacy'!$E$6:$E$4999,'Charges to party by investment'!$C24)</f>
        <v>0</v>
      </c>
      <c r="AG24" s="221">
        <f>SUMIFS('Rev Adequacy'!$G$6:$G$4999,'Rev Adequacy'!$B$6:$B$4999,'Charges to party by investment'!AG$4,'Rev Adequacy'!$E$6:$E$4999,'Charges to party by investment'!$C24)</f>
        <v>0</v>
      </c>
      <c r="AH24" s="221">
        <f>SUMIFS('Rev Adequacy'!$G$6:$G$4999,'Rev Adequacy'!$B$6:$B$4999,'Charges to party by investment'!AH$4,'Rev Adequacy'!$E$6:$E$4999,'Charges to party by investment'!$C24)</f>
        <v>0</v>
      </c>
      <c r="AJ24" s="190" t="str">
        <f>'Charges as $M per year'!A19</f>
        <v>Northpower</v>
      </c>
      <c r="AK24" s="215" t="str">
        <f t="shared" si="9"/>
        <v>Northpower</v>
      </c>
      <c r="AL24" s="216">
        <f t="shared" ca="1" si="10"/>
        <v>12.496480636356447</v>
      </c>
      <c r="AM24" s="216">
        <f>SUMIF('Rev Adequacy'!$BF$27:$BF$257,'Charges to party by investment'!AK24,'Rev Adequacy'!$BJ$27:$BJ$257)</f>
        <v>4.9070895612170933</v>
      </c>
      <c r="AN24" s="216">
        <f>VLOOKUP(AK24,Connection!$X$5:$AB$55,5,0)/1000000</f>
        <v>3.0517049699999981</v>
      </c>
      <c r="AO24" s="216">
        <v>0.1294977657104418</v>
      </c>
      <c r="AP24" s="217">
        <f t="shared" ca="1" si="11"/>
        <v>0.61413398824947496</v>
      </c>
      <c r="AQ24" s="217">
        <f t="shared" si="12"/>
        <v>1.6095363579277454E-2</v>
      </c>
      <c r="AR24" s="274">
        <f t="shared" si="2"/>
        <v>3.0259283529041614</v>
      </c>
      <c r="AS24" s="217"/>
      <c r="AT24" s="277">
        <f t="shared" si="13"/>
        <v>7.9330179141212547</v>
      </c>
      <c r="AU24" s="274">
        <f t="shared" ca="1" si="14"/>
        <v>20.558996316188146</v>
      </c>
      <c r="AV24" s="217"/>
      <c r="AW24" s="215" t="s">
        <v>23</v>
      </c>
      <c r="AX24" s="216">
        <f>SUMIF('Rev Adequacy'!$BF$27:$BF$257,'Charges to party by investment'!AK24,'Rev Adequacy'!$BK$27:$BK$257)</f>
        <v>5.3793841145854833</v>
      </c>
      <c r="AY24" s="216">
        <f>SUMIF('Rev Adequacy'!$BF$27:$BF$257,'Charges to party by investment'!AK24,'Rev Adequacy'!$BL$27:$BL$257)</f>
        <v>5.6942471501644096</v>
      </c>
      <c r="AZ24" s="279">
        <f t="shared" si="3"/>
        <v>1.6095363579277454E-2</v>
      </c>
      <c r="BA24" s="280">
        <f t="shared" ca="1" si="4"/>
        <v>3.2544071707784762E-2</v>
      </c>
      <c r="BX24" s="115" t="str">
        <f t="shared" si="15"/>
        <v>Northpower</v>
      </c>
      <c r="BY24" s="286">
        <f t="shared" ca="1" si="5"/>
        <v>12.496480636356447</v>
      </c>
      <c r="BZ24" s="286">
        <f t="shared" si="6"/>
        <v>4.9070895612170933</v>
      </c>
      <c r="CA24" s="286">
        <f t="shared" si="7"/>
        <v>0.1294977657104418</v>
      </c>
      <c r="CB24" s="286">
        <f t="shared" si="8"/>
        <v>3.0259283529041614</v>
      </c>
      <c r="CC24" s="286">
        <f t="shared" ca="1" si="16"/>
        <v>20.558996316188146</v>
      </c>
    </row>
    <row r="25" spans="2:81" x14ac:dyDescent="0.25">
      <c r="C25" s="5" t="s">
        <v>25</v>
      </c>
      <c r="D25" s="15"/>
      <c r="F25" s="221">
        <f ca="1">SUMIF('Rev Adequacy'!$AH$22:$AH$652,'Charges to party by investment'!C25,'Rev Adequacy'!$AL$22:$AL$652)</f>
        <v>0</v>
      </c>
      <c r="G25" s="221">
        <f ca="1">SUMIF('Rev Adequacy'!$AH$22:$AH$652,'Charges to party by investment'!$C25,'Rev Adequacy'!AM$22:AM$652)</f>
        <v>0</v>
      </c>
      <c r="H25" s="221">
        <f ca="1">SUMIF('Rev Adequacy'!$AH$22:$AH$652,'Charges to party by investment'!$C25,'Rev Adequacy'!AN$22:AN$652)</f>
        <v>0</v>
      </c>
      <c r="I25" s="221">
        <f ca="1">SUMIF('Rev Adequacy'!$AH$22:$AH$652,'Charges to party by investment'!$C25,'Rev Adequacy'!AO$22:AO$652)</f>
        <v>0</v>
      </c>
      <c r="J25" s="221">
        <f>SUMIF('Rev Adequacy'!$AH$22:$AH$652,'Charges to party by investment'!$C25,'Rev Adequacy'!AP$22:AP$652)</f>
        <v>0</v>
      </c>
      <c r="K25" s="221">
        <f ca="1">SUMIF('Rev Adequacy'!$AH$22:$AH$652,'Charges to party by investment'!$C25,'Rev Adequacy'!AQ$22:AQ$652)</f>
        <v>0</v>
      </c>
      <c r="L25" s="221">
        <f ca="1">SUMIF('Rev Adequacy'!$AH$22:$AH$652,'Charges to party by investment'!$C25,'Rev Adequacy'!AR$22:AR$652)</f>
        <v>0</v>
      </c>
      <c r="M25" s="221">
        <f>SUMIF('Rev Adequacy'!$AH$22:$AH$652,'Charges to party by investment'!$C25,'Rev Adequacy'!AS$22:AS$652)</f>
        <v>0</v>
      </c>
      <c r="N25" s="221">
        <f ca="1">SUMIF('Rev Adequacy'!$AH$22:$AH$652,'Charges to party by investment'!$C25,'Rev Adequacy'!AT$22:AT$652)</f>
        <v>2.0959894525687135</v>
      </c>
      <c r="O25" s="221">
        <f ca="1">SUMIF('Rev Adequacy'!$AH$22:$AH$652,'Charges to party by investment'!$C25,'Rev Adequacy'!AU$22:AU$652)</f>
        <v>0</v>
      </c>
      <c r="P25" s="221">
        <f ca="1">SUMIF('Rev Adequacy'!$AH$22:$AH$652,'Charges to party by investment'!$C25,'Rev Adequacy'!AV$22:AV$652)</f>
        <v>0</v>
      </c>
      <c r="Q25" s="221">
        <f>SUMIF('Rev Adequacy'!$AH$22:$AH$652,'Charges to party by investment'!$C25,'Rev Adequacy'!AW$22:AW$652)</f>
        <v>0</v>
      </c>
      <c r="R25" s="221">
        <f>SUMIF('Rev Adequacy'!$AH$22:$AH$652,'Charges to party by investment'!$C25,'Rev Adequacy'!AX$22:AX$652)</f>
        <v>0</v>
      </c>
      <c r="S25" s="15"/>
      <c r="T25" s="15"/>
      <c r="V25" s="221">
        <f ca="1">SUMIFS('Rev Adequacy'!$G$6:$G$4999,'Rev Adequacy'!$B$6:$B$4999,'Charges to party by investment'!V$4,'Rev Adequacy'!$E$6:$E$4999,'Charges to party by investment'!$C25)*V$5/V$6</f>
        <v>0.10004532273006922</v>
      </c>
      <c r="W25" s="393">
        <f ca="1">SUMIFS('Rev Adequacy'!$G$6:$G$4999,'Rev Adequacy'!$B$6:$B$4999,'Charges to party by investment'!W$4,'Rev Adequacy'!$E$6:$E$4999,'Charges to party by investment'!$C25)*W$5/W$6</f>
        <v>0</v>
      </c>
      <c r="X25" s="393">
        <f ca="1">SUMIFS('Rev Adequacy'!$G$6:$G$4999,'Rev Adequacy'!$B$6:$B$4999,'Charges to party by investment'!X$4,'Rev Adequacy'!$E$6:$E$4999,'Charges to party by investment'!$C25)*X$5/X$6</f>
        <v>0</v>
      </c>
      <c r="Y25" s="393">
        <f ca="1">SUMIFS('Rev Adequacy'!$G$6:$G$4999,'Rev Adequacy'!$B$6:$B$4999,'Charges to party by investment'!Y$4,'Rev Adequacy'!$E$6:$E$4999,'Charges to party by investment'!$C25)*Y$5/Y$6</f>
        <v>1.1598587750000042</v>
      </c>
      <c r="Z25" s="393">
        <f ca="1">SUMIFS('Rev Adequacy'!$G$6:$G$4999,'Rev Adequacy'!$B$6:$B$4999,'Charges to party by investment'!Z$4,'Rev Adequacy'!$E$6:$E$4999,'Charges to party by investment'!$C25)*Z$5/Z$6</f>
        <v>0.36680434033048542</v>
      </c>
      <c r="AA25" s="393">
        <f ca="1">SUMIFS('Rev Adequacy'!$G$6:$G$4999,'Rev Adequacy'!$B$6:$B$4999,'Charges to party by investment'!AA$4,'Rev Adequacy'!$E$6:$E$4999,'Charges to party by investment'!$C25)*AA$5/AA$6</f>
        <v>0.75196404525004157</v>
      </c>
      <c r="AB25" s="221">
        <f>SUMIFS('Rev Adequacy'!$G$6:$G$4999,'Rev Adequacy'!$B$6:$B$4999,'Charges to party by investment'!AB$4,'Rev Adequacy'!$E$6:$E$4999,'Charges to party by investment'!$C25)</f>
        <v>0</v>
      </c>
      <c r="AC25" s="221">
        <f>SUMIFS('Rev Adequacy'!$G$6:$G$4999,'Rev Adequacy'!$B$6:$B$4999,'Charges to party by investment'!AC$4,'Rev Adequacy'!$E$6:$E$4999,'Charges to party by investment'!$C25)</f>
        <v>0</v>
      </c>
      <c r="AD25" s="221">
        <f>SUMIFS('Rev Adequacy'!$G$6:$G$4999,'Rev Adequacy'!$B$6:$B$4999,'Charges to party by investment'!AD$4,'Rev Adequacy'!$E$6:$E$4999,'Charges to party by investment'!$C25)</f>
        <v>0</v>
      </c>
      <c r="AE25" s="221">
        <f>SUMIFS('Rev Adequacy'!$G$6:$G$4999,'Rev Adequacy'!$B$6:$B$4999,'Charges to party by investment'!AE$4,'Rev Adequacy'!$E$6:$E$4999,'Charges to party by investment'!$C25)</f>
        <v>0</v>
      </c>
      <c r="AF25" s="221">
        <f>SUMIFS('Rev Adequacy'!$G$6:$G$4999,'Rev Adequacy'!$B$6:$B$4999,'Charges to party by investment'!AF$4,'Rev Adequacy'!$E$6:$E$4999,'Charges to party by investment'!$C25)</f>
        <v>0</v>
      </c>
      <c r="AG25" s="221">
        <f>SUMIFS('Rev Adequacy'!$G$6:$G$4999,'Rev Adequacy'!$B$6:$B$4999,'Charges to party by investment'!AG$4,'Rev Adequacy'!$E$6:$E$4999,'Charges to party by investment'!$C25)</f>
        <v>0</v>
      </c>
      <c r="AH25" s="221">
        <f>SUMIFS('Rev Adequacy'!$G$6:$G$4999,'Rev Adequacy'!$B$6:$B$4999,'Charges to party by investment'!AH$4,'Rev Adequacy'!$E$6:$E$4999,'Charges to party by investment'!$C25)</f>
        <v>0</v>
      </c>
      <c r="AJ25" s="190" t="str">
        <f>'Charges as $M per year'!A20</f>
        <v>Orion</v>
      </c>
      <c r="AK25" s="215" t="str">
        <f t="shared" si="9"/>
        <v>Orion</v>
      </c>
      <c r="AL25" s="216">
        <f t="shared" ca="1" si="10"/>
        <v>4.4746619358793138</v>
      </c>
      <c r="AM25" s="216">
        <f>SUMIF('Rev Adequacy'!$BF$27:$BF$257,'Charges to party by investment'!AK25,'Rev Adequacy'!$BJ$27:$BJ$257)</f>
        <v>26.088376178070749</v>
      </c>
      <c r="AN25" s="216">
        <f>VLOOKUP(AK25,Connection!$X$5:$AB$55,5,0)/1000000</f>
        <v>8.6734409999999933</v>
      </c>
      <c r="AO25" s="216">
        <v>0.93424861249952051</v>
      </c>
      <c r="AP25" s="217">
        <f t="shared" ca="1" si="11"/>
        <v>0.11366951050757201</v>
      </c>
      <c r="AQ25" s="217">
        <f t="shared" si="12"/>
        <v>8.5570457710346381E-2</v>
      </c>
      <c r="AR25" s="274">
        <f t="shared" si="2"/>
        <v>16.087246049545119</v>
      </c>
      <c r="AS25" s="217"/>
      <c r="AT25" s="277">
        <f t="shared" si="13"/>
        <v>42.175622227615868</v>
      </c>
      <c r="AU25" s="274">
        <f t="shared" ca="1" si="14"/>
        <v>47.58453277599471</v>
      </c>
      <c r="AV25" s="217"/>
      <c r="AW25" s="215" t="s">
        <v>25</v>
      </c>
      <c r="AX25" s="216">
        <f>SUMIF('Rev Adequacy'!$BF$27:$BF$257,'Charges to party by investment'!AK25,'Rev Adequacy'!$BK$27:$BK$257)</f>
        <v>28.599314244600041</v>
      </c>
      <c r="AY25" s="216">
        <f>SUMIF('Rev Adequacy'!$BF$27:$BF$257,'Charges to party by investment'!AK25,'Rev Adequacy'!$BL$27:$BL$257)</f>
        <v>30.273272955619557</v>
      </c>
      <c r="AZ25" s="279">
        <f t="shared" si="3"/>
        <v>8.5570457710346381E-2</v>
      </c>
      <c r="BA25" s="280">
        <f t="shared" ca="1" si="4"/>
        <v>6.3509033979657792E-2</v>
      </c>
      <c r="BX25" s="115" t="str">
        <f t="shared" si="15"/>
        <v>Orion</v>
      </c>
      <c r="BY25" s="286">
        <f t="shared" ca="1" si="5"/>
        <v>4.4746619358793138</v>
      </c>
      <c r="BZ25" s="286">
        <f t="shared" si="6"/>
        <v>26.088376178070749</v>
      </c>
      <c r="CA25" s="286">
        <f t="shared" si="7"/>
        <v>0.93424861249952051</v>
      </c>
      <c r="CB25" s="286">
        <f t="shared" si="8"/>
        <v>16.087246049545119</v>
      </c>
      <c r="CC25" s="286">
        <f t="shared" ca="1" si="16"/>
        <v>47.58453277599471</v>
      </c>
    </row>
    <row r="26" spans="2:81" x14ac:dyDescent="0.25">
      <c r="C26" s="5" t="s">
        <v>103</v>
      </c>
      <c r="D26" s="15"/>
      <c r="F26" s="221">
        <f ca="1">SUMIF('Rev Adequacy'!$AH$22:$AH$652,'Charges to party by investment'!C26,'Rev Adequacy'!$AL$22:$AL$652)</f>
        <v>0</v>
      </c>
      <c r="G26" s="221">
        <f ca="1">SUMIF('Rev Adequacy'!$AH$22:$AH$652,'Charges to party by investment'!$C26,'Rev Adequacy'!AM$22:AM$652)</f>
        <v>0</v>
      </c>
      <c r="H26" s="221">
        <f ca="1">SUMIF('Rev Adequacy'!$AH$22:$AH$652,'Charges to party by investment'!$C26,'Rev Adequacy'!AN$22:AN$652)</f>
        <v>0</v>
      </c>
      <c r="I26" s="221">
        <f ca="1">SUMIF('Rev Adequacy'!$AH$22:$AH$652,'Charges to party by investment'!$C26,'Rev Adequacy'!AO$22:AO$652)</f>
        <v>0</v>
      </c>
      <c r="J26" s="221">
        <f>SUMIF('Rev Adequacy'!$AH$22:$AH$652,'Charges to party by investment'!$C26,'Rev Adequacy'!AP$22:AP$652)</f>
        <v>0</v>
      </c>
      <c r="K26" s="221">
        <f ca="1">SUMIF('Rev Adequacy'!$AH$22:$AH$652,'Charges to party by investment'!$C26,'Rev Adequacy'!AQ$22:AQ$652)</f>
        <v>0</v>
      </c>
      <c r="L26" s="221">
        <f ca="1">SUMIF('Rev Adequacy'!$AH$22:$AH$652,'Charges to party by investment'!$C26,'Rev Adequacy'!AR$22:AR$652)</f>
        <v>0</v>
      </c>
      <c r="M26" s="221">
        <f>SUMIF('Rev Adequacy'!$AH$22:$AH$652,'Charges to party by investment'!$C26,'Rev Adequacy'!AS$22:AS$652)</f>
        <v>0</v>
      </c>
      <c r="N26" s="221">
        <f ca="1">SUMIF('Rev Adequacy'!$AH$22:$AH$652,'Charges to party by investment'!$C26,'Rev Adequacy'!AT$22:AT$652)</f>
        <v>0</v>
      </c>
      <c r="O26" s="221">
        <f ca="1">SUMIF('Rev Adequacy'!$AH$22:$AH$652,'Charges to party by investment'!$C26,'Rev Adequacy'!AU$22:AU$652)</f>
        <v>0</v>
      </c>
      <c r="P26" s="221">
        <f ca="1">SUMIF('Rev Adequacy'!$AH$22:$AH$652,'Charges to party by investment'!$C26,'Rev Adequacy'!AV$22:AV$652)</f>
        <v>7.8329650985930283E-2</v>
      </c>
      <c r="Q26" s="221">
        <f>SUMIF('Rev Adequacy'!$AH$22:$AH$652,'Charges to party by investment'!$C26,'Rev Adequacy'!AW$22:AW$652)</f>
        <v>0</v>
      </c>
      <c r="R26" s="221">
        <f>SUMIF('Rev Adequacy'!$AH$22:$AH$652,'Charges to party by investment'!$C26,'Rev Adequacy'!AX$22:AX$652)</f>
        <v>0</v>
      </c>
      <c r="S26" s="15"/>
      <c r="T26" s="15"/>
      <c r="V26" s="221">
        <f ca="1">SUMIFS('Rev Adequacy'!$G$6:$G$4999,'Rev Adequacy'!$B$6:$B$4999,'Charges to party by investment'!V$4,'Rev Adequacy'!$E$6:$E$4999,'Charges to party by investment'!$C26)*V$5/V$6</f>
        <v>6.5469368009871395E-2</v>
      </c>
      <c r="W26" s="393">
        <f ca="1">SUMIFS('Rev Adequacy'!$G$6:$G$4999,'Rev Adequacy'!$B$6:$B$4999,'Charges to party by investment'!W$4,'Rev Adequacy'!$E$6:$E$4999,'Charges to party by investment'!$C26)*W$5/W$6</f>
        <v>0</v>
      </c>
      <c r="X26" s="393">
        <f ca="1">SUMIFS('Rev Adequacy'!$G$6:$G$4999,'Rev Adequacy'!$B$6:$B$4999,'Charges to party by investment'!X$4,'Rev Adequacy'!$E$6:$E$4999,'Charges to party by investment'!$C26)*X$5/X$6</f>
        <v>0</v>
      </c>
      <c r="Y26" s="393">
        <f ca="1">SUMIFS('Rev Adequacy'!$G$6:$G$4999,'Rev Adequacy'!$B$6:$B$4999,'Charges to party by investment'!Y$4,'Rev Adequacy'!$E$6:$E$4999,'Charges to party by investment'!$C26)*Y$5/Y$6</f>
        <v>0.11521493682400162</v>
      </c>
      <c r="Z26" s="393">
        <f ca="1">SUMIFS('Rev Adequacy'!$G$6:$G$4999,'Rev Adequacy'!$B$6:$B$4999,'Charges to party by investment'!Z$4,'Rev Adequacy'!$E$6:$E$4999,'Charges to party by investment'!$C26)*Z$5/Z$6</f>
        <v>0.16161142350340937</v>
      </c>
      <c r="AA26" s="393">
        <f ca="1">SUMIFS('Rev Adequacy'!$G$6:$G$4999,'Rev Adequacy'!$B$6:$B$4999,'Charges to party by investment'!AA$4,'Rev Adequacy'!$E$6:$E$4999,'Charges to party by investment'!$C26)*AA$5/AA$6</f>
        <v>9.0640544925088898E-2</v>
      </c>
      <c r="AB26" s="221">
        <f>SUMIFS('Rev Adequacy'!$G$6:$G$4999,'Rev Adequacy'!$B$6:$B$4999,'Charges to party by investment'!AB$4,'Rev Adequacy'!$E$6:$E$4999,'Charges to party by investment'!$C26)</f>
        <v>0</v>
      </c>
      <c r="AC26" s="221">
        <f>SUMIFS('Rev Adequacy'!$G$6:$G$4999,'Rev Adequacy'!$B$6:$B$4999,'Charges to party by investment'!AC$4,'Rev Adequacy'!$E$6:$E$4999,'Charges to party by investment'!$C26)</f>
        <v>0</v>
      </c>
      <c r="AD26" s="221">
        <f>SUMIFS('Rev Adequacy'!$G$6:$G$4999,'Rev Adequacy'!$B$6:$B$4999,'Charges to party by investment'!AD$4,'Rev Adequacy'!$E$6:$E$4999,'Charges to party by investment'!$C26)</f>
        <v>0</v>
      </c>
      <c r="AE26" s="221">
        <f>SUMIFS('Rev Adequacy'!$G$6:$G$4999,'Rev Adequacy'!$B$6:$B$4999,'Charges to party by investment'!AE$4,'Rev Adequacy'!$E$6:$E$4999,'Charges to party by investment'!$C26)</f>
        <v>0</v>
      </c>
      <c r="AF26" s="221">
        <f>SUMIFS('Rev Adequacy'!$G$6:$G$4999,'Rev Adequacy'!$B$6:$B$4999,'Charges to party by investment'!AF$4,'Rev Adequacy'!$E$6:$E$4999,'Charges to party by investment'!$C26)</f>
        <v>0</v>
      </c>
      <c r="AG26" s="221">
        <f>SUMIFS('Rev Adequacy'!$G$6:$G$4999,'Rev Adequacy'!$B$6:$B$4999,'Charges to party by investment'!AG$4,'Rev Adequacy'!$E$6:$E$4999,'Charges to party by investment'!$C26)</f>
        <v>0</v>
      </c>
      <c r="AH26" s="221">
        <f>SUMIFS('Rev Adequacy'!$G$6:$G$4999,'Rev Adequacy'!$B$6:$B$4999,'Charges to party by investment'!AH$4,'Rev Adequacy'!$E$6:$E$4999,'Charges to party by investment'!$C26)</f>
        <v>0</v>
      </c>
      <c r="AJ26" s="190" t="str">
        <f>'Charges as $M per year'!A21</f>
        <v>OtagoNet JV</v>
      </c>
      <c r="AK26" s="215" t="str">
        <f t="shared" si="9"/>
        <v>OtagoNet JV</v>
      </c>
      <c r="AL26" s="216">
        <f t="shared" ca="1" si="10"/>
        <v>0.51126592424830153</v>
      </c>
      <c r="AM26" s="216">
        <f>SUMIF('Rev Adequacy'!$BF$27:$BF$257,'Charges to party by investment'!AK26,'Rev Adequacy'!$BJ$27:$BJ$257)</f>
        <v>2.6030570246836913</v>
      </c>
      <c r="AN26" s="216">
        <f>VLOOKUP(AK26,Connection!$X$5:$AB$55,5,0)/1000000</f>
        <v>2.6046047400000005</v>
      </c>
      <c r="AO26" s="216">
        <v>0</v>
      </c>
      <c r="AP26" s="217">
        <f t="shared" ca="1" si="11"/>
        <v>0.10833091800822818</v>
      </c>
      <c r="AQ26" s="217">
        <f t="shared" si="12"/>
        <v>8.5380852962228318E-3</v>
      </c>
      <c r="AR26" s="274">
        <f t="shared" si="2"/>
        <v>1.6051600356898923</v>
      </c>
      <c r="AS26" s="217"/>
      <c r="AT26" s="277">
        <f t="shared" si="13"/>
        <v>4.2082170603735838</v>
      </c>
      <c r="AU26" s="274">
        <f t="shared" ca="1" si="14"/>
        <v>4.7194829846218855</v>
      </c>
      <c r="AV26" s="217"/>
      <c r="AW26" s="215" t="s">
        <v>103</v>
      </c>
      <c r="AX26" s="216">
        <f>SUMIF('Rev Adequacy'!$BF$27:$BF$257,'Charges to party by investment'!AK26,'Rev Adequacy'!$BK$27:$BK$257)</f>
        <v>2.8535944643469091</v>
      </c>
      <c r="AY26" s="216">
        <f>SUMIF('Rev Adequacy'!$BF$27:$BF$257,'Charges to party by investment'!AK26,'Rev Adequacy'!$BL$27:$BL$257)</f>
        <v>3.0206194241223878</v>
      </c>
      <c r="AZ26" s="279">
        <f t="shared" si="3"/>
        <v>8.5380852962228318E-3</v>
      </c>
      <c r="BA26" s="280">
        <f t="shared" ca="1" si="4"/>
        <v>9.0414984611902859E-3</v>
      </c>
      <c r="BX26" s="115" t="str">
        <f t="shared" si="15"/>
        <v>OtagoNet JV</v>
      </c>
      <c r="BY26" s="286">
        <f t="shared" ca="1" si="5"/>
        <v>0.51126592424830153</v>
      </c>
      <c r="BZ26" s="286">
        <f t="shared" si="6"/>
        <v>2.6030570246836913</v>
      </c>
      <c r="CA26" s="286">
        <f t="shared" si="7"/>
        <v>0</v>
      </c>
      <c r="CB26" s="286">
        <f t="shared" si="8"/>
        <v>1.6051600356898923</v>
      </c>
      <c r="CC26" s="286">
        <f t="shared" ca="1" si="16"/>
        <v>4.7194829846218855</v>
      </c>
    </row>
    <row r="27" spans="2:81" x14ac:dyDescent="0.25">
      <c r="C27" s="5" t="s">
        <v>28</v>
      </c>
      <c r="D27" s="15"/>
      <c r="F27" s="221">
        <f ca="1">SUMIF('Rev Adequacy'!$AH$22:$AH$652,'Charges to party by investment'!C27,'Rev Adequacy'!$AL$22:$AL$652)</f>
        <v>0</v>
      </c>
      <c r="G27" s="221">
        <f ca="1">SUMIF('Rev Adequacy'!$AH$22:$AH$652,'Charges to party by investment'!$C27,'Rev Adequacy'!AM$22:AM$652)</f>
        <v>0</v>
      </c>
      <c r="H27" s="221">
        <f ca="1">SUMIF('Rev Adequacy'!$AH$22:$AH$652,'Charges to party by investment'!$C27,'Rev Adequacy'!AN$22:AN$652)</f>
        <v>0</v>
      </c>
      <c r="I27" s="221">
        <f ca="1">SUMIF('Rev Adequacy'!$AH$22:$AH$652,'Charges to party by investment'!$C27,'Rev Adequacy'!AO$22:AO$652)</f>
        <v>0</v>
      </c>
      <c r="J27" s="221">
        <f>SUMIF('Rev Adequacy'!$AH$22:$AH$652,'Charges to party by investment'!$C27,'Rev Adequacy'!AP$22:AP$652)</f>
        <v>0</v>
      </c>
      <c r="K27" s="221">
        <f ca="1">SUMIF('Rev Adequacy'!$AH$22:$AH$652,'Charges to party by investment'!$C27,'Rev Adequacy'!AQ$22:AQ$652)</f>
        <v>0</v>
      </c>
      <c r="L27" s="221">
        <f ca="1">SUMIF('Rev Adequacy'!$AH$22:$AH$652,'Charges to party by investment'!$C27,'Rev Adequacy'!AR$22:AR$652)</f>
        <v>0</v>
      </c>
      <c r="M27" s="221">
        <f>SUMIF('Rev Adequacy'!$AH$22:$AH$652,'Charges to party by investment'!$C27,'Rev Adequacy'!AS$22:AS$652)</f>
        <v>0</v>
      </c>
      <c r="N27" s="221">
        <f ca="1">SUMIF('Rev Adequacy'!$AH$22:$AH$652,'Charges to party by investment'!$C27,'Rev Adequacy'!AT$22:AT$652)</f>
        <v>0</v>
      </c>
      <c r="O27" s="221">
        <f ca="1">SUMIF('Rev Adequacy'!$AH$22:$AH$652,'Charges to party by investment'!$C27,'Rev Adequacy'!AU$22:AU$652)</f>
        <v>0</v>
      </c>
      <c r="P27" s="221">
        <f ca="1">SUMIF('Rev Adequacy'!$AH$22:$AH$652,'Charges to party by investment'!$C27,'Rev Adequacy'!AV$22:AV$652)</f>
        <v>0</v>
      </c>
      <c r="Q27" s="221">
        <f>SUMIF('Rev Adequacy'!$AH$22:$AH$652,'Charges to party by investment'!$C27,'Rev Adequacy'!AW$22:AW$652)</f>
        <v>0</v>
      </c>
      <c r="R27" s="221">
        <f>SUMIF('Rev Adequacy'!$AH$22:$AH$652,'Charges to party by investment'!$C27,'Rev Adequacy'!AX$22:AX$652)</f>
        <v>0</v>
      </c>
      <c r="S27" s="15"/>
      <c r="T27" s="15"/>
      <c r="V27" s="221">
        <f ca="1">SUMIFS('Rev Adequacy'!$G$6:$G$4999,'Rev Adequacy'!$B$6:$B$4999,'Charges to party by investment'!V$4,'Rev Adequacy'!$E$6:$E$4999,'Charges to party by investment'!$C27)*V$5/V$6</f>
        <v>0.64369002592916447</v>
      </c>
      <c r="W27" s="393">
        <f ca="1">SUMIFS('Rev Adequacy'!$G$6:$G$4999,'Rev Adequacy'!$B$6:$B$4999,'Charges to party by investment'!W$4,'Rev Adequacy'!$E$6:$E$4999,'Charges to party by investment'!$C27)*W$5/W$6</f>
        <v>5.3351841921320347</v>
      </c>
      <c r="X27" s="393">
        <f ca="1">SUMIFS('Rev Adequacy'!$G$6:$G$4999,'Rev Adequacy'!$B$6:$B$4999,'Charges to party by investment'!X$4,'Rev Adequacy'!$E$6:$E$4999,'Charges to party by investment'!$C27)*X$5/X$6</f>
        <v>6.4521101209047957</v>
      </c>
      <c r="Y27" s="393">
        <f ca="1">SUMIFS('Rev Adequacy'!$G$6:$G$4999,'Rev Adequacy'!$B$6:$B$4999,'Charges to party by investment'!Y$4,'Rev Adequacy'!$E$6:$E$4999,'Charges to party by investment'!$C27)*Y$5/Y$6</f>
        <v>1.6061266088144599</v>
      </c>
      <c r="Z27" s="393">
        <f ca="1">SUMIFS('Rev Adequacy'!$G$6:$G$4999,'Rev Adequacy'!$B$6:$B$4999,'Charges to party by investment'!Z$4,'Rev Adequacy'!$E$6:$E$4999,'Charges to party by investment'!$C27)*Z$5/Z$6</f>
        <v>6.6043698116254185E-3</v>
      </c>
      <c r="AA27" s="393">
        <f ca="1">SUMIFS('Rev Adequacy'!$G$6:$G$4999,'Rev Adequacy'!$B$6:$B$4999,'Charges to party by investment'!AA$4,'Rev Adequacy'!$E$6:$E$4999,'Charges to party by investment'!$C27)*AA$5/AA$6</f>
        <v>1.5604592347582866</v>
      </c>
      <c r="AB27" s="221">
        <f>SUMIFS('Rev Adequacy'!$G$6:$G$4999,'Rev Adequacy'!$B$6:$B$4999,'Charges to party by investment'!AB$4,'Rev Adequacy'!$E$6:$E$4999,'Charges to party by investment'!$C27)</f>
        <v>0</v>
      </c>
      <c r="AC27" s="221">
        <f>SUMIFS('Rev Adequacy'!$G$6:$G$4999,'Rev Adequacy'!$B$6:$B$4999,'Charges to party by investment'!AC$4,'Rev Adequacy'!$E$6:$E$4999,'Charges to party by investment'!$C27)</f>
        <v>0</v>
      </c>
      <c r="AD27" s="221">
        <f>SUMIFS('Rev Adequacy'!$G$6:$G$4999,'Rev Adequacy'!$B$6:$B$4999,'Charges to party by investment'!AD$4,'Rev Adequacy'!$E$6:$E$4999,'Charges to party by investment'!$C27)</f>
        <v>0</v>
      </c>
      <c r="AE27" s="221">
        <f>SUMIFS('Rev Adequacy'!$G$6:$G$4999,'Rev Adequacy'!$B$6:$B$4999,'Charges to party by investment'!AE$4,'Rev Adequacy'!$E$6:$E$4999,'Charges to party by investment'!$C27)</f>
        <v>0</v>
      </c>
      <c r="AF27" s="221">
        <f>SUMIFS('Rev Adequacy'!$G$6:$G$4999,'Rev Adequacy'!$B$6:$B$4999,'Charges to party by investment'!AF$4,'Rev Adequacy'!$E$6:$E$4999,'Charges to party by investment'!$C27)</f>
        <v>0</v>
      </c>
      <c r="AG27" s="221">
        <f>SUMIFS('Rev Adequacy'!$G$6:$G$4999,'Rev Adequacy'!$B$6:$B$4999,'Charges to party by investment'!AG$4,'Rev Adequacy'!$E$6:$E$4999,'Charges to party by investment'!$C27)</f>
        <v>0</v>
      </c>
      <c r="AH27" s="221">
        <f>SUMIFS('Rev Adequacy'!$G$6:$G$4999,'Rev Adequacy'!$B$6:$B$4999,'Charges to party by investment'!AH$4,'Rev Adequacy'!$E$6:$E$4999,'Charges to party by investment'!$C27)</f>
        <v>0</v>
      </c>
      <c r="AJ27" s="190" t="str">
        <f>'Charges as $M per year'!A22</f>
        <v>Powerco</v>
      </c>
      <c r="AK27" s="215" t="str">
        <f t="shared" si="9"/>
        <v>Powerco</v>
      </c>
      <c r="AL27" s="216">
        <f t="shared" ca="1" si="10"/>
        <v>15.604174552350369</v>
      </c>
      <c r="AM27" s="216">
        <f>SUMIF('Rev Adequacy'!$BF$27:$BF$257,'Charges to party by investment'!AK27,'Rev Adequacy'!$BJ$27:$BJ$257)</f>
        <v>34.955955205938885</v>
      </c>
      <c r="AN27" s="216">
        <f>VLOOKUP(AK27,Connection!$X$5:$AB$55,5,0)/1000000</f>
        <v>16.323840489999963</v>
      </c>
      <c r="AO27" s="216">
        <v>0.42784377825001829</v>
      </c>
      <c r="AP27" s="217">
        <f t="shared" ca="1" si="11"/>
        <v>0.22099911208768427</v>
      </c>
      <c r="AQ27" s="217">
        <f t="shared" si="12"/>
        <v>0.11465631537423486</v>
      </c>
      <c r="AR27" s="274">
        <f t="shared" si="2"/>
        <v>21.555387290356155</v>
      </c>
      <c r="AS27" s="217"/>
      <c r="AT27" s="277">
        <f t="shared" si="13"/>
        <v>56.511342496295043</v>
      </c>
      <c r="AU27" s="274">
        <f t="shared" ca="1" si="14"/>
        <v>72.543360826895437</v>
      </c>
      <c r="AV27" s="217"/>
      <c r="AW27" s="215" t="s">
        <v>28</v>
      </c>
      <c r="AX27" s="216">
        <f>SUMIF('Rev Adequacy'!$BF$27:$BF$257,'Charges to party by investment'!AK27,'Rev Adequacy'!$BK$27:$BK$257)</f>
        <v>38.320374592541548</v>
      </c>
      <c r="AY27" s="216">
        <f>SUMIF('Rev Adequacy'!$BF$27:$BF$257,'Charges to party by investment'!AK27,'Rev Adequacy'!$BL$27:$BL$257)</f>
        <v>40.563320850276668</v>
      </c>
      <c r="AZ27" s="279">
        <f t="shared" si="3"/>
        <v>0.11465631537423486</v>
      </c>
      <c r="BA27" s="280">
        <f t="shared" ca="1" si="4"/>
        <v>0.10641849242450149</v>
      </c>
      <c r="BX27" s="115" t="str">
        <f t="shared" si="15"/>
        <v>Powerco</v>
      </c>
      <c r="BY27" s="286">
        <f t="shared" ca="1" si="5"/>
        <v>15.604174552350369</v>
      </c>
      <c r="BZ27" s="286">
        <f t="shared" si="6"/>
        <v>34.955955205938885</v>
      </c>
      <c r="CA27" s="286">
        <f t="shared" si="7"/>
        <v>0.42784377825001829</v>
      </c>
      <c r="CB27" s="286">
        <f t="shared" si="8"/>
        <v>21.555387290356155</v>
      </c>
      <c r="CC27" s="286">
        <f t="shared" ca="1" si="16"/>
        <v>72.543360826895437</v>
      </c>
    </row>
    <row r="28" spans="2:81" x14ac:dyDescent="0.25">
      <c r="C28" s="5" t="s">
        <v>31</v>
      </c>
      <c r="D28" s="15"/>
      <c r="F28" s="221">
        <f ca="1">SUMIF('Rev Adequacy'!$AH$22:$AH$652,'Charges to party by investment'!C28,'Rev Adequacy'!$AL$22:$AL$652)</f>
        <v>0</v>
      </c>
      <c r="G28" s="221">
        <f ca="1">SUMIF('Rev Adequacy'!$AH$22:$AH$652,'Charges to party by investment'!$C28,'Rev Adequacy'!AM$22:AM$652)</f>
        <v>0</v>
      </c>
      <c r="H28" s="221">
        <f ca="1">SUMIF('Rev Adequacy'!$AH$22:$AH$652,'Charges to party by investment'!$C28,'Rev Adequacy'!AN$22:AN$652)</f>
        <v>0</v>
      </c>
      <c r="I28" s="221">
        <f ca="1">SUMIF('Rev Adequacy'!$AH$22:$AH$652,'Charges to party by investment'!$C28,'Rev Adequacy'!AO$22:AO$652)</f>
        <v>0</v>
      </c>
      <c r="J28" s="221">
        <f>SUMIF('Rev Adequacy'!$AH$22:$AH$652,'Charges to party by investment'!$C28,'Rev Adequacy'!AP$22:AP$652)</f>
        <v>0</v>
      </c>
      <c r="K28" s="221">
        <f ca="1">SUMIF('Rev Adequacy'!$AH$22:$AH$652,'Charges to party by investment'!$C28,'Rev Adequacy'!AQ$22:AQ$652)</f>
        <v>0</v>
      </c>
      <c r="L28" s="221">
        <f ca="1">SUMIF('Rev Adequacy'!$AH$22:$AH$652,'Charges to party by investment'!$C28,'Rev Adequacy'!AR$22:AR$652)</f>
        <v>0</v>
      </c>
      <c r="M28" s="221">
        <f>SUMIF('Rev Adequacy'!$AH$22:$AH$652,'Charges to party by investment'!$C28,'Rev Adequacy'!AS$22:AS$652)</f>
        <v>0</v>
      </c>
      <c r="N28" s="221">
        <f ca="1">SUMIF('Rev Adequacy'!$AH$22:$AH$652,'Charges to party by investment'!$C28,'Rev Adequacy'!AT$22:AT$652)</f>
        <v>0</v>
      </c>
      <c r="O28" s="221">
        <f ca="1">SUMIF('Rev Adequacy'!$AH$22:$AH$652,'Charges to party by investment'!$C28,'Rev Adequacy'!AU$22:AU$652)</f>
        <v>0</v>
      </c>
      <c r="P28" s="221">
        <f ca="1">SUMIF('Rev Adequacy'!$AH$22:$AH$652,'Charges to party by investment'!$C28,'Rev Adequacy'!AV$22:AV$652)</f>
        <v>0</v>
      </c>
      <c r="Q28" s="221">
        <f>SUMIF('Rev Adequacy'!$AH$22:$AH$652,'Charges to party by investment'!$C28,'Rev Adequacy'!AW$22:AW$652)</f>
        <v>0</v>
      </c>
      <c r="R28" s="221">
        <f>SUMIF('Rev Adequacy'!$AH$22:$AH$652,'Charges to party by investment'!$C28,'Rev Adequacy'!AX$22:AX$652)</f>
        <v>0</v>
      </c>
      <c r="S28" s="15"/>
      <c r="T28" s="15"/>
      <c r="V28" s="221">
        <f ca="1">SUMIFS('Rev Adequacy'!$G$6:$G$4999,'Rev Adequacy'!$B$6:$B$4999,'Charges to party by investment'!V$4,'Rev Adequacy'!$E$6:$E$4999,'Charges to party by investment'!$C28)*V$5/V$6</f>
        <v>6.7777184299797066E-3</v>
      </c>
      <c r="W28" s="393">
        <f ca="1">SUMIFS('Rev Adequacy'!$G$6:$G$4999,'Rev Adequacy'!$B$6:$B$4999,'Charges to party by investment'!W$4,'Rev Adequacy'!$E$6:$E$4999,'Charges to party by investment'!$C28)*W$5/W$6</f>
        <v>0.1099331000124027</v>
      </c>
      <c r="X28" s="393">
        <f ca="1">SUMIFS('Rev Adequacy'!$G$6:$G$4999,'Rev Adequacy'!$B$6:$B$4999,'Charges to party by investment'!X$4,'Rev Adequacy'!$E$6:$E$4999,'Charges to party by investment'!$C28)*X$5/X$6</f>
        <v>0.12400931998484643</v>
      </c>
      <c r="Y28" s="393">
        <f ca="1">SUMIFS('Rev Adequacy'!$G$6:$G$4999,'Rev Adequacy'!$B$6:$B$4999,'Charges to party by investment'!Y$4,'Rev Adequacy'!$E$6:$E$4999,'Charges to party by investment'!$C28)*Y$5/Y$6</f>
        <v>2.9789117999999504E-2</v>
      </c>
      <c r="Z28" s="393">
        <f ca="1">SUMIFS('Rev Adequacy'!$G$6:$G$4999,'Rev Adequacy'!$B$6:$B$4999,'Charges to party by investment'!Z$4,'Rev Adequacy'!$E$6:$E$4999,'Charges to party by investment'!$C28)*Z$5/Z$6</f>
        <v>3.2094181119922313E-4</v>
      </c>
      <c r="AA28" s="393">
        <f ca="1">SUMIFS('Rev Adequacy'!$G$6:$G$4999,'Rev Adequacy'!$B$6:$B$4999,'Charges to party by investment'!AA$4,'Rev Adequacy'!$E$6:$E$4999,'Charges to party by investment'!$C28)*AA$5/AA$6</f>
        <v>2.5235986011042516E-2</v>
      </c>
      <c r="AB28" s="221">
        <f>SUMIFS('Rev Adequacy'!$G$6:$G$4999,'Rev Adequacy'!$B$6:$B$4999,'Charges to party by investment'!AB$4,'Rev Adequacy'!$E$6:$E$4999,'Charges to party by investment'!$C28)</f>
        <v>0</v>
      </c>
      <c r="AC28" s="221">
        <f>SUMIFS('Rev Adequacy'!$G$6:$G$4999,'Rev Adequacy'!$B$6:$B$4999,'Charges to party by investment'!AC$4,'Rev Adequacy'!$E$6:$E$4999,'Charges to party by investment'!$C28)</f>
        <v>0</v>
      </c>
      <c r="AD28" s="221">
        <f>SUMIFS('Rev Adequacy'!$G$6:$G$4999,'Rev Adequacy'!$B$6:$B$4999,'Charges to party by investment'!AD$4,'Rev Adequacy'!$E$6:$E$4999,'Charges to party by investment'!$C28)</f>
        <v>0</v>
      </c>
      <c r="AE28" s="221">
        <f>SUMIFS('Rev Adequacy'!$G$6:$G$4999,'Rev Adequacy'!$B$6:$B$4999,'Charges to party by investment'!AE$4,'Rev Adequacy'!$E$6:$E$4999,'Charges to party by investment'!$C28)</f>
        <v>0</v>
      </c>
      <c r="AF28" s="221">
        <f>SUMIFS('Rev Adequacy'!$G$6:$G$4999,'Rev Adequacy'!$B$6:$B$4999,'Charges to party by investment'!AF$4,'Rev Adequacy'!$E$6:$E$4999,'Charges to party by investment'!$C28)</f>
        <v>0</v>
      </c>
      <c r="AG28" s="221">
        <f>SUMIFS('Rev Adequacy'!$G$6:$G$4999,'Rev Adequacy'!$B$6:$B$4999,'Charges to party by investment'!AG$4,'Rev Adequacy'!$E$6:$E$4999,'Charges to party by investment'!$C28)</f>
        <v>0</v>
      </c>
      <c r="AH28" s="221">
        <f>SUMIFS('Rev Adequacy'!$G$6:$G$4999,'Rev Adequacy'!$B$6:$B$4999,'Charges to party by investment'!AH$4,'Rev Adequacy'!$E$6:$E$4999,'Charges to party by investment'!$C28)</f>
        <v>0</v>
      </c>
      <c r="AJ28" s="190" t="str">
        <f>'Charges as $M per year'!A23</f>
        <v>Scanpower</v>
      </c>
      <c r="AK28" s="215" t="str">
        <f t="shared" si="9"/>
        <v>Scanpower</v>
      </c>
      <c r="AL28" s="216">
        <f t="shared" ca="1" si="10"/>
        <v>0.29606618424947007</v>
      </c>
      <c r="AM28" s="216">
        <f>SUMIF('Rev Adequacy'!$BF$27:$BF$257,'Charges to party by investment'!AK28,'Rev Adequacy'!$BJ$27:$BJ$257)</f>
        <v>0.54598634404093582</v>
      </c>
      <c r="AN28" s="216">
        <f>VLOOKUP(AK28,Connection!$X$5:$AB$55,5,0)/1000000</f>
        <v>0.54767798000000012</v>
      </c>
      <c r="AO28" s="216">
        <v>8.7530466030749845E-3</v>
      </c>
      <c r="AP28" s="217">
        <f t="shared" ca="1" si="11"/>
        <v>0.25669314456178871</v>
      </c>
      <c r="AQ28" s="217">
        <f t="shared" si="12"/>
        <v>1.790847427386204E-3</v>
      </c>
      <c r="AR28" s="274">
        <f t="shared" si="2"/>
        <v>0.33667931634860637</v>
      </c>
      <c r="AS28" s="217"/>
      <c r="AT28" s="277">
        <f t="shared" si="13"/>
        <v>0.88266566038954219</v>
      </c>
      <c r="AU28" s="274">
        <f t="shared" ca="1" si="14"/>
        <v>1.1874848912420872</v>
      </c>
      <c r="AV28" s="217"/>
      <c r="AW28" s="215" t="s">
        <v>31</v>
      </c>
      <c r="AX28" s="216">
        <f>SUMIF('Rev Adequacy'!$BF$27:$BF$257,'Charges to party by investment'!AK28,'Rev Adequacy'!$BK$27:$BK$257)</f>
        <v>0.59853610358518516</v>
      </c>
      <c r="AY28" s="216">
        <f>SUMIF('Rev Adequacy'!$BF$27:$BF$257,'Charges to party by investment'!AK28,'Rev Adequacy'!$BL$27:$BL$257)</f>
        <v>0.63356927661468454</v>
      </c>
      <c r="AZ28" s="279">
        <f t="shared" si="3"/>
        <v>1.790847427386204E-3</v>
      </c>
      <c r="BA28" s="280">
        <f t="shared" ca="1" si="4"/>
        <v>2.2109716361758476E-3</v>
      </c>
      <c r="BX28" s="115" t="str">
        <f t="shared" si="15"/>
        <v>Scanpower</v>
      </c>
      <c r="BY28" s="286">
        <f t="shared" ca="1" si="5"/>
        <v>0.29606618424947007</v>
      </c>
      <c r="BZ28" s="286">
        <f t="shared" si="6"/>
        <v>0.54598634404093582</v>
      </c>
      <c r="CA28" s="286">
        <f t="shared" si="7"/>
        <v>8.7530466030749845E-3</v>
      </c>
      <c r="CB28" s="286">
        <f t="shared" si="8"/>
        <v>0.33667931634860637</v>
      </c>
      <c r="CC28" s="286">
        <f t="shared" ca="1" si="16"/>
        <v>1.1874848912420872</v>
      </c>
    </row>
    <row r="29" spans="2:81" x14ac:dyDescent="0.25">
      <c r="C29" s="5" t="s">
        <v>32</v>
      </c>
      <c r="D29" s="15"/>
      <c r="F29" s="221">
        <f ca="1">SUMIF('Rev Adequacy'!$AH$22:$AH$652,'Charges to party by investment'!C29,'Rev Adequacy'!$AL$22:$AL$652)</f>
        <v>0</v>
      </c>
      <c r="G29" s="221">
        <f ca="1">SUMIF('Rev Adequacy'!$AH$22:$AH$652,'Charges to party by investment'!$C29,'Rev Adequacy'!AM$22:AM$652)</f>
        <v>0</v>
      </c>
      <c r="H29" s="221">
        <f ca="1">SUMIF('Rev Adequacy'!$AH$22:$AH$652,'Charges to party by investment'!$C29,'Rev Adequacy'!AN$22:AN$652)</f>
        <v>0</v>
      </c>
      <c r="I29" s="221">
        <f ca="1">SUMIF('Rev Adequacy'!$AH$22:$AH$652,'Charges to party by investment'!$C29,'Rev Adequacy'!AO$22:AO$652)</f>
        <v>0</v>
      </c>
      <c r="J29" s="221">
        <f>SUMIF('Rev Adequacy'!$AH$22:$AH$652,'Charges to party by investment'!$C29,'Rev Adequacy'!AP$22:AP$652)</f>
        <v>0</v>
      </c>
      <c r="K29" s="221">
        <f ca="1">SUMIF('Rev Adequacy'!$AH$22:$AH$652,'Charges to party by investment'!$C29,'Rev Adequacy'!AQ$22:AQ$652)</f>
        <v>0</v>
      </c>
      <c r="L29" s="221">
        <f ca="1">SUMIF('Rev Adequacy'!$AH$22:$AH$652,'Charges to party by investment'!$C29,'Rev Adequacy'!AR$22:AR$652)</f>
        <v>0</v>
      </c>
      <c r="M29" s="221">
        <f>SUMIF('Rev Adequacy'!$AH$22:$AH$652,'Charges to party by investment'!$C29,'Rev Adequacy'!AS$22:AS$652)</f>
        <v>0</v>
      </c>
      <c r="N29" s="221">
        <f ca="1">SUMIF('Rev Adequacy'!$AH$22:$AH$652,'Charges to party by investment'!$C29,'Rev Adequacy'!AT$22:AT$652)</f>
        <v>0</v>
      </c>
      <c r="O29" s="221">
        <f ca="1">SUMIF('Rev Adequacy'!$AH$22:$AH$652,'Charges to party by investment'!$C29,'Rev Adequacy'!AU$22:AU$652)</f>
        <v>0</v>
      </c>
      <c r="P29" s="221">
        <f ca="1">SUMIF('Rev Adequacy'!$AH$22:$AH$652,'Charges to party by investment'!$C29,'Rev Adequacy'!AV$22:AV$652)</f>
        <v>0</v>
      </c>
      <c r="Q29" s="221">
        <f>SUMIF('Rev Adequacy'!$AH$22:$AH$652,'Charges to party by investment'!$C29,'Rev Adequacy'!AW$22:AW$652)</f>
        <v>0</v>
      </c>
      <c r="R29" s="221">
        <f>SUMIF('Rev Adequacy'!$AH$22:$AH$652,'Charges to party by investment'!$C29,'Rev Adequacy'!AX$22:AX$652)</f>
        <v>0</v>
      </c>
      <c r="S29" s="15"/>
      <c r="T29" s="15"/>
      <c r="V29" s="221">
        <f ca="1">SUMIFS('Rev Adequacy'!$G$6:$G$4999,'Rev Adequacy'!$B$6:$B$4999,'Charges to party by investment'!V$4,'Rev Adequacy'!$E$6:$E$4999,'Charges to party by investment'!$C29)*V$5/V$6</f>
        <v>3.9388834637593753E-2</v>
      </c>
      <c r="W29" s="393">
        <f ca="1">SUMIFS('Rev Adequacy'!$G$6:$G$4999,'Rev Adequacy'!$B$6:$B$4999,'Charges to party by investment'!W$4,'Rev Adequacy'!$E$6:$E$4999,'Charges to party by investment'!$C29)*W$5/W$6</f>
        <v>0.26382358479990264</v>
      </c>
      <c r="X29" s="393">
        <f ca="1">SUMIFS('Rev Adequacy'!$G$6:$G$4999,'Rev Adequacy'!$B$6:$B$4999,'Charges to party by investment'!X$4,'Rev Adequacy'!$E$6:$E$4999,'Charges to party by investment'!$C29)*X$5/X$6</f>
        <v>0.29464022695916037</v>
      </c>
      <c r="Y29" s="393">
        <f ca="1">SUMIFS('Rev Adequacy'!$G$6:$G$4999,'Rev Adequacy'!$B$6:$B$4999,'Charges to party by investment'!Y$4,'Rev Adequacy'!$E$6:$E$4999,'Charges to party by investment'!$C29)*Y$5/Y$6</f>
        <v>8.3670132691660154E-2</v>
      </c>
      <c r="Z29" s="393">
        <f ca="1">SUMIFS('Rev Adequacy'!$G$6:$G$4999,'Rev Adequacy'!$B$6:$B$4999,'Charges to party by investment'!Z$4,'Rev Adequacy'!$E$6:$E$4999,'Charges to party by investment'!$C29)*Z$5/Z$6</f>
        <v>2.9594349708914952E-3</v>
      </c>
      <c r="AA29" s="393">
        <f ca="1">SUMIFS('Rev Adequacy'!$G$6:$G$4999,'Rev Adequacy'!$B$6:$B$4999,'Charges to party by investment'!AA$4,'Rev Adequacy'!$E$6:$E$4999,'Charges to party by investment'!$C29)*AA$5/AA$6</f>
        <v>9.1018847611403983E-2</v>
      </c>
      <c r="AB29" s="221">
        <f>SUMIFS('Rev Adequacy'!$G$6:$G$4999,'Rev Adequacy'!$B$6:$B$4999,'Charges to party by investment'!AB$4,'Rev Adequacy'!$E$6:$E$4999,'Charges to party by investment'!$C29)</f>
        <v>0</v>
      </c>
      <c r="AC29" s="221">
        <f>SUMIFS('Rev Adequacy'!$G$6:$G$4999,'Rev Adequacy'!$B$6:$B$4999,'Charges to party by investment'!AC$4,'Rev Adequacy'!$E$6:$E$4999,'Charges to party by investment'!$C29)</f>
        <v>0</v>
      </c>
      <c r="AD29" s="221">
        <f>SUMIFS('Rev Adequacy'!$G$6:$G$4999,'Rev Adequacy'!$B$6:$B$4999,'Charges to party by investment'!AD$4,'Rev Adequacy'!$E$6:$E$4999,'Charges to party by investment'!$C29)</f>
        <v>0</v>
      </c>
      <c r="AE29" s="221">
        <f>SUMIFS('Rev Adequacy'!$G$6:$G$4999,'Rev Adequacy'!$B$6:$B$4999,'Charges to party by investment'!AE$4,'Rev Adequacy'!$E$6:$E$4999,'Charges to party by investment'!$C29)</f>
        <v>0</v>
      </c>
      <c r="AF29" s="221">
        <f>SUMIFS('Rev Adequacy'!$G$6:$G$4999,'Rev Adequacy'!$B$6:$B$4999,'Charges to party by investment'!AF$4,'Rev Adequacy'!$E$6:$E$4999,'Charges to party by investment'!$C29)</f>
        <v>0</v>
      </c>
      <c r="AG29" s="221">
        <f>SUMIFS('Rev Adequacy'!$G$6:$G$4999,'Rev Adequacy'!$B$6:$B$4999,'Charges to party by investment'!AG$4,'Rev Adequacy'!$E$6:$E$4999,'Charges to party by investment'!$C29)</f>
        <v>0</v>
      </c>
      <c r="AH29" s="221">
        <f>SUMIFS('Rev Adequacy'!$G$6:$G$4999,'Rev Adequacy'!$B$6:$B$4999,'Charges to party by investment'!AH$4,'Rev Adequacy'!$E$6:$E$4999,'Charges to party by investment'!$C29)</f>
        <v>0</v>
      </c>
      <c r="AJ29" s="190" t="str">
        <f>'Charges as $M per year'!A24</f>
        <v>The Lines Company</v>
      </c>
      <c r="AK29" s="215" t="str">
        <f t="shared" si="9"/>
        <v>The Lines Company</v>
      </c>
      <c r="AL29" s="216">
        <f t="shared" ca="1" si="10"/>
        <v>0.77550106167061228</v>
      </c>
      <c r="AM29" s="216">
        <f>SUMIF('Rev Adequacy'!$BF$27:$BF$257,'Charges to party by investment'!AK29,'Rev Adequacy'!$BJ$27:$BJ$257)</f>
        <v>2.7072568775013397</v>
      </c>
      <c r="AN29" s="216">
        <f>VLOOKUP(AK29,Connection!$X$5:$AB$55,5,0)/1000000</f>
        <v>1.6645887099999996</v>
      </c>
      <c r="AO29" s="216">
        <v>3.1739615349990223E-2</v>
      </c>
      <c r="AP29" s="217">
        <f t="shared" ca="1" si="11"/>
        <v>0.15572037182302992</v>
      </c>
      <c r="AQ29" s="217">
        <f t="shared" si="12"/>
        <v>8.8798631454111553E-3</v>
      </c>
      <c r="AR29" s="274">
        <f t="shared" si="2"/>
        <v>1.6694142713372973</v>
      </c>
      <c r="AS29" s="217"/>
      <c r="AT29" s="277">
        <f t="shared" si="13"/>
        <v>4.3766711488386374</v>
      </c>
      <c r="AU29" s="274">
        <f t="shared" ca="1" si="14"/>
        <v>5.1839118258592398</v>
      </c>
      <c r="AV29" s="217"/>
      <c r="AW29" s="215" t="s">
        <v>32</v>
      </c>
      <c r="AX29" s="216">
        <f>SUMIF('Rev Adequacy'!$BF$27:$BF$257,'Charges to party by investment'!AK29,'Rev Adequacy'!$BK$27:$BK$257)</f>
        <v>2.9678232808371421</v>
      </c>
      <c r="AY29" s="216">
        <f>SUMIF('Rev Adequacy'!$BF$27:$BF$257,'Charges to party by investment'!AK29,'Rev Adequacy'!$BL$27:$BL$257)</f>
        <v>3.1415342163943429</v>
      </c>
      <c r="AZ29" s="279">
        <f t="shared" si="3"/>
        <v>8.8798631454111553E-3</v>
      </c>
      <c r="BA29" s="280">
        <f t="shared" ca="1" si="4"/>
        <v>8.1880210833355973E-3</v>
      </c>
      <c r="BX29" s="115" t="str">
        <f t="shared" si="15"/>
        <v>The Lines Company</v>
      </c>
      <c r="BY29" s="286">
        <f t="shared" ca="1" si="5"/>
        <v>0.77550106167061228</v>
      </c>
      <c r="BZ29" s="286">
        <f t="shared" si="6"/>
        <v>2.7072568775013397</v>
      </c>
      <c r="CA29" s="286">
        <f t="shared" si="7"/>
        <v>3.1739615349990223E-2</v>
      </c>
      <c r="CB29" s="286">
        <f t="shared" si="8"/>
        <v>1.6694142713372973</v>
      </c>
      <c r="CC29" s="286">
        <f t="shared" ca="1" si="16"/>
        <v>5.1839118258592398</v>
      </c>
    </row>
    <row r="30" spans="2:81" x14ac:dyDescent="0.25">
      <c r="C30" s="5" t="s">
        <v>105</v>
      </c>
      <c r="D30" s="15"/>
      <c r="F30" s="221">
        <f ca="1">SUMIF('Rev Adequacy'!$AH$22:$AH$652,'Charges to party by investment'!C30,'Rev Adequacy'!$AL$22:$AL$652)</f>
        <v>0</v>
      </c>
      <c r="G30" s="221">
        <f ca="1">SUMIF('Rev Adequacy'!$AH$22:$AH$652,'Charges to party by investment'!$C30,'Rev Adequacy'!AM$22:AM$652)</f>
        <v>0</v>
      </c>
      <c r="H30" s="221">
        <f ca="1">SUMIF('Rev Adequacy'!$AH$22:$AH$652,'Charges to party by investment'!$C30,'Rev Adequacy'!AN$22:AN$652)</f>
        <v>0</v>
      </c>
      <c r="I30" s="221">
        <f ca="1">SUMIF('Rev Adequacy'!$AH$22:$AH$652,'Charges to party by investment'!$C30,'Rev Adequacy'!AO$22:AO$652)</f>
        <v>0</v>
      </c>
      <c r="J30" s="221">
        <f>SUMIF('Rev Adequacy'!$AH$22:$AH$652,'Charges to party by investment'!$C30,'Rev Adequacy'!AP$22:AP$652)</f>
        <v>0</v>
      </c>
      <c r="K30" s="221">
        <f ca="1">SUMIF('Rev Adequacy'!$AH$22:$AH$652,'Charges to party by investment'!$C30,'Rev Adequacy'!AQ$22:AQ$652)</f>
        <v>0</v>
      </c>
      <c r="L30" s="221">
        <f ca="1">SUMIF('Rev Adequacy'!$AH$22:$AH$652,'Charges to party by investment'!$C30,'Rev Adequacy'!AR$22:AR$652)</f>
        <v>0</v>
      </c>
      <c r="M30" s="221">
        <f>SUMIF('Rev Adequacy'!$AH$22:$AH$652,'Charges to party by investment'!$C30,'Rev Adequacy'!AS$22:AS$652)</f>
        <v>0</v>
      </c>
      <c r="N30" s="221">
        <f ca="1">SUMIF('Rev Adequacy'!$AH$22:$AH$652,'Charges to party by investment'!$C30,'Rev Adequacy'!AT$22:AT$652)</f>
        <v>0</v>
      </c>
      <c r="O30" s="221">
        <f ca="1">SUMIF('Rev Adequacy'!$AH$22:$AH$652,'Charges to party by investment'!$C30,'Rev Adequacy'!AU$22:AU$652)</f>
        <v>0</v>
      </c>
      <c r="P30" s="221">
        <f ca="1">SUMIF('Rev Adequacy'!$AH$22:$AH$652,'Charges to party by investment'!$C30,'Rev Adequacy'!AV$22:AV$652)</f>
        <v>0.25673206621181122</v>
      </c>
      <c r="Q30" s="221">
        <f>SUMIF('Rev Adequacy'!$AH$22:$AH$652,'Charges to party by investment'!$C30,'Rev Adequacy'!AW$22:AW$652)</f>
        <v>0</v>
      </c>
      <c r="R30" s="221">
        <f>SUMIF('Rev Adequacy'!$AH$22:$AH$652,'Charges to party by investment'!$C30,'Rev Adequacy'!AX$22:AX$652)</f>
        <v>0</v>
      </c>
      <c r="S30" s="15"/>
      <c r="T30" s="15"/>
      <c r="V30" s="221">
        <f ca="1">SUMIFS('Rev Adequacy'!$G$6:$G$4999,'Rev Adequacy'!$B$6:$B$4999,'Charges to party by investment'!V$4,'Rev Adequacy'!$E$6:$E$4999,'Charges to party by investment'!$C30)*V$5/V$6</f>
        <v>0.10148431827234942</v>
      </c>
      <c r="W30" s="394">
        <f ca="1">SUMIFS('Rev Adequacy'!$G$6:$G$4999,'Rev Adequacy'!$B$6:$B$4999,'Charges to party by investment'!W$4,'Rev Adequacy'!$E$6:$E$4999,'Charges to party by investment'!$C30)*W$5/W$6</f>
        <v>0</v>
      </c>
      <c r="X30" s="394">
        <f ca="1">SUMIFS('Rev Adequacy'!$G$6:$G$4999,'Rev Adequacy'!$B$6:$B$4999,'Charges to party by investment'!X$4,'Rev Adequacy'!$E$6:$E$4999,'Charges to party by investment'!$C30)*X$5/X$6</f>
        <v>0</v>
      </c>
      <c r="Y30" s="394">
        <f ca="1">SUMIFS('Rev Adequacy'!$G$6:$G$4999,'Rev Adequacy'!$B$6:$B$4999,'Charges to party by investment'!Y$4,'Rev Adequacy'!$E$6:$E$4999,'Charges to party by investment'!$C30)*Y$5/Y$6</f>
        <v>0.22464059587283491</v>
      </c>
      <c r="Z30" s="394">
        <f ca="1">SUMIFS('Rev Adequacy'!$G$6:$G$4999,'Rev Adequacy'!$B$6:$B$4999,'Charges to party by investment'!Z$4,'Rev Adequacy'!$E$6:$E$4999,'Charges to party by investment'!$C30)*Z$5/Z$6</f>
        <v>0.33685111257710521</v>
      </c>
      <c r="AA30" s="394">
        <f ca="1">SUMIFS('Rev Adequacy'!$G$6:$G$4999,'Rev Adequacy'!$B$6:$B$4999,'Charges to party by investment'!AA$4,'Rev Adequacy'!$E$6:$E$4999,'Charges to party by investment'!$C30)*AA$5/AA$6</f>
        <v>0.18485842742068634</v>
      </c>
      <c r="AB30" s="221">
        <f>SUMIFS('Rev Adequacy'!$G$6:$G$4999,'Rev Adequacy'!$B$6:$B$4999,'Charges to party by investment'!AB$4,'Rev Adequacy'!$E$6:$E$4999,'Charges to party by investment'!$C30)</f>
        <v>0</v>
      </c>
      <c r="AC30" s="221">
        <f>SUMIFS('Rev Adequacy'!$G$6:$G$4999,'Rev Adequacy'!$B$6:$B$4999,'Charges to party by investment'!AC$4,'Rev Adequacy'!$E$6:$E$4999,'Charges to party by investment'!$C30)</f>
        <v>0</v>
      </c>
      <c r="AD30" s="221">
        <f>SUMIFS('Rev Adequacy'!$G$6:$G$4999,'Rev Adequacy'!$B$6:$B$4999,'Charges to party by investment'!AD$4,'Rev Adequacy'!$E$6:$E$4999,'Charges to party by investment'!$C30)</f>
        <v>0</v>
      </c>
      <c r="AE30" s="221">
        <f>SUMIFS('Rev Adequacy'!$G$6:$G$4999,'Rev Adequacy'!$B$6:$B$4999,'Charges to party by investment'!AE$4,'Rev Adequacy'!$E$6:$E$4999,'Charges to party by investment'!$C30)</f>
        <v>0</v>
      </c>
      <c r="AF30" s="221">
        <f>SUMIFS('Rev Adequacy'!$G$6:$G$4999,'Rev Adequacy'!$B$6:$B$4999,'Charges to party by investment'!AF$4,'Rev Adequacy'!$E$6:$E$4999,'Charges to party by investment'!$C30)</f>
        <v>0</v>
      </c>
      <c r="AG30" s="221">
        <f>SUMIFS('Rev Adequacy'!$G$6:$G$4999,'Rev Adequacy'!$B$6:$B$4999,'Charges to party by investment'!AG$4,'Rev Adequacy'!$E$6:$E$4999,'Charges to party by investment'!$C30)</f>
        <v>0</v>
      </c>
      <c r="AH30" s="221">
        <f>SUMIFS('Rev Adequacy'!$G$6:$G$4999,'Rev Adequacy'!$B$6:$B$4999,'Charges to party by investment'!AH$4,'Rev Adequacy'!$E$6:$E$4999,'Charges to party by investment'!$C30)</f>
        <v>0</v>
      </c>
      <c r="AJ30" s="190" t="str">
        <f>'Charges as $M per year'!A25</f>
        <v>The Power Company</v>
      </c>
      <c r="AK30" s="218" t="str">
        <f t="shared" si="9"/>
        <v>The Power Company</v>
      </c>
      <c r="AL30" s="216">
        <f t="shared" ca="1" si="10"/>
        <v>1.1045665203547872</v>
      </c>
      <c r="AM30" s="216">
        <f>SUMIF('Rev Adequacy'!$BF$27:$BF$257,'Charges to party by investment'!AK30,'Rev Adequacy'!$BJ$27:$BJ$257)</f>
        <v>5.5397759225494632</v>
      </c>
      <c r="AN30" s="216">
        <f>VLOOKUP(AK30,Connection!$X$5:$AB$55,5,0)/1000000</f>
        <v>0.9388440099999994</v>
      </c>
      <c r="AO30" s="216">
        <v>0</v>
      </c>
      <c r="AP30" s="217">
        <f t="shared" ca="1" si="11"/>
        <v>0.10979335550889903</v>
      </c>
      <c r="AQ30" s="217">
        <f t="shared" si="12"/>
        <v>1.8170589003687451E-2</v>
      </c>
      <c r="AR30" s="274">
        <f t="shared" si="2"/>
        <v>3.4160707326932407</v>
      </c>
      <c r="AS30" s="217"/>
      <c r="AT30" s="277">
        <f t="shared" si="13"/>
        <v>8.9558466552427038</v>
      </c>
      <c r="AU30" s="274">
        <f t="shared" ca="1" si="14"/>
        <v>10.060413175597491</v>
      </c>
      <c r="AV30" s="217"/>
      <c r="AW30" s="215" t="s">
        <v>105</v>
      </c>
      <c r="AX30" s="216">
        <f>SUMIF('Rev Adequacy'!$BF$27:$BF$257,'Charges to party by investment'!AK30,'Rev Adequacy'!$BK$27:$BK$257)</f>
        <v>6.0729648856733647</v>
      </c>
      <c r="AY30" s="216">
        <f>SUMIF('Rev Adequacy'!$BF$27:$BF$257,'Charges to party by investment'!AK30,'Rev Adequacy'!$BL$27:$BL$257)</f>
        <v>6.4284241944226315</v>
      </c>
      <c r="AZ30" s="279">
        <f t="shared" si="3"/>
        <v>1.8170589003687451E-2</v>
      </c>
      <c r="BA30" s="280">
        <f t="shared" ca="1" si="4"/>
        <v>1.1988850423401132E-2</v>
      </c>
      <c r="BX30" s="115" t="str">
        <f t="shared" si="15"/>
        <v>The Power Company</v>
      </c>
      <c r="BY30" s="286">
        <f t="shared" ca="1" si="5"/>
        <v>1.1045665203547872</v>
      </c>
      <c r="BZ30" s="286">
        <f t="shared" si="6"/>
        <v>5.5397759225494632</v>
      </c>
      <c r="CA30" s="286">
        <f t="shared" si="7"/>
        <v>0</v>
      </c>
      <c r="CB30" s="286">
        <f t="shared" si="8"/>
        <v>3.4160707326932407</v>
      </c>
      <c r="CC30" s="286">
        <f t="shared" ca="1" si="16"/>
        <v>10.060413175597491</v>
      </c>
    </row>
    <row r="31" spans="2:81" x14ac:dyDescent="0.25">
      <c r="C31" s="5" t="s">
        <v>34</v>
      </c>
      <c r="D31" s="15"/>
      <c r="F31" s="221">
        <f ca="1">SUMIF('Rev Adequacy'!$AH$22:$AH$652,'Charges to party by investment'!C31,'Rev Adequacy'!$AL$22:$AL$652)</f>
        <v>0</v>
      </c>
      <c r="G31" s="221">
        <f ca="1">SUMIF('Rev Adequacy'!$AH$22:$AH$652,'Charges to party by investment'!$C31,'Rev Adequacy'!AM$22:AM$652)</f>
        <v>0</v>
      </c>
      <c r="H31" s="221">
        <f ca="1">SUMIF('Rev Adequacy'!$AH$22:$AH$652,'Charges to party by investment'!$C31,'Rev Adequacy'!AN$22:AN$652)</f>
        <v>0</v>
      </c>
      <c r="I31" s="221">
        <f ca="1">SUMIF('Rev Adequacy'!$AH$22:$AH$652,'Charges to party by investment'!$C31,'Rev Adequacy'!AO$22:AO$652)</f>
        <v>1.5638538619602858</v>
      </c>
      <c r="J31" s="221">
        <f>SUMIF('Rev Adequacy'!$AH$22:$AH$652,'Charges to party by investment'!$C31,'Rev Adequacy'!AP$22:AP$652)</f>
        <v>0</v>
      </c>
      <c r="K31" s="221">
        <f ca="1">SUMIF('Rev Adequacy'!$AH$22:$AH$652,'Charges to party by investment'!$C31,'Rev Adequacy'!AQ$22:AQ$652)</f>
        <v>0</v>
      </c>
      <c r="L31" s="221">
        <f ca="1">SUMIF('Rev Adequacy'!$AH$22:$AH$652,'Charges to party by investment'!$C31,'Rev Adequacy'!AR$22:AR$652)</f>
        <v>0.3163502987300244</v>
      </c>
      <c r="M31" s="221">
        <f>SUMIF('Rev Adequacy'!$AH$22:$AH$652,'Charges to party by investment'!$C31,'Rev Adequacy'!AS$22:AS$652)</f>
        <v>0</v>
      </c>
      <c r="N31" s="221">
        <f ca="1">SUMIF('Rev Adequacy'!$AH$22:$AH$652,'Charges to party by investment'!$C31,'Rev Adequacy'!AT$22:AT$652)</f>
        <v>0</v>
      </c>
      <c r="O31" s="221">
        <f ca="1">SUMIF('Rev Adequacy'!$AH$22:$AH$652,'Charges to party by investment'!$C31,'Rev Adequacy'!AU$22:AU$652)</f>
        <v>0.14590144196237206</v>
      </c>
      <c r="P31" s="221">
        <f ca="1">SUMIF('Rev Adequacy'!$AH$22:$AH$652,'Charges to party by investment'!$C31,'Rev Adequacy'!AV$22:AV$652)</f>
        <v>0</v>
      </c>
      <c r="Q31" s="221">
        <f>SUMIF('Rev Adequacy'!$AH$22:$AH$652,'Charges to party by investment'!$C31,'Rev Adequacy'!AW$22:AW$652)</f>
        <v>0</v>
      </c>
      <c r="R31" s="221">
        <f>SUMIF('Rev Adequacy'!$AH$22:$AH$652,'Charges to party by investment'!$C31,'Rev Adequacy'!AX$22:AX$652)</f>
        <v>0</v>
      </c>
      <c r="S31" s="15"/>
      <c r="T31" s="15"/>
      <c r="V31" s="221">
        <f ca="1">SUMIFS('Rev Adequacy'!$G$6:$G$4999,'Rev Adequacy'!$B$6:$B$4999,'Charges to party by investment'!V$4,'Rev Adequacy'!$E$6:$E$4999,'Charges to party by investment'!$C31)*V$5/V$6</f>
        <v>2.0029807665054955</v>
      </c>
      <c r="W31" s="393">
        <f ca="1">SUMIFS('Rev Adequacy'!$G$6:$G$4999,'Rev Adequacy'!$B$6:$B$4999,'Charges to party by investment'!W$4,'Rev Adequacy'!$E$6:$E$4999,'Charges to party by investment'!$C31)*W$5/W$6</f>
        <v>0.34803122145728665</v>
      </c>
      <c r="X31" s="393">
        <f ca="1">SUMIFS('Rev Adequacy'!$G$6:$G$4999,'Rev Adequacy'!$B$6:$B$4999,'Charges to party by investment'!X$4,'Rev Adequacy'!$E$6:$E$4999,'Charges to party by investment'!$C31)*X$5/X$6</f>
        <v>0.38323660129700488</v>
      </c>
      <c r="Y31" s="393">
        <f ca="1">SUMIFS('Rev Adequacy'!$G$6:$G$4999,'Rev Adequacy'!$B$6:$B$4999,'Charges to party by investment'!Y$4,'Rev Adequacy'!$E$6:$E$4999,'Charges to party by investment'!$C31)*Y$5/Y$6</f>
        <v>0.31438659999999996</v>
      </c>
      <c r="Z31" s="393">
        <f ca="1">SUMIFS('Rev Adequacy'!$G$6:$G$4999,'Rev Adequacy'!$B$6:$B$4999,'Charges to party by investment'!Z$4,'Rev Adequacy'!$E$6:$E$4999,'Charges to party by investment'!$C31)*Z$5/Z$6</f>
        <v>5.6395947426156091E-3</v>
      </c>
      <c r="AA31" s="393">
        <f ca="1">SUMIFS('Rev Adequacy'!$G$6:$G$4999,'Rev Adequacy'!$B$6:$B$4999,'Charges to party by investment'!AA$4,'Rev Adequacy'!$E$6:$E$4999,'Charges to party by investment'!$C31)*AA$5/AA$6</f>
        <v>0.13874161826229628</v>
      </c>
      <c r="AB31" s="221">
        <f>SUMIFS('Rev Adequacy'!$G$6:$G$4999,'Rev Adequacy'!$B$6:$B$4999,'Charges to party by investment'!AB$4,'Rev Adequacy'!$E$6:$E$4999,'Charges to party by investment'!$C31)</f>
        <v>0</v>
      </c>
      <c r="AC31" s="221">
        <f>SUMIFS('Rev Adequacy'!$G$6:$G$4999,'Rev Adequacy'!$B$6:$B$4999,'Charges to party by investment'!AC$4,'Rev Adequacy'!$E$6:$E$4999,'Charges to party by investment'!$C31)</f>
        <v>0</v>
      </c>
      <c r="AD31" s="221">
        <f>SUMIFS('Rev Adequacy'!$G$6:$G$4999,'Rev Adequacy'!$B$6:$B$4999,'Charges to party by investment'!AD$4,'Rev Adequacy'!$E$6:$E$4999,'Charges to party by investment'!$C31)</f>
        <v>0</v>
      </c>
      <c r="AE31" s="221">
        <f>SUMIFS('Rev Adequacy'!$G$6:$G$4999,'Rev Adequacy'!$B$6:$B$4999,'Charges to party by investment'!AE$4,'Rev Adequacy'!$E$6:$E$4999,'Charges to party by investment'!$C31)</f>
        <v>0</v>
      </c>
      <c r="AF31" s="221">
        <f>SUMIFS('Rev Adequacy'!$G$6:$G$4999,'Rev Adequacy'!$B$6:$B$4999,'Charges to party by investment'!AF$4,'Rev Adequacy'!$E$6:$E$4999,'Charges to party by investment'!$C31)</f>
        <v>0</v>
      </c>
      <c r="AG31" s="221">
        <f>SUMIFS('Rev Adequacy'!$G$6:$G$4999,'Rev Adequacy'!$B$6:$B$4999,'Charges to party by investment'!AG$4,'Rev Adequacy'!$E$6:$E$4999,'Charges to party by investment'!$C31)</f>
        <v>0</v>
      </c>
      <c r="AH31" s="221">
        <f>SUMIFS('Rev Adequacy'!$G$6:$G$4999,'Rev Adequacy'!$B$6:$B$4999,'Charges to party by investment'!AH$4,'Rev Adequacy'!$E$6:$E$4999,'Charges to party by investment'!$C31)</f>
        <v>0</v>
      </c>
      <c r="AJ31" s="190" t="str">
        <f>'Charges as $M per year'!A26</f>
        <v>Top Energy</v>
      </c>
      <c r="AK31" s="215" t="str">
        <f t="shared" si="9"/>
        <v>Top Energy</v>
      </c>
      <c r="AL31" s="216">
        <f t="shared" ca="1" si="10"/>
        <v>5.2191220049173808</v>
      </c>
      <c r="AM31" s="216">
        <f>SUMIF('Rev Adequacy'!$BF$27:$BF$257,'Charges to party by investment'!AK31,'Rev Adequacy'!$BJ$27:$BJ$257)</f>
        <v>2.5679259361531881</v>
      </c>
      <c r="AN31" s="216">
        <f>VLOOKUP(AK31,Connection!$X$5:$AB$55,5,0)/1000000</f>
        <v>1.0468772899999998</v>
      </c>
      <c r="AO31" s="216">
        <v>6.2460424982793229E-2</v>
      </c>
      <c r="AP31" s="217">
        <f t="shared" ca="1" si="11"/>
        <v>0.55990454992661121</v>
      </c>
      <c r="AQ31" s="217">
        <f t="shared" si="12"/>
        <v>8.4228545396246215E-3</v>
      </c>
      <c r="AR31" s="274">
        <f t="shared" si="2"/>
        <v>1.5834966534494288</v>
      </c>
      <c r="AS31" s="217"/>
      <c r="AT31" s="277">
        <f t="shared" si="13"/>
        <v>4.1514225896026167</v>
      </c>
      <c r="AU31" s="274">
        <f t="shared" ca="1" si="14"/>
        <v>9.4330050195027919</v>
      </c>
      <c r="AV31" s="217"/>
      <c r="AW31" s="215" t="s">
        <v>34</v>
      </c>
      <c r="AX31" s="216">
        <f>SUMIF('Rev Adequacy'!$BF$27:$BF$257,'Charges to party by investment'!AK31,'Rev Adequacy'!$BK$27:$BK$257)</f>
        <v>2.8150821003047475</v>
      </c>
      <c r="AY31" s="216">
        <f>SUMIF('Rev Adequacy'!$BF$27:$BF$257,'Charges to party by investment'!AK31,'Rev Adequacy'!$BL$27:$BL$257)</f>
        <v>2.9798528764057872</v>
      </c>
      <c r="AZ31" s="279">
        <f t="shared" si="3"/>
        <v>8.4228545396246215E-3</v>
      </c>
      <c r="BA31" s="280">
        <f t="shared" ca="1" si="4"/>
        <v>1.4064989381669083E-2</v>
      </c>
      <c r="BX31" s="115" t="str">
        <f t="shared" si="15"/>
        <v>Top Energy</v>
      </c>
      <c r="BY31" s="286">
        <f t="shared" ca="1" si="5"/>
        <v>5.2191220049173808</v>
      </c>
      <c r="BZ31" s="286">
        <f t="shared" si="6"/>
        <v>2.5679259361531881</v>
      </c>
      <c r="CA31" s="286">
        <f t="shared" si="7"/>
        <v>6.2460424982793229E-2</v>
      </c>
      <c r="CB31" s="286">
        <f t="shared" si="8"/>
        <v>1.5834966534494288</v>
      </c>
      <c r="CC31" s="286">
        <f t="shared" ca="1" si="16"/>
        <v>9.4330050195027919</v>
      </c>
    </row>
    <row r="32" spans="2:81" x14ac:dyDescent="0.25">
      <c r="C32" s="56" t="s">
        <v>36</v>
      </c>
      <c r="D32" s="15"/>
      <c r="F32" s="221">
        <f ca="1">SUMIF('Rev Adequacy'!$AH$22:$AH$652,'Charges to party by investment'!C32,'Rev Adequacy'!$AL$22:$AL$652)</f>
        <v>0</v>
      </c>
      <c r="G32" s="221">
        <f ca="1">SUMIF('Rev Adequacy'!$AH$22:$AH$652,'Charges to party by investment'!$C32,'Rev Adequacy'!AM$22:AM$652)</f>
        <v>0</v>
      </c>
      <c r="H32" s="221">
        <f ca="1">SUMIF('Rev Adequacy'!$AH$22:$AH$652,'Charges to party by investment'!$C32,'Rev Adequacy'!AN$22:AN$652)</f>
        <v>0</v>
      </c>
      <c r="I32" s="221">
        <f ca="1">SUMIF('Rev Adequacy'!$AH$22:$AH$652,'Charges to party by investment'!$C32,'Rev Adequacy'!AO$22:AO$652)</f>
        <v>0</v>
      </c>
      <c r="J32" s="221">
        <f>SUMIF('Rev Adequacy'!$AH$22:$AH$652,'Charges to party by investment'!$C32,'Rev Adequacy'!AP$22:AP$652)</f>
        <v>0</v>
      </c>
      <c r="K32" s="221">
        <f ca="1">SUMIF('Rev Adequacy'!$AH$22:$AH$652,'Charges to party by investment'!$C32,'Rev Adequacy'!AQ$22:AQ$652)</f>
        <v>0</v>
      </c>
      <c r="L32" s="221">
        <f ca="1">SUMIF('Rev Adequacy'!$AH$22:$AH$652,'Charges to party by investment'!$C32,'Rev Adequacy'!AR$22:AR$652)</f>
        <v>0</v>
      </c>
      <c r="M32" s="221">
        <f>SUMIF('Rev Adequacy'!$AH$22:$AH$652,'Charges to party by investment'!$C32,'Rev Adequacy'!AS$22:AS$652)</f>
        <v>0</v>
      </c>
      <c r="N32" s="221">
        <f ca="1">SUMIF('Rev Adequacy'!$AH$22:$AH$652,'Charges to party by investment'!$C32,'Rev Adequacy'!AT$22:AT$652)</f>
        <v>0</v>
      </c>
      <c r="O32" s="221">
        <f ca="1">SUMIF('Rev Adequacy'!$AH$22:$AH$652,'Charges to party by investment'!$C32,'Rev Adequacy'!AU$22:AU$652)</f>
        <v>0</v>
      </c>
      <c r="P32" s="221">
        <f ca="1">SUMIF('Rev Adequacy'!$AH$22:$AH$652,'Charges to party by investment'!$C32,'Rev Adequacy'!AV$22:AV$652)</f>
        <v>0</v>
      </c>
      <c r="Q32" s="221">
        <f>SUMIF('Rev Adequacy'!$AH$22:$AH$652,'Charges to party by investment'!$C32,'Rev Adequacy'!AW$22:AW$652)</f>
        <v>0</v>
      </c>
      <c r="R32" s="221">
        <f>SUMIF('Rev Adequacy'!$AH$22:$AH$652,'Charges to party by investment'!$C32,'Rev Adequacy'!AX$22:AX$652)</f>
        <v>0</v>
      </c>
      <c r="S32" s="15"/>
      <c r="T32" s="15"/>
      <c r="V32" s="221">
        <f ca="1">SUMIFS('Rev Adequacy'!$G$6:$G$4999,'Rev Adequacy'!$B$6:$B$4999,'Charges to party by investment'!V$4,'Rev Adequacy'!$E$6:$E$4999,'Charges to party by investment'!$C32)*V$5/V$6</f>
        <v>0</v>
      </c>
      <c r="W32" s="393">
        <f ca="1">SUMIFS('Rev Adequacy'!$G$6:$G$4999,'Rev Adequacy'!$B$6:$B$4999,'Charges to party by investment'!W$4,'Rev Adequacy'!$E$6:$E$4999,'Charges to party by investment'!$C32)*W$5/W$6</f>
        <v>2.0482493360463176</v>
      </c>
      <c r="X32" s="393">
        <f ca="1">SUMIFS('Rev Adequacy'!$G$6:$G$4999,'Rev Adequacy'!$B$6:$B$4999,'Charges to party by investment'!X$4,'Rev Adequacy'!$E$6:$E$4999,'Charges to party by investment'!$C32)*X$5/X$6</f>
        <v>2.1058012537103328</v>
      </c>
      <c r="Y32" s="393">
        <f ca="1">SUMIFS('Rev Adequacy'!$G$6:$G$4999,'Rev Adequacy'!$B$6:$B$4999,'Charges to party by investment'!Y$4,'Rev Adequacy'!$E$6:$E$4999,'Charges to party by investment'!$C32)*Y$5/Y$6</f>
        <v>0.62532691000000185</v>
      </c>
      <c r="Z32" s="393">
        <f ca="1">SUMIFS('Rev Adequacy'!$G$6:$G$4999,'Rev Adequacy'!$B$6:$B$4999,'Charges to party by investment'!Z$4,'Rev Adequacy'!$E$6:$E$4999,'Charges to party by investment'!$C32)*Z$5/Z$6</f>
        <v>6.9732383519536933E-3</v>
      </c>
      <c r="AA32" s="393">
        <f ca="1">SUMIFS('Rev Adequacy'!$G$6:$G$4999,'Rev Adequacy'!$B$6:$B$4999,'Charges to party by investment'!AA$4,'Rev Adequacy'!$E$6:$E$4999,'Charges to party by investment'!$C32)*AA$5/AA$6</f>
        <v>0.14765526095696344</v>
      </c>
      <c r="AB32" s="221">
        <f>SUMIFS('Rev Adequacy'!$G$6:$G$4999,'Rev Adequacy'!$B$6:$B$4999,'Charges to party by investment'!AB$4,'Rev Adequacy'!$E$6:$E$4999,'Charges to party by investment'!$C32)</f>
        <v>0</v>
      </c>
      <c r="AC32" s="221">
        <f>SUMIFS('Rev Adequacy'!$G$6:$G$4999,'Rev Adequacy'!$B$6:$B$4999,'Charges to party by investment'!AC$4,'Rev Adequacy'!$E$6:$E$4999,'Charges to party by investment'!$C32)</f>
        <v>0</v>
      </c>
      <c r="AD32" s="221">
        <f>SUMIFS('Rev Adequacy'!$G$6:$G$4999,'Rev Adequacy'!$B$6:$B$4999,'Charges to party by investment'!AD$4,'Rev Adequacy'!$E$6:$E$4999,'Charges to party by investment'!$C32)</f>
        <v>0</v>
      </c>
      <c r="AE32" s="221">
        <f>SUMIFS('Rev Adequacy'!$G$6:$G$4999,'Rev Adequacy'!$B$6:$B$4999,'Charges to party by investment'!AE$4,'Rev Adequacy'!$E$6:$E$4999,'Charges to party by investment'!$C32)</f>
        <v>0</v>
      </c>
      <c r="AF32" s="221">
        <f>SUMIFS('Rev Adequacy'!$G$6:$G$4999,'Rev Adequacy'!$B$6:$B$4999,'Charges to party by investment'!AF$4,'Rev Adequacy'!$E$6:$E$4999,'Charges to party by investment'!$C32)</f>
        <v>0</v>
      </c>
      <c r="AG32" s="221">
        <f>SUMIFS('Rev Adequacy'!$G$6:$G$4999,'Rev Adequacy'!$B$6:$B$4999,'Charges to party by investment'!AG$4,'Rev Adequacy'!$E$6:$E$4999,'Charges to party by investment'!$C32)</f>
        <v>0</v>
      </c>
      <c r="AH32" s="221">
        <f>SUMIFS('Rev Adequacy'!$G$6:$G$4999,'Rev Adequacy'!$B$6:$B$4999,'Charges to party by investment'!AH$4,'Rev Adequacy'!$E$6:$E$4999,'Charges to party by investment'!$C32)</f>
        <v>0</v>
      </c>
      <c r="AJ32" s="190" t="str">
        <f>'Charges as $M per year'!A27</f>
        <v>Unison</v>
      </c>
      <c r="AK32" s="215" t="str">
        <f t="shared" si="9"/>
        <v>Unison</v>
      </c>
      <c r="AL32" s="216">
        <f t="shared" ca="1" si="10"/>
        <v>4.9340059990655689</v>
      </c>
      <c r="AM32" s="216">
        <f>SUMIF('Rev Adequacy'!$BF$27:$BF$257,'Charges to party by investment'!AK32,'Rev Adequacy'!$BJ$27:$BJ$257)</f>
        <v>12.230243283113692</v>
      </c>
      <c r="AN32" s="216">
        <f>VLOOKUP(AK32,Connection!$X$5:$AB$55,5,0)/1000000</f>
        <v>5.5064414899999958</v>
      </c>
      <c r="AO32" s="216">
        <v>8.9412863465282641E-2</v>
      </c>
      <c r="AP32" s="217">
        <f t="shared" ca="1" si="11"/>
        <v>0.20259502867888235</v>
      </c>
      <c r="AQ32" s="217">
        <f t="shared" si="12"/>
        <v>4.0115471676026748E-2</v>
      </c>
      <c r="AR32" s="274">
        <f t="shared" si="2"/>
        <v>7.5417086750930284</v>
      </c>
      <c r="AS32" s="217"/>
      <c r="AT32" s="277">
        <f t="shared" si="13"/>
        <v>19.771951958206721</v>
      </c>
      <c r="AU32" s="274">
        <f t="shared" ca="1" si="14"/>
        <v>24.79537082073757</v>
      </c>
      <c r="AV32" s="217"/>
      <c r="AW32" s="215" t="s">
        <v>36</v>
      </c>
      <c r="AX32" s="216">
        <f>SUMIF('Rev Adequacy'!$BF$27:$BF$257,'Charges to party by investment'!AK32,'Rev Adequacy'!$BK$27:$BK$257)</f>
        <v>13.407372254762677</v>
      </c>
      <c r="AY32" s="216">
        <f>SUMIF('Rev Adequacy'!$BF$27:$BF$257,'Charges to party by investment'!AK32,'Rev Adequacy'!$BL$27:$BL$257)</f>
        <v>14.192124902528667</v>
      </c>
      <c r="AZ32" s="279">
        <f t="shared" si="3"/>
        <v>4.0115471676026748E-2</v>
      </c>
      <c r="BA32" s="280">
        <f t="shared" ca="1" si="4"/>
        <v>3.5983221539323547E-2</v>
      </c>
      <c r="BX32" s="115" t="str">
        <f t="shared" si="15"/>
        <v>Unison</v>
      </c>
      <c r="BY32" s="286">
        <f t="shared" ca="1" si="5"/>
        <v>4.9340059990655689</v>
      </c>
      <c r="BZ32" s="286">
        <f t="shared" si="6"/>
        <v>12.230243283113692</v>
      </c>
      <c r="CA32" s="286">
        <f t="shared" si="7"/>
        <v>8.9412863465282641E-2</v>
      </c>
      <c r="CB32" s="286">
        <f t="shared" si="8"/>
        <v>7.5417086750930284</v>
      </c>
      <c r="CC32" s="286">
        <f t="shared" ca="1" si="16"/>
        <v>24.79537082073757</v>
      </c>
    </row>
    <row r="33" spans="3:81" x14ac:dyDescent="0.25">
      <c r="C33" s="56" t="s">
        <v>37</v>
      </c>
      <c r="D33" s="15"/>
      <c r="F33" s="221">
        <f ca="1">SUMIF('Rev Adequacy'!$AH$22:$AH$652,'Charges to party by investment'!C33,'Rev Adequacy'!$AL$22:$AL$652)</f>
        <v>0</v>
      </c>
      <c r="G33" s="221">
        <f ca="1">SUMIF('Rev Adequacy'!$AH$22:$AH$652,'Charges to party by investment'!$C33,'Rev Adequacy'!AM$22:AM$652)</f>
        <v>0</v>
      </c>
      <c r="H33" s="221">
        <f ca="1">SUMIF('Rev Adequacy'!$AH$22:$AH$652,'Charges to party by investment'!$C33,'Rev Adequacy'!AN$22:AN$652)</f>
        <v>0</v>
      </c>
      <c r="I33" s="221">
        <f ca="1">SUMIF('Rev Adequacy'!$AH$22:$AH$652,'Charges to party by investment'!$C33,'Rev Adequacy'!AO$22:AO$652)</f>
        <v>13.497982984915494</v>
      </c>
      <c r="J33" s="221">
        <f>SUMIF('Rev Adequacy'!$AH$22:$AH$652,'Charges to party by investment'!$C33,'Rev Adequacy'!AP$22:AP$652)</f>
        <v>0</v>
      </c>
      <c r="K33" s="221">
        <f ca="1">SUMIF('Rev Adequacy'!$AH$22:$AH$652,'Charges to party by investment'!$C33,'Rev Adequacy'!AQ$22:AQ$652)</f>
        <v>0</v>
      </c>
      <c r="L33" s="221">
        <f ca="1">SUMIF('Rev Adequacy'!$AH$22:$AH$652,'Charges to party by investment'!$C33,'Rev Adequacy'!AR$22:AR$652)</f>
        <v>9.5876708086176858</v>
      </c>
      <c r="M33" s="221">
        <f>SUMIF('Rev Adequacy'!$AH$22:$AH$652,'Charges to party by investment'!$C33,'Rev Adequacy'!AS$22:AS$652)</f>
        <v>0</v>
      </c>
      <c r="N33" s="221">
        <f ca="1">SUMIF('Rev Adequacy'!$AH$22:$AH$652,'Charges to party by investment'!$C33,'Rev Adequacy'!AT$22:AT$652)</f>
        <v>0</v>
      </c>
      <c r="O33" s="221">
        <f ca="1">SUMIF('Rev Adequacy'!$AH$22:$AH$652,'Charges to party by investment'!$C33,'Rev Adequacy'!AU$22:AU$652)</f>
        <v>4.4218545127142574</v>
      </c>
      <c r="P33" s="221">
        <f ca="1">SUMIF('Rev Adequacy'!$AH$22:$AH$652,'Charges to party by investment'!$C33,'Rev Adequacy'!AV$22:AV$652)</f>
        <v>0</v>
      </c>
      <c r="Q33" s="221">
        <f>SUMIF('Rev Adequacy'!$AH$22:$AH$652,'Charges to party by investment'!$C33,'Rev Adequacy'!AW$22:AW$652)</f>
        <v>0</v>
      </c>
      <c r="R33" s="221">
        <f>SUMIF('Rev Adequacy'!$AH$22:$AH$652,'Charges to party by investment'!$C33,'Rev Adequacy'!AX$22:AX$652)</f>
        <v>0</v>
      </c>
      <c r="S33" s="15"/>
      <c r="T33" s="15"/>
      <c r="V33" s="221">
        <f ca="1">SUMIFS('Rev Adequacy'!$G$6:$G$4999,'Rev Adequacy'!$B$6:$B$4999,'Charges to party by investment'!V$4,'Rev Adequacy'!$E$6:$E$4999,'Charges to party by investment'!$C33)*V$5/V$6</f>
        <v>64.131093476932733</v>
      </c>
      <c r="W33" s="393">
        <f ca="1">SUMIFS('Rev Adequacy'!$G$6:$G$4999,'Rev Adequacy'!$B$6:$B$4999,'Charges to party by investment'!W$4,'Rev Adequacy'!$E$6:$E$4999,'Charges to party by investment'!$C33)*W$5/W$6</f>
        <v>11.717771944708534</v>
      </c>
      <c r="X33" s="393">
        <f ca="1">SUMIFS('Rev Adequacy'!$G$6:$G$4999,'Rev Adequacy'!$B$6:$B$4999,'Charges to party by investment'!X$4,'Rev Adequacy'!$E$6:$E$4999,'Charges to party by investment'!$C33)*X$5/X$6</f>
        <v>11.923873609171537</v>
      </c>
      <c r="Y33" s="393">
        <f ca="1">SUMIFS('Rev Adequacy'!$G$6:$G$4999,'Rev Adequacy'!$B$6:$B$4999,'Charges to party by investment'!Y$4,'Rev Adequacy'!$E$6:$E$4999,'Charges to party by investment'!$C33)*Y$5/Y$6</f>
        <v>9.1691041791395538</v>
      </c>
      <c r="Z33" s="393">
        <f ca="1">SUMIFS('Rev Adequacy'!$G$6:$G$4999,'Rev Adequacy'!$B$6:$B$4999,'Charges to party by investment'!Z$4,'Rev Adequacy'!$E$6:$E$4999,'Charges to party by investment'!$C33)*Z$5/Z$6</f>
        <v>2.773142336695613E-2</v>
      </c>
      <c r="AA33" s="393">
        <f ca="1">SUMIFS('Rev Adequacy'!$G$6:$G$4999,'Rev Adequacy'!$B$6:$B$4999,'Charges to party by investment'!AA$4,'Rev Adequacy'!$E$6:$E$4999,'Charges to party by investment'!$C33)*AA$5/AA$6</f>
        <v>4.6658015180395562</v>
      </c>
      <c r="AB33" s="221">
        <f>SUMIFS('Rev Adequacy'!$G$6:$G$4999,'Rev Adequacy'!$B$6:$B$4999,'Charges to party by investment'!AB$4,'Rev Adequacy'!$E$6:$E$4999,'Charges to party by investment'!$C33)</f>
        <v>0</v>
      </c>
      <c r="AC33" s="221">
        <f>SUMIFS('Rev Adequacy'!$G$6:$G$4999,'Rev Adequacy'!$B$6:$B$4999,'Charges to party by investment'!AC$4,'Rev Adequacy'!$E$6:$E$4999,'Charges to party by investment'!$C33)</f>
        <v>0</v>
      </c>
      <c r="AD33" s="221">
        <f>SUMIFS('Rev Adequacy'!$G$6:$G$4999,'Rev Adequacy'!$B$6:$B$4999,'Charges to party by investment'!AD$4,'Rev Adequacy'!$E$6:$E$4999,'Charges to party by investment'!$C33)</f>
        <v>0</v>
      </c>
      <c r="AE33" s="221">
        <f>SUMIFS('Rev Adequacy'!$G$6:$G$4999,'Rev Adequacy'!$B$6:$B$4999,'Charges to party by investment'!AE$4,'Rev Adequacy'!$E$6:$E$4999,'Charges to party by investment'!$C33)</f>
        <v>0</v>
      </c>
      <c r="AF33" s="221">
        <f>SUMIFS('Rev Adequacy'!$G$6:$G$4999,'Rev Adequacy'!$B$6:$B$4999,'Charges to party by investment'!AF$4,'Rev Adequacy'!$E$6:$E$4999,'Charges to party by investment'!$C33)</f>
        <v>0</v>
      </c>
      <c r="AG33" s="221">
        <f>SUMIFS('Rev Adequacy'!$G$6:$G$4999,'Rev Adequacy'!$B$6:$B$4999,'Charges to party by investment'!AG$4,'Rev Adequacy'!$E$6:$E$4999,'Charges to party by investment'!$C33)</f>
        <v>0</v>
      </c>
      <c r="AH33" s="221">
        <f>SUMIFS('Rev Adequacy'!$G$6:$G$4999,'Rev Adequacy'!$B$6:$B$4999,'Charges to party by investment'!AH$4,'Rev Adequacy'!$E$6:$E$4999,'Charges to party by investment'!$C33)</f>
        <v>0</v>
      </c>
      <c r="AJ33" s="190" t="str">
        <f>'Charges as $M per year'!A28</f>
        <v>Vector</v>
      </c>
      <c r="AK33" s="215" t="str">
        <f t="shared" si="9"/>
        <v>Vector</v>
      </c>
      <c r="AL33" s="216">
        <f t="shared" ca="1" si="10"/>
        <v>129.1428844576063</v>
      </c>
      <c r="AM33" s="216">
        <f>SUMIF('Rev Adequacy'!$BF$27:$BF$257,'Charges to party by investment'!AK33,'Rev Adequacy'!$BJ$27:$BJ$257)</f>
        <v>77.826474751520351</v>
      </c>
      <c r="AN33" s="216">
        <f>VLOOKUP(AK33,Connection!$X$5:$AB$55,5,0)/1000000</f>
        <v>10.274301060000003</v>
      </c>
      <c r="AO33" s="216">
        <v>1.9042394889498322</v>
      </c>
      <c r="AP33" s="217">
        <f t="shared" ca="1" si="11"/>
        <v>0.51017929174077326</v>
      </c>
      <c r="AQ33" s="217">
        <f t="shared" si="12"/>
        <v>0.25527257890693283</v>
      </c>
      <c r="AR33" s="274">
        <f t="shared" si="2"/>
        <v>47.99124483450337</v>
      </c>
      <c r="AS33" s="217"/>
      <c r="AT33" s="277">
        <f t="shared" si="13"/>
        <v>125.81771958602371</v>
      </c>
      <c r="AU33" s="274">
        <f t="shared" ca="1" si="14"/>
        <v>256.86484353257987</v>
      </c>
      <c r="AV33" s="217"/>
      <c r="AW33" s="215" t="s">
        <v>37</v>
      </c>
      <c r="AX33" s="216">
        <f>SUMIF('Rev Adequacy'!$BF$27:$BF$257,'Charges to party by investment'!AK33,'Rev Adequacy'!$BK$27:$BK$257)</f>
        <v>85.317069670250319</v>
      </c>
      <c r="AY33" s="216">
        <f>SUMIF('Rev Adequacy'!$BF$27:$BF$257,'Charges to party by investment'!AK33,'Rev Adequacy'!$BL$27:$BL$257)</f>
        <v>90.310799616070298</v>
      </c>
      <c r="AZ33" s="279">
        <f t="shared" si="3"/>
        <v>0.25527257890693283</v>
      </c>
      <c r="BA33" s="280">
        <f t="shared" ca="1" si="4"/>
        <v>0.34646799298939229</v>
      </c>
      <c r="BX33" s="115" t="str">
        <f t="shared" si="15"/>
        <v>Vector</v>
      </c>
      <c r="BY33" s="286">
        <f t="shared" ca="1" si="5"/>
        <v>129.1428844576063</v>
      </c>
      <c r="BZ33" s="286">
        <f t="shared" si="6"/>
        <v>77.826474751520351</v>
      </c>
      <c r="CA33" s="286">
        <f t="shared" si="7"/>
        <v>1.9042394889498322</v>
      </c>
      <c r="CB33" s="286">
        <f t="shared" si="8"/>
        <v>47.99124483450337</v>
      </c>
      <c r="CC33" s="286">
        <f t="shared" ca="1" si="16"/>
        <v>256.86484353257987</v>
      </c>
    </row>
    <row r="34" spans="3:81" x14ac:dyDescent="0.25">
      <c r="C34" s="56" t="s">
        <v>38</v>
      </c>
      <c r="D34" s="15"/>
      <c r="F34" s="221">
        <f ca="1">SUMIF('Rev Adequacy'!$AH$22:$AH$652,'Charges to party by investment'!C34,'Rev Adequacy'!$AL$22:$AL$652)</f>
        <v>0</v>
      </c>
      <c r="G34" s="221">
        <f ca="1">SUMIF('Rev Adequacy'!$AH$22:$AH$652,'Charges to party by investment'!$C34,'Rev Adequacy'!AM$22:AM$652)</f>
        <v>0</v>
      </c>
      <c r="H34" s="221">
        <f ca="1">SUMIF('Rev Adequacy'!$AH$22:$AH$652,'Charges to party by investment'!$C34,'Rev Adequacy'!AN$22:AN$652)</f>
        <v>0</v>
      </c>
      <c r="I34" s="221">
        <f ca="1">SUMIF('Rev Adequacy'!$AH$22:$AH$652,'Charges to party by investment'!$C34,'Rev Adequacy'!AO$22:AO$652)</f>
        <v>0</v>
      </c>
      <c r="J34" s="221">
        <f>SUMIF('Rev Adequacy'!$AH$22:$AH$652,'Charges to party by investment'!$C34,'Rev Adequacy'!AP$22:AP$652)</f>
        <v>0</v>
      </c>
      <c r="K34" s="221">
        <f ca="1">SUMIF('Rev Adequacy'!$AH$22:$AH$652,'Charges to party by investment'!$C34,'Rev Adequacy'!AQ$22:AQ$652)</f>
        <v>0</v>
      </c>
      <c r="L34" s="221">
        <f ca="1">SUMIF('Rev Adequacy'!$AH$22:$AH$652,'Charges to party by investment'!$C34,'Rev Adequacy'!AR$22:AR$652)</f>
        <v>0</v>
      </c>
      <c r="M34" s="221">
        <f>SUMIF('Rev Adequacy'!$AH$22:$AH$652,'Charges to party by investment'!$C34,'Rev Adequacy'!AS$22:AS$652)</f>
        <v>0</v>
      </c>
      <c r="N34" s="221">
        <f ca="1">SUMIF('Rev Adequacy'!$AH$22:$AH$652,'Charges to party by investment'!$C34,'Rev Adequacy'!AT$22:AT$652)</f>
        <v>0</v>
      </c>
      <c r="O34" s="221">
        <f ca="1">SUMIF('Rev Adequacy'!$AH$22:$AH$652,'Charges to party by investment'!$C34,'Rev Adequacy'!AU$22:AU$652)</f>
        <v>0</v>
      </c>
      <c r="P34" s="221">
        <f ca="1">SUMIF('Rev Adequacy'!$AH$22:$AH$652,'Charges to party by investment'!$C34,'Rev Adequacy'!AV$22:AV$652)</f>
        <v>0</v>
      </c>
      <c r="Q34" s="221">
        <f>SUMIF('Rev Adequacy'!$AH$22:$AH$652,'Charges to party by investment'!$C34,'Rev Adequacy'!AW$22:AW$652)</f>
        <v>0</v>
      </c>
      <c r="R34" s="221">
        <f>SUMIF('Rev Adequacy'!$AH$22:$AH$652,'Charges to party by investment'!$C34,'Rev Adequacy'!AX$22:AX$652)</f>
        <v>0</v>
      </c>
      <c r="S34" s="15"/>
      <c r="T34" s="15"/>
      <c r="V34" s="221">
        <f ca="1">SUMIFS('Rev Adequacy'!$G$6:$G$4999,'Rev Adequacy'!$B$6:$B$4999,'Charges to party by investment'!V$4,'Rev Adequacy'!$E$6:$E$4999,'Charges to party by investment'!$C34)*V$5/V$6</f>
        <v>0.14764466326398118</v>
      </c>
      <c r="W34" s="221">
        <f ca="1">SUMIFS('Rev Adequacy'!$G$6:$G$4999,'Rev Adequacy'!$B$6:$B$4999,'Charges to party by investment'!W$4,'Rev Adequacy'!$E$6:$E$4999,'Charges to party by investment'!$C34)*W$5/W$6</f>
        <v>0.47987994508163612</v>
      </c>
      <c r="X34" s="221">
        <f ca="1">SUMIFS('Rev Adequacy'!$G$6:$G$4999,'Rev Adequacy'!$B$6:$B$4999,'Charges to party by investment'!X$4,'Rev Adequacy'!$E$6:$E$4999,'Charges to party by investment'!$C34)*X$5/X$6</f>
        <v>0.50344486169282598</v>
      </c>
      <c r="Y34" s="221">
        <f ca="1">SUMIFS('Rev Adequacy'!$G$6:$G$4999,'Rev Adequacy'!$B$6:$B$4999,'Charges to party by investment'!Y$4,'Rev Adequacy'!$E$6:$E$4999,'Charges to party by investment'!$C34)*Y$5/Y$6</f>
        <v>0.14583981700000051</v>
      </c>
      <c r="Z34" s="221">
        <f ca="1">SUMIFS('Rev Adequacy'!$G$6:$G$4999,'Rev Adequacy'!$B$6:$B$4999,'Charges to party by investment'!Z$4,'Rev Adequacy'!$E$6:$E$4999,'Charges to party by investment'!$C34)*Z$5/Z$6</f>
        <v>1.5550589607487869E-5</v>
      </c>
      <c r="AA34" s="221">
        <f ca="1">SUMIFS('Rev Adequacy'!$G$6:$G$4999,'Rev Adequacy'!$B$6:$B$4999,'Charges to party by investment'!AA$4,'Rev Adequacy'!$E$6:$E$4999,'Charges to party by investment'!$C34)*AA$5/AA$6</f>
        <v>0.21114321508853923</v>
      </c>
      <c r="AB34" s="221">
        <f>SUMIFS('Rev Adequacy'!$G$6:$G$4999,'Rev Adequacy'!$B$6:$B$4999,'Charges to party by investment'!AB$4,'Rev Adequacy'!$E$6:$E$4999,'Charges to party by investment'!$C34)</f>
        <v>0</v>
      </c>
      <c r="AC34" s="221">
        <f>SUMIFS('Rev Adequacy'!$G$6:$G$4999,'Rev Adequacy'!$B$6:$B$4999,'Charges to party by investment'!AC$4,'Rev Adequacy'!$E$6:$E$4999,'Charges to party by investment'!$C34)</f>
        <v>0</v>
      </c>
      <c r="AD34" s="221">
        <f>SUMIFS('Rev Adequacy'!$G$6:$G$4999,'Rev Adequacy'!$B$6:$B$4999,'Charges to party by investment'!AD$4,'Rev Adequacy'!$E$6:$E$4999,'Charges to party by investment'!$C34)</f>
        <v>0</v>
      </c>
      <c r="AE34" s="221">
        <f>SUMIFS('Rev Adequacy'!$G$6:$G$4999,'Rev Adequacy'!$B$6:$B$4999,'Charges to party by investment'!AE$4,'Rev Adequacy'!$E$6:$E$4999,'Charges to party by investment'!$C34)</f>
        <v>0</v>
      </c>
      <c r="AF34" s="221">
        <f>SUMIFS('Rev Adequacy'!$G$6:$G$4999,'Rev Adequacy'!$B$6:$B$4999,'Charges to party by investment'!AF$4,'Rev Adequacy'!$E$6:$E$4999,'Charges to party by investment'!$C34)</f>
        <v>0</v>
      </c>
      <c r="AG34" s="221">
        <f>SUMIFS('Rev Adequacy'!$G$6:$G$4999,'Rev Adequacy'!$B$6:$B$4999,'Charges to party by investment'!AG$4,'Rev Adequacy'!$E$6:$E$4999,'Charges to party by investment'!$C34)</f>
        <v>0</v>
      </c>
      <c r="AH34" s="221">
        <f>SUMIFS('Rev Adequacy'!$G$6:$G$4999,'Rev Adequacy'!$B$6:$B$4999,'Charges to party by investment'!AH$4,'Rev Adequacy'!$E$6:$E$4999,'Charges to party by investment'!$C34)</f>
        <v>0</v>
      </c>
      <c r="AJ34" s="190" t="str">
        <f>'Charges as $M per year'!A29</f>
        <v>Waipa Power</v>
      </c>
      <c r="AK34" s="215" t="str">
        <f t="shared" si="9"/>
        <v>Waipa Power</v>
      </c>
      <c r="AL34" s="216">
        <f t="shared" ca="1" si="10"/>
        <v>1.4879680527165906</v>
      </c>
      <c r="AM34" s="216">
        <f>SUMIF('Rev Adequacy'!$BF$27:$BF$257,'Charges to party by investment'!AK34,'Rev Adequacy'!$BJ$27:$BJ$257)</f>
        <v>2.7526065629080181</v>
      </c>
      <c r="AN34" s="216">
        <f>VLOOKUP(AK34,Connection!$X$5:$AB$55,5,0)/1000000</f>
        <v>1.6865973000000007</v>
      </c>
      <c r="AO34" s="216">
        <v>3.9695164666476254E-2</v>
      </c>
      <c r="AP34" s="217">
        <f t="shared" ca="1" si="11"/>
        <v>0.2555625633246747</v>
      </c>
      <c r="AQ34" s="217">
        <f t="shared" si="12"/>
        <v>9.0286111284508825E-3</v>
      </c>
      <c r="AR34" s="274">
        <f t="shared" si="2"/>
        <v>1.6973788921487658</v>
      </c>
      <c r="AS34" s="217"/>
      <c r="AT34" s="277">
        <f t="shared" si="13"/>
        <v>4.4499854550567841</v>
      </c>
      <c r="AU34" s="274">
        <f t="shared" ca="1" si="14"/>
        <v>5.9776486724398508</v>
      </c>
      <c r="AV34" s="217"/>
      <c r="AW34" s="215" t="s">
        <v>38</v>
      </c>
      <c r="AX34" s="216">
        <f>SUMIF('Rev Adequacy'!$BF$27:$BF$257,'Charges to party by investment'!AK34,'Rev Adequacy'!$BK$27:$BK$257)</f>
        <v>3.0175377550147089</v>
      </c>
      <c r="AY34" s="216">
        <f>SUMIF('Rev Adequacy'!$BF$27:$BF$257,'Charges to party by investment'!AK34,'Rev Adequacy'!$BL$27:$BL$257)</f>
        <v>3.1941585497525029</v>
      </c>
      <c r="AZ34" s="279">
        <f t="shared" si="3"/>
        <v>9.0286111284508825E-3</v>
      </c>
      <c r="BA34" s="280">
        <f t="shared" ca="1" si="4"/>
        <v>9.4334851669813369E-3</v>
      </c>
      <c r="BX34" s="115" t="str">
        <f t="shared" si="15"/>
        <v>Waipa Power</v>
      </c>
      <c r="BY34" s="286">
        <f t="shared" ca="1" si="5"/>
        <v>1.4879680527165906</v>
      </c>
      <c r="BZ34" s="286">
        <f t="shared" si="6"/>
        <v>2.7526065629080181</v>
      </c>
      <c r="CA34" s="286">
        <f t="shared" si="7"/>
        <v>3.9695164666476254E-2</v>
      </c>
      <c r="CB34" s="286">
        <f t="shared" si="8"/>
        <v>1.6973788921487658</v>
      </c>
      <c r="CC34" s="286">
        <f t="shared" ca="1" si="16"/>
        <v>5.9776486724398508</v>
      </c>
    </row>
    <row r="35" spans="3:81" x14ac:dyDescent="0.25">
      <c r="C35" s="56" t="s">
        <v>39</v>
      </c>
      <c r="D35" s="15"/>
      <c r="F35" s="221">
        <f ca="1">SUMIF('Rev Adequacy'!$AH$22:$AH$652,'Charges to party by investment'!C35,'Rev Adequacy'!$AL$22:$AL$652)</f>
        <v>0</v>
      </c>
      <c r="G35" s="221">
        <f ca="1">SUMIF('Rev Adequacy'!$AH$22:$AH$652,'Charges to party by investment'!$C35,'Rev Adequacy'!AM$22:AM$652)</f>
        <v>0</v>
      </c>
      <c r="H35" s="221">
        <f ca="1">SUMIF('Rev Adequacy'!$AH$22:$AH$652,'Charges to party by investment'!$C35,'Rev Adequacy'!AN$22:AN$652)</f>
        <v>0</v>
      </c>
      <c r="I35" s="221">
        <f ca="1">SUMIF('Rev Adequacy'!$AH$22:$AH$652,'Charges to party by investment'!$C35,'Rev Adequacy'!AO$22:AO$652)</f>
        <v>0</v>
      </c>
      <c r="J35" s="221">
        <f>SUMIF('Rev Adequacy'!$AH$22:$AH$652,'Charges to party by investment'!$C35,'Rev Adequacy'!AP$22:AP$652)</f>
        <v>0</v>
      </c>
      <c r="K35" s="221">
        <f ca="1">SUMIF('Rev Adequacy'!$AH$22:$AH$652,'Charges to party by investment'!$C35,'Rev Adequacy'!AQ$22:AQ$652)</f>
        <v>0</v>
      </c>
      <c r="L35" s="221">
        <f ca="1">SUMIF('Rev Adequacy'!$AH$22:$AH$652,'Charges to party by investment'!$C35,'Rev Adequacy'!AR$22:AR$652)</f>
        <v>3.6755001595216041E-5</v>
      </c>
      <c r="M35" s="221">
        <f>SUMIF('Rev Adequacy'!$AH$22:$AH$652,'Charges to party by investment'!$C35,'Rev Adequacy'!AS$22:AS$652)</f>
        <v>0</v>
      </c>
      <c r="N35" s="221">
        <f ca="1">SUMIF('Rev Adequacy'!$AH$22:$AH$652,'Charges to party by investment'!$C35,'Rev Adequacy'!AT$22:AT$652)</f>
        <v>0</v>
      </c>
      <c r="O35" s="221">
        <f ca="1">SUMIF('Rev Adequacy'!$AH$22:$AH$652,'Charges to party by investment'!$C35,'Rev Adequacy'!AU$22:AU$652)</f>
        <v>1.6951486227764852E-5</v>
      </c>
      <c r="P35" s="221">
        <f ca="1">SUMIF('Rev Adequacy'!$AH$22:$AH$652,'Charges to party by investment'!$C35,'Rev Adequacy'!AV$22:AV$652)</f>
        <v>0</v>
      </c>
      <c r="Q35" s="221">
        <f>SUMIF('Rev Adequacy'!$AH$22:$AH$652,'Charges to party by investment'!$C35,'Rev Adequacy'!AW$22:AW$652)</f>
        <v>0</v>
      </c>
      <c r="R35" s="221">
        <f>SUMIF('Rev Adequacy'!$AH$22:$AH$652,'Charges to party by investment'!$C35,'Rev Adequacy'!AX$22:AX$652)</f>
        <v>0</v>
      </c>
      <c r="S35" s="15"/>
      <c r="T35" s="15"/>
      <c r="V35" s="221">
        <f ca="1">SUMIFS('Rev Adequacy'!$G$6:$G$4999,'Rev Adequacy'!$B$6:$B$4999,'Charges to party by investment'!V$4,'Rev Adequacy'!$E$6:$E$4999,'Charges to party by investment'!$C35)*V$5/V$6</f>
        <v>0.70865617270655268</v>
      </c>
      <c r="W35" s="221">
        <f ca="1">SUMIFS('Rev Adequacy'!$G$6:$G$4999,'Rev Adequacy'!$B$6:$B$4999,'Charges to party by investment'!W$4,'Rev Adequacy'!$E$6:$E$4999,'Charges to party by investment'!$C35)*W$5/W$6</f>
        <v>1.606042654819557</v>
      </c>
      <c r="X35" s="221">
        <f ca="1">SUMIFS('Rev Adequacy'!$G$6:$G$4999,'Rev Adequacy'!$B$6:$B$4999,'Charges to party by investment'!X$4,'Rev Adequacy'!$E$6:$E$4999,'Charges to party by investment'!$C35)*X$5/X$6</f>
        <v>1.8931444246997806</v>
      </c>
      <c r="Y35" s="221">
        <f ca="1">SUMIFS('Rev Adequacy'!$G$6:$G$4999,'Rev Adequacy'!$B$6:$B$4999,'Charges to party by investment'!Y$4,'Rev Adequacy'!$E$6:$E$4999,'Charges to party by investment'!$C35)*Y$5/Y$6</f>
        <v>0.54307078800000042</v>
      </c>
      <c r="Z35" s="221">
        <f ca="1">SUMIFS('Rev Adequacy'!$G$6:$G$4999,'Rev Adequacy'!$B$6:$B$4999,'Charges to party by investment'!Z$4,'Rev Adequacy'!$E$6:$E$4999,'Charges to party by investment'!$C35)*Z$5/Z$6</f>
        <v>1.3552714408611903E-3</v>
      </c>
      <c r="AA35" s="221">
        <f ca="1">SUMIFS('Rev Adequacy'!$G$6:$G$4999,'Rev Adequacy'!$B$6:$B$4999,'Charges to party by investment'!AA$4,'Rev Adequacy'!$E$6:$E$4999,'Charges to party by investment'!$C35)*AA$5/AA$6</f>
        <v>0.69622210917659844</v>
      </c>
      <c r="AB35" s="221">
        <f>SUMIFS('Rev Adequacy'!$G$6:$G$4999,'Rev Adequacy'!$B$6:$B$4999,'Charges to party by investment'!AB$4,'Rev Adequacy'!$E$6:$E$4999,'Charges to party by investment'!$C35)</f>
        <v>0</v>
      </c>
      <c r="AC35" s="221">
        <f>SUMIFS('Rev Adequacy'!$G$6:$G$4999,'Rev Adequacy'!$B$6:$B$4999,'Charges to party by investment'!AC$4,'Rev Adequacy'!$E$6:$E$4999,'Charges to party by investment'!$C35)</f>
        <v>0</v>
      </c>
      <c r="AD35" s="221">
        <f>SUMIFS('Rev Adequacy'!$G$6:$G$4999,'Rev Adequacy'!$B$6:$B$4999,'Charges to party by investment'!AD$4,'Rev Adequacy'!$E$6:$E$4999,'Charges to party by investment'!$C35)</f>
        <v>0</v>
      </c>
      <c r="AE35" s="221">
        <f>SUMIFS('Rev Adequacy'!$G$6:$G$4999,'Rev Adequacy'!$B$6:$B$4999,'Charges to party by investment'!AE$4,'Rev Adequacy'!$E$6:$E$4999,'Charges to party by investment'!$C35)</f>
        <v>0</v>
      </c>
      <c r="AF35" s="221">
        <f>SUMIFS('Rev Adequacy'!$G$6:$G$4999,'Rev Adequacy'!$B$6:$B$4999,'Charges to party by investment'!AF$4,'Rev Adequacy'!$E$6:$E$4999,'Charges to party by investment'!$C35)</f>
        <v>0</v>
      </c>
      <c r="AG35" s="221">
        <f>SUMIFS('Rev Adequacy'!$G$6:$G$4999,'Rev Adequacy'!$B$6:$B$4999,'Charges to party by investment'!AG$4,'Rev Adequacy'!$E$6:$E$4999,'Charges to party by investment'!$C35)</f>
        <v>0</v>
      </c>
      <c r="AH35" s="221">
        <f>SUMIFS('Rev Adequacy'!$G$6:$G$4999,'Rev Adequacy'!$B$6:$B$4999,'Charges to party by investment'!AH$4,'Rev Adequacy'!$E$6:$E$4999,'Charges to party by investment'!$C35)</f>
        <v>0</v>
      </c>
      <c r="AJ35" s="190" t="str">
        <f>'Charges as $M per year'!A30</f>
        <v>WEL Networks</v>
      </c>
      <c r="AK35" s="215" t="str">
        <f t="shared" si="9"/>
        <v>WEL</v>
      </c>
      <c r="AL35" s="216">
        <f t="shared" ca="1" si="10"/>
        <v>5.4485451273311725</v>
      </c>
      <c r="AM35" s="216">
        <f>SUMIF('Rev Adequacy'!$BF$27:$BF$257,'Charges to party by investment'!AK35,'Rev Adequacy'!$BJ$27:$BJ$257)</f>
        <v>10.2276220602783</v>
      </c>
      <c r="AN35" s="216">
        <f>VLOOKUP(AK35,Connection!$X$5:$AB$55,5,0)/1000000</f>
        <v>1.3707663100000005</v>
      </c>
      <c r="AO35" s="216">
        <v>0.1483159250255697</v>
      </c>
      <c r="AP35" s="217">
        <f t="shared" ca="1" si="11"/>
        <v>0.25289360937482602</v>
      </c>
      <c r="AQ35" s="217">
        <f t="shared" si="12"/>
        <v>3.3546829247352958E-2</v>
      </c>
      <c r="AR35" s="274">
        <f t="shared" si="2"/>
        <v>6.3068038985023565</v>
      </c>
      <c r="AS35" s="217"/>
      <c r="AT35" s="277">
        <f t="shared" si="13"/>
        <v>16.534425958780655</v>
      </c>
      <c r="AU35" s="274">
        <f t="shared" ca="1" si="14"/>
        <v>22.131287011137399</v>
      </c>
      <c r="AV35" s="217"/>
      <c r="AW35" s="215" t="s">
        <v>39</v>
      </c>
      <c r="AX35" s="216">
        <f>SUMIF('Rev Adequacy'!$BF$27:$BF$257,'Charges to party by investment'!AK35,'Rev Adequacy'!$BK$27:$BK$257)</f>
        <v>11.212003969904941</v>
      </c>
      <c r="AY35" s="216">
        <f>SUMIF('Rev Adequacy'!$BF$27:$BF$257,'Charges to party by investment'!AK35,'Rev Adequacy'!$BL$27:$BL$257)</f>
        <v>11.868258576322702</v>
      </c>
      <c r="AZ35" s="279">
        <f t="shared" si="3"/>
        <v>3.3546829247352958E-2</v>
      </c>
      <c r="BA35" s="280">
        <f t="shared" ca="1" si="4"/>
        <v>2.718530984321153E-2</v>
      </c>
      <c r="BX35" s="115" t="str">
        <f t="shared" si="15"/>
        <v>WEL</v>
      </c>
      <c r="BY35" s="286">
        <f t="shared" ca="1" si="5"/>
        <v>5.4485451273311725</v>
      </c>
      <c r="BZ35" s="286">
        <f t="shared" si="6"/>
        <v>10.2276220602783</v>
      </c>
      <c r="CA35" s="286">
        <f t="shared" si="7"/>
        <v>0.1483159250255697</v>
      </c>
      <c r="CB35" s="286">
        <f t="shared" si="8"/>
        <v>6.3068038985023565</v>
      </c>
      <c r="CC35" s="286">
        <f t="shared" ca="1" si="16"/>
        <v>22.131287011137399</v>
      </c>
    </row>
    <row r="36" spans="3:81" x14ac:dyDescent="0.25">
      <c r="C36" s="56" t="s">
        <v>40</v>
      </c>
      <c r="D36" s="15"/>
      <c r="F36" s="221">
        <f ca="1">SUMIF('Rev Adequacy'!$AH$22:$AH$652,'Charges to party by investment'!C36,'Rev Adequacy'!$AL$22:$AL$652)</f>
        <v>0</v>
      </c>
      <c r="G36" s="221">
        <f ca="1">SUMIF('Rev Adequacy'!$AH$22:$AH$652,'Charges to party by investment'!$C36,'Rev Adequacy'!AM$22:AM$652)</f>
        <v>0</v>
      </c>
      <c r="H36" s="221">
        <f ca="1">SUMIF('Rev Adequacy'!$AH$22:$AH$652,'Charges to party by investment'!$C36,'Rev Adequacy'!AN$22:AN$652)</f>
        <v>0</v>
      </c>
      <c r="I36" s="221">
        <f ca="1">SUMIF('Rev Adequacy'!$AH$22:$AH$652,'Charges to party by investment'!$C36,'Rev Adequacy'!AO$22:AO$652)</f>
        <v>0</v>
      </c>
      <c r="J36" s="221">
        <f>SUMIF('Rev Adequacy'!$AH$22:$AH$652,'Charges to party by investment'!$C36,'Rev Adequacy'!AP$22:AP$652)</f>
        <v>0</v>
      </c>
      <c r="K36" s="221">
        <f ca="1">SUMIF('Rev Adequacy'!$AH$22:$AH$652,'Charges to party by investment'!$C36,'Rev Adequacy'!AQ$22:AQ$652)</f>
        <v>0</v>
      </c>
      <c r="L36" s="221">
        <f ca="1">SUMIF('Rev Adequacy'!$AH$22:$AH$652,'Charges to party by investment'!$C36,'Rev Adequacy'!AR$22:AR$652)</f>
        <v>0</v>
      </c>
      <c r="M36" s="221">
        <f>SUMIF('Rev Adequacy'!$AH$22:$AH$652,'Charges to party by investment'!$C36,'Rev Adequacy'!AS$22:AS$652)</f>
        <v>0</v>
      </c>
      <c r="N36" s="221">
        <f ca="1">SUMIF('Rev Adequacy'!$AH$22:$AH$652,'Charges to party by investment'!$C36,'Rev Adequacy'!AT$22:AT$652)</f>
        <v>0</v>
      </c>
      <c r="O36" s="221">
        <f ca="1">SUMIF('Rev Adequacy'!$AH$22:$AH$652,'Charges to party by investment'!$C36,'Rev Adequacy'!AU$22:AU$652)</f>
        <v>0</v>
      </c>
      <c r="P36" s="221">
        <f ca="1">SUMIF('Rev Adequacy'!$AH$22:$AH$652,'Charges to party by investment'!$C36,'Rev Adequacy'!AV$22:AV$652)</f>
        <v>0</v>
      </c>
      <c r="Q36" s="221">
        <f>SUMIF('Rev Adequacy'!$AH$22:$AH$652,'Charges to party by investment'!$C36,'Rev Adequacy'!AW$22:AW$652)</f>
        <v>0</v>
      </c>
      <c r="R36" s="221">
        <f>SUMIF('Rev Adequacy'!$AH$22:$AH$652,'Charges to party by investment'!$C36,'Rev Adequacy'!AX$22:AX$652)</f>
        <v>0</v>
      </c>
      <c r="S36" s="15"/>
      <c r="T36" s="15"/>
      <c r="V36" s="221">
        <f ca="1">SUMIFS('Rev Adequacy'!$G$6:$G$4999,'Rev Adequacy'!$B$6:$B$4999,'Charges to party by investment'!V$4,'Rev Adequacy'!$E$6:$E$4999,'Charges to party by investment'!$C36)*V$5/V$6</f>
        <v>9.7855385112180643E-3</v>
      </c>
      <c r="W36" s="221">
        <f ca="1">SUMIFS('Rev Adequacy'!$G$6:$G$4999,'Rev Adequacy'!$B$6:$B$4999,'Charges to party by investment'!W$4,'Rev Adequacy'!$E$6:$E$4999,'Charges to party by investment'!$C36)*W$5/W$6</f>
        <v>3.5651443042189217</v>
      </c>
      <c r="X36" s="221">
        <f ca="1">SUMIFS('Rev Adequacy'!$G$6:$G$4999,'Rev Adequacy'!$B$6:$B$4999,'Charges to party by investment'!X$4,'Rev Adequacy'!$E$6:$E$4999,'Charges to party by investment'!$C36)*X$5/X$6</f>
        <v>3.9823455692715997</v>
      </c>
      <c r="Y36" s="221">
        <f ca="1">SUMIFS('Rev Adequacy'!$G$6:$G$4999,'Rev Adequacy'!$B$6:$B$4999,'Charges to party by investment'!Y$4,'Rev Adequacy'!$E$6:$E$4999,'Charges to party by investment'!$C36)*Y$5/Y$6</f>
        <v>0.95099658100000228</v>
      </c>
      <c r="Z36" s="221">
        <f ca="1">SUMIFS('Rev Adequacy'!$G$6:$G$4999,'Rev Adequacy'!$B$6:$B$4999,'Charges to party by investment'!Z$4,'Rev Adequacy'!$E$6:$E$4999,'Charges to party by investment'!$C36)*Z$5/Z$6</f>
        <v>5.1846870454497153E-4</v>
      </c>
      <c r="AA36" s="221">
        <f ca="1">SUMIFS('Rev Adequacy'!$G$6:$G$4999,'Rev Adequacy'!$B$6:$B$4999,'Charges to party by investment'!AA$4,'Rev Adequacy'!$E$6:$E$4999,'Charges to party by investment'!$C36)*AA$5/AA$6</f>
        <v>0.67479083916387061</v>
      </c>
      <c r="AB36" s="221">
        <f>SUMIFS('Rev Adequacy'!$G$6:$G$4999,'Rev Adequacy'!$B$6:$B$4999,'Charges to party by investment'!AB$4,'Rev Adequacy'!$E$6:$E$4999,'Charges to party by investment'!$C36)</f>
        <v>0</v>
      </c>
      <c r="AC36" s="221">
        <f>SUMIFS('Rev Adequacy'!$G$6:$G$4999,'Rev Adequacy'!$B$6:$B$4999,'Charges to party by investment'!AC$4,'Rev Adequacy'!$E$6:$E$4999,'Charges to party by investment'!$C36)</f>
        <v>0</v>
      </c>
      <c r="AD36" s="221">
        <f>SUMIFS('Rev Adequacy'!$G$6:$G$4999,'Rev Adequacy'!$B$6:$B$4999,'Charges to party by investment'!AD$4,'Rev Adequacy'!$E$6:$E$4999,'Charges to party by investment'!$C36)</f>
        <v>0</v>
      </c>
      <c r="AE36" s="221">
        <f>SUMIFS('Rev Adequacy'!$G$6:$G$4999,'Rev Adequacy'!$B$6:$B$4999,'Charges to party by investment'!AE$4,'Rev Adequacy'!$E$6:$E$4999,'Charges to party by investment'!$C36)</f>
        <v>0</v>
      </c>
      <c r="AF36" s="221">
        <f>SUMIFS('Rev Adequacy'!$G$6:$G$4999,'Rev Adequacy'!$B$6:$B$4999,'Charges to party by investment'!AF$4,'Rev Adequacy'!$E$6:$E$4999,'Charges to party by investment'!$C36)</f>
        <v>0</v>
      </c>
      <c r="AG36" s="221">
        <f>SUMIFS('Rev Adequacy'!$G$6:$G$4999,'Rev Adequacy'!$B$6:$B$4999,'Charges to party by investment'!AG$4,'Rev Adequacy'!$E$6:$E$4999,'Charges to party by investment'!$C36)</f>
        <v>0</v>
      </c>
      <c r="AH36" s="221">
        <f>SUMIFS('Rev Adequacy'!$G$6:$G$4999,'Rev Adequacy'!$B$6:$B$4999,'Charges to party by investment'!AH$4,'Rev Adequacy'!$E$6:$E$4999,'Charges to party by investment'!$C36)</f>
        <v>0</v>
      </c>
      <c r="AJ36" s="190" t="str">
        <f>'Charges as $M per year'!A31</f>
        <v>Wellington Electricity</v>
      </c>
      <c r="AK36" s="215" t="str">
        <f t="shared" si="9"/>
        <v>Wellington Electricity</v>
      </c>
      <c r="AL36" s="216">
        <f t="shared" ca="1" si="10"/>
        <v>9.1835813008701574</v>
      </c>
      <c r="AM36" s="216">
        <f>SUMIF('Rev Adequacy'!$BF$27:$BF$257,'Charges to party by investment'!AK36,'Rev Adequacy'!$BJ$27:$BJ$257)</f>
        <v>20.942156532291463</v>
      </c>
      <c r="AN36" s="216">
        <f>VLOOKUP(AK36,Connection!$X$5:$AB$55,5,0)/1000000</f>
        <v>7.8649419500000022</v>
      </c>
      <c r="AO36" s="216">
        <v>0.14501675933018252</v>
      </c>
      <c r="AP36" s="217">
        <f t="shared" ca="1" si="11"/>
        <v>0.21601670532331385</v>
      </c>
      <c r="AQ36" s="217">
        <f t="shared" si="12"/>
        <v>6.869074210207983E-2</v>
      </c>
      <c r="AR36" s="274">
        <f t="shared" si="2"/>
        <v>12.913859515191008</v>
      </c>
      <c r="AS36" s="217"/>
      <c r="AT36" s="277">
        <f t="shared" si="13"/>
        <v>33.85601604748247</v>
      </c>
      <c r="AU36" s="274">
        <f t="shared" ca="1" si="14"/>
        <v>43.184614107682812</v>
      </c>
      <c r="AV36" s="217"/>
      <c r="AW36" s="215" t="s">
        <v>40</v>
      </c>
      <c r="AX36" s="216">
        <f>SUMIF('Rev Adequacy'!$BF$27:$BF$257,'Charges to party by investment'!AK36,'Rev Adequacy'!$BK$27:$BK$257)</f>
        <v>22.957784399400602</v>
      </c>
      <c r="AY36" s="216">
        <f>SUMIF('Rev Adequacy'!$BF$27:$BF$257,'Charges to party by investment'!AK36,'Rev Adequacy'!$BL$27:$BL$257)</f>
        <v>24.301536310806693</v>
      </c>
      <c r="AZ36" s="279">
        <f t="shared" si="3"/>
        <v>6.869074210207983E-2</v>
      </c>
      <c r="BA36" s="280">
        <f t="shared" ca="1" si="4"/>
        <v>6.029169459034571E-2</v>
      </c>
      <c r="BX36" s="115" t="str">
        <f t="shared" si="15"/>
        <v>Wellington Electricity</v>
      </c>
      <c r="BY36" s="286">
        <f t="shared" ca="1" si="5"/>
        <v>9.1835813008701574</v>
      </c>
      <c r="BZ36" s="286">
        <f t="shared" si="6"/>
        <v>20.942156532291463</v>
      </c>
      <c r="CA36" s="286">
        <f t="shared" si="7"/>
        <v>0.14501675933018252</v>
      </c>
      <c r="CB36" s="286">
        <f t="shared" si="8"/>
        <v>12.913859515191008</v>
      </c>
      <c r="CC36" s="286">
        <f t="shared" ca="1" si="16"/>
        <v>43.184614107682812</v>
      </c>
    </row>
    <row r="37" spans="3:81" x14ac:dyDescent="0.25">
      <c r="C37" s="56" t="s">
        <v>41</v>
      </c>
      <c r="D37" s="15"/>
      <c r="F37" s="221">
        <f ca="1">SUMIF('Rev Adequacy'!$AH$22:$AH$652,'Charges to party by investment'!C37,'Rev Adequacy'!$AL$22:$AL$652)</f>
        <v>0</v>
      </c>
      <c r="G37" s="221">
        <f ca="1">SUMIF('Rev Adequacy'!$AH$22:$AH$652,'Charges to party by investment'!$C37,'Rev Adequacy'!AM$22:AM$652)</f>
        <v>0</v>
      </c>
      <c r="H37" s="221">
        <f ca="1">SUMIF('Rev Adequacy'!$AH$22:$AH$652,'Charges to party by investment'!$C37,'Rev Adequacy'!AN$22:AN$652)</f>
        <v>0</v>
      </c>
      <c r="I37" s="221">
        <f ca="1">SUMIF('Rev Adequacy'!$AH$22:$AH$652,'Charges to party by investment'!$C37,'Rev Adequacy'!AO$22:AO$652)</f>
        <v>0</v>
      </c>
      <c r="J37" s="221">
        <f>SUMIF('Rev Adequacy'!$AH$22:$AH$652,'Charges to party by investment'!$C37,'Rev Adequacy'!AP$22:AP$652)</f>
        <v>0</v>
      </c>
      <c r="K37" s="221">
        <f ca="1">SUMIF('Rev Adequacy'!$AH$22:$AH$652,'Charges to party by investment'!$C37,'Rev Adequacy'!AQ$22:AQ$652)</f>
        <v>0</v>
      </c>
      <c r="L37" s="221">
        <f ca="1">SUMIF('Rev Adequacy'!$AH$22:$AH$652,'Charges to party by investment'!$C37,'Rev Adequacy'!AR$22:AR$652)</f>
        <v>0</v>
      </c>
      <c r="M37" s="221">
        <f>SUMIF('Rev Adequacy'!$AH$22:$AH$652,'Charges to party by investment'!$C37,'Rev Adequacy'!AS$22:AS$652)</f>
        <v>0</v>
      </c>
      <c r="N37" s="221">
        <f ca="1">SUMIF('Rev Adequacy'!$AH$22:$AH$652,'Charges to party by investment'!$C37,'Rev Adequacy'!AT$22:AT$652)</f>
        <v>0.21241245446442789</v>
      </c>
      <c r="O37" s="221">
        <f ca="1">SUMIF('Rev Adequacy'!$AH$22:$AH$652,'Charges to party by investment'!$C37,'Rev Adequacy'!AU$22:AU$652)</f>
        <v>0</v>
      </c>
      <c r="P37" s="221">
        <f ca="1">SUMIF('Rev Adequacy'!$AH$22:$AH$652,'Charges to party by investment'!$C37,'Rev Adequacy'!AV$22:AV$652)</f>
        <v>0</v>
      </c>
      <c r="Q37" s="221">
        <f>SUMIF('Rev Adequacy'!$AH$22:$AH$652,'Charges to party by investment'!$C37,'Rev Adequacy'!AW$22:AW$652)</f>
        <v>0</v>
      </c>
      <c r="R37" s="221">
        <f>SUMIF('Rev Adequacy'!$AH$22:$AH$652,'Charges to party by investment'!$C37,'Rev Adequacy'!AX$22:AX$652)</f>
        <v>0</v>
      </c>
      <c r="S37" s="15"/>
      <c r="T37" s="15"/>
      <c r="V37" s="221">
        <f ca="1">SUMIFS('Rev Adequacy'!$G$6:$G$4999,'Rev Adequacy'!$B$6:$B$4999,'Charges to party by investment'!V$4,'Rev Adequacy'!$E$6:$E$4999,'Charges to party by investment'!$C37)*V$5/V$6</f>
        <v>3.4605703731419531E-2</v>
      </c>
      <c r="W37" s="221">
        <f ca="1">SUMIFS('Rev Adequacy'!$G$6:$G$4999,'Rev Adequacy'!$B$6:$B$4999,'Charges to party by investment'!W$4,'Rev Adequacy'!$E$6:$E$4999,'Charges to party by investment'!$C37)*W$5/W$6</f>
        <v>0</v>
      </c>
      <c r="X37" s="221">
        <f ca="1">SUMIFS('Rev Adequacy'!$G$6:$G$4999,'Rev Adequacy'!$B$6:$B$4999,'Charges to party by investment'!X$4,'Rev Adequacy'!$E$6:$E$4999,'Charges to party by investment'!$C37)*X$5/X$6</f>
        <v>0</v>
      </c>
      <c r="Y37" s="221">
        <f ca="1">SUMIFS('Rev Adequacy'!$G$6:$G$4999,'Rev Adequacy'!$B$6:$B$4999,'Charges to party by investment'!Y$4,'Rev Adequacy'!$E$6:$E$4999,'Charges to party by investment'!$C37)*Y$5/Y$6</f>
        <v>5.9326363999998598E-2</v>
      </c>
      <c r="Z37" s="221">
        <f ca="1">SUMIFS('Rev Adequacy'!$G$6:$G$4999,'Rev Adequacy'!$B$6:$B$4999,'Charges to party by investment'!Z$4,'Rev Adequacy'!$E$6:$E$4999,'Charges to party by investment'!$C37)*Z$5/Z$6</f>
        <v>2.9090806512141944E-2</v>
      </c>
      <c r="AA37" s="221">
        <f ca="1">SUMIFS('Rev Adequacy'!$G$6:$G$4999,'Rev Adequacy'!$B$6:$B$4999,'Charges to party by investment'!AA$4,'Rev Adequacy'!$E$6:$E$4999,'Charges to party by investment'!$C37)*AA$5/AA$6</f>
        <v>5.0194938396440431E-2</v>
      </c>
      <c r="AB37" s="221">
        <f>SUMIFS('Rev Adequacy'!$G$6:$G$4999,'Rev Adequacy'!$B$6:$B$4999,'Charges to party by investment'!AB$4,'Rev Adequacy'!$E$6:$E$4999,'Charges to party by investment'!$C37)</f>
        <v>0</v>
      </c>
      <c r="AC37" s="221">
        <f>SUMIFS('Rev Adequacy'!$G$6:$G$4999,'Rev Adequacy'!$B$6:$B$4999,'Charges to party by investment'!AC$4,'Rev Adequacy'!$E$6:$E$4999,'Charges to party by investment'!$C37)</f>
        <v>0</v>
      </c>
      <c r="AD37" s="221">
        <f>SUMIFS('Rev Adequacy'!$G$6:$G$4999,'Rev Adequacy'!$B$6:$B$4999,'Charges to party by investment'!AD$4,'Rev Adequacy'!$E$6:$E$4999,'Charges to party by investment'!$C37)</f>
        <v>0</v>
      </c>
      <c r="AE37" s="221">
        <f>SUMIFS('Rev Adequacy'!$G$6:$G$4999,'Rev Adequacy'!$B$6:$B$4999,'Charges to party by investment'!AE$4,'Rev Adequacy'!$E$6:$E$4999,'Charges to party by investment'!$C37)</f>
        <v>0</v>
      </c>
      <c r="AF37" s="221">
        <f>SUMIFS('Rev Adequacy'!$G$6:$G$4999,'Rev Adequacy'!$B$6:$B$4999,'Charges to party by investment'!AF$4,'Rev Adequacy'!$E$6:$E$4999,'Charges to party by investment'!$C37)</f>
        <v>0</v>
      </c>
      <c r="AG37" s="221">
        <f>SUMIFS('Rev Adequacy'!$G$6:$G$4999,'Rev Adequacy'!$B$6:$B$4999,'Charges to party by investment'!AG$4,'Rev Adequacy'!$E$6:$E$4999,'Charges to party by investment'!$C37)</f>
        <v>0</v>
      </c>
      <c r="AH37" s="221">
        <f>SUMIFS('Rev Adequacy'!$G$6:$G$4999,'Rev Adequacy'!$B$6:$B$4999,'Charges to party by investment'!AH$4,'Rev Adequacy'!$E$6:$E$4999,'Charges to party by investment'!$C37)</f>
        <v>0</v>
      </c>
      <c r="AJ37" s="190" t="str">
        <f>'Charges as $M per year'!A32</f>
        <v>Westpower</v>
      </c>
      <c r="AK37" s="215" t="str">
        <f t="shared" si="9"/>
        <v>Westpower</v>
      </c>
      <c r="AL37" s="216">
        <f t="shared" ca="1" si="10"/>
        <v>0.38563026710442838</v>
      </c>
      <c r="AM37" s="216">
        <f>SUMIF('Rev Adequacy'!$BF$27:$BF$257,'Charges to party by investment'!AK37,'Rev Adequacy'!$BJ$27:$BJ$257)</f>
        <v>2.6438568238900286</v>
      </c>
      <c r="AN37" s="216">
        <f>VLOOKUP(AK37,Connection!$X$5:$AB$55,5,0)/1000000</f>
        <v>0.59358858999999986</v>
      </c>
      <c r="AO37" s="216">
        <v>0</v>
      </c>
      <c r="AP37" s="217">
        <f t="shared" ca="1" si="11"/>
        <v>8.2756719902888673E-2</v>
      </c>
      <c r="AQ37" s="217">
        <f t="shared" si="12"/>
        <v>8.6719095507010076E-3</v>
      </c>
      <c r="AR37" s="274">
        <f t="shared" si="2"/>
        <v>1.6303189955317894</v>
      </c>
      <c r="AS37" s="217"/>
      <c r="AT37" s="277">
        <f t="shared" si="13"/>
        <v>4.274175819421818</v>
      </c>
      <c r="AU37" s="274">
        <f t="shared" ca="1" si="14"/>
        <v>4.6598060865262463</v>
      </c>
      <c r="AV37" s="217"/>
      <c r="AW37" s="215" t="s">
        <v>41</v>
      </c>
      <c r="AX37" s="216">
        <f>SUMIF('Rev Adequacy'!$BF$27:$BF$257,'Charges to party by investment'!AK37,'Rev Adequacy'!$BK$27:$BK$257)</f>
        <v>2.8983211376612665</v>
      </c>
      <c r="AY37" s="216">
        <f>SUMIF('Rev Adequacy'!$BF$27:$BF$257,'Charges to party by investment'!AK37,'Rev Adequacy'!$BL$27:$BL$257)</f>
        <v>3.067964013508758</v>
      </c>
      <c r="AZ37" s="279">
        <f t="shared" si="3"/>
        <v>8.6719095507010076E-3</v>
      </c>
      <c r="BA37" s="280">
        <f t="shared" ca="1" si="4"/>
        <v>5.7280026914634536E-3</v>
      </c>
      <c r="BX37" s="115" t="str">
        <f t="shared" si="15"/>
        <v>Westpower</v>
      </c>
      <c r="BY37" s="286">
        <f t="shared" ca="1" si="5"/>
        <v>0.38563026710442838</v>
      </c>
      <c r="BZ37" s="286">
        <f t="shared" si="6"/>
        <v>2.6438568238900286</v>
      </c>
      <c r="CA37" s="286">
        <f t="shared" si="7"/>
        <v>0</v>
      </c>
      <c r="CB37" s="286">
        <f t="shared" si="8"/>
        <v>1.6303189955317894</v>
      </c>
      <c r="CC37" s="286">
        <f t="shared" ca="1" si="16"/>
        <v>4.6598060865262463</v>
      </c>
    </row>
    <row r="38" spans="3:81" x14ac:dyDescent="0.25">
      <c r="C38" s="103" t="s">
        <v>88</v>
      </c>
      <c r="D38" s="15"/>
      <c r="F38" s="221">
        <f>SUMIF('Rev Adequacy'!$AH$22:$AH$652,'Charges to party by investment'!C38,'Rev Adequacy'!$AL$22:$AL$652)</f>
        <v>0</v>
      </c>
      <c r="G38" s="221">
        <f>SUMIF('Rev Adequacy'!$AH$22:$AH$652,'Charges to party by investment'!$C38,'Rev Adequacy'!AM$22:AM$652)</f>
        <v>0</v>
      </c>
      <c r="H38" s="221">
        <f>SUMIF('Rev Adequacy'!$AH$22:$AH$652,'Charges to party by investment'!$C38,'Rev Adequacy'!AN$22:AN$652)</f>
        <v>0</v>
      </c>
      <c r="I38" s="221">
        <f>SUMIF('Rev Adequacy'!$AH$22:$AH$652,'Charges to party by investment'!$C38,'Rev Adequacy'!AO$22:AO$652)</f>
        <v>0</v>
      </c>
      <c r="J38" s="221">
        <f>SUMIF('Rev Adequacy'!$AH$22:$AH$652,'Charges to party by investment'!$C38,'Rev Adequacy'!AP$22:AP$652)</f>
        <v>0</v>
      </c>
      <c r="K38" s="221">
        <f>SUMIF('Rev Adequacy'!$AH$22:$AH$652,'Charges to party by investment'!$C38,'Rev Adequacy'!AQ$22:AQ$652)</f>
        <v>0</v>
      </c>
      <c r="L38" s="221">
        <f>SUMIF('Rev Adequacy'!$AH$22:$AH$652,'Charges to party by investment'!$C38,'Rev Adequacy'!AR$22:AR$652)</f>
        <v>0</v>
      </c>
      <c r="M38" s="221">
        <f>SUMIF('Rev Adequacy'!$AH$22:$AH$652,'Charges to party by investment'!$C38,'Rev Adequacy'!AS$22:AS$652)</f>
        <v>0</v>
      </c>
      <c r="N38" s="221">
        <f>SUMIF('Rev Adequacy'!$AH$22:$AH$652,'Charges to party by investment'!$C38,'Rev Adequacy'!AT$22:AT$652)</f>
        <v>0</v>
      </c>
      <c r="O38" s="221">
        <f>SUMIF('Rev Adequacy'!$AH$22:$AH$652,'Charges to party by investment'!$C38,'Rev Adequacy'!AU$22:AU$652)</f>
        <v>0</v>
      </c>
      <c r="P38" s="221">
        <f>SUMIF('Rev Adequacy'!$AH$22:$AH$652,'Charges to party by investment'!$C38,'Rev Adequacy'!AV$22:AV$652)</f>
        <v>0</v>
      </c>
      <c r="Q38" s="221">
        <f>SUMIF('Rev Adequacy'!$AH$22:$AH$652,'Charges to party by investment'!$C38,'Rev Adequacy'!AW$22:AW$652)</f>
        <v>0</v>
      </c>
      <c r="R38" s="221">
        <f>SUMIF('Rev Adequacy'!$AH$22:$AH$652,'Charges to party by investment'!$C38,'Rev Adequacy'!AX$22:AX$652)</f>
        <v>0</v>
      </c>
      <c r="S38" s="15"/>
      <c r="T38" s="15"/>
      <c r="V38" s="221">
        <f ca="1">SUMIFS('Rev Adequacy'!$G$6:$G$4999,'Rev Adequacy'!$B$6:$B$4999,'Charges to party by investment'!V$4,'Rev Adequacy'!$E$6:$E$4999,'Charges to party by investment'!$C38)*V$5/V$6</f>
        <v>0</v>
      </c>
      <c r="W38" s="221">
        <f ca="1">SUMIFS('Rev Adequacy'!$G$6:$G$4999,'Rev Adequacy'!$B$6:$B$4999,'Charges to party by investment'!W$4,'Rev Adequacy'!$E$6:$E$4999,'Charges to party by investment'!$C38)*W$5/W$6</f>
        <v>0</v>
      </c>
      <c r="X38" s="221">
        <f ca="1">SUMIFS('Rev Adequacy'!$G$6:$G$4999,'Rev Adequacy'!$B$6:$B$4999,'Charges to party by investment'!X$4,'Rev Adequacy'!$E$6:$E$4999,'Charges to party by investment'!$C38)*X$5/X$6</f>
        <v>0</v>
      </c>
      <c r="Y38" s="221">
        <f ca="1">SUMIFS('Rev Adequacy'!$G$6:$G$4999,'Rev Adequacy'!$B$6:$B$4999,'Charges to party by investment'!Y$4,'Rev Adequacy'!$E$6:$E$4999,'Charges to party by investment'!$C38)*Y$5/Y$6</f>
        <v>0</v>
      </c>
      <c r="Z38" s="221">
        <f ca="1">SUMIFS('Rev Adequacy'!$G$6:$G$4999,'Rev Adequacy'!$B$6:$B$4999,'Charges to party by investment'!Z$4,'Rev Adequacy'!$E$6:$E$4999,'Charges to party by investment'!$C38)*Z$5/Z$6</f>
        <v>0</v>
      </c>
      <c r="AA38" s="221">
        <f ca="1">SUMIFS('Rev Adequacy'!$G$6:$G$4999,'Rev Adequacy'!$B$6:$B$4999,'Charges to party by investment'!AA$4,'Rev Adequacy'!$E$6:$E$4999,'Charges to party by investment'!$C38)*AA$5/AA$6</f>
        <v>0</v>
      </c>
      <c r="AB38" s="221">
        <f>SUMIFS('Rev Adequacy'!$G$6:$G$4999,'Rev Adequacy'!$B$6:$B$4999,'Charges to party by investment'!AB$4,'Rev Adequacy'!$E$6:$E$4999,'Charges to party by investment'!$C38)</f>
        <v>0</v>
      </c>
      <c r="AC38" s="221">
        <f>SUMIFS('Rev Adequacy'!$G$6:$G$4999,'Rev Adequacy'!$B$6:$B$4999,'Charges to party by investment'!AC$4,'Rev Adequacy'!$E$6:$E$4999,'Charges to party by investment'!$C38)</f>
        <v>0</v>
      </c>
      <c r="AD38" s="221">
        <f>SUMIFS('Rev Adequacy'!$G$6:$G$4999,'Rev Adequacy'!$B$6:$B$4999,'Charges to party by investment'!AD$4,'Rev Adequacy'!$E$6:$E$4999,'Charges to party by investment'!$C38)</f>
        <v>0</v>
      </c>
      <c r="AE38" s="221">
        <f>SUMIFS('Rev Adequacy'!$G$6:$G$4999,'Rev Adequacy'!$B$6:$B$4999,'Charges to party by investment'!AE$4,'Rev Adequacy'!$E$6:$E$4999,'Charges to party by investment'!$C38)</f>
        <v>0</v>
      </c>
      <c r="AF38" s="221">
        <f>SUMIFS('Rev Adequacy'!$G$6:$G$4999,'Rev Adequacy'!$B$6:$B$4999,'Charges to party by investment'!AF$4,'Rev Adequacy'!$E$6:$E$4999,'Charges to party by investment'!$C38)</f>
        <v>0</v>
      </c>
      <c r="AG38" s="221">
        <f>SUMIFS('Rev Adequacy'!$G$6:$G$4999,'Rev Adequacy'!$B$6:$B$4999,'Charges to party by investment'!AG$4,'Rev Adequacy'!$E$6:$E$4999,'Charges to party by investment'!$C38)</f>
        <v>0</v>
      </c>
      <c r="AH38" s="221">
        <f>SUMIFS('Rev Adequacy'!$G$6:$G$4999,'Rev Adequacy'!$B$6:$B$4999,'Charges to party by investment'!AH$4,'Rev Adequacy'!$E$6:$E$4999,'Charges to party by investment'!$C38)</f>
        <v>0</v>
      </c>
      <c r="AJ38" s="190"/>
      <c r="AK38" s="215"/>
      <c r="AL38" s="216"/>
      <c r="AM38" s="216"/>
      <c r="AN38" s="216"/>
      <c r="AO38" s="216">
        <v>0</v>
      </c>
      <c r="AP38" s="217"/>
      <c r="AQ38" s="217"/>
      <c r="AR38" s="217"/>
      <c r="AS38" s="217"/>
      <c r="AT38" s="277">
        <f t="shared" si="13"/>
        <v>0</v>
      </c>
      <c r="AU38" s="274">
        <f t="shared" si="14"/>
        <v>0</v>
      </c>
      <c r="AV38" s="217"/>
      <c r="AW38" s="215"/>
      <c r="AX38" s="216"/>
      <c r="AY38" s="216">
        <f>SUMIF('Rev Adequacy'!$BF$27:$BF$257,'Charges to party by investment'!AK38,'Rev Adequacy'!$BL$27:$BL$257)</f>
        <v>0</v>
      </c>
      <c r="AZ38" s="90"/>
      <c r="BA38" s="90"/>
      <c r="BX38" s="115"/>
      <c r="BY38" s="286"/>
      <c r="BZ38" s="286"/>
      <c r="CA38" s="286"/>
      <c r="CB38" s="286"/>
      <c r="CC38" s="286"/>
    </row>
    <row r="39" spans="3:81" x14ac:dyDescent="0.25">
      <c r="C39" s="102" t="s">
        <v>45</v>
      </c>
      <c r="D39" s="15"/>
      <c r="F39" s="221">
        <f>SUMIF('Rev Adequacy'!$AH$22:$AH$652,'Charges to party by investment'!C39,'Rev Adequacy'!$AL$22:$AL$652)</f>
        <v>0</v>
      </c>
      <c r="G39" s="221">
        <f>SUMIF('Rev Adequacy'!$AH$22:$AH$652,'Charges to party by investment'!$C39,'Rev Adequacy'!AM$22:AM$652)</f>
        <v>0</v>
      </c>
      <c r="H39" s="221">
        <f>SUMIF('Rev Adequacy'!$AH$22:$AH$652,'Charges to party by investment'!$C39,'Rev Adequacy'!AN$22:AN$652)</f>
        <v>0</v>
      </c>
      <c r="I39" s="221">
        <f>SUMIF('Rev Adequacy'!$AH$22:$AH$652,'Charges to party by investment'!$C39,'Rev Adequacy'!AO$22:AO$652)</f>
        <v>0</v>
      </c>
      <c r="J39" s="221">
        <f>SUMIF('Rev Adequacy'!$AH$22:$AH$652,'Charges to party by investment'!$C39,'Rev Adequacy'!AP$22:AP$652)</f>
        <v>0</v>
      </c>
      <c r="K39" s="221">
        <f>SUMIF('Rev Adequacy'!$AH$22:$AH$652,'Charges to party by investment'!$C39,'Rev Adequacy'!AQ$22:AQ$652)</f>
        <v>0</v>
      </c>
      <c r="L39" s="221">
        <f>SUMIF('Rev Adequacy'!$AH$22:$AH$652,'Charges to party by investment'!$C39,'Rev Adequacy'!AR$22:AR$652)</f>
        <v>0</v>
      </c>
      <c r="M39" s="221">
        <f>SUMIF('Rev Adequacy'!$AH$22:$AH$652,'Charges to party by investment'!$C39,'Rev Adequacy'!AS$22:AS$652)</f>
        <v>0</v>
      </c>
      <c r="N39" s="221">
        <f>SUMIF('Rev Adequacy'!$AH$22:$AH$652,'Charges to party by investment'!$C39,'Rev Adequacy'!AT$22:AT$652)</f>
        <v>0</v>
      </c>
      <c r="O39" s="221">
        <f>SUMIF('Rev Adequacy'!$AH$22:$AH$652,'Charges to party by investment'!$C39,'Rev Adequacy'!AU$22:AU$652)</f>
        <v>0</v>
      </c>
      <c r="P39" s="221">
        <f>SUMIF('Rev Adequacy'!$AH$22:$AH$652,'Charges to party by investment'!$C39,'Rev Adequacy'!AV$22:AV$652)</f>
        <v>0</v>
      </c>
      <c r="Q39" s="221">
        <f>SUMIF('Rev Adequacy'!$AH$22:$AH$652,'Charges to party by investment'!$C39,'Rev Adequacy'!AW$22:AW$652)</f>
        <v>0</v>
      </c>
      <c r="R39" s="221">
        <f>SUMIF('Rev Adequacy'!$AH$22:$AH$652,'Charges to party by investment'!$C39,'Rev Adequacy'!AX$22:AX$652)</f>
        <v>0</v>
      </c>
      <c r="S39" s="15"/>
      <c r="T39" s="15"/>
      <c r="V39" s="221">
        <f ca="1">SUMIFS('Rev Adequacy'!$G$6:$G$4999,'Rev Adequacy'!$B$6:$B$4999,'Charges to party by investment'!V$4,'Rev Adequacy'!$E$6:$E$4999,'Charges to party by investment'!$C39)*V$5/V$6</f>
        <v>0</v>
      </c>
      <c r="W39" s="221">
        <f ca="1">SUMIFS('Rev Adequacy'!$G$6:$G$4999,'Rev Adequacy'!$B$6:$B$4999,'Charges to party by investment'!W$4,'Rev Adequacy'!$E$6:$E$4999,'Charges to party by investment'!$C39)*W$5/W$6</f>
        <v>0</v>
      </c>
      <c r="X39" s="221">
        <f ca="1">SUMIFS('Rev Adequacy'!$G$6:$G$4999,'Rev Adequacy'!$B$6:$B$4999,'Charges to party by investment'!X$4,'Rev Adequacy'!$E$6:$E$4999,'Charges to party by investment'!$C39)*X$5/X$6</f>
        <v>0</v>
      </c>
      <c r="Y39" s="221">
        <f ca="1">SUMIFS('Rev Adequacy'!$G$6:$G$4999,'Rev Adequacy'!$B$6:$B$4999,'Charges to party by investment'!Y$4,'Rev Adequacy'!$E$6:$E$4999,'Charges to party by investment'!$C39)*Y$5/Y$6</f>
        <v>0</v>
      </c>
      <c r="Z39" s="221">
        <f ca="1">SUMIFS('Rev Adequacy'!$G$6:$G$4999,'Rev Adequacy'!$B$6:$B$4999,'Charges to party by investment'!Z$4,'Rev Adequacy'!$E$6:$E$4999,'Charges to party by investment'!$C39)*Z$5/Z$6</f>
        <v>0</v>
      </c>
      <c r="AA39" s="221">
        <f ca="1">SUMIFS('Rev Adequacy'!$G$6:$G$4999,'Rev Adequacy'!$B$6:$B$4999,'Charges to party by investment'!AA$4,'Rev Adequacy'!$E$6:$E$4999,'Charges to party by investment'!$C39)*AA$5/AA$6</f>
        <v>0</v>
      </c>
      <c r="AB39" s="221">
        <f>SUMIFS('Rev Adequacy'!$G$6:$G$4999,'Rev Adequacy'!$B$6:$B$4999,'Charges to party by investment'!AB$4,'Rev Adequacy'!$E$6:$E$4999,'Charges to party by investment'!$C39)</f>
        <v>0</v>
      </c>
      <c r="AC39" s="221">
        <f>SUMIFS('Rev Adequacy'!$G$6:$G$4999,'Rev Adequacy'!$B$6:$B$4999,'Charges to party by investment'!AC$4,'Rev Adequacy'!$E$6:$E$4999,'Charges to party by investment'!$C39)</f>
        <v>0</v>
      </c>
      <c r="AD39" s="221">
        <f>SUMIFS('Rev Adequacy'!$G$6:$G$4999,'Rev Adequacy'!$B$6:$B$4999,'Charges to party by investment'!AD$4,'Rev Adequacy'!$E$6:$E$4999,'Charges to party by investment'!$C39)</f>
        <v>0</v>
      </c>
      <c r="AE39" s="221">
        <f>SUMIFS('Rev Adequacy'!$G$6:$G$4999,'Rev Adequacy'!$B$6:$B$4999,'Charges to party by investment'!AE$4,'Rev Adequacy'!$E$6:$E$4999,'Charges to party by investment'!$C39)</f>
        <v>0</v>
      </c>
      <c r="AF39" s="221">
        <f>SUMIFS('Rev Adequacy'!$G$6:$G$4999,'Rev Adequacy'!$B$6:$B$4999,'Charges to party by investment'!AF$4,'Rev Adequacy'!$E$6:$E$4999,'Charges to party by investment'!$C39)</f>
        <v>0</v>
      </c>
      <c r="AG39" s="221">
        <f>SUMIFS('Rev Adequacy'!$G$6:$G$4999,'Rev Adequacy'!$B$6:$B$4999,'Charges to party by investment'!AG$4,'Rev Adequacy'!$E$6:$E$4999,'Charges to party by investment'!$C39)</f>
        <v>0</v>
      </c>
      <c r="AH39" s="221">
        <f>SUMIFS('Rev Adequacy'!$G$6:$G$4999,'Rev Adequacy'!$B$6:$B$4999,'Charges to party by investment'!AH$4,'Rev Adequacy'!$E$6:$E$4999,'Charges to party by investment'!$C39)</f>
        <v>0</v>
      </c>
      <c r="AJ39" s="190"/>
      <c r="AK39" s="215"/>
      <c r="AL39" s="216"/>
      <c r="AM39" s="216"/>
      <c r="AN39" s="216"/>
      <c r="AO39" s="216">
        <v>0</v>
      </c>
      <c r="AP39" s="217"/>
      <c r="AQ39" s="217"/>
      <c r="AR39" s="217"/>
      <c r="AS39" s="217"/>
      <c r="AT39" s="277">
        <f t="shared" si="13"/>
        <v>0</v>
      </c>
      <c r="AU39" s="274">
        <f t="shared" si="14"/>
        <v>0</v>
      </c>
      <c r="AV39" s="217"/>
      <c r="AW39" s="215"/>
      <c r="AX39" s="216"/>
      <c r="AY39" s="216">
        <f>SUMIF('Rev Adequacy'!$BF$27:$BF$257,'Charges to party by investment'!AK39,'Rev Adequacy'!$BL$27:$BL$257)</f>
        <v>0</v>
      </c>
      <c r="AZ39" s="90"/>
      <c r="BA39" s="90"/>
      <c r="BX39" s="115"/>
      <c r="BY39" s="286"/>
      <c r="BZ39" s="286"/>
      <c r="CA39" s="286"/>
      <c r="CB39" s="286"/>
      <c r="CC39" s="286"/>
    </row>
    <row r="40" spans="3:81" x14ac:dyDescent="0.25">
      <c r="C40" s="56" t="s">
        <v>4</v>
      </c>
      <c r="D40" s="15"/>
      <c r="F40" s="221">
        <f ca="1">SUMIF('Rev Adequacy'!$AH$22:$AH$652,'Charges to party by investment'!C40,'Rev Adequacy'!$AL$22:$AL$652)</f>
        <v>0</v>
      </c>
      <c r="G40" s="221">
        <f ca="1">SUMIF('Rev Adequacy'!$AH$22:$AH$652,'Charges to party by investment'!$C40,'Rev Adequacy'!AM$22:AM$652)</f>
        <v>0</v>
      </c>
      <c r="H40" s="221">
        <f ca="1">SUMIF('Rev Adequacy'!$AH$22:$AH$652,'Charges to party by investment'!$C40,'Rev Adequacy'!AN$22:AN$652)</f>
        <v>0</v>
      </c>
      <c r="I40" s="221">
        <f ca="1">SUMIF('Rev Adequacy'!$AH$22:$AH$652,'Charges to party by investment'!$C40,'Rev Adequacy'!AO$22:AO$652)</f>
        <v>0</v>
      </c>
      <c r="J40" s="221">
        <f>SUMIF('Rev Adequacy'!$AH$22:$AH$652,'Charges to party by investment'!$C40,'Rev Adequacy'!AP$22:AP$652)</f>
        <v>0</v>
      </c>
      <c r="K40" s="221">
        <f ca="1">SUMIF('Rev Adequacy'!$AH$22:$AH$652,'Charges to party by investment'!$C40,'Rev Adequacy'!AQ$22:AQ$652)</f>
        <v>0</v>
      </c>
      <c r="L40" s="221">
        <f ca="1">SUMIF('Rev Adequacy'!$AH$22:$AH$652,'Charges to party by investment'!$C40,'Rev Adequacy'!AR$22:AR$652)</f>
        <v>2.6481978649353151E-2</v>
      </c>
      <c r="M40" s="221">
        <f ca="1">SUMIF('Rev Adequacy'!$AH$22:$AH$652,'Charges to party by investment'!$C40,'Rev Adequacy'!AS$22:AS$652)</f>
        <v>1.3978216504959349</v>
      </c>
      <c r="N40" s="221">
        <f ca="1">SUMIF('Rev Adequacy'!$AH$22:$AH$652,'Charges to party by investment'!$C40,'Rev Adequacy'!AT$22:AT$652)</f>
        <v>0</v>
      </c>
      <c r="O40" s="221">
        <f ca="1">SUMIF('Rev Adequacy'!$AH$22:$AH$652,'Charges to party by investment'!$C40,'Rev Adequacy'!AU$22:AU$652)</f>
        <v>1.2213545827104575E-2</v>
      </c>
      <c r="P40" s="221">
        <f ca="1">SUMIF('Rev Adequacy'!$AH$22:$AH$652,'Charges to party by investment'!$C40,'Rev Adequacy'!AV$22:AV$652)</f>
        <v>0</v>
      </c>
      <c r="Q40" s="221">
        <f>SUMIF('Rev Adequacy'!$AH$22:$AH$652,'Charges to party by investment'!$C40,'Rev Adequacy'!AW$22:AW$652)</f>
        <v>0</v>
      </c>
      <c r="R40" s="221">
        <f>SUMIF('Rev Adequacy'!$AH$22:$AH$652,'Charges to party by investment'!$C40,'Rev Adequacy'!AX$22:AX$652)</f>
        <v>0</v>
      </c>
      <c r="S40" s="15"/>
      <c r="T40" s="15"/>
      <c r="V40" s="221">
        <f ca="1">SUMIFS('Rev Adequacy'!$G$6:$G$4999,'Rev Adequacy'!$B$6:$B$4999,'Charges to party by investment'!V$4,'Rev Adequacy'!$E$6:$E$4999,'Charges to party by investment'!$C40)*V$5/V$6</f>
        <v>0.2406337351828983</v>
      </c>
      <c r="W40" s="221">
        <f ca="1">SUMIFS('Rev Adequacy'!$G$6:$G$4999,'Rev Adequacy'!$B$6:$B$4999,'Charges to party by investment'!W$4,'Rev Adequacy'!$E$6:$E$4999,'Charges to party by investment'!$C40)*W$5/W$6</f>
        <v>9.902781134396438</v>
      </c>
      <c r="X40" s="221">
        <f ca="1">SUMIFS('Rev Adequacy'!$G$6:$G$4999,'Rev Adequacy'!$B$6:$B$4999,'Charges to party by investment'!X$4,'Rev Adequacy'!$E$6:$E$4999,'Charges to party by investment'!$C40)*X$5/X$6</f>
        <v>2.6450186050398234</v>
      </c>
      <c r="Y40" s="221">
        <f ca="1">SUMIFS('Rev Adequacy'!$G$6:$G$4999,'Rev Adequacy'!$B$6:$B$4999,'Charges to party by investment'!Y$4,'Rev Adequacy'!$E$6:$E$4999,'Charges to party by investment'!$C40)*Y$5/Y$6</f>
        <v>5.1425540472914222E-3</v>
      </c>
      <c r="Z40" s="221">
        <f ca="1">SUMIFS('Rev Adequacy'!$G$6:$G$4999,'Rev Adequacy'!$B$6:$B$4999,'Charges to party by investment'!Z$4,'Rev Adequacy'!$E$6:$E$4999,'Charges to party by investment'!$C40)*Z$5/Z$6</f>
        <v>0.10192958201864664</v>
      </c>
      <c r="AA40" s="221">
        <f ca="1">SUMIFS('Rev Adequacy'!$G$6:$G$4999,'Rev Adequacy'!$B$6:$B$4999,'Charges to party by investment'!AA$4,'Rev Adequacy'!$E$6:$E$4999,'Charges to party by investment'!$C40)*AA$5/AA$6</f>
        <v>0.72467059684805701</v>
      </c>
      <c r="AB40" s="221">
        <f>SUMIFS('Rev Adequacy'!$G$6:$G$4999,'Rev Adequacy'!$B$6:$B$4999,'Charges to party by investment'!AB$4,'Rev Adequacy'!$E$6:$E$4999,'Charges to party by investment'!$C40)</f>
        <v>0</v>
      </c>
      <c r="AC40" s="221">
        <f>SUMIFS('Rev Adequacy'!$G$6:$G$4999,'Rev Adequacy'!$B$6:$B$4999,'Charges to party by investment'!AC$4,'Rev Adequacy'!$E$6:$E$4999,'Charges to party by investment'!$C40)</f>
        <v>0</v>
      </c>
      <c r="AD40" s="221">
        <f>SUMIFS('Rev Adequacy'!$G$6:$G$4999,'Rev Adequacy'!$B$6:$B$4999,'Charges to party by investment'!AD$4,'Rev Adequacy'!$E$6:$E$4999,'Charges to party by investment'!$C40)</f>
        <v>0</v>
      </c>
      <c r="AE40" s="221">
        <f>SUMIFS('Rev Adequacy'!$G$6:$G$4999,'Rev Adequacy'!$B$6:$B$4999,'Charges to party by investment'!AE$4,'Rev Adequacy'!$E$6:$E$4999,'Charges to party by investment'!$C40)</f>
        <v>0</v>
      </c>
      <c r="AF40" s="221">
        <f>SUMIFS('Rev Adequacy'!$G$6:$G$4999,'Rev Adequacy'!$B$6:$B$4999,'Charges to party by investment'!AF$4,'Rev Adequacy'!$E$6:$E$4999,'Charges to party by investment'!$C40)</f>
        <v>0</v>
      </c>
      <c r="AG40" s="221">
        <f>SUMIFS('Rev Adequacy'!$G$6:$G$4999,'Rev Adequacy'!$B$6:$B$4999,'Charges to party by investment'!AG$4,'Rev Adequacy'!$E$6:$E$4999,'Charges to party by investment'!$C40)</f>
        <v>0</v>
      </c>
      <c r="AH40" s="221">
        <f>SUMIFS('Rev Adequacy'!$G$6:$G$4999,'Rev Adequacy'!$B$6:$B$4999,'Charges to party by investment'!AH$4,'Rev Adequacy'!$E$6:$E$4999,'Charges to party by investment'!$C40)</f>
        <v>0</v>
      </c>
      <c r="AJ40" s="190" t="str">
        <f>'Charges as $M per year'!A35</f>
        <v>Contact</v>
      </c>
      <c r="AK40" s="215" t="str">
        <f t="shared" si="9"/>
        <v>Contact</v>
      </c>
      <c r="AL40" s="216">
        <f t="shared" ca="1" si="10"/>
        <v>15.056693382505546</v>
      </c>
      <c r="AM40" s="216">
        <f>SUMIF('Rev Adequacy'!$BF$27:$BF$257,'Charges to party by investment'!AK40,'Rev Adequacy'!$BJ$27:$BJ$257)</f>
        <v>1.4546209947385698</v>
      </c>
      <c r="AN40" s="216">
        <f>VLOOKUP(AK40,Connection!$X$5:$AB$55,5,0)/1000000</f>
        <v>3.3737188699999994</v>
      </c>
      <c r="AO40" s="216">
        <v>0.10788629446185628</v>
      </c>
      <c r="AP40" s="217">
        <f t="shared" ca="1" si="11"/>
        <v>0.91247346828087539</v>
      </c>
      <c r="AQ40" s="217"/>
      <c r="AR40" s="274"/>
      <c r="AS40" s="217"/>
      <c r="AT40" s="277">
        <f t="shared" si="13"/>
        <v>1.4546209947385698</v>
      </c>
      <c r="AU40" s="274">
        <f t="shared" ca="1" si="14"/>
        <v>16.619200671705972</v>
      </c>
      <c r="AV40" s="217"/>
      <c r="AW40" s="215" t="s">
        <v>4</v>
      </c>
      <c r="AX40" s="216">
        <f>SUMIF('Rev Adequacy'!$BF$27:$BF$257,'Charges to party by investment'!AK40,'Rev Adequacy'!$BK$27:$BK$257)</f>
        <v>1.5946244661363771</v>
      </c>
      <c r="AY40" s="216">
        <f>SUMIF('Rev Adequacy'!$BF$27:$BF$257,'Charges to party by investment'!AK40,'Rev Adequacy'!$BL$27:$BL$257)</f>
        <v>1.6879601137349152</v>
      </c>
      <c r="AZ40" s="279">
        <f t="shared" ref="AZ40:BA49" ca="1" si="17">SUM($AL40:$AO40)/SUM($AL$40:$AO$49)</f>
        <v>0.20265049392009357</v>
      </c>
      <c r="BA40" s="279">
        <f t="shared" ca="1" si="17"/>
        <v>0.20265049392009357</v>
      </c>
      <c r="BX40" s="115" t="str">
        <f t="shared" si="15"/>
        <v>Contact</v>
      </c>
      <c r="BY40" s="286">
        <f t="shared" ca="1" si="5"/>
        <v>15.056693382505546</v>
      </c>
      <c r="BZ40" s="286">
        <f t="shared" si="6"/>
        <v>1.4546209947385698</v>
      </c>
      <c r="CA40" s="286">
        <f t="shared" si="7"/>
        <v>0.10788629446185628</v>
      </c>
      <c r="CB40" s="286">
        <f t="shared" si="8"/>
        <v>0</v>
      </c>
      <c r="CC40" s="286">
        <f t="shared" ca="1" si="16"/>
        <v>16.619200671705972</v>
      </c>
    </row>
    <row r="41" spans="3:81" x14ac:dyDescent="0.25">
      <c r="C41" s="56" t="s">
        <v>10</v>
      </c>
      <c r="D41" s="15"/>
      <c r="F41" s="221">
        <f ca="1">SUMIF('Rev Adequacy'!$AH$22:$AH$652,'Charges to party by investment'!C41,'Rev Adequacy'!$AL$22:$AL$652)</f>
        <v>0</v>
      </c>
      <c r="G41" s="221">
        <f ca="1">SUMIF('Rev Adequacy'!$AH$22:$AH$652,'Charges to party by investment'!$C41,'Rev Adequacy'!AM$22:AM$652)</f>
        <v>0</v>
      </c>
      <c r="H41" s="221">
        <f ca="1">SUMIF('Rev Adequacy'!$AH$22:$AH$652,'Charges to party by investment'!$C41,'Rev Adequacy'!AN$22:AN$652)</f>
        <v>0</v>
      </c>
      <c r="I41" s="221">
        <f ca="1">SUMIF('Rev Adequacy'!$AH$22:$AH$652,'Charges to party by investment'!$C41,'Rev Adequacy'!AO$22:AO$652)</f>
        <v>0</v>
      </c>
      <c r="J41" s="221">
        <f>SUMIF('Rev Adequacy'!$AH$22:$AH$652,'Charges to party by investment'!$C41,'Rev Adequacy'!AP$22:AP$652)</f>
        <v>0</v>
      </c>
      <c r="K41" s="221">
        <f ca="1">SUMIF('Rev Adequacy'!$AH$22:$AH$652,'Charges to party by investment'!$C41,'Rev Adequacy'!AQ$22:AQ$652)</f>
        <v>0</v>
      </c>
      <c r="L41" s="221">
        <f ca="1">SUMIF('Rev Adequacy'!$AH$22:$AH$652,'Charges to party by investment'!$C41,'Rev Adequacy'!AR$22:AR$652)</f>
        <v>0</v>
      </c>
      <c r="M41" s="221">
        <f ca="1">SUMIF('Rev Adequacy'!$AH$22:$AH$652,'Charges to party by investment'!$C41,'Rev Adequacy'!AS$22:AS$652)</f>
        <v>0.96900709021291198</v>
      </c>
      <c r="N41" s="221">
        <f ca="1">SUMIF('Rev Adequacy'!$AH$22:$AH$652,'Charges to party by investment'!$C41,'Rev Adequacy'!AT$22:AT$652)</f>
        <v>0</v>
      </c>
      <c r="O41" s="221">
        <f ca="1">SUMIF('Rev Adequacy'!$AH$22:$AH$652,'Charges to party by investment'!$C41,'Rev Adequacy'!AU$22:AU$652)</f>
        <v>0</v>
      </c>
      <c r="P41" s="221">
        <f ca="1">SUMIF('Rev Adequacy'!$AH$22:$AH$652,'Charges to party by investment'!$C41,'Rev Adequacy'!AV$22:AV$652)</f>
        <v>0</v>
      </c>
      <c r="Q41" s="221">
        <f>SUMIF('Rev Adequacy'!$AH$22:$AH$652,'Charges to party by investment'!$C41,'Rev Adequacy'!AW$22:AW$652)</f>
        <v>0</v>
      </c>
      <c r="R41" s="221">
        <f>SUMIF('Rev Adequacy'!$AH$22:$AH$652,'Charges to party by investment'!$C41,'Rev Adequacy'!AX$22:AX$652)</f>
        <v>0</v>
      </c>
      <c r="S41" s="15"/>
      <c r="T41" s="15"/>
      <c r="V41" s="221">
        <f ca="1">SUMIFS('Rev Adequacy'!$G$6:$G$4999,'Rev Adequacy'!$B$6:$B$4999,'Charges to party by investment'!V$4,'Rev Adequacy'!$E$6:$E$4999,'Charges to party by investment'!$C41)*V$5/V$6</f>
        <v>0.54131612738954771</v>
      </c>
      <c r="W41" s="221">
        <f ca="1">SUMIFS('Rev Adequacy'!$G$6:$G$4999,'Rev Adequacy'!$B$6:$B$4999,'Charges to party by investment'!W$4,'Rev Adequacy'!$E$6:$E$4999,'Charges to party by investment'!$C41)*W$5/W$6</f>
        <v>2.1581905677944255</v>
      </c>
      <c r="X41" s="221">
        <f ca="1">SUMIFS('Rev Adequacy'!$G$6:$G$4999,'Rev Adequacy'!$B$6:$B$4999,'Charges to party by investment'!X$4,'Rev Adequacy'!$E$6:$E$4999,'Charges to party by investment'!$C41)*X$5/X$6</f>
        <v>0.45247415229279092</v>
      </c>
      <c r="Y41" s="221">
        <f ca="1">SUMIFS('Rev Adequacy'!$G$6:$G$4999,'Rev Adequacy'!$B$6:$B$4999,'Charges to party by investment'!Y$4,'Rev Adequacy'!$E$6:$E$4999,'Charges to party by investment'!$C41)*Y$5/Y$6</f>
        <v>1.18517427109337E-4</v>
      </c>
      <c r="Z41" s="221">
        <f ca="1">SUMIFS('Rev Adequacy'!$G$6:$G$4999,'Rev Adequacy'!$B$6:$B$4999,'Charges to party by investment'!Z$4,'Rev Adequacy'!$E$6:$E$4999,'Charges to party by investment'!$C41)*Z$5/Z$6</f>
        <v>5.5971196148436417E-2</v>
      </c>
      <c r="AA41" s="221">
        <f ca="1">SUMIFS('Rev Adequacy'!$G$6:$G$4999,'Rev Adequacy'!$B$6:$B$4999,'Charges to party by investment'!AA$4,'Rev Adequacy'!$E$6:$E$4999,'Charges to party by investment'!$C41)*AA$5/AA$6</f>
        <v>0.28781749370812976</v>
      </c>
      <c r="AB41" s="221">
        <f>SUMIFS('Rev Adequacy'!$G$6:$G$4999,'Rev Adequacy'!$B$6:$B$4999,'Charges to party by investment'!AB$4,'Rev Adequacy'!$E$6:$E$4999,'Charges to party by investment'!$C41)</f>
        <v>0</v>
      </c>
      <c r="AC41" s="221">
        <f>SUMIFS('Rev Adequacy'!$G$6:$G$4999,'Rev Adequacy'!$B$6:$B$4999,'Charges to party by investment'!AC$4,'Rev Adequacy'!$E$6:$E$4999,'Charges to party by investment'!$C41)</f>
        <v>0</v>
      </c>
      <c r="AD41" s="221">
        <f>SUMIFS('Rev Adequacy'!$G$6:$G$4999,'Rev Adequacy'!$B$6:$B$4999,'Charges to party by investment'!AD$4,'Rev Adequacy'!$E$6:$E$4999,'Charges to party by investment'!$C41)</f>
        <v>0</v>
      </c>
      <c r="AE41" s="221">
        <f>SUMIFS('Rev Adequacy'!$G$6:$G$4999,'Rev Adequacy'!$B$6:$B$4999,'Charges to party by investment'!AE$4,'Rev Adequacy'!$E$6:$E$4999,'Charges to party by investment'!$C41)</f>
        <v>0</v>
      </c>
      <c r="AF41" s="221">
        <f>SUMIFS('Rev Adequacy'!$G$6:$G$4999,'Rev Adequacy'!$B$6:$B$4999,'Charges to party by investment'!AF$4,'Rev Adequacy'!$E$6:$E$4999,'Charges to party by investment'!$C41)</f>
        <v>0</v>
      </c>
      <c r="AG41" s="221">
        <f>SUMIFS('Rev Adequacy'!$G$6:$G$4999,'Rev Adequacy'!$B$6:$B$4999,'Charges to party by investment'!AG$4,'Rev Adequacy'!$E$6:$E$4999,'Charges to party by investment'!$C41)</f>
        <v>0</v>
      </c>
      <c r="AH41" s="221">
        <f>SUMIFS('Rev Adequacy'!$G$6:$G$4999,'Rev Adequacy'!$B$6:$B$4999,'Charges to party by investment'!AH$4,'Rev Adequacy'!$E$6:$E$4999,'Charges to party by investment'!$C41)</f>
        <v>0</v>
      </c>
      <c r="AJ41" s="190" t="str">
        <f>'Charges as $M per year'!A36</f>
        <v>Genesis</v>
      </c>
      <c r="AK41" s="215" t="str">
        <f t="shared" si="9"/>
        <v>Genesis</v>
      </c>
      <c r="AL41" s="216">
        <f t="shared" ca="1" si="10"/>
        <v>4.4648951449733527</v>
      </c>
      <c r="AM41" s="216">
        <f>SUMIF('Rev Adequacy'!$BF$27:$BF$257,'Charges to party by investment'!AK41,'Rev Adequacy'!$BJ$27:$BJ$257)</f>
        <v>0.91586971563915975</v>
      </c>
      <c r="AN41" s="216">
        <f>VLOOKUP(AK41,Connection!$X$5:$AB$55,5,0)/1000000</f>
        <v>4.6878067800000043</v>
      </c>
      <c r="AO41" s="216">
        <v>2.3588020502877921E-2</v>
      </c>
      <c r="AP41" s="217">
        <f t="shared" ca="1" si="11"/>
        <v>0.8305311041328346</v>
      </c>
      <c r="AQ41" s="217"/>
      <c r="AR41" s="274"/>
      <c r="AS41" s="217"/>
      <c r="AT41" s="277">
        <f t="shared" si="13"/>
        <v>0.91586971563915975</v>
      </c>
      <c r="AU41" s="274">
        <f t="shared" ca="1" si="14"/>
        <v>5.4043528811153898</v>
      </c>
      <c r="AV41" s="217"/>
      <c r="AW41" s="215" t="s">
        <v>10</v>
      </c>
      <c r="AX41" s="216">
        <f>SUMIF('Rev Adequacy'!$BF$27:$BF$257,'Charges to party by investment'!AK41,'Rev Adequacy'!$BK$27:$BK$257)</f>
        <v>1.0040197835959681</v>
      </c>
      <c r="AY41" s="216">
        <f>SUMIF('Rev Adequacy'!$BF$27:$BF$257,'Charges to party by investment'!AK41,'Rev Adequacy'!$BL$27:$BL$257)</f>
        <v>1.0627864955671738</v>
      </c>
      <c r="AZ41" s="279">
        <f t="shared" ca="1" si="17"/>
        <v>0.10229527187258243</v>
      </c>
      <c r="BA41" s="279">
        <f t="shared" ca="1" si="17"/>
        <v>0.10229527187258243</v>
      </c>
      <c r="BX41" s="115" t="str">
        <f t="shared" si="15"/>
        <v>Genesis</v>
      </c>
      <c r="BY41" s="286">
        <f t="shared" ca="1" si="5"/>
        <v>4.4648951449733527</v>
      </c>
      <c r="BZ41" s="286">
        <f t="shared" si="6"/>
        <v>0.91586971563915975</v>
      </c>
      <c r="CA41" s="286">
        <f t="shared" si="7"/>
        <v>2.3588020502877921E-2</v>
      </c>
      <c r="CB41" s="286">
        <f t="shared" si="8"/>
        <v>0</v>
      </c>
      <c r="CC41" s="286">
        <f t="shared" ca="1" si="16"/>
        <v>5.4043528811153898</v>
      </c>
    </row>
    <row r="42" spans="3:81" x14ac:dyDescent="0.25">
      <c r="C42" s="56" t="s">
        <v>14</v>
      </c>
      <c r="D42" s="15"/>
      <c r="F42" s="221">
        <f ca="1">SUMIF('Rev Adequacy'!$AH$22:$AH$652,'Charges to party by investment'!C42,'Rev Adequacy'!$AL$22:$AL$652)</f>
        <v>0</v>
      </c>
      <c r="G42" s="221">
        <f ca="1">SUMIF('Rev Adequacy'!$AH$22:$AH$652,'Charges to party by investment'!$C42,'Rev Adequacy'!AM$22:AM$652)</f>
        <v>0</v>
      </c>
      <c r="H42" s="221">
        <f ca="1">SUMIF('Rev Adequacy'!$AH$22:$AH$652,'Charges to party by investment'!$C42,'Rev Adequacy'!AN$22:AN$652)</f>
        <v>0</v>
      </c>
      <c r="I42" s="221">
        <f ca="1">SUMIF('Rev Adequacy'!$AH$22:$AH$652,'Charges to party by investment'!$C42,'Rev Adequacy'!AO$22:AO$652)</f>
        <v>0</v>
      </c>
      <c r="J42" s="221">
        <f>SUMIF('Rev Adequacy'!$AH$22:$AH$652,'Charges to party by investment'!$C42,'Rev Adequacy'!AP$22:AP$652)</f>
        <v>0</v>
      </c>
      <c r="K42" s="221">
        <f ca="1">SUMIF('Rev Adequacy'!$AH$22:$AH$652,'Charges to party by investment'!$C42,'Rev Adequacy'!AQ$22:AQ$652)</f>
        <v>0</v>
      </c>
      <c r="L42" s="221">
        <f ca="1">SUMIF('Rev Adequacy'!$AH$22:$AH$652,'Charges to party by investment'!$C42,'Rev Adequacy'!AR$22:AR$652)</f>
        <v>0</v>
      </c>
      <c r="M42" s="221">
        <f ca="1">SUMIF('Rev Adequacy'!$AH$22:$AH$652,'Charges to party by investment'!$C42,'Rev Adequacy'!AS$22:AS$652)</f>
        <v>1.7664396436306702</v>
      </c>
      <c r="N42" s="221">
        <f ca="1">SUMIF('Rev Adequacy'!$AH$22:$AH$652,'Charges to party by investment'!$C42,'Rev Adequacy'!AT$22:AT$652)</f>
        <v>0</v>
      </c>
      <c r="O42" s="221">
        <f ca="1">SUMIF('Rev Adequacy'!$AH$22:$AH$652,'Charges to party by investment'!$C42,'Rev Adequacy'!AU$22:AU$652)</f>
        <v>0</v>
      </c>
      <c r="P42" s="221">
        <f ca="1">SUMIF('Rev Adequacy'!$AH$22:$AH$652,'Charges to party by investment'!$C42,'Rev Adequacy'!AV$22:AV$652)</f>
        <v>0</v>
      </c>
      <c r="Q42" s="221">
        <f>SUMIF('Rev Adequacy'!$AH$22:$AH$652,'Charges to party by investment'!$C42,'Rev Adequacy'!AW$22:AW$652)</f>
        <v>0</v>
      </c>
      <c r="R42" s="221">
        <f>SUMIF('Rev Adequacy'!$AH$22:$AH$652,'Charges to party by investment'!$C42,'Rev Adequacy'!AX$22:AX$652)</f>
        <v>0</v>
      </c>
      <c r="S42" s="15"/>
      <c r="T42" s="15"/>
      <c r="V42" s="221">
        <f ca="1">SUMIFS('Rev Adequacy'!$G$6:$G$4999,'Rev Adequacy'!$B$6:$B$4999,'Charges to party by investment'!V$4,'Rev Adequacy'!$E$6:$E$4999,'Charges to party by investment'!$C42)*V$5/V$6</f>
        <v>1.2004219025406314E-2</v>
      </c>
      <c r="W42" s="221">
        <f ca="1">SUMIFS('Rev Adequacy'!$G$6:$G$4999,'Rev Adequacy'!$B$6:$B$4999,'Charges to party by investment'!W$4,'Rev Adequacy'!$E$6:$E$4999,'Charges to party by investment'!$C42)*W$5/W$6</f>
        <v>28.452837119577712</v>
      </c>
      <c r="X42" s="221">
        <f ca="1">SUMIFS('Rev Adequacy'!$G$6:$G$4999,'Rev Adequacy'!$B$6:$B$4999,'Charges to party by investment'!X$4,'Rev Adequacy'!$E$6:$E$4999,'Charges to party by investment'!$C42)*X$5/X$6</f>
        <v>7.3344650794360708</v>
      </c>
      <c r="Y42" s="221">
        <f ca="1">SUMIFS('Rev Adequacy'!$G$6:$G$4999,'Rev Adequacy'!$B$6:$B$4999,'Charges to party by investment'!Y$4,'Rev Adequacy'!$E$6:$E$4999,'Charges to party by investment'!$C42)*Y$5/Y$6</f>
        <v>1.7129437137885688E-3</v>
      </c>
      <c r="Z42" s="221">
        <f ca="1">SUMIFS('Rev Adequacy'!$G$6:$G$4999,'Rev Adequacy'!$B$6:$B$4999,'Charges to party by investment'!Z$4,'Rev Adequacy'!$E$6:$E$4999,'Charges to party by investment'!$C42)*Z$5/Z$6</f>
        <v>0.12066079021529312</v>
      </c>
      <c r="AA42" s="221">
        <f ca="1">SUMIFS('Rev Adequacy'!$G$6:$G$4999,'Rev Adequacy'!$B$6:$B$4999,'Charges to party by investment'!AA$4,'Rev Adequacy'!$E$6:$E$4999,'Charges to party by investment'!$C42)*AA$5/AA$6</f>
        <v>1.2242280202699942E-3</v>
      </c>
      <c r="AB42" s="221">
        <f>SUMIFS('Rev Adequacy'!$G$6:$G$4999,'Rev Adequacy'!$B$6:$B$4999,'Charges to party by investment'!AB$4,'Rev Adequacy'!$E$6:$E$4999,'Charges to party by investment'!$C42)</f>
        <v>0</v>
      </c>
      <c r="AC42" s="221">
        <f>SUMIFS('Rev Adequacy'!$G$6:$G$4999,'Rev Adequacy'!$B$6:$B$4999,'Charges to party by investment'!AC$4,'Rev Adequacy'!$E$6:$E$4999,'Charges to party by investment'!$C42)</f>
        <v>0</v>
      </c>
      <c r="AD42" s="221">
        <f>SUMIFS('Rev Adequacy'!$G$6:$G$4999,'Rev Adequacy'!$B$6:$B$4999,'Charges to party by investment'!AD$4,'Rev Adequacy'!$E$6:$E$4999,'Charges to party by investment'!$C42)</f>
        <v>0</v>
      </c>
      <c r="AE42" s="221">
        <f>SUMIFS('Rev Adequacy'!$G$6:$G$4999,'Rev Adequacy'!$B$6:$B$4999,'Charges to party by investment'!AE$4,'Rev Adequacy'!$E$6:$E$4999,'Charges to party by investment'!$C42)</f>
        <v>0</v>
      </c>
      <c r="AF42" s="221">
        <f>SUMIFS('Rev Adequacy'!$G$6:$G$4999,'Rev Adequacy'!$B$6:$B$4999,'Charges to party by investment'!AF$4,'Rev Adequacy'!$E$6:$E$4999,'Charges to party by investment'!$C42)</f>
        <v>0</v>
      </c>
      <c r="AG42" s="221">
        <f>SUMIFS('Rev Adequacy'!$G$6:$G$4999,'Rev Adequacy'!$B$6:$B$4999,'Charges to party by investment'!AG$4,'Rev Adequacy'!$E$6:$E$4999,'Charges to party by investment'!$C42)</f>
        <v>0</v>
      </c>
      <c r="AH42" s="221">
        <f>SUMIFS('Rev Adequacy'!$G$6:$G$4999,'Rev Adequacy'!$B$6:$B$4999,'Charges to party by investment'!AH$4,'Rev Adequacy'!$E$6:$E$4999,'Charges to party by investment'!$C42)</f>
        <v>0</v>
      </c>
      <c r="AJ42" s="190" t="str">
        <f>'Charges as $M per year'!A37</f>
        <v>Meridian</v>
      </c>
      <c r="AK42" s="215" t="str">
        <f t="shared" si="9"/>
        <v>Meridian</v>
      </c>
      <c r="AL42" s="216">
        <f t="shared" ca="1" si="10"/>
        <v>37.689344023619206</v>
      </c>
      <c r="AM42" s="216">
        <f>SUMIF('Rev Adequacy'!$BF$27:$BF$257,'Charges to party by investment'!AK42,'Rev Adequacy'!$BJ$27:$BJ$257)</f>
        <v>1.2948528596380662</v>
      </c>
      <c r="AN42" s="216">
        <f>VLOOKUP(AK42,Connection!$X$5:$AB$55,5,0)/1000000</f>
        <v>14.581880569999997</v>
      </c>
      <c r="AO42" s="216">
        <v>0.30143734987468829</v>
      </c>
      <c r="AP42" s="217">
        <f t="shared" ca="1" si="11"/>
        <v>0.96704004186481896</v>
      </c>
      <c r="AQ42" s="217"/>
      <c r="AR42" s="274"/>
      <c r="AS42" s="217"/>
      <c r="AT42" s="277">
        <f t="shared" si="13"/>
        <v>1.2948528596380662</v>
      </c>
      <c r="AU42" s="274">
        <f t="shared" ca="1" si="14"/>
        <v>39.285634233131958</v>
      </c>
      <c r="AV42" s="217"/>
      <c r="AW42" s="215" t="s">
        <v>14</v>
      </c>
      <c r="AX42" s="216">
        <f>SUMIF('Rev Adequacy'!$BF$27:$BF$257,'Charges to party by investment'!AK42,'Rev Adequacy'!$BK$27:$BK$257)</f>
        <v>1.4194790653331715</v>
      </c>
      <c r="AY42" s="216">
        <f>SUMIF('Rev Adequacy'!$BF$27:$BF$257,'Charges to party by investment'!AK42,'Rev Adequacy'!$BL$27:$BL$257)</f>
        <v>1.5025632024632412</v>
      </c>
      <c r="AZ42" s="279">
        <f t="shared" ca="1" si="17"/>
        <v>0.54600722312371042</v>
      </c>
      <c r="BA42" s="279">
        <f t="shared" ca="1" si="17"/>
        <v>0.54600722312371042</v>
      </c>
      <c r="BX42" s="115" t="str">
        <f t="shared" si="15"/>
        <v>Meridian</v>
      </c>
      <c r="BY42" s="286">
        <f t="shared" ca="1" si="5"/>
        <v>37.689344023619206</v>
      </c>
      <c r="BZ42" s="286">
        <f t="shared" si="6"/>
        <v>1.2948528596380662</v>
      </c>
      <c r="CA42" s="286">
        <f t="shared" si="7"/>
        <v>0.30143734987468829</v>
      </c>
      <c r="CB42" s="286">
        <f t="shared" si="8"/>
        <v>0</v>
      </c>
      <c r="CC42" s="286">
        <f t="shared" ca="1" si="16"/>
        <v>39.285634233131958</v>
      </c>
    </row>
    <row r="43" spans="3:81" x14ac:dyDescent="0.25">
      <c r="C43" s="56" t="s">
        <v>16</v>
      </c>
      <c r="D43" s="15"/>
      <c r="F43" s="221">
        <f>SUMIF('Rev Adequacy'!$AH$22:$AH$652,'Charges to party by investment'!C43,'Rev Adequacy'!$AL$22:$AL$652)</f>
        <v>0</v>
      </c>
      <c r="G43" s="221">
        <f ca="1">SUMIF('Rev Adequacy'!$AH$22:$AH$652,'Charges to party by investment'!$C43,'Rev Adequacy'!AM$22:AM$652)</f>
        <v>0</v>
      </c>
      <c r="H43" s="221">
        <f ca="1">SUMIF('Rev Adequacy'!$AH$22:$AH$652,'Charges to party by investment'!$C43,'Rev Adequacy'!AN$22:AN$652)</f>
        <v>0</v>
      </c>
      <c r="I43" s="221">
        <f>SUMIF('Rev Adequacy'!$AH$22:$AH$652,'Charges to party by investment'!$C43,'Rev Adequacy'!AO$22:AO$652)</f>
        <v>0</v>
      </c>
      <c r="J43" s="221">
        <f>SUMIF('Rev Adequacy'!$AH$22:$AH$652,'Charges to party by investment'!$C43,'Rev Adequacy'!AP$22:AP$652)</f>
        <v>0</v>
      </c>
      <c r="K43" s="221">
        <f ca="1">SUMIF('Rev Adequacy'!$AH$22:$AH$652,'Charges to party by investment'!$C43,'Rev Adequacy'!AQ$22:AQ$652)</f>
        <v>0</v>
      </c>
      <c r="L43" s="221">
        <f>SUMIF('Rev Adequacy'!$AH$22:$AH$652,'Charges to party by investment'!$C43,'Rev Adequacy'!AR$22:AR$652)</f>
        <v>0</v>
      </c>
      <c r="M43" s="221">
        <f ca="1">SUMIF('Rev Adequacy'!$AH$22:$AH$652,'Charges to party by investment'!$C43,'Rev Adequacy'!AS$22:AS$652)</f>
        <v>0.11577002737160245</v>
      </c>
      <c r="N43" s="221">
        <f>SUMIF('Rev Adequacy'!$AH$22:$AH$652,'Charges to party by investment'!$C43,'Rev Adequacy'!AT$22:AT$652)</f>
        <v>0</v>
      </c>
      <c r="O43" s="221">
        <f>SUMIF('Rev Adequacy'!$AH$22:$AH$652,'Charges to party by investment'!$C43,'Rev Adequacy'!AU$22:AU$652)</f>
        <v>0</v>
      </c>
      <c r="P43" s="221">
        <f>SUMIF('Rev Adequacy'!$AH$22:$AH$652,'Charges to party by investment'!$C43,'Rev Adequacy'!AV$22:AV$652)</f>
        <v>0</v>
      </c>
      <c r="Q43" s="221">
        <f>SUMIF('Rev Adequacy'!$AH$22:$AH$652,'Charges to party by investment'!$C43,'Rev Adequacy'!AW$22:AW$652)</f>
        <v>0</v>
      </c>
      <c r="R43" s="221">
        <f>SUMIF('Rev Adequacy'!$AH$22:$AH$652,'Charges to party by investment'!$C43,'Rev Adequacy'!AX$22:AX$652)</f>
        <v>0</v>
      </c>
      <c r="S43" s="15"/>
      <c r="T43" s="15"/>
      <c r="V43" s="221">
        <f ca="1">SUMIFS('Rev Adequacy'!$G$6:$G$4999,'Rev Adequacy'!$B$6:$B$4999,'Charges to party by investment'!V$4,'Rev Adequacy'!$E$6:$E$4999,'Charges to party by investment'!$C43)*V$5/V$6</f>
        <v>6.9915759874724287E-2</v>
      </c>
      <c r="W43" s="221">
        <f ca="1">SUMIFS('Rev Adequacy'!$G$6:$G$4999,'Rev Adequacy'!$B$6:$B$4999,'Charges to party by investment'!W$4,'Rev Adequacy'!$E$6:$E$4999,'Charges to party by investment'!$C43)*W$5/W$6</f>
        <v>0</v>
      </c>
      <c r="X43" s="221">
        <f ca="1">SUMIFS('Rev Adequacy'!$G$6:$G$4999,'Rev Adequacy'!$B$6:$B$4999,'Charges to party by investment'!X$4,'Rev Adequacy'!$E$6:$E$4999,'Charges to party by investment'!$C43)*X$5/X$6</f>
        <v>0</v>
      </c>
      <c r="Y43" s="221">
        <f ca="1">SUMIFS('Rev Adequacy'!$G$6:$G$4999,'Rev Adequacy'!$B$6:$B$4999,'Charges to party by investment'!Y$4,'Rev Adequacy'!$E$6:$E$4999,'Charges to party by investment'!$C43)*Y$5/Y$6</f>
        <v>0</v>
      </c>
      <c r="Z43" s="221">
        <f ca="1">SUMIFS('Rev Adequacy'!$G$6:$G$4999,'Rev Adequacy'!$B$6:$B$4999,'Charges to party by investment'!Z$4,'Rev Adequacy'!$E$6:$E$4999,'Charges to party by investment'!$C43)*Z$5/Z$6</f>
        <v>0</v>
      </c>
      <c r="AA43" s="221">
        <f ca="1">SUMIFS('Rev Adequacy'!$G$6:$G$4999,'Rev Adequacy'!$B$6:$B$4999,'Charges to party by investment'!AA$4,'Rev Adequacy'!$E$6:$E$4999,'Charges to party by investment'!$C43)*AA$5/AA$6</f>
        <v>0</v>
      </c>
      <c r="AB43" s="221">
        <f>SUMIFS('Rev Adequacy'!$G$6:$G$4999,'Rev Adequacy'!$B$6:$B$4999,'Charges to party by investment'!AB$4,'Rev Adequacy'!$E$6:$E$4999,'Charges to party by investment'!$C43)</f>
        <v>0</v>
      </c>
      <c r="AC43" s="221">
        <f>SUMIFS('Rev Adequacy'!$G$6:$G$4999,'Rev Adequacy'!$B$6:$B$4999,'Charges to party by investment'!AC$4,'Rev Adequacy'!$E$6:$E$4999,'Charges to party by investment'!$C43)</f>
        <v>0</v>
      </c>
      <c r="AD43" s="221">
        <f>SUMIFS('Rev Adequacy'!$G$6:$G$4999,'Rev Adequacy'!$B$6:$B$4999,'Charges to party by investment'!AD$4,'Rev Adequacy'!$E$6:$E$4999,'Charges to party by investment'!$C43)</f>
        <v>0</v>
      </c>
      <c r="AE43" s="221">
        <f>SUMIFS('Rev Adequacy'!$G$6:$G$4999,'Rev Adequacy'!$B$6:$B$4999,'Charges to party by investment'!AE$4,'Rev Adequacy'!$E$6:$E$4999,'Charges to party by investment'!$C43)</f>
        <v>0</v>
      </c>
      <c r="AF43" s="221">
        <f>SUMIFS('Rev Adequacy'!$G$6:$G$4999,'Rev Adequacy'!$B$6:$B$4999,'Charges to party by investment'!AF$4,'Rev Adequacy'!$E$6:$E$4999,'Charges to party by investment'!$C43)</f>
        <v>0</v>
      </c>
      <c r="AG43" s="221">
        <f>SUMIFS('Rev Adequacy'!$G$6:$G$4999,'Rev Adequacy'!$B$6:$B$4999,'Charges to party by investment'!AG$4,'Rev Adequacy'!$E$6:$E$4999,'Charges to party by investment'!$C43)</f>
        <v>0</v>
      </c>
      <c r="AH43" s="221">
        <f>SUMIFS('Rev Adequacy'!$G$6:$G$4999,'Rev Adequacy'!$B$6:$B$4999,'Charges to party by investment'!AH$4,'Rev Adequacy'!$E$6:$E$4999,'Charges to party by investment'!$C43)</f>
        <v>0</v>
      </c>
      <c r="AJ43" s="190" t="str">
        <f>'Charges as $M per year'!A38</f>
        <v>Tuaropaki</v>
      </c>
      <c r="AK43" s="215" t="str">
        <f t="shared" si="9"/>
        <v>Mokai JV</v>
      </c>
      <c r="AL43" s="216">
        <f t="shared" ca="1" si="10"/>
        <v>0.18568578724632673</v>
      </c>
      <c r="AM43" s="216">
        <f>SUMIF('Rev Adequacy'!$BF$27:$BF$257,'Charges to party by investment'!AK43,'Rev Adequacy'!$BJ$27:$BJ$257)</f>
        <v>0</v>
      </c>
      <c r="AN43" s="219">
        <f>VLOOKUP(AK43,Connection!$X$5:$AB$55,5,0)/1000000</f>
        <v>0.19051899</v>
      </c>
      <c r="AO43" s="216">
        <v>0</v>
      </c>
      <c r="AP43" s="217">
        <f t="shared" ca="1" si="11"/>
        <v>1</v>
      </c>
      <c r="AQ43" s="217"/>
      <c r="AR43" s="274"/>
      <c r="AS43" s="217"/>
      <c r="AT43" s="277">
        <f t="shared" si="13"/>
        <v>0</v>
      </c>
      <c r="AU43" s="274">
        <f t="shared" ca="1" si="14"/>
        <v>0.18568578724632673</v>
      </c>
      <c r="AV43" s="217"/>
      <c r="AW43" s="215" t="s">
        <v>16</v>
      </c>
      <c r="AX43" s="216">
        <f>SUMIF('Rev Adequacy'!$BF$27:$BF$257,'Charges to party by investment'!AK43,'Rev Adequacy'!$BK$27:$BK$257)</f>
        <v>0</v>
      </c>
      <c r="AY43" s="216">
        <f>SUMIF('Rev Adequacy'!$BF$27:$BF$257,'Charges to party by investment'!AK43,'Rev Adequacy'!$BL$27:$BL$257)</f>
        <v>0</v>
      </c>
      <c r="AZ43" s="279">
        <f t="shared" ca="1" si="17"/>
        <v>3.8132541755610738E-3</v>
      </c>
      <c r="BA43" s="279">
        <f t="shared" ca="1" si="17"/>
        <v>3.8132541755610738E-3</v>
      </c>
      <c r="BX43" s="115" t="str">
        <f t="shared" si="15"/>
        <v>Mokai JV</v>
      </c>
      <c r="BY43" s="286">
        <f t="shared" ca="1" si="5"/>
        <v>0.18568578724632673</v>
      </c>
      <c r="BZ43" s="286">
        <f t="shared" si="6"/>
        <v>0</v>
      </c>
      <c r="CA43" s="286">
        <f t="shared" si="7"/>
        <v>0</v>
      </c>
      <c r="CB43" s="286">
        <f t="shared" si="8"/>
        <v>0</v>
      </c>
      <c r="CC43" s="286">
        <f t="shared" ca="1" si="16"/>
        <v>0.18568578724632673</v>
      </c>
    </row>
    <row r="44" spans="3:81" x14ac:dyDescent="0.25">
      <c r="C44" s="56" t="s">
        <v>17</v>
      </c>
      <c r="D44" s="15"/>
      <c r="F44" s="221">
        <f ca="1">SUMIF('Rev Adequacy'!$AH$22:$AH$652,'Charges to party by investment'!C44,'Rev Adequacy'!$AL$22:$AL$652)</f>
        <v>0</v>
      </c>
      <c r="G44" s="221">
        <f ca="1">SUMIF('Rev Adequacy'!$AH$22:$AH$652,'Charges to party by investment'!$C44,'Rev Adequacy'!AM$22:AM$652)</f>
        <v>0</v>
      </c>
      <c r="H44" s="221">
        <f ca="1">SUMIF('Rev Adequacy'!$AH$22:$AH$652,'Charges to party by investment'!$C44,'Rev Adequacy'!AN$22:AN$652)</f>
        <v>0</v>
      </c>
      <c r="I44" s="221">
        <f ca="1">SUMIF('Rev Adequacy'!$AH$22:$AH$652,'Charges to party by investment'!$C44,'Rev Adequacy'!AO$22:AO$652)</f>
        <v>0</v>
      </c>
      <c r="J44" s="221">
        <f>SUMIF('Rev Adequacy'!$AH$22:$AH$652,'Charges to party by investment'!$C44,'Rev Adequacy'!AP$22:AP$652)</f>
        <v>0</v>
      </c>
      <c r="K44" s="221">
        <f ca="1">SUMIF('Rev Adequacy'!$AH$22:$AH$652,'Charges to party by investment'!$C44,'Rev Adequacy'!AQ$22:AQ$652)</f>
        <v>0</v>
      </c>
      <c r="L44" s="221">
        <f ca="1">SUMIF('Rev Adequacy'!$AH$22:$AH$652,'Charges to party by investment'!$C44,'Rev Adequacy'!AR$22:AR$652)</f>
        <v>1.6355975709871136E-2</v>
      </c>
      <c r="M44" s="221">
        <f ca="1">SUMIF('Rev Adequacy'!$AH$22:$AH$652,'Charges to party by investment'!$C44,'Rev Adequacy'!AS$22:AS$652)</f>
        <v>0.6754242400650543</v>
      </c>
      <c r="N44" s="221">
        <f ca="1">SUMIF('Rev Adequacy'!$AH$22:$AH$652,'Charges to party by investment'!$C44,'Rev Adequacy'!AT$22:AT$652)</f>
        <v>0</v>
      </c>
      <c r="O44" s="221">
        <f ca="1">SUMIF('Rev Adequacy'!$AH$22:$AH$652,'Charges to party by investment'!$C44,'Rev Adequacy'!AU$22:AU$652)</f>
        <v>7.5434113713553578E-3</v>
      </c>
      <c r="P44" s="221">
        <f ca="1">SUMIF('Rev Adequacy'!$AH$22:$AH$652,'Charges to party by investment'!$C44,'Rev Adequacy'!AV$22:AV$652)</f>
        <v>0</v>
      </c>
      <c r="Q44" s="221">
        <f>SUMIF('Rev Adequacy'!$AH$22:$AH$652,'Charges to party by investment'!$C44,'Rev Adequacy'!AW$22:AW$652)</f>
        <v>0</v>
      </c>
      <c r="R44" s="221">
        <f>SUMIF('Rev Adequacy'!$AH$22:$AH$652,'Charges to party by investment'!$C44,'Rev Adequacy'!AX$22:AX$652)</f>
        <v>0</v>
      </c>
      <c r="S44" s="15"/>
      <c r="T44" s="15"/>
      <c r="V44" s="221">
        <f ca="1">SUMIFS('Rev Adequacy'!$G$6:$G$4999,'Rev Adequacy'!$B$6:$B$4999,'Charges to party by investment'!V$4,'Rev Adequacy'!$E$6:$E$4999,'Charges to party by investment'!$C44)*V$5/V$6</f>
        <v>1.1777396471848909</v>
      </c>
      <c r="W44" s="221">
        <f ca="1">SUMIFS('Rev Adequacy'!$G$6:$G$4999,'Rev Adequacy'!$B$6:$B$4999,'Charges to party by investment'!W$4,'Rev Adequacy'!$E$6:$E$4999,'Charges to party by investment'!$C44)*W$5/W$6</f>
        <v>3.0404855838255494E-3</v>
      </c>
      <c r="X44" s="221">
        <f ca="1">SUMIFS('Rev Adequacy'!$G$6:$G$4999,'Rev Adequacy'!$B$6:$B$4999,'Charges to party by investment'!X$4,'Rev Adequacy'!$E$6:$E$4999,'Charges to party by investment'!$C44)*X$5/X$6</f>
        <v>4.6126128824470671E-3</v>
      </c>
      <c r="Y44" s="221">
        <f ca="1">SUMIFS('Rev Adequacy'!$G$6:$G$4999,'Rev Adequacy'!$B$6:$B$4999,'Charges to party by investment'!Y$4,'Rev Adequacy'!$E$6:$E$4999,'Charges to party by investment'!$C44)*Y$5/Y$6</f>
        <v>1.6140540000000199E-3</v>
      </c>
      <c r="Z44" s="221">
        <f ca="1">SUMIFS('Rev Adequacy'!$G$6:$G$4999,'Rev Adequacy'!$B$6:$B$4999,'Charges to party by investment'!Z$4,'Rev Adequacy'!$E$6:$E$4999,'Charges to party by investment'!$C44)*Z$5/Z$6</f>
        <v>3.4416897400808943E-2</v>
      </c>
      <c r="AA44" s="221">
        <f ca="1">SUMIFS('Rev Adequacy'!$G$6:$G$4999,'Rev Adequacy'!$B$6:$B$4999,'Charges to party by investment'!AA$4,'Rev Adequacy'!$E$6:$E$4999,'Charges to party by investment'!$C44)*AA$5/AA$6</f>
        <v>0.22174022714621111</v>
      </c>
      <c r="AB44" s="221">
        <f>SUMIFS('Rev Adequacy'!$G$6:$G$4999,'Rev Adequacy'!$B$6:$B$4999,'Charges to party by investment'!AB$4,'Rev Adequacy'!$E$6:$E$4999,'Charges to party by investment'!$C44)</f>
        <v>0</v>
      </c>
      <c r="AC44" s="221">
        <f>SUMIFS('Rev Adequacy'!$G$6:$G$4999,'Rev Adequacy'!$B$6:$B$4999,'Charges to party by investment'!AC$4,'Rev Adequacy'!$E$6:$E$4999,'Charges to party by investment'!$C44)</f>
        <v>0</v>
      </c>
      <c r="AD44" s="221">
        <f>SUMIFS('Rev Adequacy'!$G$6:$G$4999,'Rev Adequacy'!$B$6:$B$4999,'Charges to party by investment'!AD$4,'Rev Adequacy'!$E$6:$E$4999,'Charges to party by investment'!$C44)</f>
        <v>0</v>
      </c>
      <c r="AE44" s="221">
        <f>SUMIFS('Rev Adequacy'!$G$6:$G$4999,'Rev Adequacy'!$B$6:$B$4999,'Charges to party by investment'!AE$4,'Rev Adequacy'!$E$6:$E$4999,'Charges to party by investment'!$C44)</f>
        <v>0</v>
      </c>
      <c r="AF44" s="221">
        <f>SUMIFS('Rev Adequacy'!$G$6:$G$4999,'Rev Adequacy'!$B$6:$B$4999,'Charges to party by investment'!AF$4,'Rev Adequacy'!$E$6:$E$4999,'Charges to party by investment'!$C44)</f>
        <v>0</v>
      </c>
      <c r="AG44" s="221">
        <f>SUMIFS('Rev Adequacy'!$G$6:$G$4999,'Rev Adequacy'!$B$6:$B$4999,'Charges to party by investment'!AG$4,'Rev Adequacy'!$E$6:$E$4999,'Charges to party by investment'!$C44)</f>
        <v>0</v>
      </c>
      <c r="AH44" s="221">
        <f>SUMIFS('Rev Adequacy'!$G$6:$G$4999,'Rev Adequacy'!$B$6:$B$4999,'Charges to party by investment'!AH$4,'Rev Adequacy'!$E$6:$E$4999,'Charges to party by investment'!$C44)</f>
        <v>0</v>
      </c>
      <c r="AJ44" s="190" t="str">
        <f>'Charges as $M per year'!A39</f>
        <v>Mercury</v>
      </c>
      <c r="AK44" s="215" t="str">
        <f t="shared" si="9"/>
        <v>MRP</v>
      </c>
      <c r="AL44" s="216">
        <f t="shared" ca="1" si="10"/>
        <v>2.1424875513444643</v>
      </c>
      <c r="AM44" s="216">
        <f>SUMIF('Rev Adequacy'!$BF$27:$BF$257,'Charges to party by investment'!AK44,'Rev Adequacy'!$BJ$27:$BJ$257)</f>
        <v>1.8924543061484456</v>
      </c>
      <c r="AN44" s="216">
        <f>VLOOKUP(AK44,Connection!$X$5:$AB$55,5,0)/1000000</f>
        <v>3.5951406100000005</v>
      </c>
      <c r="AO44" s="216">
        <v>1.6332228067455299E-2</v>
      </c>
      <c r="AP44" s="217">
        <f t="shared" ca="1" si="11"/>
        <v>0.53287428443966056</v>
      </c>
      <c r="AQ44" s="217"/>
      <c r="AR44" s="274"/>
      <c r="AS44" s="217"/>
      <c r="AT44" s="277">
        <f t="shared" si="13"/>
        <v>1.8924543061484456</v>
      </c>
      <c r="AU44" s="274">
        <f t="shared" ca="1" si="14"/>
        <v>4.0512740855603653</v>
      </c>
      <c r="AV44" s="217"/>
      <c r="AW44" s="215" t="s">
        <v>17</v>
      </c>
      <c r="AX44" s="216">
        <f>SUMIF('Rev Adequacy'!$BF$27:$BF$257,'Charges to party by investment'!AK44,'Rev Adequacy'!$BK$27:$BK$257)</f>
        <v>2.0745980901862451</v>
      </c>
      <c r="AY44" s="216">
        <f>SUMIF('Rev Adequacy'!$BF$27:$BF$257,'Charges to party by investment'!AK44,'Rev Adequacy'!$BL$27:$BL$257)</f>
        <v>2.1960272795447779</v>
      </c>
      <c r="AZ44" s="279">
        <f t="shared" ca="1" si="17"/>
        <v>7.7504924257847968E-2</v>
      </c>
      <c r="BA44" s="279">
        <f t="shared" ca="1" si="17"/>
        <v>7.7504924257847968E-2</v>
      </c>
      <c r="BX44" s="115" t="str">
        <f t="shared" si="15"/>
        <v>MRP</v>
      </c>
      <c r="BY44" s="286">
        <f t="shared" ca="1" si="5"/>
        <v>2.1424875513444643</v>
      </c>
      <c r="BZ44" s="286">
        <f t="shared" si="6"/>
        <v>1.8924543061484456</v>
      </c>
      <c r="CA44" s="286">
        <f t="shared" si="7"/>
        <v>1.6332228067455299E-2</v>
      </c>
      <c r="CB44" s="286">
        <f t="shared" si="8"/>
        <v>0</v>
      </c>
      <c r="CC44" s="286">
        <f t="shared" ca="1" si="16"/>
        <v>4.0512740855603653</v>
      </c>
    </row>
    <row r="45" spans="3:81" x14ac:dyDescent="0.25">
      <c r="C45" s="56" t="s">
        <v>18</v>
      </c>
      <c r="D45" s="15"/>
      <c r="F45" s="221">
        <f>SUMIF('Rev Adequacy'!$AH$22:$AH$652,'Charges to party by investment'!C45,'Rev Adequacy'!$AL$22:$AL$652)</f>
        <v>0</v>
      </c>
      <c r="G45" s="221">
        <f ca="1">SUMIF('Rev Adequacy'!$AH$22:$AH$652,'Charges to party by investment'!$C45,'Rev Adequacy'!AM$22:AM$652)</f>
        <v>0</v>
      </c>
      <c r="H45" s="221">
        <f ca="1">SUMIF('Rev Adequacy'!$AH$22:$AH$652,'Charges to party by investment'!$C45,'Rev Adequacy'!AN$22:AN$652)</f>
        <v>0</v>
      </c>
      <c r="I45" s="221">
        <f>SUMIF('Rev Adequacy'!$AH$22:$AH$652,'Charges to party by investment'!$C45,'Rev Adequacy'!AO$22:AO$652)</f>
        <v>0</v>
      </c>
      <c r="J45" s="221">
        <f>SUMIF('Rev Adequacy'!$AH$22:$AH$652,'Charges to party by investment'!$C45,'Rev Adequacy'!AP$22:AP$652)</f>
        <v>0</v>
      </c>
      <c r="K45" s="221">
        <f ca="1">SUMIF('Rev Adequacy'!$AH$22:$AH$652,'Charges to party by investment'!$C45,'Rev Adequacy'!AQ$22:AQ$652)</f>
        <v>0</v>
      </c>
      <c r="L45" s="221">
        <f>SUMIF('Rev Adequacy'!$AH$22:$AH$652,'Charges to party by investment'!$C45,'Rev Adequacy'!AR$22:AR$652)</f>
        <v>0</v>
      </c>
      <c r="M45" s="221">
        <f ca="1">SUMIF('Rev Adequacy'!$AH$22:$AH$652,'Charges to party by investment'!$C45,'Rev Adequacy'!AS$22:AS$652)</f>
        <v>0.14251152189217686</v>
      </c>
      <c r="N45" s="221">
        <f>SUMIF('Rev Adequacy'!$AH$22:$AH$652,'Charges to party by investment'!$C45,'Rev Adequacy'!AT$22:AT$652)</f>
        <v>0</v>
      </c>
      <c r="O45" s="221">
        <f>SUMIF('Rev Adequacy'!$AH$22:$AH$652,'Charges to party by investment'!$C45,'Rev Adequacy'!AU$22:AU$652)</f>
        <v>0</v>
      </c>
      <c r="P45" s="221">
        <f>SUMIF('Rev Adequacy'!$AH$22:$AH$652,'Charges to party by investment'!$C45,'Rev Adequacy'!AV$22:AV$652)</f>
        <v>0</v>
      </c>
      <c r="Q45" s="221">
        <f>SUMIF('Rev Adequacy'!$AH$22:$AH$652,'Charges to party by investment'!$C45,'Rev Adequacy'!AW$22:AW$652)</f>
        <v>0</v>
      </c>
      <c r="R45" s="221">
        <f>SUMIF('Rev Adequacy'!$AH$22:$AH$652,'Charges to party by investment'!$C45,'Rev Adequacy'!AX$22:AX$652)</f>
        <v>0</v>
      </c>
      <c r="S45" s="15"/>
      <c r="T45" s="15"/>
      <c r="V45" s="221">
        <f ca="1">SUMIFS('Rev Adequacy'!$G$6:$G$4999,'Rev Adequacy'!$B$6:$B$4999,'Charges to party by investment'!V$4,'Rev Adequacy'!$E$6:$E$4999,'Charges to party by investment'!$C45)*V$5/V$6</f>
        <v>4.8825550259405159E-2</v>
      </c>
      <c r="W45" s="221">
        <f ca="1">SUMIFS('Rev Adequacy'!$G$6:$G$4999,'Rev Adequacy'!$B$6:$B$4999,'Charges to party by investment'!W$4,'Rev Adequacy'!$E$6:$E$4999,'Charges to party by investment'!$C45)*W$5/W$6</f>
        <v>0</v>
      </c>
      <c r="X45" s="221">
        <f ca="1">SUMIFS('Rev Adequacy'!$G$6:$G$4999,'Rev Adequacy'!$B$6:$B$4999,'Charges to party by investment'!X$4,'Rev Adequacy'!$E$6:$E$4999,'Charges to party by investment'!$C45)*X$5/X$6</f>
        <v>0</v>
      </c>
      <c r="Y45" s="221">
        <f ca="1">SUMIFS('Rev Adequacy'!$G$6:$G$4999,'Rev Adequacy'!$B$6:$B$4999,'Charges to party by investment'!Y$4,'Rev Adequacy'!$E$6:$E$4999,'Charges to party by investment'!$C45)*Y$5/Y$6</f>
        <v>0</v>
      </c>
      <c r="Z45" s="221">
        <f ca="1">SUMIFS('Rev Adequacy'!$G$6:$G$4999,'Rev Adequacy'!$B$6:$B$4999,'Charges to party by investment'!Z$4,'Rev Adequacy'!$E$6:$E$4999,'Charges to party by investment'!$C45)*Z$5/Z$6</f>
        <v>0</v>
      </c>
      <c r="AA45" s="221">
        <f ca="1">SUMIFS('Rev Adequacy'!$G$6:$G$4999,'Rev Adequacy'!$B$6:$B$4999,'Charges to party by investment'!AA$4,'Rev Adequacy'!$E$6:$E$4999,'Charges to party by investment'!$C45)*AA$5/AA$6</f>
        <v>0.35357398749008523</v>
      </c>
      <c r="AB45" s="221">
        <f>SUMIFS('Rev Adequacy'!$G$6:$G$4999,'Rev Adequacy'!$B$6:$B$4999,'Charges to party by investment'!AB$4,'Rev Adequacy'!$E$6:$E$4999,'Charges to party by investment'!$C45)</f>
        <v>0</v>
      </c>
      <c r="AC45" s="221">
        <f>SUMIFS('Rev Adequacy'!$G$6:$G$4999,'Rev Adequacy'!$B$6:$B$4999,'Charges to party by investment'!AC$4,'Rev Adequacy'!$E$6:$E$4999,'Charges to party by investment'!$C45)</f>
        <v>0</v>
      </c>
      <c r="AD45" s="221">
        <f>SUMIFS('Rev Adequacy'!$G$6:$G$4999,'Rev Adequacy'!$B$6:$B$4999,'Charges to party by investment'!AD$4,'Rev Adequacy'!$E$6:$E$4999,'Charges to party by investment'!$C45)</f>
        <v>0</v>
      </c>
      <c r="AE45" s="221">
        <f>SUMIFS('Rev Adequacy'!$G$6:$G$4999,'Rev Adequacy'!$B$6:$B$4999,'Charges to party by investment'!AE$4,'Rev Adequacy'!$E$6:$E$4999,'Charges to party by investment'!$C45)</f>
        <v>0</v>
      </c>
      <c r="AF45" s="221">
        <f>SUMIFS('Rev Adequacy'!$G$6:$G$4999,'Rev Adequacy'!$B$6:$B$4999,'Charges to party by investment'!AF$4,'Rev Adequacy'!$E$6:$E$4999,'Charges to party by investment'!$C45)</f>
        <v>0</v>
      </c>
      <c r="AG45" s="221">
        <f>SUMIFS('Rev Adequacy'!$G$6:$G$4999,'Rev Adequacy'!$B$6:$B$4999,'Charges to party by investment'!AG$4,'Rev Adequacy'!$E$6:$E$4999,'Charges to party by investment'!$C45)</f>
        <v>0</v>
      </c>
      <c r="AH45" s="221">
        <f>SUMIFS('Rev Adequacy'!$G$6:$G$4999,'Rev Adequacy'!$B$6:$B$4999,'Charges to party by investment'!AH$4,'Rev Adequacy'!$E$6:$E$4999,'Charges to party by investment'!$C45)</f>
        <v>0</v>
      </c>
      <c r="AJ45" s="190" t="str">
        <f>'Charges as $M per year'!A40</f>
        <v>Nga Awa Purua JV</v>
      </c>
      <c r="AK45" s="215" t="str">
        <f t="shared" si="9"/>
        <v>NAP JV</v>
      </c>
      <c r="AL45" s="216">
        <f t="shared" ca="1" si="10"/>
        <v>0.54491105964166731</v>
      </c>
      <c r="AM45" s="216">
        <f>SUMIF('Rev Adequacy'!$BF$27:$BF$257,'Charges to party by investment'!AK45,'Rev Adequacy'!$BJ$27:$BJ$257)</f>
        <v>0</v>
      </c>
      <c r="AN45" s="216">
        <f>VLOOKUP(AK45,Connection!$X$5:$AB$55,5,0)/1000000</f>
        <v>0.24736537000000006</v>
      </c>
      <c r="AO45" s="216">
        <v>0</v>
      </c>
      <c r="AP45" s="217">
        <f t="shared" ca="1" si="11"/>
        <v>1</v>
      </c>
      <c r="AQ45" s="217"/>
      <c r="AR45" s="274"/>
      <c r="AS45" s="217"/>
      <c r="AT45" s="277">
        <f t="shared" si="13"/>
        <v>0</v>
      </c>
      <c r="AU45" s="274">
        <f t="shared" ca="1" si="14"/>
        <v>0.54491105964166731</v>
      </c>
      <c r="AV45" s="217"/>
      <c r="AW45" s="215" t="s">
        <v>18</v>
      </c>
      <c r="AX45" s="216">
        <f>SUMIF('Rev Adequacy'!$BF$27:$BF$257,'Charges to party by investment'!AK45,'Rev Adequacy'!$BK$27:$BK$257)</f>
        <v>0</v>
      </c>
      <c r="AY45" s="216">
        <f>SUMIF('Rev Adequacy'!$BF$27:$BF$257,'Charges to party by investment'!AK45,'Rev Adequacy'!$BL$27:$BL$257)</f>
        <v>0</v>
      </c>
      <c r="AZ45" s="279">
        <f t="shared" ca="1" si="17"/>
        <v>8.0306035070669898E-3</v>
      </c>
      <c r="BA45" s="279">
        <f t="shared" ca="1" si="17"/>
        <v>8.0306035070669898E-3</v>
      </c>
      <c r="BX45" s="115" t="str">
        <f t="shared" si="15"/>
        <v>NAP JV</v>
      </c>
      <c r="BY45" s="286">
        <f t="shared" ca="1" si="5"/>
        <v>0.54491105964166731</v>
      </c>
      <c r="BZ45" s="286">
        <f t="shared" si="6"/>
        <v>0</v>
      </c>
      <c r="CA45" s="286">
        <f t="shared" si="7"/>
        <v>0</v>
      </c>
      <c r="CB45" s="286">
        <f t="shared" si="8"/>
        <v>0</v>
      </c>
      <c r="CC45" s="286">
        <f t="shared" ca="1" si="16"/>
        <v>0.54491105964166731</v>
      </c>
    </row>
    <row r="46" spans="3:81" x14ac:dyDescent="0.25">
      <c r="C46" s="56" t="s">
        <v>21</v>
      </c>
      <c r="D46" s="15"/>
      <c r="F46" s="221">
        <f>SUMIF('Rev Adequacy'!$AH$22:$AH$652,'Charges to party by investment'!C46,'Rev Adequacy'!$AL$22:$AL$652)</f>
        <v>0</v>
      </c>
      <c r="G46" s="221">
        <f ca="1">SUMIF('Rev Adequacy'!$AH$22:$AH$652,'Charges to party by investment'!$C46,'Rev Adequacy'!AM$22:AM$652)</f>
        <v>0</v>
      </c>
      <c r="H46" s="221">
        <f ca="1">SUMIF('Rev Adequacy'!$AH$22:$AH$652,'Charges to party by investment'!$C46,'Rev Adequacy'!AN$22:AN$652)</f>
        <v>0</v>
      </c>
      <c r="I46" s="221">
        <f>SUMIF('Rev Adequacy'!$AH$22:$AH$652,'Charges to party by investment'!$C46,'Rev Adequacy'!AO$22:AO$652)</f>
        <v>0</v>
      </c>
      <c r="J46" s="221">
        <f>SUMIF('Rev Adequacy'!$AH$22:$AH$652,'Charges to party by investment'!$C46,'Rev Adequacy'!AP$22:AP$652)</f>
        <v>0</v>
      </c>
      <c r="K46" s="221">
        <f ca="1">SUMIF('Rev Adequacy'!$AH$22:$AH$652,'Charges to party by investment'!$C46,'Rev Adequacy'!AQ$22:AQ$652)</f>
        <v>0</v>
      </c>
      <c r="L46" s="221">
        <f>SUMIF('Rev Adequacy'!$AH$22:$AH$652,'Charges to party by investment'!$C46,'Rev Adequacy'!AR$22:AR$652)</f>
        <v>0</v>
      </c>
      <c r="M46" s="221">
        <f ca="1">SUMIF('Rev Adequacy'!$AH$22:$AH$652,'Charges to party by investment'!$C46,'Rev Adequacy'!AS$22:AS$652)</f>
        <v>8.2818813310596373E-2</v>
      </c>
      <c r="N46" s="221">
        <f>SUMIF('Rev Adequacy'!$AH$22:$AH$652,'Charges to party by investment'!$C46,'Rev Adequacy'!AT$22:AT$652)</f>
        <v>0</v>
      </c>
      <c r="O46" s="221">
        <f>SUMIF('Rev Adequacy'!$AH$22:$AH$652,'Charges to party by investment'!$C46,'Rev Adequacy'!AU$22:AU$652)</f>
        <v>0</v>
      </c>
      <c r="P46" s="221">
        <f>SUMIF('Rev Adequacy'!$AH$22:$AH$652,'Charges to party by investment'!$C46,'Rev Adequacy'!AV$22:AV$652)</f>
        <v>0</v>
      </c>
      <c r="Q46" s="221">
        <f>SUMIF('Rev Adequacy'!$AH$22:$AH$652,'Charges to party by investment'!$C46,'Rev Adequacy'!AW$22:AW$652)</f>
        <v>0</v>
      </c>
      <c r="R46" s="221">
        <f>SUMIF('Rev Adequacy'!$AH$22:$AH$652,'Charges to party by investment'!$C46,'Rev Adequacy'!AX$22:AX$652)</f>
        <v>0</v>
      </c>
      <c r="S46" s="15"/>
      <c r="T46" s="15"/>
      <c r="V46" s="221">
        <f ca="1">SUMIFS('Rev Adequacy'!$G$6:$G$4999,'Rev Adequacy'!$B$6:$B$4999,'Charges to party by investment'!V$4,'Rev Adequacy'!$E$6:$E$4999,'Charges to party by investment'!$C46)*V$5/V$6</f>
        <v>3.3192341032298782E-2</v>
      </c>
      <c r="W46" s="221">
        <f ca="1">SUMIFS('Rev Adequacy'!$G$6:$G$4999,'Rev Adequacy'!$B$6:$B$4999,'Charges to party by investment'!W$4,'Rev Adequacy'!$E$6:$E$4999,'Charges to party by investment'!$C46)*W$5/W$6</f>
        <v>0</v>
      </c>
      <c r="X46" s="221">
        <f ca="1">SUMIFS('Rev Adequacy'!$G$6:$G$4999,'Rev Adequacy'!$B$6:$B$4999,'Charges to party by investment'!X$4,'Rev Adequacy'!$E$6:$E$4999,'Charges to party by investment'!$C46)*X$5/X$6</f>
        <v>0</v>
      </c>
      <c r="Y46" s="221">
        <f ca="1">SUMIFS('Rev Adequacy'!$G$6:$G$4999,'Rev Adequacy'!$B$6:$B$4999,'Charges to party by investment'!Y$4,'Rev Adequacy'!$E$6:$E$4999,'Charges to party by investment'!$C46)*Y$5/Y$6</f>
        <v>0</v>
      </c>
      <c r="Z46" s="221">
        <f ca="1">SUMIFS('Rev Adequacy'!$G$6:$G$4999,'Rev Adequacy'!$B$6:$B$4999,'Charges to party by investment'!Z$4,'Rev Adequacy'!$E$6:$E$4999,'Charges to party by investment'!$C46)*Z$5/Z$6</f>
        <v>0</v>
      </c>
      <c r="AA46" s="221">
        <f ca="1">SUMIFS('Rev Adequacy'!$G$6:$G$4999,'Rev Adequacy'!$B$6:$B$4999,'Charges to party by investment'!AA$4,'Rev Adequacy'!$E$6:$E$4999,'Charges to party by investment'!$C46)*AA$5/AA$6</f>
        <v>0.21188474036070939</v>
      </c>
      <c r="AB46" s="221">
        <f>SUMIFS('Rev Adequacy'!$G$6:$G$4999,'Rev Adequacy'!$B$6:$B$4999,'Charges to party by investment'!AB$4,'Rev Adequacy'!$E$6:$E$4999,'Charges to party by investment'!$C46)</f>
        <v>0</v>
      </c>
      <c r="AC46" s="221">
        <f>SUMIFS('Rev Adequacy'!$G$6:$G$4999,'Rev Adequacy'!$B$6:$B$4999,'Charges to party by investment'!AC$4,'Rev Adequacy'!$E$6:$E$4999,'Charges to party by investment'!$C46)</f>
        <v>0</v>
      </c>
      <c r="AD46" s="221">
        <f>SUMIFS('Rev Adequacy'!$G$6:$G$4999,'Rev Adequacy'!$B$6:$B$4999,'Charges to party by investment'!AD$4,'Rev Adequacy'!$E$6:$E$4999,'Charges to party by investment'!$C46)</f>
        <v>0</v>
      </c>
      <c r="AE46" s="221">
        <f>SUMIFS('Rev Adequacy'!$G$6:$G$4999,'Rev Adequacy'!$B$6:$B$4999,'Charges to party by investment'!AE$4,'Rev Adequacy'!$E$6:$E$4999,'Charges to party by investment'!$C46)</f>
        <v>0</v>
      </c>
      <c r="AF46" s="221">
        <f>SUMIFS('Rev Adequacy'!$G$6:$G$4999,'Rev Adequacy'!$B$6:$B$4999,'Charges to party by investment'!AF$4,'Rev Adequacy'!$E$6:$E$4999,'Charges to party by investment'!$C46)</f>
        <v>0</v>
      </c>
      <c r="AG46" s="221">
        <f>SUMIFS('Rev Adequacy'!$G$6:$G$4999,'Rev Adequacy'!$B$6:$B$4999,'Charges to party by investment'!AG$4,'Rev Adequacy'!$E$6:$E$4999,'Charges to party by investment'!$C46)</f>
        <v>0</v>
      </c>
      <c r="AH46" s="221">
        <f>SUMIFS('Rev Adequacy'!$G$6:$G$4999,'Rev Adequacy'!$B$6:$B$4999,'Charges to party by investment'!AH$4,'Rev Adequacy'!$E$6:$E$4999,'Charges to party by investment'!$C46)</f>
        <v>0</v>
      </c>
      <c r="AJ46" s="190" t="str">
        <f>'Charges as $M per year'!A41</f>
        <v>Ngatamariki</v>
      </c>
      <c r="AK46" s="215" t="str">
        <f t="shared" si="9"/>
        <v>Ngatamariki</v>
      </c>
      <c r="AL46" s="216">
        <f t="shared" ca="1" si="10"/>
        <v>0.32789589470360458</v>
      </c>
      <c r="AM46" s="216">
        <f>SUMIF('Rev Adequacy'!$BF$27:$BF$257,'Charges to party by investment'!AK46,'Rev Adequacy'!$BJ$27:$BJ$257)</f>
        <v>0</v>
      </c>
      <c r="AN46" s="216">
        <f>VLOOKUP(AK46,Connection!$X$5:$AB$55,5,0)/1000000</f>
        <v>0.13821997</v>
      </c>
      <c r="AO46" s="216">
        <v>0</v>
      </c>
      <c r="AP46" s="217">
        <f t="shared" ca="1" si="11"/>
        <v>1</v>
      </c>
      <c r="AQ46" s="217"/>
      <c r="AR46" s="274"/>
      <c r="AS46" s="217"/>
      <c r="AT46" s="277">
        <f t="shared" si="13"/>
        <v>0</v>
      </c>
      <c r="AU46" s="274">
        <f t="shared" ca="1" si="14"/>
        <v>0.32789589470360458</v>
      </c>
      <c r="AV46" s="217"/>
      <c r="AW46" s="215" t="s">
        <v>21</v>
      </c>
      <c r="AX46" s="216">
        <f>SUMIF('Rev Adequacy'!$BF$27:$BF$257,'Charges to party by investment'!AK46,'Rev Adequacy'!$BK$27:$BK$257)</f>
        <v>0</v>
      </c>
      <c r="AY46" s="216">
        <f>SUMIF('Rev Adequacy'!$BF$27:$BF$257,'Charges to party by investment'!AK46,'Rev Adequacy'!$BL$27:$BL$257)</f>
        <v>0</v>
      </c>
      <c r="AZ46" s="279">
        <f t="shared" ca="1" si="17"/>
        <v>4.7246031280790586E-3</v>
      </c>
      <c r="BA46" s="279">
        <f t="shared" ca="1" si="17"/>
        <v>4.7246031280790586E-3</v>
      </c>
      <c r="BX46" s="115" t="str">
        <f t="shared" si="15"/>
        <v>Ngatamariki</v>
      </c>
      <c r="BY46" s="286">
        <f t="shared" ca="1" si="5"/>
        <v>0.32789589470360458</v>
      </c>
      <c r="BZ46" s="286">
        <f t="shared" si="6"/>
        <v>0</v>
      </c>
      <c r="CA46" s="286">
        <f t="shared" si="7"/>
        <v>0</v>
      </c>
      <c r="CB46" s="286">
        <f t="shared" si="8"/>
        <v>0</v>
      </c>
      <c r="CC46" s="286">
        <f t="shared" ca="1" si="16"/>
        <v>0.32789589470360458</v>
      </c>
    </row>
    <row r="47" spans="3:81" ht="12.75" customHeight="1" x14ac:dyDescent="0.25">
      <c r="C47" s="56" t="s">
        <v>27</v>
      </c>
      <c r="D47" s="15"/>
      <c r="F47" s="221">
        <f>SUMIF('Rev Adequacy'!$AH$22:$AH$652,'Charges to party by investment'!C47,'Rev Adequacy'!$AL$22:$AL$652)</f>
        <v>0</v>
      </c>
      <c r="G47" s="221">
        <f>SUMIF('Rev Adequacy'!$AH$22:$AH$652,'Charges to party by investment'!$C47,'Rev Adequacy'!AM$22:AM$652)</f>
        <v>0</v>
      </c>
      <c r="H47" s="221">
        <f>SUMIF('Rev Adequacy'!$AH$22:$AH$652,'Charges to party by investment'!$C47,'Rev Adequacy'!AN$22:AN$652)</f>
        <v>0</v>
      </c>
      <c r="I47" s="221">
        <f>SUMIF('Rev Adequacy'!$AH$22:$AH$652,'Charges to party by investment'!$C47,'Rev Adequacy'!AO$22:AO$652)</f>
        <v>0</v>
      </c>
      <c r="J47" s="221">
        <f>SUMIF('Rev Adequacy'!$AH$22:$AH$652,'Charges to party by investment'!$C47,'Rev Adequacy'!AP$22:AP$652)</f>
        <v>0</v>
      </c>
      <c r="K47" s="221">
        <f>SUMIF('Rev Adequacy'!$AH$22:$AH$652,'Charges to party by investment'!$C47,'Rev Adequacy'!AQ$22:AQ$652)</f>
        <v>0</v>
      </c>
      <c r="L47" s="221">
        <f>SUMIF('Rev Adequacy'!$AH$22:$AH$652,'Charges to party by investment'!$C47,'Rev Adequacy'!AR$22:AR$652)</f>
        <v>0</v>
      </c>
      <c r="M47" s="221">
        <f>SUMIF('Rev Adequacy'!$AH$22:$AH$652,'Charges to party by investment'!$C47,'Rev Adequacy'!AS$22:AS$652)</f>
        <v>0</v>
      </c>
      <c r="N47" s="221">
        <f>SUMIF('Rev Adequacy'!$AH$22:$AH$652,'Charges to party by investment'!$C47,'Rev Adequacy'!AT$22:AT$652)</f>
        <v>0</v>
      </c>
      <c r="O47" s="221">
        <f>SUMIF('Rev Adequacy'!$AH$22:$AH$652,'Charges to party by investment'!$C47,'Rev Adequacy'!AU$22:AU$652)</f>
        <v>0</v>
      </c>
      <c r="P47" s="221">
        <f>SUMIF('Rev Adequacy'!$AH$22:$AH$652,'Charges to party by investment'!$C47,'Rev Adequacy'!AV$22:AV$652)</f>
        <v>0</v>
      </c>
      <c r="Q47" s="221">
        <f>SUMIF('Rev Adequacy'!$AH$22:$AH$652,'Charges to party by investment'!$C47,'Rev Adequacy'!AW$22:AW$652)</f>
        <v>0</v>
      </c>
      <c r="R47" s="221">
        <f>SUMIF('Rev Adequacy'!$AH$22:$AH$652,'Charges to party by investment'!$C47,'Rev Adequacy'!AX$22:AX$652)</f>
        <v>0</v>
      </c>
      <c r="S47" s="15"/>
      <c r="T47" s="15"/>
      <c r="V47" s="221">
        <f ca="1">SUMIFS('Rev Adequacy'!$G$6:$G$4999,'Rev Adequacy'!$B$6:$B$4999,'Charges to party by investment'!V$4,'Rev Adequacy'!$E$6:$E$4999,'Charges to party by investment'!$C47)*V$5/V$6</f>
        <v>0</v>
      </c>
      <c r="W47" s="221">
        <f ca="1">SUMIFS('Rev Adequacy'!$G$6:$G$4999,'Rev Adequacy'!$B$6:$B$4999,'Charges to party by investment'!W$4,'Rev Adequacy'!$E$6:$E$4999,'Charges to party by investment'!$C47)*W$5/W$6</f>
        <v>7.8267683720732298E-2</v>
      </c>
      <c r="X47" s="221">
        <f ca="1">SUMIFS('Rev Adequacy'!$G$6:$G$4999,'Rev Adequacy'!$B$6:$B$4999,'Charges to party by investment'!X$4,'Rev Adequacy'!$E$6:$E$4999,'Charges to party by investment'!$C47)*X$5/X$6</f>
        <v>1.9985150655658368E-2</v>
      </c>
      <c r="Y47" s="221">
        <f ca="1">SUMIFS('Rev Adequacy'!$G$6:$G$4999,'Rev Adequacy'!$B$6:$B$4999,'Charges to party by investment'!Y$4,'Rev Adequacy'!$E$6:$E$4999,'Charges to party by investment'!$C47)*Y$5/Y$6</f>
        <v>0</v>
      </c>
      <c r="Z47" s="221">
        <f ca="1">SUMIFS('Rev Adequacy'!$G$6:$G$4999,'Rev Adequacy'!$B$6:$B$4999,'Charges to party by investment'!Z$4,'Rev Adequacy'!$E$6:$E$4999,'Charges to party by investment'!$C47)*Z$5/Z$6</f>
        <v>0</v>
      </c>
      <c r="AA47" s="221">
        <f ca="1">SUMIFS('Rev Adequacy'!$G$6:$G$4999,'Rev Adequacy'!$B$6:$B$4999,'Charges to party by investment'!AA$4,'Rev Adequacy'!$E$6:$E$4999,'Charges to party by investment'!$C47)*AA$5/AA$6</f>
        <v>0</v>
      </c>
      <c r="AB47" s="221">
        <f>SUMIFS('Rev Adequacy'!$G$6:$G$4999,'Rev Adequacy'!$B$6:$B$4999,'Charges to party by investment'!AB$4,'Rev Adequacy'!$E$6:$E$4999,'Charges to party by investment'!$C47)</f>
        <v>0</v>
      </c>
      <c r="AC47" s="221">
        <f>SUMIFS('Rev Adequacy'!$G$6:$G$4999,'Rev Adequacy'!$B$6:$B$4999,'Charges to party by investment'!AC$4,'Rev Adequacy'!$E$6:$E$4999,'Charges to party by investment'!$C47)</f>
        <v>0</v>
      </c>
      <c r="AD47" s="221">
        <f>SUMIFS('Rev Adequacy'!$G$6:$G$4999,'Rev Adequacy'!$B$6:$B$4999,'Charges to party by investment'!AD$4,'Rev Adequacy'!$E$6:$E$4999,'Charges to party by investment'!$C47)</f>
        <v>0</v>
      </c>
      <c r="AE47" s="221">
        <f>SUMIFS('Rev Adequacy'!$G$6:$G$4999,'Rev Adequacy'!$B$6:$B$4999,'Charges to party by investment'!AE$4,'Rev Adequacy'!$E$6:$E$4999,'Charges to party by investment'!$C47)</f>
        <v>0</v>
      </c>
      <c r="AF47" s="221">
        <f>SUMIFS('Rev Adequacy'!$G$6:$G$4999,'Rev Adequacy'!$B$6:$B$4999,'Charges to party by investment'!AF$4,'Rev Adequacy'!$E$6:$E$4999,'Charges to party by investment'!$C47)</f>
        <v>0</v>
      </c>
      <c r="AG47" s="221">
        <f>SUMIFS('Rev Adequacy'!$G$6:$G$4999,'Rev Adequacy'!$B$6:$B$4999,'Charges to party by investment'!AG$4,'Rev Adequacy'!$E$6:$E$4999,'Charges to party by investment'!$C47)</f>
        <v>0</v>
      </c>
      <c r="AH47" s="221">
        <f>SUMIFS('Rev Adequacy'!$G$6:$G$4999,'Rev Adequacy'!$B$6:$B$4999,'Charges to party by investment'!AH$4,'Rev Adequacy'!$E$6:$E$4999,'Charges to party by investment'!$C47)</f>
        <v>0</v>
      </c>
      <c r="AJ47" s="190" t="str">
        <f>'Charges as $M per year'!A42</f>
        <v>Pioneer</v>
      </c>
      <c r="AK47" s="215" t="str">
        <f t="shared" si="9"/>
        <v>Pioneer</v>
      </c>
      <c r="AL47" s="216">
        <f t="shared" ca="1" si="10"/>
        <v>9.8252834376390666E-2</v>
      </c>
      <c r="AM47" s="216">
        <f>SUMIF('Rev Adequacy'!$BF$27:$BF$257,'Charges to party by investment'!AK47,'Rev Adequacy'!$BJ$27:$BJ$257)</f>
        <v>0</v>
      </c>
      <c r="AN47" s="216">
        <f>VLOOKUP(AK47,Connection!$X$5:$AB$55,5,0)/1000000</f>
        <v>0.30017046000000003</v>
      </c>
      <c r="AO47" s="216">
        <v>7.277574817142619E-4</v>
      </c>
      <c r="AP47" s="217">
        <f t="shared" ca="1" si="11"/>
        <v>1</v>
      </c>
      <c r="AQ47" s="217"/>
      <c r="AR47" s="274"/>
      <c r="AS47" s="217"/>
      <c r="AT47" s="277">
        <f t="shared" si="13"/>
        <v>0</v>
      </c>
      <c r="AU47" s="274">
        <f t="shared" ca="1" si="14"/>
        <v>9.8980591858104927E-2</v>
      </c>
      <c r="AV47" s="217"/>
      <c r="AW47" s="215" t="s">
        <v>27</v>
      </c>
      <c r="AX47" s="216">
        <f>SUMIF('Rev Adequacy'!$BF$27:$BF$257,'Charges to party by investment'!AK47,'Rev Adequacy'!$BK$27:$BK$257)</f>
        <v>0</v>
      </c>
      <c r="AY47" s="216">
        <f>SUMIF('Rev Adequacy'!$BF$27:$BF$257,'Charges to party by investment'!AK47,'Rev Adequacy'!$BL$27:$BL$257)</f>
        <v>0</v>
      </c>
      <c r="AZ47" s="279">
        <f t="shared" ca="1" si="17"/>
        <v>4.0458402105322411E-3</v>
      </c>
      <c r="BA47" s="279">
        <f t="shared" ca="1" si="17"/>
        <v>4.0458402105322411E-3</v>
      </c>
      <c r="BX47" s="115" t="str">
        <f t="shared" si="15"/>
        <v>Pioneer</v>
      </c>
      <c r="BY47" s="286">
        <f t="shared" ca="1" si="5"/>
        <v>9.8252834376390666E-2</v>
      </c>
      <c r="BZ47" s="286">
        <f t="shared" si="6"/>
        <v>0</v>
      </c>
      <c r="CA47" s="286">
        <f t="shared" si="7"/>
        <v>7.277574817142619E-4</v>
      </c>
      <c r="CB47" s="286">
        <f t="shared" si="8"/>
        <v>0</v>
      </c>
      <c r="CC47" s="286">
        <f t="shared" ca="1" si="16"/>
        <v>9.8980591858104927E-2</v>
      </c>
    </row>
    <row r="48" spans="3:81" x14ac:dyDescent="0.25">
      <c r="C48" s="56" t="s">
        <v>33</v>
      </c>
      <c r="D48" s="15"/>
      <c r="F48" s="221">
        <f ca="1">SUMIF('Rev Adequacy'!$AH$22:$AH$652,'Charges to party by investment'!C48,'Rev Adequacy'!$AL$22:$AL$652)</f>
        <v>0</v>
      </c>
      <c r="G48" s="221">
        <f ca="1">SUMIF('Rev Adequacy'!$AH$22:$AH$652,'Charges to party by investment'!$C48,'Rev Adequacy'!AM$22:AM$652)</f>
        <v>0</v>
      </c>
      <c r="H48" s="221">
        <f ca="1">SUMIF('Rev Adequacy'!$AH$22:$AH$652,'Charges to party by investment'!$C48,'Rev Adequacy'!AN$22:AN$652)</f>
        <v>0</v>
      </c>
      <c r="I48" s="221">
        <f ca="1">SUMIF('Rev Adequacy'!$AH$22:$AH$652,'Charges to party by investment'!$C48,'Rev Adequacy'!AO$22:AO$652)</f>
        <v>0</v>
      </c>
      <c r="J48" s="221">
        <f>SUMIF('Rev Adequacy'!$AH$22:$AH$652,'Charges to party by investment'!$C48,'Rev Adequacy'!AP$22:AP$652)</f>
        <v>0</v>
      </c>
      <c r="K48" s="221">
        <f ca="1">SUMIF('Rev Adequacy'!$AH$22:$AH$652,'Charges to party by investment'!$C48,'Rev Adequacy'!AQ$22:AQ$652)</f>
        <v>0</v>
      </c>
      <c r="L48" s="221">
        <f ca="1">SUMIF('Rev Adequacy'!$AH$22:$AH$652,'Charges to party by investment'!$C48,'Rev Adequacy'!AR$22:AR$652)</f>
        <v>0</v>
      </c>
      <c r="M48" s="221">
        <f ca="1">SUMIF('Rev Adequacy'!$AH$22:$AH$652,'Charges to party by investment'!$C48,'Rev Adequacy'!AS$22:AS$652)</f>
        <v>6.2046619460762335E-2</v>
      </c>
      <c r="N48" s="221">
        <f ca="1">SUMIF('Rev Adequacy'!$AH$22:$AH$652,'Charges to party by investment'!$C48,'Rev Adequacy'!AT$22:AT$652)</f>
        <v>0</v>
      </c>
      <c r="O48" s="221">
        <f ca="1">SUMIF('Rev Adequacy'!$AH$22:$AH$652,'Charges to party by investment'!$C48,'Rev Adequacy'!AU$22:AU$652)</f>
        <v>0</v>
      </c>
      <c r="P48" s="221">
        <f ca="1">SUMIF('Rev Adequacy'!$AH$22:$AH$652,'Charges to party by investment'!$C48,'Rev Adequacy'!AV$22:AV$652)</f>
        <v>0</v>
      </c>
      <c r="Q48" s="221">
        <f>SUMIF('Rev Adequacy'!$AH$22:$AH$652,'Charges to party by investment'!$C48,'Rev Adequacy'!AW$22:AW$652)</f>
        <v>0</v>
      </c>
      <c r="R48" s="221">
        <f>SUMIF('Rev Adequacy'!$AH$22:$AH$652,'Charges to party by investment'!$C48,'Rev Adequacy'!AX$22:AX$652)</f>
        <v>0</v>
      </c>
      <c r="S48" s="15"/>
      <c r="T48" s="15"/>
      <c r="V48" s="221">
        <f ca="1">SUMIFS('Rev Adequacy'!$G$6:$G$4999,'Rev Adequacy'!$B$6:$B$4999,'Charges to party by investment'!V$4,'Rev Adequacy'!$E$6:$E$4999,'Charges to party by investment'!$C48)*V$5/V$6</f>
        <v>2.4874957708224486E-2</v>
      </c>
      <c r="W48" s="221">
        <f ca="1">SUMIFS('Rev Adequacy'!$G$6:$G$4999,'Rev Adequacy'!$B$6:$B$4999,'Charges to party by investment'!W$4,'Rev Adequacy'!$E$6:$E$4999,'Charges to party by investment'!$C48)*W$5/W$6</f>
        <v>1.3547024921382795E-3</v>
      </c>
      <c r="X48" s="221">
        <f ca="1">SUMIFS('Rev Adequacy'!$G$6:$G$4999,'Rev Adequacy'!$B$6:$B$4999,'Charges to party by investment'!X$4,'Rev Adequacy'!$E$6:$E$4999,'Charges to party by investment'!$C48)*X$5/X$6</f>
        <v>1.2796689887610581E-3</v>
      </c>
      <c r="Y48" s="221">
        <f ca="1">SUMIFS('Rev Adequacy'!$G$6:$G$4999,'Rev Adequacy'!$B$6:$B$4999,'Charges to party by investment'!Y$4,'Rev Adequacy'!$E$6:$E$4999,'Charges to party by investment'!$C48)*Y$5/Y$6</f>
        <v>2.0660100000000002E-4</v>
      </c>
      <c r="Z48" s="221">
        <f ca="1">SUMIFS('Rev Adequacy'!$G$6:$G$4999,'Rev Adequacy'!$B$6:$B$4999,'Charges to party by investment'!Z$4,'Rev Adequacy'!$E$6:$E$4999,'Charges to party by investment'!$C48)*Z$5/Z$6</f>
        <v>4.1586942510505737E-3</v>
      </c>
      <c r="AA48" s="221">
        <f ca="1">SUMIFS('Rev Adequacy'!$G$6:$G$4999,'Rev Adequacy'!$B$6:$B$4999,'Charges to party by investment'!AA$4,'Rev Adequacy'!$E$6:$E$4999,'Charges to party by investment'!$C48)*AA$5/AA$6</f>
        <v>1.185653165555092E-4</v>
      </c>
      <c r="AB48" s="221">
        <f>SUMIFS('Rev Adequacy'!$G$6:$G$4999,'Rev Adequacy'!$B$6:$B$4999,'Charges to party by investment'!AB$4,'Rev Adequacy'!$E$6:$E$4999,'Charges to party by investment'!$C48)</f>
        <v>0</v>
      </c>
      <c r="AC48" s="221">
        <f>SUMIFS('Rev Adequacy'!$G$6:$G$4999,'Rev Adequacy'!$B$6:$B$4999,'Charges to party by investment'!AC$4,'Rev Adequacy'!$E$6:$E$4999,'Charges to party by investment'!$C48)</f>
        <v>0</v>
      </c>
      <c r="AD48" s="221">
        <f>SUMIFS('Rev Adequacy'!$G$6:$G$4999,'Rev Adequacy'!$B$6:$B$4999,'Charges to party by investment'!AD$4,'Rev Adequacy'!$E$6:$E$4999,'Charges to party by investment'!$C48)</f>
        <v>0</v>
      </c>
      <c r="AE48" s="221">
        <f>SUMIFS('Rev Adequacy'!$G$6:$G$4999,'Rev Adequacy'!$B$6:$B$4999,'Charges to party by investment'!AE$4,'Rev Adequacy'!$E$6:$E$4999,'Charges to party by investment'!$C48)</f>
        <v>0</v>
      </c>
      <c r="AF48" s="221">
        <f>SUMIFS('Rev Adequacy'!$G$6:$G$4999,'Rev Adequacy'!$B$6:$B$4999,'Charges to party by investment'!AF$4,'Rev Adequacy'!$E$6:$E$4999,'Charges to party by investment'!$C48)</f>
        <v>0</v>
      </c>
      <c r="AG48" s="221">
        <f>SUMIFS('Rev Adequacy'!$G$6:$G$4999,'Rev Adequacy'!$B$6:$B$4999,'Charges to party by investment'!AG$4,'Rev Adequacy'!$E$6:$E$4999,'Charges to party by investment'!$C48)</f>
        <v>0</v>
      </c>
      <c r="AH48" s="221">
        <f>SUMIFS('Rev Adequacy'!$G$6:$G$4999,'Rev Adequacy'!$B$6:$B$4999,'Charges to party by investment'!AH$4,'Rev Adequacy'!$E$6:$E$4999,'Charges to party by investment'!$C48)</f>
        <v>0</v>
      </c>
      <c r="AJ48" s="190" t="str">
        <f>'Charges as $M per year'!A43</f>
        <v>Todd</v>
      </c>
      <c r="AK48" s="215" t="str">
        <f t="shared" si="9"/>
        <v>Todd</v>
      </c>
      <c r="AL48" s="216">
        <f t="shared" ca="1" si="10"/>
        <v>9.4039809217492235E-2</v>
      </c>
      <c r="AM48" s="216">
        <f>SUMIF('Rev Adequacy'!$BF$27:$BF$257,'Charges to party by investment'!AK48,'Rev Adequacy'!$BJ$27:$BJ$257)</f>
        <v>3.087955552362669E-2</v>
      </c>
      <c r="AN48" s="216">
        <f>VLOOKUP(AK48,Connection!$X$5:$AB$55,5,0)/1000000</f>
        <v>0</v>
      </c>
      <c r="AO48" s="216">
        <v>2.8624724519576945E-4</v>
      </c>
      <c r="AP48" s="217">
        <f t="shared" ca="1" si="11"/>
        <v>0.753369237738306</v>
      </c>
      <c r="AQ48" s="217"/>
      <c r="AR48" s="274"/>
      <c r="AS48" s="217"/>
      <c r="AT48" s="277">
        <f t="shared" si="13"/>
        <v>3.087955552362669E-2</v>
      </c>
      <c r="AU48" s="274">
        <f t="shared" ca="1" si="14"/>
        <v>0.12520561198631469</v>
      </c>
      <c r="AV48" s="217"/>
      <c r="AW48" s="215" t="s">
        <v>33</v>
      </c>
      <c r="AX48" s="216">
        <f>SUMIF('Rev Adequacy'!$BF$27:$BF$257,'Charges to party by investment'!AK48,'Rev Adequacy'!$BK$27:$BK$257)</f>
        <v>3.385163208801456E-2</v>
      </c>
      <c r="AY48" s="216">
        <f>SUMIF('Rev Adequacy'!$BF$27:$BF$257,'Charges to party by investment'!AK48,'Rev Adequacy'!$BL$27:$BL$257)</f>
        <v>3.5833016464273143E-2</v>
      </c>
      <c r="AZ48" s="279">
        <f t="shared" ca="1" si="17"/>
        <v>1.2690982453895882E-3</v>
      </c>
      <c r="BA48" s="279">
        <f t="shared" ca="1" si="17"/>
        <v>1.2690982453895882E-3</v>
      </c>
      <c r="BX48" s="115" t="str">
        <f t="shared" si="15"/>
        <v>Todd</v>
      </c>
      <c r="BY48" s="286">
        <f t="shared" ca="1" si="5"/>
        <v>9.4039809217492235E-2</v>
      </c>
      <c r="BZ48" s="286">
        <f t="shared" si="6"/>
        <v>3.087955552362669E-2</v>
      </c>
      <c r="CA48" s="286">
        <f t="shared" si="7"/>
        <v>2.8624724519576945E-4</v>
      </c>
      <c r="CB48" s="286">
        <f t="shared" si="8"/>
        <v>0</v>
      </c>
      <c r="CC48" s="286">
        <f t="shared" ca="1" si="16"/>
        <v>0.12520561198631469</v>
      </c>
    </row>
    <row r="49" spans="2:81" x14ac:dyDescent="0.25">
      <c r="C49" s="56" t="s">
        <v>35</v>
      </c>
      <c r="D49" s="15"/>
      <c r="F49" s="221">
        <f ca="1">SUMIF('Rev Adequacy'!$AH$22:$AH$652,'Charges to party by investment'!C49,'Rev Adequacy'!$AL$22:$AL$652)</f>
        <v>0</v>
      </c>
      <c r="G49" s="221">
        <f ca="1">SUMIF('Rev Adequacy'!$AH$22:$AH$652,'Charges to party by investment'!$C49,'Rev Adequacy'!AM$22:AM$652)</f>
        <v>0</v>
      </c>
      <c r="H49" s="221">
        <f ca="1">SUMIF('Rev Adequacy'!$AH$22:$AH$652,'Charges to party by investment'!$C49,'Rev Adequacy'!AN$22:AN$652)</f>
        <v>0</v>
      </c>
      <c r="I49" s="221">
        <f ca="1">SUMIF('Rev Adequacy'!$AH$22:$AH$652,'Charges to party by investment'!$C49,'Rev Adequacy'!AO$22:AO$652)</f>
        <v>0</v>
      </c>
      <c r="J49" s="221">
        <f>SUMIF('Rev Adequacy'!$AH$22:$AH$652,'Charges to party by investment'!$C49,'Rev Adequacy'!AP$22:AP$652)</f>
        <v>0</v>
      </c>
      <c r="K49" s="221">
        <f ca="1">SUMIF('Rev Adequacy'!$AH$22:$AH$652,'Charges to party by investment'!$C49,'Rev Adequacy'!AQ$22:AQ$652)</f>
        <v>0</v>
      </c>
      <c r="L49" s="221">
        <f ca="1">SUMIF('Rev Adequacy'!$AH$22:$AH$652,'Charges to party by investment'!$C49,'Rev Adequacy'!AR$22:AR$652)</f>
        <v>0</v>
      </c>
      <c r="M49" s="221">
        <f ca="1">SUMIF('Rev Adequacy'!$AH$22:$AH$652,'Charges to party by investment'!$C49,'Rev Adequacy'!AS$22:AS$652)</f>
        <v>0.23987537336708784</v>
      </c>
      <c r="N49" s="221">
        <f ca="1">SUMIF('Rev Adequacy'!$AH$22:$AH$652,'Charges to party by investment'!$C49,'Rev Adequacy'!AT$22:AT$652)</f>
        <v>4.0749441131809211E-4</v>
      </c>
      <c r="O49" s="221">
        <f ca="1">SUMIF('Rev Adequacy'!$AH$22:$AH$652,'Charges to party by investment'!$C49,'Rev Adequacy'!AU$22:AU$652)</f>
        <v>0</v>
      </c>
      <c r="P49" s="221">
        <f ca="1">SUMIF('Rev Adequacy'!$AH$22:$AH$652,'Charges to party by investment'!$C49,'Rev Adequacy'!AV$22:AV$652)</f>
        <v>2.7140859361327177E-4</v>
      </c>
      <c r="Q49" s="221">
        <f>SUMIF('Rev Adequacy'!$AH$22:$AH$652,'Charges to party by investment'!$C49,'Rev Adequacy'!AW$22:AW$652)</f>
        <v>0</v>
      </c>
      <c r="R49" s="221">
        <f>SUMIF('Rev Adequacy'!$AH$22:$AH$652,'Charges to party by investment'!$C49,'Rev Adequacy'!AX$22:AX$652)</f>
        <v>0</v>
      </c>
      <c r="S49" s="15"/>
      <c r="T49" s="15"/>
      <c r="V49" s="221">
        <f ca="1">SUMIFS('Rev Adequacy'!$G$6:$G$4999,'Rev Adequacy'!$B$6:$B$4999,'Charges to party by investment'!V$4,'Rev Adequacy'!$E$6:$E$4999,'Charges to party by investment'!$C49)*V$5/V$6</f>
        <v>0.22192309756073891</v>
      </c>
      <c r="W49" s="221">
        <f ca="1">SUMIFS('Rev Adequacy'!$G$6:$G$4999,'Rev Adequacy'!$B$6:$B$4999,'Charges to party by investment'!W$4,'Rev Adequacy'!$E$6:$E$4999,'Charges to party by investment'!$C49)*W$5/W$6</f>
        <v>1.8917944590424121</v>
      </c>
      <c r="X49" s="221">
        <f ca="1">SUMIFS('Rev Adequacy'!$G$6:$G$4999,'Rev Adequacy'!$B$6:$B$4999,'Charges to party by investment'!X$4,'Rev Adequacy'!$E$6:$E$4999,'Charges to party by investment'!$C49)*X$5/X$6</f>
        <v>0.34524599974973219</v>
      </c>
      <c r="Y49" s="221">
        <f ca="1">SUMIFS('Rev Adequacy'!$G$6:$G$4999,'Rev Adequacy'!$B$6:$B$4999,'Charges to party by investment'!Y$4,'Rev Adequacy'!$E$6:$E$4999,'Charges to party by investment'!$C49)*Y$5/Y$6</f>
        <v>1.9424199999999877E-4</v>
      </c>
      <c r="Z49" s="221">
        <f ca="1">SUMIFS('Rev Adequacy'!$G$6:$G$4999,'Rev Adequacy'!$B$6:$B$4999,'Charges to party by investment'!Z$4,'Rev Adequacy'!$E$6:$E$4999,'Charges to party by investment'!$C49)*Z$5/Z$6</f>
        <v>8.3062455143317893E-3</v>
      </c>
      <c r="AA49" s="221">
        <f ca="1">SUMIFS('Rev Adequacy'!$G$6:$G$4999,'Rev Adequacy'!$B$6:$B$4999,'Charges to party by investment'!AA$4,'Rev Adequacy'!$E$6:$E$4999,'Charges to party by investment'!$C49)*AA$5/AA$6</f>
        <v>8.9025928931297832E-5</v>
      </c>
      <c r="AB49" s="221">
        <f>SUMIFS('Rev Adequacy'!$G$6:$G$4999,'Rev Adequacy'!$B$6:$B$4999,'Charges to party by investment'!AB$4,'Rev Adequacy'!$E$6:$E$4999,'Charges to party by investment'!$C49)</f>
        <v>0</v>
      </c>
      <c r="AC49" s="221">
        <f>SUMIFS('Rev Adequacy'!$G$6:$G$4999,'Rev Adequacy'!$B$6:$B$4999,'Charges to party by investment'!AC$4,'Rev Adequacy'!$E$6:$E$4999,'Charges to party by investment'!$C49)</f>
        <v>0</v>
      </c>
      <c r="AD49" s="221">
        <f>SUMIFS('Rev Adequacy'!$G$6:$G$4999,'Rev Adequacy'!$B$6:$B$4999,'Charges to party by investment'!AD$4,'Rev Adequacy'!$E$6:$E$4999,'Charges to party by investment'!$C49)</f>
        <v>0</v>
      </c>
      <c r="AE49" s="221">
        <f>SUMIFS('Rev Adequacy'!$G$6:$G$4999,'Rev Adequacy'!$B$6:$B$4999,'Charges to party by investment'!AE$4,'Rev Adequacy'!$E$6:$E$4999,'Charges to party by investment'!$C49)</f>
        <v>0</v>
      </c>
      <c r="AF49" s="221">
        <f>SUMIFS('Rev Adequacy'!$G$6:$G$4999,'Rev Adequacy'!$B$6:$B$4999,'Charges to party by investment'!AF$4,'Rev Adequacy'!$E$6:$E$4999,'Charges to party by investment'!$C49)</f>
        <v>0</v>
      </c>
      <c r="AG49" s="221">
        <f>SUMIFS('Rev Adequacy'!$G$6:$G$4999,'Rev Adequacy'!$B$6:$B$4999,'Charges to party by investment'!AG$4,'Rev Adequacy'!$E$6:$E$4999,'Charges to party by investment'!$C49)</f>
        <v>0</v>
      </c>
      <c r="AH49" s="221">
        <f>SUMIFS('Rev Adequacy'!$G$6:$G$4999,'Rev Adequacy'!$B$6:$B$4999,'Charges to party by investment'!AH$4,'Rev Adequacy'!$E$6:$E$4999,'Charges to party by investment'!$C49)</f>
        <v>0</v>
      </c>
      <c r="AJ49" s="190" t="str">
        <f>'Charges as $M per year'!A44</f>
        <v>Trustpower</v>
      </c>
      <c r="AK49" s="215" t="str">
        <f t="shared" si="9"/>
        <v>Trustpower</v>
      </c>
      <c r="AL49" s="216">
        <f t="shared" ca="1" si="10"/>
        <v>2.7081073461681657</v>
      </c>
      <c r="AM49" s="216">
        <f>SUMIF('Rev Adequacy'!$BF$27:$BF$257,'Charges to party by investment'!AK49,'Rev Adequacy'!$BJ$27:$BJ$257)</f>
        <v>0.2928336593858899</v>
      </c>
      <c r="AN49" s="216">
        <f>VLOOKUP(AK49,Connection!$X$5:$AB$55,5,0)/1000000</f>
        <v>1.8845370200000009</v>
      </c>
      <c r="AO49" s="216">
        <v>1.3706406278679129E-2</v>
      </c>
      <c r="AP49" s="217">
        <f t="shared" ca="1" si="11"/>
        <v>0.90286304851555976</v>
      </c>
      <c r="AQ49" s="217"/>
      <c r="AR49" s="274"/>
      <c r="AS49" s="217"/>
      <c r="AT49" s="277">
        <f t="shared" si="13"/>
        <v>0.2928336593858899</v>
      </c>
      <c r="AU49" s="274">
        <f t="shared" ca="1" si="14"/>
        <v>3.0146474118327347</v>
      </c>
      <c r="AV49" s="217"/>
      <c r="AW49" s="215" t="s">
        <v>35</v>
      </c>
      <c r="AX49" s="216">
        <f>SUMIF('Rev Adequacy'!$BF$27:$BF$257,'Charges to party by investment'!AK49,'Rev Adequacy'!$BK$27:$BK$257)</f>
        <v>0.32101813424527825</v>
      </c>
      <c r="AY49" s="216">
        <f>SUMIF('Rev Adequacy'!$BF$27:$BF$257,'Charges to party by investment'!AK49,'Rev Adequacy'!$BL$27:$BL$257)</f>
        <v>0.33980778415153712</v>
      </c>
      <c r="AZ49" s="279">
        <f t="shared" ca="1" si="17"/>
        <v>4.9658687559136772E-2</v>
      </c>
      <c r="BA49" s="279">
        <f t="shared" ca="1" si="17"/>
        <v>4.9658687559136772E-2</v>
      </c>
      <c r="BX49" s="115" t="str">
        <f t="shared" si="15"/>
        <v>Trustpower</v>
      </c>
      <c r="BY49" s="286">
        <f t="shared" ca="1" si="5"/>
        <v>2.7081073461681657</v>
      </c>
      <c r="BZ49" s="286">
        <f t="shared" si="6"/>
        <v>0.2928336593858899</v>
      </c>
      <c r="CA49" s="286">
        <f t="shared" si="7"/>
        <v>1.3706406278679129E-2</v>
      </c>
      <c r="CB49" s="286">
        <f t="shared" si="8"/>
        <v>0</v>
      </c>
      <c r="CC49" s="286">
        <f t="shared" ca="1" si="16"/>
        <v>3.0146474118327347</v>
      </c>
    </row>
    <row r="50" spans="2:81" x14ac:dyDescent="0.25">
      <c r="C50" s="103" t="s">
        <v>88</v>
      </c>
      <c r="D50" s="15"/>
      <c r="F50" s="221">
        <f>SUMIF('Rev Adequacy'!$AH$22:$AH$652,'Charges to party by investment'!C50,'Rev Adequacy'!$AL$22:$AL$652)</f>
        <v>0</v>
      </c>
      <c r="G50" s="221">
        <f>SUMIF('Rev Adequacy'!$AH$22:$AH$652,'Charges to party by investment'!$C50,'Rev Adequacy'!AM$22:AM$652)</f>
        <v>0</v>
      </c>
      <c r="H50" s="221">
        <f>SUMIF('Rev Adequacy'!$AH$22:$AH$652,'Charges to party by investment'!$C50,'Rev Adequacy'!AN$22:AN$652)</f>
        <v>0</v>
      </c>
      <c r="I50" s="221">
        <f>SUMIF('Rev Adequacy'!$AH$22:$AH$652,'Charges to party by investment'!$C50,'Rev Adequacy'!AO$22:AO$652)</f>
        <v>0</v>
      </c>
      <c r="J50" s="221">
        <f>SUMIF('Rev Adequacy'!$AH$22:$AH$652,'Charges to party by investment'!$C50,'Rev Adequacy'!AP$22:AP$652)</f>
        <v>0</v>
      </c>
      <c r="K50" s="221">
        <f>SUMIF('Rev Adequacy'!$AH$22:$AH$652,'Charges to party by investment'!$C50,'Rev Adequacy'!AQ$22:AQ$652)</f>
        <v>0</v>
      </c>
      <c r="L50" s="221">
        <f>SUMIF('Rev Adequacy'!$AH$22:$AH$652,'Charges to party by investment'!$C50,'Rev Adequacy'!AR$22:AR$652)</f>
        <v>0</v>
      </c>
      <c r="M50" s="221">
        <f>SUMIF('Rev Adequacy'!$AH$22:$AH$652,'Charges to party by investment'!$C50,'Rev Adequacy'!AS$22:AS$652)</f>
        <v>0</v>
      </c>
      <c r="N50" s="221">
        <f>SUMIF('Rev Adequacy'!$AH$22:$AH$652,'Charges to party by investment'!$C50,'Rev Adequacy'!AT$22:AT$652)</f>
        <v>0</v>
      </c>
      <c r="O50" s="221">
        <f>SUMIF('Rev Adequacy'!$AH$22:$AH$652,'Charges to party by investment'!$C50,'Rev Adequacy'!AU$22:AU$652)</f>
        <v>0</v>
      </c>
      <c r="P50" s="221">
        <f>SUMIF('Rev Adequacy'!$AH$22:$AH$652,'Charges to party by investment'!$C50,'Rev Adequacy'!AV$22:AV$652)</f>
        <v>0</v>
      </c>
      <c r="Q50" s="221">
        <f>SUMIF('Rev Adequacy'!$AH$22:$AH$652,'Charges to party by investment'!$C50,'Rev Adequacy'!AW$22:AW$652)</f>
        <v>0</v>
      </c>
      <c r="R50" s="221">
        <f>SUMIF('Rev Adequacy'!$AH$22:$AH$652,'Charges to party by investment'!$C50,'Rev Adequacy'!AX$22:AX$652)</f>
        <v>0</v>
      </c>
      <c r="S50" s="15"/>
      <c r="T50" s="15"/>
      <c r="V50" s="221">
        <f ca="1">SUMIFS('Rev Adequacy'!$G$6:$G$4999,'Rev Adequacy'!$B$6:$B$4999,'Charges to party by investment'!V$4,'Rev Adequacy'!$E$6:$E$4999,'Charges to party by investment'!$C50)*V$5/V$6</f>
        <v>0</v>
      </c>
      <c r="W50" s="221">
        <f ca="1">SUMIFS('Rev Adequacy'!$G$6:$G$4999,'Rev Adequacy'!$B$6:$B$4999,'Charges to party by investment'!W$4,'Rev Adequacy'!$E$6:$E$4999,'Charges to party by investment'!$C50)*W$5/W$6</f>
        <v>0</v>
      </c>
      <c r="X50" s="221">
        <f ca="1">SUMIFS('Rev Adequacy'!$G$6:$G$4999,'Rev Adequacy'!$B$6:$B$4999,'Charges to party by investment'!X$4,'Rev Adequacy'!$E$6:$E$4999,'Charges to party by investment'!$C50)*X$5/X$6</f>
        <v>0</v>
      </c>
      <c r="Y50" s="221">
        <f ca="1">SUMIFS('Rev Adequacy'!$G$6:$G$4999,'Rev Adequacy'!$B$6:$B$4999,'Charges to party by investment'!Y$4,'Rev Adequacy'!$E$6:$E$4999,'Charges to party by investment'!$C50)*Y$5/Y$6</f>
        <v>0</v>
      </c>
      <c r="Z50" s="221">
        <f ca="1">SUMIFS('Rev Adequacy'!$G$6:$G$4999,'Rev Adequacy'!$B$6:$B$4999,'Charges to party by investment'!Z$4,'Rev Adequacy'!$E$6:$E$4999,'Charges to party by investment'!$C50)*Z$5/Z$6</f>
        <v>0</v>
      </c>
      <c r="AA50" s="221">
        <f ca="1">SUMIFS('Rev Adequacy'!$G$6:$G$4999,'Rev Adequacy'!$B$6:$B$4999,'Charges to party by investment'!AA$4,'Rev Adequacy'!$E$6:$E$4999,'Charges to party by investment'!$C50)*AA$5/AA$6</f>
        <v>0</v>
      </c>
      <c r="AB50" s="221">
        <f>SUMIFS('Rev Adequacy'!$G$6:$G$4999,'Rev Adequacy'!$B$6:$B$4999,'Charges to party by investment'!AB$4,'Rev Adequacy'!$E$6:$E$4999,'Charges to party by investment'!$C50)</f>
        <v>0</v>
      </c>
      <c r="AC50" s="221">
        <f>SUMIFS('Rev Adequacy'!$G$6:$G$4999,'Rev Adequacy'!$B$6:$B$4999,'Charges to party by investment'!AC$4,'Rev Adequacy'!$E$6:$E$4999,'Charges to party by investment'!$C50)</f>
        <v>0</v>
      </c>
      <c r="AD50" s="221">
        <f>SUMIFS('Rev Adequacy'!$G$6:$G$4999,'Rev Adequacy'!$B$6:$B$4999,'Charges to party by investment'!AD$4,'Rev Adequacy'!$E$6:$E$4999,'Charges to party by investment'!$C50)</f>
        <v>0</v>
      </c>
      <c r="AE50" s="221">
        <f>SUMIFS('Rev Adequacy'!$G$6:$G$4999,'Rev Adequacy'!$B$6:$B$4999,'Charges to party by investment'!AE$4,'Rev Adequacy'!$E$6:$E$4999,'Charges to party by investment'!$C50)</f>
        <v>0</v>
      </c>
      <c r="AF50" s="221">
        <f>SUMIFS('Rev Adequacy'!$G$6:$G$4999,'Rev Adequacy'!$B$6:$B$4999,'Charges to party by investment'!AF$4,'Rev Adequacy'!$E$6:$E$4999,'Charges to party by investment'!$C50)</f>
        <v>0</v>
      </c>
      <c r="AG50" s="221">
        <f>SUMIFS('Rev Adequacy'!$G$6:$G$4999,'Rev Adequacy'!$B$6:$B$4999,'Charges to party by investment'!AG$4,'Rev Adequacy'!$E$6:$E$4999,'Charges to party by investment'!$C50)</f>
        <v>0</v>
      </c>
      <c r="AH50" s="221">
        <f>SUMIFS('Rev Adequacy'!$G$6:$G$4999,'Rev Adequacy'!$B$6:$B$4999,'Charges to party by investment'!AH$4,'Rev Adequacy'!$E$6:$E$4999,'Charges to party by investment'!$C50)</f>
        <v>0</v>
      </c>
      <c r="AJ50" s="190"/>
      <c r="AK50" s="215"/>
      <c r="AL50" s="216"/>
      <c r="AM50" s="216"/>
      <c r="AN50" s="216"/>
      <c r="AO50" s="216"/>
      <c r="AP50" s="217"/>
      <c r="AQ50" s="217"/>
      <c r="AR50" s="217"/>
      <c r="AS50" s="217"/>
      <c r="AT50" s="277">
        <f t="shared" si="13"/>
        <v>0</v>
      </c>
      <c r="AU50" s="274">
        <f>AR50+AL50+AM50+AO50</f>
        <v>0</v>
      </c>
      <c r="AV50" s="217"/>
      <c r="AW50" s="215"/>
      <c r="AX50" s="216"/>
      <c r="AY50" s="216">
        <f>SUMIF('Rev Adequacy'!$BF$27:$BF$257,'Charges to party by investment'!AK50,'Rev Adequacy'!$BL$27:$BL$257)</f>
        <v>0</v>
      </c>
      <c r="AZ50" s="90"/>
      <c r="BA50" s="90"/>
      <c r="BX50" s="115"/>
      <c r="BY50" s="286"/>
      <c r="BZ50" s="286"/>
      <c r="CA50" s="286"/>
      <c r="CB50" s="286"/>
      <c r="CC50" s="289"/>
    </row>
    <row r="51" spans="2:81" x14ac:dyDescent="0.25">
      <c r="C51" s="102" t="s">
        <v>89</v>
      </c>
      <c r="D51" s="15"/>
      <c r="F51" s="221">
        <f>SUMIF('Rev Adequacy'!$AH$22:$AH$652,'Charges to party by investment'!C51,'Rev Adequacy'!$AL$22:$AL$652)</f>
        <v>0</v>
      </c>
      <c r="G51" s="221">
        <f>SUMIF('Rev Adequacy'!$AH$22:$AH$652,'Charges to party by investment'!$C51,'Rev Adequacy'!AM$22:AM$652)</f>
        <v>0</v>
      </c>
      <c r="H51" s="221">
        <f>SUMIF('Rev Adequacy'!$AH$22:$AH$652,'Charges to party by investment'!$C51,'Rev Adequacy'!AN$22:AN$652)</f>
        <v>0</v>
      </c>
      <c r="I51" s="221">
        <f>SUMIF('Rev Adequacy'!$AH$22:$AH$652,'Charges to party by investment'!$C51,'Rev Adequacy'!AO$22:AO$652)</f>
        <v>0</v>
      </c>
      <c r="J51" s="221">
        <f>SUMIF('Rev Adequacy'!$AH$22:$AH$652,'Charges to party by investment'!$C51,'Rev Adequacy'!AP$22:AP$652)</f>
        <v>0</v>
      </c>
      <c r="K51" s="221">
        <f>SUMIF('Rev Adequacy'!$AH$22:$AH$652,'Charges to party by investment'!$C51,'Rev Adequacy'!AQ$22:AQ$652)</f>
        <v>0</v>
      </c>
      <c r="L51" s="221">
        <f>SUMIF('Rev Adequacy'!$AH$22:$AH$652,'Charges to party by investment'!$C51,'Rev Adequacy'!AR$22:AR$652)</f>
        <v>0</v>
      </c>
      <c r="M51" s="221">
        <f>SUMIF('Rev Adequacy'!$AH$22:$AH$652,'Charges to party by investment'!$C51,'Rev Adequacy'!AS$22:AS$652)</f>
        <v>0</v>
      </c>
      <c r="N51" s="221">
        <f>SUMIF('Rev Adequacy'!$AH$22:$AH$652,'Charges to party by investment'!$C51,'Rev Adequacy'!AT$22:AT$652)</f>
        <v>0</v>
      </c>
      <c r="O51" s="221">
        <f>SUMIF('Rev Adequacy'!$AH$22:$AH$652,'Charges to party by investment'!$C51,'Rev Adequacy'!AU$22:AU$652)</f>
        <v>0</v>
      </c>
      <c r="P51" s="221">
        <f>SUMIF('Rev Adequacy'!$AH$22:$AH$652,'Charges to party by investment'!$C51,'Rev Adequacy'!AV$22:AV$652)</f>
        <v>0</v>
      </c>
      <c r="Q51" s="221">
        <f>SUMIF('Rev Adequacy'!$AH$22:$AH$652,'Charges to party by investment'!$C51,'Rev Adequacy'!AW$22:AW$652)</f>
        <v>0</v>
      </c>
      <c r="R51" s="221">
        <f>SUMIF('Rev Adequacy'!$AH$22:$AH$652,'Charges to party by investment'!$C51,'Rev Adequacy'!AX$22:AX$652)</f>
        <v>0</v>
      </c>
      <c r="S51" s="15"/>
      <c r="T51" s="15"/>
      <c r="V51" s="221">
        <f ca="1">SUMIFS('Rev Adequacy'!$G$6:$G$4999,'Rev Adequacy'!$B$6:$B$4999,'Charges to party by investment'!V$4,'Rev Adequacy'!$E$6:$E$4999,'Charges to party by investment'!$C51)*V$5/V$6</f>
        <v>0</v>
      </c>
      <c r="W51" s="221">
        <f ca="1">SUMIFS('Rev Adequacy'!$G$6:$G$4999,'Rev Adequacy'!$B$6:$B$4999,'Charges to party by investment'!W$4,'Rev Adequacy'!$E$6:$E$4999,'Charges to party by investment'!$C51)*W$5/W$6</f>
        <v>0</v>
      </c>
      <c r="X51" s="221">
        <f ca="1">SUMIFS('Rev Adequacy'!$G$6:$G$4999,'Rev Adequacy'!$B$6:$B$4999,'Charges to party by investment'!X$4,'Rev Adequacy'!$E$6:$E$4999,'Charges to party by investment'!$C51)*X$5/X$6</f>
        <v>0</v>
      </c>
      <c r="Y51" s="221">
        <f ca="1">SUMIFS('Rev Adequacy'!$G$6:$G$4999,'Rev Adequacy'!$B$6:$B$4999,'Charges to party by investment'!Y$4,'Rev Adequacy'!$E$6:$E$4999,'Charges to party by investment'!$C51)*Y$5/Y$6</f>
        <v>0</v>
      </c>
      <c r="Z51" s="221">
        <f ca="1">SUMIFS('Rev Adequacy'!$G$6:$G$4999,'Rev Adequacy'!$B$6:$B$4999,'Charges to party by investment'!Z$4,'Rev Adequacy'!$E$6:$E$4999,'Charges to party by investment'!$C51)*Z$5/Z$6</f>
        <v>0</v>
      </c>
      <c r="AA51" s="221">
        <f ca="1">SUMIFS('Rev Adequacy'!$G$6:$G$4999,'Rev Adequacy'!$B$6:$B$4999,'Charges to party by investment'!AA$4,'Rev Adequacy'!$E$6:$E$4999,'Charges to party by investment'!$C51)*AA$5/AA$6</f>
        <v>0</v>
      </c>
      <c r="AB51" s="221">
        <f>SUMIFS('Rev Adequacy'!$G$6:$G$4999,'Rev Adequacy'!$B$6:$B$4999,'Charges to party by investment'!AB$4,'Rev Adequacy'!$E$6:$E$4999,'Charges to party by investment'!$C51)</f>
        <v>0</v>
      </c>
      <c r="AC51" s="221">
        <f>SUMIFS('Rev Adequacy'!$G$6:$G$4999,'Rev Adequacy'!$B$6:$B$4999,'Charges to party by investment'!AC$4,'Rev Adequacy'!$E$6:$E$4999,'Charges to party by investment'!$C51)</f>
        <v>0</v>
      </c>
      <c r="AD51" s="221">
        <f>SUMIFS('Rev Adequacy'!$G$6:$G$4999,'Rev Adequacy'!$B$6:$B$4999,'Charges to party by investment'!AD$4,'Rev Adequacy'!$E$6:$E$4999,'Charges to party by investment'!$C51)</f>
        <v>0</v>
      </c>
      <c r="AE51" s="221">
        <f>SUMIFS('Rev Adequacy'!$G$6:$G$4999,'Rev Adequacy'!$B$6:$B$4999,'Charges to party by investment'!AE$4,'Rev Adequacy'!$E$6:$E$4999,'Charges to party by investment'!$C51)</f>
        <v>0</v>
      </c>
      <c r="AF51" s="221">
        <f>SUMIFS('Rev Adequacy'!$G$6:$G$4999,'Rev Adequacy'!$B$6:$B$4999,'Charges to party by investment'!AF$4,'Rev Adequacy'!$E$6:$E$4999,'Charges to party by investment'!$C51)</f>
        <v>0</v>
      </c>
      <c r="AG51" s="221">
        <f>SUMIFS('Rev Adequacy'!$G$6:$G$4999,'Rev Adequacy'!$B$6:$B$4999,'Charges to party by investment'!AG$4,'Rev Adequacy'!$E$6:$E$4999,'Charges to party by investment'!$C51)</f>
        <v>0</v>
      </c>
      <c r="AH51" s="221">
        <f>SUMIFS('Rev Adequacy'!$G$6:$G$4999,'Rev Adequacy'!$B$6:$B$4999,'Charges to party by investment'!AH$4,'Rev Adequacy'!$E$6:$E$4999,'Charges to party by investment'!$C51)</f>
        <v>0</v>
      </c>
      <c r="AJ51" s="190"/>
      <c r="AK51" s="215"/>
      <c r="AL51" s="216"/>
      <c r="AM51" s="216"/>
      <c r="AN51" s="216"/>
      <c r="AO51" s="216"/>
      <c r="AP51" s="217"/>
      <c r="AQ51" s="217"/>
      <c r="AR51" s="217"/>
      <c r="AS51" s="217"/>
      <c r="AT51" s="277">
        <f t="shared" si="13"/>
        <v>0</v>
      </c>
      <c r="AU51" s="274">
        <f t="shared" si="14"/>
        <v>0</v>
      </c>
      <c r="AV51" s="217"/>
      <c r="AW51" s="215"/>
      <c r="AX51" s="215"/>
      <c r="AY51" s="216">
        <f>SUMIF('Rev Adequacy'!$BF$27:$BF$257,'Charges to party by investment'!AK51,'Rev Adequacy'!$BL$27:$BL$257)</f>
        <v>0</v>
      </c>
      <c r="AZ51" s="90"/>
      <c r="BA51" s="90"/>
      <c r="BX51" s="115"/>
      <c r="BY51" s="286"/>
      <c r="BZ51" s="286"/>
      <c r="CA51" s="286"/>
      <c r="CB51" s="286"/>
      <c r="CC51" s="289"/>
    </row>
    <row r="52" spans="2:81" x14ac:dyDescent="0.25">
      <c r="C52" s="56" t="s">
        <v>3</v>
      </c>
      <c r="D52" s="15"/>
      <c r="F52" s="221">
        <f ca="1">SUMIF('Rev Adequacy'!$AH$22:$AH$652,'Charges to party by investment'!C52,'Rev Adequacy'!$AL$22:$AL$652)</f>
        <v>0</v>
      </c>
      <c r="G52" s="221">
        <f ca="1">SUMIF('Rev Adequacy'!$AH$22:$AH$652,'Charges to party by investment'!$C52,'Rev Adequacy'!AM$22:AM$652)</f>
        <v>0</v>
      </c>
      <c r="H52" s="221">
        <f ca="1">SUMIF('Rev Adequacy'!$AH$22:$AH$652,'Charges to party by investment'!$C52,'Rev Adequacy'!AN$22:AN$652)</f>
        <v>0</v>
      </c>
      <c r="I52" s="221">
        <f ca="1">SUMIF('Rev Adequacy'!$AH$22:$AH$652,'Charges to party by investment'!$C52,'Rev Adequacy'!AO$22:AO$652)</f>
        <v>0</v>
      </c>
      <c r="J52" s="221">
        <f>SUMIF('Rev Adequacy'!$AH$22:$AH$652,'Charges to party by investment'!$C52,'Rev Adequacy'!AP$22:AP$652)</f>
        <v>0</v>
      </c>
      <c r="K52" s="221">
        <f ca="1">SUMIF('Rev Adequacy'!$AH$22:$AH$652,'Charges to party by investment'!$C52,'Rev Adequacy'!AQ$22:AQ$652)</f>
        <v>0</v>
      </c>
      <c r="L52" s="221">
        <f ca="1">SUMIF('Rev Adequacy'!$AH$22:$AH$652,'Charges to party by investment'!$C52,'Rev Adequacy'!AR$22:AR$652)</f>
        <v>0</v>
      </c>
      <c r="M52" s="221">
        <f ca="1">SUMIF('Rev Adequacy'!$AH$22:$AH$652,'Charges to party by investment'!$C52,'Rev Adequacy'!AS$22:AS$652)</f>
        <v>3.5307136342645207E-2</v>
      </c>
      <c r="N52" s="221">
        <f ca="1">SUMIF('Rev Adequacy'!$AH$22:$AH$652,'Charges to party by investment'!$C52,'Rev Adequacy'!AT$22:AT$652)</f>
        <v>0</v>
      </c>
      <c r="O52" s="221">
        <f ca="1">SUMIF('Rev Adequacy'!$AH$22:$AH$652,'Charges to party by investment'!$C52,'Rev Adequacy'!AU$22:AU$652)</f>
        <v>0</v>
      </c>
      <c r="P52" s="221">
        <f ca="1">SUMIF('Rev Adequacy'!$AH$22:$AH$652,'Charges to party by investment'!$C52,'Rev Adequacy'!AV$22:AV$652)</f>
        <v>0</v>
      </c>
      <c r="Q52" s="221">
        <f>SUMIF('Rev Adequacy'!$AH$22:$AH$652,'Charges to party by investment'!$C52,'Rev Adequacy'!AW$22:AW$652)</f>
        <v>0</v>
      </c>
      <c r="R52" s="221">
        <f>SUMIF('Rev Adequacy'!$AH$22:$AH$652,'Charges to party by investment'!$C52,'Rev Adequacy'!AX$22:AX$652)</f>
        <v>0</v>
      </c>
      <c r="S52" s="15"/>
      <c r="T52" s="15"/>
      <c r="V52" s="221">
        <f ca="1">SUMIFS('Rev Adequacy'!$G$6:$G$4999,'Rev Adequacy'!$B$6:$B$4999,'Charges to party by investment'!V$4,'Rev Adequacy'!$E$6:$E$4999,'Charges to party by investment'!$C52)*V$5/V$6</f>
        <v>4.468212185198326E-2</v>
      </c>
      <c r="W52" s="221">
        <f ca="1">SUMIFS('Rev Adequacy'!$G$6:$G$4999,'Rev Adequacy'!$B$6:$B$4999,'Charges to party by investment'!W$4,'Rev Adequacy'!$E$6:$E$4999,'Charges to party by investment'!$C52)*W$5/W$6</f>
        <v>0.33411199270587499</v>
      </c>
      <c r="X52" s="221">
        <f ca="1">SUMIFS('Rev Adequacy'!$G$6:$G$4999,'Rev Adequacy'!$B$6:$B$4999,'Charges to party by investment'!X$4,'Rev Adequacy'!$E$6:$E$4999,'Charges to party by investment'!$C52)*X$5/X$6</f>
        <v>0.37068584463052046</v>
      </c>
      <c r="Y52" s="221">
        <f ca="1">SUMIFS('Rev Adequacy'!$G$6:$G$4999,'Rev Adequacy'!$B$6:$B$4999,'Charges to party by investment'!Y$4,'Rev Adequacy'!$E$6:$E$4999,'Charges to party by investment'!$C52)*Y$5/Y$6</f>
        <v>0.104110541</v>
      </c>
      <c r="Z52" s="221">
        <f ca="1">SUMIFS('Rev Adequacy'!$G$6:$G$4999,'Rev Adequacy'!$B$6:$B$4999,'Charges to party by investment'!Z$4,'Rev Adequacy'!$E$6:$E$4999,'Charges to party by investment'!$C52)*Z$5/Z$6</f>
        <v>3.4245309853864754E-3</v>
      </c>
      <c r="AA52" s="221">
        <f ca="1">SUMIFS('Rev Adequacy'!$G$6:$G$4999,'Rev Adequacy'!$B$6:$B$4999,'Charges to party by investment'!AA$4,'Rev Adequacy'!$E$6:$E$4999,'Charges to party by investment'!$C52)*AA$5/AA$6</f>
        <v>6.4911069951210598E-2</v>
      </c>
      <c r="AB52" s="221">
        <f>SUMIFS('Rev Adequacy'!$G$6:$G$4999,'Rev Adequacy'!$B$6:$B$4999,'Charges to party by investment'!AB$4,'Rev Adequacy'!$E$6:$E$4999,'Charges to party by investment'!$C52)</f>
        <v>0</v>
      </c>
      <c r="AC52" s="221">
        <f>SUMIFS('Rev Adequacy'!$G$6:$G$4999,'Rev Adequacy'!$B$6:$B$4999,'Charges to party by investment'!AC$4,'Rev Adequacy'!$E$6:$E$4999,'Charges to party by investment'!$C52)</f>
        <v>0</v>
      </c>
      <c r="AD52" s="221">
        <f>SUMIFS('Rev Adequacy'!$G$6:$G$4999,'Rev Adequacy'!$B$6:$B$4999,'Charges to party by investment'!AD$4,'Rev Adequacy'!$E$6:$E$4999,'Charges to party by investment'!$C52)</f>
        <v>0</v>
      </c>
      <c r="AE52" s="221">
        <f>SUMIFS('Rev Adequacy'!$G$6:$G$4999,'Rev Adequacy'!$B$6:$B$4999,'Charges to party by investment'!AE$4,'Rev Adequacy'!$E$6:$E$4999,'Charges to party by investment'!$C52)</f>
        <v>0</v>
      </c>
      <c r="AF52" s="221">
        <f>SUMIFS('Rev Adequacy'!$G$6:$G$4999,'Rev Adequacy'!$B$6:$B$4999,'Charges to party by investment'!AF$4,'Rev Adequacy'!$E$6:$E$4999,'Charges to party by investment'!$C52)</f>
        <v>0</v>
      </c>
      <c r="AG52" s="221">
        <f>SUMIFS('Rev Adequacy'!$G$6:$G$4999,'Rev Adequacy'!$B$6:$B$4999,'Charges to party by investment'!AG$4,'Rev Adequacy'!$E$6:$E$4999,'Charges to party by investment'!$C52)</f>
        <v>0</v>
      </c>
      <c r="AH52" s="221">
        <f>SUMIFS('Rev Adequacy'!$G$6:$G$4999,'Rev Adequacy'!$B$6:$B$4999,'Charges to party by investment'!AH$4,'Rev Adequacy'!$E$6:$E$4999,'Charges to party by investment'!$C52)</f>
        <v>0</v>
      </c>
      <c r="AJ52" s="190" t="str">
        <f>'Charges as $M per year'!A47</f>
        <v>Carter Holt Harvey</v>
      </c>
      <c r="AK52" s="215" t="str">
        <f t="shared" si="9"/>
        <v>CHH</v>
      </c>
      <c r="AL52" s="216">
        <f t="shared" ca="1" si="10"/>
        <v>0.9572332374676209</v>
      </c>
      <c r="AM52" s="216">
        <f>SUMIF('Rev Adequacy'!$BF$27:$BF$257,'Charges to party by investment'!AK52,'Rev Adequacy'!$BJ$27:$BJ$257)</f>
        <v>3.1598764603725167</v>
      </c>
      <c r="AN52" s="216">
        <f>VLOOKUP(AK52,Connection!$X$5:$AB$55,5,0)/1000000</f>
        <v>0.11929906</v>
      </c>
      <c r="AO52" s="216">
        <v>3.8021472811985292E-2</v>
      </c>
      <c r="AP52" s="217">
        <f t="shared" ca="1" si="11"/>
        <v>0.16305892350265697</v>
      </c>
      <c r="AQ52" s="217">
        <f t="shared" si="12"/>
        <v>1.0364465506653896E-2</v>
      </c>
      <c r="AR52" s="274">
        <f t="shared" ref="AR52:AR62" si="18">AQ52*$BA$2</f>
        <v>1.9485195152509325</v>
      </c>
      <c r="AS52" s="217"/>
      <c r="AT52" s="277">
        <f t="shared" si="13"/>
        <v>5.1083959756234494</v>
      </c>
      <c r="AU52" s="274">
        <f t="shared" ca="1" si="14"/>
        <v>6.1036506859030553</v>
      </c>
      <c r="AV52" s="217"/>
      <c r="AW52" s="215" t="s">
        <v>3</v>
      </c>
      <c r="AX52" s="216">
        <f>SUMIF('Rev Adequacy'!$BF$27:$BF$257,'Charges to party by investment'!AK52,'Rev Adequacy'!$BK$27:$BK$257)</f>
        <v>3.4640063163559836</v>
      </c>
      <c r="AY52" s="216">
        <f>SUMIF('Rev Adequacy'!$BF$27:$BF$257,'Charges to party by investment'!AK52,'Rev Adequacy'!$BL$27:$BL$257)</f>
        <v>3.6667595536782946</v>
      </c>
      <c r="AZ52" s="279">
        <f t="shared" ref="AZ52:AZ62" si="19">$AM52/($AM$64-SUM($AM$40:$AM$49))</f>
        <v>1.0364465506653896E-2</v>
      </c>
      <c r="BA52" s="280">
        <f t="shared" ref="BA52:BA62" ca="1" si="20">SUM($AL52:$AO52)/(SUM($AL$52:$AO$62)+SUM($AL$9:$AO$37))</f>
        <v>6.7577798592735432E-3</v>
      </c>
      <c r="BX52" s="115" t="str">
        <f t="shared" si="15"/>
        <v>CHH</v>
      </c>
      <c r="BY52" s="286">
        <f t="shared" ca="1" si="5"/>
        <v>0.9572332374676209</v>
      </c>
      <c r="BZ52" s="286">
        <f t="shared" si="6"/>
        <v>3.1598764603725167</v>
      </c>
      <c r="CA52" s="286">
        <f t="shared" si="7"/>
        <v>3.8021472811985292E-2</v>
      </c>
      <c r="CB52" s="286">
        <f t="shared" si="8"/>
        <v>1.9485195152509325</v>
      </c>
      <c r="CC52" s="289">
        <f t="shared" ca="1" si="16"/>
        <v>6.1036506859030553</v>
      </c>
    </row>
    <row r="53" spans="2:81" x14ac:dyDescent="0.25">
      <c r="C53" s="56" t="s">
        <v>6</v>
      </c>
      <c r="D53" s="15"/>
      <c r="F53" s="221">
        <f ca="1">SUMIF('Rev Adequacy'!$AH$22:$AH$652,'Charges to party by investment'!C53,'Rev Adequacy'!$AL$22:$AL$652)</f>
        <v>0</v>
      </c>
      <c r="G53" s="221">
        <f ca="1">SUMIF('Rev Adequacy'!$AH$22:$AH$652,'Charges to party by investment'!$C53,'Rev Adequacy'!AM$22:AM$652)</f>
        <v>0</v>
      </c>
      <c r="H53" s="221">
        <f ca="1">SUMIF('Rev Adequacy'!$AH$22:$AH$652,'Charges to party by investment'!$C53,'Rev Adequacy'!AN$22:AN$652)</f>
        <v>0</v>
      </c>
      <c r="I53" s="221">
        <f ca="1">SUMIF('Rev Adequacy'!$AH$22:$AH$652,'Charges to party by investment'!$C53,'Rev Adequacy'!AO$22:AO$652)</f>
        <v>0</v>
      </c>
      <c r="J53" s="221">
        <f>SUMIF('Rev Adequacy'!$AH$22:$AH$652,'Charges to party by investment'!$C53,'Rev Adequacy'!AP$22:AP$652)</f>
        <v>0</v>
      </c>
      <c r="K53" s="221">
        <f ca="1">SUMIF('Rev Adequacy'!$AH$22:$AH$652,'Charges to party by investment'!$C53,'Rev Adequacy'!AQ$22:AQ$652)</f>
        <v>0</v>
      </c>
      <c r="L53" s="221">
        <f ca="1">SUMIF('Rev Adequacy'!$AH$22:$AH$652,'Charges to party by investment'!$C53,'Rev Adequacy'!AR$22:AR$652)</f>
        <v>0</v>
      </c>
      <c r="M53" s="221">
        <f>SUMIF('Rev Adequacy'!$AH$22:$AH$652,'Charges to party by investment'!$C53,'Rev Adequacy'!AS$22:AS$652)</f>
        <v>0</v>
      </c>
      <c r="N53" s="221">
        <f ca="1">SUMIF('Rev Adequacy'!$AH$22:$AH$652,'Charges to party by investment'!$C53,'Rev Adequacy'!AT$22:AT$652)</f>
        <v>3.2455731348511575E-2</v>
      </c>
      <c r="O53" s="221">
        <f ca="1">SUMIF('Rev Adequacy'!$AH$22:$AH$652,'Charges to party by investment'!$C53,'Rev Adequacy'!AU$22:AU$652)</f>
        <v>0</v>
      </c>
      <c r="P53" s="221">
        <f ca="1">SUMIF('Rev Adequacy'!$AH$22:$AH$652,'Charges to party by investment'!$C53,'Rev Adequacy'!AV$22:AV$652)</f>
        <v>0</v>
      </c>
      <c r="Q53" s="221">
        <f>SUMIF('Rev Adequacy'!$AH$22:$AH$652,'Charges to party by investment'!$C53,'Rev Adequacy'!AW$22:AW$652)</f>
        <v>0</v>
      </c>
      <c r="R53" s="221">
        <f>SUMIF('Rev Adequacy'!$AH$22:$AH$652,'Charges to party by investment'!$C53,'Rev Adequacy'!AX$22:AX$652)</f>
        <v>0</v>
      </c>
      <c r="S53" s="15"/>
      <c r="T53" s="15"/>
      <c r="V53" s="221">
        <f ca="1">SUMIFS('Rev Adequacy'!$G$6:$G$4999,'Rev Adequacy'!$B$6:$B$4999,'Charges to party by investment'!V$4,'Rev Adequacy'!$E$6:$E$4999,'Charges to party by investment'!$C53)*V$5/V$6</f>
        <v>9.0221580228569322E-3</v>
      </c>
      <c r="W53" s="221">
        <f ca="1">SUMIFS('Rev Adequacy'!$G$6:$G$4999,'Rev Adequacy'!$B$6:$B$4999,'Charges to party by investment'!W$4,'Rev Adequacy'!$E$6:$E$4999,'Charges to party by investment'!$C53)*W$5/W$6</f>
        <v>0</v>
      </c>
      <c r="X53" s="221">
        <f ca="1">SUMIFS('Rev Adequacy'!$G$6:$G$4999,'Rev Adequacy'!$B$6:$B$4999,'Charges to party by investment'!X$4,'Rev Adequacy'!$E$6:$E$4999,'Charges to party by investment'!$C53)*X$5/X$6</f>
        <v>0</v>
      </c>
      <c r="Y53" s="221">
        <f ca="1">SUMIFS('Rev Adequacy'!$G$6:$G$4999,'Rev Adequacy'!$B$6:$B$4999,'Charges to party by investment'!Y$4,'Rev Adequacy'!$E$6:$E$4999,'Charges to party by investment'!$C53)*Y$5/Y$6</f>
        <v>2.0112566999999502E-2</v>
      </c>
      <c r="Z53" s="221">
        <f ca="1">SUMIFS('Rev Adequacy'!$G$6:$G$4999,'Rev Adequacy'!$B$6:$B$4999,'Charges to party by investment'!Z$4,'Rev Adequacy'!$E$6:$E$4999,'Charges to party by investment'!$C53)*Z$5/Z$6</f>
        <v>8.038833438536612E-3</v>
      </c>
      <c r="AA53" s="221">
        <f ca="1">SUMIFS('Rev Adequacy'!$G$6:$G$4999,'Rev Adequacy'!$B$6:$B$4999,'Charges to party by investment'!AA$4,'Rev Adequacy'!$E$6:$E$4999,'Charges to party by investment'!$C53)*AA$5/AA$6</f>
        <v>1.4848872579924248E-2</v>
      </c>
      <c r="AB53" s="221">
        <f>SUMIFS('Rev Adequacy'!$G$6:$G$4999,'Rev Adequacy'!$B$6:$B$4999,'Charges to party by investment'!AB$4,'Rev Adequacy'!$E$6:$E$4999,'Charges to party by investment'!$C53)</f>
        <v>0</v>
      </c>
      <c r="AC53" s="221">
        <f>SUMIFS('Rev Adequacy'!$G$6:$G$4999,'Rev Adequacy'!$B$6:$B$4999,'Charges to party by investment'!AC$4,'Rev Adequacy'!$E$6:$E$4999,'Charges to party by investment'!$C53)</f>
        <v>0</v>
      </c>
      <c r="AD53" s="221">
        <f>SUMIFS('Rev Adequacy'!$G$6:$G$4999,'Rev Adequacy'!$B$6:$B$4999,'Charges to party by investment'!AD$4,'Rev Adequacy'!$E$6:$E$4999,'Charges to party by investment'!$C53)</f>
        <v>0</v>
      </c>
      <c r="AE53" s="221">
        <f>SUMIFS('Rev Adequacy'!$G$6:$G$4999,'Rev Adequacy'!$B$6:$B$4999,'Charges to party by investment'!AE$4,'Rev Adequacy'!$E$6:$E$4999,'Charges to party by investment'!$C53)</f>
        <v>0</v>
      </c>
      <c r="AF53" s="221">
        <f>SUMIFS('Rev Adequacy'!$G$6:$G$4999,'Rev Adequacy'!$B$6:$B$4999,'Charges to party by investment'!AF$4,'Rev Adequacy'!$E$6:$E$4999,'Charges to party by investment'!$C53)</f>
        <v>0</v>
      </c>
      <c r="AG53" s="221">
        <f>SUMIFS('Rev Adequacy'!$G$6:$G$4999,'Rev Adequacy'!$B$6:$B$4999,'Charges to party by investment'!AG$4,'Rev Adequacy'!$E$6:$E$4999,'Charges to party by investment'!$C53)</f>
        <v>0</v>
      </c>
      <c r="AH53" s="221">
        <f>SUMIFS('Rev Adequacy'!$G$6:$G$4999,'Rev Adequacy'!$B$6:$B$4999,'Charges to party by investment'!AH$4,'Rev Adequacy'!$E$6:$E$4999,'Charges to party by investment'!$C53)</f>
        <v>0</v>
      </c>
      <c r="AJ53" s="190" t="str">
        <f>'Charges as $M per year'!A48</f>
        <v>Daiken MDF</v>
      </c>
      <c r="AK53" s="215" t="str">
        <f t="shared" si="9"/>
        <v>Daiken MDF</v>
      </c>
      <c r="AL53" s="216">
        <f t="shared" ca="1" si="10"/>
        <v>8.4478162389828873E-2</v>
      </c>
      <c r="AM53" s="216">
        <f>SUMIF('Rev Adequacy'!$BF$27:$BF$257,'Charges to party by investment'!AK53,'Rev Adequacy'!$BJ$27:$BJ$257)</f>
        <v>0.40397022395159948</v>
      </c>
      <c r="AN53" s="216">
        <f>VLOOKUP(AK53,Connection!$X$5:$AB$55,5,0)/1000000</f>
        <v>0</v>
      </c>
      <c r="AO53" s="216">
        <v>1.4486008918814764E-2</v>
      </c>
      <c r="AP53" s="217">
        <f t="shared" ca="1" si="11"/>
        <v>0.13159424052665011</v>
      </c>
      <c r="AQ53" s="217">
        <f t="shared" si="12"/>
        <v>1.3250313752354755E-3</v>
      </c>
      <c r="AR53" s="274">
        <f t="shared" si="18"/>
        <v>0.2491058985442694</v>
      </c>
      <c r="AS53" s="217"/>
      <c r="AT53" s="277">
        <f t="shared" si="13"/>
        <v>0.65307612249586888</v>
      </c>
      <c r="AU53" s="274">
        <f t="shared" ca="1" si="14"/>
        <v>0.75204029380451254</v>
      </c>
      <c r="AV53" s="217"/>
      <c r="AW53" s="215" t="s">
        <v>6</v>
      </c>
      <c r="AX53" s="216">
        <f>SUMIF('Rev Adequacy'!$BF$27:$BF$257,'Charges to party by investment'!AK53,'Rev Adequacy'!$BK$27:$BK$257)</f>
        <v>0.44285130287122432</v>
      </c>
      <c r="AY53" s="216">
        <f>SUMIF('Rev Adequacy'!$BF$27:$BF$257,'Charges to party by investment'!AK53,'Rev Adequacy'!$BL$27:$BL$257)</f>
        <v>0.46877202215097424</v>
      </c>
      <c r="AZ53" s="279">
        <f t="shared" si="19"/>
        <v>1.3250313752354755E-3</v>
      </c>
      <c r="BA53" s="280">
        <f t="shared" ca="1" si="20"/>
        <v>7.9512817929585625E-4</v>
      </c>
      <c r="BX53" s="115" t="str">
        <f t="shared" si="15"/>
        <v>Daiken MDF</v>
      </c>
      <c r="BY53" s="286">
        <f t="shared" ca="1" si="5"/>
        <v>8.4478162389828873E-2</v>
      </c>
      <c r="BZ53" s="286">
        <f t="shared" si="6"/>
        <v>0.40397022395159948</v>
      </c>
      <c r="CA53" s="286">
        <f t="shared" si="7"/>
        <v>1.4486008918814764E-2</v>
      </c>
      <c r="CB53" s="286">
        <f t="shared" si="8"/>
        <v>0.2491058985442694</v>
      </c>
      <c r="CC53" s="289">
        <f t="shared" ca="1" si="16"/>
        <v>0.75204029380451254</v>
      </c>
    </row>
    <row r="54" spans="2:81" x14ac:dyDescent="0.25">
      <c r="C54" s="56" t="s">
        <v>51</v>
      </c>
      <c r="D54" s="15"/>
      <c r="F54" s="221">
        <f ca="1">SUMIF('Rev Adequacy'!$AH$22:$AH$652,'Charges to party by investment'!C54,'Rev Adequacy'!$AL$22:$AL$652)</f>
        <v>0</v>
      </c>
      <c r="G54" s="221">
        <f ca="1">SUMIF('Rev Adequacy'!$AH$22:$AH$652,'Charges to party by investment'!$C54,'Rev Adequacy'!AM$22:AM$652)</f>
        <v>0</v>
      </c>
      <c r="H54" s="221">
        <f ca="1">SUMIF('Rev Adequacy'!$AH$22:$AH$652,'Charges to party by investment'!$C54,'Rev Adequacy'!AN$22:AN$652)</f>
        <v>0</v>
      </c>
      <c r="I54" s="221">
        <f ca="1">SUMIF('Rev Adequacy'!$AH$22:$AH$652,'Charges to party by investment'!$C54,'Rev Adequacy'!AO$22:AO$652)</f>
        <v>0</v>
      </c>
      <c r="J54" s="221">
        <f>SUMIF('Rev Adequacy'!$AH$22:$AH$652,'Charges to party by investment'!$C54,'Rev Adequacy'!AP$22:AP$652)</f>
        <v>0</v>
      </c>
      <c r="K54" s="221">
        <f ca="1">SUMIF('Rev Adequacy'!$AH$22:$AH$652,'Charges to party by investment'!$C54,'Rev Adequacy'!AQ$22:AQ$652)</f>
        <v>0</v>
      </c>
      <c r="L54" s="221">
        <f ca="1">SUMIF('Rev Adequacy'!$AH$22:$AH$652,'Charges to party by investment'!$C54,'Rev Adequacy'!AR$22:AR$652)</f>
        <v>0</v>
      </c>
      <c r="M54" s="221">
        <f>SUMIF('Rev Adequacy'!$AH$22:$AH$652,'Charges to party by investment'!$C54,'Rev Adequacy'!AS$22:AS$652)</f>
        <v>0</v>
      </c>
      <c r="N54" s="221">
        <f ca="1">SUMIF('Rev Adequacy'!$AH$22:$AH$652,'Charges to party by investment'!$C54,'Rev Adequacy'!AT$22:AT$652)</f>
        <v>0</v>
      </c>
      <c r="O54" s="221">
        <f ca="1">SUMIF('Rev Adequacy'!$AH$22:$AH$652,'Charges to party by investment'!$C54,'Rev Adequacy'!AU$22:AU$652)</f>
        <v>0</v>
      </c>
      <c r="P54" s="221">
        <f ca="1">SUMIF('Rev Adequacy'!$AH$22:$AH$652,'Charges to party by investment'!$C54,'Rev Adequacy'!AV$22:AV$652)</f>
        <v>0</v>
      </c>
      <c r="Q54" s="221">
        <f>SUMIF('Rev Adequacy'!$AH$22:$AH$652,'Charges to party by investment'!$C54,'Rev Adequacy'!AW$22:AW$652)</f>
        <v>0</v>
      </c>
      <c r="R54" s="221">
        <f>SUMIF('Rev Adequacy'!$AH$22:$AH$652,'Charges to party by investment'!$C54,'Rev Adequacy'!AX$22:AX$652)</f>
        <v>0</v>
      </c>
      <c r="S54" s="15"/>
      <c r="T54" s="15"/>
      <c r="V54" s="221">
        <f ca="1">SUMIFS('Rev Adequacy'!$G$6:$G$4999,'Rev Adequacy'!$B$6:$B$4999,'Charges to party by investment'!V$4,'Rev Adequacy'!$E$6:$E$4999,'Charges to party by investment'!$C54)*V$5/V$6</f>
        <v>2.7190291384986229E-2</v>
      </c>
      <c r="W54" s="221">
        <f ca="1">SUMIFS('Rev Adequacy'!$G$6:$G$4999,'Rev Adequacy'!$B$6:$B$4999,'Charges to party by investment'!W$4,'Rev Adequacy'!$E$6:$E$4999,'Charges to party by investment'!$C54)*W$5/W$6</f>
        <v>3.6558207402844579E-2</v>
      </c>
      <c r="X54" s="221">
        <f ca="1">SUMIFS('Rev Adequacy'!$G$6:$G$4999,'Rev Adequacy'!$B$6:$B$4999,'Charges to party by investment'!X$4,'Rev Adequacy'!$E$6:$E$4999,'Charges to party by investment'!$C54)*X$5/X$6</f>
        <v>4.0674546233179919E-2</v>
      </c>
      <c r="Y54" s="221">
        <f ca="1">SUMIFS('Rev Adequacy'!$G$6:$G$4999,'Rev Adequacy'!$B$6:$B$4999,'Charges to party by investment'!Y$4,'Rev Adequacy'!$E$6:$E$4999,'Charges to party by investment'!$C54)*Y$5/Y$6</f>
        <v>1.395444400000009E-2</v>
      </c>
      <c r="Z54" s="221">
        <f ca="1">SUMIFS('Rev Adequacy'!$G$6:$G$4999,'Rev Adequacy'!$B$6:$B$4999,'Charges to party by investment'!Z$4,'Rev Adequacy'!$E$6:$E$4999,'Charges to party by investment'!$C54)*Z$5/Z$6</f>
        <v>3.4837825442735428E-4</v>
      </c>
      <c r="AA54" s="221">
        <f ca="1">SUMIFS('Rev Adequacy'!$G$6:$G$4999,'Rev Adequacy'!$B$6:$B$4999,'Charges to party by investment'!AA$4,'Rev Adequacy'!$E$6:$E$4999,'Charges to party by investment'!$C54)*AA$5/AA$6</f>
        <v>1.3041077086585466E-2</v>
      </c>
      <c r="AB54" s="221">
        <f>SUMIFS('Rev Adequacy'!$G$6:$G$4999,'Rev Adequacy'!$B$6:$B$4999,'Charges to party by investment'!AB$4,'Rev Adequacy'!$E$6:$E$4999,'Charges to party by investment'!$C54)</f>
        <v>0</v>
      </c>
      <c r="AC54" s="221">
        <f>SUMIFS('Rev Adequacy'!$G$6:$G$4999,'Rev Adequacy'!$B$6:$B$4999,'Charges to party by investment'!AC$4,'Rev Adequacy'!$E$6:$E$4999,'Charges to party by investment'!$C54)</f>
        <v>0</v>
      </c>
      <c r="AD54" s="221">
        <f>SUMIFS('Rev Adequacy'!$G$6:$G$4999,'Rev Adequacy'!$B$6:$B$4999,'Charges to party by investment'!AD$4,'Rev Adequacy'!$E$6:$E$4999,'Charges to party by investment'!$C54)</f>
        <v>0</v>
      </c>
      <c r="AE54" s="221">
        <f>SUMIFS('Rev Adequacy'!$G$6:$G$4999,'Rev Adequacy'!$B$6:$B$4999,'Charges to party by investment'!AE$4,'Rev Adequacy'!$E$6:$E$4999,'Charges to party by investment'!$C54)</f>
        <v>0</v>
      </c>
      <c r="AF54" s="221">
        <f>SUMIFS('Rev Adequacy'!$G$6:$G$4999,'Rev Adequacy'!$B$6:$B$4999,'Charges to party by investment'!AF$4,'Rev Adequacy'!$E$6:$E$4999,'Charges to party by investment'!$C54)</f>
        <v>0</v>
      </c>
      <c r="AG54" s="221">
        <f>SUMIFS('Rev Adequacy'!$G$6:$G$4999,'Rev Adequacy'!$B$6:$B$4999,'Charges to party by investment'!AG$4,'Rev Adequacy'!$E$6:$E$4999,'Charges to party by investment'!$C54)</f>
        <v>0</v>
      </c>
      <c r="AH54" s="221">
        <f>SUMIFS('Rev Adequacy'!$G$6:$G$4999,'Rev Adequacy'!$B$6:$B$4999,'Charges to party by investment'!AH$4,'Rev Adequacy'!$E$6:$E$4999,'Charges to party by investment'!$C54)</f>
        <v>0</v>
      </c>
      <c r="AJ54" s="190" t="str">
        <f>'Charges as $M per year'!A49</f>
        <v>Kiwirail</v>
      </c>
      <c r="AK54" s="215" t="str">
        <f t="shared" si="9"/>
        <v>Kiwirail</v>
      </c>
      <c r="AL54" s="216">
        <f t="shared" ca="1" si="10"/>
        <v>0.13176694436202366</v>
      </c>
      <c r="AM54" s="216">
        <f>SUMIF('Rev Adequacy'!$BF$27:$BF$257,'Charges to party by investment'!AK54,'Rev Adequacy'!$BJ$27:$BJ$257)</f>
        <v>1.3222267651384794</v>
      </c>
      <c r="AN54" s="216">
        <f>VLOOKUP(AK54,Connection!$X$5:$AB$55,5,0)/1000000</f>
        <v>1.6783543299999997</v>
      </c>
      <c r="AO54" s="216">
        <v>1.3595195736225562E-2</v>
      </c>
      <c r="AP54" s="217">
        <f t="shared" ca="1" si="11"/>
        <v>6.3673432171105021E-2</v>
      </c>
      <c r="AQ54" s="217">
        <f t="shared" si="12"/>
        <v>4.3369333805020815E-3</v>
      </c>
      <c r="AR54" s="274">
        <f t="shared" si="18"/>
        <v>0.81534347553439135</v>
      </c>
      <c r="AS54" s="217"/>
      <c r="AT54" s="277">
        <f t="shared" si="13"/>
        <v>2.1375702406728707</v>
      </c>
      <c r="AU54" s="274">
        <f t="shared" ca="1" si="14"/>
        <v>2.2829323807711197</v>
      </c>
      <c r="AV54" s="217"/>
      <c r="AW54" s="215" t="s">
        <v>51</v>
      </c>
      <c r="AX54" s="216">
        <f>SUMIF('Rev Adequacy'!$BF$27:$BF$257,'Charges to party by investment'!AK54,'Rev Adequacy'!$BK$27:$BK$257)</f>
        <v>1.4494876377396959</v>
      </c>
      <c r="AY54" s="216">
        <f>SUMIF('Rev Adequacy'!$BF$27:$BF$257,'Charges to party by investment'!AK54,'Rev Adequacy'!$BL$27:$BL$257)</f>
        <v>1.5343282194738406</v>
      </c>
      <c r="AZ54" s="279">
        <f t="shared" si="19"/>
        <v>4.3369333805020815E-3</v>
      </c>
      <c r="BA54" s="280">
        <f t="shared" ca="1" si="20"/>
        <v>4.9736668248898204E-3</v>
      </c>
      <c r="BX54" s="115" t="str">
        <f t="shared" si="15"/>
        <v>Kiwirail</v>
      </c>
      <c r="BY54" s="286">
        <f t="shared" ca="1" si="5"/>
        <v>0.13176694436202366</v>
      </c>
      <c r="BZ54" s="286">
        <f t="shared" si="6"/>
        <v>1.3222267651384794</v>
      </c>
      <c r="CA54" s="286">
        <f t="shared" si="7"/>
        <v>1.3595195736225562E-2</v>
      </c>
      <c r="CB54" s="286">
        <f t="shared" si="8"/>
        <v>0.81534347553439135</v>
      </c>
      <c r="CC54" s="289">
        <f t="shared" ca="1" si="16"/>
        <v>2.2829323807711197</v>
      </c>
    </row>
    <row r="55" spans="2:81" x14ac:dyDescent="0.25">
      <c r="C55" s="56" t="s">
        <v>15</v>
      </c>
      <c r="D55" s="15"/>
      <c r="F55" s="221">
        <f ca="1">SUMIF('Rev Adequacy'!$AH$22:$AH$652,'Charges to party by investment'!C55,'Rev Adequacy'!$AL$22:$AL$652)</f>
        <v>0</v>
      </c>
      <c r="G55" s="221">
        <f ca="1">SUMIF('Rev Adequacy'!$AH$22:$AH$652,'Charges to party by investment'!$C55,'Rev Adequacy'!AM$22:AM$652)</f>
        <v>0</v>
      </c>
      <c r="H55" s="221">
        <f ca="1">SUMIF('Rev Adequacy'!$AH$22:$AH$652,'Charges to party by investment'!$C55,'Rev Adequacy'!AN$22:AN$652)</f>
        <v>0</v>
      </c>
      <c r="I55" s="221">
        <f ca="1">SUMIF('Rev Adequacy'!$AH$22:$AH$652,'Charges to party by investment'!$C55,'Rev Adequacy'!AO$22:AO$652)</f>
        <v>0</v>
      </c>
      <c r="J55" s="221">
        <f>SUMIF('Rev Adequacy'!$AH$22:$AH$652,'Charges to party by investment'!$C55,'Rev Adequacy'!AP$22:AP$652)</f>
        <v>0</v>
      </c>
      <c r="K55" s="221">
        <f ca="1">SUMIF('Rev Adequacy'!$AH$22:$AH$652,'Charges to party by investment'!$C55,'Rev Adequacy'!AQ$22:AQ$652)</f>
        <v>0</v>
      </c>
      <c r="L55" s="221">
        <f ca="1">SUMIF('Rev Adequacy'!$AH$22:$AH$652,'Charges to party by investment'!$C55,'Rev Adequacy'!AR$22:AR$652)</f>
        <v>0</v>
      </c>
      <c r="M55" s="221">
        <f>SUMIF('Rev Adequacy'!$AH$22:$AH$652,'Charges to party by investment'!$C55,'Rev Adequacy'!AS$22:AS$652)</f>
        <v>0</v>
      </c>
      <c r="N55" s="221">
        <f ca="1">SUMIF('Rev Adequacy'!$AH$22:$AH$652,'Charges to party by investment'!$C55,'Rev Adequacy'!AT$22:AT$652)</f>
        <v>0</v>
      </c>
      <c r="O55" s="221">
        <f ca="1">SUMIF('Rev Adequacy'!$AH$22:$AH$652,'Charges to party by investment'!$C55,'Rev Adequacy'!AU$22:AU$652)</f>
        <v>0</v>
      </c>
      <c r="P55" s="221">
        <f ca="1">SUMIF('Rev Adequacy'!$AH$22:$AH$652,'Charges to party by investment'!$C55,'Rev Adequacy'!AV$22:AV$652)</f>
        <v>0</v>
      </c>
      <c r="Q55" s="221">
        <f>SUMIF('Rev Adequacy'!$AH$22:$AH$652,'Charges to party by investment'!$C55,'Rev Adequacy'!AW$22:AW$652)</f>
        <v>0</v>
      </c>
      <c r="R55" s="221">
        <f>SUMIF('Rev Adequacy'!$AH$22:$AH$652,'Charges to party by investment'!$C55,'Rev Adequacy'!AX$22:AX$652)</f>
        <v>0</v>
      </c>
      <c r="S55" s="15"/>
      <c r="T55" s="15"/>
      <c r="V55" s="221">
        <f ca="1">SUMIFS('Rev Adequacy'!$G$6:$G$4999,'Rev Adequacy'!$B$6:$B$4999,'Charges to party by investment'!V$4,'Rev Adequacy'!$E$6:$E$4999,'Charges to party by investment'!$C55)*V$5/V$6</f>
        <v>1.5736410802489473E-2</v>
      </c>
      <c r="W55" s="221">
        <f ca="1">SUMIFS('Rev Adequacy'!$G$6:$G$4999,'Rev Adequacy'!$B$6:$B$4999,'Charges to party by investment'!W$4,'Rev Adequacy'!$E$6:$E$4999,'Charges to party by investment'!$C55)*W$5/W$6</f>
        <v>5.2476584082624997E-2</v>
      </c>
      <c r="X55" s="221">
        <f ca="1">SUMIFS('Rev Adequacy'!$G$6:$G$4999,'Rev Adequacy'!$B$6:$B$4999,'Charges to party by investment'!X$4,'Rev Adequacy'!$E$6:$E$4999,'Charges to party by investment'!$C55)*X$5/X$6</f>
        <v>5.9386863275785982E-2</v>
      </c>
      <c r="Y55" s="221">
        <f ca="1">SUMIFS('Rev Adequacy'!$G$6:$G$4999,'Rev Adequacy'!$B$6:$B$4999,'Charges to party by investment'!Y$4,'Rev Adequacy'!$E$6:$E$4999,'Charges to party by investment'!$C55)*Y$5/Y$6</f>
        <v>1.5189425999999798E-2</v>
      </c>
      <c r="Z55" s="221">
        <f ca="1">SUMIFS('Rev Adequacy'!$G$6:$G$4999,'Rev Adequacy'!$B$6:$B$4999,'Charges to party by investment'!Z$4,'Rev Adequacy'!$E$6:$E$4999,'Charges to party by investment'!$C55)*Z$5/Z$6</f>
        <v>4.7714304624187981E-4</v>
      </c>
      <c r="AA55" s="221">
        <f ca="1">SUMIFS('Rev Adequacy'!$G$6:$G$4999,'Rev Adequacy'!$B$6:$B$4999,'Charges to party by investment'!AA$4,'Rev Adequacy'!$E$6:$E$4999,'Charges to party by investment'!$C55)*AA$5/AA$6</f>
        <v>1.4438589568796449E-2</v>
      </c>
      <c r="AB55" s="221">
        <f>SUMIFS('Rev Adequacy'!$G$6:$G$4999,'Rev Adequacy'!$B$6:$B$4999,'Charges to party by investment'!AB$4,'Rev Adequacy'!$E$6:$E$4999,'Charges to party by investment'!$C55)</f>
        <v>0</v>
      </c>
      <c r="AC55" s="221">
        <f>SUMIFS('Rev Adequacy'!$G$6:$G$4999,'Rev Adequacy'!$B$6:$B$4999,'Charges to party by investment'!AC$4,'Rev Adequacy'!$E$6:$E$4999,'Charges to party by investment'!$C55)</f>
        <v>0</v>
      </c>
      <c r="AD55" s="221">
        <f>SUMIFS('Rev Adequacy'!$G$6:$G$4999,'Rev Adequacy'!$B$6:$B$4999,'Charges to party by investment'!AD$4,'Rev Adequacy'!$E$6:$E$4999,'Charges to party by investment'!$C55)</f>
        <v>0</v>
      </c>
      <c r="AE55" s="221">
        <f>SUMIFS('Rev Adequacy'!$G$6:$G$4999,'Rev Adequacy'!$B$6:$B$4999,'Charges to party by investment'!AE$4,'Rev Adequacy'!$E$6:$E$4999,'Charges to party by investment'!$C55)</f>
        <v>0</v>
      </c>
      <c r="AF55" s="221">
        <f>SUMIFS('Rev Adequacy'!$G$6:$G$4999,'Rev Adequacy'!$B$6:$B$4999,'Charges to party by investment'!AF$4,'Rev Adequacy'!$E$6:$E$4999,'Charges to party by investment'!$C55)</f>
        <v>0</v>
      </c>
      <c r="AG55" s="221">
        <f>SUMIFS('Rev Adequacy'!$G$6:$G$4999,'Rev Adequacy'!$B$6:$B$4999,'Charges to party by investment'!AG$4,'Rev Adequacy'!$E$6:$E$4999,'Charges to party by investment'!$C55)</f>
        <v>0</v>
      </c>
      <c r="AH55" s="221">
        <f>SUMIFS('Rev Adequacy'!$G$6:$G$4999,'Rev Adequacy'!$B$6:$B$4999,'Charges to party by investment'!AH$4,'Rev Adequacy'!$E$6:$E$4999,'Charges to party by investment'!$C55)</f>
        <v>0</v>
      </c>
      <c r="AJ55" s="190" t="str">
        <f>'Charges as $M per year'!A50</f>
        <v>Methanex</v>
      </c>
      <c r="AK55" s="215" t="str">
        <f t="shared" si="9"/>
        <v>Methanex</v>
      </c>
      <c r="AL55" s="216">
        <f t="shared" ca="1" si="10"/>
        <v>0.15770501677593859</v>
      </c>
      <c r="AM55" s="216">
        <f>SUMIF('Rev Adequacy'!$BF$27:$BF$257,'Charges to party by investment'!AK55,'Rev Adequacy'!$BJ$27:$BJ$257)</f>
        <v>0.33751205010727242</v>
      </c>
      <c r="AN55" s="216">
        <f>VLOOKUP(AK55,Connection!$X$5:$AB$55,5,0)/1000000</f>
        <v>0.47526422000000001</v>
      </c>
      <c r="AO55" s="216">
        <v>4.7819107284492093E-3</v>
      </c>
      <c r="AP55" s="217">
        <f t="shared" ca="1" si="11"/>
        <v>0.229461177591021</v>
      </c>
      <c r="AQ55" s="217">
        <f t="shared" si="12"/>
        <v>1.1070470777216628E-3</v>
      </c>
      <c r="AR55" s="274">
        <f t="shared" si="18"/>
        <v>0.2081248506116726</v>
      </c>
      <c r="AS55" s="217"/>
      <c r="AT55" s="277">
        <f t="shared" si="13"/>
        <v>0.54563690071894499</v>
      </c>
      <c r="AU55" s="274">
        <f t="shared" ca="1" si="14"/>
        <v>0.70812382822333286</v>
      </c>
      <c r="AV55" s="217"/>
      <c r="AW55" s="215" t="s">
        <v>15</v>
      </c>
      <c r="AX55" s="216">
        <f>SUMIF('Rev Adequacy'!$BF$27:$BF$257,'Charges to party by investment'!AK55,'Rev Adequacy'!$BK$27:$BK$257)</f>
        <v>0.36999670337745388</v>
      </c>
      <c r="AY55" s="216">
        <f>SUMIF('Rev Adequacy'!$BF$27:$BF$257,'Charges to party by investment'!AK55,'Rev Adequacy'!$BL$27:$BL$257)</f>
        <v>0.39165313889090814</v>
      </c>
      <c r="AZ55" s="279">
        <f t="shared" si="19"/>
        <v>1.1070470777216628E-3</v>
      </c>
      <c r="BA55" s="280">
        <f t="shared" ca="1" si="20"/>
        <v>1.5418695916590739E-3</v>
      </c>
      <c r="BX55" s="115" t="str">
        <f t="shared" si="15"/>
        <v>Methanex</v>
      </c>
      <c r="BY55" s="286">
        <f t="shared" ca="1" si="5"/>
        <v>0.15770501677593859</v>
      </c>
      <c r="BZ55" s="286">
        <f t="shared" si="6"/>
        <v>0.33751205010727242</v>
      </c>
      <c r="CA55" s="286">
        <f t="shared" si="7"/>
        <v>4.7819107284492093E-3</v>
      </c>
      <c r="CB55" s="286">
        <f t="shared" si="8"/>
        <v>0.2081248506116726</v>
      </c>
      <c r="CC55" s="289">
        <f t="shared" ca="1" si="16"/>
        <v>0.70812382822333286</v>
      </c>
    </row>
    <row r="56" spans="2:81" x14ac:dyDescent="0.25">
      <c r="C56" s="56" t="s">
        <v>22</v>
      </c>
      <c r="D56" s="15"/>
      <c r="F56" s="221">
        <f ca="1">SUMIF('Rev Adequacy'!$AH$22:$AH$652,'Charges to party by investment'!C56,'Rev Adequacy'!$AL$22:$AL$652)</f>
        <v>0</v>
      </c>
      <c r="G56" s="221">
        <f ca="1">SUMIF('Rev Adequacy'!$AH$22:$AH$652,'Charges to party by investment'!$C56,'Rev Adequacy'!AM$22:AM$652)</f>
        <v>0</v>
      </c>
      <c r="H56" s="221">
        <f ca="1">SUMIF('Rev Adequacy'!$AH$22:$AH$652,'Charges to party by investment'!$C56,'Rev Adequacy'!AN$22:AN$652)</f>
        <v>0</v>
      </c>
      <c r="I56" s="221">
        <f ca="1">SUMIF('Rev Adequacy'!$AH$22:$AH$652,'Charges to party by investment'!$C56,'Rev Adequacy'!AO$22:AO$652)</f>
        <v>0</v>
      </c>
      <c r="J56" s="221">
        <f>SUMIF('Rev Adequacy'!$AH$22:$AH$652,'Charges to party by investment'!$C56,'Rev Adequacy'!AP$22:AP$652)</f>
        <v>0</v>
      </c>
      <c r="K56" s="221">
        <f ca="1">SUMIF('Rev Adequacy'!$AH$22:$AH$652,'Charges to party by investment'!$C56,'Rev Adequacy'!AQ$22:AQ$652)</f>
        <v>0</v>
      </c>
      <c r="L56" s="221">
        <f ca="1">SUMIF('Rev Adequacy'!$AH$22:$AH$652,'Charges to party by investment'!$C56,'Rev Adequacy'!AR$22:AR$652)</f>
        <v>0</v>
      </c>
      <c r="M56" s="221">
        <f>SUMIF('Rev Adequacy'!$AH$22:$AH$652,'Charges to party by investment'!$C56,'Rev Adequacy'!AS$22:AS$652)</f>
        <v>0</v>
      </c>
      <c r="N56" s="221">
        <f ca="1">SUMIF('Rev Adequacy'!$AH$22:$AH$652,'Charges to party by investment'!$C56,'Rev Adequacy'!AT$22:AT$652)</f>
        <v>0</v>
      </c>
      <c r="O56" s="221">
        <f ca="1">SUMIF('Rev Adequacy'!$AH$22:$AH$652,'Charges to party by investment'!$C56,'Rev Adequacy'!AU$22:AU$652)</f>
        <v>0</v>
      </c>
      <c r="P56" s="221">
        <f ca="1">SUMIF('Rev Adequacy'!$AH$22:$AH$652,'Charges to party by investment'!$C56,'Rev Adequacy'!AV$22:AV$652)</f>
        <v>0</v>
      </c>
      <c r="Q56" s="221">
        <f>SUMIF('Rev Adequacy'!$AH$22:$AH$652,'Charges to party by investment'!$C56,'Rev Adequacy'!AW$22:AW$652)</f>
        <v>0</v>
      </c>
      <c r="R56" s="221">
        <f>SUMIF('Rev Adequacy'!$AH$22:$AH$652,'Charges to party by investment'!$C56,'Rev Adequacy'!AX$22:AX$652)</f>
        <v>0</v>
      </c>
      <c r="S56" s="15"/>
      <c r="T56" s="15"/>
      <c r="V56" s="221">
        <f ca="1">SUMIFS('Rev Adequacy'!$G$6:$G$4999,'Rev Adequacy'!$B$6:$B$4999,'Charges to party by investment'!V$4,'Rev Adequacy'!$E$6:$E$4999,'Charges to party by investment'!$C56)*V$5/V$6</f>
        <v>6.5291792891425893E-2</v>
      </c>
      <c r="W56" s="221">
        <f ca="1">SUMIFS('Rev Adequacy'!$G$6:$G$4999,'Rev Adequacy'!$B$6:$B$4999,'Charges to party by investment'!W$4,'Rev Adequacy'!$E$6:$E$4999,'Charges to party by investment'!$C56)*W$5/W$6</f>
        <v>7.7901829399838224E-2</v>
      </c>
      <c r="X56" s="221">
        <f ca="1">SUMIFS('Rev Adequacy'!$G$6:$G$4999,'Rev Adequacy'!$B$6:$B$4999,'Charges to party by investment'!X$4,'Rev Adequacy'!$E$6:$E$4999,'Charges to party by investment'!$C56)*X$5/X$6</f>
        <v>6.4320191930940046E-2</v>
      </c>
      <c r="Y56" s="221">
        <f ca="1">SUMIFS('Rev Adequacy'!$G$6:$G$4999,'Rev Adequacy'!$B$6:$B$4999,'Charges to party by investment'!Y$4,'Rev Adequacy'!$E$6:$E$4999,'Charges to party by investment'!$C56)*Y$5/Y$6</f>
        <v>2.4358289999999901E-2</v>
      </c>
      <c r="Z56" s="221">
        <f ca="1">SUMIFS('Rev Adequacy'!$G$6:$G$4999,'Rev Adequacy'!$B$6:$B$4999,'Charges to party by investment'!Z$4,'Rev Adequacy'!$E$6:$E$4999,'Charges to party by investment'!$C56)*Z$5/Z$6</f>
        <v>0</v>
      </c>
      <c r="AA56" s="221">
        <f ca="1">SUMIFS('Rev Adequacy'!$G$6:$G$4999,'Rev Adequacy'!$B$6:$B$4999,'Charges to party by investment'!AA$4,'Rev Adequacy'!$E$6:$E$4999,'Charges to party by investment'!$C56)*AA$5/AA$6</f>
        <v>1.1883506188678379E-2</v>
      </c>
      <c r="AB56" s="221">
        <f>SUMIFS('Rev Adequacy'!$G$6:$G$4999,'Rev Adequacy'!$B$6:$B$4999,'Charges to party by investment'!AB$4,'Rev Adequacy'!$E$6:$E$4999,'Charges to party by investment'!$C56)</f>
        <v>0</v>
      </c>
      <c r="AC56" s="221">
        <f>SUMIFS('Rev Adequacy'!$G$6:$G$4999,'Rev Adequacy'!$B$6:$B$4999,'Charges to party by investment'!AC$4,'Rev Adequacy'!$E$6:$E$4999,'Charges to party by investment'!$C56)</f>
        <v>0</v>
      </c>
      <c r="AD56" s="221">
        <f>SUMIFS('Rev Adequacy'!$G$6:$G$4999,'Rev Adequacy'!$B$6:$B$4999,'Charges to party by investment'!AD$4,'Rev Adequacy'!$E$6:$E$4999,'Charges to party by investment'!$C56)</f>
        <v>0</v>
      </c>
      <c r="AE56" s="221">
        <f>SUMIFS('Rev Adequacy'!$G$6:$G$4999,'Rev Adequacy'!$B$6:$B$4999,'Charges to party by investment'!AE$4,'Rev Adequacy'!$E$6:$E$4999,'Charges to party by investment'!$C56)</f>
        <v>0</v>
      </c>
      <c r="AF56" s="221">
        <f>SUMIFS('Rev Adequacy'!$G$6:$G$4999,'Rev Adequacy'!$B$6:$B$4999,'Charges to party by investment'!AF$4,'Rev Adequacy'!$E$6:$E$4999,'Charges to party by investment'!$C56)</f>
        <v>0</v>
      </c>
      <c r="AG56" s="221">
        <f>SUMIFS('Rev Adequacy'!$G$6:$G$4999,'Rev Adequacy'!$B$6:$B$4999,'Charges to party by investment'!AG$4,'Rev Adequacy'!$E$6:$E$4999,'Charges to party by investment'!$C56)</f>
        <v>0</v>
      </c>
      <c r="AH56" s="221">
        <f>SUMIFS('Rev Adequacy'!$G$6:$G$4999,'Rev Adequacy'!$B$6:$B$4999,'Charges to party by investment'!AH$4,'Rev Adequacy'!$E$6:$E$4999,'Charges to party by investment'!$C56)</f>
        <v>0</v>
      </c>
      <c r="AJ56" s="190" t="str">
        <f>'Charges as $M per year'!A51</f>
        <v>Norske Skog</v>
      </c>
      <c r="AK56" s="215" t="str">
        <f t="shared" si="9"/>
        <v>Norske Skog</v>
      </c>
      <c r="AL56" s="216">
        <f t="shared" ca="1" si="10"/>
        <v>0.24375561041088242</v>
      </c>
      <c r="AM56" s="216">
        <f>SUMIF('Rev Adequacy'!$BF$27:$BF$257,'Charges to party by investment'!AK56,'Rev Adequacy'!$BJ$27:$BJ$257)</f>
        <v>4.0480135070482337</v>
      </c>
      <c r="AN56" s="216">
        <f>VLOOKUP(AK56,Connection!$X$5:$AB$55,5,0)/1000000</f>
        <v>0.57663752999999995</v>
      </c>
      <c r="AO56" s="216">
        <v>2.3422140623085975E-3</v>
      </c>
      <c r="AP56" s="217">
        <f t="shared" ca="1" si="11"/>
        <v>3.6242579967923315E-2</v>
      </c>
      <c r="AQ56" s="217">
        <f t="shared" si="12"/>
        <v>1.3277574895862974E-2</v>
      </c>
      <c r="AR56" s="274">
        <f t="shared" si="18"/>
        <v>2.496184080422239</v>
      </c>
      <c r="AS56" s="217"/>
      <c r="AT56" s="277">
        <f t="shared" si="13"/>
        <v>6.5441975874704728</v>
      </c>
      <c r="AU56" s="274">
        <f t="shared" ca="1" si="14"/>
        <v>6.7902954119436645</v>
      </c>
      <c r="AV56" s="217"/>
      <c r="AW56" s="215" t="s">
        <v>22</v>
      </c>
      <c r="AX56" s="216">
        <f>SUMIF('Rev Adequacy'!$BF$27:$BF$257,'Charges to party by investment'!AK56,'Rev Adequacy'!$BK$27:$BK$257)</f>
        <v>4.4376242340361394</v>
      </c>
      <c r="AY56" s="216">
        <f>SUMIF('Rev Adequacy'!$BF$27:$BF$257,'Charges to party by investment'!AK56,'Rev Adequacy'!$BL$27:$BL$257)</f>
        <v>4.697364718694744</v>
      </c>
      <c r="AZ56" s="279">
        <f t="shared" si="19"/>
        <v>1.3277574895862974E-2</v>
      </c>
      <c r="BA56" s="280">
        <f t="shared" ca="1" si="20"/>
        <v>7.700546454105373E-3</v>
      </c>
      <c r="BX56" s="115" t="str">
        <f t="shared" si="15"/>
        <v>Norske Skog</v>
      </c>
      <c r="BY56" s="286">
        <f t="shared" ca="1" si="5"/>
        <v>0.24375561041088242</v>
      </c>
      <c r="BZ56" s="286">
        <f t="shared" si="6"/>
        <v>4.0480135070482337</v>
      </c>
      <c r="CA56" s="286">
        <f t="shared" si="7"/>
        <v>2.3422140623085975E-3</v>
      </c>
      <c r="CB56" s="286">
        <f t="shared" si="8"/>
        <v>2.496184080422239</v>
      </c>
      <c r="CC56" s="289">
        <f t="shared" ca="1" si="16"/>
        <v>6.7902954119436645</v>
      </c>
    </row>
    <row r="57" spans="2:81" x14ac:dyDescent="0.25">
      <c r="C57" s="56" t="s">
        <v>24</v>
      </c>
      <c r="D57" s="15"/>
      <c r="F57" s="221">
        <f ca="1">SUMIF('Rev Adequacy'!$AH$22:$AH$652,'Charges to party by investment'!C57,'Rev Adequacy'!$AL$22:$AL$652)</f>
        <v>0</v>
      </c>
      <c r="G57" s="221">
        <f ca="1">SUMIF('Rev Adequacy'!$AH$22:$AH$652,'Charges to party by investment'!$C57,'Rev Adequacy'!AM$22:AM$652)</f>
        <v>0</v>
      </c>
      <c r="H57" s="221">
        <f ca="1">SUMIF('Rev Adequacy'!$AH$22:$AH$652,'Charges to party by investment'!$C57,'Rev Adequacy'!AN$22:AN$652)</f>
        <v>0</v>
      </c>
      <c r="I57" s="221">
        <f ca="1">SUMIF('Rev Adequacy'!$AH$22:$AH$652,'Charges to party by investment'!$C57,'Rev Adequacy'!AO$22:AO$652)</f>
        <v>0</v>
      </c>
      <c r="J57" s="221">
        <f>SUMIF('Rev Adequacy'!$AH$22:$AH$652,'Charges to party by investment'!$C57,'Rev Adequacy'!AP$22:AP$652)</f>
        <v>0</v>
      </c>
      <c r="K57" s="221">
        <f ca="1">SUMIF('Rev Adequacy'!$AH$22:$AH$652,'Charges to party by investment'!$C57,'Rev Adequacy'!AQ$22:AQ$652)</f>
        <v>0</v>
      </c>
      <c r="L57" s="221">
        <f ca="1">SUMIF('Rev Adequacy'!$AH$22:$AH$652,'Charges to party by investment'!$C57,'Rev Adequacy'!AR$22:AR$652)</f>
        <v>0.74575898236693339</v>
      </c>
      <c r="M57" s="221">
        <f ca="1">SUMIF('Rev Adequacy'!$AH$22:$AH$652,'Charges to party by investment'!$C57,'Rev Adequacy'!AS$22:AS$652)</f>
        <v>2.0537076675386769E-2</v>
      </c>
      <c r="N57" s="221">
        <f ca="1">SUMIF('Rev Adequacy'!$AH$22:$AH$652,'Charges to party by investment'!$C57,'Rev Adequacy'!AT$22:AT$652)</f>
        <v>0</v>
      </c>
      <c r="O57" s="221">
        <f ca="1">SUMIF('Rev Adequacy'!$AH$22:$AH$652,'Charges to party by investment'!$C57,'Rev Adequacy'!AU$22:AU$652)</f>
        <v>0.34394565556134876</v>
      </c>
      <c r="P57" s="221">
        <f ca="1">SUMIF('Rev Adequacy'!$AH$22:$AH$652,'Charges to party by investment'!$C57,'Rev Adequacy'!AV$22:AV$652)</f>
        <v>0</v>
      </c>
      <c r="Q57" s="221">
        <f>SUMIF('Rev Adequacy'!$AH$22:$AH$652,'Charges to party by investment'!$C57,'Rev Adequacy'!AW$22:AW$652)</f>
        <v>0</v>
      </c>
      <c r="R57" s="221">
        <f>SUMIF('Rev Adequacy'!$AH$22:$AH$652,'Charges to party by investment'!$C57,'Rev Adequacy'!AX$22:AX$652)</f>
        <v>0</v>
      </c>
      <c r="S57" s="15"/>
      <c r="T57" s="15"/>
      <c r="V57" s="221">
        <f ca="1">SUMIFS('Rev Adequacy'!$G$6:$G$4999,'Rev Adequacy'!$B$6:$B$4999,'Charges to party by investment'!V$4,'Rev Adequacy'!$E$6:$E$4999,'Charges to party by investment'!$C57)*V$5/V$6</f>
        <v>3.5865658178968696</v>
      </c>
      <c r="W57" s="221">
        <f ca="1">SUMIFS('Rev Adequacy'!$G$6:$G$4999,'Rev Adequacy'!$B$6:$B$4999,'Charges to party by investment'!W$4,'Rev Adequacy'!$E$6:$E$4999,'Charges to party by investment'!$C57)*W$5/W$6</f>
        <v>0.7236953543907243</v>
      </c>
      <c r="X57" s="221">
        <f ca="1">SUMIFS('Rev Adequacy'!$G$6:$G$4999,'Rev Adequacy'!$B$6:$B$4999,'Charges to party by investment'!X$4,'Rev Adequacy'!$E$6:$E$4999,'Charges to party by investment'!$C57)*X$5/X$6</f>
        <v>0.78159608411575066</v>
      </c>
      <c r="Y57" s="221">
        <f ca="1">SUMIFS('Rev Adequacy'!$G$6:$G$4999,'Rev Adequacy'!$B$6:$B$4999,'Charges to party by investment'!Y$4,'Rev Adequacy'!$E$6:$E$4999,'Charges to party by investment'!$C57)*Y$5/Y$6</f>
        <v>0.21854941000000097</v>
      </c>
      <c r="Z57" s="221">
        <f ca="1">SUMIFS('Rev Adequacy'!$G$6:$G$4999,'Rev Adequacy'!$B$6:$B$4999,'Charges to party by investment'!Z$4,'Rev Adequacy'!$E$6:$E$4999,'Charges to party by investment'!$C57)*Z$5/Z$6</f>
        <v>2.336251110721881E-3</v>
      </c>
      <c r="AA57" s="221">
        <f ca="1">SUMIFS('Rev Adequacy'!$G$6:$G$4999,'Rev Adequacy'!$B$6:$B$4999,'Charges to party by investment'!AA$4,'Rev Adequacy'!$E$6:$E$4999,'Charges to party by investment'!$C57)*AA$5/AA$6</f>
        <v>0.29202627078868515</v>
      </c>
      <c r="AB57" s="221">
        <f>SUMIFS('Rev Adequacy'!$G$6:$G$4999,'Rev Adequacy'!$B$6:$B$4999,'Charges to party by investment'!AB$4,'Rev Adequacy'!$E$6:$E$4999,'Charges to party by investment'!$C57)</f>
        <v>0</v>
      </c>
      <c r="AC57" s="221">
        <f>SUMIFS('Rev Adequacy'!$G$6:$G$4999,'Rev Adequacy'!$B$6:$B$4999,'Charges to party by investment'!AC$4,'Rev Adequacy'!$E$6:$E$4999,'Charges to party by investment'!$C57)</f>
        <v>0</v>
      </c>
      <c r="AD57" s="221">
        <f>SUMIFS('Rev Adequacy'!$G$6:$G$4999,'Rev Adequacy'!$B$6:$B$4999,'Charges to party by investment'!AD$4,'Rev Adequacy'!$E$6:$E$4999,'Charges to party by investment'!$C57)</f>
        <v>0</v>
      </c>
      <c r="AE57" s="221">
        <f>SUMIFS('Rev Adequacy'!$G$6:$G$4999,'Rev Adequacy'!$B$6:$B$4999,'Charges to party by investment'!AE$4,'Rev Adequacy'!$E$6:$E$4999,'Charges to party by investment'!$C57)</f>
        <v>0</v>
      </c>
      <c r="AF57" s="221">
        <f>SUMIFS('Rev Adequacy'!$G$6:$G$4999,'Rev Adequacy'!$B$6:$B$4999,'Charges to party by investment'!AF$4,'Rev Adequacy'!$E$6:$E$4999,'Charges to party by investment'!$C57)</f>
        <v>0</v>
      </c>
      <c r="AG57" s="221">
        <f>SUMIFS('Rev Adequacy'!$G$6:$G$4999,'Rev Adequacy'!$B$6:$B$4999,'Charges to party by investment'!AG$4,'Rev Adequacy'!$E$6:$E$4999,'Charges to party by investment'!$C57)</f>
        <v>0</v>
      </c>
      <c r="AH57" s="221">
        <f>SUMIFS('Rev Adequacy'!$G$6:$G$4999,'Rev Adequacy'!$B$6:$B$4999,'Charges to party by investment'!AH$4,'Rev Adequacy'!$E$6:$E$4999,'Charges to party by investment'!$C57)</f>
        <v>0</v>
      </c>
      <c r="AJ57" s="190" t="str">
        <f>'Charges as $M per year'!A52</f>
        <v>NZ Steel</v>
      </c>
      <c r="AK57" s="215" t="str">
        <f t="shared" si="9"/>
        <v>NZ Steel</v>
      </c>
      <c r="AL57" s="216">
        <f t="shared" ca="1" si="10"/>
        <v>6.7150109029064211</v>
      </c>
      <c r="AM57" s="216">
        <f>SUMIF('Rev Adequacy'!$BF$27:$BF$257,'Charges to party by investment'!AK57,'Rev Adequacy'!$BJ$27:$BJ$257)</f>
        <v>6.053586295404692</v>
      </c>
      <c r="AN57" s="216">
        <f>VLOOKUP(AK57,Connection!$X$5:$AB$55,5,0)/1000000</f>
        <v>2.2510105900000013</v>
      </c>
      <c r="AO57" s="216">
        <v>0.14280548629814221</v>
      </c>
      <c r="AP57" s="217">
        <f t="shared" ca="1" si="11"/>
        <v>0.41202162942889248</v>
      </c>
      <c r="AQ57" s="217">
        <f t="shared" si="12"/>
        <v>1.9855898525500588E-2</v>
      </c>
      <c r="AR57" s="274">
        <f t="shared" si="18"/>
        <v>3.7329089227941106</v>
      </c>
      <c r="AS57" s="217"/>
      <c r="AT57" s="277">
        <f t="shared" si="13"/>
        <v>9.7864952181988016</v>
      </c>
      <c r="AU57" s="274">
        <f t="shared" ca="1" si="14"/>
        <v>16.644311607403363</v>
      </c>
      <c r="AV57" s="217"/>
      <c r="AW57" s="215" t="s">
        <v>24</v>
      </c>
      <c r="AX57" s="216">
        <f>SUMIF('Rev Adequacy'!$BF$27:$BF$257,'Charges to party by investment'!AK57,'Rev Adequacy'!$BK$27:$BK$257)</f>
        <v>6.6362281648871058</v>
      </c>
      <c r="AY57" s="216">
        <f>SUMIF('Rev Adequacy'!$BF$27:$BF$257,'Charges to party by investment'!AK57,'Rev Adequacy'!$BL$27:$BL$257)</f>
        <v>7.0246560778753828</v>
      </c>
      <c r="AZ57" s="279">
        <f t="shared" si="19"/>
        <v>1.9855898525500588E-2</v>
      </c>
      <c r="BA57" s="280">
        <f t="shared" ca="1" si="20"/>
        <v>2.3971440757264133E-2</v>
      </c>
      <c r="BX57" s="115" t="str">
        <f t="shared" si="15"/>
        <v>NZ Steel</v>
      </c>
      <c r="BY57" s="286">
        <f t="shared" ca="1" si="5"/>
        <v>6.7150109029064211</v>
      </c>
      <c r="BZ57" s="286">
        <f t="shared" si="6"/>
        <v>6.053586295404692</v>
      </c>
      <c r="CA57" s="286">
        <f t="shared" si="7"/>
        <v>0.14280548629814221</v>
      </c>
      <c r="CB57" s="286">
        <f t="shared" si="8"/>
        <v>3.7329089227941106</v>
      </c>
      <c r="CC57" s="289">
        <f t="shared" ca="1" si="16"/>
        <v>16.644311607403363</v>
      </c>
    </row>
    <row r="58" spans="2:81" x14ac:dyDescent="0.25">
      <c r="B58" s="56" t="s">
        <v>54</v>
      </c>
      <c r="C58" s="56" t="s">
        <v>44</v>
      </c>
      <c r="D58" s="15"/>
      <c r="F58" s="221">
        <f ca="1">SUMIF('Rev Adequacy'!$AH$22:$AH$652,'Charges to party by investment'!B58,'Rev Adequacy'!$AL$22:$AL$652)</f>
        <v>0</v>
      </c>
      <c r="G58" s="221">
        <f ca="1">SUMIF('Rev Adequacy'!$AH$22:$AH$652,'Charges to party by investment'!$B58,'Rev Adequacy'!AM$22:AM$652)</f>
        <v>0</v>
      </c>
      <c r="H58" s="221">
        <f ca="1">SUMIF('Rev Adequacy'!$AH$22:$AH$652,'Charges to party by investment'!$B58,'Rev Adequacy'!AN$22:AN$652)</f>
        <v>0</v>
      </c>
      <c r="I58" s="221">
        <f ca="1">SUMIF('Rev Adequacy'!$AH$22:$AH$652,'Charges to party by investment'!$B58,'Rev Adequacy'!AO$22:AO$652)</f>
        <v>0</v>
      </c>
      <c r="J58" s="221">
        <f>SUMIF('Rev Adequacy'!$AH$22:$AH$652,'Charges to party by investment'!$B58,'Rev Adequacy'!AP$22:AP$652)</f>
        <v>0</v>
      </c>
      <c r="K58" s="221">
        <f ca="1">SUMIF('Rev Adequacy'!$AH$22:$AH$652,'Charges to party by investment'!$B58,'Rev Adequacy'!AQ$22:AQ$652)</f>
        <v>0</v>
      </c>
      <c r="L58" s="221">
        <f ca="1">SUMIF('Rev Adequacy'!$AH$22:$AH$652,'Charges to party by investment'!$B58,'Rev Adequacy'!AR$22:AR$652)</f>
        <v>0</v>
      </c>
      <c r="M58" s="221">
        <f>SUMIF('Rev Adequacy'!$AH$22:$AH$652,'Charges to party by investment'!$B58,'Rev Adequacy'!AS$22:AS$652)</f>
        <v>0</v>
      </c>
      <c r="N58" s="221">
        <f ca="1">SUMIF('Rev Adequacy'!$AH$22:$AH$652,'Charges to party by investment'!$B58,'Rev Adequacy'!AT$22:AT$652)</f>
        <v>0</v>
      </c>
      <c r="O58" s="221">
        <f ca="1">SUMIF('Rev Adequacy'!$AH$22:$AH$652,'Charges to party by investment'!$B58,'Rev Adequacy'!AU$22:AU$652)</f>
        <v>0</v>
      </c>
      <c r="P58" s="221">
        <f ca="1">SUMIF('Rev Adequacy'!$AH$22:$AH$652,'Charges to party by investment'!$B58,'Rev Adequacy'!AV$22:AV$652)</f>
        <v>1.5676377274003712</v>
      </c>
      <c r="Q58" s="221">
        <f>SUMIF('Rev Adequacy'!$AH$22:$AH$652,'Charges to party by investment'!$B58,'Rev Adequacy'!AW$22:AW$652)</f>
        <v>0</v>
      </c>
      <c r="R58" s="221">
        <f>SUMIF('Rev Adequacy'!$AH$22:$AH$652,'Charges to party by investment'!$B58,'Rev Adequacy'!AX$22:AX$652)</f>
        <v>0</v>
      </c>
      <c r="S58" s="15"/>
      <c r="T58" s="15"/>
      <c r="V58" s="221">
        <f ca="1">SUMIFS('Rev Adequacy'!$G$6:$G$4999,'Rev Adequacy'!$B$6:$B$4999,'Charges to party by investment'!V$4,'Rev Adequacy'!$E$6:$E$4999,'Charges to party by investment'!$B58)*V$5/V$6</f>
        <v>0.67192231447413509</v>
      </c>
      <c r="W58" s="221">
        <f ca="1">SUMIFS('Rev Adequacy'!$G$6:$G$4999,'Rev Adequacy'!$B$6:$B$4999,'Charges to party by investment'!W$4,'Rev Adequacy'!$E$6:$E$4999,'Charges to party by investment'!$B58)*W$5/W$6</f>
        <v>0</v>
      </c>
      <c r="X58" s="221">
        <f ca="1">SUMIFS('Rev Adequacy'!$G$6:$G$4999,'Rev Adequacy'!$B$6:$B$4999,'Charges to party by investment'!X$4,'Rev Adequacy'!$E$6:$E$4999,'Charges to party by investment'!$B58)*X$5/X$6</f>
        <v>0</v>
      </c>
      <c r="Y58" s="221">
        <f ca="1">SUMIFS('Rev Adequacy'!$G$6:$G$4999,'Rev Adequacy'!$B$6:$B$4999,'Charges to party by investment'!Y$4,'Rev Adequacy'!$E$6:$E$4999,'Charges to party by investment'!$B58)*Y$5/Y$6</f>
        <v>1.32087735099999</v>
      </c>
      <c r="Z58" s="221">
        <f ca="1">SUMIFS('Rev Adequacy'!$G$6:$G$4999,'Rev Adequacy'!$B$6:$B$4999,'Charges to party by investment'!Z$4,'Rev Adequacy'!$E$6:$E$4999,'Charges to party by investment'!$B58)*Z$5/Z$6</f>
        <v>1.9752877665015018</v>
      </c>
      <c r="AA58" s="221">
        <f ca="1">SUMIFS('Rev Adequacy'!$G$6:$G$4999,'Rev Adequacy'!$B$6:$B$4999,'Charges to party by investment'!AA$4,'Rev Adequacy'!$E$6:$E$4999,'Charges to party by investment'!$B58)*AA$5/AA$6</f>
        <v>1.0090786587930403</v>
      </c>
      <c r="AB58" s="221">
        <f>SUMIFS('Rev Adequacy'!$G$6:$G$4999,'Rev Adequacy'!$B$6:$B$4999,'Charges to party by investment'!AB$4,'Rev Adequacy'!$E$6:$E$4999,'Charges to party by investment'!$B58)</f>
        <v>0</v>
      </c>
      <c r="AC58" s="221">
        <f>SUMIFS('Rev Adequacy'!$G$6:$G$4999,'Rev Adequacy'!$B$6:$B$4999,'Charges to party by investment'!AC$4,'Rev Adequacy'!$E$6:$E$4999,'Charges to party by investment'!$B58)</f>
        <v>0</v>
      </c>
      <c r="AD58" s="221">
        <f>SUMIFS('Rev Adequacy'!$G$6:$G$4999,'Rev Adequacy'!$B$6:$B$4999,'Charges to party by investment'!AD$4,'Rev Adequacy'!$E$6:$E$4999,'Charges to party by investment'!$B58)</f>
        <v>0</v>
      </c>
      <c r="AE58" s="221">
        <f>SUMIFS('Rev Adequacy'!$G$6:$G$4999,'Rev Adequacy'!$B$6:$B$4999,'Charges to party by investment'!AE$4,'Rev Adequacy'!$E$6:$E$4999,'Charges to party by investment'!$B58)</f>
        <v>0</v>
      </c>
      <c r="AF58" s="221">
        <f>SUMIFS('Rev Adequacy'!$G$6:$G$4999,'Rev Adequacy'!$B$6:$B$4999,'Charges to party by investment'!AF$4,'Rev Adequacy'!$E$6:$E$4999,'Charges to party by investment'!$B58)</f>
        <v>0</v>
      </c>
      <c r="AG58" s="221">
        <f>SUMIFS('Rev Adequacy'!$G$6:$G$4999,'Rev Adequacy'!$B$6:$B$4999,'Charges to party by investment'!AG$4,'Rev Adequacy'!$E$6:$E$4999,'Charges to party by investment'!$B58)</f>
        <v>0</v>
      </c>
      <c r="AH58" s="221">
        <f>SUMIFS('Rev Adequacy'!$G$6:$G$4999,'Rev Adequacy'!$B$6:$B$4999,'Charges to party by investment'!AH$4,'Rev Adequacy'!$E$6:$E$4999,'Charges to party by investment'!$B58)</f>
        <v>0</v>
      </c>
      <c r="AI58" s="218" t="str">
        <f>B58</f>
        <v>Pacific Aluminium</v>
      </c>
      <c r="AJ58" s="190" t="str">
        <f>'Charges as $M per year'!A53</f>
        <v>NZ Aluminium Smelter</v>
      </c>
      <c r="AK58" t="s">
        <v>44</v>
      </c>
      <c r="AL58" s="216">
        <f t="shared" ca="1" si="10"/>
        <v>6.5448038181690391</v>
      </c>
      <c r="AM58" s="216">
        <f>SUMIF('Rev Adequacy'!$BF$27:$BF$257,'Charges to party by investment'!AI58,'Rev Adequacy'!$BJ$27:$BJ$257)</f>
        <v>20.679215021431787</v>
      </c>
      <c r="AN58" s="216">
        <f>VLOOKUP(AK58,Connection!$X$5:$AB$55,5,0)/1000000</f>
        <v>1.25647208</v>
      </c>
      <c r="AO58" s="216">
        <v>0</v>
      </c>
      <c r="AP58" s="217">
        <f t="shared" ca="1" si="11"/>
        <v>0.16371940357090239</v>
      </c>
      <c r="AQ58" s="217">
        <f t="shared" si="12"/>
        <v>6.7828288061945838E-2</v>
      </c>
      <c r="AR58" s="274">
        <f t="shared" si="18"/>
        <v>12.751718155645818</v>
      </c>
      <c r="AS58" s="217"/>
      <c r="AT58" s="277">
        <f t="shared" si="13"/>
        <v>33.430933177077605</v>
      </c>
      <c r="AU58" s="274">
        <f t="shared" ca="1" si="14"/>
        <v>39.975736995246649</v>
      </c>
      <c r="AV58" s="217"/>
      <c r="AW58" s="215" t="s">
        <v>44</v>
      </c>
      <c r="AX58" s="216">
        <f>SUMIF('Rev Adequacy'!$BF$27:$BF$257,'Charges to party by investment'!AI58,'Rev Adequacy'!$BK$27:$BK$257)</f>
        <v>22.669535454901443</v>
      </c>
      <c r="AY58" s="216">
        <f>SUMIF('Rev Adequacy'!$BF$27:$BF$257,'Charges to party by investment'!AI58,'Rev Adequacy'!$BL$27:$BL$257)</f>
        <v>23.996415743881212</v>
      </c>
      <c r="AZ58" s="279">
        <f t="shared" si="19"/>
        <v>6.7828288061945838E-2</v>
      </c>
      <c r="BA58" s="280">
        <f t="shared" ca="1" si="20"/>
        <v>4.5027027588034417E-2</v>
      </c>
      <c r="BX58" s="115" t="str">
        <f t="shared" si="15"/>
        <v>NZAS</v>
      </c>
      <c r="BY58" s="286">
        <f t="shared" ca="1" si="5"/>
        <v>6.5448038181690391</v>
      </c>
      <c r="BZ58" s="286">
        <f t="shared" si="6"/>
        <v>20.679215021431787</v>
      </c>
      <c r="CA58" s="286">
        <f t="shared" si="7"/>
        <v>0</v>
      </c>
      <c r="CB58" s="286">
        <f t="shared" si="8"/>
        <v>12.751718155645818</v>
      </c>
      <c r="CC58" s="289">
        <f t="shared" ca="1" si="16"/>
        <v>39.975736995246649</v>
      </c>
    </row>
    <row r="59" spans="2:81" x14ac:dyDescent="0.25">
      <c r="C59" s="56" t="s">
        <v>26</v>
      </c>
      <c r="D59" s="15"/>
      <c r="F59" s="221">
        <f ca="1">SUMIF('Rev Adequacy'!$AH$22:$AH$652,'Charges to party by investment'!C59,'Rev Adequacy'!$AL$22:$AL$652)</f>
        <v>0</v>
      </c>
      <c r="G59" s="221">
        <f ca="1">SUMIF('Rev Adequacy'!$AH$22:$AH$652,'Charges to party by investment'!$C59,'Rev Adequacy'!AM$22:AM$652)</f>
        <v>0</v>
      </c>
      <c r="H59" s="221">
        <f ca="1">SUMIF('Rev Adequacy'!$AH$22:$AH$652,'Charges to party by investment'!$C59,'Rev Adequacy'!AN$22:AN$652)</f>
        <v>0</v>
      </c>
      <c r="I59" s="221">
        <f ca="1">SUMIF('Rev Adequacy'!$AH$22:$AH$652,'Charges to party by investment'!$C59,'Rev Adequacy'!AO$22:AO$652)</f>
        <v>0</v>
      </c>
      <c r="J59" s="221">
        <f>SUMIF('Rev Adequacy'!$AH$22:$AH$652,'Charges to party by investment'!$C59,'Rev Adequacy'!AP$22:AP$652)</f>
        <v>0</v>
      </c>
      <c r="K59" s="221">
        <f ca="1">SUMIF('Rev Adequacy'!$AH$22:$AH$652,'Charges to party by investment'!$C59,'Rev Adequacy'!AQ$22:AQ$652)</f>
        <v>0</v>
      </c>
      <c r="L59" s="221">
        <f ca="1">SUMIF('Rev Adequacy'!$AH$22:$AH$652,'Charges to party by investment'!$C59,'Rev Adequacy'!AR$22:AR$652)</f>
        <v>0</v>
      </c>
      <c r="M59" s="221">
        <f>SUMIF('Rev Adequacy'!$AH$22:$AH$652,'Charges to party by investment'!$C59,'Rev Adequacy'!AS$22:AS$652)</f>
        <v>0</v>
      </c>
      <c r="N59" s="221">
        <f ca="1">SUMIF('Rev Adequacy'!$AH$22:$AH$652,'Charges to party by investment'!$C59,'Rev Adequacy'!AT$22:AT$652)</f>
        <v>0</v>
      </c>
      <c r="O59" s="221">
        <f ca="1">SUMIF('Rev Adequacy'!$AH$22:$AH$652,'Charges to party by investment'!$C59,'Rev Adequacy'!AU$22:AU$652)</f>
        <v>0</v>
      </c>
      <c r="P59" s="221">
        <f ca="1">SUMIF('Rev Adequacy'!$AH$22:$AH$652,'Charges to party by investment'!$C59,'Rev Adequacy'!AV$22:AV$652)</f>
        <v>0</v>
      </c>
      <c r="Q59" s="221">
        <f>SUMIF('Rev Adequacy'!$AH$22:$AH$652,'Charges to party by investment'!$C59,'Rev Adequacy'!AW$22:AW$652)</f>
        <v>0</v>
      </c>
      <c r="R59" s="221">
        <f>SUMIF('Rev Adequacy'!$AH$22:$AH$652,'Charges to party by investment'!$C59,'Rev Adequacy'!AX$22:AX$652)</f>
        <v>0</v>
      </c>
      <c r="S59" s="15"/>
      <c r="T59" s="15"/>
      <c r="V59" s="221">
        <f ca="1">SUMIFS('Rev Adequacy'!$G$6:$G$4999,'Rev Adequacy'!$B$6:$B$4999,'Charges to party by investment'!V$4,'Rev Adequacy'!$E$6:$E$4999,'Charges to party by investment'!$C59)*V$5/V$6</f>
        <v>3.8264148409609407E-2</v>
      </c>
      <c r="W59" s="221">
        <f ca="1">SUMIFS('Rev Adequacy'!$G$6:$G$4999,'Rev Adequacy'!$B$6:$B$4999,'Charges to party by investment'!W$4,'Rev Adequacy'!$E$6:$E$4999,'Charges to party by investment'!$C59)*W$5/W$6</f>
        <v>0.5027144240250514</v>
      </c>
      <c r="X59" s="221">
        <f ca="1">SUMIFS('Rev Adequacy'!$G$6:$G$4999,'Rev Adequacy'!$B$6:$B$4999,'Charges to party by investment'!X$4,'Rev Adequacy'!$E$6:$E$4999,'Charges to party by investment'!$C59)*X$5/X$6</f>
        <v>0.56194819111144156</v>
      </c>
      <c r="Y59" s="221">
        <f ca="1">SUMIFS('Rev Adequacy'!$G$6:$G$4999,'Rev Adequacy'!$B$6:$B$4999,'Charges to party by investment'!Y$4,'Rev Adequacy'!$E$6:$E$4999,'Charges to party by investment'!$C59)*Y$5/Y$6</f>
        <v>0.13623905999027699</v>
      </c>
      <c r="Z59" s="221">
        <f ca="1">SUMIFS('Rev Adequacy'!$G$6:$G$4999,'Rev Adequacy'!$B$6:$B$4999,'Charges to party by investment'!Z$4,'Rev Adequacy'!$E$6:$E$4999,'Charges to party by investment'!$C59)*Z$5/Z$6</f>
        <v>2.9930285926529103E-3</v>
      </c>
      <c r="AA59" s="221">
        <f ca="1">SUMIFS('Rev Adequacy'!$G$6:$G$4999,'Rev Adequacy'!$B$6:$B$4999,'Charges to party by investment'!AA$4,'Rev Adequacy'!$E$6:$E$4999,'Charges to party by investment'!$C59)*AA$5/AA$6</f>
        <v>0</v>
      </c>
      <c r="AB59" s="221">
        <f>SUMIFS('Rev Adequacy'!$G$6:$G$4999,'Rev Adequacy'!$B$6:$B$4999,'Charges to party by investment'!AB$4,'Rev Adequacy'!$E$6:$E$4999,'Charges to party by investment'!$C59)</f>
        <v>0</v>
      </c>
      <c r="AC59" s="221">
        <f>SUMIFS('Rev Adequacy'!$G$6:$G$4999,'Rev Adequacy'!$B$6:$B$4999,'Charges to party by investment'!AC$4,'Rev Adequacy'!$E$6:$E$4999,'Charges to party by investment'!$C59)</f>
        <v>0</v>
      </c>
      <c r="AD59" s="221">
        <f>SUMIFS('Rev Adequacy'!$G$6:$G$4999,'Rev Adequacy'!$B$6:$B$4999,'Charges to party by investment'!AD$4,'Rev Adequacy'!$E$6:$E$4999,'Charges to party by investment'!$C59)</f>
        <v>0</v>
      </c>
      <c r="AE59" s="221">
        <f>SUMIFS('Rev Adequacy'!$G$6:$G$4999,'Rev Adequacy'!$B$6:$B$4999,'Charges to party by investment'!AE$4,'Rev Adequacy'!$E$6:$E$4999,'Charges to party by investment'!$C59)</f>
        <v>0</v>
      </c>
      <c r="AF59" s="221">
        <f>SUMIFS('Rev Adequacy'!$G$6:$G$4999,'Rev Adequacy'!$B$6:$B$4999,'Charges to party by investment'!AF$4,'Rev Adequacy'!$E$6:$E$4999,'Charges to party by investment'!$C59)</f>
        <v>0</v>
      </c>
      <c r="AG59" s="221">
        <f>SUMIFS('Rev Adequacy'!$G$6:$G$4999,'Rev Adequacy'!$B$6:$B$4999,'Charges to party by investment'!AG$4,'Rev Adequacy'!$E$6:$E$4999,'Charges to party by investment'!$C59)</f>
        <v>0</v>
      </c>
      <c r="AH59" s="221">
        <f>SUMIFS('Rev Adequacy'!$G$6:$G$4999,'Rev Adequacy'!$B$6:$B$4999,'Charges to party by investment'!AH$4,'Rev Adequacy'!$E$6:$E$4999,'Charges to party by investment'!$C59)</f>
        <v>0</v>
      </c>
      <c r="AJ59" s="190" t="str">
        <f>'Charges as $M per year'!A54</f>
        <v>Pan Pac</v>
      </c>
      <c r="AK59" s="215" t="str">
        <f t="shared" si="9"/>
        <v>PanPac</v>
      </c>
      <c r="AL59" s="216">
        <f t="shared" ca="1" si="10"/>
        <v>1.2421588521290323</v>
      </c>
      <c r="AM59" s="216">
        <f>SUMIF('Rev Adequacy'!$BF$27:$BF$257,'Charges to party by investment'!AK59,'Rev Adequacy'!$BJ$27:$BJ$257)</f>
        <v>3.0240333806627948</v>
      </c>
      <c r="AN59" s="216">
        <f>VLOOKUP(AK59,Connection!$X$5:$AB$55,5,0)/1000000</f>
        <v>0.99038674000000038</v>
      </c>
      <c r="AO59" s="216">
        <v>2.0463293345319801E-2</v>
      </c>
      <c r="AP59" s="217">
        <f t="shared" ca="1" si="11"/>
        <v>0.20525741518423518</v>
      </c>
      <c r="AQ59" s="217">
        <f t="shared" si="12"/>
        <v>9.9188971650982054E-3</v>
      </c>
      <c r="AR59" s="274">
        <f t="shared" si="18"/>
        <v>1.8647526670384627</v>
      </c>
      <c r="AS59" s="217"/>
      <c r="AT59" s="277">
        <f t="shared" si="13"/>
        <v>4.8887860477012577</v>
      </c>
      <c r="AU59" s="274">
        <f t="shared" ca="1" si="14"/>
        <v>6.1514081931756097</v>
      </c>
      <c r="AV59" s="217"/>
      <c r="AW59" s="215" t="s">
        <v>26</v>
      </c>
      <c r="AX59" s="216">
        <f>SUMIF('Rev Adequacy'!$BF$27:$BF$257,'Charges to party by investment'!AK59,'Rev Adequacy'!$BK$27:$BK$257)</f>
        <v>3.3150886950347211</v>
      </c>
      <c r="AY59" s="216">
        <f>SUMIF('Rev Adequacy'!$BF$27:$BF$257,'Charges to party by investment'!AK59,'Rev Adequacy'!$BL$27:$BL$257)</f>
        <v>3.5091255712826714</v>
      </c>
      <c r="AZ59" s="279">
        <f t="shared" si="19"/>
        <v>9.9188971650982054E-3</v>
      </c>
      <c r="BA59" s="280">
        <f t="shared" ca="1" si="20"/>
        <v>8.3428873600297909E-3</v>
      </c>
      <c r="BX59" s="115" t="str">
        <f t="shared" si="15"/>
        <v>PanPac</v>
      </c>
      <c r="BY59" s="286">
        <f t="shared" ca="1" si="5"/>
        <v>1.2421588521290323</v>
      </c>
      <c r="BZ59" s="286">
        <f t="shared" si="6"/>
        <v>3.0240333806627948</v>
      </c>
      <c r="CA59" s="286">
        <f t="shared" si="7"/>
        <v>2.0463293345319801E-2</v>
      </c>
      <c r="CB59" s="286">
        <f t="shared" si="8"/>
        <v>1.8647526670384627</v>
      </c>
      <c r="CC59" s="289">
        <f t="shared" ca="1" si="16"/>
        <v>6.1514081931756097</v>
      </c>
    </row>
    <row r="60" spans="2:81" x14ac:dyDescent="0.25">
      <c r="C60" s="56" t="s">
        <v>30</v>
      </c>
      <c r="D60" s="15"/>
      <c r="F60" s="221">
        <f ca="1">SUMIF('Rev Adequacy'!$AH$22:$AH$652,'Charges to party by investment'!C60,'Rev Adequacy'!$AL$22:$AL$652)</f>
        <v>0</v>
      </c>
      <c r="G60" s="221">
        <f ca="1">SUMIF('Rev Adequacy'!$AH$22:$AH$652,'Charges to party by investment'!$C60,'Rev Adequacy'!AM$22:AM$652)</f>
        <v>0</v>
      </c>
      <c r="H60" s="221">
        <f ca="1">SUMIF('Rev Adequacy'!$AH$22:$AH$652,'Charges to party by investment'!$C60,'Rev Adequacy'!AN$22:AN$652)</f>
        <v>0</v>
      </c>
      <c r="I60" s="221">
        <f ca="1">SUMIF('Rev Adequacy'!$AH$22:$AH$652,'Charges to party by investment'!$C60,'Rev Adequacy'!AO$22:AO$652)</f>
        <v>0</v>
      </c>
      <c r="J60" s="221">
        <f>SUMIF('Rev Adequacy'!$AH$22:$AH$652,'Charges to party by investment'!$C60,'Rev Adequacy'!AP$22:AP$652)</f>
        <v>0</v>
      </c>
      <c r="K60" s="221">
        <f ca="1">SUMIF('Rev Adequacy'!$AH$22:$AH$652,'Charges to party by investment'!$C60,'Rev Adequacy'!AQ$22:AQ$652)</f>
        <v>0</v>
      </c>
      <c r="L60" s="221">
        <f ca="1">SUMIF('Rev Adequacy'!$AH$22:$AH$652,'Charges to party by investment'!$C60,'Rev Adequacy'!AR$22:AR$652)</f>
        <v>0</v>
      </c>
      <c r="M60" s="221">
        <f>SUMIF('Rev Adequacy'!$AH$22:$AH$652,'Charges to party by investment'!$C60,'Rev Adequacy'!AS$22:AS$652)</f>
        <v>0</v>
      </c>
      <c r="N60" s="221">
        <f ca="1">SUMIF('Rev Adequacy'!$AH$22:$AH$652,'Charges to party by investment'!$C60,'Rev Adequacy'!AT$22:AT$652)</f>
        <v>0</v>
      </c>
      <c r="O60" s="221">
        <f ca="1">SUMIF('Rev Adequacy'!$AH$22:$AH$652,'Charges to party by investment'!$C60,'Rev Adequacy'!AU$22:AU$652)</f>
        <v>0</v>
      </c>
      <c r="P60" s="221">
        <f ca="1">SUMIF('Rev Adequacy'!$AH$22:$AH$652,'Charges to party by investment'!$C60,'Rev Adequacy'!AV$22:AV$652)</f>
        <v>2.4551169030600537E-2</v>
      </c>
      <c r="Q60" s="221">
        <f>SUMIF('Rev Adequacy'!$AH$22:$AH$652,'Charges to party by investment'!$C60,'Rev Adequacy'!AW$22:AW$652)</f>
        <v>0</v>
      </c>
      <c r="R60" s="221">
        <f>SUMIF('Rev Adequacy'!$AH$22:$AH$652,'Charges to party by investment'!$C60,'Rev Adequacy'!AX$22:AX$652)</f>
        <v>0</v>
      </c>
      <c r="S60" s="15"/>
      <c r="T60" s="15"/>
      <c r="V60" s="221">
        <f ca="1">SUMIFS('Rev Adequacy'!$G$6:$G$4999,'Rev Adequacy'!$B$6:$B$4999,'Charges to party by investment'!V$4,'Rev Adequacy'!$E$6:$E$4999,'Charges to party by investment'!$C60)*V$5/V$6</f>
        <v>7.637943042394413E-3</v>
      </c>
      <c r="W60" s="221">
        <f ca="1">SUMIFS('Rev Adequacy'!$G$6:$G$4999,'Rev Adequacy'!$B$6:$B$4999,'Charges to party by investment'!W$4,'Rev Adequacy'!$E$6:$E$4999,'Charges to party by investment'!$C60)*W$5/W$6</f>
        <v>0</v>
      </c>
      <c r="X60" s="221">
        <f ca="1">SUMIFS('Rev Adequacy'!$G$6:$G$4999,'Rev Adequacy'!$B$6:$B$4999,'Charges to party by investment'!X$4,'Rev Adequacy'!$E$6:$E$4999,'Charges to party by investment'!$C60)*X$5/X$6</f>
        <v>0</v>
      </c>
      <c r="Y60" s="221">
        <f ca="1">SUMIFS('Rev Adequacy'!$G$6:$G$4999,'Rev Adequacy'!$B$6:$B$4999,'Charges to party by investment'!Y$4,'Rev Adequacy'!$E$6:$E$4999,'Charges to party by investment'!$C60)*Y$5/Y$6</f>
        <v>1.5083082489795799E-2</v>
      </c>
      <c r="Z60" s="221">
        <f ca="1">SUMIFS('Rev Adequacy'!$G$6:$G$4999,'Rev Adequacy'!$B$6:$B$4999,'Charges to party by investment'!Z$4,'Rev Adequacy'!$E$6:$E$4999,'Charges to party by investment'!$C60)*Z$5/Z$6</f>
        <v>2.234346564899296E-2</v>
      </c>
      <c r="AA60" s="221">
        <f ca="1">SUMIFS('Rev Adequacy'!$G$6:$G$4999,'Rev Adequacy'!$B$6:$B$4999,'Charges to party by investment'!AA$4,'Rev Adequacy'!$E$6:$E$4999,'Charges to party by investment'!$C60)*AA$5/AA$6</f>
        <v>1.1658602117867217E-2</v>
      </c>
      <c r="AB60" s="221">
        <f>SUMIFS('Rev Adequacy'!$G$6:$G$4999,'Rev Adequacy'!$B$6:$B$4999,'Charges to party by investment'!AB$4,'Rev Adequacy'!$E$6:$E$4999,'Charges to party by investment'!$C60)</f>
        <v>0</v>
      </c>
      <c r="AC60" s="221">
        <f>SUMIFS('Rev Adequacy'!$G$6:$G$4999,'Rev Adequacy'!$B$6:$B$4999,'Charges to party by investment'!AC$4,'Rev Adequacy'!$E$6:$E$4999,'Charges to party by investment'!$C60)</f>
        <v>0</v>
      </c>
      <c r="AD60" s="221">
        <f>SUMIFS('Rev Adequacy'!$G$6:$G$4999,'Rev Adequacy'!$B$6:$B$4999,'Charges to party by investment'!AD$4,'Rev Adequacy'!$E$6:$E$4999,'Charges to party by investment'!$C60)</f>
        <v>0</v>
      </c>
      <c r="AE60" s="221">
        <f>SUMIFS('Rev Adequacy'!$G$6:$G$4999,'Rev Adequacy'!$B$6:$B$4999,'Charges to party by investment'!AE$4,'Rev Adequacy'!$E$6:$E$4999,'Charges to party by investment'!$C60)</f>
        <v>0</v>
      </c>
      <c r="AF60" s="221">
        <f>SUMIFS('Rev Adequacy'!$G$6:$G$4999,'Rev Adequacy'!$B$6:$B$4999,'Charges to party by investment'!AF$4,'Rev Adequacy'!$E$6:$E$4999,'Charges to party by investment'!$C60)</f>
        <v>0</v>
      </c>
      <c r="AG60" s="221">
        <f>SUMIFS('Rev Adequacy'!$G$6:$G$4999,'Rev Adequacy'!$B$6:$B$4999,'Charges to party by investment'!AG$4,'Rev Adequacy'!$E$6:$E$4999,'Charges to party by investment'!$C60)</f>
        <v>0</v>
      </c>
      <c r="AH60" s="221">
        <f>SUMIFS('Rev Adequacy'!$G$6:$G$4999,'Rev Adequacy'!$B$6:$B$4999,'Charges to party by investment'!AH$4,'Rev Adequacy'!$E$6:$E$4999,'Charges to party by investment'!$C60)</f>
        <v>0</v>
      </c>
      <c r="AJ60" s="190" t="str">
        <f>'Charges as $M per year'!A55</f>
        <v>Rayonier</v>
      </c>
      <c r="AK60" s="215" t="str">
        <f t="shared" si="9"/>
        <v>Rayonier</v>
      </c>
      <c r="AL60" s="216">
        <f t="shared" ca="1" si="10"/>
        <v>8.1274262329650931E-2</v>
      </c>
      <c r="AM60" s="216">
        <f>SUMIF('Rev Adequacy'!$BF$27:$BF$257,'Charges to party by investment'!AK60,'Rev Adequacy'!$BJ$27:$BJ$257)</f>
        <v>0.32386239150624907</v>
      </c>
      <c r="AN60" s="216">
        <f>VLOOKUP(AK60,Connection!$X$5:$AB$55,5,0)/1000000</f>
        <v>0</v>
      </c>
      <c r="AO60" s="216">
        <v>1.2707283823564841E-2</v>
      </c>
      <c r="AP60" s="217">
        <f t="shared" ca="1" si="11"/>
        <v>0.15218406834396814</v>
      </c>
      <c r="AQ60" s="217">
        <f t="shared" si="12"/>
        <v>1.0622758920370077E-3</v>
      </c>
      <c r="AR60" s="274">
        <f t="shared" si="18"/>
        <v>0.19970786770295745</v>
      </c>
      <c r="AS60" s="217"/>
      <c r="AT60" s="277">
        <f t="shared" si="13"/>
        <v>0.52357025920920652</v>
      </c>
      <c r="AU60" s="274">
        <f t="shared" ca="1" si="14"/>
        <v>0.61755180536242227</v>
      </c>
      <c r="AV60" s="217"/>
      <c r="AW60" s="215" t="s">
        <v>30</v>
      </c>
      <c r="AX60" s="216">
        <f>SUMIF('Rev Adequacy'!$BF$27:$BF$257,'Charges to party by investment'!AK60,'Rev Adequacy'!$BK$27:$BK$257)</f>
        <v>0.35503330078782425</v>
      </c>
      <c r="AY60" s="216">
        <f>SUMIF('Rev Adequacy'!$BF$27:$BF$257,'Charges to party by investment'!AK60,'Rev Adequacy'!$BL$27:$BL$257)</f>
        <v>0.37581390697554107</v>
      </c>
      <c r="AZ60" s="279">
        <f t="shared" si="19"/>
        <v>1.0622758920370077E-3</v>
      </c>
      <c r="BA60" s="280">
        <f t="shared" ca="1" si="20"/>
        <v>6.6060204374979051E-4</v>
      </c>
      <c r="BX60" s="115" t="str">
        <f t="shared" si="15"/>
        <v>Rayonier</v>
      </c>
      <c r="BY60" s="286">
        <f t="shared" ca="1" si="5"/>
        <v>8.1274262329650931E-2</v>
      </c>
      <c r="BZ60" s="286">
        <f t="shared" si="6"/>
        <v>0.32386239150624907</v>
      </c>
      <c r="CA60" s="286">
        <f t="shared" si="7"/>
        <v>1.2707283823564841E-2</v>
      </c>
      <c r="CB60" s="286">
        <f t="shared" si="8"/>
        <v>0.19970786770295745</v>
      </c>
      <c r="CC60" s="289">
        <f t="shared" ca="1" si="16"/>
        <v>0.61755180536242227</v>
      </c>
    </row>
    <row r="61" spans="2:81" s="190" customFormat="1" x14ac:dyDescent="0.25">
      <c r="B61" s="155"/>
      <c r="C61" s="56" t="s">
        <v>904</v>
      </c>
      <c r="F61" s="221">
        <f ca="1">SUMIF('Rev Adequacy'!$AH$22:$AH$652,'Charges to party by investment'!C61,'Rev Adequacy'!$AL$22:$AL$652)</f>
        <v>0</v>
      </c>
      <c r="G61" s="221">
        <f ca="1">SUMIF('Rev Adequacy'!$AH$22:$AH$652,'Charges to party by investment'!$C61,'Rev Adequacy'!AM$22:AM$652)</f>
        <v>0</v>
      </c>
      <c r="H61" s="221">
        <f ca="1">SUMIF('Rev Adequacy'!$AH$22:$AH$652,'Charges to party by investment'!$C61,'Rev Adequacy'!AN$22:AN$652)</f>
        <v>0</v>
      </c>
      <c r="I61" s="221">
        <f ca="1">SUMIF('Rev Adequacy'!$AH$22:$AH$652,'Charges to party by investment'!$C61,'Rev Adequacy'!AO$22:AO$652)</f>
        <v>0.7700258704528512</v>
      </c>
      <c r="J61" s="221">
        <f>SUMIF('Rev Adequacy'!$AH$22:$AH$652,'Charges to party by investment'!$C61,'Rev Adequacy'!AP$22:AP$652)</f>
        <v>0</v>
      </c>
      <c r="K61" s="221">
        <f ca="1">SUMIF('Rev Adequacy'!$AH$22:$AH$652,'Charges to party by investment'!$C61,'Rev Adequacy'!AQ$22:AQ$652)</f>
        <v>0</v>
      </c>
      <c r="L61" s="221">
        <f ca="1">SUMIF('Rev Adequacy'!$AH$22:$AH$652,'Charges to party by investment'!$C61,'Rev Adequacy'!AR$22:AR$652)</f>
        <v>0.15576769676052554</v>
      </c>
      <c r="M61" s="221">
        <f>SUMIF('Rev Adequacy'!$AH$22:$AH$652,'Charges to party by investment'!$C61,'Rev Adequacy'!AS$22:AS$652)</f>
        <v>0</v>
      </c>
      <c r="N61" s="221">
        <f ca="1">SUMIF('Rev Adequacy'!$AH$22:$AH$652,'Charges to party by investment'!$C61,'Rev Adequacy'!AT$22:AT$652)</f>
        <v>0</v>
      </c>
      <c r="O61" s="221">
        <f ca="1">SUMIF('Rev Adequacy'!$AH$22:$AH$652,'Charges to party by investment'!$C61,'Rev Adequacy'!AU$22:AU$652)</f>
        <v>7.1840398633267424E-2</v>
      </c>
      <c r="P61" s="221">
        <f ca="1">SUMIF('Rev Adequacy'!$AH$22:$AH$652,'Charges to party by investment'!$C61,'Rev Adequacy'!AV$22:AV$652)</f>
        <v>0</v>
      </c>
      <c r="Q61" s="221">
        <f>SUMIF('Rev Adequacy'!$AH$22:$AH$652,'Charges to party by investment'!$C61,'Rev Adequacy'!AW$22:AW$652)</f>
        <v>0</v>
      </c>
      <c r="R61" s="221">
        <f>SUMIF('Rev Adequacy'!$AH$22:$AH$652,'Charges to party by investment'!$C61,'Rev Adequacy'!AX$22:AX$652)</f>
        <v>0</v>
      </c>
      <c r="V61" s="221">
        <f ca="1">SUMIFS('Rev Adequacy'!$G$6:$G$4999,'Rev Adequacy'!$B$6:$B$4999,'Charges to party by investment'!V$4,'Rev Adequacy'!$E$6:$E$4999,'Charges to party by investment'!$C61)*V$5/V$6</f>
        <v>1.712286987503931</v>
      </c>
      <c r="W61" s="221">
        <f ca="1">SUMIFS('Rev Adequacy'!$G$6:$G$4999,'Rev Adequacy'!$B$6:$B$4999,'Charges to party by investment'!W$4,'Rev Adequacy'!$E$6:$E$4999,'Charges to party by investment'!$C61)*W$5/W$6</f>
        <v>0.3289178030016624</v>
      </c>
      <c r="X61" s="221">
        <f ca="1">SUMIFS('Rev Adequacy'!$G$6:$G$4999,'Rev Adequacy'!$B$6:$B$4999,'Charges to party by investment'!X$4,'Rev Adequacy'!$E$6:$E$4999,'Charges to party by investment'!$C61)*X$5/X$6</f>
        <v>0.34895825603873976</v>
      </c>
      <c r="Y61" s="221">
        <f ca="1">SUMIFS('Rev Adequacy'!$G$6:$G$4999,'Rev Adequacy'!$B$6:$B$4999,'Charges to party by investment'!Y$4,'Rev Adequacy'!$E$6:$E$4999,'Charges to party by investment'!$C61)*Y$5/Y$6</f>
        <v>0.25562642332700303</v>
      </c>
      <c r="Z61" s="221">
        <f ca="1">SUMIFS('Rev Adequacy'!$G$6:$G$4999,'Rev Adequacy'!$B$6:$B$4999,'Charges to party by investment'!Z$4,'Rev Adequacy'!$E$6:$E$4999,'Charges to party by investment'!$C61)*Z$5/Z$6</f>
        <v>0</v>
      </c>
      <c r="AA61" s="221">
        <f ca="1">SUMIFS('Rev Adequacy'!$G$6:$G$4999,'Rev Adequacy'!$B$6:$B$4999,'Charges to party by investment'!AA$4,'Rev Adequacy'!$E$6:$E$4999,'Charges to party by investment'!$C61)*AA$5/AA$6</f>
        <v>0.13439411930297251</v>
      </c>
      <c r="AB61" s="221"/>
      <c r="AC61" s="221"/>
      <c r="AD61" s="221"/>
      <c r="AE61" s="221"/>
      <c r="AF61" s="221"/>
      <c r="AG61" s="221"/>
      <c r="AH61" s="221"/>
      <c r="AJ61" s="190" t="str">
        <f>'Charges as $M per year'!A56</f>
        <v>Refining NZ</v>
      </c>
      <c r="AK61" s="215" t="str">
        <f t="shared" si="9"/>
        <v>Refinery</v>
      </c>
      <c r="AL61" s="216">
        <f t="shared" ca="1" si="10"/>
        <v>3.7778175550209534</v>
      </c>
      <c r="AM61" s="216">
        <f>SUMIF('Rev Adequacy'!$BF$27:$BF$257,'Charges to party by investment'!AK61,'Rev Adequacy'!$BJ$27:$BJ$257)</f>
        <v>1.2644208339046368</v>
      </c>
      <c r="AN61" s="216">
        <f>VLOOKUP(AK61,Connection!$X$5:$AB$55,5,0)/1000000</f>
        <v>0</v>
      </c>
      <c r="AO61" s="216">
        <v>2.3883131924631828E-2</v>
      </c>
      <c r="AP61" s="217">
        <f t="shared" ca="1" si="11"/>
        <v>0.65032812158842968</v>
      </c>
      <c r="AQ61" s="217">
        <f t="shared" si="12"/>
        <v>4.1473286323840059E-3</v>
      </c>
      <c r="AR61" s="274">
        <f t="shared" si="18"/>
        <v>0.77969778288819314</v>
      </c>
      <c r="AS61" s="217"/>
      <c r="AT61" s="277">
        <f t="shared" si="13"/>
        <v>2.0441186167928298</v>
      </c>
      <c r="AU61" s="274">
        <f t="shared" ca="1" si="14"/>
        <v>5.8458193037384154</v>
      </c>
      <c r="AV61" s="217"/>
      <c r="AW61" s="215" t="s">
        <v>904</v>
      </c>
      <c r="AX61" s="216">
        <f>SUMIF('Rev Adequacy'!$BF$27:$BF$257,'Charges to party by investment'!AK61,'Rev Adequacy'!$BK$27:$BK$257)</f>
        <v>1.3861180366087509</v>
      </c>
      <c r="AY61" s="216">
        <f>SUMIF('Rev Adequacy'!$BF$27:$BF$257,'Charges to party by investment'!AK61,'Rev Adequacy'!$BL$27:$BL$257)</f>
        <v>1.4672495050781602</v>
      </c>
      <c r="AZ61" s="279">
        <f t="shared" si="19"/>
        <v>4.1473286323840059E-3</v>
      </c>
      <c r="BA61" s="280">
        <f t="shared" ca="1" si="20"/>
        <v>8.0094263166884672E-3</v>
      </c>
      <c r="BX61" s="115" t="str">
        <f t="shared" si="15"/>
        <v>Refinery</v>
      </c>
      <c r="BY61" s="286">
        <f t="shared" ca="1" si="5"/>
        <v>3.7778175550209534</v>
      </c>
      <c r="BZ61" s="286">
        <f t="shared" si="6"/>
        <v>1.2644208339046368</v>
      </c>
      <c r="CA61" s="286">
        <f t="shared" si="7"/>
        <v>2.3883131924631828E-2</v>
      </c>
      <c r="CB61" s="286">
        <f t="shared" si="8"/>
        <v>0.77969778288819314</v>
      </c>
      <c r="CC61" s="289">
        <f t="shared" ca="1" si="16"/>
        <v>5.8458193037384154</v>
      </c>
    </row>
    <row r="62" spans="2:81" x14ac:dyDescent="0.25">
      <c r="C62" s="56" t="s">
        <v>42</v>
      </c>
      <c r="D62" s="15"/>
      <c r="F62" s="221">
        <f ca="1">SUMIF('Rev Adequacy'!$AH$22:$AH$652,'Charges to party by investment'!C62,'Rev Adequacy'!$AL$22:$AL$652)</f>
        <v>0</v>
      </c>
      <c r="G62" s="221">
        <f ca="1">SUMIF('Rev Adequacy'!$AH$22:$AH$652,'Charges to party by investment'!$C62,'Rev Adequacy'!AM$22:AM$652)</f>
        <v>0</v>
      </c>
      <c r="H62" s="221">
        <f ca="1">SUMIF('Rev Adequacy'!$AH$22:$AH$652,'Charges to party by investment'!$C62,'Rev Adequacy'!AN$22:AN$652)</f>
        <v>0</v>
      </c>
      <c r="I62" s="221">
        <f ca="1">SUMIF('Rev Adequacy'!$AH$22:$AH$652,'Charges to party by investment'!$C62,'Rev Adequacy'!AO$22:AO$652)</f>
        <v>0</v>
      </c>
      <c r="J62" s="221">
        <f>SUMIF('Rev Adequacy'!$AH$22:$AH$652,'Charges to party by investment'!$C62,'Rev Adequacy'!AP$22:AP$652)</f>
        <v>0</v>
      </c>
      <c r="K62" s="221">
        <f ca="1">SUMIF('Rev Adequacy'!$AH$22:$AH$652,'Charges to party by investment'!$C62,'Rev Adequacy'!AQ$22:AQ$652)</f>
        <v>0</v>
      </c>
      <c r="L62" s="221">
        <f ca="1">SUMIF('Rev Adequacy'!$AH$22:$AH$652,'Charges to party by investment'!$C62,'Rev Adequacy'!AR$22:AR$652)</f>
        <v>0</v>
      </c>
      <c r="M62" s="221">
        <f>SUMIF('Rev Adequacy'!$AH$22:$AH$652,'Charges to party by investment'!$C62,'Rev Adequacy'!AS$22:AS$652)</f>
        <v>0</v>
      </c>
      <c r="N62" s="221">
        <f ca="1">SUMIF('Rev Adequacy'!$AH$22:$AH$652,'Charges to party by investment'!$C62,'Rev Adequacy'!AT$22:AT$652)</f>
        <v>0</v>
      </c>
      <c r="O62" s="221">
        <f ca="1">SUMIF('Rev Adequacy'!$AH$22:$AH$652,'Charges to party by investment'!$C62,'Rev Adequacy'!AU$22:AU$652)</f>
        <v>0</v>
      </c>
      <c r="P62" s="221">
        <f ca="1">SUMIF('Rev Adequacy'!$AH$22:$AH$652,'Charges to party by investment'!$C62,'Rev Adequacy'!AV$22:AV$652)</f>
        <v>0</v>
      </c>
      <c r="Q62" s="221">
        <f>SUMIF('Rev Adequacy'!$AH$22:$AH$652,'Charges to party by investment'!$C62,'Rev Adequacy'!AW$22:AW$652)</f>
        <v>0</v>
      </c>
      <c r="R62" s="221">
        <f>SUMIF('Rev Adequacy'!$AH$22:$AH$652,'Charges to party by investment'!$C62,'Rev Adequacy'!AX$22:AX$652)</f>
        <v>0</v>
      </c>
      <c r="S62" s="15"/>
      <c r="T62" s="15"/>
      <c r="V62" s="221">
        <f ca="1">SUMIFS('Rev Adequacy'!$G$6:$G$4999,'Rev Adequacy'!$B$6:$B$4999,'Charges to party by investment'!V$4,'Rev Adequacy'!$E$6:$E$4999,'Charges to party by investment'!$C62)*V$5/V$6</f>
        <v>4.0403430881295714E-3</v>
      </c>
      <c r="W62" s="221">
        <f ca="1">SUMIFS('Rev Adequacy'!$G$6:$G$4999,'Rev Adequacy'!$B$6:$B$4999,'Charges to party by investment'!W$4,'Rev Adequacy'!$E$6:$E$4999,'Charges to party by investment'!$C62)*W$5/W$6</f>
        <v>5.7529134378522188E-2</v>
      </c>
      <c r="X62" s="221">
        <f ca="1">SUMIFS('Rev Adequacy'!$G$6:$G$4999,'Rev Adequacy'!$B$6:$B$4999,'Charges to party by investment'!X$4,'Rev Adequacy'!$E$6:$E$4999,'Charges to party by investment'!$C62)*X$5/X$6</f>
        <v>0.37862328723136524</v>
      </c>
      <c r="Y62" s="221">
        <f ca="1">SUMIFS('Rev Adequacy'!$G$6:$G$4999,'Rev Adequacy'!$B$6:$B$4999,'Charges to party by investment'!Y$4,'Rev Adequacy'!$E$6:$E$4999,'Charges to party by investment'!$C62)*Y$5/Y$6</f>
        <v>7.0506574999999197E-2</v>
      </c>
      <c r="Z62" s="221">
        <f ca="1">SUMIFS('Rev Adequacy'!$G$6:$G$4999,'Rev Adequacy'!$B$6:$B$4999,'Charges to party by investment'!Z$4,'Rev Adequacy'!$E$6:$E$4999,'Charges to party by investment'!$C62)*Z$5/Z$6</f>
        <v>0</v>
      </c>
      <c r="AA62" s="221">
        <f ca="1">SUMIFS('Rev Adequacy'!$G$6:$G$4999,'Rev Adequacy'!$B$6:$B$4999,'Charges to party by investment'!AA$4,'Rev Adequacy'!$E$6:$E$4999,'Charges to party by investment'!$C62)*AA$5/AA$6</f>
        <v>0</v>
      </c>
      <c r="AB62" s="221">
        <f>SUMIFS('Rev Adequacy'!$G$6:$G$4999,'Rev Adequacy'!$B$6:$B$4999,'Charges to party by investment'!AB$4,'Rev Adequacy'!$E$6:$E$4999,'Charges to party by investment'!$C62)</f>
        <v>0</v>
      </c>
      <c r="AC62" s="221">
        <f>SUMIFS('Rev Adequacy'!$G$6:$G$4999,'Rev Adequacy'!$B$6:$B$4999,'Charges to party by investment'!AC$4,'Rev Adequacy'!$E$6:$E$4999,'Charges to party by investment'!$C62)</f>
        <v>0</v>
      </c>
      <c r="AD62" s="221">
        <f>SUMIFS('Rev Adequacy'!$G$6:$G$4999,'Rev Adequacy'!$B$6:$B$4999,'Charges to party by investment'!AD$4,'Rev Adequacy'!$E$6:$E$4999,'Charges to party by investment'!$C62)</f>
        <v>0</v>
      </c>
      <c r="AE62" s="221">
        <f>SUMIFS('Rev Adequacy'!$G$6:$G$4999,'Rev Adequacy'!$B$6:$B$4999,'Charges to party by investment'!AE$4,'Rev Adequacy'!$E$6:$E$4999,'Charges to party by investment'!$C62)</f>
        <v>0</v>
      </c>
      <c r="AF62" s="221">
        <f>SUMIFS('Rev Adequacy'!$G$6:$G$4999,'Rev Adequacy'!$B$6:$B$4999,'Charges to party by investment'!AF$4,'Rev Adequacy'!$E$6:$E$4999,'Charges to party by investment'!$C62)</f>
        <v>0</v>
      </c>
      <c r="AG62" s="221">
        <f>SUMIFS('Rev Adequacy'!$G$6:$G$4999,'Rev Adequacy'!$B$6:$B$4999,'Charges to party by investment'!AG$4,'Rev Adequacy'!$E$6:$E$4999,'Charges to party by investment'!$C62)</f>
        <v>0</v>
      </c>
      <c r="AH62" s="221">
        <f>SUMIFS('Rev Adequacy'!$G$6:$G$4999,'Rev Adequacy'!$B$6:$B$4999,'Charges to party by investment'!AH$4,'Rev Adequacy'!$E$6:$E$4999,'Charges to party by investment'!$C62)</f>
        <v>0</v>
      </c>
      <c r="AJ62" s="190" t="str">
        <f>'Charges as $M per year'!A57</f>
        <v>Winstones</v>
      </c>
      <c r="AK62" s="215" t="str">
        <f t="shared" si="9"/>
        <v>Winstones</v>
      </c>
      <c r="AL62" s="216">
        <f t="shared" ca="1" si="10"/>
        <v>0.51069933969801617</v>
      </c>
      <c r="AM62" s="216">
        <f>SUMIF('Rev Adequacy'!$BF$27:$BF$257,'Charges to party by investment'!AK62,'Rev Adequacy'!$BJ$27:$BJ$257)</f>
        <v>1.3848063474677612</v>
      </c>
      <c r="AN62" s="216">
        <f>VLOOKUP(AK62,Connection!$X$5:$AB$55,5,0)/1000000</f>
        <v>1.0748414700000002</v>
      </c>
      <c r="AO62" s="216">
        <v>2.453465580727697E-2</v>
      </c>
      <c r="AP62" s="217">
        <f t="shared" ca="1" si="11"/>
        <v>0.19294851302140517</v>
      </c>
      <c r="AQ62" s="217">
        <f t="shared" si="12"/>
        <v>4.5421958110453903E-3</v>
      </c>
      <c r="AR62" s="274">
        <f t="shared" si="18"/>
        <v>0.85393281247653341</v>
      </c>
      <c r="AS62" s="217"/>
      <c r="AT62" s="277">
        <f t="shared" si="13"/>
        <v>2.2387391599442945</v>
      </c>
      <c r="AU62" s="274">
        <f t="shared" ca="1" si="14"/>
        <v>2.7739731554495881</v>
      </c>
      <c r="AV62" s="217"/>
      <c r="AW62" s="215" t="s">
        <v>42</v>
      </c>
      <c r="AX62" s="216">
        <f>SUMIF('Rev Adequacy'!$BF$27:$BF$257,'Charges to party by investment'!AK62,'Rev Adequacy'!$BK$27:$BK$257)</f>
        <v>1.5180903414156484</v>
      </c>
      <c r="AY62" s="216">
        <f>SUMIF('Rev Adequacy'!$BF$27:$BF$257,'Charges to party by investment'!AK62,'Rev Adequacy'!$BL$27:$BL$257)</f>
        <v>1.6069463373809063</v>
      </c>
      <c r="AZ62" s="279">
        <f t="shared" si="19"/>
        <v>4.5421958110453903E-3</v>
      </c>
      <c r="BA62" s="280">
        <f t="shared" ca="1" si="20"/>
        <v>4.7348420501710326E-3</v>
      </c>
      <c r="BX62" s="115" t="str">
        <f t="shared" si="15"/>
        <v>Winstones</v>
      </c>
      <c r="BY62" s="286">
        <f t="shared" ca="1" si="5"/>
        <v>0.51069933969801617</v>
      </c>
      <c r="BZ62" s="286">
        <f t="shared" si="6"/>
        <v>1.3848063474677612</v>
      </c>
      <c r="CA62" s="286">
        <f t="shared" si="7"/>
        <v>2.453465580727697E-2</v>
      </c>
      <c r="CB62" s="286">
        <f t="shared" si="8"/>
        <v>0.85393281247653341</v>
      </c>
      <c r="CC62" s="289">
        <f t="shared" ca="1" si="16"/>
        <v>2.7739731554495881</v>
      </c>
    </row>
    <row r="63" spans="2:81" x14ac:dyDescent="0.25">
      <c r="C63" s="104" t="s">
        <v>88</v>
      </c>
      <c r="D63" s="15"/>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K63" s="215"/>
      <c r="AL63" s="219"/>
      <c r="AM63" s="215"/>
      <c r="AN63" s="215"/>
      <c r="AO63" s="215"/>
      <c r="AP63" s="215"/>
      <c r="AQ63" s="215"/>
      <c r="AR63" s="215"/>
      <c r="AS63" s="215"/>
      <c r="AT63" s="215"/>
      <c r="AU63" s="216"/>
      <c r="AV63" s="215"/>
      <c r="AW63" s="215"/>
      <c r="AX63" s="216"/>
    </row>
    <row r="64" spans="2:81" x14ac:dyDescent="0.25">
      <c r="D64" s="15"/>
      <c r="F64" s="19"/>
      <c r="G64" s="19"/>
      <c r="H64" s="19"/>
      <c r="I64" s="19"/>
      <c r="J64" s="19"/>
      <c r="K64" s="19"/>
      <c r="L64" s="19"/>
      <c r="M64" s="19"/>
      <c r="N64" s="19"/>
      <c r="O64" s="19"/>
      <c r="P64" s="19"/>
      <c r="Q64" s="19"/>
      <c r="R64" s="19"/>
      <c r="S64" s="19"/>
      <c r="T64" s="19"/>
      <c r="U64" s="19"/>
      <c r="V64" s="195"/>
      <c r="W64" s="195"/>
      <c r="X64" s="195"/>
      <c r="Y64" s="195"/>
      <c r="Z64" s="195"/>
      <c r="AA64" s="195"/>
      <c r="AB64" s="19"/>
      <c r="AC64" s="19"/>
      <c r="AD64" s="19"/>
      <c r="AE64" s="19"/>
      <c r="AF64" s="19"/>
      <c r="AG64" s="19"/>
      <c r="AH64" s="19"/>
      <c r="AI64" s="19"/>
      <c r="AK64" s="215"/>
      <c r="AL64" s="220">
        <f ca="1">SUM(AL9:AL62)</f>
        <v>289.62344973106332</v>
      </c>
      <c r="AM64" s="220">
        <f>SUM(AM9:AM62)</f>
        <v>310.75747969205025</v>
      </c>
      <c r="AN64" s="220">
        <f>SUM(AN9:AN62)</f>
        <v>125.28701232999994</v>
      </c>
      <c r="AO64" s="216">
        <f>SUM(AO9:AO62)</f>
        <v>5.5091036125730213</v>
      </c>
      <c r="AP64" s="215"/>
      <c r="AQ64" s="217">
        <f>SUM(AQ9:AQ62)</f>
        <v>1.0000000000000004</v>
      </c>
      <c r="AR64" s="216">
        <f>SUM(AR9:AR62)</f>
        <v>188.00000000000009</v>
      </c>
      <c r="AS64" s="215"/>
      <c r="AT64" s="215"/>
      <c r="AU64" s="220">
        <f ca="1">SUM(AU9:AU62)</f>
        <v>793.89003303568666</v>
      </c>
      <c r="AV64" s="215"/>
      <c r="AW64" s="215"/>
      <c r="AX64" s="220">
        <f>SUM(AX9:AX62)</f>
        <v>340.6670754404193</v>
      </c>
      <c r="AY64" s="220">
        <f>SUM(AY9:AY62)</f>
        <v>360.60680593933159</v>
      </c>
    </row>
    <row r="65" spans="2:70" x14ac:dyDescent="0.25">
      <c r="D65" s="15"/>
      <c r="S65" s="15"/>
      <c r="V65" s="166">
        <f t="shared" ref="V65:AA65" ca="1" si="21">SUM(V9:V62)</f>
        <v>85.301991214132244</v>
      </c>
      <c r="W65" s="166">
        <f t="shared" ca="1" si="21"/>
        <v>72.778986120868367</v>
      </c>
      <c r="X65" s="166">
        <f t="shared" ca="1" si="21"/>
        <v>44.899891892397704</v>
      </c>
      <c r="Y65" s="166">
        <f t="shared" ca="1" si="21"/>
        <v>20.285001651222942</v>
      </c>
      <c r="Z65" s="166">
        <f t="shared" ca="1" si="21"/>
        <v>4.1569945542633659</v>
      </c>
      <c r="AA65" s="166">
        <f t="shared" ca="1" si="21"/>
        <v>14.784693801139117</v>
      </c>
      <c r="AU65" s="324" t="s">
        <v>1610</v>
      </c>
      <c r="AW65" s="215"/>
      <c r="AX65" s="215"/>
    </row>
    <row r="66" spans="2:70" x14ac:dyDescent="0.25">
      <c r="D66" s="15"/>
      <c r="S66" s="15"/>
      <c r="U66" t="s">
        <v>1609</v>
      </c>
      <c r="V66" s="166">
        <f t="shared" ref="V66:AA66" ca="1" si="22">V65-V5</f>
        <v>-2.8008785867754682E-2</v>
      </c>
      <c r="W66" s="166">
        <f t="shared" ca="1" si="22"/>
        <v>-0.15156943468718964</v>
      </c>
      <c r="X66" s="166">
        <f t="shared" ca="1" si="22"/>
        <v>-0.16955255204673847</v>
      </c>
      <c r="Y66" s="166">
        <f t="shared" ca="1" si="22"/>
        <v>-4.4742993929400399E-2</v>
      </c>
      <c r="Z66" s="166">
        <f t="shared" ca="1" si="22"/>
        <v>-3.0054457366341936E-3</v>
      </c>
      <c r="AA66" s="166">
        <f t="shared" ca="1" si="22"/>
        <v>-5.5306198860884948E-2</v>
      </c>
      <c r="AM66" s="29"/>
      <c r="AX66" s="29">
        <f>AX64-$AM$64</f>
        <v>29.909595748369043</v>
      </c>
      <c r="AY66" s="29">
        <f>AY64-$AM$64</f>
        <v>49.84932624728134</v>
      </c>
    </row>
    <row r="67" spans="2:70" x14ac:dyDescent="0.25">
      <c r="D67" s="15"/>
      <c r="S67" s="15"/>
      <c r="AO67" s="190"/>
      <c r="AP67" s="190"/>
      <c r="AW67" s="190"/>
      <c r="AX67" s="190"/>
      <c r="AY67" s="190"/>
      <c r="AZ67" s="190"/>
      <c r="BC67" s="190"/>
      <c r="BD67" s="190"/>
      <c r="BE67" s="190"/>
      <c r="BF67" s="190"/>
      <c r="BG67" s="190"/>
      <c r="BH67" s="190"/>
    </row>
    <row r="68" spans="2:70" x14ac:dyDescent="0.25">
      <c r="D68" s="15"/>
      <c r="S68" s="15"/>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50" t="s">
        <v>906</v>
      </c>
      <c r="BC68" s="250"/>
      <c r="BD68" s="250"/>
      <c r="BE68" s="250"/>
      <c r="BF68" s="250"/>
      <c r="BG68" s="250"/>
      <c r="BI68" s="291"/>
      <c r="BJ68" s="291"/>
      <c r="BK68" s="291"/>
      <c r="BL68" s="291"/>
      <c r="BM68" s="291"/>
    </row>
    <row r="69" spans="2:70" s="16" customFormat="1" x14ac:dyDescent="0.25">
      <c r="B69" s="310"/>
      <c r="C69" s="105" t="s">
        <v>1711</v>
      </c>
      <c r="D69" s="105"/>
      <c r="E69" s="105"/>
      <c r="F69" s="105"/>
      <c r="G69" s="105"/>
      <c r="H69" s="105"/>
      <c r="I69" s="105"/>
      <c r="J69" s="105"/>
      <c r="K69" s="105"/>
      <c r="L69" s="105"/>
      <c r="M69" s="105"/>
      <c r="N69" s="105"/>
      <c r="O69" s="105"/>
      <c r="P69" s="105"/>
      <c r="Q69" s="105"/>
      <c r="R69" s="105"/>
      <c r="S69" s="105"/>
      <c r="T69" s="105"/>
      <c r="U69" s="105"/>
      <c r="V69" s="105" t="s">
        <v>1712</v>
      </c>
      <c r="W69" s="105"/>
      <c r="X69" s="105"/>
      <c r="Y69" s="105"/>
      <c r="Z69" s="105"/>
      <c r="AA69" s="105"/>
      <c r="AB69" s="311"/>
      <c r="AC69" s="311"/>
      <c r="AD69" s="311"/>
      <c r="AE69" s="311"/>
      <c r="AF69" s="311"/>
      <c r="AG69" s="311"/>
      <c r="AH69" s="311"/>
      <c r="AI69" s="311"/>
      <c r="AJ69" s="105" t="s">
        <v>1713</v>
      </c>
      <c r="AK69" s="311"/>
      <c r="AL69" s="311"/>
      <c r="AM69" s="311"/>
      <c r="AN69" s="312"/>
      <c r="AO69" s="312"/>
      <c r="AP69" s="312"/>
      <c r="AQ69" s="312"/>
      <c r="AR69" s="312"/>
      <c r="AS69" s="312"/>
      <c r="AT69" s="312"/>
      <c r="AU69" s="312"/>
      <c r="AV69" s="312"/>
      <c r="AW69" s="312"/>
      <c r="AX69" s="312"/>
      <c r="AY69" s="312"/>
      <c r="AZ69" s="312"/>
      <c r="BA69" s="312"/>
      <c r="BB69" s="313"/>
      <c r="BC69" s="313"/>
      <c r="BD69" s="313"/>
      <c r="BE69" s="313"/>
      <c r="BF69" s="313"/>
      <c r="BG69" s="313"/>
      <c r="BI69" s="314" t="s">
        <v>1611</v>
      </c>
      <c r="BJ69" s="314"/>
      <c r="BK69" s="313" t="s">
        <v>907</v>
      </c>
      <c r="BL69" s="315" t="s">
        <v>908</v>
      </c>
      <c r="BM69" s="335" t="s">
        <v>1618</v>
      </c>
      <c r="BN69" s="16" t="s">
        <v>1648</v>
      </c>
      <c r="BO69" s="16" t="s">
        <v>1647</v>
      </c>
      <c r="BP69" s="20" t="s">
        <v>1619</v>
      </c>
      <c r="BR69" s="16" t="s">
        <v>541</v>
      </c>
    </row>
    <row r="70" spans="2:70" x14ac:dyDescent="0.25">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300"/>
      <c r="AC70" s="300"/>
      <c r="AD70" s="300"/>
      <c r="AE70" s="300"/>
      <c r="AF70" s="300"/>
      <c r="AG70" s="300"/>
      <c r="AH70" s="300"/>
      <c r="AI70" s="300"/>
      <c r="AJ70" s="300"/>
      <c r="AK70" s="300"/>
      <c r="AL70" s="90"/>
      <c r="AM70" s="90"/>
      <c r="AN70" s="20"/>
      <c r="AO70" s="20"/>
      <c r="AP70" s="20"/>
      <c r="AQ70" s="20"/>
      <c r="AR70" s="20"/>
      <c r="AS70" s="20"/>
      <c r="AT70" s="20"/>
      <c r="AU70" s="20"/>
      <c r="AV70" s="20"/>
      <c r="AW70" s="20"/>
      <c r="AX70" s="20"/>
      <c r="AY70" s="20"/>
      <c r="AZ70" s="294"/>
      <c r="BA70" s="295"/>
      <c r="BB70" s="251">
        <f>SUMIFS('Rev Adequacy'!$G$6:$G$4999,'Rev Adequacy'!$B$6:$B$4999,'Charges to party by investment'!V$4,'Rev Adequacy'!$E$6:$E$4999,'Charges to party by investment'!$BJ70)/1000000</f>
        <v>0.49142554484129575</v>
      </c>
      <c r="BC70" s="251">
        <f>SUMIFS('Rev Adequacy'!$G$6:$G$4999,'Rev Adequacy'!$B$6:$B$4999,'Charges to party by investment'!W$4,'Rev Adequacy'!$E$6:$E$4999,'Charges to party by investment'!$BJ70)/1000000</f>
        <v>0</v>
      </c>
      <c r="BD70" s="251">
        <f>SUMIFS('Rev Adequacy'!$G$6:$G$4999,'Rev Adequacy'!$B$6:$B$4999,'Charges to party by investment'!X$4,'Rev Adequacy'!$E$6:$E$4999,'Charges to party by investment'!$BJ70)/1000000</f>
        <v>0</v>
      </c>
      <c r="BE70" s="251">
        <f>SUMIFS('Rev Adequacy'!$G$6:$G$4999,'Rev Adequacy'!$B$6:$B$4999,'Charges to party by investment'!Y$4,'Rev Adequacy'!$E$6:$E$4999,'Charges to party by investment'!$BJ70)/1000000</f>
        <v>0.22958876855588922</v>
      </c>
      <c r="BF70" s="251">
        <f>SUMIFS('Rev Adequacy'!$G$6:$G$4999,'Rev Adequacy'!$B$6:$B$4999,'Charges to party by investment'!Z$4,'Rev Adequacy'!$E$6:$E$4999,'Charges to party by investment'!$BJ70)/1000000</f>
        <v>6.681711450000119E-2</v>
      </c>
      <c r="BG70" s="251">
        <f>SUMIFS('Rev Adequacy'!$G$6:$G$4999,'Rev Adequacy'!$B$6:$B$4999,'Charges to party by investment'!AA$4,'Rev Adequacy'!$E$6:$E$4999,'Charges to party by investment'!$BJ70)/1000000</f>
        <v>0.67167007511924581</v>
      </c>
      <c r="BI70" s="250" t="str">
        <f>'Charges as $M per year'!A4</f>
        <v>Alpine Energy</v>
      </c>
      <c r="BJ70" s="252" t="s">
        <v>0</v>
      </c>
      <c r="BK70" s="253">
        <f t="shared" ref="BK70:BK98" si="23">SUM(BB70:BG70)</f>
        <v>1.459501503016432</v>
      </c>
      <c r="BL70" s="260">
        <f ca="1">SUM(V9:AA9)</f>
        <v>0.62472711124657732</v>
      </c>
      <c r="BM70" s="260">
        <f t="shared" ref="BM70:BM98" ca="1" si="24">BL70/BK70</f>
        <v>0.42804143055380173</v>
      </c>
      <c r="BN70">
        <f ca="1">BL70*1000/BR70</f>
        <v>0.7870492505486899</v>
      </c>
      <c r="BO70">
        <f>BK70*1000/'Charges as $ per MWh'!J4</f>
        <v>1.8387221291415703</v>
      </c>
      <c r="BP70" s="97">
        <f ca="1">AU9-'Charges as $M per year'!C4</f>
        <v>-0.59532868351781865</v>
      </c>
      <c r="BQ70">
        <f ca="1">BK70/BP70</f>
        <v>-2.4515894218168439</v>
      </c>
      <c r="BR70">
        <v>793.7586</v>
      </c>
    </row>
    <row r="71" spans="2:70" x14ac:dyDescent="0.25">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301"/>
      <c r="AC71" s="301"/>
      <c r="AD71" s="301"/>
      <c r="AE71" s="301"/>
      <c r="AF71" s="301"/>
      <c r="AG71" s="301"/>
      <c r="AH71" s="301"/>
      <c r="AI71" s="300"/>
      <c r="AJ71" s="90"/>
      <c r="AK71" s="90"/>
      <c r="AL71" s="90"/>
      <c r="AM71" s="90"/>
      <c r="AN71" s="20"/>
      <c r="AO71" s="20"/>
      <c r="AP71" s="20"/>
      <c r="AQ71" s="20"/>
      <c r="AR71" s="20"/>
      <c r="AS71" s="20"/>
      <c r="AT71" s="20"/>
      <c r="AU71" s="20"/>
      <c r="AV71" s="20"/>
      <c r="AW71" s="20"/>
      <c r="AX71" s="20"/>
      <c r="AY71" s="20"/>
      <c r="AZ71" s="297"/>
      <c r="BA71" s="297"/>
      <c r="BB71" s="251">
        <f>SUMIFS('Rev Adequacy'!$G$6:$G$4999,'Rev Adequacy'!$B$6:$B$4999,'Charges to party by investment'!V$4,'Rev Adequacy'!$E$6:$E$4999,'Charges to party by investment'!$BJ71)/1000000</f>
        <v>2.1924765900572053E-2</v>
      </c>
      <c r="BC71" s="251">
        <f>SUMIFS('Rev Adequacy'!$G$6:$G$4999,'Rev Adequacy'!$B$6:$B$4999,'Charges to party by investment'!W$4,'Rev Adequacy'!$E$6:$E$4999,'Charges to party by investment'!$BJ71)/1000000</f>
        <v>0</v>
      </c>
      <c r="BD71" s="251">
        <f>SUMIFS('Rev Adequacy'!$G$6:$G$4999,'Rev Adequacy'!$B$6:$B$4999,'Charges to party by investment'!X$4,'Rev Adequacy'!$E$6:$E$4999,'Charges to party by investment'!$BJ71)/1000000</f>
        <v>0</v>
      </c>
      <c r="BE71" s="251">
        <f>SUMIFS('Rev Adequacy'!$G$6:$G$4999,'Rev Adequacy'!$B$6:$B$4999,'Charges to party by investment'!Y$4,'Rev Adequacy'!$E$6:$E$4999,'Charges to party by investment'!$BJ71)/1000000</f>
        <v>0.41209311046611125</v>
      </c>
      <c r="BF71" s="251">
        <f>SUMIFS('Rev Adequacy'!$G$6:$G$4999,'Rev Adequacy'!$B$6:$B$4999,'Charges to party by investment'!Z$4,'Rev Adequacy'!$E$6:$E$4999,'Charges to party by investment'!$BJ71)/1000000</f>
        <v>0.35519237607665777</v>
      </c>
      <c r="BG71" s="251">
        <f>SUMIFS('Rev Adequacy'!$G$6:$G$4999,'Rev Adequacy'!$B$6:$B$4999,'Charges to party by investment'!AA$4,'Rev Adequacy'!$E$6:$E$4999,'Charges to party by investment'!$BJ71)/1000000</f>
        <v>0.91536661717810897</v>
      </c>
      <c r="BI71" s="250" t="str">
        <f>'Charges as $M per year'!A5</f>
        <v>Aurora Energy</v>
      </c>
      <c r="BJ71" s="252" t="s">
        <v>1</v>
      </c>
      <c r="BK71" s="253">
        <f t="shared" si="23"/>
        <v>1.7045768696214501</v>
      </c>
      <c r="BL71" s="260">
        <f ca="1">SUM(V10:AA10)</f>
        <v>1.0587023770171544</v>
      </c>
      <c r="BM71" s="260">
        <f t="shared" ca="1" si="24"/>
        <v>0.6210939476447721</v>
      </c>
      <c r="BN71" s="190">
        <f t="shared" ref="BN71:BN123" ca="1" si="25">BL71*1000/BR71</f>
        <v>0.78403813689877555</v>
      </c>
      <c r="BO71" s="190">
        <f>BK71*1000/'Charges as $ per MWh'!J5</f>
        <v>1.2623503092759125</v>
      </c>
      <c r="BP71" s="97">
        <f ca="1">AU10-'Charges as $M per year'!C5</f>
        <v>-2.248327018638868</v>
      </c>
      <c r="BQ71" s="190">
        <f t="shared" ref="BQ71:BQ123" ca="1" si="26">BP71/BK71</f>
        <v>-1.3189942083035382</v>
      </c>
      <c r="BR71">
        <v>1350.32</v>
      </c>
    </row>
    <row r="72" spans="2:70" x14ac:dyDescent="0.25">
      <c r="C72" s="105" t="s">
        <v>1577</v>
      </c>
      <c r="D72" s="400" t="s">
        <v>95</v>
      </c>
      <c r="E72" s="90"/>
      <c r="F72" s="90"/>
      <c r="G72" s="90"/>
      <c r="H72" s="90"/>
      <c r="I72" s="90"/>
      <c r="J72" s="90"/>
      <c r="K72" s="90"/>
      <c r="L72" s="90"/>
      <c r="M72" s="90"/>
      <c r="N72" s="90"/>
      <c r="O72" s="90"/>
      <c r="P72" s="90"/>
      <c r="Q72" s="90"/>
      <c r="R72" s="90"/>
      <c r="S72" s="90"/>
      <c r="T72" s="90"/>
      <c r="U72" s="90"/>
      <c r="V72" s="90"/>
      <c r="W72" s="90"/>
      <c r="X72" s="90"/>
      <c r="Y72" s="90"/>
      <c r="Z72" s="90"/>
      <c r="AA72" s="90"/>
      <c r="AB72" s="301"/>
      <c r="AC72" s="301"/>
      <c r="AD72" s="301"/>
      <c r="AE72" s="301"/>
      <c r="AF72" s="301"/>
      <c r="AG72" s="301"/>
      <c r="AH72" s="301"/>
      <c r="AI72" s="300"/>
      <c r="AJ72" s="302"/>
      <c r="AK72" s="302"/>
      <c r="AL72" s="90"/>
      <c r="AM72" s="90"/>
      <c r="AN72" s="20"/>
      <c r="AO72" s="20"/>
      <c r="AP72" s="20"/>
      <c r="AQ72" s="20"/>
      <c r="AR72" s="20"/>
      <c r="AS72" s="20"/>
      <c r="AT72" s="20"/>
      <c r="AU72" s="20"/>
      <c r="AV72" s="20"/>
      <c r="AW72" s="20"/>
      <c r="AX72" s="20"/>
      <c r="AY72" s="20"/>
      <c r="AZ72" s="297"/>
      <c r="BA72" s="297"/>
      <c r="BB72" s="251">
        <f>SUMIFS('Rev Adequacy'!$G$6:$G$4999,'Rev Adequacy'!$B$6:$B$4999,'Charges to party by investment'!V$4,'Rev Adequacy'!$E$6:$E$4999,'Charges to party by investment'!$BJ72)/1000000</f>
        <v>4.6979894999999605E-2</v>
      </c>
      <c r="BC72" s="251">
        <f>SUMIFS('Rev Adequacy'!$G$6:$G$4999,'Rev Adequacy'!$B$6:$B$4999,'Charges to party by investment'!W$4,'Rev Adequacy'!$E$6:$E$4999,'Charges to party by investment'!$BJ72)/1000000</f>
        <v>0</v>
      </c>
      <c r="BD72" s="251">
        <f>SUMIFS('Rev Adequacy'!$G$6:$G$4999,'Rev Adequacy'!$B$6:$B$4999,'Charges to party by investment'!X$4,'Rev Adequacy'!$E$6:$E$4999,'Charges to party by investment'!$BJ72)/1000000</f>
        <v>0</v>
      </c>
      <c r="BE72" s="251">
        <f>SUMIFS('Rev Adequacy'!$G$6:$G$4999,'Rev Adequacy'!$B$6:$B$4999,'Charges to party by investment'!Y$4,'Rev Adequacy'!$E$6:$E$4999,'Charges to party by investment'!$BJ72)/1000000</f>
        <v>3.2711598999999328E-2</v>
      </c>
      <c r="BF72" s="251">
        <f>SUMIFS('Rev Adequacy'!$G$6:$G$4999,'Rev Adequacy'!$B$6:$B$4999,'Charges to party by investment'!Z$4,'Rev Adequacy'!$E$6:$E$4999,'Charges to party by investment'!$BJ72)/1000000</f>
        <v>1.0601284000000141E-2</v>
      </c>
      <c r="BG72" s="251">
        <f>SUMIFS('Rev Adequacy'!$G$6:$G$4999,'Rev Adequacy'!$B$6:$B$4999,'Charges to party by investment'!AA$4,'Rev Adequacy'!$E$6:$E$4999,'Charges to party by investment'!$BJ72)/1000000</f>
        <v>8.0827183999999885E-2</v>
      </c>
      <c r="BI72" s="250" t="str">
        <f>'Charges as $M per year'!A6</f>
        <v>Buller Electricity</v>
      </c>
      <c r="BJ72" s="252" t="s">
        <v>2</v>
      </c>
      <c r="BK72" s="253">
        <f t="shared" si="23"/>
        <v>0.17111996199999896</v>
      </c>
      <c r="BL72" s="260">
        <f ca="1">SUM(V11:AA11)</f>
        <v>7.981463929302024E-2</v>
      </c>
      <c r="BM72" s="260">
        <f t="shared" ca="1" si="24"/>
        <v>0.4664250643827324</v>
      </c>
      <c r="BN72" s="190">
        <f t="shared" ca="1" si="25"/>
        <v>0.74525142760454233</v>
      </c>
      <c r="BO72" s="190">
        <f>BK72*1000/'Charges as $ per MWh'!J6</f>
        <v>1.5977945537528289</v>
      </c>
      <c r="BP72" s="97">
        <f ca="1">AU11-'Charges as $M per year'!C6</f>
        <v>0.51733520731759208</v>
      </c>
      <c r="BQ72" s="190">
        <f t="shared" ca="1" si="26"/>
        <v>3.0232311956543985</v>
      </c>
      <c r="BR72">
        <v>107.0976</v>
      </c>
    </row>
    <row r="73" spans="2:70" x14ac:dyDescent="0.25">
      <c r="C73" s="303" t="s">
        <v>45</v>
      </c>
      <c r="D73" s="401"/>
      <c r="E73" s="90"/>
      <c r="F73" s="304"/>
      <c r="G73" s="304"/>
      <c r="H73" s="304"/>
      <c r="I73" s="304"/>
      <c r="J73" s="304"/>
      <c r="K73" s="304"/>
      <c r="L73" s="304"/>
      <c r="M73" s="304"/>
      <c r="N73" s="304"/>
      <c r="O73" s="304"/>
      <c r="P73" s="304"/>
      <c r="Q73" s="304"/>
      <c r="R73" s="304"/>
      <c r="S73" s="90"/>
      <c r="T73" s="90"/>
      <c r="U73" s="90"/>
      <c r="V73" s="402"/>
      <c r="W73" s="402"/>
      <c r="X73" s="402"/>
      <c r="Y73" s="402"/>
      <c r="Z73" s="402"/>
      <c r="AA73" s="402"/>
      <c r="AB73" s="402">
        <f>SUMIFS('Rev Adequacy'!$G$6:$G$4999,'Rev Adequacy'!$B$6:$B$4999,'Charges to party by investment'!AB$4,'Rev Adequacy'!$E$6:$E$4999,'Charges to party by investment'!$C73)</f>
        <v>0</v>
      </c>
      <c r="AC73" s="402">
        <f>SUMIFS('Rev Adequacy'!$G$6:$G$4999,'Rev Adequacy'!$B$6:$B$4999,'Charges to party by investment'!AC$4,'Rev Adequacy'!$E$6:$E$4999,'Charges to party by investment'!$C73)</f>
        <v>0</v>
      </c>
      <c r="AD73" s="304">
        <f>SUMIFS('Rev Adequacy'!$G$6:$G$4999,'Rev Adequacy'!$B$6:$B$4999,'Charges to party by investment'!AD$4,'Rev Adequacy'!$E$6:$E$4999,'Charges to party by investment'!$C73)</f>
        <v>0</v>
      </c>
      <c r="AE73" s="304">
        <f>SUMIFS('Rev Adequacy'!$G$6:$G$4999,'Rev Adequacy'!$B$6:$B$4999,'Charges to party by investment'!AE$4,'Rev Adequacy'!$E$6:$E$4999,'Charges to party by investment'!$C73)</f>
        <v>0</v>
      </c>
      <c r="AF73" s="304">
        <f>SUMIFS('Rev Adequacy'!$G$6:$G$4999,'Rev Adequacy'!$B$6:$B$4999,'Charges to party by investment'!AF$4,'Rev Adequacy'!$E$6:$E$4999,'Charges to party by investment'!$C73)</f>
        <v>0</v>
      </c>
      <c r="AG73" s="304">
        <f>SUMIFS('Rev Adequacy'!$G$6:$G$4999,'Rev Adequacy'!$B$6:$B$4999,'Charges to party by investment'!AG$4,'Rev Adequacy'!$E$6:$E$4999,'Charges to party by investment'!$C73)</f>
        <v>0</v>
      </c>
      <c r="AH73" s="304">
        <f>SUMIFS('Rev Adequacy'!$G$6:$G$4999,'Rev Adequacy'!$B$6:$B$4999,'Charges to party by investment'!AH$4,'Rev Adequacy'!$E$6:$E$4999,'Charges to party by investment'!$C73)</f>
        <v>0</v>
      </c>
      <c r="AI73" s="300"/>
      <c r="AJ73" s="290" t="s">
        <v>55</v>
      </c>
      <c r="AK73" s="290" t="s">
        <v>56</v>
      </c>
      <c r="AL73" s="305" t="s">
        <v>1596</v>
      </c>
      <c r="AM73" s="90"/>
      <c r="AN73" s="20"/>
      <c r="AO73" s="20"/>
      <c r="AP73" s="20"/>
      <c r="AQ73" s="20"/>
      <c r="AR73" s="20"/>
      <c r="AS73" s="20"/>
      <c r="AT73" s="20"/>
      <c r="AU73" s="20"/>
      <c r="AV73" s="20"/>
      <c r="AW73" s="20"/>
      <c r="AX73" s="20"/>
      <c r="AY73" s="297"/>
      <c r="AZ73" s="297"/>
      <c r="BB73" s="251">
        <f>SUMIFS('Rev Adequacy'!$G$6:$G$4999,'Rev Adequacy'!$B$6:$B$4999,'Charges to party by investment'!V$4,'Rev Adequacy'!$E$6:$E$4999,'Charges to party by investment'!$BJ73)/1000000</f>
        <v>3.40265750000001E-2</v>
      </c>
      <c r="BC73" s="251">
        <f>SUMIFS('Rev Adequacy'!$G$6:$G$4999,'Rev Adequacy'!$B$6:$B$4999,'Charges to party by investment'!W$4,'Rev Adequacy'!$E$6:$E$4999,'Charges to party by investment'!$BJ73)/1000000</f>
        <v>1.18416662999999</v>
      </c>
      <c r="BD73" s="251">
        <f>SUMIFS('Rev Adequacy'!$G$6:$G$4999,'Rev Adequacy'!$B$6:$B$4999,'Charges to party by investment'!X$4,'Rev Adequacy'!$E$6:$E$4999,'Charges to party by investment'!$BJ73)/1000000</f>
        <v>4.9729217650000095</v>
      </c>
      <c r="BE73" s="251">
        <f>SUMIFS('Rev Adequacy'!$G$6:$G$4999,'Rev Adequacy'!$B$6:$B$4999,'Charges to party by investment'!Y$4,'Rev Adequacy'!$E$6:$E$4999,'Charges to party by investment'!$BJ73)/1000000</f>
        <v>4.0635350999999903E-2</v>
      </c>
      <c r="BF73" s="251">
        <f>SUMIFS('Rev Adequacy'!$G$6:$G$4999,'Rev Adequacy'!$B$6:$B$4999,'Charges to party by investment'!Z$4,'Rev Adequacy'!$E$6:$E$4999,'Charges to party by investment'!$BJ73)/1000000</f>
        <v>5.3508800000000799E-4</v>
      </c>
      <c r="BG73" s="251">
        <f>SUMIFS('Rev Adequacy'!$G$6:$G$4999,'Rev Adequacy'!$B$6:$B$4999,'Charges to party by investment'!AA$4,'Rev Adequacy'!$E$6:$E$4999,'Charges to party by investment'!$BJ73)/1000000</f>
        <v>0.107910125999999</v>
      </c>
      <c r="BH73" s="190"/>
      <c r="BI73" s="250" t="str">
        <f>'Charges as $M per year'!A7</f>
        <v>Centralines</v>
      </c>
      <c r="BJ73" s="252" t="s">
        <v>100</v>
      </c>
      <c r="BK73" s="253">
        <f t="shared" si="23"/>
        <v>6.3401955349999986</v>
      </c>
      <c r="BL73" s="260">
        <f t="shared" ref="BL73:BL98" ca="1" si="27">SUM(V12:AA12)</f>
        <v>0.39892925315867384</v>
      </c>
      <c r="BM73" s="260">
        <f t="shared" ca="1" si="24"/>
        <v>6.2920654569161322E-2</v>
      </c>
      <c r="BN73" s="190">
        <f t="shared" ca="1" si="25"/>
        <v>3.5231514142677947</v>
      </c>
      <c r="BO73" s="190">
        <f>BK73*1000/'Charges as $ per MWh'!J7</f>
        <v>55.993559482049044</v>
      </c>
      <c r="BP73" s="97">
        <f ca="1">AU12-'Charges as $M per year'!C7</f>
        <v>-0.46543011440368476</v>
      </c>
      <c r="BQ73" s="190">
        <f t="shared" ca="1" si="26"/>
        <v>-7.3409425913499818E-2</v>
      </c>
      <c r="BR73">
        <v>113.2308</v>
      </c>
    </row>
    <row r="74" spans="2:70" x14ac:dyDescent="0.25">
      <c r="C74" s="306" t="s">
        <v>4</v>
      </c>
      <c r="D74" s="401"/>
      <c r="E74" s="90"/>
      <c r="F74" s="402">
        <f ca="1">SUMIFS('Rev Adequacy'!AL$22:AL$652,'Rev Adequacy'!$AH$22:$AH$652,'Charges to party by investment'!$C74,'Rev Adequacy'!$AJ$22:$AJ$652,'Charges to party by investment'!$D$72)</f>
        <v>0</v>
      </c>
      <c r="G74" s="402">
        <f ca="1">SUMIFS('Rev Adequacy'!AM$22:AM$652,'Rev Adequacy'!$AH$22:$AH$652,'Charges to party by investment'!$C74,'Rev Adequacy'!$AJ$22:$AJ$652,'Charges to party by investment'!$D$72)</f>
        <v>0</v>
      </c>
      <c r="H74" s="402">
        <f ca="1">SUMIFS('Rev Adequacy'!AN$22:AN$652,'Rev Adequacy'!$AH$22:$AH$652,'Charges to party by investment'!$C74,'Rev Adequacy'!$AJ$22:$AJ$652,'Charges to party by investment'!$D$72)</f>
        <v>0</v>
      </c>
      <c r="I74" s="402">
        <f ca="1">SUMIFS('Rev Adequacy'!AO$22:AO$652,'Rev Adequacy'!$AH$22:$AH$652,'Charges to party by investment'!$C74,'Rev Adequacy'!$AJ$22:$AJ$652,'Charges to party by investment'!$D$72)</f>
        <v>0</v>
      </c>
      <c r="J74" s="402">
        <f>SUMIFS('Rev Adequacy'!AP$22:AP$652,'Rev Adequacy'!$AH$22:$AH$652,'Charges to party by investment'!$C74,'Rev Adequacy'!$AJ$22:$AJ$652,'Charges to party by investment'!$D$72)</f>
        <v>0</v>
      </c>
      <c r="K74" s="402">
        <f ca="1">SUMIFS('Rev Adequacy'!AQ$22:AQ$652,'Rev Adequacy'!$AH$22:$AH$652,'Charges to party by investment'!$C74,'Rev Adequacy'!$AJ$22:$AJ$652,'Charges to party by investment'!$D$72)</f>
        <v>0</v>
      </c>
      <c r="L74" s="402">
        <f ca="1">SUMIFS('Rev Adequacy'!AR$22:AR$652,'Rev Adequacy'!$AH$22:$AH$652,'Charges to party by investment'!$C74,'Rev Adequacy'!$AJ$22:$AJ$652,'Charges to party by investment'!$D$72)</f>
        <v>2.6481978649353151E-2</v>
      </c>
      <c r="M74" s="402">
        <f ca="1">SUMIFS('Rev Adequacy'!AS$22:AS$652,'Rev Adequacy'!$AH$22:$AH$652,'Charges to party by investment'!$C74,'Rev Adequacy'!$AJ$22:$AJ$652,'Charges to party by investment'!$D$72)</f>
        <v>0.79858559269550367</v>
      </c>
      <c r="N74" s="402">
        <f ca="1">SUMIFS('Rev Adequacy'!AT$22:AT$652,'Rev Adequacy'!$AH$22:$AH$652,'Charges to party by investment'!$C74,'Rev Adequacy'!$AJ$22:$AJ$652,'Charges to party by investment'!$D$72)</f>
        <v>0</v>
      </c>
      <c r="O74" s="402">
        <f ca="1">SUMIFS('Rev Adequacy'!AU$22:AU$652,'Rev Adequacy'!$AH$22:$AH$652,'Charges to party by investment'!$C74,'Rev Adequacy'!$AJ$22:$AJ$652,'Charges to party by investment'!$D$72)</f>
        <v>1.2213545827104575E-2</v>
      </c>
      <c r="P74" s="402">
        <f ca="1">SUMIFS('Rev Adequacy'!AV$22:AV$652,'Rev Adequacy'!$AH$22:$AH$652,'Charges to party by investment'!$C74,'Rev Adequacy'!$AJ$22:$AJ$652,'Charges to party by investment'!$D$72)</f>
        <v>0</v>
      </c>
      <c r="Q74" s="402">
        <f>SUMIFS('Rev Adequacy'!AW$22:AW$652,'Rev Adequacy'!$AH$22:$AH$652,'Charges to party by investment'!$C74,'Rev Adequacy'!$AJ$22:$AJ$652,'Charges to party by investment'!$D$72)</f>
        <v>0</v>
      </c>
      <c r="R74" s="402">
        <f>SUMIFS('Rev Adequacy'!AX$22:AX$652,'Rev Adequacy'!$AH$22:$AH$652,'Charges to party by investment'!$C74,'Rev Adequacy'!$AJ$22:$AJ$652,'Charges to party by investment'!$D$72)</f>
        <v>0</v>
      </c>
      <c r="S74" s="90"/>
      <c r="T74" s="90"/>
      <c r="U74" s="90"/>
      <c r="V74" s="402">
        <f ca="1">SUMIFS('Rev Adequacy'!$G$6:$G$4999,'Rev Adequacy'!$B$6:$B$4999,'Charges to party by investment'!V$4,'Rev Adequacy'!$E$6:$E$4999,'Charges to party by investment'!$C74,'Rev Adequacy'!$H$6:$H$4999,'Charges to party by investment'!$D$72)*V$5/V$6</f>
        <v>0.24058302511543658</v>
      </c>
      <c r="W74" s="402">
        <f ca="1">SUMIFS('Rev Adequacy'!$G$6:$G$4999,'Rev Adequacy'!$B$6:$B$4999,'Charges to party by investment'!W$4,'Rev Adequacy'!$E$6:$E$4999,'Charges to party by investment'!$C74,'Rev Adequacy'!$H$6:$H$4999,'Charges to party by investment'!$D$72)*W$5/W$6</f>
        <v>2.5836492071662141E-2</v>
      </c>
      <c r="X74" s="402">
        <f ca="1">SUMIFS('Rev Adequacy'!$G$6:$G$4999,'Rev Adequacy'!$B$6:$B$4999,'Charges to party by investment'!X$4,'Rev Adequacy'!$E$6:$E$4999,'Charges to party by investment'!$C74,'Rev Adequacy'!$H$6:$H$4999,'Charges to party by investment'!$D$72)*X$5/X$6</f>
        <v>1.872860116219998E-2</v>
      </c>
      <c r="Y74" s="402">
        <f ca="1">SUMIFS('Rev Adequacy'!$G$6:$G$4999,'Rev Adequacy'!$B$6:$B$4999,'Charges to party by investment'!Y$4,'Rev Adequacy'!$E$6:$E$4999,'Charges to party by investment'!$C74,'Rev Adequacy'!$H$6:$H$4999,'Charges to party by investment'!$D$72)*Y$5/Y$6</f>
        <v>5.1333627962016227E-3</v>
      </c>
      <c r="Z74" s="402">
        <f ca="1">SUMIFS('Rev Adequacy'!$G$6:$G$4999,'Rev Adequacy'!$B$6:$B$4999,'Charges to party by investment'!Z$4,'Rev Adequacy'!$E$6:$E$4999,'Charges to party by investment'!$C74,'Rev Adequacy'!$H$6:$H$4999,'Charges to party by investment'!$D$72)*Z$5/Z$6</f>
        <v>6.5186269410650284E-3</v>
      </c>
      <c r="AA74" s="402">
        <f ca="1">SUMIFS('Rev Adequacy'!$G$6:$G$4999,'Rev Adequacy'!$B$6:$B$4999,'Charges to party by investment'!AA$4,'Rev Adequacy'!$E$6:$E$4999,'Charges to party by investment'!$C74,'Rev Adequacy'!$H$6:$H$4999,'Charges to party by investment'!$D$72)*AA$5/AA$6</f>
        <v>0.72465034726057198</v>
      </c>
      <c r="AB74" s="402">
        <f>SUMIFS('Rev Adequacy'!$G$6:$G$4999,'Rev Adequacy'!$B$6:$B$4999,'Charges to party by investment'!AB$4,'Rev Adequacy'!$E$6:$E$4999,'Charges to party by investment'!$C74)</f>
        <v>0</v>
      </c>
      <c r="AC74" s="402">
        <f>SUMIFS('Rev Adequacy'!$G$6:$G$4999,'Rev Adequacy'!$B$6:$B$4999,'Charges to party by investment'!AC$4,'Rev Adequacy'!$E$6:$E$4999,'Charges to party by investment'!$C74)</f>
        <v>0</v>
      </c>
      <c r="AD74" s="304">
        <f>SUMIFS('Rev Adequacy'!$G$6:$G$4999,'Rev Adequacy'!$B$6:$B$4999,'Charges to party by investment'!AD$4,'Rev Adequacy'!$E$6:$E$4999,'Charges to party by investment'!$C74)</f>
        <v>0</v>
      </c>
      <c r="AE74" s="304">
        <f>SUMIFS('Rev Adequacy'!$G$6:$G$4999,'Rev Adequacy'!$B$6:$B$4999,'Charges to party by investment'!AE$4,'Rev Adequacy'!$E$6:$E$4999,'Charges to party by investment'!$C74)</f>
        <v>0</v>
      </c>
      <c r="AF74" s="304">
        <f>SUMIFS('Rev Adequacy'!$G$6:$G$4999,'Rev Adequacy'!$B$6:$B$4999,'Charges to party by investment'!AF$4,'Rev Adequacy'!$E$6:$E$4999,'Charges to party by investment'!$C74)</f>
        <v>0</v>
      </c>
      <c r="AG74" s="304">
        <f>SUMIFS('Rev Adequacy'!$G$6:$G$4999,'Rev Adequacy'!$B$6:$B$4999,'Charges to party by investment'!AG$4,'Rev Adequacy'!$E$6:$E$4999,'Charges to party by investment'!$C74)</f>
        <v>0</v>
      </c>
      <c r="AH74" s="304">
        <f>SUMIFS('Rev Adequacy'!$G$6:$G$4999,'Rev Adequacy'!$B$6:$B$4999,'Charges to party by investment'!AH$4,'Rev Adequacy'!$E$6:$E$4999,'Charges to party by investment'!$C74)</f>
        <v>0</v>
      </c>
      <c r="AI74" s="300"/>
      <c r="AJ74" s="307">
        <f ca="1">SUM(F74:AH74)</f>
        <v>1.8587315725190985</v>
      </c>
      <c r="AK74" s="308">
        <f>SUMIFS('Rev Adequacy'!$BJ$27:$BJ$257,'Rev Adequacy'!$BM$27:$BM$257,'Charges to party by investment'!$D$72,'Rev Adequacy'!$BF$27:$BF$257,'Charges to party by investment'!C74)</f>
        <v>1.2065403143724285</v>
      </c>
      <c r="AL74" s="90"/>
      <c r="AM74" s="90"/>
      <c r="AN74" s="20"/>
      <c r="AO74" s="20"/>
      <c r="AP74" s="20"/>
      <c r="AQ74" s="20"/>
      <c r="AR74" s="20"/>
      <c r="AS74" s="20"/>
      <c r="AT74" s="20"/>
      <c r="AU74" s="20"/>
      <c r="AV74" s="20"/>
      <c r="AW74" s="20"/>
      <c r="AX74" s="20"/>
      <c r="AY74" s="297"/>
      <c r="AZ74" s="297"/>
      <c r="BB74" s="251">
        <f>SUMIFS('Rev Adequacy'!$G$6:$G$4999,'Rev Adequacy'!$B$6:$B$4999,'Charges to party by investment'!V$4,'Rev Adequacy'!$E$6:$E$4999,'Charges to party by investment'!$BJ74)/1000000</f>
        <v>11.305138140000009</v>
      </c>
      <c r="BC74" s="251">
        <f>SUMIFS('Rev Adequacy'!$G$6:$G$4999,'Rev Adequacy'!$B$6:$B$4999,'Charges to party by investment'!W$4,'Rev Adequacy'!$E$6:$E$4999,'Charges to party by investment'!$BJ74)/1000000</f>
        <v>3.7770176400000097</v>
      </c>
      <c r="BD74" s="251">
        <f>SUMIFS('Rev Adequacy'!$G$6:$G$4999,'Rev Adequacy'!$B$6:$B$4999,'Charges to party by investment'!X$4,'Rev Adequacy'!$E$6:$E$4999,'Charges to party by investment'!$BJ74)/1000000</f>
        <v>15.985985137999911</v>
      </c>
      <c r="BE74" s="251">
        <f>SUMIFS('Rev Adequacy'!$G$6:$G$4999,'Rev Adequacy'!$B$6:$B$4999,'Charges to party by investment'!Y$4,'Rev Adequacy'!$E$6:$E$4999,'Charges to party by investment'!$BJ74)/1000000</f>
        <v>0.16063522800000091</v>
      </c>
      <c r="BF74" s="251">
        <f>SUMIFS('Rev Adequacy'!$G$6:$G$4999,'Rev Adequacy'!$B$6:$B$4999,'Charges to party by investment'!Z$4,'Rev Adequacy'!$E$6:$E$4999,'Charges to party by investment'!$BJ74)/1000000</f>
        <v>8.3274099999998809E-4</v>
      </c>
      <c r="BG74" s="251">
        <f>SUMIFS('Rev Adequacy'!$G$6:$G$4999,'Rev Adequacy'!$B$6:$B$4999,'Charges to party by investment'!AA$4,'Rev Adequacy'!$E$6:$E$4999,'Charges to party by investment'!$BJ74)/1000000</f>
        <v>0.66609586399999798</v>
      </c>
      <c r="BH74" s="190"/>
      <c r="BI74" s="250" t="str">
        <f>'Charges as $M per year'!A8</f>
        <v>Counties Power</v>
      </c>
      <c r="BJ74" s="252" t="s">
        <v>5</v>
      </c>
      <c r="BK74" s="253">
        <f t="shared" si="23"/>
        <v>31.895704750999929</v>
      </c>
      <c r="BL74" s="260">
        <f t="shared" ca="1" si="27"/>
        <v>4.2514358434479327</v>
      </c>
      <c r="BM74" s="260">
        <f t="shared" ca="1" si="24"/>
        <v>0.13329179827307783</v>
      </c>
      <c r="BN74" s="190">
        <f t="shared" ca="1" si="25"/>
        <v>7.5059932211956504</v>
      </c>
      <c r="BO74" s="190">
        <f>BK74*1000/'Charges as $ per MWh'!J8</f>
        <v>56.31249122933999</v>
      </c>
      <c r="BP74" s="97">
        <f ca="1">AU13-'Charges as $M per year'!C8</f>
        <v>2.304190968443427</v>
      </c>
      <c r="BQ74" s="190">
        <f t="shared" ca="1" si="26"/>
        <v>7.2241418913033761E-2</v>
      </c>
      <c r="BR74">
        <v>566.40549999999996</v>
      </c>
    </row>
    <row r="75" spans="2:70" x14ac:dyDescent="0.25">
      <c r="C75" s="306" t="s">
        <v>10</v>
      </c>
      <c r="D75" s="401"/>
      <c r="E75" s="90"/>
      <c r="F75" s="402">
        <f ca="1">SUMIFS('Rev Adequacy'!AL$22:AL$652,'Rev Adequacy'!$AH$22:$AH$652,'Charges to party by investment'!$C75,'Rev Adequacy'!$AJ$22:$AJ$652,'Charges to party by investment'!$D$72)</f>
        <v>0</v>
      </c>
      <c r="G75" s="402">
        <f ca="1">SUMIFS('Rev Adequacy'!AM$22:AM$652,'Rev Adequacy'!$AH$22:$AH$652,'Charges to party by investment'!$C75,'Rev Adequacy'!$AJ$22:$AJ$652,'Charges to party by investment'!$D$72)</f>
        <v>0</v>
      </c>
      <c r="H75" s="402">
        <f ca="1">SUMIFS('Rev Adequacy'!AN$22:AN$652,'Rev Adequacy'!$AH$22:$AH$652,'Charges to party by investment'!$C75,'Rev Adequacy'!$AJ$22:$AJ$652,'Charges to party by investment'!$D$72)</f>
        <v>0</v>
      </c>
      <c r="I75" s="402">
        <f ca="1">SUMIFS('Rev Adequacy'!AO$22:AO$652,'Rev Adequacy'!$AH$22:$AH$652,'Charges to party by investment'!$C75,'Rev Adequacy'!$AJ$22:$AJ$652,'Charges to party by investment'!$D$72)</f>
        <v>0</v>
      </c>
      <c r="J75" s="402">
        <f>SUMIFS('Rev Adequacy'!AP$22:AP$652,'Rev Adequacy'!$AH$22:$AH$652,'Charges to party by investment'!$C75,'Rev Adequacy'!$AJ$22:$AJ$652,'Charges to party by investment'!$D$72)</f>
        <v>0</v>
      </c>
      <c r="K75" s="402">
        <f ca="1">SUMIFS('Rev Adequacy'!AQ$22:AQ$652,'Rev Adequacy'!$AH$22:$AH$652,'Charges to party by investment'!$C75,'Rev Adequacy'!$AJ$22:$AJ$652,'Charges to party by investment'!$D$72)</f>
        <v>0</v>
      </c>
      <c r="L75" s="402">
        <f ca="1">SUMIFS('Rev Adequacy'!AR$22:AR$652,'Rev Adequacy'!$AH$22:$AH$652,'Charges to party by investment'!$C75,'Rev Adequacy'!$AJ$22:$AJ$652,'Charges to party by investment'!$D$72)</f>
        <v>0</v>
      </c>
      <c r="M75" s="402">
        <f ca="1">SUMIFS('Rev Adequacy'!AS$22:AS$652,'Rev Adequacy'!$AH$22:$AH$652,'Charges to party by investment'!$C75,'Rev Adequacy'!$AJ$22:$AJ$652,'Charges to party by investment'!$D$72)</f>
        <v>0.72181367776598093</v>
      </c>
      <c r="N75" s="402">
        <f ca="1">SUMIFS('Rev Adequacy'!AT$22:AT$652,'Rev Adequacy'!$AH$22:$AH$652,'Charges to party by investment'!$C75,'Rev Adequacy'!$AJ$22:$AJ$652,'Charges to party by investment'!$D$72)</f>
        <v>0</v>
      </c>
      <c r="O75" s="402">
        <f ca="1">SUMIFS('Rev Adequacy'!AU$22:AU$652,'Rev Adequacy'!$AH$22:$AH$652,'Charges to party by investment'!$C75,'Rev Adequacy'!$AJ$22:$AJ$652,'Charges to party by investment'!$D$72)</f>
        <v>0</v>
      </c>
      <c r="P75" s="402">
        <f ca="1">SUMIFS('Rev Adequacy'!AV$22:AV$652,'Rev Adequacy'!$AH$22:$AH$652,'Charges to party by investment'!$C75,'Rev Adequacy'!$AJ$22:$AJ$652,'Charges to party by investment'!$D$72)</f>
        <v>0</v>
      </c>
      <c r="Q75" s="402">
        <f>SUMIFS('Rev Adequacy'!AW$22:AW$652,'Rev Adequacy'!$AH$22:$AH$652,'Charges to party by investment'!$C75,'Rev Adequacy'!$AJ$22:$AJ$652,'Charges to party by investment'!$D$72)</f>
        <v>0</v>
      </c>
      <c r="R75" s="402">
        <f>SUMIFS('Rev Adequacy'!AX$22:AX$652,'Rev Adequacy'!$AH$22:$AH$652,'Charges to party by investment'!$C75,'Rev Adequacy'!$AJ$22:$AJ$652,'Charges to party by investment'!$D$72)</f>
        <v>0</v>
      </c>
      <c r="S75" s="90"/>
      <c r="T75" s="90"/>
      <c r="U75" s="90"/>
      <c r="V75" s="402">
        <f ca="1">SUMIFS('Rev Adequacy'!$G$6:$G$4999,'Rev Adequacy'!$B$6:$B$4999,'Charges to party by investment'!V$4,'Rev Adequacy'!$E$6:$E$4999,'Charges to party by investment'!$C75,'Rev Adequacy'!$H$6:$H$4999,'Charges to party by investment'!$D$72)*V$5/V$6</f>
        <v>0.52191529253125191</v>
      </c>
      <c r="W75" s="402">
        <f ca="1">SUMIFS('Rev Adequacy'!$G$6:$G$4999,'Rev Adequacy'!$B$6:$B$4999,'Charges to party by investment'!W$4,'Rev Adequacy'!$E$6:$E$4999,'Charges to party by investment'!$C75,'Rev Adequacy'!$H$6:$H$4999,'Charges to party by investment'!$D$72)*W$5/W$6</f>
        <v>4.8353885050218776E-4</v>
      </c>
      <c r="X75" s="402">
        <f ca="1">SUMIFS('Rev Adequacy'!$G$6:$G$4999,'Rev Adequacy'!$B$6:$B$4999,'Charges to party by investment'!X$4,'Rev Adequacy'!$E$6:$E$4999,'Charges to party by investment'!$C75,'Rev Adequacy'!$H$6:$H$4999,'Charges to party by investment'!$D$72)*X$5/X$6</f>
        <v>7.835722435329403E-4</v>
      </c>
      <c r="Y75" s="402">
        <f ca="1">SUMIFS('Rev Adequacy'!$G$6:$G$4999,'Rev Adequacy'!$B$6:$B$4999,'Charges to party by investment'!Y$4,'Rev Adequacy'!$E$6:$E$4999,'Charges to party by investment'!$C75,'Rev Adequacy'!$H$6:$H$4999,'Charges to party by investment'!$D$72)*Y$5/Y$6</f>
        <v>1.18517427109337E-4</v>
      </c>
      <c r="Z75" s="402">
        <f ca="1">SUMIFS('Rev Adequacy'!$G$6:$G$4999,'Rev Adequacy'!$B$6:$B$4999,'Charges to party by investment'!Z$4,'Rev Adequacy'!$E$6:$E$4999,'Charges to party by investment'!$C75,'Rev Adequacy'!$H$6:$H$4999,'Charges to party by investment'!$D$72)*Z$5/Z$6</f>
        <v>5.192243571144569E-2</v>
      </c>
      <c r="AA75" s="402">
        <f ca="1">SUMIFS('Rev Adequacy'!$G$6:$G$4999,'Rev Adequacy'!$B$6:$B$4999,'Charges to party by investment'!AA$4,'Rev Adequacy'!$E$6:$E$4999,'Charges to party by investment'!$C75,'Rev Adequacy'!$H$6:$H$4999,'Charges to party by investment'!$D$72)*AA$5/AA$6</f>
        <v>0.28781749370812976</v>
      </c>
      <c r="AB75" s="402">
        <f>SUMIFS('Rev Adequacy'!$G$6:$G$4999,'Rev Adequacy'!$B$6:$B$4999,'Charges to party by investment'!AB$4,'Rev Adequacy'!$E$6:$E$4999,'Charges to party by investment'!$C75)</f>
        <v>0</v>
      </c>
      <c r="AC75" s="402">
        <f>SUMIFS('Rev Adequacy'!$G$6:$G$4999,'Rev Adequacy'!$B$6:$B$4999,'Charges to party by investment'!AC$4,'Rev Adequacy'!$E$6:$E$4999,'Charges to party by investment'!$C75)</f>
        <v>0</v>
      </c>
      <c r="AD75" s="304">
        <f>SUMIFS('Rev Adequacy'!$G$6:$G$4999,'Rev Adequacy'!$B$6:$B$4999,'Charges to party by investment'!AD$4,'Rev Adequacy'!$E$6:$E$4999,'Charges to party by investment'!$C75)</f>
        <v>0</v>
      </c>
      <c r="AE75" s="304">
        <f>SUMIFS('Rev Adequacy'!$G$6:$G$4999,'Rev Adequacy'!$B$6:$B$4999,'Charges to party by investment'!AE$4,'Rev Adequacy'!$E$6:$E$4999,'Charges to party by investment'!$C75)</f>
        <v>0</v>
      </c>
      <c r="AF75" s="304">
        <f>SUMIFS('Rev Adequacy'!$G$6:$G$4999,'Rev Adequacy'!$B$6:$B$4999,'Charges to party by investment'!AF$4,'Rev Adequacy'!$E$6:$E$4999,'Charges to party by investment'!$C75)</f>
        <v>0</v>
      </c>
      <c r="AG75" s="304">
        <f>SUMIFS('Rev Adequacy'!$G$6:$G$4999,'Rev Adequacy'!$B$6:$B$4999,'Charges to party by investment'!AG$4,'Rev Adequacy'!$E$6:$E$4999,'Charges to party by investment'!$C75)</f>
        <v>0</v>
      </c>
      <c r="AH75" s="304">
        <f>SUMIFS('Rev Adequacy'!$G$6:$G$4999,'Rev Adequacy'!$B$6:$B$4999,'Charges to party by investment'!AH$4,'Rev Adequacy'!$E$6:$E$4999,'Charges to party by investment'!$C75)</f>
        <v>0</v>
      </c>
      <c r="AI75" s="300"/>
      <c r="AJ75" s="307">
        <f t="shared" ref="AJ75:AJ84" ca="1" si="28">SUM(F75:AH75)</f>
        <v>1.5848545282379527</v>
      </c>
      <c r="AK75" s="308">
        <f>SUMIFS('Rev Adequacy'!$BJ$27:$BJ$257,'Rev Adequacy'!$BM$27:$BM$257,'Charges to party by investment'!$D$72,'Rev Adequacy'!$BF$27:$BF$257,'Charges to party by investment'!C75)</f>
        <v>0.90915676878619744</v>
      </c>
      <c r="AL75" s="90"/>
      <c r="AM75" s="90"/>
      <c r="AN75" s="20"/>
      <c r="AO75" s="20"/>
      <c r="AP75" s="20"/>
      <c r="AQ75" s="20"/>
      <c r="AR75" s="20"/>
      <c r="AS75" s="20"/>
      <c r="AT75" s="20"/>
      <c r="AU75" s="20"/>
      <c r="AV75" s="20"/>
      <c r="AW75" s="20"/>
      <c r="AX75" s="20"/>
      <c r="AY75" s="297"/>
      <c r="AZ75" s="297"/>
      <c r="BB75" s="251">
        <f>SUMIFS('Rev Adequacy'!$G$6:$G$4999,'Rev Adequacy'!$B$6:$B$4999,'Charges to party by investment'!V$4,'Rev Adequacy'!$E$6:$E$4999,'Charges to party by investment'!$BJ75)/1000000</f>
        <v>0</v>
      </c>
      <c r="BC75" s="251">
        <f>SUMIFS('Rev Adequacy'!$G$6:$G$4999,'Rev Adequacy'!$B$6:$B$4999,'Charges to party by investment'!W$4,'Rev Adequacy'!$E$6:$E$4999,'Charges to party by investment'!$BJ75)/1000000</f>
        <v>2.7979592439999901</v>
      </c>
      <c r="BD75" s="251">
        <f>SUMIFS('Rev Adequacy'!$G$6:$G$4999,'Rev Adequacy'!$B$6:$B$4999,'Charges to party by investment'!X$4,'Rev Adequacy'!$E$6:$E$4999,'Charges to party by investment'!$BJ75)/1000000</f>
        <v>10.4739932049999</v>
      </c>
      <c r="BE75" s="251">
        <f>SUMIFS('Rev Adequacy'!$G$6:$G$4999,'Rev Adequacy'!$B$6:$B$4999,'Charges to party by investment'!Y$4,'Rev Adequacy'!$E$6:$E$4999,'Charges to party by investment'!$BJ75)/1000000</f>
        <v>0.10519606099999701</v>
      </c>
      <c r="BF75" s="251">
        <f>SUMIFS('Rev Adequacy'!$G$6:$G$4999,'Rev Adequacy'!$B$6:$B$4999,'Charges to party by investment'!Z$4,'Rev Adequacy'!$E$6:$E$4999,'Charges to party by investment'!$BJ75)/1000000</f>
        <v>1.0498119999999501E-3</v>
      </c>
      <c r="BG75" s="251">
        <f>SUMIFS('Rev Adequacy'!$G$6:$G$4999,'Rev Adequacy'!$B$6:$B$4999,'Charges to party by investment'!AA$4,'Rev Adequacy'!$E$6:$E$4999,'Charges to party by investment'!$BJ75)/1000000</f>
        <v>0</v>
      </c>
      <c r="BH75" s="190"/>
      <c r="BI75" s="250" t="str">
        <f>'Charges as $M per year'!A9</f>
        <v>Eastland Network</v>
      </c>
      <c r="BJ75" s="252" t="s">
        <v>7</v>
      </c>
      <c r="BK75" s="253">
        <f t="shared" si="23"/>
        <v>13.378198321999887</v>
      </c>
      <c r="BL75" s="260">
        <f t="shared" ca="1" si="27"/>
        <v>0.81153122579854353</v>
      </c>
      <c r="BM75" s="260">
        <f t="shared" ca="1" si="24"/>
        <v>6.0660726225295551E-2</v>
      </c>
      <c r="BN75" s="190">
        <f t="shared" ca="1" si="25"/>
        <v>2.6836172571561816</v>
      </c>
      <c r="BO75" s="190">
        <f>BK75*1000/'Charges as $ per MWh'!J9</f>
        <v>44.239781224991525</v>
      </c>
      <c r="BP75" s="97">
        <f ca="1">AU14-'Charges as $M per year'!C9</f>
        <v>-1.1530285088195642</v>
      </c>
      <c r="BQ75" s="190">
        <f t="shared" ca="1" si="26"/>
        <v>-8.6187129317963324E-2</v>
      </c>
      <c r="BR75">
        <v>302.40199999999999</v>
      </c>
    </row>
    <row r="76" spans="2:70" x14ac:dyDescent="0.25">
      <c r="C76" s="306" t="s">
        <v>14</v>
      </c>
      <c r="D76" s="401"/>
      <c r="E76" s="90"/>
      <c r="F76" s="402">
        <f ca="1">SUMIFS('Rev Adequacy'!AL$22:AL$652,'Rev Adequacy'!$AH$22:$AH$652,'Charges to party by investment'!$C76,'Rev Adequacy'!$AJ$22:$AJ$652,'Charges to party by investment'!$D$72)</f>
        <v>0</v>
      </c>
      <c r="G76" s="402">
        <f ca="1">SUMIFS('Rev Adequacy'!AM$22:AM$652,'Rev Adequacy'!$AH$22:$AH$652,'Charges to party by investment'!$C76,'Rev Adequacy'!$AJ$22:$AJ$652,'Charges to party by investment'!$D$72)</f>
        <v>0</v>
      </c>
      <c r="H76" s="402">
        <f ca="1">SUMIFS('Rev Adequacy'!AN$22:AN$652,'Rev Adequacy'!$AH$22:$AH$652,'Charges to party by investment'!$C76,'Rev Adequacy'!$AJ$22:$AJ$652,'Charges to party by investment'!$D$72)</f>
        <v>0</v>
      </c>
      <c r="I76" s="402">
        <f ca="1">SUMIFS('Rev Adequacy'!AO$22:AO$652,'Rev Adequacy'!$AH$22:$AH$652,'Charges to party by investment'!$C76,'Rev Adequacy'!$AJ$22:$AJ$652,'Charges to party by investment'!$D$72)</f>
        <v>0</v>
      </c>
      <c r="J76" s="402">
        <f>SUMIFS('Rev Adequacy'!AP$22:AP$652,'Rev Adequacy'!$AH$22:$AH$652,'Charges to party by investment'!$C76,'Rev Adequacy'!$AJ$22:$AJ$652,'Charges to party by investment'!$D$72)</f>
        <v>0</v>
      </c>
      <c r="K76" s="402">
        <f ca="1">SUMIFS('Rev Adequacy'!AQ$22:AQ$652,'Rev Adequacy'!$AH$22:$AH$652,'Charges to party by investment'!$C76,'Rev Adequacy'!$AJ$22:$AJ$652,'Charges to party by investment'!$D$72)</f>
        <v>0</v>
      </c>
      <c r="L76" s="402">
        <f ca="1">SUMIFS('Rev Adequacy'!AR$22:AR$652,'Rev Adequacy'!$AH$22:$AH$652,'Charges to party by investment'!$C76,'Rev Adequacy'!$AJ$22:$AJ$652,'Charges to party by investment'!$D$72)</f>
        <v>0</v>
      </c>
      <c r="M76" s="402">
        <f>SUMIFS('Rev Adequacy'!AS$22:AS$652,'Rev Adequacy'!$AH$22:$AH$652,'Charges to party by investment'!$C76,'Rev Adequacy'!$AJ$22:$AJ$652,'Charges to party by investment'!$D$72)</f>
        <v>0</v>
      </c>
      <c r="N76" s="402">
        <f ca="1">SUMIFS('Rev Adequacy'!AT$22:AT$652,'Rev Adequacy'!$AH$22:$AH$652,'Charges to party by investment'!$C76,'Rev Adequacy'!$AJ$22:$AJ$652,'Charges to party by investment'!$D$72)</f>
        <v>0</v>
      </c>
      <c r="O76" s="402">
        <f ca="1">SUMIFS('Rev Adequacy'!AU$22:AU$652,'Rev Adequacy'!$AH$22:$AH$652,'Charges to party by investment'!$C76,'Rev Adequacy'!$AJ$22:$AJ$652,'Charges to party by investment'!$D$72)</f>
        <v>0</v>
      </c>
      <c r="P76" s="402">
        <f ca="1">SUMIFS('Rev Adequacy'!AV$22:AV$652,'Rev Adequacy'!$AH$22:$AH$652,'Charges to party by investment'!$C76,'Rev Adequacy'!$AJ$22:$AJ$652,'Charges to party by investment'!$D$72)</f>
        <v>0</v>
      </c>
      <c r="Q76" s="402">
        <f>SUMIFS('Rev Adequacy'!AW$22:AW$652,'Rev Adequacy'!$AH$22:$AH$652,'Charges to party by investment'!$C76,'Rev Adequacy'!$AJ$22:$AJ$652,'Charges to party by investment'!$D$72)</f>
        <v>0</v>
      </c>
      <c r="R76" s="402">
        <f>SUMIFS('Rev Adequacy'!AX$22:AX$652,'Rev Adequacy'!$AH$22:$AH$652,'Charges to party by investment'!$C76,'Rev Adequacy'!$AJ$22:$AJ$652,'Charges to party by investment'!$D$72)</f>
        <v>0</v>
      </c>
      <c r="S76" s="90"/>
      <c r="T76" s="90"/>
      <c r="U76" s="90"/>
      <c r="V76" s="402">
        <f ca="1">SUMIFS('Rev Adequacy'!$G$6:$G$4999,'Rev Adequacy'!$B$6:$B$4999,'Charges to party by investment'!V$4,'Rev Adequacy'!$E$6:$E$4999,'Charges to party by investment'!$C76,'Rev Adequacy'!$H$6:$H$4999,'Charges to party by investment'!$D$72)*V$5/V$6</f>
        <v>5.2289369723193871E-4</v>
      </c>
      <c r="W76" s="402">
        <f ca="1">SUMIFS('Rev Adequacy'!$G$6:$G$4999,'Rev Adequacy'!$B$6:$B$4999,'Charges to party by investment'!W$4,'Rev Adequacy'!$E$6:$E$4999,'Charges to party by investment'!$C76,'Rev Adequacy'!$H$6:$H$4999,'Charges to party by investment'!$D$72)*W$5/W$6</f>
        <v>2.6646138024710359E-3</v>
      </c>
      <c r="X76" s="402">
        <f ca="1">SUMIFS('Rev Adequacy'!$G$6:$G$4999,'Rev Adequacy'!$B$6:$B$4999,'Charges to party by investment'!X$4,'Rev Adequacy'!$E$6:$E$4999,'Charges to party by investment'!$C76,'Rev Adequacy'!$H$6:$H$4999,'Charges to party by investment'!$D$72)*X$5/X$6</f>
        <v>2.8368176999904408E-3</v>
      </c>
      <c r="Y76" s="402">
        <f ca="1">SUMIFS('Rev Adequacy'!$G$6:$G$4999,'Rev Adequacy'!$B$6:$B$4999,'Charges to party by investment'!Y$4,'Rev Adequacy'!$E$6:$E$4999,'Charges to party by investment'!$C76,'Rev Adequacy'!$H$6:$H$4999,'Charges to party by investment'!$D$72)*Y$5/Y$6</f>
        <v>5.2784199999999896E-4</v>
      </c>
      <c r="Z76" s="402">
        <f ca="1">SUMIFS('Rev Adequacy'!$G$6:$G$4999,'Rev Adequacy'!$B$6:$B$4999,'Charges to party by investment'!Z$4,'Rev Adequacy'!$E$6:$E$4999,'Charges to party by investment'!$C76,'Rev Adequacy'!$H$6:$H$4999,'Charges to party by investment'!$D$72)*Z$5/Z$6</f>
        <v>1.6778281329027261E-3</v>
      </c>
      <c r="AA76" s="402">
        <f ca="1">SUMIFS('Rev Adequacy'!$G$6:$G$4999,'Rev Adequacy'!$B$6:$B$4999,'Charges to party by investment'!AA$4,'Rev Adequacy'!$E$6:$E$4999,'Charges to party by investment'!$C76,'Rev Adequacy'!$H$6:$H$4999,'Charges to party by investment'!$D$72)*AA$5/AA$6</f>
        <v>2.4935553140282559E-4</v>
      </c>
      <c r="AB76" s="402">
        <f>SUMIFS('Rev Adequacy'!$G$6:$G$4999,'Rev Adequacy'!$B$6:$B$4999,'Charges to party by investment'!AB$4,'Rev Adequacy'!$E$6:$E$4999,'Charges to party by investment'!$C76)</f>
        <v>0</v>
      </c>
      <c r="AC76" s="402">
        <f>SUMIFS('Rev Adequacy'!$G$6:$G$4999,'Rev Adequacy'!$B$6:$B$4999,'Charges to party by investment'!AC$4,'Rev Adequacy'!$E$6:$E$4999,'Charges to party by investment'!$C76)</f>
        <v>0</v>
      </c>
      <c r="AD76" s="304">
        <f>SUMIFS('Rev Adequacy'!$G$6:$G$4999,'Rev Adequacy'!$B$6:$B$4999,'Charges to party by investment'!AD$4,'Rev Adequacy'!$E$6:$E$4999,'Charges to party by investment'!$C76)</f>
        <v>0</v>
      </c>
      <c r="AE76" s="304">
        <f>SUMIFS('Rev Adequacy'!$G$6:$G$4999,'Rev Adequacy'!$B$6:$B$4999,'Charges to party by investment'!AE$4,'Rev Adequacy'!$E$6:$E$4999,'Charges to party by investment'!$C76)</f>
        <v>0</v>
      </c>
      <c r="AF76" s="304">
        <f>SUMIFS('Rev Adequacy'!$G$6:$G$4999,'Rev Adequacy'!$B$6:$B$4999,'Charges to party by investment'!AF$4,'Rev Adequacy'!$E$6:$E$4999,'Charges to party by investment'!$C76)</f>
        <v>0</v>
      </c>
      <c r="AG76" s="304">
        <f>SUMIFS('Rev Adequacy'!$G$6:$G$4999,'Rev Adequacy'!$B$6:$B$4999,'Charges to party by investment'!AG$4,'Rev Adequacy'!$E$6:$E$4999,'Charges to party by investment'!$C76)</f>
        <v>0</v>
      </c>
      <c r="AH76" s="304">
        <f>SUMIFS('Rev Adequacy'!$G$6:$G$4999,'Rev Adequacy'!$B$6:$B$4999,'Charges to party by investment'!AH$4,'Rev Adequacy'!$E$6:$E$4999,'Charges to party by investment'!$C76)</f>
        <v>0</v>
      </c>
      <c r="AI76" s="300"/>
      <c r="AJ76" s="307">
        <f t="shared" ca="1" si="28"/>
        <v>8.4793508639989662E-3</v>
      </c>
      <c r="AK76" s="308">
        <f>SUMIFS('Rev Adequacy'!$BJ$27:$BJ$257,'Rev Adequacy'!$BM$27:$BM$257,'Charges to party by investment'!$D$72,'Rev Adequacy'!$BF$27:$BF$257,'Charges to party by investment'!C76)</f>
        <v>0.410757759102928</v>
      </c>
      <c r="AL76" s="90"/>
      <c r="AM76" s="90"/>
      <c r="AN76" s="20"/>
      <c r="AO76" s="20"/>
      <c r="AP76" s="20"/>
      <c r="AQ76" s="20"/>
      <c r="AR76" s="20"/>
      <c r="AS76" s="20"/>
      <c r="AT76" s="20"/>
      <c r="AU76" s="20"/>
      <c r="AV76" s="20"/>
      <c r="AW76" s="20"/>
      <c r="AX76" s="20"/>
      <c r="AY76" s="297"/>
      <c r="AZ76" s="297"/>
      <c r="BB76" s="251">
        <f>SUMIFS('Rev Adequacy'!$G$6:$G$4999,'Rev Adequacy'!$B$6:$B$4999,'Charges to party by investment'!V$4,'Rev Adequacy'!$E$6:$E$4999,'Charges to party by investment'!$BJ76)/1000000</f>
        <v>2.1971503000000298E-2</v>
      </c>
      <c r="BC76" s="251">
        <f>SUMIFS('Rev Adequacy'!$G$6:$G$4999,'Rev Adequacy'!$B$6:$B$4999,'Charges to party by investment'!W$4,'Rev Adequacy'!$E$6:$E$4999,'Charges to party by investment'!$BJ76)/1000000</f>
        <v>1.880270455</v>
      </c>
      <c r="BD76" s="251">
        <f>SUMIFS('Rev Adequacy'!$G$6:$G$4999,'Rev Adequacy'!$B$6:$B$4999,'Charges to party by investment'!X$4,'Rev Adequacy'!$E$6:$E$4999,'Charges to party by investment'!$BJ76)/1000000</f>
        <v>35.000821119999941</v>
      </c>
      <c r="BE76" s="251">
        <f>SUMIFS('Rev Adequacy'!$G$6:$G$4999,'Rev Adequacy'!$B$6:$B$4999,'Charges to party by investment'!Y$4,'Rev Adequacy'!$E$6:$E$4999,'Charges to party by investment'!$BJ76)/1000000</f>
        <v>0.1632088930000001</v>
      </c>
      <c r="BF76" s="251">
        <f>SUMIFS('Rev Adequacy'!$G$6:$G$4999,'Rev Adequacy'!$B$6:$B$4999,'Charges to party by investment'!Z$4,'Rev Adequacy'!$E$6:$E$4999,'Charges to party by investment'!$BJ76)/1000000</f>
        <v>0</v>
      </c>
      <c r="BG76" s="251">
        <f>SUMIFS('Rev Adequacy'!$G$6:$G$4999,'Rev Adequacy'!$B$6:$B$4999,'Charges to party by investment'!AA$4,'Rev Adequacy'!$E$6:$E$4999,'Charges to party by investment'!$BJ76)/1000000</f>
        <v>0.39968856199999997</v>
      </c>
      <c r="BH76" s="190"/>
      <c r="BI76" s="250" t="str">
        <f>'Charges as $M per year'!A10</f>
        <v>Electra</v>
      </c>
      <c r="BJ76" s="252" t="s">
        <v>8</v>
      </c>
      <c r="BK76" s="253">
        <f t="shared" si="23"/>
        <v>37.465960532999937</v>
      </c>
      <c r="BL76" s="260">
        <f t="shared" ca="1" si="27"/>
        <v>1.7098057321251541</v>
      </c>
      <c r="BM76" s="260">
        <f t="shared" ca="1" si="24"/>
        <v>4.563624441495797E-2</v>
      </c>
      <c r="BN76" s="190">
        <f t="shared" ca="1" si="25"/>
        <v>3.9465464536485562</v>
      </c>
      <c r="BO76" s="190">
        <f>BK76*1000/'Charges as $ per MWh'!J10</f>
        <v>86.478335459940169</v>
      </c>
      <c r="BP76" s="97">
        <f ca="1">AU15-'Charges as $M per year'!C10</f>
        <v>0.96087907853253984</v>
      </c>
      <c r="BQ76" s="190">
        <f t="shared" ca="1" si="26"/>
        <v>2.5646722114229518E-2</v>
      </c>
      <c r="BR76">
        <v>433.24099999999999</v>
      </c>
    </row>
    <row r="77" spans="2:70" x14ac:dyDescent="0.25">
      <c r="C77" s="306" t="s">
        <v>16</v>
      </c>
      <c r="D77" s="401"/>
      <c r="E77" s="90"/>
      <c r="F77" s="402">
        <f>SUMIFS('Rev Adequacy'!AL$22:AL$652,'Rev Adequacy'!$AH$22:$AH$652,'Charges to party by investment'!$C77,'Rev Adequacy'!$AJ$22:$AJ$652,'Charges to party by investment'!$D$72)</f>
        <v>0</v>
      </c>
      <c r="G77" s="402">
        <f ca="1">SUMIFS('Rev Adequacy'!AM$22:AM$652,'Rev Adequacy'!$AH$22:$AH$652,'Charges to party by investment'!$C77,'Rev Adequacy'!$AJ$22:$AJ$652,'Charges to party by investment'!$D$72)</f>
        <v>0</v>
      </c>
      <c r="H77" s="402">
        <f ca="1">SUMIFS('Rev Adequacy'!AN$22:AN$652,'Rev Adequacy'!$AH$22:$AH$652,'Charges to party by investment'!$C77,'Rev Adequacy'!$AJ$22:$AJ$652,'Charges to party by investment'!$D$72)</f>
        <v>0</v>
      </c>
      <c r="I77" s="402">
        <f>SUMIFS('Rev Adequacy'!AO$22:AO$652,'Rev Adequacy'!$AH$22:$AH$652,'Charges to party by investment'!$C77,'Rev Adequacy'!$AJ$22:$AJ$652,'Charges to party by investment'!$D$72)</f>
        <v>0</v>
      </c>
      <c r="J77" s="402">
        <f>SUMIFS('Rev Adequacy'!AP$22:AP$652,'Rev Adequacy'!$AH$22:$AH$652,'Charges to party by investment'!$C77,'Rev Adequacy'!$AJ$22:$AJ$652,'Charges to party by investment'!$D$72)</f>
        <v>0</v>
      </c>
      <c r="K77" s="402">
        <f ca="1">SUMIFS('Rev Adequacy'!AQ$22:AQ$652,'Rev Adequacy'!$AH$22:$AH$652,'Charges to party by investment'!$C77,'Rev Adequacy'!$AJ$22:$AJ$652,'Charges to party by investment'!$D$72)</f>
        <v>0</v>
      </c>
      <c r="L77" s="402">
        <f>SUMIFS('Rev Adequacy'!AR$22:AR$652,'Rev Adequacy'!$AH$22:$AH$652,'Charges to party by investment'!$C77,'Rev Adequacy'!$AJ$22:$AJ$652,'Charges to party by investment'!$D$72)</f>
        <v>0</v>
      </c>
      <c r="M77" s="402">
        <f ca="1">SUMIFS('Rev Adequacy'!AS$22:AS$652,'Rev Adequacy'!$AH$22:$AH$652,'Charges to party by investment'!$C77,'Rev Adequacy'!$AJ$22:$AJ$652,'Charges to party by investment'!$D$72)</f>
        <v>0.11577002737160245</v>
      </c>
      <c r="N77" s="402">
        <f>SUMIFS('Rev Adequacy'!AT$22:AT$652,'Rev Adequacy'!$AH$22:$AH$652,'Charges to party by investment'!$C77,'Rev Adequacy'!$AJ$22:$AJ$652,'Charges to party by investment'!$D$72)</f>
        <v>0</v>
      </c>
      <c r="O77" s="402">
        <f>SUMIFS('Rev Adequacy'!AU$22:AU$652,'Rev Adequacy'!$AH$22:$AH$652,'Charges to party by investment'!$C77,'Rev Adequacy'!$AJ$22:$AJ$652,'Charges to party by investment'!$D$72)</f>
        <v>0</v>
      </c>
      <c r="P77" s="402">
        <f>SUMIFS('Rev Adequacy'!AV$22:AV$652,'Rev Adequacy'!$AH$22:$AH$652,'Charges to party by investment'!$C77,'Rev Adequacy'!$AJ$22:$AJ$652,'Charges to party by investment'!$D$72)</f>
        <v>0</v>
      </c>
      <c r="Q77" s="402">
        <f>SUMIFS('Rev Adequacy'!AW$22:AW$652,'Rev Adequacy'!$AH$22:$AH$652,'Charges to party by investment'!$C77,'Rev Adequacy'!$AJ$22:$AJ$652,'Charges to party by investment'!$D$72)</f>
        <v>0</v>
      </c>
      <c r="R77" s="402">
        <f>SUMIFS('Rev Adequacy'!AX$22:AX$652,'Rev Adequacy'!$AH$22:$AH$652,'Charges to party by investment'!$C77,'Rev Adequacy'!$AJ$22:$AJ$652,'Charges to party by investment'!$D$72)</f>
        <v>0</v>
      </c>
      <c r="S77" s="90"/>
      <c r="T77" s="90"/>
      <c r="U77" s="90"/>
      <c r="V77" s="402">
        <f ca="1">SUMIFS('Rev Adequacy'!$G$6:$G$4999,'Rev Adequacy'!$B$6:$B$4999,'Charges to party by investment'!V$4,'Rev Adequacy'!$E$6:$E$4999,'Charges to party by investment'!$C77,'Rev Adequacy'!$H$6:$H$4999,'Charges to party by investment'!$D$72)*V$5/V$6</f>
        <v>6.9915759874724287E-2</v>
      </c>
      <c r="W77" s="402">
        <f ca="1">SUMIFS('Rev Adequacy'!$G$6:$G$4999,'Rev Adequacy'!$B$6:$B$4999,'Charges to party by investment'!W$4,'Rev Adequacy'!$E$6:$E$4999,'Charges to party by investment'!$C77,'Rev Adequacy'!$H$6:$H$4999,'Charges to party by investment'!$D$72)*W$5/W$6</f>
        <v>0</v>
      </c>
      <c r="X77" s="402">
        <f ca="1">SUMIFS('Rev Adequacy'!$G$6:$G$4999,'Rev Adequacy'!$B$6:$B$4999,'Charges to party by investment'!X$4,'Rev Adequacy'!$E$6:$E$4999,'Charges to party by investment'!$C77,'Rev Adequacy'!$H$6:$H$4999,'Charges to party by investment'!$D$72)*X$5/X$6</f>
        <v>0</v>
      </c>
      <c r="Y77" s="402">
        <f ca="1">SUMIFS('Rev Adequacy'!$G$6:$G$4999,'Rev Adequacy'!$B$6:$B$4999,'Charges to party by investment'!Y$4,'Rev Adequacy'!$E$6:$E$4999,'Charges to party by investment'!$C77,'Rev Adequacy'!$H$6:$H$4999,'Charges to party by investment'!$D$72)*Y$5/Y$6</f>
        <v>0</v>
      </c>
      <c r="Z77" s="402">
        <f ca="1">SUMIFS('Rev Adequacy'!$G$6:$G$4999,'Rev Adequacy'!$B$6:$B$4999,'Charges to party by investment'!Z$4,'Rev Adequacy'!$E$6:$E$4999,'Charges to party by investment'!$C77,'Rev Adequacy'!$H$6:$H$4999,'Charges to party by investment'!$D$72)*Z$5/Z$6</f>
        <v>0</v>
      </c>
      <c r="AA77" s="402">
        <f ca="1">SUMIFS('Rev Adequacy'!$G$6:$G$4999,'Rev Adequacy'!$B$6:$B$4999,'Charges to party by investment'!AA$4,'Rev Adequacy'!$E$6:$E$4999,'Charges to party by investment'!$C77,'Rev Adequacy'!$H$6:$H$4999,'Charges to party by investment'!$D$72)*AA$5/AA$6</f>
        <v>0</v>
      </c>
      <c r="AB77" s="402">
        <f>SUMIFS('Rev Adequacy'!$G$6:$G$4999,'Rev Adequacy'!$B$6:$B$4999,'Charges to party by investment'!AB$4,'Rev Adequacy'!$E$6:$E$4999,'Charges to party by investment'!$C77)</f>
        <v>0</v>
      </c>
      <c r="AC77" s="402">
        <f>SUMIFS('Rev Adequacy'!$G$6:$G$4999,'Rev Adequacy'!$B$6:$B$4999,'Charges to party by investment'!AC$4,'Rev Adequacy'!$E$6:$E$4999,'Charges to party by investment'!$C77)</f>
        <v>0</v>
      </c>
      <c r="AD77" s="304">
        <f>SUMIFS('Rev Adequacy'!$G$6:$G$4999,'Rev Adequacy'!$B$6:$B$4999,'Charges to party by investment'!AD$4,'Rev Adequacy'!$E$6:$E$4999,'Charges to party by investment'!$C77)</f>
        <v>0</v>
      </c>
      <c r="AE77" s="304">
        <f>SUMIFS('Rev Adequacy'!$G$6:$G$4999,'Rev Adequacy'!$B$6:$B$4999,'Charges to party by investment'!AE$4,'Rev Adequacy'!$E$6:$E$4999,'Charges to party by investment'!$C77)</f>
        <v>0</v>
      </c>
      <c r="AF77" s="304">
        <f>SUMIFS('Rev Adequacy'!$G$6:$G$4999,'Rev Adequacy'!$B$6:$B$4999,'Charges to party by investment'!AF$4,'Rev Adequacy'!$E$6:$E$4999,'Charges to party by investment'!$C77)</f>
        <v>0</v>
      </c>
      <c r="AG77" s="304">
        <f>SUMIFS('Rev Adequacy'!$G$6:$G$4999,'Rev Adequacy'!$B$6:$B$4999,'Charges to party by investment'!AG$4,'Rev Adequacy'!$E$6:$E$4999,'Charges to party by investment'!$C77)</f>
        <v>0</v>
      </c>
      <c r="AH77" s="304">
        <f>SUMIFS('Rev Adequacy'!$G$6:$G$4999,'Rev Adequacy'!$B$6:$B$4999,'Charges to party by investment'!AH$4,'Rev Adequacy'!$E$6:$E$4999,'Charges to party by investment'!$C77)</f>
        <v>0</v>
      </c>
      <c r="AI77" s="300"/>
      <c r="AJ77" s="307">
        <f t="shared" ca="1" si="28"/>
        <v>0.18568578724632673</v>
      </c>
      <c r="AK77" s="308">
        <f>SUMIFS('Rev Adequacy'!$BJ$27:$BJ$257,'Rev Adequacy'!$BM$27:$BM$257,'Charges to party by investment'!$D$72,'Rev Adequacy'!$BF$27:$BF$257,'Charges to party by investment'!C77)</f>
        <v>0</v>
      </c>
      <c r="AL77" s="90"/>
      <c r="AM77" s="90"/>
      <c r="AN77" s="20"/>
      <c r="AO77" s="20"/>
      <c r="AP77" s="20"/>
      <c r="AQ77" s="20"/>
      <c r="AR77" s="20"/>
      <c r="AS77" s="20"/>
      <c r="AT77" s="20"/>
      <c r="AU77" s="20"/>
      <c r="AV77" s="20"/>
      <c r="AW77" s="20"/>
      <c r="AX77" s="20"/>
      <c r="AY77" s="297"/>
      <c r="AZ77" s="297"/>
      <c r="BB77" s="251">
        <f>SUMIFS('Rev Adequacy'!$G$6:$G$4999,'Rev Adequacy'!$B$6:$B$4999,'Charges to party by investment'!V$4,'Rev Adequacy'!$E$6:$E$4999,'Charges to party by investment'!$BJ77)/1000000</f>
        <v>0.4842130669999975</v>
      </c>
      <c r="BC77" s="251">
        <f>SUMIFS('Rev Adequacy'!$G$6:$G$4999,'Rev Adequacy'!$B$6:$B$4999,'Charges to party by investment'!W$4,'Rev Adequacy'!$E$6:$E$4999,'Charges to party by investment'!$BJ77)/1000000</f>
        <v>0</v>
      </c>
      <c r="BD77" s="251">
        <f>SUMIFS('Rev Adequacy'!$G$6:$G$4999,'Rev Adequacy'!$B$6:$B$4999,'Charges to party by investment'!X$4,'Rev Adequacy'!$E$6:$E$4999,'Charges to party by investment'!$BJ77)/1000000</f>
        <v>0</v>
      </c>
      <c r="BE77" s="251">
        <f>SUMIFS('Rev Adequacy'!$G$6:$G$4999,'Rev Adequacy'!$B$6:$B$4999,'Charges to party by investment'!Y$4,'Rev Adequacy'!$E$6:$E$4999,'Charges to party by investment'!$BJ77)/1000000</f>
        <v>0.15743624999999839</v>
      </c>
      <c r="BF77" s="251">
        <f>SUMIFS('Rev Adequacy'!$G$6:$G$4999,'Rev Adequacy'!$B$6:$B$4999,'Charges to party by investment'!Z$4,'Rev Adequacy'!$E$6:$E$4999,'Charges to party by investment'!$BJ77)/1000000</f>
        <v>2.9242175000000599E-2</v>
      </c>
      <c r="BG77" s="251">
        <f>SUMIFS('Rev Adequacy'!$G$6:$G$4999,'Rev Adequacy'!$B$6:$B$4999,'Charges to party by investment'!AA$4,'Rev Adequacy'!$E$6:$E$4999,'Charges to party by investment'!$BJ77)/1000000</f>
        <v>0.52949170800000001</v>
      </c>
      <c r="BH77" s="190"/>
      <c r="BI77" s="250" t="str">
        <f>'Charges as $M per year'!A11</f>
        <v>Electricity Ashburton</v>
      </c>
      <c r="BJ77" s="252" t="s">
        <v>9</v>
      </c>
      <c r="BK77" s="253">
        <f t="shared" si="23"/>
        <v>1.2003831999999965</v>
      </c>
      <c r="BL77" s="260">
        <f t="shared" ca="1" si="27"/>
        <v>0.46935118826985156</v>
      </c>
      <c r="BM77" s="260">
        <f t="shared" ca="1" si="24"/>
        <v>0.39100113053052798</v>
      </c>
      <c r="BN77" s="190">
        <f t="shared" ca="1" si="25"/>
        <v>0.74837324823120088</v>
      </c>
      <c r="BO77" s="190">
        <f>BK77*1000/'Charges as $ per MWh'!J11</f>
        <v>1.9139925432332492</v>
      </c>
      <c r="BP77" s="97">
        <f ca="1">AU16-'Charges as $M per year'!C11</f>
        <v>8.4105633671876436</v>
      </c>
      <c r="BQ77" s="190">
        <f t="shared" ca="1" si="26"/>
        <v>7.0065653761129507</v>
      </c>
      <c r="BR77">
        <v>627.16189999999995</v>
      </c>
    </row>
    <row r="78" spans="2:70" x14ac:dyDescent="0.25">
      <c r="C78" s="306" t="s">
        <v>17</v>
      </c>
      <c r="D78" s="401"/>
      <c r="E78" s="90"/>
      <c r="F78" s="402">
        <f ca="1">SUMIFS('Rev Adequacy'!AL$22:AL$652,'Rev Adequacy'!$AH$22:$AH$652,'Charges to party by investment'!$C78,'Rev Adequacy'!$AJ$22:$AJ$652,'Charges to party by investment'!$D$72)</f>
        <v>0</v>
      </c>
      <c r="G78" s="402">
        <f ca="1">SUMIFS('Rev Adequacy'!AM$22:AM$652,'Rev Adequacy'!$AH$22:$AH$652,'Charges to party by investment'!$C78,'Rev Adequacy'!$AJ$22:$AJ$652,'Charges to party by investment'!$D$72)</f>
        <v>0</v>
      </c>
      <c r="H78" s="402">
        <f ca="1">SUMIFS('Rev Adequacy'!AN$22:AN$652,'Rev Adequacy'!$AH$22:$AH$652,'Charges to party by investment'!$C78,'Rev Adequacy'!$AJ$22:$AJ$652,'Charges to party by investment'!$D$72)</f>
        <v>0</v>
      </c>
      <c r="I78" s="402">
        <f ca="1">SUMIFS('Rev Adequacy'!AO$22:AO$652,'Rev Adequacy'!$AH$22:$AH$652,'Charges to party by investment'!$C78,'Rev Adequacy'!$AJ$22:$AJ$652,'Charges to party by investment'!$D$72)</f>
        <v>0</v>
      </c>
      <c r="J78" s="402">
        <f>SUMIFS('Rev Adequacy'!AP$22:AP$652,'Rev Adequacy'!$AH$22:$AH$652,'Charges to party by investment'!$C78,'Rev Adequacy'!$AJ$22:$AJ$652,'Charges to party by investment'!$D$72)</f>
        <v>0</v>
      </c>
      <c r="K78" s="402">
        <f ca="1">SUMIFS('Rev Adequacy'!AQ$22:AQ$652,'Rev Adequacy'!$AH$22:$AH$652,'Charges to party by investment'!$C78,'Rev Adequacy'!$AJ$22:$AJ$652,'Charges to party by investment'!$D$72)</f>
        <v>0</v>
      </c>
      <c r="L78" s="402">
        <f ca="1">SUMIFS('Rev Adequacy'!AR$22:AR$652,'Rev Adequacy'!$AH$22:$AH$652,'Charges to party by investment'!$C78,'Rev Adequacy'!$AJ$22:$AJ$652,'Charges to party by investment'!$D$72)</f>
        <v>1.6355975709871136E-2</v>
      </c>
      <c r="M78" s="402">
        <f ca="1">SUMIFS('Rev Adequacy'!AS$22:AS$652,'Rev Adequacy'!$AH$22:$AH$652,'Charges to party by investment'!$C78,'Rev Adequacy'!$AJ$22:$AJ$652,'Charges to party by investment'!$D$72)</f>
        <v>0.6754242400650543</v>
      </c>
      <c r="N78" s="402">
        <f ca="1">SUMIFS('Rev Adequacy'!AT$22:AT$652,'Rev Adequacy'!$AH$22:$AH$652,'Charges to party by investment'!$C78,'Rev Adequacy'!$AJ$22:$AJ$652,'Charges to party by investment'!$D$72)</f>
        <v>0</v>
      </c>
      <c r="O78" s="402">
        <f ca="1">SUMIFS('Rev Adequacy'!AU$22:AU$652,'Rev Adequacy'!$AH$22:$AH$652,'Charges to party by investment'!$C78,'Rev Adequacy'!$AJ$22:$AJ$652,'Charges to party by investment'!$D$72)</f>
        <v>7.5434113713553578E-3</v>
      </c>
      <c r="P78" s="402">
        <f ca="1">SUMIFS('Rev Adequacy'!AV$22:AV$652,'Rev Adequacy'!$AH$22:$AH$652,'Charges to party by investment'!$C78,'Rev Adequacy'!$AJ$22:$AJ$652,'Charges to party by investment'!$D$72)</f>
        <v>0</v>
      </c>
      <c r="Q78" s="402">
        <f>SUMIFS('Rev Adequacy'!AW$22:AW$652,'Rev Adequacy'!$AH$22:$AH$652,'Charges to party by investment'!$C78,'Rev Adequacy'!$AJ$22:$AJ$652,'Charges to party by investment'!$D$72)</f>
        <v>0</v>
      </c>
      <c r="R78" s="402">
        <f>SUMIFS('Rev Adequacy'!AX$22:AX$652,'Rev Adequacy'!$AH$22:$AH$652,'Charges to party by investment'!$C78,'Rev Adequacy'!$AJ$22:$AJ$652,'Charges to party by investment'!$D$72)</f>
        <v>0</v>
      </c>
      <c r="S78" s="90"/>
      <c r="T78" s="90"/>
      <c r="U78" s="90"/>
      <c r="V78" s="402">
        <f ca="1">SUMIFS('Rev Adequacy'!$G$6:$G$4999,'Rev Adequacy'!$B$6:$B$4999,'Charges to party by investment'!V$4,'Rev Adequacy'!$E$6:$E$4999,'Charges to party by investment'!$C78,'Rev Adequacy'!$H$6:$H$4999,'Charges to party by investment'!$D$72)*V$5/V$6</f>
        <v>1.1777396471848909</v>
      </c>
      <c r="W78" s="402">
        <f ca="1">SUMIFS('Rev Adequacy'!$G$6:$G$4999,'Rev Adequacy'!$B$6:$B$4999,'Charges to party by investment'!W$4,'Rev Adequacy'!$E$6:$E$4999,'Charges to party by investment'!$C78,'Rev Adequacy'!$H$6:$H$4999,'Charges to party by investment'!$D$72)*W$5/W$6</f>
        <v>3.0404855838255494E-3</v>
      </c>
      <c r="X78" s="402">
        <f ca="1">SUMIFS('Rev Adequacy'!$G$6:$G$4999,'Rev Adequacy'!$B$6:$B$4999,'Charges to party by investment'!X$4,'Rev Adequacy'!$E$6:$E$4999,'Charges to party by investment'!$C78,'Rev Adequacy'!$H$6:$H$4999,'Charges to party by investment'!$D$72)*X$5/X$6</f>
        <v>4.6126128824470671E-3</v>
      </c>
      <c r="Y78" s="402">
        <f ca="1">SUMIFS('Rev Adequacy'!$G$6:$G$4999,'Rev Adequacy'!$B$6:$B$4999,'Charges to party by investment'!Y$4,'Rev Adequacy'!$E$6:$E$4999,'Charges to party by investment'!$C78,'Rev Adequacy'!$H$6:$H$4999,'Charges to party by investment'!$D$72)*Y$5/Y$6</f>
        <v>1.6140540000000199E-3</v>
      </c>
      <c r="Z78" s="402">
        <f ca="1">SUMIFS('Rev Adequacy'!$G$6:$G$4999,'Rev Adequacy'!$B$6:$B$4999,'Charges to party by investment'!Z$4,'Rev Adequacy'!$E$6:$E$4999,'Charges to party by investment'!$C78,'Rev Adequacy'!$H$6:$H$4999,'Charges to party by investment'!$D$72)*Z$5/Z$6</f>
        <v>3.4416897400808943E-2</v>
      </c>
      <c r="AA78" s="402">
        <f ca="1">SUMIFS('Rev Adequacy'!$G$6:$G$4999,'Rev Adequacy'!$B$6:$B$4999,'Charges to party by investment'!AA$4,'Rev Adequacy'!$E$6:$E$4999,'Charges to party by investment'!$C78,'Rev Adequacy'!$H$6:$H$4999,'Charges to party by investment'!$D$72)*AA$5/AA$6</f>
        <v>0.22174022714621111</v>
      </c>
      <c r="AB78" s="402">
        <f>SUMIFS('Rev Adequacy'!$G$6:$G$4999,'Rev Adequacy'!$B$6:$B$4999,'Charges to party by investment'!AB$4,'Rev Adequacy'!$E$6:$E$4999,'Charges to party by investment'!$C78)</f>
        <v>0</v>
      </c>
      <c r="AC78" s="402">
        <f>SUMIFS('Rev Adequacy'!$G$6:$G$4999,'Rev Adequacy'!$B$6:$B$4999,'Charges to party by investment'!AC$4,'Rev Adequacy'!$E$6:$E$4999,'Charges to party by investment'!$C78)</f>
        <v>0</v>
      </c>
      <c r="AD78" s="304">
        <f>SUMIFS('Rev Adequacy'!$G$6:$G$4999,'Rev Adequacy'!$B$6:$B$4999,'Charges to party by investment'!AD$4,'Rev Adequacy'!$E$6:$E$4999,'Charges to party by investment'!$C78)</f>
        <v>0</v>
      </c>
      <c r="AE78" s="304">
        <f>SUMIFS('Rev Adequacy'!$G$6:$G$4999,'Rev Adequacy'!$B$6:$B$4999,'Charges to party by investment'!AE$4,'Rev Adequacy'!$E$6:$E$4999,'Charges to party by investment'!$C78)</f>
        <v>0</v>
      </c>
      <c r="AF78" s="304">
        <f>SUMIFS('Rev Adequacy'!$G$6:$G$4999,'Rev Adequacy'!$B$6:$B$4999,'Charges to party by investment'!AF$4,'Rev Adequacy'!$E$6:$E$4999,'Charges to party by investment'!$C78)</f>
        <v>0</v>
      </c>
      <c r="AG78" s="304">
        <f>SUMIFS('Rev Adequacy'!$G$6:$G$4999,'Rev Adequacy'!$B$6:$B$4999,'Charges to party by investment'!AG$4,'Rev Adequacy'!$E$6:$E$4999,'Charges to party by investment'!$C78)</f>
        <v>0</v>
      </c>
      <c r="AH78" s="304">
        <f>SUMIFS('Rev Adequacy'!$G$6:$G$4999,'Rev Adequacy'!$B$6:$B$4999,'Charges to party by investment'!AH$4,'Rev Adequacy'!$E$6:$E$4999,'Charges to party by investment'!$C78)</f>
        <v>0</v>
      </c>
      <c r="AI78" s="300"/>
      <c r="AJ78" s="307">
        <f t="shared" ca="1" si="28"/>
        <v>2.1424875513444643</v>
      </c>
      <c r="AK78" s="308">
        <f>SUMIFS('Rev Adequacy'!$BJ$27:$BJ$257,'Rev Adequacy'!$BM$27:$BM$257,'Charges to party by investment'!$D$72,'Rev Adequacy'!$BF$27:$BF$257,'Charges to party by investment'!C78)</f>
        <v>1.8924543061484456</v>
      </c>
      <c r="AL78" s="90"/>
      <c r="AM78" s="90"/>
      <c r="AN78" s="20"/>
      <c r="AO78" s="20"/>
      <c r="AP78" s="20"/>
      <c r="AQ78" s="20"/>
      <c r="AR78" s="20"/>
      <c r="AS78" s="20"/>
      <c r="AT78" s="20"/>
      <c r="AU78" s="20"/>
      <c r="AV78" s="20"/>
      <c r="AW78" s="20"/>
      <c r="AX78" s="20"/>
      <c r="AY78" s="297"/>
      <c r="AZ78" s="297"/>
      <c r="BB78" s="251">
        <f>SUMIFS('Rev Adequacy'!$G$6:$G$4999,'Rev Adequacy'!$B$6:$B$4999,'Charges to party by investment'!V$4,'Rev Adequacy'!$E$6:$E$4999,'Charges to party by investment'!$BJ78)/1000000</f>
        <v>2.9895879887864203E-2</v>
      </c>
      <c r="BC78" s="251">
        <f>SUMIFS('Rev Adequacy'!$G$6:$G$4999,'Rev Adequacy'!$B$6:$B$4999,'Charges to party by investment'!W$4,'Rev Adequacy'!$E$6:$E$4999,'Charges to party by investment'!$BJ78)/1000000</f>
        <v>0</v>
      </c>
      <c r="BD78" s="251">
        <f>SUMIFS('Rev Adequacy'!$G$6:$G$4999,'Rev Adequacy'!$B$6:$B$4999,'Charges to party by investment'!X$4,'Rev Adequacy'!$E$6:$E$4999,'Charges to party by investment'!$BJ78)/1000000</f>
        <v>0</v>
      </c>
      <c r="BE78" s="251">
        <f>SUMIFS('Rev Adequacy'!$G$6:$G$4999,'Rev Adequacy'!$B$6:$B$4999,'Charges to party by investment'!Y$4,'Rev Adequacy'!$E$6:$E$4999,'Charges to party by investment'!$BJ78)/1000000</f>
        <v>8.2771778127167295E-2</v>
      </c>
      <c r="BF78" s="251">
        <f>SUMIFS('Rev Adequacy'!$G$6:$G$4999,'Rev Adequacy'!$B$6:$B$4999,'Charges to party by investment'!Z$4,'Rev Adequacy'!$E$6:$E$4999,'Charges to party by investment'!$BJ78)/1000000</f>
        <v>9.7690835466109599E-2</v>
      </c>
      <c r="BG78" s="251">
        <f>SUMIFS('Rev Adequacy'!$G$6:$G$4999,'Rev Adequacy'!$B$6:$B$4999,'Charges to party by investment'!AA$4,'Rev Adequacy'!$E$6:$E$4999,'Charges to party by investment'!$BJ78)/1000000</f>
        <v>0.19848801436622401</v>
      </c>
      <c r="BH78" s="190"/>
      <c r="BI78" s="250" t="str">
        <f>'Charges as $M per year'!A12</f>
        <v>Electricity Invercargill</v>
      </c>
      <c r="BJ78" s="252" t="s">
        <v>101</v>
      </c>
      <c r="BK78" s="253">
        <f t="shared" si="23"/>
        <v>0.40884650784736509</v>
      </c>
      <c r="BL78" s="260">
        <f t="shared" ca="1" si="27"/>
        <v>0.25073535250922518</v>
      </c>
      <c r="BM78" s="260">
        <f t="shared" ca="1" si="24"/>
        <v>0.6132750254597561</v>
      </c>
      <c r="BN78" s="190">
        <f t="shared" ca="1" si="25"/>
        <v>0.97198335149833803</v>
      </c>
      <c r="BO78" s="190">
        <f>BK78*1000/'Charges as $ per MWh'!J12</f>
        <v>1.5849061369646804</v>
      </c>
      <c r="BP78" s="97">
        <f ca="1">AU17-'Charges as $M per year'!C12</f>
        <v>-1.9427306328732437</v>
      </c>
      <c r="BQ78" s="190">
        <f t="shared" ca="1" si="26"/>
        <v>-4.7517359096498009</v>
      </c>
      <c r="BR78">
        <v>257.96260000000001</v>
      </c>
    </row>
    <row r="79" spans="2:70" x14ac:dyDescent="0.25">
      <c r="C79" s="306" t="s">
        <v>18</v>
      </c>
      <c r="D79" s="401"/>
      <c r="E79" s="90"/>
      <c r="F79" s="402">
        <f>SUMIFS('Rev Adequacy'!AL$22:AL$652,'Rev Adequacy'!$AH$22:$AH$652,'Charges to party by investment'!$C79,'Rev Adequacy'!$AJ$22:$AJ$652,'Charges to party by investment'!$D$72)</f>
        <v>0</v>
      </c>
      <c r="G79" s="402">
        <f ca="1">SUMIFS('Rev Adequacy'!AM$22:AM$652,'Rev Adequacy'!$AH$22:$AH$652,'Charges to party by investment'!$C79,'Rev Adequacy'!$AJ$22:$AJ$652,'Charges to party by investment'!$D$72)</f>
        <v>0</v>
      </c>
      <c r="H79" s="402">
        <f ca="1">SUMIFS('Rev Adequacy'!AN$22:AN$652,'Rev Adequacy'!$AH$22:$AH$652,'Charges to party by investment'!$C79,'Rev Adequacy'!$AJ$22:$AJ$652,'Charges to party by investment'!$D$72)</f>
        <v>0</v>
      </c>
      <c r="I79" s="402">
        <f>SUMIFS('Rev Adequacy'!AO$22:AO$652,'Rev Adequacy'!$AH$22:$AH$652,'Charges to party by investment'!$C79,'Rev Adequacy'!$AJ$22:$AJ$652,'Charges to party by investment'!$D$72)</f>
        <v>0</v>
      </c>
      <c r="J79" s="402">
        <f>SUMIFS('Rev Adequacy'!AP$22:AP$652,'Rev Adequacy'!$AH$22:$AH$652,'Charges to party by investment'!$C79,'Rev Adequacy'!$AJ$22:$AJ$652,'Charges to party by investment'!$D$72)</f>
        <v>0</v>
      </c>
      <c r="K79" s="402">
        <f ca="1">SUMIFS('Rev Adequacy'!AQ$22:AQ$652,'Rev Adequacy'!$AH$22:$AH$652,'Charges to party by investment'!$C79,'Rev Adequacy'!$AJ$22:$AJ$652,'Charges to party by investment'!$D$72)</f>
        <v>0</v>
      </c>
      <c r="L79" s="402">
        <f>SUMIFS('Rev Adequacy'!AR$22:AR$652,'Rev Adequacy'!$AH$22:$AH$652,'Charges to party by investment'!$C79,'Rev Adequacy'!$AJ$22:$AJ$652,'Charges to party by investment'!$D$72)</f>
        <v>0</v>
      </c>
      <c r="M79" s="402">
        <f ca="1">SUMIFS('Rev Adequacy'!AS$22:AS$652,'Rev Adequacy'!$AH$22:$AH$652,'Charges to party by investment'!$C79,'Rev Adequacy'!$AJ$22:$AJ$652,'Charges to party by investment'!$D$72)</f>
        <v>0.14251152189217686</v>
      </c>
      <c r="N79" s="402">
        <f>SUMIFS('Rev Adequacy'!AT$22:AT$652,'Rev Adequacy'!$AH$22:$AH$652,'Charges to party by investment'!$C79,'Rev Adequacy'!$AJ$22:$AJ$652,'Charges to party by investment'!$D$72)</f>
        <v>0</v>
      </c>
      <c r="O79" s="402">
        <f>SUMIFS('Rev Adequacy'!AU$22:AU$652,'Rev Adequacy'!$AH$22:$AH$652,'Charges to party by investment'!$C79,'Rev Adequacy'!$AJ$22:$AJ$652,'Charges to party by investment'!$D$72)</f>
        <v>0</v>
      </c>
      <c r="P79" s="402">
        <f>SUMIFS('Rev Adequacy'!AV$22:AV$652,'Rev Adequacy'!$AH$22:$AH$652,'Charges to party by investment'!$C79,'Rev Adequacy'!$AJ$22:$AJ$652,'Charges to party by investment'!$D$72)</f>
        <v>0</v>
      </c>
      <c r="Q79" s="402">
        <f>SUMIFS('Rev Adequacy'!AW$22:AW$652,'Rev Adequacy'!$AH$22:$AH$652,'Charges to party by investment'!$C79,'Rev Adequacy'!$AJ$22:$AJ$652,'Charges to party by investment'!$D$72)</f>
        <v>0</v>
      </c>
      <c r="R79" s="402">
        <f>SUMIFS('Rev Adequacy'!AX$22:AX$652,'Rev Adequacy'!$AH$22:$AH$652,'Charges to party by investment'!$C79,'Rev Adequacy'!$AJ$22:$AJ$652,'Charges to party by investment'!$D$72)</f>
        <v>0</v>
      </c>
      <c r="S79" s="90"/>
      <c r="T79" s="90"/>
      <c r="U79" s="90"/>
      <c r="V79" s="402">
        <f ca="1">SUMIFS('Rev Adequacy'!$G$6:$G$4999,'Rev Adequacy'!$B$6:$B$4999,'Charges to party by investment'!V$4,'Rev Adequacy'!$E$6:$E$4999,'Charges to party by investment'!$C79,'Rev Adequacy'!$H$6:$H$4999,'Charges to party by investment'!$D$72)*V$5/V$6</f>
        <v>4.8825550259405159E-2</v>
      </c>
      <c r="W79" s="402">
        <f ca="1">SUMIFS('Rev Adequacy'!$G$6:$G$4999,'Rev Adequacy'!$B$6:$B$4999,'Charges to party by investment'!W$4,'Rev Adequacy'!$E$6:$E$4999,'Charges to party by investment'!$C79,'Rev Adequacy'!$H$6:$H$4999,'Charges to party by investment'!$D$72)*W$5/W$6</f>
        <v>0</v>
      </c>
      <c r="X79" s="402">
        <f ca="1">SUMIFS('Rev Adequacy'!$G$6:$G$4999,'Rev Adequacy'!$B$6:$B$4999,'Charges to party by investment'!X$4,'Rev Adequacy'!$E$6:$E$4999,'Charges to party by investment'!$C79,'Rev Adequacy'!$H$6:$H$4999,'Charges to party by investment'!$D$72)*X$5/X$6</f>
        <v>0</v>
      </c>
      <c r="Y79" s="402">
        <f ca="1">SUMIFS('Rev Adequacy'!$G$6:$G$4999,'Rev Adequacy'!$B$6:$B$4999,'Charges to party by investment'!Y$4,'Rev Adequacy'!$E$6:$E$4999,'Charges to party by investment'!$C79,'Rev Adequacy'!$H$6:$H$4999,'Charges to party by investment'!$D$72)*Y$5/Y$6</f>
        <v>0</v>
      </c>
      <c r="Z79" s="402">
        <f ca="1">SUMIFS('Rev Adequacy'!$G$6:$G$4999,'Rev Adequacy'!$B$6:$B$4999,'Charges to party by investment'!Z$4,'Rev Adequacy'!$E$6:$E$4999,'Charges to party by investment'!$C79,'Rev Adequacy'!$H$6:$H$4999,'Charges to party by investment'!$D$72)*Z$5/Z$6</f>
        <v>0</v>
      </c>
      <c r="AA79" s="402">
        <f ca="1">SUMIFS('Rev Adequacy'!$G$6:$G$4999,'Rev Adequacy'!$B$6:$B$4999,'Charges to party by investment'!AA$4,'Rev Adequacy'!$E$6:$E$4999,'Charges to party by investment'!$C79,'Rev Adequacy'!$H$6:$H$4999,'Charges to party by investment'!$D$72)*AA$5/AA$6</f>
        <v>0.35357398749008523</v>
      </c>
      <c r="AB79" s="402">
        <f>SUMIFS('Rev Adequacy'!$G$6:$G$4999,'Rev Adequacy'!$B$6:$B$4999,'Charges to party by investment'!AB$4,'Rev Adequacy'!$E$6:$E$4999,'Charges to party by investment'!$C79)</f>
        <v>0</v>
      </c>
      <c r="AC79" s="402">
        <f>SUMIFS('Rev Adequacy'!$G$6:$G$4999,'Rev Adequacy'!$B$6:$B$4999,'Charges to party by investment'!AC$4,'Rev Adequacy'!$E$6:$E$4999,'Charges to party by investment'!$C79)</f>
        <v>0</v>
      </c>
      <c r="AD79" s="304">
        <f>SUMIFS('Rev Adequacy'!$G$6:$G$4999,'Rev Adequacy'!$B$6:$B$4999,'Charges to party by investment'!AD$4,'Rev Adequacy'!$E$6:$E$4999,'Charges to party by investment'!$C79)</f>
        <v>0</v>
      </c>
      <c r="AE79" s="304">
        <f>SUMIFS('Rev Adequacy'!$G$6:$G$4999,'Rev Adequacy'!$B$6:$B$4999,'Charges to party by investment'!AE$4,'Rev Adequacy'!$E$6:$E$4999,'Charges to party by investment'!$C79)</f>
        <v>0</v>
      </c>
      <c r="AF79" s="304">
        <f>SUMIFS('Rev Adequacy'!$G$6:$G$4999,'Rev Adequacy'!$B$6:$B$4999,'Charges to party by investment'!AF$4,'Rev Adequacy'!$E$6:$E$4999,'Charges to party by investment'!$C79)</f>
        <v>0</v>
      </c>
      <c r="AG79" s="304">
        <f>SUMIFS('Rev Adequacy'!$G$6:$G$4999,'Rev Adequacy'!$B$6:$B$4999,'Charges to party by investment'!AG$4,'Rev Adequacy'!$E$6:$E$4999,'Charges to party by investment'!$C79)</f>
        <v>0</v>
      </c>
      <c r="AH79" s="304">
        <f>SUMIFS('Rev Adequacy'!$G$6:$G$4999,'Rev Adequacy'!$B$6:$B$4999,'Charges to party by investment'!AH$4,'Rev Adequacy'!$E$6:$E$4999,'Charges to party by investment'!$C79)</f>
        <v>0</v>
      </c>
      <c r="AI79" s="300"/>
      <c r="AJ79" s="307">
        <f t="shared" ca="1" si="28"/>
        <v>0.54491105964166731</v>
      </c>
      <c r="AK79" s="308">
        <f>SUMIFS('Rev Adequacy'!$BJ$27:$BJ$257,'Rev Adequacy'!$BM$27:$BM$257,'Charges to party by investment'!$D$72,'Rev Adequacy'!$BF$27:$BF$257,'Charges to party by investment'!C79)</f>
        <v>0</v>
      </c>
      <c r="AL79" s="90"/>
      <c r="AM79" s="90"/>
      <c r="AN79" s="20"/>
      <c r="AO79" s="20"/>
      <c r="AP79" s="20"/>
      <c r="AQ79" s="20"/>
      <c r="AR79" s="20"/>
      <c r="AS79" s="20"/>
      <c r="AT79" s="20"/>
      <c r="AU79" s="20"/>
      <c r="AV79" s="20"/>
      <c r="AW79" s="20"/>
      <c r="AX79" s="20"/>
      <c r="AY79" s="297"/>
      <c r="AZ79" s="297"/>
      <c r="BB79" s="251">
        <f>SUMIFS('Rev Adequacy'!$G$6:$G$4999,'Rev Adequacy'!$B$6:$B$4999,'Charges to party by investment'!V$4,'Rev Adequacy'!$E$6:$E$4999,'Charges to party by investment'!$BJ79)/1000000</f>
        <v>0</v>
      </c>
      <c r="BC79" s="251">
        <f>SUMIFS('Rev Adequacy'!$G$6:$G$4999,'Rev Adequacy'!$B$6:$B$4999,'Charges to party by investment'!W$4,'Rev Adequacy'!$E$6:$E$4999,'Charges to party by investment'!$BJ79)/1000000</f>
        <v>4.3346001849999976</v>
      </c>
      <c r="BD79" s="251">
        <f>SUMIFS('Rev Adequacy'!$G$6:$G$4999,'Rev Adequacy'!$B$6:$B$4999,'Charges to party by investment'!X$4,'Rev Adequacy'!$E$6:$E$4999,'Charges to party by investment'!$BJ79)/1000000</f>
        <v>16.713319934999983</v>
      </c>
      <c r="BE79" s="251">
        <f>SUMIFS('Rev Adequacy'!$G$6:$G$4999,'Rev Adequacy'!$B$6:$B$4999,'Charges to party by investment'!Y$4,'Rev Adequacy'!$E$6:$E$4999,'Charges to party by investment'!$BJ79)/1000000</f>
        <v>0.16120163399999748</v>
      </c>
      <c r="BF79" s="251">
        <f>SUMIFS('Rev Adequacy'!$G$6:$G$4999,'Rev Adequacy'!$B$6:$B$4999,'Charges to party by investment'!Z$4,'Rev Adequacy'!$E$6:$E$4999,'Charges to party by investment'!$BJ79)/1000000</f>
        <v>1.2726760000000259E-3</v>
      </c>
      <c r="BG79" s="251">
        <f>SUMIFS('Rev Adequacy'!$G$6:$G$4999,'Rev Adequacy'!$B$6:$B$4999,'Charges to party by investment'!AA$4,'Rev Adequacy'!$E$6:$E$4999,'Charges to party by investment'!$BJ79)/1000000</f>
        <v>0.38411762599999993</v>
      </c>
      <c r="BH79" s="190"/>
      <c r="BI79" s="250" t="str">
        <f>'Charges as $M per year'!A13</f>
        <v>Horizon</v>
      </c>
      <c r="BJ79" s="252" t="s">
        <v>11</v>
      </c>
      <c r="BK79" s="253">
        <f t="shared" si="23"/>
        <v>21.594512055999974</v>
      </c>
      <c r="BL79" s="260">
        <f t="shared" ca="1" si="27"/>
        <v>1.386591698599102</v>
      </c>
      <c r="BM79" s="260">
        <f t="shared" ca="1" si="24"/>
        <v>6.4210374145214424E-2</v>
      </c>
      <c r="BN79" s="190">
        <f t="shared" ca="1" si="25"/>
        <v>2.7809422260087686</v>
      </c>
      <c r="BO79" s="190">
        <f>BK79*1000/'Charges as $ per MWh'!J13</f>
        <v>43.309858617542893</v>
      </c>
      <c r="BP79" s="97">
        <f ca="1">AU18-'Charges as $M per year'!C13</f>
        <v>3.6085880389304483</v>
      </c>
      <c r="BQ79" s="190">
        <f t="shared" ca="1" si="26"/>
        <v>0.16710671811303152</v>
      </c>
      <c r="BR79">
        <v>498.60500000000002</v>
      </c>
    </row>
    <row r="80" spans="2:70" x14ac:dyDescent="0.25">
      <c r="C80" s="306" t="s">
        <v>21</v>
      </c>
      <c r="D80" s="401"/>
      <c r="E80" s="90"/>
      <c r="F80" s="402">
        <f>SUMIFS('Rev Adequacy'!AL$22:AL$652,'Rev Adequacy'!$AH$22:$AH$652,'Charges to party by investment'!$C80,'Rev Adequacy'!$AJ$22:$AJ$652,'Charges to party by investment'!$D$72)</f>
        <v>0</v>
      </c>
      <c r="G80" s="402">
        <f ca="1">SUMIFS('Rev Adequacy'!AM$22:AM$652,'Rev Adequacy'!$AH$22:$AH$652,'Charges to party by investment'!$C80,'Rev Adequacy'!$AJ$22:$AJ$652,'Charges to party by investment'!$D$72)</f>
        <v>0</v>
      </c>
      <c r="H80" s="402">
        <f ca="1">SUMIFS('Rev Adequacy'!AN$22:AN$652,'Rev Adequacy'!$AH$22:$AH$652,'Charges to party by investment'!$C80,'Rev Adequacy'!$AJ$22:$AJ$652,'Charges to party by investment'!$D$72)</f>
        <v>0</v>
      </c>
      <c r="I80" s="402">
        <f>SUMIFS('Rev Adequacy'!AO$22:AO$652,'Rev Adequacy'!$AH$22:$AH$652,'Charges to party by investment'!$C80,'Rev Adequacy'!$AJ$22:$AJ$652,'Charges to party by investment'!$D$72)</f>
        <v>0</v>
      </c>
      <c r="J80" s="402">
        <f>SUMIFS('Rev Adequacy'!AP$22:AP$652,'Rev Adequacy'!$AH$22:$AH$652,'Charges to party by investment'!$C80,'Rev Adequacy'!$AJ$22:$AJ$652,'Charges to party by investment'!$D$72)</f>
        <v>0</v>
      </c>
      <c r="K80" s="402">
        <f ca="1">SUMIFS('Rev Adequacy'!AQ$22:AQ$652,'Rev Adequacy'!$AH$22:$AH$652,'Charges to party by investment'!$C80,'Rev Adequacy'!$AJ$22:$AJ$652,'Charges to party by investment'!$D$72)</f>
        <v>0</v>
      </c>
      <c r="L80" s="402">
        <f>SUMIFS('Rev Adequacy'!AR$22:AR$652,'Rev Adequacy'!$AH$22:$AH$652,'Charges to party by investment'!$C80,'Rev Adequacy'!$AJ$22:$AJ$652,'Charges to party by investment'!$D$72)</f>
        <v>0</v>
      </c>
      <c r="M80" s="402">
        <f ca="1">SUMIFS('Rev Adequacy'!AS$22:AS$652,'Rev Adequacy'!$AH$22:$AH$652,'Charges to party by investment'!$C80,'Rev Adequacy'!$AJ$22:$AJ$652,'Charges to party by investment'!$D$72)</f>
        <v>8.2818813310596373E-2</v>
      </c>
      <c r="N80" s="402">
        <f>SUMIFS('Rev Adequacy'!AT$22:AT$652,'Rev Adequacy'!$AH$22:$AH$652,'Charges to party by investment'!$C80,'Rev Adequacy'!$AJ$22:$AJ$652,'Charges to party by investment'!$D$72)</f>
        <v>0</v>
      </c>
      <c r="O80" s="402">
        <f>SUMIFS('Rev Adequacy'!AU$22:AU$652,'Rev Adequacy'!$AH$22:$AH$652,'Charges to party by investment'!$C80,'Rev Adequacy'!$AJ$22:$AJ$652,'Charges to party by investment'!$D$72)</f>
        <v>0</v>
      </c>
      <c r="P80" s="402">
        <f>SUMIFS('Rev Adequacy'!AV$22:AV$652,'Rev Adequacy'!$AH$22:$AH$652,'Charges to party by investment'!$C80,'Rev Adequacy'!$AJ$22:$AJ$652,'Charges to party by investment'!$D$72)</f>
        <v>0</v>
      </c>
      <c r="Q80" s="402">
        <f>SUMIFS('Rev Adequacy'!AW$22:AW$652,'Rev Adequacy'!$AH$22:$AH$652,'Charges to party by investment'!$C80,'Rev Adequacy'!$AJ$22:$AJ$652,'Charges to party by investment'!$D$72)</f>
        <v>0</v>
      </c>
      <c r="R80" s="402">
        <f>SUMIFS('Rev Adequacy'!AX$22:AX$652,'Rev Adequacy'!$AH$22:$AH$652,'Charges to party by investment'!$C80,'Rev Adequacy'!$AJ$22:$AJ$652,'Charges to party by investment'!$D$72)</f>
        <v>0</v>
      </c>
      <c r="S80" s="90"/>
      <c r="T80" s="90"/>
      <c r="U80" s="90"/>
      <c r="V80" s="402">
        <f ca="1">SUMIFS('Rev Adequacy'!$G$6:$G$4999,'Rev Adequacy'!$B$6:$B$4999,'Charges to party by investment'!V$4,'Rev Adequacy'!$E$6:$E$4999,'Charges to party by investment'!$C80,'Rev Adequacy'!$H$6:$H$4999,'Charges to party by investment'!$D$72)*V$5/V$6</f>
        <v>3.3192341032298782E-2</v>
      </c>
      <c r="W80" s="402">
        <f ca="1">SUMIFS('Rev Adequacy'!$G$6:$G$4999,'Rev Adequacy'!$B$6:$B$4999,'Charges to party by investment'!W$4,'Rev Adequacy'!$E$6:$E$4999,'Charges to party by investment'!$C80,'Rev Adequacy'!$H$6:$H$4999,'Charges to party by investment'!$D$72)*W$5/W$6</f>
        <v>0</v>
      </c>
      <c r="X80" s="402">
        <f ca="1">SUMIFS('Rev Adequacy'!$G$6:$G$4999,'Rev Adequacy'!$B$6:$B$4999,'Charges to party by investment'!X$4,'Rev Adequacy'!$E$6:$E$4999,'Charges to party by investment'!$C80,'Rev Adequacy'!$H$6:$H$4999,'Charges to party by investment'!$D$72)*X$5/X$6</f>
        <v>0</v>
      </c>
      <c r="Y80" s="402">
        <f ca="1">SUMIFS('Rev Adequacy'!$G$6:$G$4999,'Rev Adequacy'!$B$6:$B$4999,'Charges to party by investment'!Y$4,'Rev Adequacy'!$E$6:$E$4999,'Charges to party by investment'!$C80,'Rev Adequacy'!$H$6:$H$4999,'Charges to party by investment'!$D$72)*Y$5/Y$6</f>
        <v>0</v>
      </c>
      <c r="Z80" s="402">
        <f ca="1">SUMIFS('Rev Adequacy'!$G$6:$G$4999,'Rev Adequacy'!$B$6:$B$4999,'Charges to party by investment'!Z$4,'Rev Adequacy'!$E$6:$E$4999,'Charges to party by investment'!$C80,'Rev Adequacy'!$H$6:$H$4999,'Charges to party by investment'!$D$72)*Z$5/Z$6</f>
        <v>0</v>
      </c>
      <c r="AA80" s="402">
        <f ca="1">SUMIFS('Rev Adequacy'!$G$6:$G$4999,'Rev Adequacy'!$B$6:$B$4999,'Charges to party by investment'!AA$4,'Rev Adequacy'!$E$6:$E$4999,'Charges to party by investment'!$C80,'Rev Adequacy'!$H$6:$H$4999,'Charges to party by investment'!$D$72)*AA$5/AA$6</f>
        <v>0.21188474036070939</v>
      </c>
      <c r="AB80" s="402">
        <f>SUMIFS('Rev Adequacy'!$G$6:$G$4999,'Rev Adequacy'!$B$6:$B$4999,'Charges to party by investment'!AB$4,'Rev Adequacy'!$E$6:$E$4999,'Charges to party by investment'!$C80)</f>
        <v>0</v>
      </c>
      <c r="AC80" s="402">
        <f>SUMIFS('Rev Adequacy'!$G$6:$G$4999,'Rev Adequacy'!$B$6:$B$4999,'Charges to party by investment'!AC$4,'Rev Adequacy'!$E$6:$E$4999,'Charges to party by investment'!$C80)</f>
        <v>0</v>
      </c>
      <c r="AD80" s="304">
        <f>SUMIFS('Rev Adequacy'!$G$6:$G$4999,'Rev Adequacy'!$B$6:$B$4999,'Charges to party by investment'!AD$4,'Rev Adequacy'!$E$6:$E$4999,'Charges to party by investment'!$C80)</f>
        <v>0</v>
      </c>
      <c r="AE80" s="304">
        <f>SUMIFS('Rev Adequacy'!$G$6:$G$4999,'Rev Adequacy'!$B$6:$B$4999,'Charges to party by investment'!AE$4,'Rev Adequacy'!$E$6:$E$4999,'Charges to party by investment'!$C80)</f>
        <v>0</v>
      </c>
      <c r="AF80" s="304">
        <f>SUMIFS('Rev Adequacy'!$G$6:$G$4999,'Rev Adequacy'!$B$6:$B$4999,'Charges to party by investment'!AF$4,'Rev Adequacy'!$E$6:$E$4999,'Charges to party by investment'!$C80)</f>
        <v>0</v>
      </c>
      <c r="AG80" s="304">
        <f>SUMIFS('Rev Adequacy'!$G$6:$G$4999,'Rev Adequacy'!$B$6:$B$4999,'Charges to party by investment'!AG$4,'Rev Adequacy'!$E$6:$E$4999,'Charges to party by investment'!$C80)</f>
        <v>0</v>
      </c>
      <c r="AH80" s="304">
        <f>SUMIFS('Rev Adequacy'!$G$6:$G$4999,'Rev Adequacy'!$B$6:$B$4999,'Charges to party by investment'!AH$4,'Rev Adequacy'!$E$6:$E$4999,'Charges to party by investment'!$C80)</f>
        <v>0</v>
      </c>
      <c r="AI80" s="300"/>
      <c r="AJ80" s="307">
        <f t="shared" ca="1" si="28"/>
        <v>0.32789589470360458</v>
      </c>
      <c r="AK80" s="308">
        <f>SUMIFS('Rev Adequacy'!$BJ$27:$BJ$257,'Rev Adequacy'!$BM$27:$BM$257,'Charges to party by investment'!$D$72,'Rev Adequacy'!$BF$27:$BF$257,'Charges to party by investment'!C80)</f>
        <v>0</v>
      </c>
      <c r="AL80" s="90"/>
      <c r="AM80" s="90"/>
      <c r="AN80" s="20"/>
      <c r="AO80" s="20"/>
      <c r="AP80" s="20"/>
      <c r="AQ80" s="20"/>
      <c r="AR80" s="20"/>
      <c r="AS80" s="20"/>
      <c r="AT80" s="20"/>
      <c r="AU80" s="20"/>
      <c r="AV80" s="20"/>
      <c r="AW80" s="20"/>
      <c r="AX80" s="20"/>
      <c r="AY80" s="297"/>
      <c r="AZ80" s="297"/>
      <c r="BB80" s="251">
        <f>SUMIFS('Rev Adequacy'!$G$6:$G$4999,'Rev Adequacy'!$B$6:$B$4999,'Charges to party by investment'!V$4,'Rev Adequacy'!$E$6:$E$4999,'Charges to party by investment'!$BJ80)/1000000</f>
        <v>0</v>
      </c>
      <c r="BC80" s="251">
        <f>SUMIFS('Rev Adequacy'!$G$6:$G$4999,'Rev Adequacy'!$B$6:$B$4999,'Charges to party by investment'!W$4,'Rev Adequacy'!$E$6:$E$4999,'Charges to party by investment'!$BJ80)/1000000</f>
        <v>0</v>
      </c>
      <c r="BD80" s="251">
        <f>SUMIFS('Rev Adequacy'!$G$6:$G$4999,'Rev Adequacy'!$B$6:$B$4999,'Charges to party by investment'!X$4,'Rev Adequacy'!$E$6:$E$4999,'Charges to party by investment'!$BJ80)/1000000</f>
        <v>0</v>
      </c>
      <c r="BE80" s="251">
        <f>SUMIFS('Rev Adequacy'!$G$6:$G$4999,'Rev Adequacy'!$B$6:$B$4999,'Charges to party by investment'!Y$4,'Rev Adequacy'!$E$6:$E$4999,'Charges to party by investment'!$BJ80)/1000000</f>
        <v>3.7955413326992596E-3</v>
      </c>
      <c r="BF80" s="251">
        <f>SUMIFS('Rev Adequacy'!$G$6:$G$4999,'Rev Adequacy'!$B$6:$B$4999,'Charges to party by investment'!Z$4,'Rev Adequacy'!$E$6:$E$4999,'Charges to party by investment'!$BJ80)/1000000</f>
        <v>1.7282078476996301E-4</v>
      </c>
      <c r="BG80" s="251">
        <f>SUMIFS('Rev Adequacy'!$G$6:$G$4999,'Rev Adequacy'!$B$6:$B$4999,'Charges to party by investment'!AA$4,'Rev Adequacy'!$E$6:$E$4999,'Charges to party by investment'!$BJ80)/1000000</f>
        <v>7.9541057345169693E-3</v>
      </c>
      <c r="BH80" s="190"/>
      <c r="BI80" s="250" t="str">
        <f>'Charges as $M per year'!A14</f>
        <v>Lakeland Network</v>
      </c>
      <c r="BJ80" s="252" t="s">
        <v>102</v>
      </c>
      <c r="BK80" s="253">
        <f t="shared" si="23"/>
        <v>1.1922467851986192E-2</v>
      </c>
      <c r="BL80" s="260">
        <f t="shared" ca="1" si="27"/>
        <v>6.3554600652362099E-3</v>
      </c>
      <c r="BM80" s="260">
        <f t="shared" ca="1" si="24"/>
        <v>0.53306581692123733</v>
      </c>
      <c r="BN80" s="190">
        <f t="shared" ca="1" si="25"/>
        <v>0.57095141786362036</v>
      </c>
      <c r="BO80" s="190">
        <f>BK80*1000/'Charges as $ per MWh'!J14</f>
        <v>1.0710711505779795</v>
      </c>
      <c r="BP80" s="97">
        <f ca="1">AU19-'Charges as $M per year'!C14</f>
        <v>-4.0159240737614094E-2</v>
      </c>
      <c r="BQ80" s="190">
        <f t="shared" ca="1" si="26"/>
        <v>-3.3683664519945733</v>
      </c>
      <c r="BR80">
        <v>11.131349999999999</v>
      </c>
    </row>
    <row r="81" spans="3:70" x14ac:dyDescent="0.25">
      <c r="C81" s="306" t="s">
        <v>27</v>
      </c>
      <c r="D81" s="401"/>
      <c r="E81" s="90"/>
      <c r="F81" s="402">
        <f>SUMIFS('Rev Adequacy'!AL$22:AL$652,'Rev Adequacy'!$AH$22:$AH$652,'Charges to party by investment'!$C81,'Rev Adequacy'!$AJ$22:$AJ$652,'Charges to party by investment'!$D$72)</f>
        <v>0</v>
      </c>
      <c r="G81" s="402">
        <f>SUMIFS('Rev Adequacy'!AM$22:AM$652,'Rev Adequacy'!$AH$22:$AH$652,'Charges to party by investment'!$C81,'Rev Adequacy'!$AJ$22:$AJ$652,'Charges to party by investment'!$D$72)</f>
        <v>0</v>
      </c>
      <c r="H81" s="402">
        <f>SUMIFS('Rev Adequacy'!AN$22:AN$652,'Rev Adequacy'!$AH$22:$AH$652,'Charges to party by investment'!$C81,'Rev Adequacy'!$AJ$22:$AJ$652,'Charges to party by investment'!$D$72)</f>
        <v>0</v>
      </c>
      <c r="I81" s="402">
        <f>SUMIFS('Rev Adequacy'!AO$22:AO$652,'Rev Adequacy'!$AH$22:$AH$652,'Charges to party by investment'!$C81,'Rev Adequacy'!$AJ$22:$AJ$652,'Charges to party by investment'!$D$72)</f>
        <v>0</v>
      </c>
      <c r="J81" s="402">
        <f>SUMIFS('Rev Adequacy'!AP$22:AP$652,'Rev Adequacy'!$AH$22:$AH$652,'Charges to party by investment'!$C81,'Rev Adequacy'!$AJ$22:$AJ$652,'Charges to party by investment'!$D$72)</f>
        <v>0</v>
      </c>
      <c r="K81" s="402">
        <f>SUMIFS('Rev Adequacy'!AQ$22:AQ$652,'Rev Adequacy'!$AH$22:$AH$652,'Charges to party by investment'!$C81,'Rev Adequacy'!$AJ$22:$AJ$652,'Charges to party by investment'!$D$72)</f>
        <v>0</v>
      </c>
      <c r="L81" s="402">
        <f>SUMIFS('Rev Adequacy'!AR$22:AR$652,'Rev Adequacy'!$AH$22:$AH$652,'Charges to party by investment'!$C81,'Rev Adequacy'!$AJ$22:$AJ$652,'Charges to party by investment'!$D$72)</f>
        <v>0</v>
      </c>
      <c r="M81" s="402">
        <f>SUMIFS('Rev Adequacy'!AS$22:AS$652,'Rev Adequacy'!$AH$22:$AH$652,'Charges to party by investment'!$C81,'Rev Adequacy'!$AJ$22:$AJ$652,'Charges to party by investment'!$D$72)</f>
        <v>0</v>
      </c>
      <c r="N81" s="402">
        <f>SUMIFS('Rev Adequacy'!AT$22:AT$652,'Rev Adequacy'!$AH$22:$AH$652,'Charges to party by investment'!$C81,'Rev Adequacy'!$AJ$22:$AJ$652,'Charges to party by investment'!$D$72)</f>
        <v>0</v>
      </c>
      <c r="O81" s="402">
        <f>SUMIFS('Rev Adequacy'!AU$22:AU$652,'Rev Adequacy'!$AH$22:$AH$652,'Charges to party by investment'!$C81,'Rev Adequacy'!$AJ$22:$AJ$652,'Charges to party by investment'!$D$72)</f>
        <v>0</v>
      </c>
      <c r="P81" s="402">
        <f>SUMIFS('Rev Adequacy'!AV$22:AV$652,'Rev Adequacy'!$AH$22:$AH$652,'Charges to party by investment'!$C81,'Rev Adequacy'!$AJ$22:$AJ$652,'Charges to party by investment'!$D$72)</f>
        <v>0</v>
      </c>
      <c r="Q81" s="402">
        <f>SUMIFS('Rev Adequacy'!AW$22:AW$652,'Rev Adequacy'!$AH$22:$AH$652,'Charges to party by investment'!$C81,'Rev Adequacy'!$AJ$22:$AJ$652,'Charges to party by investment'!$D$72)</f>
        <v>0</v>
      </c>
      <c r="R81" s="402">
        <f>SUMIFS('Rev Adequacy'!AX$22:AX$652,'Rev Adequacy'!$AH$22:$AH$652,'Charges to party by investment'!$C81,'Rev Adequacy'!$AJ$22:$AJ$652,'Charges to party by investment'!$D$72)</f>
        <v>0</v>
      </c>
      <c r="S81" s="90"/>
      <c r="T81" s="90"/>
      <c r="U81" s="90"/>
      <c r="V81" s="402">
        <f ca="1">SUMIFS('Rev Adequacy'!$G$6:$G$4999,'Rev Adequacy'!$B$6:$B$4999,'Charges to party by investment'!V$4,'Rev Adequacy'!$E$6:$E$4999,'Charges to party by investment'!$C81,'Rev Adequacy'!$H$6:$H$4999,'Charges to party by investment'!$D$72)*V$5/V$6</f>
        <v>0</v>
      </c>
      <c r="W81" s="402">
        <f ca="1">SUMIFS('Rev Adequacy'!$G$6:$G$4999,'Rev Adequacy'!$B$6:$B$4999,'Charges to party by investment'!W$4,'Rev Adequacy'!$E$6:$E$4999,'Charges to party by investment'!$C81,'Rev Adequacy'!$H$6:$H$4999,'Charges to party by investment'!$D$72)*W$5/W$6</f>
        <v>0</v>
      </c>
      <c r="X81" s="402">
        <f ca="1">SUMIFS('Rev Adequacy'!$G$6:$G$4999,'Rev Adequacy'!$B$6:$B$4999,'Charges to party by investment'!X$4,'Rev Adequacy'!$E$6:$E$4999,'Charges to party by investment'!$C81,'Rev Adequacy'!$H$6:$H$4999,'Charges to party by investment'!$D$72)*X$5/X$6</f>
        <v>0</v>
      </c>
      <c r="Y81" s="402">
        <f ca="1">SUMIFS('Rev Adequacy'!$G$6:$G$4999,'Rev Adequacy'!$B$6:$B$4999,'Charges to party by investment'!Y$4,'Rev Adequacy'!$E$6:$E$4999,'Charges to party by investment'!$C81,'Rev Adequacy'!$H$6:$H$4999,'Charges to party by investment'!$D$72)*Y$5/Y$6</f>
        <v>0</v>
      </c>
      <c r="Z81" s="402">
        <f ca="1">SUMIFS('Rev Adequacy'!$G$6:$G$4999,'Rev Adequacy'!$B$6:$B$4999,'Charges to party by investment'!Z$4,'Rev Adequacy'!$E$6:$E$4999,'Charges to party by investment'!$C81,'Rev Adequacy'!$H$6:$H$4999,'Charges to party by investment'!$D$72)*Z$5/Z$6</f>
        <v>0</v>
      </c>
      <c r="AA81" s="402">
        <f ca="1">SUMIFS('Rev Adequacy'!$G$6:$G$4999,'Rev Adequacy'!$B$6:$B$4999,'Charges to party by investment'!AA$4,'Rev Adequacy'!$E$6:$E$4999,'Charges to party by investment'!$C81,'Rev Adequacy'!$H$6:$H$4999,'Charges to party by investment'!$D$72)*AA$5/AA$6</f>
        <v>0</v>
      </c>
      <c r="AB81" s="402">
        <f>SUMIFS('Rev Adequacy'!$G$6:$G$4999,'Rev Adequacy'!$B$6:$B$4999,'Charges to party by investment'!AB$4,'Rev Adequacy'!$E$6:$E$4999,'Charges to party by investment'!$C81)</f>
        <v>0</v>
      </c>
      <c r="AC81" s="402">
        <f>SUMIFS('Rev Adequacy'!$G$6:$G$4999,'Rev Adequacy'!$B$6:$B$4999,'Charges to party by investment'!AC$4,'Rev Adequacy'!$E$6:$E$4999,'Charges to party by investment'!$C81)</f>
        <v>0</v>
      </c>
      <c r="AD81" s="304">
        <f>SUMIFS('Rev Adequacy'!$G$6:$G$4999,'Rev Adequacy'!$B$6:$B$4999,'Charges to party by investment'!AD$4,'Rev Adequacy'!$E$6:$E$4999,'Charges to party by investment'!$C81)</f>
        <v>0</v>
      </c>
      <c r="AE81" s="304">
        <f>SUMIFS('Rev Adequacy'!$G$6:$G$4999,'Rev Adequacy'!$B$6:$B$4999,'Charges to party by investment'!AE$4,'Rev Adequacy'!$E$6:$E$4999,'Charges to party by investment'!$C81)</f>
        <v>0</v>
      </c>
      <c r="AF81" s="304">
        <f>SUMIFS('Rev Adequacy'!$G$6:$G$4999,'Rev Adequacy'!$B$6:$B$4999,'Charges to party by investment'!AF$4,'Rev Adequacy'!$E$6:$E$4999,'Charges to party by investment'!$C81)</f>
        <v>0</v>
      </c>
      <c r="AG81" s="304">
        <f>SUMIFS('Rev Adequacy'!$G$6:$G$4999,'Rev Adequacy'!$B$6:$B$4999,'Charges to party by investment'!AG$4,'Rev Adequacy'!$E$6:$E$4999,'Charges to party by investment'!$C81)</f>
        <v>0</v>
      </c>
      <c r="AH81" s="304">
        <f>SUMIFS('Rev Adequacy'!$G$6:$G$4999,'Rev Adequacy'!$B$6:$B$4999,'Charges to party by investment'!AH$4,'Rev Adequacy'!$E$6:$E$4999,'Charges to party by investment'!$C81)</f>
        <v>0</v>
      </c>
      <c r="AI81" s="300"/>
      <c r="AJ81" s="307">
        <f t="shared" ca="1" si="28"/>
        <v>0</v>
      </c>
      <c r="AK81" s="308">
        <f>SUMIFS('Rev Adequacy'!$BJ$27:$BJ$257,'Rev Adequacy'!$BM$27:$BM$257,'Charges to party by investment'!$D$72,'Rev Adequacy'!$BF$27:$BF$257,'Charges to party by investment'!C81)</f>
        <v>0</v>
      </c>
      <c r="AL81" s="90"/>
      <c r="AM81" s="90"/>
      <c r="AN81" s="20"/>
      <c r="AO81" s="20"/>
      <c r="AP81" s="20"/>
      <c r="AQ81" s="20"/>
      <c r="AR81" s="20"/>
      <c r="AS81" s="20"/>
      <c r="AT81" s="20"/>
      <c r="AU81" s="20"/>
      <c r="AV81" s="20"/>
      <c r="AW81" s="20"/>
      <c r="AX81" s="20"/>
      <c r="AY81" s="297"/>
      <c r="AZ81" s="297"/>
      <c r="BB81" s="251">
        <f>SUMIFS('Rev Adequacy'!$G$6:$G$4999,'Rev Adequacy'!$B$6:$B$4999,'Charges to party by investment'!V$4,'Rev Adequacy'!$E$6:$E$4999,'Charges to party by investment'!$BJ81)/1000000</f>
        <v>0.13241015500000008</v>
      </c>
      <c r="BC81" s="251">
        <f>SUMIFS('Rev Adequacy'!$G$6:$G$4999,'Rev Adequacy'!$B$6:$B$4999,'Charges to party by investment'!W$4,'Rev Adequacy'!$E$6:$E$4999,'Charges to party by investment'!$BJ81)/1000000</f>
        <v>0</v>
      </c>
      <c r="BD81" s="251">
        <f>SUMIFS('Rev Adequacy'!$G$6:$G$4999,'Rev Adequacy'!$B$6:$B$4999,'Charges to party by investment'!X$4,'Rev Adequacy'!$E$6:$E$4999,'Charges to party by investment'!$BJ81)/1000000</f>
        <v>0</v>
      </c>
      <c r="BE81" s="251">
        <f>SUMIFS('Rev Adequacy'!$G$6:$G$4999,'Rev Adequacy'!$B$6:$B$4999,'Charges to party by investment'!Y$4,'Rev Adequacy'!$E$6:$E$4999,'Charges to party by investment'!$BJ81)/1000000</f>
        <v>0.1962530749999985</v>
      </c>
      <c r="BF81" s="251">
        <f>SUMIFS('Rev Adequacy'!$G$6:$G$4999,'Rev Adequacy'!$B$6:$B$4999,'Charges to party by investment'!Z$4,'Rev Adequacy'!$E$6:$E$4999,'Charges to party by investment'!$BJ81)/1000000</f>
        <v>6.3401774000001077E-2</v>
      </c>
      <c r="BG81" s="251">
        <f>SUMIFS('Rev Adequacy'!$G$6:$G$4999,'Rev Adequacy'!$B$6:$B$4999,'Charges to party by investment'!AA$4,'Rev Adequacy'!$E$6:$E$4999,'Charges to party by investment'!$BJ81)/1000000</f>
        <v>0.47183297699999888</v>
      </c>
      <c r="BH81" s="190"/>
      <c r="BI81" s="250" t="str">
        <f>'Charges as $M per year'!A15</f>
        <v>Mainpower</v>
      </c>
      <c r="BJ81" s="252" t="s">
        <v>12</v>
      </c>
      <c r="BK81" s="253">
        <f t="shared" si="23"/>
        <v>0.86389798099999848</v>
      </c>
      <c r="BL81" s="260">
        <f t="shared" ca="1" si="27"/>
        <v>0.43670412437674277</v>
      </c>
      <c r="BM81" s="260">
        <f t="shared" ca="1" si="24"/>
        <v>0.50550427710369139</v>
      </c>
      <c r="BN81" s="190">
        <f t="shared" ca="1" si="25"/>
        <v>0.79743050555875716</v>
      </c>
      <c r="BO81" s="190">
        <f>BK81*1000/'Charges as $ per MWh'!J15</f>
        <v>1.5774950711152629</v>
      </c>
      <c r="BP81" s="97">
        <f ca="1">AU20-'Charges as $M per year'!C15</f>
        <v>-1.1785149592237758</v>
      </c>
      <c r="BQ81" s="190">
        <f t="shared" ca="1" si="26"/>
        <v>-1.3641830229300858</v>
      </c>
      <c r="BR81">
        <v>547.63909999999998</v>
      </c>
    </row>
    <row r="82" spans="3:70" x14ac:dyDescent="0.25">
      <c r="C82" s="306" t="s">
        <v>104</v>
      </c>
      <c r="D82" s="401"/>
      <c r="E82" s="90"/>
      <c r="F82" s="402">
        <f>SUMIFS('Rev Adequacy'!AL$22:AL$652,'Rev Adequacy'!$AH$22:$AH$652,'Charges to party by investment'!$C82,'Rev Adequacy'!$AJ$22:$AJ$652,'Charges to party by investment'!$D$72)</f>
        <v>0</v>
      </c>
      <c r="G82" s="402">
        <f>SUMIFS('Rev Adequacy'!AM$22:AM$652,'Rev Adequacy'!$AH$22:$AH$652,'Charges to party by investment'!$C82,'Rev Adequacy'!$AJ$22:$AJ$652,'Charges to party by investment'!$D$72)</f>
        <v>0</v>
      </c>
      <c r="H82" s="402">
        <f>SUMIFS('Rev Adequacy'!AN$22:AN$652,'Rev Adequacy'!$AH$22:$AH$652,'Charges to party by investment'!$C82,'Rev Adequacy'!$AJ$22:$AJ$652,'Charges to party by investment'!$D$72)</f>
        <v>0</v>
      </c>
      <c r="I82" s="402">
        <f>SUMIFS('Rev Adequacy'!AO$22:AO$652,'Rev Adequacy'!$AH$22:$AH$652,'Charges to party by investment'!$C82,'Rev Adequacy'!$AJ$22:$AJ$652,'Charges to party by investment'!$D$72)</f>
        <v>0</v>
      </c>
      <c r="J82" s="402">
        <f>SUMIFS('Rev Adequacy'!AP$22:AP$652,'Rev Adequacy'!$AH$22:$AH$652,'Charges to party by investment'!$C82,'Rev Adequacy'!$AJ$22:$AJ$652,'Charges to party by investment'!$D$72)</f>
        <v>0</v>
      </c>
      <c r="K82" s="402">
        <f>SUMIFS('Rev Adequacy'!AQ$22:AQ$652,'Rev Adequacy'!$AH$22:$AH$652,'Charges to party by investment'!$C82,'Rev Adequacy'!$AJ$22:$AJ$652,'Charges to party by investment'!$D$72)</f>
        <v>0</v>
      </c>
      <c r="L82" s="402">
        <f>SUMIFS('Rev Adequacy'!AR$22:AR$652,'Rev Adequacy'!$AH$22:$AH$652,'Charges to party by investment'!$C82,'Rev Adequacy'!$AJ$22:$AJ$652,'Charges to party by investment'!$D$72)</f>
        <v>0</v>
      </c>
      <c r="M82" s="402">
        <f>SUMIFS('Rev Adequacy'!AS$22:AS$652,'Rev Adequacy'!$AH$22:$AH$652,'Charges to party by investment'!$C82,'Rev Adequacy'!$AJ$22:$AJ$652,'Charges to party by investment'!$D$72)</f>
        <v>0</v>
      </c>
      <c r="N82" s="402">
        <f>SUMIFS('Rev Adequacy'!AT$22:AT$652,'Rev Adequacy'!$AH$22:$AH$652,'Charges to party by investment'!$C82,'Rev Adequacy'!$AJ$22:$AJ$652,'Charges to party by investment'!$D$72)</f>
        <v>0</v>
      </c>
      <c r="O82" s="402">
        <f>SUMIFS('Rev Adequacy'!AU$22:AU$652,'Rev Adequacy'!$AH$22:$AH$652,'Charges to party by investment'!$C82,'Rev Adequacy'!$AJ$22:$AJ$652,'Charges to party by investment'!$D$72)</f>
        <v>0</v>
      </c>
      <c r="P82" s="402">
        <f>SUMIFS('Rev Adequacy'!AV$22:AV$652,'Rev Adequacy'!$AH$22:$AH$652,'Charges to party by investment'!$C82,'Rev Adequacy'!$AJ$22:$AJ$652,'Charges to party by investment'!$D$72)</f>
        <v>0</v>
      </c>
      <c r="Q82" s="402">
        <f>SUMIFS('Rev Adequacy'!AW$22:AW$652,'Rev Adequacy'!$AH$22:$AH$652,'Charges to party by investment'!$C82,'Rev Adequacy'!$AJ$22:$AJ$652,'Charges to party by investment'!$D$72)</f>
        <v>0</v>
      </c>
      <c r="R82" s="402">
        <f>SUMIFS('Rev Adequacy'!AX$22:AX$652,'Rev Adequacy'!$AH$22:$AH$652,'Charges to party by investment'!$C82,'Rev Adequacy'!$AJ$22:$AJ$652,'Charges to party by investment'!$D$72)</f>
        <v>0</v>
      </c>
      <c r="S82" s="90"/>
      <c r="T82" s="90"/>
      <c r="U82" s="90"/>
      <c r="V82" s="402">
        <f ca="1">SUMIFS('Rev Adequacy'!$G$6:$G$4999,'Rev Adequacy'!$B$6:$B$4999,'Charges to party by investment'!V$4,'Rev Adequacy'!$E$6:$E$4999,'Charges to party by investment'!$C82,'Rev Adequacy'!$H$6:$H$4999,'Charges to party by investment'!$D$72)*V$5/V$6</f>
        <v>0</v>
      </c>
      <c r="W82" s="402">
        <f ca="1">SUMIFS('Rev Adequacy'!$G$6:$G$4999,'Rev Adequacy'!$B$6:$B$4999,'Charges to party by investment'!W$4,'Rev Adequacy'!$E$6:$E$4999,'Charges to party by investment'!$C82,'Rev Adequacy'!$H$6:$H$4999,'Charges to party by investment'!$D$72)*W$5/W$6</f>
        <v>0</v>
      </c>
      <c r="X82" s="402">
        <f ca="1">SUMIFS('Rev Adequacy'!$G$6:$G$4999,'Rev Adequacy'!$B$6:$B$4999,'Charges to party by investment'!X$4,'Rev Adequacy'!$E$6:$E$4999,'Charges to party by investment'!$C82,'Rev Adequacy'!$H$6:$H$4999,'Charges to party by investment'!$D$72)*X$5/X$6</f>
        <v>0</v>
      </c>
      <c r="Y82" s="402">
        <f ca="1">SUMIFS('Rev Adequacy'!$G$6:$G$4999,'Rev Adequacy'!$B$6:$B$4999,'Charges to party by investment'!Y$4,'Rev Adequacy'!$E$6:$E$4999,'Charges to party by investment'!$C82,'Rev Adequacy'!$H$6:$H$4999,'Charges to party by investment'!$D$72)*Y$5/Y$6</f>
        <v>0</v>
      </c>
      <c r="Z82" s="402">
        <f ca="1">SUMIFS('Rev Adequacy'!$G$6:$G$4999,'Rev Adequacy'!$B$6:$B$4999,'Charges to party by investment'!Z$4,'Rev Adequacy'!$E$6:$E$4999,'Charges to party by investment'!$C82,'Rev Adequacy'!$H$6:$H$4999,'Charges to party by investment'!$D$72)*Z$5/Z$6</f>
        <v>0</v>
      </c>
      <c r="AA82" s="402">
        <f ca="1">SUMIFS('Rev Adequacy'!$G$6:$G$4999,'Rev Adequacy'!$B$6:$B$4999,'Charges to party by investment'!AA$4,'Rev Adequacy'!$E$6:$E$4999,'Charges to party by investment'!$C82,'Rev Adequacy'!$H$6:$H$4999,'Charges to party by investment'!$D$72)*AA$5/AA$6</f>
        <v>0</v>
      </c>
      <c r="AB82" s="402">
        <f>SUMIFS('Rev Adequacy'!$G$6:$G$4999,'Rev Adequacy'!$B$6:$B$4999,'Charges to party by investment'!AB$4,'Rev Adequacy'!$E$6:$E$4999,'Charges to party by investment'!$C82)</f>
        <v>0</v>
      </c>
      <c r="AC82" s="402">
        <f>SUMIFS('Rev Adequacy'!$G$6:$G$4999,'Rev Adequacy'!$B$6:$B$4999,'Charges to party by investment'!AC$4,'Rev Adequacy'!$E$6:$E$4999,'Charges to party by investment'!$C82)</f>
        <v>0</v>
      </c>
      <c r="AD82" s="304">
        <f>SUMIFS('Rev Adequacy'!$G$6:$G$4999,'Rev Adequacy'!$B$6:$B$4999,'Charges to party by investment'!AD$4,'Rev Adequacy'!$E$6:$E$4999,'Charges to party by investment'!$C82)</f>
        <v>0</v>
      </c>
      <c r="AE82" s="304">
        <f>SUMIFS('Rev Adequacy'!$G$6:$G$4999,'Rev Adequacy'!$B$6:$B$4999,'Charges to party by investment'!AE$4,'Rev Adequacy'!$E$6:$E$4999,'Charges to party by investment'!$C82)</f>
        <v>0</v>
      </c>
      <c r="AF82" s="304">
        <f>SUMIFS('Rev Adequacy'!$G$6:$G$4999,'Rev Adequacy'!$B$6:$B$4999,'Charges to party by investment'!AF$4,'Rev Adequacy'!$E$6:$E$4999,'Charges to party by investment'!$C82)</f>
        <v>0</v>
      </c>
      <c r="AG82" s="304">
        <f>SUMIFS('Rev Adequacy'!$G$6:$G$4999,'Rev Adequacy'!$B$6:$B$4999,'Charges to party by investment'!AG$4,'Rev Adequacy'!$E$6:$E$4999,'Charges to party by investment'!$C82)</f>
        <v>0</v>
      </c>
      <c r="AH82" s="304">
        <f>SUMIFS('Rev Adequacy'!$G$6:$G$4999,'Rev Adequacy'!$B$6:$B$4999,'Charges to party by investment'!AH$4,'Rev Adequacy'!$E$6:$E$4999,'Charges to party by investment'!$C82)</f>
        <v>0</v>
      </c>
      <c r="AI82" s="300"/>
      <c r="AJ82" s="307">
        <f t="shared" ca="1" si="28"/>
        <v>0</v>
      </c>
      <c r="AK82" s="308">
        <f>SUMIFS('Rev Adequacy'!$BJ$27:$BJ$257,'Rev Adequacy'!$BM$27:$BM$257,'Charges to party by investment'!$D$72,'Rev Adequacy'!$BF$27:$BF$257,'Charges to party by investment'!C82)</f>
        <v>0</v>
      </c>
      <c r="AL82" s="90"/>
      <c r="AM82" s="90"/>
      <c r="AN82" s="20"/>
      <c r="AO82" s="20"/>
      <c r="AP82" s="20"/>
      <c r="AQ82" s="20"/>
      <c r="AR82" s="20"/>
      <c r="AS82" s="20"/>
      <c r="AT82" s="20"/>
      <c r="AU82" s="20"/>
      <c r="AV82" s="20"/>
      <c r="AW82" s="20"/>
      <c r="AX82" s="20"/>
      <c r="AY82" s="297"/>
      <c r="AZ82" s="297"/>
      <c r="BB82" s="251">
        <f>SUMIFS('Rev Adequacy'!$G$6:$G$4999,'Rev Adequacy'!$B$6:$B$4999,'Charges to party by investment'!V$4,'Rev Adequacy'!$E$6:$E$4999,'Charges to party by investment'!$BJ82)/1000000</f>
        <v>0.11147588800000099</v>
      </c>
      <c r="BC82" s="251">
        <f>SUMIFS('Rev Adequacy'!$G$6:$G$4999,'Rev Adequacy'!$B$6:$B$4999,'Charges to party by investment'!W$4,'Rev Adequacy'!$E$6:$E$4999,'Charges to party by investment'!$BJ82)/1000000</f>
        <v>0</v>
      </c>
      <c r="BD82" s="251">
        <f>SUMIFS('Rev Adequacy'!$G$6:$G$4999,'Rev Adequacy'!$B$6:$B$4999,'Charges to party by investment'!X$4,'Rev Adequacy'!$E$6:$E$4999,'Charges to party by investment'!$BJ82)/1000000</f>
        <v>0</v>
      </c>
      <c r="BE82" s="251">
        <f>SUMIFS('Rev Adequacy'!$G$6:$G$4999,'Rev Adequacy'!$B$6:$B$4999,'Charges to party by investment'!Y$4,'Rev Adequacy'!$E$6:$E$4999,'Charges to party by investment'!$BJ82)/1000000</f>
        <v>0.14729361200000199</v>
      </c>
      <c r="BF82" s="251">
        <f>SUMIFS('Rev Adequacy'!$G$6:$G$4999,'Rev Adequacy'!$B$6:$B$4999,'Charges to party by investment'!Z$4,'Rev Adequacy'!$E$6:$E$4999,'Charges to party by investment'!$BJ82)/1000000</f>
        <v>5.5039723000000297E-2</v>
      </c>
      <c r="BG82" s="251">
        <f>SUMIFS('Rev Adequacy'!$G$6:$G$4999,'Rev Adequacy'!$B$6:$B$4999,'Charges to party by investment'!AA$4,'Rev Adequacy'!$E$6:$E$4999,'Charges to party by investment'!$BJ82)/1000000</f>
        <v>0.35987054800000001</v>
      </c>
      <c r="BH82" s="190"/>
      <c r="BI82" s="250" t="str">
        <f>'Charges as $M per year'!A16</f>
        <v>Marlborough Lines</v>
      </c>
      <c r="BJ82" s="252" t="s">
        <v>13</v>
      </c>
      <c r="BK82" s="253">
        <f t="shared" si="23"/>
        <v>0.67367977100000331</v>
      </c>
      <c r="BL82" s="260">
        <f t="shared" ca="1" si="27"/>
        <v>0.34025941097117252</v>
      </c>
      <c r="BM82" s="260">
        <f t="shared" ca="1" si="24"/>
        <v>0.50507589157099808</v>
      </c>
      <c r="BN82" s="190">
        <f t="shared" ca="1" si="25"/>
        <v>0.86833454842664826</v>
      </c>
      <c r="BO82" s="190">
        <f>BK82*1000/'Charges as $ per MWh'!J16</f>
        <v>1.7192159889591305</v>
      </c>
      <c r="BP82" s="97">
        <f ca="1">AU21-'Charges as $M per year'!C16</f>
        <v>-1.6670897364701425</v>
      </c>
      <c r="BQ82" s="190">
        <f t="shared" ca="1" si="26"/>
        <v>-2.4746026350108918</v>
      </c>
      <c r="BR82">
        <v>391.85289999999998</v>
      </c>
    </row>
    <row r="83" spans="3:70" x14ac:dyDescent="0.25">
      <c r="C83" s="306" t="s">
        <v>33</v>
      </c>
      <c r="D83" s="401"/>
      <c r="E83" s="90"/>
      <c r="F83" s="402">
        <f ca="1">SUMIFS('Rev Adequacy'!AL$22:AL$652,'Rev Adequacy'!$AH$22:$AH$652,'Charges to party by investment'!$C83,'Rev Adequacy'!$AJ$22:$AJ$652,'Charges to party by investment'!$D$72)</f>
        <v>0</v>
      </c>
      <c r="G83" s="402">
        <f ca="1">SUMIFS('Rev Adequacy'!AM$22:AM$652,'Rev Adequacy'!$AH$22:$AH$652,'Charges to party by investment'!$C83,'Rev Adequacy'!$AJ$22:$AJ$652,'Charges to party by investment'!$D$72)</f>
        <v>0</v>
      </c>
      <c r="H83" s="402">
        <f ca="1">SUMIFS('Rev Adequacy'!AN$22:AN$652,'Rev Adequacy'!$AH$22:$AH$652,'Charges to party by investment'!$C83,'Rev Adequacy'!$AJ$22:$AJ$652,'Charges to party by investment'!$D$72)</f>
        <v>0</v>
      </c>
      <c r="I83" s="402">
        <f ca="1">SUMIFS('Rev Adequacy'!AO$22:AO$652,'Rev Adequacy'!$AH$22:$AH$652,'Charges to party by investment'!$C83,'Rev Adequacy'!$AJ$22:$AJ$652,'Charges to party by investment'!$D$72)</f>
        <v>0</v>
      </c>
      <c r="J83" s="402">
        <f>SUMIFS('Rev Adequacy'!AP$22:AP$652,'Rev Adequacy'!$AH$22:$AH$652,'Charges to party by investment'!$C83,'Rev Adequacy'!$AJ$22:$AJ$652,'Charges to party by investment'!$D$72)</f>
        <v>0</v>
      </c>
      <c r="K83" s="402">
        <f ca="1">SUMIFS('Rev Adequacy'!AQ$22:AQ$652,'Rev Adequacy'!$AH$22:$AH$652,'Charges to party by investment'!$C83,'Rev Adequacy'!$AJ$22:$AJ$652,'Charges to party by investment'!$D$72)</f>
        <v>0</v>
      </c>
      <c r="L83" s="402">
        <f ca="1">SUMIFS('Rev Adequacy'!AR$22:AR$652,'Rev Adequacy'!$AH$22:$AH$652,'Charges to party by investment'!$C83,'Rev Adequacy'!$AJ$22:$AJ$652,'Charges to party by investment'!$D$72)</f>
        <v>0</v>
      </c>
      <c r="M83" s="402">
        <f ca="1">SUMIFS('Rev Adequacy'!AS$22:AS$652,'Rev Adequacy'!$AH$22:$AH$652,'Charges to party by investment'!$C83,'Rev Adequacy'!$AJ$22:$AJ$652,'Charges to party by investment'!$D$72)</f>
        <v>6.2046619460762335E-2</v>
      </c>
      <c r="N83" s="402">
        <f ca="1">SUMIFS('Rev Adequacy'!AT$22:AT$652,'Rev Adequacy'!$AH$22:$AH$652,'Charges to party by investment'!$C83,'Rev Adequacy'!$AJ$22:$AJ$652,'Charges to party by investment'!$D$72)</f>
        <v>0</v>
      </c>
      <c r="O83" s="402">
        <f ca="1">SUMIFS('Rev Adequacy'!AU$22:AU$652,'Rev Adequacy'!$AH$22:$AH$652,'Charges to party by investment'!$C83,'Rev Adequacy'!$AJ$22:$AJ$652,'Charges to party by investment'!$D$72)</f>
        <v>0</v>
      </c>
      <c r="P83" s="402">
        <f ca="1">SUMIFS('Rev Adequacy'!AV$22:AV$652,'Rev Adequacy'!$AH$22:$AH$652,'Charges to party by investment'!$C83,'Rev Adequacy'!$AJ$22:$AJ$652,'Charges to party by investment'!$D$72)</f>
        <v>0</v>
      </c>
      <c r="Q83" s="402">
        <f>SUMIFS('Rev Adequacy'!AW$22:AW$652,'Rev Adequacy'!$AH$22:$AH$652,'Charges to party by investment'!$C83,'Rev Adequacy'!$AJ$22:$AJ$652,'Charges to party by investment'!$D$72)</f>
        <v>0</v>
      </c>
      <c r="R83" s="402">
        <f>SUMIFS('Rev Adequacy'!AX$22:AX$652,'Rev Adequacy'!$AH$22:$AH$652,'Charges to party by investment'!$C83,'Rev Adequacy'!$AJ$22:$AJ$652,'Charges to party by investment'!$D$72)</f>
        <v>0</v>
      </c>
      <c r="S83" s="90"/>
      <c r="T83" s="90"/>
      <c r="U83" s="90"/>
      <c r="V83" s="402">
        <f ca="1">SUMIFS('Rev Adequacy'!$G$6:$G$4999,'Rev Adequacy'!$B$6:$B$4999,'Charges to party by investment'!V$4,'Rev Adequacy'!$E$6:$E$4999,'Charges to party by investment'!$C83,'Rev Adequacy'!$H$6:$H$4999,'Charges to party by investment'!$D$72)*V$5/V$6</f>
        <v>2.4874957708224486E-2</v>
      </c>
      <c r="W83" s="402">
        <f ca="1">SUMIFS('Rev Adequacy'!$G$6:$G$4999,'Rev Adequacy'!$B$6:$B$4999,'Charges to party by investment'!W$4,'Rev Adequacy'!$E$6:$E$4999,'Charges to party by investment'!$C83,'Rev Adequacy'!$H$6:$H$4999,'Charges to party by investment'!$D$72)*W$5/W$6</f>
        <v>1.3547024921382795E-3</v>
      </c>
      <c r="X83" s="402">
        <f ca="1">SUMIFS('Rev Adequacy'!$G$6:$G$4999,'Rev Adequacy'!$B$6:$B$4999,'Charges to party by investment'!X$4,'Rev Adequacy'!$E$6:$E$4999,'Charges to party by investment'!$C83,'Rev Adequacy'!$H$6:$H$4999,'Charges to party by investment'!$D$72)*X$5/X$6</f>
        <v>1.2796689887610581E-3</v>
      </c>
      <c r="Y83" s="402">
        <f ca="1">SUMIFS('Rev Adequacy'!$G$6:$G$4999,'Rev Adequacy'!$B$6:$B$4999,'Charges to party by investment'!Y$4,'Rev Adequacy'!$E$6:$E$4999,'Charges to party by investment'!$C83,'Rev Adequacy'!$H$6:$H$4999,'Charges to party by investment'!$D$72)*Y$5/Y$6</f>
        <v>2.0660100000000002E-4</v>
      </c>
      <c r="Z83" s="402">
        <f ca="1">SUMIFS('Rev Adequacy'!$G$6:$G$4999,'Rev Adequacy'!$B$6:$B$4999,'Charges to party by investment'!Z$4,'Rev Adequacy'!$E$6:$E$4999,'Charges to party by investment'!$C83,'Rev Adequacy'!$H$6:$H$4999,'Charges to party by investment'!$D$72)*Z$5/Z$6</f>
        <v>4.1586942510505737E-3</v>
      </c>
      <c r="AA83" s="402">
        <f ca="1">SUMIFS('Rev Adequacy'!$G$6:$G$4999,'Rev Adequacy'!$B$6:$B$4999,'Charges to party by investment'!AA$4,'Rev Adequacy'!$E$6:$E$4999,'Charges to party by investment'!$C83,'Rev Adequacy'!$H$6:$H$4999,'Charges to party by investment'!$D$72)*AA$5/AA$6</f>
        <v>1.185653165555092E-4</v>
      </c>
      <c r="AB83" s="402">
        <f>SUMIFS('Rev Adequacy'!$G$6:$G$4999,'Rev Adequacy'!$B$6:$B$4999,'Charges to party by investment'!AB$4,'Rev Adequacy'!$E$6:$E$4999,'Charges to party by investment'!$C83)</f>
        <v>0</v>
      </c>
      <c r="AC83" s="402">
        <f>SUMIFS('Rev Adequacy'!$G$6:$G$4999,'Rev Adequacy'!$B$6:$B$4999,'Charges to party by investment'!AC$4,'Rev Adequacy'!$E$6:$E$4999,'Charges to party by investment'!$C83)</f>
        <v>0</v>
      </c>
      <c r="AD83" s="304">
        <f>SUMIFS('Rev Adequacy'!$G$6:$G$4999,'Rev Adequacy'!$B$6:$B$4999,'Charges to party by investment'!AD$4,'Rev Adequacy'!$E$6:$E$4999,'Charges to party by investment'!$C83)</f>
        <v>0</v>
      </c>
      <c r="AE83" s="304">
        <f>SUMIFS('Rev Adequacy'!$G$6:$G$4999,'Rev Adequacy'!$B$6:$B$4999,'Charges to party by investment'!AE$4,'Rev Adequacy'!$E$6:$E$4999,'Charges to party by investment'!$C83)</f>
        <v>0</v>
      </c>
      <c r="AF83" s="304">
        <f>SUMIFS('Rev Adequacy'!$G$6:$G$4999,'Rev Adequacy'!$B$6:$B$4999,'Charges to party by investment'!AF$4,'Rev Adequacy'!$E$6:$E$4999,'Charges to party by investment'!$C83)</f>
        <v>0</v>
      </c>
      <c r="AG83" s="304">
        <f>SUMIFS('Rev Adequacy'!$G$6:$G$4999,'Rev Adequacy'!$B$6:$B$4999,'Charges to party by investment'!AG$4,'Rev Adequacy'!$E$6:$E$4999,'Charges to party by investment'!$C83)</f>
        <v>0</v>
      </c>
      <c r="AH83" s="304">
        <f>SUMIFS('Rev Adequacy'!$G$6:$G$4999,'Rev Adequacy'!$B$6:$B$4999,'Charges to party by investment'!AH$4,'Rev Adequacy'!$E$6:$E$4999,'Charges to party by investment'!$C83)</f>
        <v>0</v>
      </c>
      <c r="AI83" s="300"/>
      <c r="AJ83" s="307">
        <f t="shared" ca="1" si="28"/>
        <v>9.4039809217492235E-2</v>
      </c>
      <c r="AK83" s="308">
        <f>SUMIFS('Rev Adequacy'!$BJ$27:$BJ$257,'Rev Adequacy'!$BM$27:$BM$257,'Charges to party by investment'!$D$72,'Rev Adequacy'!$BF$27:$BF$257,'Charges to party by investment'!C83)</f>
        <v>3.087955552362669E-2</v>
      </c>
      <c r="AL83" s="90"/>
      <c r="AM83" s="90"/>
      <c r="AN83" s="20"/>
      <c r="AO83" s="20"/>
      <c r="AP83" s="20"/>
      <c r="AQ83" s="20"/>
      <c r="AR83" s="20"/>
      <c r="AS83" s="20"/>
      <c r="AT83" s="20"/>
      <c r="AU83" s="20"/>
      <c r="AV83" s="20"/>
      <c r="AW83" s="20"/>
      <c r="AX83" s="20"/>
      <c r="AY83" s="297"/>
      <c r="AZ83" s="297"/>
      <c r="BB83" s="251">
        <f>SUMIFS('Rev Adequacy'!$G$6:$G$4999,'Rev Adequacy'!$B$6:$B$4999,'Charges to party by investment'!V$4,'Rev Adequacy'!$E$6:$E$4999,'Charges to party by investment'!$BJ83)/1000000</f>
        <v>7.3216267999996698E-2</v>
      </c>
      <c r="BC83" s="251">
        <f>SUMIFS('Rev Adequacy'!$G$6:$G$4999,'Rev Adequacy'!$B$6:$B$4999,'Charges to party by investment'!W$4,'Rev Adequacy'!$E$6:$E$4999,'Charges to party by investment'!$BJ83)/1000000</f>
        <v>0</v>
      </c>
      <c r="BD83" s="251">
        <f>SUMIFS('Rev Adequacy'!$G$6:$G$4999,'Rev Adequacy'!$B$6:$B$4999,'Charges to party by investment'!X$4,'Rev Adequacy'!$E$6:$E$4999,'Charges to party by investment'!$BJ83)/1000000</f>
        <v>0</v>
      </c>
      <c r="BE83" s="251">
        <f>SUMIFS('Rev Adequacy'!$G$6:$G$4999,'Rev Adequacy'!$B$6:$B$4999,'Charges to party by investment'!Y$4,'Rev Adequacy'!$E$6:$E$4999,'Charges to party by investment'!$BJ83)/1000000</f>
        <v>0.2980410760000049</v>
      </c>
      <c r="BF83" s="251">
        <f>SUMIFS('Rev Adequacy'!$G$6:$G$4999,'Rev Adequacy'!$B$6:$B$4999,'Charges to party by investment'!Z$4,'Rev Adequacy'!$E$6:$E$4999,'Charges to party by investment'!$BJ83)/1000000</f>
        <v>9.0240108999999832E-2</v>
      </c>
      <c r="BG83" s="251">
        <f>SUMIFS('Rev Adequacy'!$G$6:$G$4999,'Rev Adequacy'!$B$6:$B$4999,'Charges to party by investment'!AA$4,'Rev Adequacy'!$E$6:$E$4999,'Charges to party by investment'!$BJ83)/1000000</f>
        <v>0.70157323999999899</v>
      </c>
      <c r="BH83" s="190"/>
      <c r="BI83" s="250" t="str">
        <f>'Charges as $M per year'!A17</f>
        <v>Network Tasman</v>
      </c>
      <c r="BJ83" s="252" t="s">
        <v>19</v>
      </c>
      <c r="BK83" s="253">
        <f t="shared" si="23"/>
        <v>1.1630706930000003</v>
      </c>
      <c r="BL83" s="260">
        <f t="shared" ca="1" si="27"/>
        <v>0.61994440424498742</v>
      </c>
      <c r="BM83" s="260">
        <f t="shared" ca="1" si="24"/>
        <v>0.53302383765333794</v>
      </c>
      <c r="BN83" s="190">
        <f t="shared" ca="1" si="25"/>
        <v>0.84935165263031132</v>
      </c>
      <c r="BO83" s="190">
        <f>BK83*1000/'Charges as $ per MWh'!J17</f>
        <v>1.5934590399739368</v>
      </c>
      <c r="BP83" s="97">
        <f ca="1">AU22-'Charges as $M per year'!C17</f>
        <v>-0.42316963681014741</v>
      </c>
      <c r="BQ83" s="190">
        <f t="shared" ca="1" si="26"/>
        <v>-0.36383827686228809</v>
      </c>
      <c r="BR83">
        <v>729.90309999999999</v>
      </c>
    </row>
    <row r="84" spans="3:70" x14ac:dyDescent="0.25">
      <c r="C84" s="306" t="s">
        <v>35</v>
      </c>
      <c r="D84" s="401"/>
      <c r="E84" s="90"/>
      <c r="F84" s="402">
        <f ca="1">SUMIFS('Rev Adequacy'!AL$22:AL$652,'Rev Adequacy'!$AH$22:$AH$652,'Charges to party by investment'!$C84,'Rev Adequacy'!$AJ$22:$AJ$652,'Charges to party by investment'!$D$72)</f>
        <v>0</v>
      </c>
      <c r="G84" s="402">
        <f ca="1">SUMIFS('Rev Adequacy'!AM$22:AM$652,'Rev Adequacy'!$AH$22:$AH$652,'Charges to party by investment'!$C84,'Rev Adequacy'!$AJ$22:$AJ$652,'Charges to party by investment'!$D$72)</f>
        <v>0</v>
      </c>
      <c r="H84" s="402">
        <f ca="1">SUMIFS('Rev Adequacy'!AN$22:AN$652,'Rev Adequacy'!$AH$22:$AH$652,'Charges to party by investment'!$C84,'Rev Adequacy'!$AJ$22:$AJ$652,'Charges to party by investment'!$D$72)</f>
        <v>0</v>
      </c>
      <c r="I84" s="402">
        <f ca="1">SUMIFS('Rev Adequacy'!AO$22:AO$652,'Rev Adequacy'!$AH$22:$AH$652,'Charges to party by investment'!$C84,'Rev Adequacy'!$AJ$22:$AJ$652,'Charges to party by investment'!$D$72)</f>
        <v>0</v>
      </c>
      <c r="J84" s="402">
        <f>SUMIFS('Rev Adequacy'!AP$22:AP$652,'Rev Adequacy'!$AH$22:$AH$652,'Charges to party by investment'!$C84,'Rev Adequacy'!$AJ$22:$AJ$652,'Charges to party by investment'!$D$72)</f>
        <v>0</v>
      </c>
      <c r="K84" s="402">
        <f ca="1">SUMIFS('Rev Adequacy'!AQ$22:AQ$652,'Rev Adequacy'!$AH$22:$AH$652,'Charges to party by investment'!$C84,'Rev Adequacy'!$AJ$22:$AJ$652,'Charges to party by investment'!$D$72)</f>
        <v>0</v>
      </c>
      <c r="L84" s="402">
        <f ca="1">SUMIFS('Rev Adequacy'!AR$22:AR$652,'Rev Adequacy'!$AH$22:$AH$652,'Charges to party by investment'!$C84,'Rev Adequacy'!$AJ$22:$AJ$652,'Charges to party by investment'!$D$72)</f>
        <v>0</v>
      </c>
      <c r="M84" s="402">
        <f ca="1">SUMIFS('Rev Adequacy'!AS$22:AS$652,'Rev Adequacy'!$AH$22:$AH$652,'Charges to party by investment'!$C84,'Rev Adequacy'!$AJ$22:$AJ$652,'Charges to party by investment'!$D$72)</f>
        <v>8.3225499903347197E-2</v>
      </c>
      <c r="N84" s="402">
        <f ca="1">SUMIFS('Rev Adequacy'!AT$22:AT$652,'Rev Adequacy'!$AH$22:$AH$652,'Charges to party by investment'!$C84,'Rev Adequacy'!$AJ$22:$AJ$652,'Charges to party by investment'!$D$72)</f>
        <v>0</v>
      </c>
      <c r="O84" s="402">
        <f ca="1">SUMIFS('Rev Adequacy'!AU$22:AU$652,'Rev Adequacy'!$AH$22:$AH$652,'Charges to party by investment'!$C84,'Rev Adequacy'!$AJ$22:$AJ$652,'Charges to party by investment'!$D$72)</f>
        <v>0</v>
      </c>
      <c r="P84" s="402">
        <f ca="1">SUMIFS('Rev Adequacy'!AV$22:AV$652,'Rev Adequacy'!$AH$22:$AH$652,'Charges to party by investment'!$C84,'Rev Adequacy'!$AJ$22:$AJ$652,'Charges to party by investment'!$D$72)</f>
        <v>0</v>
      </c>
      <c r="Q84" s="402">
        <f>SUMIFS('Rev Adequacy'!AW$22:AW$652,'Rev Adequacy'!$AH$22:$AH$652,'Charges to party by investment'!$C84,'Rev Adequacy'!$AJ$22:$AJ$652,'Charges to party by investment'!$D$72)</f>
        <v>0</v>
      </c>
      <c r="R84" s="402">
        <f>SUMIFS('Rev Adequacy'!AX$22:AX$652,'Rev Adequacy'!$AH$22:$AH$652,'Charges to party by investment'!$C84,'Rev Adequacy'!$AJ$22:$AJ$652,'Charges to party by investment'!$D$72)</f>
        <v>0</v>
      </c>
      <c r="S84" s="90"/>
      <c r="T84" s="90"/>
      <c r="U84" s="90"/>
      <c r="V84" s="403">
        <f ca="1">SUMIFS('Rev Adequacy'!$G$6:$G$4999,'Rev Adequacy'!$B$6:$B$4999,'Charges to party by investment'!V$4,'Rev Adequacy'!$E$6:$E$4999,'Charges to party by investment'!$C84,'Rev Adequacy'!$H$6:$H$4999,'Charges to party by investment'!$D$72)*V$5/V$6</f>
        <v>0.12747009578300042</v>
      </c>
      <c r="W84" s="403">
        <f ca="1">SUMIFS('Rev Adequacy'!$G$6:$G$4999,'Rev Adequacy'!$B$6:$B$4999,'Charges to party by investment'!W$4,'Rev Adequacy'!$E$6:$E$4999,'Charges to party by investment'!$C84,'Rev Adequacy'!$H$6:$H$4999,'Charges to party by investment'!$D$72)*W$5/W$6</f>
        <v>4.4314890355180226E-4</v>
      </c>
      <c r="X84" s="403">
        <f ca="1">SUMIFS('Rev Adequacy'!$G$6:$G$4999,'Rev Adequacy'!$B$6:$B$4999,'Charges to party by investment'!X$4,'Rev Adequacy'!$E$6:$E$4999,'Charges to party by investment'!$C84,'Rev Adequacy'!$H$6:$H$4999,'Charges to party by investment'!$D$72)*X$5/X$6</f>
        <v>5.6565761329105705E-4</v>
      </c>
      <c r="Y84" s="403">
        <f ca="1">SUMIFS('Rev Adequacy'!$G$6:$G$4999,'Rev Adequacy'!$B$6:$B$4999,'Charges to party by investment'!Y$4,'Rev Adequacy'!$E$6:$E$4999,'Charges to party by investment'!$C84,'Rev Adequacy'!$H$6:$H$4999,'Charges to party by investment'!$D$72)*Y$5/Y$6</f>
        <v>1.6835999999999891E-4</v>
      </c>
      <c r="Z84" s="403">
        <f ca="1">SUMIFS('Rev Adequacy'!$G$6:$G$4999,'Rev Adequacy'!$B$6:$B$4999,'Charges to party by investment'!Z$4,'Rev Adequacy'!$E$6:$E$4999,'Charges to party by investment'!$C84,'Rev Adequacy'!$H$6:$H$4999,'Charges to party by investment'!$D$72)*Z$5/Z$6</f>
        <v>7.7690522509232035E-3</v>
      </c>
      <c r="AA84" s="403">
        <f ca="1">SUMIFS('Rev Adequacy'!$G$6:$G$4999,'Rev Adequacy'!$B$6:$B$4999,'Charges to party by investment'!AA$4,'Rev Adequacy'!$E$6:$E$4999,'Charges to party by investment'!$C84,'Rev Adequacy'!$H$6:$H$4999,'Charges to party by investment'!$D$72)*AA$5/AA$6</f>
        <v>6.9516628309562896E-5</v>
      </c>
      <c r="AB84" s="402">
        <f>SUMIFS('Rev Adequacy'!$G$6:$G$4999,'Rev Adequacy'!$B$6:$B$4999,'Charges to party by investment'!AB$4,'Rev Adequacy'!$E$6:$E$4999,'Charges to party by investment'!$C84)</f>
        <v>0</v>
      </c>
      <c r="AC84" s="402">
        <f>SUMIFS('Rev Adequacy'!$G$6:$G$4999,'Rev Adequacy'!$B$6:$B$4999,'Charges to party by investment'!AC$4,'Rev Adequacy'!$E$6:$E$4999,'Charges to party by investment'!$C84)</f>
        <v>0</v>
      </c>
      <c r="AD84" s="304">
        <f>SUMIFS('Rev Adequacy'!$G$6:$G$4999,'Rev Adequacy'!$B$6:$B$4999,'Charges to party by investment'!AD$4,'Rev Adequacy'!$E$6:$E$4999,'Charges to party by investment'!$C84)</f>
        <v>0</v>
      </c>
      <c r="AE84" s="304">
        <f>SUMIFS('Rev Adequacy'!$G$6:$G$4999,'Rev Adequacy'!$B$6:$B$4999,'Charges to party by investment'!AE$4,'Rev Adequacy'!$E$6:$E$4999,'Charges to party by investment'!$C84)</f>
        <v>0</v>
      </c>
      <c r="AF84" s="304">
        <f>SUMIFS('Rev Adequacy'!$G$6:$G$4999,'Rev Adequacy'!$B$6:$B$4999,'Charges to party by investment'!AF$4,'Rev Adequacy'!$E$6:$E$4999,'Charges to party by investment'!$C84)</f>
        <v>0</v>
      </c>
      <c r="AG84" s="304">
        <f>SUMIFS('Rev Adequacy'!$G$6:$G$4999,'Rev Adequacy'!$B$6:$B$4999,'Charges to party by investment'!AG$4,'Rev Adequacy'!$E$6:$E$4999,'Charges to party by investment'!$C84)</f>
        <v>0</v>
      </c>
      <c r="AH84" s="304">
        <f>SUMIFS('Rev Adequacy'!$G$6:$G$4999,'Rev Adequacy'!$B$6:$B$4999,'Charges to party by investment'!AH$4,'Rev Adequacy'!$E$6:$E$4999,'Charges to party by investment'!$C84)</f>
        <v>0</v>
      </c>
      <c r="AI84" s="300"/>
      <c r="AJ84" s="307">
        <f t="shared" ca="1" si="28"/>
        <v>0.21971133108242322</v>
      </c>
      <c r="AK84" s="308">
        <f>SUMIFS('Rev Adequacy'!$BJ$27:$BJ$257,'Rev Adequacy'!$BM$27:$BM$257,'Charges to party by investment'!$D$72,'Rev Adequacy'!$BF$27:$BF$257,'Charges to party by investment'!C84)</f>
        <v>0.27985529547016275</v>
      </c>
      <c r="AL84" s="90"/>
      <c r="AM84" s="290" t="s">
        <v>1594</v>
      </c>
      <c r="AN84" s="20"/>
      <c r="AO84" s="20"/>
      <c r="AP84" s="20"/>
      <c r="AQ84" s="20"/>
      <c r="AR84" s="20"/>
      <c r="AS84" s="20"/>
      <c r="AT84" s="20"/>
      <c r="AU84" s="20"/>
      <c r="AV84" s="20"/>
      <c r="AW84" s="20"/>
      <c r="AX84" s="20"/>
      <c r="AY84" s="297"/>
      <c r="AZ84" s="297"/>
      <c r="BB84" s="251">
        <f>SUMIFS('Rev Adequacy'!$G$6:$G$4999,'Rev Adequacy'!$B$6:$B$4999,'Charges to party by investment'!V$4,'Rev Adequacy'!$E$6:$E$4999,'Charges to party by investment'!$BJ84)/1000000</f>
        <v>0.18062680049978155</v>
      </c>
      <c r="BC84" s="251">
        <f>SUMIFS('Rev Adequacy'!$G$6:$G$4999,'Rev Adequacy'!$B$6:$B$4999,'Charges to party by investment'!W$4,'Rev Adequacy'!$E$6:$E$4999,'Charges to party by investment'!$BJ84)/1000000</f>
        <v>0</v>
      </c>
      <c r="BD84" s="251">
        <f>SUMIFS('Rev Adequacy'!$G$6:$G$4999,'Rev Adequacy'!$B$6:$B$4999,'Charges to party by investment'!X$4,'Rev Adequacy'!$E$6:$E$4999,'Charges to party by investment'!$BJ84)/1000000</f>
        <v>0</v>
      </c>
      <c r="BE84" s="251">
        <f>SUMIFS('Rev Adequacy'!$G$6:$G$4999,'Rev Adequacy'!$B$6:$B$4999,'Charges to party by investment'!Y$4,'Rev Adequacy'!$E$6:$E$4999,'Charges to party by investment'!$BJ84)/1000000</f>
        <v>7.7774987730316381E-2</v>
      </c>
      <c r="BF84" s="251">
        <f>SUMIFS('Rev Adequacy'!$G$6:$G$4999,'Rev Adequacy'!$B$6:$B$4999,'Charges to party by investment'!Z$4,'Rev Adequacy'!$E$6:$E$4999,'Charges to party by investment'!$BJ84)/1000000</f>
        <v>6.8970830020732191E-2</v>
      </c>
      <c r="BG84" s="251">
        <f>SUMIFS('Rev Adequacy'!$G$6:$G$4999,'Rev Adequacy'!$B$6:$B$4999,'Charges to party by investment'!AA$4,'Rev Adequacy'!$E$6:$E$4999,'Charges to party by investment'!$BJ84)/1000000</f>
        <v>0.25345138406093792</v>
      </c>
      <c r="BH84" s="190"/>
      <c r="BI84" s="250" t="str">
        <f>'Charges as $M per year'!A18</f>
        <v>Network Waitaki</v>
      </c>
      <c r="BJ84" s="252" t="s">
        <v>20</v>
      </c>
      <c r="BK84" s="253">
        <f t="shared" si="23"/>
        <v>0.58082400231176812</v>
      </c>
      <c r="BL84" s="260">
        <f t="shared" ca="1" si="27"/>
        <v>0.2708650006500738</v>
      </c>
      <c r="BM84" s="260">
        <f t="shared" ca="1" si="24"/>
        <v>0.4663460868903313</v>
      </c>
      <c r="BN84" s="190">
        <f t="shared" ca="1" si="25"/>
        <v>1.0070263033644147</v>
      </c>
      <c r="BO84" s="190">
        <f>BK84*1000/'Charges as $ per MWh'!J18</f>
        <v>2.1593969193124871</v>
      </c>
      <c r="BP84" s="97">
        <f ca="1">AU23-'Charges as $M per year'!C18</f>
        <v>0.75557231408559211</v>
      </c>
      <c r="BQ84" s="190">
        <f t="shared" ca="1" si="26"/>
        <v>1.3008627589051056</v>
      </c>
      <c r="BR84">
        <v>268.9751</v>
      </c>
    </row>
    <row r="85" spans="3:70" ht="15.75" thickBot="1" x14ac:dyDescent="0.3">
      <c r="C85" s="90"/>
      <c r="D85" s="401"/>
      <c r="E85" s="90"/>
      <c r="F85" s="90"/>
      <c r="G85" s="90"/>
      <c r="H85" s="90"/>
      <c r="I85" s="90"/>
      <c r="J85" s="90"/>
      <c r="K85" s="90"/>
      <c r="L85" s="90"/>
      <c r="M85" s="90"/>
      <c r="N85" s="90"/>
      <c r="O85" s="90"/>
      <c r="P85" s="90"/>
      <c r="Q85" s="90"/>
      <c r="R85" s="90"/>
      <c r="S85" s="90"/>
      <c r="T85" s="90"/>
      <c r="U85" s="90"/>
      <c r="V85" s="404"/>
      <c r="W85" s="404"/>
      <c r="X85" s="404"/>
      <c r="Y85" s="404"/>
      <c r="Z85" s="404"/>
      <c r="AA85" s="404"/>
      <c r="AB85" s="405"/>
      <c r="AC85" s="405"/>
      <c r="AD85" s="301"/>
      <c r="AE85" s="301"/>
      <c r="AF85" s="301"/>
      <c r="AG85" s="301"/>
      <c r="AH85" s="301"/>
      <c r="AI85" s="300"/>
      <c r="AJ85" s="408">
        <f ca="1">SUM(AJ74:AJ84)</f>
        <v>6.966796884857029</v>
      </c>
      <c r="AK85" s="408">
        <f>SUM(AK74:AK84)</f>
        <v>4.7296439994037884</v>
      </c>
      <c r="AL85" s="90"/>
      <c r="AM85" s="309">
        <f ca="1">SUM(AJ85:AK85)/(SUM($AJ$85:$AK$85)+SUM($AJ$99:$AK$99))</f>
        <v>0.16903879885234707</v>
      </c>
      <c r="AN85" s="20"/>
      <c r="AO85" s="20"/>
      <c r="AP85" s="20"/>
      <c r="AQ85" s="20"/>
      <c r="AR85" s="20"/>
      <c r="AS85" s="20"/>
      <c r="AT85" s="20"/>
      <c r="AU85" s="20"/>
      <c r="AV85" s="20"/>
      <c r="AW85" s="20"/>
      <c r="AX85" s="20"/>
      <c r="AY85" s="297"/>
      <c r="AZ85" s="297"/>
      <c r="BB85" s="251">
        <f>SUMIFS('Rev Adequacy'!$G$6:$G$4999,'Rev Adequacy'!$B$6:$B$4999,'Charges to party by investment'!V$4,'Rev Adequacy'!$E$6:$E$4999,'Charges to party by investment'!$BJ85)/1000000</f>
        <v>21.4914526862262</v>
      </c>
      <c r="BC85" s="251">
        <f>SUMIFS('Rev Adequacy'!$G$6:$G$4999,'Rev Adequacy'!$B$6:$B$4999,'Charges to party by investment'!W$4,'Rev Adequacy'!$E$6:$E$4999,'Charges to party by investment'!$BJ85)/1000000</f>
        <v>7.6092542086865835</v>
      </c>
      <c r="BD85" s="251">
        <f>SUMIFS('Rev Adequacy'!$G$6:$G$4999,'Rev Adequacy'!$B$6:$B$4999,'Charges to party by investment'!X$4,'Rev Adequacy'!$E$6:$E$4999,'Charges to party by investment'!$BJ85)/1000000</f>
        <v>29.834410462951343</v>
      </c>
      <c r="BE85" s="251">
        <f>SUMIFS('Rev Adequacy'!$G$6:$G$4999,'Rev Adequacy'!$B$6:$B$4999,'Charges to party by investment'!Y$4,'Rev Adequacy'!$E$6:$E$4999,'Charges to party by investment'!$BJ85)/1000000</f>
        <v>0.78541719767299445</v>
      </c>
      <c r="BF85" s="251">
        <f>SUMIFS('Rev Adequacy'!$G$6:$G$4999,'Rev Adequacy'!$B$6:$B$4999,'Charges to party by investment'!Z$4,'Rev Adequacy'!$E$6:$E$4999,'Charges to party by investment'!$BJ85)/1000000</f>
        <v>8.2175699999997799E-4</v>
      </c>
      <c r="BG85" s="251">
        <f>SUMIFS('Rev Adequacy'!$G$6:$G$4999,'Rev Adequacy'!$B$6:$B$4999,'Charges to party by investment'!AA$4,'Rev Adequacy'!$E$6:$E$4999,'Charges to party by investment'!$BJ85)/1000000</f>
        <v>1.3613980267722978</v>
      </c>
      <c r="BH85" s="190"/>
      <c r="BI85" s="250" t="str">
        <f>'Charges as $M per year'!A19</f>
        <v>Northpower</v>
      </c>
      <c r="BJ85" s="252" t="s">
        <v>23</v>
      </c>
      <c r="BK85" s="253">
        <f t="shared" si="23"/>
        <v>61.082754339309417</v>
      </c>
      <c r="BL85" s="260">
        <f t="shared" ca="1" si="27"/>
        <v>8.6247639669908924</v>
      </c>
      <c r="BM85" s="260">
        <f t="shared" ca="1" si="24"/>
        <v>0.14119801996945119</v>
      </c>
      <c r="BN85" s="190">
        <f t="shared" ca="1" si="25"/>
        <v>11.366690464213704</v>
      </c>
      <c r="BO85" s="190">
        <f>BK85*1000/'Charges as $ per MWh'!J19</f>
        <v>80.50176954799322</v>
      </c>
      <c r="BP85" s="97">
        <f ca="1">AU24-'Charges as $M per year'!C19</f>
        <v>7.5318193108242468</v>
      </c>
      <c r="BQ85" s="190">
        <f t="shared" ca="1" si="26"/>
        <v>0.12330516841113029</v>
      </c>
      <c r="BR85">
        <v>758.77530000000002</v>
      </c>
    </row>
    <row r="86" spans="3:70" ht="15.75" thickTop="1" x14ac:dyDescent="0.25">
      <c r="C86" s="105" t="s">
        <v>1578</v>
      </c>
      <c r="D86" s="400" t="s">
        <v>96</v>
      </c>
      <c r="E86" s="90"/>
      <c r="F86" s="90"/>
      <c r="G86" s="90"/>
      <c r="H86" s="90"/>
      <c r="I86" s="90"/>
      <c r="J86" s="90"/>
      <c r="K86" s="90"/>
      <c r="L86" s="90"/>
      <c r="M86" s="90"/>
      <c r="N86" s="90"/>
      <c r="O86" s="90"/>
      <c r="P86" s="90"/>
      <c r="Q86" s="90"/>
      <c r="R86" s="90"/>
      <c r="S86" s="90"/>
      <c r="T86" s="90"/>
      <c r="U86" s="90"/>
      <c r="V86" s="406"/>
      <c r="W86" s="406"/>
      <c r="X86" s="406"/>
      <c r="Y86" s="406"/>
      <c r="Z86" s="406"/>
      <c r="AA86" s="406"/>
      <c r="AB86" s="405"/>
      <c r="AC86" s="405"/>
      <c r="AD86" s="301"/>
      <c r="AE86" s="301"/>
      <c r="AF86" s="301"/>
      <c r="AG86" s="301"/>
      <c r="AH86" s="301"/>
      <c r="AI86" s="300"/>
      <c r="AJ86" s="90"/>
      <c r="AK86" s="90"/>
      <c r="AL86" s="90"/>
      <c r="AM86" s="290"/>
      <c r="AN86" s="20"/>
      <c r="AO86" s="20"/>
      <c r="AP86" s="20"/>
      <c r="AQ86" s="20"/>
      <c r="AR86" s="20"/>
      <c r="AS86" s="20"/>
      <c r="AT86" s="20"/>
      <c r="AU86" s="20"/>
      <c r="AV86" s="20"/>
      <c r="AW86" s="20"/>
      <c r="AX86" s="20"/>
      <c r="AY86" s="297"/>
      <c r="AZ86" s="297"/>
      <c r="BB86" s="251">
        <f>SUMIFS('Rev Adequacy'!$G$6:$G$4999,'Rev Adequacy'!$B$6:$B$4999,'Charges to party by investment'!V$4,'Rev Adequacy'!$E$6:$E$4999,'Charges to party by investment'!$BJ86)/1000000</f>
        <v>0.39327584399999932</v>
      </c>
      <c r="BC86" s="251">
        <f>SUMIFS('Rev Adequacy'!$G$6:$G$4999,'Rev Adequacy'!$B$6:$B$4999,'Charges to party by investment'!W$4,'Rev Adequacy'!$E$6:$E$4999,'Charges to party by investment'!$BJ86)/1000000</f>
        <v>0</v>
      </c>
      <c r="BD86" s="251">
        <f>SUMIFS('Rev Adequacy'!$G$6:$G$4999,'Rev Adequacy'!$B$6:$B$4999,'Charges to party by investment'!X$4,'Rev Adequacy'!$E$6:$E$4999,'Charges to party by investment'!$BJ86)/1000000</f>
        <v>0</v>
      </c>
      <c r="BE86" s="251">
        <f>SUMIFS('Rev Adequacy'!$G$6:$G$4999,'Rev Adequacy'!$B$6:$B$4999,'Charges to party by investment'!Y$4,'Rev Adequacy'!$E$6:$E$4999,'Charges to party by investment'!$BJ86)/1000000</f>
        <v>1.1598587750000042</v>
      </c>
      <c r="BF86" s="251">
        <f>SUMIFS('Rev Adequacy'!$G$6:$G$4999,'Rev Adequacy'!$B$6:$B$4999,'Charges to party by investment'!Z$4,'Rev Adequacy'!$E$6:$E$4999,'Charges to party by investment'!$BJ86)/1000000</f>
        <v>0.35502011599999656</v>
      </c>
      <c r="BG86" s="251">
        <f>SUMIFS('Rev Adequacy'!$G$6:$G$4999,'Rev Adequacy'!$B$6:$B$4999,'Charges to party by investment'!AA$4,'Rev Adequacy'!$E$6:$E$4999,'Charges to party by investment'!$BJ86)/1000000</f>
        <v>2.5116730729999888</v>
      </c>
      <c r="BH86" s="190"/>
      <c r="BI86" s="250" t="str">
        <f>'Charges as $M per year'!A20</f>
        <v>Orion</v>
      </c>
      <c r="BJ86" s="252" t="s">
        <v>25</v>
      </c>
      <c r="BK86" s="253">
        <f t="shared" si="23"/>
        <v>4.4198278079999884</v>
      </c>
      <c r="BL86" s="260">
        <f t="shared" ca="1" si="27"/>
        <v>2.3786724833106003</v>
      </c>
      <c r="BM86" s="260">
        <f t="shared" ca="1" si="24"/>
        <v>0.53818216153243559</v>
      </c>
      <c r="BN86" s="190">
        <f t="shared" ca="1" si="25"/>
        <v>0.73374329185182963</v>
      </c>
      <c r="BO86" s="190">
        <f>BK86*1000/'Charges as $ per MWh'!J20</f>
        <v>1.3633734900513008</v>
      </c>
      <c r="BP86" s="97">
        <f ca="1">AU25-'Charges as $M per year'!C20</f>
        <v>-16.32674995359239</v>
      </c>
      <c r="BQ86" s="190">
        <f t="shared" ca="1" si="26"/>
        <v>-3.69397873918088</v>
      </c>
      <c r="BR86">
        <v>3241.8319999999999</v>
      </c>
    </row>
    <row r="87" spans="3:70" x14ac:dyDescent="0.25">
      <c r="C87" s="303" t="s">
        <v>45</v>
      </c>
      <c r="D87" s="401"/>
      <c r="E87" s="90"/>
      <c r="F87" s="304"/>
      <c r="G87" s="304"/>
      <c r="H87" s="304"/>
      <c r="I87" s="304"/>
      <c r="J87" s="304"/>
      <c r="K87" s="304"/>
      <c r="L87" s="304"/>
      <c r="M87" s="304"/>
      <c r="N87" s="304"/>
      <c r="O87" s="304"/>
      <c r="P87" s="304"/>
      <c r="Q87" s="304"/>
      <c r="R87" s="304"/>
      <c r="S87" s="90"/>
      <c r="T87" s="90"/>
      <c r="U87" s="90"/>
      <c r="V87" s="407"/>
      <c r="W87" s="407"/>
      <c r="X87" s="407"/>
      <c r="Y87" s="407"/>
      <c r="Z87" s="407"/>
      <c r="AA87" s="407"/>
      <c r="AB87" s="402">
        <f>SUMIFS('Rev Adequacy'!$G$6:$G$4999,'Rev Adequacy'!$B$6:$B$4999,'Charges to party by investment'!AB$4,'Rev Adequacy'!$E$6:$E$4999,'Charges to party by investment'!$C87)</f>
        <v>0</v>
      </c>
      <c r="AC87" s="402">
        <f>SUMIFS('Rev Adequacy'!$G$6:$G$4999,'Rev Adequacy'!$B$6:$B$4999,'Charges to party by investment'!AC$4,'Rev Adequacy'!$E$6:$E$4999,'Charges to party by investment'!$C87)</f>
        <v>0</v>
      </c>
      <c r="AD87" s="304">
        <f>SUMIFS('Rev Adequacy'!$G$6:$G$4999,'Rev Adequacy'!$B$6:$B$4999,'Charges to party by investment'!AD$4,'Rev Adequacy'!$E$6:$E$4999,'Charges to party by investment'!$C87)</f>
        <v>0</v>
      </c>
      <c r="AE87" s="304">
        <f>SUMIFS('Rev Adequacy'!$G$6:$G$4999,'Rev Adequacy'!$B$6:$B$4999,'Charges to party by investment'!AE$4,'Rev Adequacy'!$E$6:$E$4999,'Charges to party by investment'!$C87)</f>
        <v>0</v>
      </c>
      <c r="AF87" s="304">
        <f>SUMIFS('Rev Adequacy'!$G$6:$G$4999,'Rev Adequacy'!$B$6:$B$4999,'Charges to party by investment'!AF$4,'Rev Adequacy'!$E$6:$E$4999,'Charges to party by investment'!$C87)</f>
        <v>0</v>
      </c>
      <c r="AG87" s="304">
        <f>SUMIFS('Rev Adequacy'!$G$6:$G$4999,'Rev Adequacy'!$B$6:$B$4999,'Charges to party by investment'!AG$4,'Rev Adequacy'!$E$6:$E$4999,'Charges to party by investment'!$C87)</f>
        <v>0</v>
      </c>
      <c r="AH87" s="304">
        <f>SUMIFS('Rev Adequacy'!$G$6:$G$4999,'Rev Adequacy'!$B$6:$B$4999,'Charges to party by investment'!AH$4,'Rev Adequacy'!$E$6:$E$4999,'Charges to party by investment'!$C87)</f>
        <v>0</v>
      </c>
      <c r="AI87" s="300"/>
      <c r="AJ87" s="307"/>
      <c r="AK87" s="90"/>
      <c r="AL87" s="90"/>
      <c r="AM87" s="290"/>
      <c r="AN87" s="20"/>
      <c r="AO87" s="20"/>
      <c r="AP87" s="20"/>
      <c r="AQ87" s="20"/>
      <c r="AR87" s="20"/>
      <c r="AS87" s="20"/>
      <c r="AT87" s="20"/>
      <c r="AU87" s="20"/>
      <c r="AV87" s="20"/>
      <c r="AW87" s="20"/>
      <c r="AX87" s="20"/>
      <c r="AY87" s="297"/>
      <c r="AZ87" s="297"/>
      <c r="BB87" s="251">
        <f>SUMIFS('Rev Adequacy'!$G$6:$G$4999,'Rev Adequacy'!$B$6:$B$4999,'Charges to party by investment'!V$4,'Rev Adequacy'!$E$6:$E$4999,'Charges to party by investment'!$BJ87)/1000000</f>
        <v>0.25735856767335069</v>
      </c>
      <c r="BC87" s="251">
        <f>SUMIFS('Rev Adequacy'!$G$6:$G$4999,'Rev Adequacy'!$B$6:$B$4999,'Charges to party by investment'!W$4,'Rev Adequacy'!$E$6:$E$4999,'Charges to party by investment'!$BJ87)/1000000</f>
        <v>0</v>
      </c>
      <c r="BD87" s="251">
        <f>SUMIFS('Rev Adequacy'!$G$6:$G$4999,'Rev Adequacy'!$B$6:$B$4999,'Charges to party by investment'!X$4,'Rev Adequacy'!$E$6:$E$4999,'Charges to party by investment'!$BJ87)/1000000</f>
        <v>0</v>
      </c>
      <c r="BE87" s="251">
        <f>SUMIFS('Rev Adequacy'!$G$6:$G$4999,'Rev Adequacy'!$B$6:$B$4999,'Charges to party by investment'!Y$4,'Rev Adequacy'!$E$6:$E$4999,'Charges to party by investment'!$BJ87)/1000000</f>
        <v>0.11521493682400162</v>
      </c>
      <c r="BF87" s="251">
        <f>SUMIFS('Rev Adequacy'!$G$6:$G$4999,'Rev Adequacy'!$B$6:$B$4999,'Charges to party by investment'!Z$4,'Rev Adequacy'!$E$6:$E$4999,'Charges to party by investment'!$BJ87)/1000000</f>
        <v>0.15641937679202664</v>
      </c>
      <c r="BG87" s="251">
        <f>SUMIFS('Rev Adequacy'!$G$6:$G$4999,'Rev Adequacy'!$B$6:$B$4999,'Charges to party by investment'!AA$4,'Rev Adequacy'!$E$6:$E$4999,'Charges to party by investment'!$BJ87)/1000000</f>
        <v>0.30275306040023586</v>
      </c>
      <c r="BH87" s="190"/>
      <c r="BI87" s="250" t="str">
        <f>'Charges as $M per year'!A21</f>
        <v>OtagoNet JV</v>
      </c>
      <c r="BJ87" s="252" t="s">
        <v>103</v>
      </c>
      <c r="BK87" s="253">
        <f t="shared" si="23"/>
        <v>0.8317459416896148</v>
      </c>
      <c r="BL87" s="260">
        <f t="shared" ca="1" si="27"/>
        <v>0.43293627326237127</v>
      </c>
      <c r="BM87" s="260">
        <f t="shared" ca="1" si="24"/>
        <v>0.52051504138739935</v>
      </c>
      <c r="BN87" s="190">
        <f t="shared" ca="1" si="25"/>
        <v>1.0194279608377759</v>
      </c>
      <c r="BO87" s="190">
        <f>BK87*1000/'Charges as $ per MWh'!J21</f>
        <v>1.9584985635007903</v>
      </c>
      <c r="BP87" s="97">
        <f ca="1">AU26-'Charges as $M per year'!C21</f>
        <v>0.7461505162665456</v>
      </c>
      <c r="BQ87" s="190">
        <f t="shared" ca="1" si="26"/>
        <v>0.89708945829156672</v>
      </c>
      <c r="BR87">
        <v>424.68549999999999</v>
      </c>
    </row>
    <row r="88" spans="3:70" x14ac:dyDescent="0.25">
      <c r="C88" s="306" t="s">
        <v>4</v>
      </c>
      <c r="D88" s="401"/>
      <c r="E88" s="90"/>
      <c r="F88" s="402">
        <f ca="1">SUMIFS('Rev Adequacy'!AL$22:AL$652,'Rev Adequacy'!$AH$22:$AH$652,'Charges to party by investment'!$C88,'Rev Adequacy'!$AJ$22:$AJ$652,'Charges to party by investment'!$D$86)</f>
        <v>0</v>
      </c>
      <c r="G88" s="402">
        <f ca="1">SUMIFS('Rev Adequacy'!AM$22:AM$652,'Rev Adequacy'!$AH$22:$AH$652,'Charges to party by investment'!$C88,'Rev Adequacy'!$AJ$22:$AJ$652,'Charges to party by investment'!$D$86)</f>
        <v>0</v>
      </c>
      <c r="H88" s="402">
        <f ca="1">SUMIFS('Rev Adequacy'!AN$22:AN$652,'Rev Adequacy'!$AH$22:$AH$652,'Charges to party by investment'!$C88,'Rev Adequacy'!$AJ$22:$AJ$652,'Charges to party by investment'!$D$86)</f>
        <v>0</v>
      </c>
      <c r="I88" s="402">
        <f ca="1">SUMIFS('Rev Adequacy'!AO$22:AO$652,'Rev Adequacy'!$AH$22:$AH$652,'Charges to party by investment'!$C88,'Rev Adequacy'!$AJ$22:$AJ$652,'Charges to party by investment'!$D$86)</f>
        <v>0</v>
      </c>
      <c r="J88" s="402">
        <f>SUMIFS('Rev Adequacy'!AP$22:AP$652,'Rev Adequacy'!$AH$22:$AH$652,'Charges to party by investment'!$C88,'Rev Adequacy'!$AJ$22:$AJ$652,'Charges to party by investment'!$D$86)</f>
        <v>0</v>
      </c>
      <c r="K88" s="402">
        <f ca="1">SUMIFS('Rev Adequacy'!AQ$22:AQ$652,'Rev Adequacy'!$AH$22:$AH$652,'Charges to party by investment'!$C88,'Rev Adequacy'!$AJ$22:$AJ$652,'Charges to party by investment'!$D$86)</f>
        <v>0</v>
      </c>
      <c r="L88" s="402">
        <f ca="1">SUMIFS('Rev Adequacy'!AR$22:AR$652,'Rev Adequacy'!$AH$22:$AH$652,'Charges to party by investment'!$C88,'Rev Adequacy'!$AJ$22:$AJ$652,'Charges to party by investment'!$D$86)</f>
        <v>0</v>
      </c>
      <c r="M88" s="402">
        <f ca="1">SUMIFS('Rev Adequacy'!AS$22:AS$652,'Rev Adequacy'!$AH$22:$AH$652,'Charges to party by investment'!$C88,'Rev Adequacy'!$AJ$22:$AJ$652,'Charges to party by investment'!$D$86)</f>
        <v>0.5992360578004311</v>
      </c>
      <c r="N88" s="402">
        <f ca="1">SUMIFS('Rev Adequacy'!AT$22:AT$652,'Rev Adequacy'!$AH$22:$AH$652,'Charges to party by investment'!$C88,'Rev Adequacy'!$AJ$22:$AJ$652,'Charges to party by investment'!$D$86)</f>
        <v>0</v>
      </c>
      <c r="O88" s="402">
        <f ca="1">SUMIFS('Rev Adequacy'!AU$22:AU$652,'Rev Adequacy'!$AH$22:$AH$652,'Charges to party by investment'!$C88,'Rev Adequacy'!$AJ$22:$AJ$652,'Charges to party by investment'!$D$86)</f>
        <v>0</v>
      </c>
      <c r="P88" s="402">
        <f ca="1">SUMIFS('Rev Adequacy'!AV$22:AV$652,'Rev Adequacy'!$AH$22:$AH$652,'Charges to party by investment'!$C88,'Rev Adequacy'!$AJ$22:$AJ$652,'Charges to party by investment'!$D$86)</f>
        <v>0</v>
      </c>
      <c r="Q88" s="402">
        <f>SUMIFS('Rev Adequacy'!AW$22:AW$652,'Rev Adequacy'!$AH$22:$AH$652,'Charges to party by investment'!$C88,'Rev Adequacy'!$AJ$22:$AJ$652,'Charges to party by investment'!$D$86)</f>
        <v>0</v>
      </c>
      <c r="R88" s="402">
        <f>SUMIFS('Rev Adequacy'!AX$22:AX$652,'Rev Adequacy'!$AH$22:$AH$652,'Charges to party by investment'!$C88,'Rev Adequacy'!$AJ$22:$AJ$652,'Charges to party by investment'!$D$86)</f>
        <v>0</v>
      </c>
      <c r="S88" s="399"/>
      <c r="T88" s="399"/>
      <c r="U88" s="399"/>
      <c r="V88" s="402">
        <f ca="1">SUMIFS('Rev Adequacy'!$G$6:$G$4999,'Rev Adequacy'!$B$6:$B$4999,'Charges to party by investment'!V$4,'Rev Adequacy'!$E$6:$E$4999,'Charges to party by investment'!$C88,'Rev Adequacy'!$H$6:$H$4999,'Charges to party by investment'!$D$86)*V$5/V$6</f>
        <v>5.0710067461691744E-5</v>
      </c>
      <c r="W88" s="402">
        <f ca="1">SUMIFS('Rev Adequacy'!$G$6:$G$4999,'Rev Adequacy'!$B$6:$B$4999,'Charges to party by investment'!W$4,'Rev Adequacy'!$E$6:$E$4999,'Charges to party by investment'!$C88,'Rev Adequacy'!$H$6:$H$4999,'Charges to party by investment'!$D$86)*W$5/W$6</f>
        <v>9.8769446423247764</v>
      </c>
      <c r="X88" s="402">
        <f ca="1">SUMIFS('Rev Adequacy'!$G$6:$G$4999,'Rev Adequacy'!$B$6:$B$4999,'Charges to party by investment'!X$4,'Rev Adequacy'!$E$6:$E$4999,'Charges to party by investment'!$C88,'Rev Adequacy'!$H$6:$H$4999,'Charges to party by investment'!$D$86)*X$5/X$6</f>
        <v>2.6262900038776236</v>
      </c>
      <c r="Y88" s="402">
        <f ca="1">SUMIFS('Rev Adequacy'!$G$6:$G$4999,'Rev Adequacy'!$B$6:$B$4999,'Charges to party by investment'!Y$4,'Rev Adequacy'!$E$6:$E$4999,'Charges to party by investment'!$C88,'Rev Adequacy'!$H$6:$H$4999,'Charges to party by investment'!$D$86)*Y$5/Y$6</f>
        <v>9.1912510897994588E-6</v>
      </c>
      <c r="Z88" s="402">
        <f ca="1">SUMIFS('Rev Adequacy'!$G$6:$G$4999,'Rev Adequacy'!$B$6:$B$4999,'Charges to party by investment'!Z$4,'Rev Adequacy'!$E$6:$E$4999,'Charges to party by investment'!$C88,'Rev Adequacy'!$H$6:$H$4999,'Charges to party by investment'!$D$86)*Z$5/Z$6</f>
        <v>9.54109550775816E-2</v>
      </c>
      <c r="AA88" s="402">
        <f ca="1">SUMIFS('Rev Adequacy'!$G$6:$G$4999,'Rev Adequacy'!$B$6:$B$4999,'Charges to party by investment'!AA$4,'Rev Adequacy'!$E$6:$E$4999,'Charges to party by investment'!$C88,'Rev Adequacy'!$H$6:$H$4999,'Charges to party by investment'!$D$86)*AA$5/AA$6</f>
        <v>2.024958748500222E-5</v>
      </c>
      <c r="AB88" s="402">
        <f>SUMIFS('Rev Adequacy'!$G$6:$G$4999,'Rev Adequacy'!$B$6:$B$4999,'Charges to party by investment'!AB$4,'Rev Adequacy'!$E$6:$E$4999,'Charges to party by investment'!$C88)</f>
        <v>0</v>
      </c>
      <c r="AC88" s="402">
        <f>SUMIFS('Rev Adequacy'!$G$6:$G$4999,'Rev Adequacy'!$B$6:$B$4999,'Charges to party by investment'!AC$4,'Rev Adequacy'!$E$6:$E$4999,'Charges to party by investment'!$C88)</f>
        <v>0</v>
      </c>
      <c r="AD88" s="304">
        <f>SUMIFS('Rev Adequacy'!$G$6:$G$4999,'Rev Adequacy'!$B$6:$B$4999,'Charges to party by investment'!AD$4,'Rev Adequacy'!$E$6:$E$4999,'Charges to party by investment'!$C88)</f>
        <v>0</v>
      </c>
      <c r="AE88" s="304">
        <f>SUMIFS('Rev Adequacy'!$G$6:$G$4999,'Rev Adequacy'!$B$6:$B$4999,'Charges to party by investment'!AE$4,'Rev Adequacy'!$E$6:$E$4999,'Charges to party by investment'!$C88)</f>
        <v>0</v>
      </c>
      <c r="AF88" s="304">
        <f>SUMIFS('Rev Adequacy'!$G$6:$G$4999,'Rev Adequacy'!$B$6:$B$4999,'Charges to party by investment'!AF$4,'Rev Adequacy'!$E$6:$E$4999,'Charges to party by investment'!$C88)</f>
        <v>0</v>
      </c>
      <c r="AG88" s="304">
        <f>SUMIFS('Rev Adequacy'!$G$6:$G$4999,'Rev Adequacy'!$B$6:$B$4999,'Charges to party by investment'!AG$4,'Rev Adequacy'!$E$6:$E$4999,'Charges to party by investment'!$C88)</f>
        <v>0</v>
      </c>
      <c r="AH88" s="304">
        <f>SUMIFS('Rev Adequacy'!$G$6:$G$4999,'Rev Adequacy'!$B$6:$B$4999,'Charges to party by investment'!AH$4,'Rev Adequacy'!$E$6:$E$4999,'Charges to party by investment'!$C88)</f>
        <v>0</v>
      </c>
      <c r="AI88" s="300"/>
      <c r="AJ88" s="307">
        <f t="shared" ref="AJ88:AJ98" ca="1" si="29">SUM(F88:AH88)</f>
        <v>13.197961809986447</v>
      </c>
      <c r="AK88" s="308">
        <f>SUMIFS('Rev Adequacy'!$BJ$27:$BJ$257,'Rev Adequacy'!$BM$27:$BM$257,'Charges to party by investment'!$D$86,'Rev Adequacy'!$BF$27:$BF$257,'Charges to party by investment'!C88)</f>
        <v>0.24808068036614103</v>
      </c>
      <c r="AL88" s="90"/>
      <c r="AM88" s="290"/>
      <c r="AN88" s="20"/>
      <c r="AO88" s="20"/>
      <c r="AP88" s="20"/>
      <c r="AQ88" s="20"/>
      <c r="AR88" s="20"/>
      <c r="AS88" s="20"/>
      <c r="AT88" s="20"/>
      <c r="AU88" s="20"/>
      <c r="AV88" s="20"/>
      <c r="AW88" s="20"/>
      <c r="AX88" s="20"/>
      <c r="AY88" s="297"/>
      <c r="AZ88" s="297"/>
      <c r="BB88" s="251">
        <f>SUMIFS('Rev Adequacy'!$G$6:$G$4999,'Rev Adequacy'!$B$6:$B$4999,'Charges to party by investment'!V$4,'Rev Adequacy'!$E$6:$E$4999,'Charges to party by investment'!$BJ88)/1000000</f>
        <v>2.530330567323849</v>
      </c>
      <c r="BC88" s="251">
        <f>SUMIFS('Rev Adequacy'!$G$6:$G$4999,'Rev Adequacy'!$B$6:$B$4999,'Charges to party by investment'!W$4,'Rev Adequacy'!$E$6:$E$4999,'Charges to party by investment'!$BJ88)/1000000</f>
        <v>42.604949260258152</v>
      </c>
      <c r="BD88" s="251">
        <f>SUMIFS('Rev Adequacy'!$G$6:$G$4999,'Rev Adequacy'!$B$6:$B$4999,'Charges to party by investment'!X$4,'Rev Adequacy'!$E$6:$E$4999,'Charges to party by investment'!$BJ88)/1000000</f>
        <v>190.43014684206895</v>
      </c>
      <c r="BE88" s="251">
        <f>SUMIFS('Rev Adequacy'!$G$6:$G$4999,'Rev Adequacy'!$B$6:$B$4999,'Charges to party by investment'!Y$4,'Rev Adequacy'!$E$6:$E$4999,'Charges to party by investment'!$BJ88)/1000000</f>
        <v>1.6061266088144599</v>
      </c>
      <c r="BF88" s="251">
        <f>SUMIFS('Rev Adequacy'!$G$6:$G$4999,'Rev Adequacy'!$B$6:$B$4999,'Charges to party by investment'!Z$4,'Rev Adequacy'!$E$6:$E$4999,'Charges to party by investment'!$BJ88)/1000000</f>
        <v>6.3921929999999584E-3</v>
      </c>
      <c r="BG88" s="251">
        <f>SUMIFS('Rev Adequacy'!$G$6:$G$4999,'Rev Adequacy'!$B$6:$B$4999,'Charges to party by investment'!AA$4,'Rev Adequacy'!$E$6:$E$4999,'Charges to party by investment'!$BJ88)/1000000</f>
        <v>5.2121686751037384</v>
      </c>
      <c r="BH88" s="190"/>
      <c r="BI88" s="250" t="str">
        <f>'Charges as $M per year'!A22</f>
        <v>Powerco</v>
      </c>
      <c r="BJ88" s="252" t="s">
        <v>28</v>
      </c>
      <c r="BK88" s="253">
        <f t="shared" si="23"/>
        <v>242.39011414656915</v>
      </c>
      <c r="BL88" s="260">
        <f t="shared" ca="1" si="27"/>
        <v>15.604174552350369</v>
      </c>
      <c r="BM88" s="260">
        <f t="shared" ca="1" si="24"/>
        <v>6.4376282866531395E-2</v>
      </c>
      <c r="BN88" s="190">
        <f t="shared" ca="1" si="25"/>
        <v>3.5600065779421159</v>
      </c>
      <c r="BO88" s="190">
        <f>BK88*1000/'Charges as $ per MWh'!J22</f>
        <v>55.299971036273185</v>
      </c>
      <c r="BP88" s="97">
        <f ca="1">AU27-'Charges as $M per year'!C22</f>
        <v>-1.6811608520764594</v>
      </c>
      <c r="BQ88" s="190">
        <f t="shared" ca="1" si="26"/>
        <v>-6.9357649258743707E-3</v>
      </c>
      <c r="BR88">
        <v>4383.1869999999999</v>
      </c>
    </row>
    <row r="89" spans="3:70" x14ac:dyDescent="0.25">
      <c r="C89" s="306" t="s">
        <v>10</v>
      </c>
      <c r="D89" s="401"/>
      <c r="E89" s="90"/>
      <c r="F89" s="402">
        <f ca="1">SUMIFS('Rev Adequacy'!AL$22:AL$652,'Rev Adequacy'!$AH$22:$AH$652,'Charges to party by investment'!$C89,'Rev Adequacy'!$AJ$22:$AJ$652,'Charges to party by investment'!$D$86)</f>
        <v>0</v>
      </c>
      <c r="G89" s="402">
        <f ca="1">SUMIFS('Rev Adequacy'!AM$22:AM$652,'Rev Adequacy'!$AH$22:$AH$652,'Charges to party by investment'!$C89,'Rev Adequacy'!$AJ$22:$AJ$652,'Charges to party by investment'!$D$86)</f>
        <v>0</v>
      </c>
      <c r="H89" s="402">
        <f ca="1">SUMIFS('Rev Adequacy'!AN$22:AN$652,'Rev Adequacy'!$AH$22:$AH$652,'Charges to party by investment'!$C89,'Rev Adequacy'!$AJ$22:$AJ$652,'Charges to party by investment'!$D$86)</f>
        <v>0</v>
      </c>
      <c r="I89" s="402">
        <f ca="1">SUMIFS('Rev Adequacy'!AO$22:AO$652,'Rev Adequacy'!$AH$22:$AH$652,'Charges to party by investment'!$C89,'Rev Adequacy'!$AJ$22:$AJ$652,'Charges to party by investment'!$D$86)</f>
        <v>0</v>
      </c>
      <c r="J89" s="402">
        <f>SUMIFS('Rev Adequacy'!AP$22:AP$652,'Rev Adequacy'!$AH$22:$AH$652,'Charges to party by investment'!$C89,'Rev Adequacy'!$AJ$22:$AJ$652,'Charges to party by investment'!$D$86)</f>
        <v>0</v>
      </c>
      <c r="K89" s="402">
        <f ca="1">SUMIFS('Rev Adequacy'!AQ$22:AQ$652,'Rev Adequacy'!$AH$22:$AH$652,'Charges to party by investment'!$C89,'Rev Adequacy'!$AJ$22:$AJ$652,'Charges to party by investment'!$D$86)</f>
        <v>0</v>
      </c>
      <c r="L89" s="402">
        <f ca="1">SUMIFS('Rev Adequacy'!AR$22:AR$652,'Rev Adequacy'!$AH$22:$AH$652,'Charges to party by investment'!$C89,'Rev Adequacy'!$AJ$22:$AJ$652,'Charges to party by investment'!$D$86)</f>
        <v>0</v>
      </c>
      <c r="M89" s="402">
        <f ca="1">SUMIFS('Rev Adequacy'!AS$22:AS$652,'Rev Adequacy'!$AH$22:$AH$652,'Charges to party by investment'!$C89,'Rev Adequacy'!$AJ$22:$AJ$652,'Charges to party by investment'!$D$86)</f>
        <v>0.24719341244693105</v>
      </c>
      <c r="N89" s="402">
        <f ca="1">SUMIFS('Rev Adequacy'!AT$22:AT$652,'Rev Adequacy'!$AH$22:$AH$652,'Charges to party by investment'!$C89,'Rev Adequacy'!$AJ$22:$AJ$652,'Charges to party by investment'!$D$86)</f>
        <v>0</v>
      </c>
      <c r="O89" s="402">
        <f ca="1">SUMIFS('Rev Adequacy'!AU$22:AU$652,'Rev Adequacy'!$AH$22:$AH$652,'Charges to party by investment'!$C89,'Rev Adequacy'!$AJ$22:$AJ$652,'Charges to party by investment'!$D$86)</f>
        <v>0</v>
      </c>
      <c r="P89" s="402">
        <f ca="1">SUMIFS('Rev Adequacy'!AV$22:AV$652,'Rev Adequacy'!$AH$22:$AH$652,'Charges to party by investment'!$C89,'Rev Adequacy'!$AJ$22:$AJ$652,'Charges to party by investment'!$D$86)</f>
        <v>0</v>
      </c>
      <c r="Q89" s="402">
        <f>SUMIFS('Rev Adequacy'!AW$22:AW$652,'Rev Adequacy'!$AH$22:$AH$652,'Charges to party by investment'!$C89,'Rev Adequacy'!$AJ$22:$AJ$652,'Charges to party by investment'!$D$86)</f>
        <v>0</v>
      </c>
      <c r="R89" s="402">
        <f>SUMIFS('Rev Adequacy'!AX$22:AX$652,'Rev Adequacy'!$AH$22:$AH$652,'Charges to party by investment'!$C89,'Rev Adequacy'!$AJ$22:$AJ$652,'Charges to party by investment'!$D$86)</f>
        <v>0</v>
      </c>
      <c r="S89" s="399"/>
      <c r="T89" s="399"/>
      <c r="U89" s="399"/>
      <c r="V89" s="402">
        <f ca="1">SUMIFS('Rev Adequacy'!$G$6:$G$4999,'Rev Adequacy'!$B$6:$B$4999,'Charges to party by investment'!V$4,'Rev Adequacy'!$E$6:$E$4999,'Charges to party by investment'!$C89,'Rev Adequacy'!$H$6:$H$4999,'Charges to party by investment'!$D$86)*V$5/V$6</f>
        <v>1.9400834858295857E-2</v>
      </c>
      <c r="W89" s="402">
        <f ca="1">SUMIFS('Rev Adequacy'!$G$6:$G$4999,'Rev Adequacy'!$B$6:$B$4999,'Charges to party by investment'!W$4,'Rev Adequacy'!$E$6:$E$4999,'Charges to party by investment'!$C89,'Rev Adequacy'!$H$6:$H$4999,'Charges to party by investment'!$D$86)*W$5/W$6</f>
        <v>2.1577070289439231</v>
      </c>
      <c r="X89" s="402">
        <f ca="1">SUMIFS('Rev Adequacy'!$G$6:$G$4999,'Rev Adequacy'!$B$6:$B$4999,'Charges to party by investment'!X$4,'Rev Adequacy'!$E$6:$E$4999,'Charges to party by investment'!$C89,'Rev Adequacy'!$H$6:$H$4999,'Charges to party by investment'!$D$86)*X$5/X$6</f>
        <v>0.45169058004925788</v>
      </c>
      <c r="Y89" s="402">
        <f ca="1">SUMIFS('Rev Adequacy'!$G$6:$G$4999,'Rev Adequacy'!$B$6:$B$4999,'Charges to party by investment'!Y$4,'Rev Adequacy'!$E$6:$E$4999,'Charges to party by investment'!$C89,'Rev Adequacy'!$H$6:$H$4999,'Charges to party by investment'!$D$86)*Y$5/Y$6</f>
        <v>0</v>
      </c>
      <c r="Z89" s="402">
        <f ca="1">SUMIFS('Rev Adequacy'!$G$6:$G$4999,'Rev Adequacy'!$B$6:$B$4999,'Charges to party by investment'!Z$4,'Rev Adequacy'!$E$6:$E$4999,'Charges to party by investment'!$C89,'Rev Adequacy'!$H$6:$H$4999,'Charges to party by investment'!$D$86)*Z$5/Z$6</f>
        <v>4.0487604369907285E-3</v>
      </c>
      <c r="AA89" s="402">
        <f ca="1">SUMIFS('Rev Adequacy'!$G$6:$G$4999,'Rev Adequacy'!$B$6:$B$4999,'Charges to party by investment'!AA$4,'Rev Adequacy'!$E$6:$E$4999,'Charges to party by investment'!$C89,'Rev Adequacy'!$H$6:$H$4999,'Charges to party by investment'!$D$86)*AA$5/AA$6</f>
        <v>0</v>
      </c>
      <c r="AB89" s="402">
        <f>SUMIFS('Rev Adequacy'!$G$6:$G$4999,'Rev Adequacy'!$B$6:$B$4999,'Charges to party by investment'!AB$4,'Rev Adequacy'!$E$6:$E$4999,'Charges to party by investment'!$C89)</f>
        <v>0</v>
      </c>
      <c r="AC89" s="402">
        <f>SUMIFS('Rev Adequacy'!$G$6:$G$4999,'Rev Adequacy'!$B$6:$B$4999,'Charges to party by investment'!AC$4,'Rev Adequacy'!$E$6:$E$4999,'Charges to party by investment'!$C89)</f>
        <v>0</v>
      </c>
      <c r="AD89" s="304">
        <f>SUMIFS('Rev Adequacy'!$G$6:$G$4999,'Rev Adequacy'!$B$6:$B$4999,'Charges to party by investment'!AD$4,'Rev Adequacy'!$E$6:$E$4999,'Charges to party by investment'!$C89)</f>
        <v>0</v>
      </c>
      <c r="AE89" s="304">
        <f>SUMIFS('Rev Adequacy'!$G$6:$G$4999,'Rev Adequacy'!$B$6:$B$4999,'Charges to party by investment'!AE$4,'Rev Adequacy'!$E$6:$E$4999,'Charges to party by investment'!$C89)</f>
        <v>0</v>
      </c>
      <c r="AF89" s="304">
        <f>SUMIFS('Rev Adequacy'!$G$6:$G$4999,'Rev Adequacy'!$B$6:$B$4999,'Charges to party by investment'!AF$4,'Rev Adequacy'!$E$6:$E$4999,'Charges to party by investment'!$C89)</f>
        <v>0</v>
      </c>
      <c r="AG89" s="304">
        <f>SUMIFS('Rev Adequacy'!$G$6:$G$4999,'Rev Adequacy'!$B$6:$B$4999,'Charges to party by investment'!AG$4,'Rev Adequacy'!$E$6:$E$4999,'Charges to party by investment'!$C89)</f>
        <v>0</v>
      </c>
      <c r="AH89" s="304">
        <f>SUMIFS('Rev Adequacy'!$G$6:$G$4999,'Rev Adequacy'!$B$6:$B$4999,'Charges to party by investment'!AH$4,'Rev Adequacy'!$E$6:$E$4999,'Charges to party by investment'!$C89)</f>
        <v>0</v>
      </c>
      <c r="AI89" s="300"/>
      <c r="AJ89" s="307">
        <f t="shared" ca="1" si="29"/>
        <v>2.8800406167353989</v>
      </c>
      <c r="AK89" s="308">
        <f>SUMIFS('Rev Adequacy'!$BJ$27:$BJ$257,'Rev Adequacy'!$BM$27:$BM$257,'Charges to party by investment'!$D$86,'Rev Adequacy'!$BF$27:$BF$257,'Charges to party by investment'!C89)</f>
        <v>6.7129468529623249E-3</v>
      </c>
      <c r="AL89" s="90"/>
      <c r="AM89" s="290"/>
      <c r="AN89" s="20"/>
      <c r="AO89" s="20"/>
      <c r="AP89" s="20"/>
      <c r="AQ89" s="20"/>
      <c r="AR89" s="20"/>
      <c r="AS89" s="20"/>
      <c r="AT89" s="20"/>
      <c r="AU89" s="20"/>
      <c r="AV89" s="20"/>
      <c r="AW89" s="20"/>
      <c r="AX89" s="20"/>
      <c r="AY89" s="297"/>
      <c r="AZ89" s="297"/>
      <c r="BB89" s="251">
        <f>SUMIFS('Rev Adequacy'!$G$6:$G$4999,'Rev Adequacy'!$B$6:$B$4999,'Charges to party by investment'!V$4,'Rev Adequacy'!$E$6:$E$4999,'Charges to party by investment'!$BJ89)/1000000</f>
        <v>2.6643053999999583E-2</v>
      </c>
      <c r="BC89" s="251">
        <f>SUMIFS('Rev Adequacy'!$G$6:$G$4999,'Rev Adequacy'!$B$6:$B$4999,'Charges to party by investment'!W$4,'Rev Adequacy'!$E$6:$E$4999,'Charges to party by investment'!$BJ89)/1000000</f>
        <v>0.87788799399999995</v>
      </c>
      <c r="BD89" s="251">
        <f>SUMIFS('Rev Adequacy'!$G$6:$G$4999,'Rev Adequacy'!$B$6:$B$4999,'Charges to party by investment'!X$4,'Rev Adequacy'!$E$6:$E$4999,'Charges to party by investment'!$BJ89)/1000000</f>
        <v>3.6600604410000082</v>
      </c>
      <c r="BE89" s="251">
        <f>SUMIFS('Rev Adequacy'!$G$6:$G$4999,'Rev Adequacy'!$B$6:$B$4999,'Charges to party by investment'!Y$4,'Rev Adequacy'!$E$6:$E$4999,'Charges to party by investment'!$BJ89)/1000000</f>
        <v>2.97891179999995E-2</v>
      </c>
      <c r="BF89" s="251">
        <f>SUMIFS('Rev Adequacy'!$G$6:$G$4999,'Rev Adequacy'!$B$6:$B$4999,'Charges to party by investment'!Z$4,'Rev Adequacy'!$E$6:$E$4999,'Charges to party by investment'!$BJ89)/1000000</f>
        <v>3.1063099999999503E-4</v>
      </c>
      <c r="BG89" s="251">
        <f>SUMIFS('Rev Adequacy'!$G$6:$G$4999,'Rev Adequacy'!$B$6:$B$4999,'Charges to party by investment'!AA$4,'Rev Adequacy'!$E$6:$E$4999,'Charges to party by investment'!$BJ89)/1000000</f>
        <v>8.4291990999999705E-2</v>
      </c>
      <c r="BH89" s="190"/>
      <c r="BI89" s="250" t="str">
        <f>'Charges as $M per year'!A23</f>
        <v>Scanpower</v>
      </c>
      <c r="BJ89" s="252" t="s">
        <v>31</v>
      </c>
      <c r="BK89" s="253">
        <f t="shared" si="23"/>
        <v>4.6789832290000062</v>
      </c>
      <c r="BL89" s="260">
        <f t="shared" ca="1" si="27"/>
        <v>0.29606618424947007</v>
      </c>
      <c r="BM89" s="260">
        <f t="shared" ca="1" si="24"/>
        <v>6.3275752393056856E-2</v>
      </c>
      <c r="BN89" s="190">
        <f t="shared" ca="1" si="25"/>
        <v>3.5500627926809516</v>
      </c>
      <c r="BO89" s="190">
        <f>BK89*1000/'Charges as $ per MWh'!J23</f>
        <v>56.104631844259096</v>
      </c>
      <c r="BP89" s="97">
        <f ca="1">AU28-'Charges as $M per year'!C23</f>
        <v>-0.32698390998318283</v>
      </c>
      <c r="BQ89" s="190">
        <f t="shared" ca="1" si="26"/>
        <v>-6.9883539645228851E-2</v>
      </c>
      <c r="BR89">
        <v>83.397450000000006</v>
      </c>
    </row>
    <row r="90" spans="3:70" x14ac:dyDescent="0.25">
      <c r="C90" s="306" t="s">
        <v>14</v>
      </c>
      <c r="D90" s="401"/>
      <c r="E90" s="90"/>
      <c r="F90" s="402">
        <f ca="1">SUMIFS('Rev Adequacy'!AL$22:AL$652,'Rev Adequacy'!$AH$22:$AH$652,'Charges to party by investment'!$C90,'Rev Adequacy'!$AJ$22:$AJ$652,'Charges to party by investment'!$D$86)</f>
        <v>0</v>
      </c>
      <c r="G90" s="402">
        <f ca="1">SUMIFS('Rev Adequacy'!AM$22:AM$652,'Rev Adequacy'!$AH$22:$AH$652,'Charges to party by investment'!$C90,'Rev Adequacy'!$AJ$22:$AJ$652,'Charges to party by investment'!$D$86)</f>
        <v>0</v>
      </c>
      <c r="H90" s="402">
        <f ca="1">SUMIFS('Rev Adequacy'!AN$22:AN$652,'Rev Adequacy'!$AH$22:$AH$652,'Charges to party by investment'!$C90,'Rev Adequacy'!$AJ$22:$AJ$652,'Charges to party by investment'!$D$86)</f>
        <v>0</v>
      </c>
      <c r="I90" s="402">
        <f ca="1">SUMIFS('Rev Adequacy'!AO$22:AO$652,'Rev Adequacy'!$AH$22:$AH$652,'Charges to party by investment'!$C90,'Rev Adequacy'!$AJ$22:$AJ$652,'Charges to party by investment'!$D$86)</f>
        <v>0</v>
      </c>
      <c r="J90" s="402">
        <f>SUMIFS('Rev Adequacy'!AP$22:AP$652,'Rev Adequacy'!$AH$22:$AH$652,'Charges to party by investment'!$C90,'Rev Adequacy'!$AJ$22:$AJ$652,'Charges to party by investment'!$D$86)</f>
        <v>0</v>
      </c>
      <c r="K90" s="402">
        <f ca="1">SUMIFS('Rev Adequacy'!AQ$22:AQ$652,'Rev Adequacy'!$AH$22:$AH$652,'Charges to party by investment'!$C90,'Rev Adequacy'!$AJ$22:$AJ$652,'Charges to party by investment'!$D$86)</f>
        <v>0</v>
      </c>
      <c r="L90" s="402">
        <f ca="1">SUMIFS('Rev Adequacy'!AR$22:AR$652,'Rev Adequacy'!$AH$22:$AH$652,'Charges to party by investment'!$C90,'Rev Adequacy'!$AJ$22:$AJ$652,'Charges to party by investment'!$D$86)</f>
        <v>0</v>
      </c>
      <c r="M90" s="402">
        <f ca="1">SUMIFS('Rev Adequacy'!AS$22:AS$652,'Rev Adequacy'!$AH$22:$AH$652,'Charges to party by investment'!$C90,'Rev Adequacy'!$AJ$22:$AJ$652,'Charges to party by investment'!$D$86)</f>
        <v>1.7664396436306702</v>
      </c>
      <c r="N90" s="402">
        <f ca="1">SUMIFS('Rev Adequacy'!AT$22:AT$652,'Rev Adequacy'!$AH$22:$AH$652,'Charges to party by investment'!$C90,'Rev Adequacy'!$AJ$22:$AJ$652,'Charges to party by investment'!$D$86)</f>
        <v>0</v>
      </c>
      <c r="O90" s="402">
        <f ca="1">SUMIFS('Rev Adequacy'!AU$22:AU$652,'Rev Adequacy'!$AH$22:$AH$652,'Charges to party by investment'!$C90,'Rev Adequacy'!$AJ$22:$AJ$652,'Charges to party by investment'!$D$86)</f>
        <v>0</v>
      </c>
      <c r="P90" s="402">
        <f ca="1">SUMIFS('Rev Adequacy'!AV$22:AV$652,'Rev Adequacy'!$AH$22:$AH$652,'Charges to party by investment'!$C90,'Rev Adequacy'!$AJ$22:$AJ$652,'Charges to party by investment'!$D$86)</f>
        <v>0</v>
      </c>
      <c r="Q90" s="402">
        <f>SUMIFS('Rev Adequacy'!AW$22:AW$652,'Rev Adequacy'!$AH$22:$AH$652,'Charges to party by investment'!$C90,'Rev Adequacy'!$AJ$22:$AJ$652,'Charges to party by investment'!$D$86)</f>
        <v>0</v>
      </c>
      <c r="R90" s="402">
        <f>SUMIFS('Rev Adequacy'!AX$22:AX$652,'Rev Adequacy'!$AH$22:$AH$652,'Charges to party by investment'!$C90,'Rev Adequacy'!$AJ$22:$AJ$652,'Charges to party by investment'!$D$86)</f>
        <v>0</v>
      </c>
      <c r="S90" s="399"/>
      <c r="T90" s="399"/>
      <c r="U90" s="399"/>
      <c r="V90" s="402">
        <f ca="1">SUMIFS('Rev Adequacy'!$G$6:$G$4999,'Rev Adequacy'!$B$6:$B$4999,'Charges to party by investment'!V$4,'Rev Adequacy'!$E$6:$E$4999,'Charges to party by investment'!$C90,'Rev Adequacy'!$H$6:$H$4999,'Charges to party by investment'!$D$86)*V$5/V$6</f>
        <v>1.1481325328174374E-2</v>
      </c>
      <c r="W90" s="402">
        <f ca="1">SUMIFS('Rev Adequacy'!$G$6:$G$4999,'Rev Adequacy'!$B$6:$B$4999,'Charges to party by investment'!W$4,'Rev Adequacy'!$E$6:$E$4999,'Charges to party by investment'!$C90,'Rev Adequacy'!$H$6:$H$4999,'Charges to party by investment'!$D$86)*W$5/W$6</f>
        <v>28.450172505775235</v>
      </c>
      <c r="X90" s="402">
        <f ca="1">SUMIFS('Rev Adequacy'!$G$6:$G$4999,'Rev Adequacy'!$B$6:$B$4999,'Charges to party by investment'!X$4,'Rev Adequacy'!$E$6:$E$4999,'Charges to party by investment'!$C90,'Rev Adequacy'!$H$6:$H$4999,'Charges to party by investment'!$D$86)*X$5/X$6</f>
        <v>7.3316282617360802</v>
      </c>
      <c r="Y90" s="402">
        <f ca="1">SUMIFS('Rev Adequacy'!$G$6:$G$4999,'Rev Adequacy'!$B$6:$B$4999,'Charges to party by investment'!Y$4,'Rev Adequacy'!$E$6:$E$4999,'Charges to party by investment'!$C90,'Rev Adequacy'!$H$6:$H$4999,'Charges to party by investment'!$D$86)*Y$5/Y$6</f>
        <v>1.18510171378857E-3</v>
      </c>
      <c r="Z90" s="402">
        <f ca="1">SUMIFS('Rev Adequacy'!$G$6:$G$4999,'Rev Adequacy'!$B$6:$B$4999,'Charges to party by investment'!Z$4,'Rev Adequacy'!$E$6:$E$4999,'Charges to party by investment'!$C90,'Rev Adequacy'!$H$6:$H$4999,'Charges to party by investment'!$D$86)*Z$5/Z$6</f>
        <v>0.11898296208239038</v>
      </c>
      <c r="AA90" s="402">
        <f ca="1">SUMIFS('Rev Adequacy'!$G$6:$G$4999,'Rev Adequacy'!$B$6:$B$4999,'Charges to party by investment'!AA$4,'Rev Adequacy'!$E$6:$E$4999,'Charges to party by investment'!$C90,'Rev Adequacy'!$H$6:$H$4999,'Charges to party by investment'!$D$86)*AA$5/AA$6</f>
        <v>9.7487248886716864E-4</v>
      </c>
      <c r="AB90" s="402">
        <f>SUMIFS('Rev Adequacy'!$G$6:$G$4999,'Rev Adequacy'!$B$6:$B$4999,'Charges to party by investment'!AB$4,'Rev Adequacy'!$E$6:$E$4999,'Charges to party by investment'!$C90)</f>
        <v>0</v>
      </c>
      <c r="AC90" s="402">
        <f>SUMIFS('Rev Adequacy'!$G$6:$G$4999,'Rev Adequacy'!$B$6:$B$4999,'Charges to party by investment'!AC$4,'Rev Adequacy'!$E$6:$E$4999,'Charges to party by investment'!$C90)</f>
        <v>0</v>
      </c>
      <c r="AD90" s="304">
        <f>SUMIFS('Rev Adequacy'!$G$6:$G$4999,'Rev Adequacy'!$B$6:$B$4999,'Charges to party by investment'!AD$4,'Rev Adequacy'!$E$6:$E$4999,'Charges to party by investment'!$C90)</f>
        <v>0</v>
      </c>
      <c r="AE90" s="304">
        <f>SUMIFS('Rev Adequacy'!$G$6:$G$4999,'Rev Adequacy'!$B$6:$B$4999,'Charges to party by investment'!AE$4,'Rev Adequacy'!$E$6:$E$4999,'Charges to party by investment'!$C90)</f>
        <v>0</v>
      </c>
      <c r="AF90" s="304">
        <f>SUMIFS('Rev Adequacy'!$G$6:$G$4999,'Rev Adequacy'!$B$6:$B$4999,'Charges to party by investment'!AF$4,'Rev Adequacy'!$E$6:$E$4999,'Charges to party by investment'!$C90)</f>
        <v>0</v>
      </c>
      <c r="AG90" s="304">
        <f>SUMIFS('Rev Adequacy'!$G$6:$G$4999,'Rev Adequacy'!$B$6:$B$4999,'Charges to party by investment'!AG$4,'Rev Adequacy'!$E$6:$E$4999,'Charges to party by investment'!$C90)</f>
        <v>0</v>
      </c>
      <c r="AH90" s="304">
        <f>SUMIFS('Rev Adequacy'!$G$6:$G$4999,'Rev Adequacy'!$B$6:$B$4999,'Charges to party by investment'!AH$4,'Rev Adequacy'!$E$6:$E$4999,'Charges to party by investment'!$C90)</f>
        <v>0</v>
      </c>
      <c r="AI90" s="300"/>
      <c r="AJ90" s="307">
        <f t="shared" ca="1" si="29"/>
        <v>37.680864672755206</v>
      </c>
      <c r="AK90" s="308">
        <f>SUMIFS('Rev Adequacy'!$BJ$27:$BJ$257,'Rev Adequacy'!$BM$27:$BM$257,'Charges to party by investment'!$D$86,'Rev Adequacy'!$BF$27:$BF$257,'Charges to party by investment'!C90)</f>
        <v>0.88409510053513829</v>
      </c>
      <c r="AL90" s="90"/>
      <c r="AM90" s="290"/>
      <c r="AN90" s="20"/>
      <c r="AO90" s="20"/>
      <c r="AP90" s="20"/>
      <c r="AQ90" s="20"/>
      <c r="AR90" s="20"/>
      <c r="AS90" s="20"/>
      <c r="AT90" s="20"/>
      <c r="AU90" s="20"/>
      <c r="AV90" s="20"/>
      <c r="AW90" s="20"/>
      <c r="AX90" s="20"/>
      <c r="AY90" s="297"/>
      <c r="AZ90" s="297"/>
      <c r="BB90" s="251">
        <f>SUMIFS('Rev Adequacy'!$G$6:$G$4999,'Rev Adequacy'!$B$6:$B$4999,'Charges to party by investment'!V$4,'Rev Adequacy'!$E$6:$E$4999,'Charges to party by investment'!$BJ90)/1000000</f>
        <v>0.15483659569044778</v>
      </c>
      <c r="BC90" s="251">
        <f>SUMIFS('Rev Adequacy'!$G$6:$G$4999,'Rev Adequacy'!$B$6:$B$4999,'Charges to party by investment'!W$4,'Rev Adequacy'!$E$6:$E$4999,'Charges to party by investment'!$BJ90)/1000000</f>
        <v>2.1068045711777921</v>
      </c>
      <c r="BD90" s="251">
        <f>SUMIFS('Rev Adequacy'!$G$6:$G$4999,'Rev Adequacy'!$B$6:$B$4999,'Charges to party by investment'!X$4,'Rev Adequacy'!$E$6:$E$4999,'Charges to party by investment'!$BJ90)/1000000</f>
        <v>8.6961289615350221</v>
      </c>
      <c r="BE90" s="251">
        <f>SUMIFS('Rev Adequacy'!$G$6:$G$4999,'Rev Adequacy'!$B$6:$B$4999,'Charges to party by investment'!Y$4,'Rev Adequacy'!$E$6:$E$4999,'Charges to party by investment'!$BJ90)/1000000</f>
        <v>8.3670132691660154E-2</v>
      </c>
      <c r="BF90" s="251">
        <f>SUMIFS('Rev Adequacy'!$G$6:$G$4999,'Rev Adequacy'!$B$6:$B$4999,'Charges to party by investment'!Z$4,'Rev Adequacy'!$E$6:$E$4999,'Charges to party by investment'!$BJ90)/1000000</f>
        <v>2.8643579999999905E-3</v>
      </c>
      <c r="BG90" s="251">
        <f>SUMIFS('Rev Adequacy'!$G$6:$G$4999,'Rev Adequacy'!$B$6:$B$4999,'Charges to party by investment'!AA$4,'Rev Adequacy'!$E$6:$E$4999,'Charges to party by investment'!$BJ90)/1000000</f>
        <v>0.30401664830269359</v>
      </c>
      <c r="BH90" s="190"/>
      <c r="BI90" s="250" t="str">
        <f>'Charges as $M per year'!A24</f>
        <v>The Lines Company</v>
      </c>
      <c r="BJ90" s="252" t="s">
        <v>32</v>
      </c>
      <c r="BK90" s="253">
        <f t="shared" si="23"/>
        <v>11.348321267397615</v>
      </c>
      <c r="BL90" s="260">
        <f t="shared" ca="1" si="27"/>
        <v>0.77550106167061228</v>
      </c>
      <c r="BM90" s="260">
        <f t="shared" ca="1" si="24"/>
        <v>6.8336192058514864E-2</v>
      </c>
      <c r="BN90" s="190">
        <f t="shared" ca="1" si="25"/>
        <v>2.6626828739445845</v>
      </c>
      <c r="BO90" s="190">
        <f>BK90*1000/'Charges as $ per MWh'!J24</f>
        <v>38.964460759894031</v>
      </c>
      <c r="BP90" s="97">
        <f ca="1">AU29-'Charges as $M per year'!C24</f>
        <v>1.5007418550499096</v>
      </c>
      <c r="BQ90" s="190">
        <f t="shared" ca="1" si="26"/>
        <v>0.13224351158980346</v>
      </c>
      <c r="BR90">
        <v>291.24799999999999</v>
      </c>
    </row>
    <row r="91" spans="3:70" x14ac:dyDescent="0.25">
      <c r="C91" s="306" t="s">
        <v>16</v>
      </c>
      <c r="D91" s="401"/>
      <c r="E91" s="90"/>
      <c r="F91" s="402">
        <f>SUMIFS('Rev Adequacy'!AL$22:AL$652,'Rev Adequacy'!$AH$22:$AH$652,'Charges to party by investment'!$C91,'Rev Adequacy'!$AJ$22:$AJ$652,'Charges to party by investment'!$D$86)</f>
        <v>0</v>
      </c>
      <c r="G91" s="402">
        <f>SUMIFS('Rev Adequacy'!AM$22:AM$652,'Rev Adequacy'!$AH$22:$AH$652,'Charges to party by investment'!$C91,'Rev Adequacy'!$AJ$22:$AJ$652,'Charges to party by investment'!$D$86)</f>
        <v>0</v>
      </c>
      <c r="H91" s="402">
        <f>SUMIFS('Rev Adequacy'!AN$22:AN$652,'Rev Adequacy'!$AH$22:$AH$652,'Charges to party by investment'!$C91,'Rev Adequacy'!$AJ$22:$AJ$652,'Charges to party by investment'!$D$86)</f>
        <v>0</v>
      </c>
      <c r="I91" s="402">
        <f>SUMIFS('Rev Adequacy'!AO$22:AO$652,'Rev Adequacy'!$AH$22:$AH$652,'Charges to party by investment'!$C91,'Rev Adequacy'!$AJ$22:$AJ$652,'Charges to party by investment'!$D$86)</f>
        <v>0</v>
      </c>
      <c r="J91" s="402">
        <f>SUMIFS('Rev Adequacy'!AP$22:AP$652,'Rev Adequacy'!$AH$22:$AH$652,'Charges to party by investment'!$C91,'Rev Adequacy'!$AJ$22:$AJ$652,'Charges to party by investment'!$D$86)</f>
        <v>0</v>
      </c>
      <c r="K91" s="402">
        <f>SUMIFS('Rev Adequacy'!AQ$22:AQ$652,'Rev Adequacy'!$AH$22:$AH$652,'Charges to party by investment'!$C91,'Rev Adequacy'!$AJ$22:$AJ$652,'Charges to party by investment'!$D$86)</f>
        <v>0</v>
      </c>
      <c r="L91" s="402">
        <f>SUMIFS('Rev Adequacy'!AR$22:AR$652,'Rev Adequacy'!$AH$22:$AH$652,'Charges to party by investment'!$C91,'Rev Adequacy'!$AJ$22:$AJ$652,'Charges to party by investment'!$D$86)</f>
        <v>0</v>
      </c>
      <c r="M91" s="402">
        <f>SUMIFS('Rev Adequacy'!AS$22:AS$652,'Rev Adequacy'!$AH$22:$AH$652,'Charges to party by investment'!$C91,'Rev Adequacy'!$AJ$22:$AJ$652,'Charges to party by investment'!$D$86)</f>
        <v>0</v>
      </c>
      <c r="N91" s="402">
        <f>SUMIFS('Rev Adequacy'!AT$22:AT$652,'Rev Adequacy'!$AH$22:$AH$652,'Charges to party by investment'!$C91,'Rev Adequacy'!$AJ$22:$AJ$652,'Charges to party by investment'!$D$86)</f>
        <v>0</v>
      </c>
      <c r="O91" s="402">
        <f>SUMIFS('Rev Adequacy'!AU$22:AU$652,'Rev Adequacy'!$AH$22:$AH$652,'Charges to party by investment'!$C91,'Rev Adequacy'!$AJ$22:$AJ$652,'Charges to party by investment'!$D$86)</f>
        <v>0</v>
      </c>
      <c r="P91" s="402">
        <f>SUMIFS('Rev Adequacy'!AV$22:AV$652,'Rev Adequacy'!$AH$22:$AH$652,'Charges to party by investment'!$C91,'Rev Adequacy'!$AJ$22:$AJ$652,'Charges to party by investment'!$D$86)</f>
        <v>0</v>
      </c>
      <c r="Q91" s="402">
        <f>SUMIFS('Rev Adequacy'!AW$22:AW$652,'Rev Adequacy'!$AH$22:$AH$652,'Charges to party by investment'!$C91,'Rev Adequacy'!$AJ$22:$AJ$652,'Charges to party by investment'!$D$86)</f>
        <v>0</v>
      </c>
      <c r="R91" s="402">
        <f>SUMIFS('Rev Adequacy'!AX$22:AX$652,'Rev Adequacy'!$AH$22:$AH$652,'Charges to party by investment'!$C91,'Rev Adequacy'!$AJ$22:$AJ$652,'Charges to party by investment'!$D$86)</f>
        <v>0</v>
      </c>
      <c r="S91" s="399"/>
      <c r="T91" s="399"/>
      <c r="U91" s="399"/>
      <c r="V91" s="402">
        <f ca="1">SUMIFS('Rev Adequacy'!$G$6:$G$4999,'Rev Adequacy'!$B$6:$B$4999,'Charges to party by investment'!V$4,'Rev Adequacy'!$E$6:$E$4999,'Charges to party by investment'!$C91,'Rev Adequacy'!$H$6:$H$4999,'Charges to party by investment'!$D$86)*V$5/V$6</f>
        <v>0</v>
      </c>
      <c r="W91" s="402">
        <f ca="1">SUMIFS('Rev Adequacy'!$G$6:$G$4999,'Rev Adequacy'!$B$6:$B$4999,'Charges to party by investment'!W$4,'Rev Adequacy'!$E$6:$E$4999,'Charges to party by investment'!$C91,'Rev Adequacy'!$H$6:$H$4999,'Charges to party by investment'!$D$86)*W$5/W$6</f>
        <v>0</v>
      </c>
      <c r="X91" s="402">
        <f ca="1">SUMIFS('Rev Adequacy'!$G$6:$G$4999,'Rev Adequacy'!$B$6:$B$4999,'Charges to party by investment'!X$4,'Rev Adequacy'!$E$6:$E$4999,'Charges to party by investment'!$C91,'Rev Adequacy'!$H$6:$H$4999,'Charges to party by investment'!$D$86)*X$5/X$6</f>
        <v>0</v>
      </c>
      <c r="Y91" s="402">
        <f ca="1">SUMIFS('Rev Adequacy'!$G$6:$G$4999,'Rev Adequacy'!$B$6:$B$4999,'Charges to party by investment'!Y$4,'Rev Adequacy'!$E$6:$E$4999,'Charges to party by investment'!$C91,'Rev Adequacy'!$H$6:$H$4999,'Charges to party by investment'!$D$86)*Y$5/Y$6</f>
        <v>0</v>
      </c>
      <c r="Z91" s="402">
        <f ca="1">SUMIFS('Rev Adequacy'!$G$6:$G$4999,'Rev Adequacy'!$B$6:$B$4999,'Charges to party by investment'!Z$4,'Rev Adequacy'!$E$6:$E$4999,'Charges to party by investment'!$C91,'Rev Adequacy'!$H$6:$H$4999,'Charges to party by investment'!$D$86)*Z$5/Z$6</f>
        <v>0</v>
      </c>
      <c r="AA91" s="402">
        <f ca="1">SUMIFS('Rev Adequacy'!$G$6:$G$4999,'Rev Adequacy'!$B$6:$B$4999,'Charges to party by investment'!AA$4,'Rev Adequacy'!$E$6:$E$4999,'Charges to party by investment'!$C91,'Rev Adequacy'!$H$6:$H$4999,'Charges to party by investment'!$D$86)*AA$5/AA$6</f>
        <v>0</v>
      </c>
      <c r="AB91" s="402">
        <f>SUMIFS('Rev Adequacy'!$G$6:$G$4999,'Rev Adequacy'!$B$6:$B$4999,'Charges to party by investment'!AB$4,'Rev Adequacy'!$E$6:$E$4999,'Charges to party by investment'!$C91)</f>
        <v>0</v>
      </c>
      <c r="AC91" s="402">
        <f>SUMIFS('Rev Adequacy'!$G$6:$G$4999,'Rev Adequacy'!$B$6:$B$4999,'Charges to party by investment'!AC$4,'Rev Adequacy'!$E$6:$E$4999,'Charges to party by investment'!$C91)</f>
        <v>0</v>
      </c>
      <c r="AD91" s="304">
        <f>SUMIFS('Rev Adequacy'!$G$6:$G$4999,'Rev Adequacy'!$B$6:$B$4999,'Charges to party by investment'!AD$4,'Rev Adequacy'!$E$6:$E$4999,'Charges to party by investment'!$C91)</f>
        <v>0</v>
      </c>
      <c r="AE91" s="304">
        <f>SUMIFS('Rev Adequacy'!$G$6:$G$4999,'Rev Adequacy'!$B$6:$B$4999,'Charges to party by investment'!AE$4,'Rev Adequacy'!$E$6:$E$4999,'Charges to party by investment'!$C91)</f>
        <v>0</v>
      </c>
      <c r="AF91" s="304">
        <f>SUMIFS('Rev Adequacy'!$G$6:$G$4999,'Rev Adequacy'!$B$6:$B$4999,'Charges to party by investment'!AF$4,'Rev Adequacy'!$E$6:$E$4999,'Charges to party by investment'!$C91)</f>
        <v>0</v>
      </c>
      <c r="AG91" s="304">
        <f>SUMIFS('Rev Adequacy'!$G$6:$G$4999,'Rev Adequacy'!$B$6:$B$4999,'Charges to party by investment'!AG$4,'Rev Adequacy'!$E$6:$E$4999,'Charges to party by investment'!$C91)</f>
        <v>0</v>
      </c>
      <c r="AH91" s="304">
        <f>SUMIFS('Rev Adequacy'!$G$6:$G$4999,'Rev Adequacy'!$B$6:$B$4999,'Charges to party by investment'!AH$4,'Rev Adequacy'!$E$6:$E$4999,'Charges to party by investment'!$C91)</f>
        <v>0</v>
      </c>
      <c r="AI91" s="300"/>
      <c r="AJ91" s="307">
        <f t="shared" ca="1" si="29"/>
        <v>0</v>
      </c>
      <c r="AK91" s="308">
        <f>SUMIFS('Rev Adequacy'!$BJ$27:$BJ$257,'Rev Adequacy'!$BM$27:$BM$257,'Charges to party by investment'!$D$86,'Rev Adequacy'!$BF$27:$BF$257,'Charges to party by investment'!C91)</f>
        <v>0</v>
      </c>
      <c r="AL91" s="90"/>
      <c r="AM91" s="290"/>
      <c r="AN91" s="20"/>
      <c r="AO91" s="20"/>
      <c r="AP91" s="20"/>
      <c r="AQ91" s="20"/>
      <c r="AR91" s="20"/>
      <c r="AS91" s="20"/>
      <c r="AT91" s="20"/>
      <c r="AU91" s="20"/>
      <c r="AV91" s="20"/>
      <c r="AW91" s="20"/>
      <c r="AX91" s="20"/>
      <c r="AY91" s="297"/>
      <c r="AZ91" s="297"/>
      <c r="BB91" s="251">
        <f>SUMIFS('Rev Adequacy'!$G$6:$G$4999,'Rev Adequacy'!$B$6:$B$4999,'Charges to party by investment'!V$4,'Rev Adequacy'!$E$6:$E$4999,'Charges to party by investment'!$BJ91)/1000000</f>
        <v>0.39893250211213716</v>
      </c>
      <c r="BC91" s="251">
        <f>SUMIFS('Rev Adequacy'!$G$6:$G$4999,'Rev Adequacy'!$B$6:$B$4999,'Charges to party by investment'!W$4,'Rev Adequacy'!$E$6:$E$4999,'Charges to party by investment'!$BJ91)/1000000</f>
        <v>0</v>
      </c>
      <c r="BD91" s="251">
        <f>SUMIFS('Rev Adequacy'!$G$6:$G$4999,'Rev Adequacy'!$B$6:$B$4999,'Charges to party by investment'!X$4,'Rev Adequacy'!$E$6:$E$4999,'Charges to party by investment'!$BJ91)/1000000</f>
        <v>0</v>
      </c>
      <c r="BE91" s="251">
        <f>SUMIFS('Rev Adequacy'!$G$6:$G$4999,'Rev Adequacy'!$B$6:$B$4999,'Charges to party by investment'!Y$4,'Rev Adequacy'!$E$6:$E$4999,'Charges to party by investment'!$BJ91)/1000000</f>
        <v>0.22464059587283491</v>
      </c>
      <c r="BF91" s="251">
        <f>SUMIFS('Rev Adequacy'!$G$6:$G$4999,'Rev Adequacy'!$B$6:$B$4999,'Charges to party by investment'!Z$4,'Rev Adequacy'!$E$6:$E$4999,'Charges to party by investment'!$BJ91)/1000000</f>
        <v>0.32602918753388771</v>
      </c>
      <c r="BG91" s="251">
        <f>SUMIFS('Rev Adequacy'!$G$6:$G$4999,'Rev Adequacy'!$B$6:$B$4999,'Charges to party by investment'!AA$4,'Rev Adequacy'!$E$6:$E$4999,'Charges to party by investment'!$BJ91)/1000000</f>
        <v>0.61745496663377197</v>
      </c>
      <c r="BH91" s="190"/>
      <c r="BI91" s="250" t="str">
        <f>'Charges as $M per year'!A25</f>
        <v>The Power Company</v>
      </c>
      <c r="BJ91" s="252" t="s">
        <v>105</v>
      </c>
      <c r="BK91" s="253">
        <f t="shared" si="23"/>
        <v>1.5670572521526318</v>
      </c>
      <c r="BL91" s="260">
        <f t="shared" ca="1" si="27"/>
        <v>0.84783445414297587</v>
      </c>
      <c r="BM91" s="260">
        <f t="shared" ca="1" si="24"/>
        <v>0.54103604254300508</v>
      </c>
      <c r="BN91" s="190">
        <f t="shared" ca="1" si="25"/>
        <v>1.0967840284088584</v>
      </c>
      <c r="BO91" s="190">
        <f>BK91*1000/'Charges as $ per MWh'!J25</f>
        <v>2.0271921686653229</v>
      </c>
      <c r="BP91" s="97">
        <f ca="1">AU30-'Charges as $M per year'!C25</f>
        <v>0.35891172927661152</v>
      </c>
      <c r="BQ91" s="190">
        <f t="shared" ca="1" si="26"/>
        <v>0.22903549234310516</v>
      </c>
      <c r="BR91">
        <v>773.01859999999999</v>
      </c>
    </row>
    <row r="92" spans="3:70" x14ac:dyDescent="0.25">
      <c r="C92" s="306" t="s">
        <v>17</v>
      </c>
      <c r="D92" s="401"/>
      <c r="E92" s="90"/>
      <c r="F92" s="402">
        <f>SUMIFS('Rev Adequacy'!AL$22:AL$652,'Rev Adequacy'!$AH$22:$AH$652,'Charges to party by investment'!$C92,'Rev Adequacy'!$AJ$22:$AJ$652,'Charges to party by investment'!$D$86)</f>
        <v>0</v>
      </c>
      <c r="G92" s="402">
        <f>SUMIFS('Rev Adequacy'!AM$22:AM$652,'Rev Adequacy'!$AH$22:$AH$652,'Charges to party by investment'!$C92,'Rev Adequacy'!$AJ$22:$AJ$652,'Charges to party by investment'!$D$86)</f>
        <v>0</v>
      </c>
      <c r="H92" s="402">
        <f>SUMIFS('Rev Adequacy'!AN$22:AN$652,'Rev Adequacy'!$AH$22:$AH$652,'Charges to party by investment'!$C92,'Rev Adequacy'!$AJ$22:$AJ$652,'Charges to party by investment'!$D$86)</f>
        <v>0</v>
      </c>
      <c r="I92" s="402">
        <f>SUMIFS('Rev Adequacy'!AO$22:AO$652,'Rev Adequacy'!$AH$22:$AH$652,'Charges to party by investment'!$C92,'Rev Adequacy'!$AJ$22:$AJ$652,'Charges to party by investment'!$D$86)</f>
        <v>0</v>
      </c>
      <c r="J92" s="402">
        <f>SUMIFS('Rev Adequacy'!AP$22:AP$652,'Rev Adequacy'!$AH$22:$AH$652,'Charges to party by investment'!$C92,'Rev Adequacy'!$AJ$22:$AJ$652,'Charges to party by investment'!$D$86)</f>
        <v>0</v>
      </c>
      <c r="K92" s="402">
        <f>SUMIFS('Rev Adequacy'!AQ$22:AQ$652,'Rev Adequacy'!$AH$22:$AH$652,'Charges to party by investment'!$C92,'Rev Adequacy'!$AJ$22:$AJ$652,'Charges to party by investment'!$D$86)</f>
        <v>0</v>
      </c>
      <c r="L92" s="402">
        <f>SUMIFS('Rev Adequacy'!AR$22:AR$652,'Rev Adequacy'!$AH$22:$AH$652,'Charges to party by investment'!$C92,'Rev Adequacy'!$AJ$22:$AJ$652,'Charges to party by investment'!$D$86)</f>
        <v>0</v>
      </c>
      <c r="M92" s="402">
        <f>SUMIFS('Rev Adequacy'!AS$22:AS$652,'Rev Adequacy'!$AH$22:$AH$652,'Charges to party by investment'!$C92,'Rev Adequacy'!$AJ$22:$AJ$652,'Charges to party by investment'!$D$86)</f>
        <v>0</v>
      </c>
      <c r="N92" s="402">
        <f>SUMIFS('Rev Adequacy'!AT$22:AT$652,'Rev Adequacy'!$AH$22:$AH$652,'Charges to party by investment'!$C92,'Rev Adequacy'!$AJ$22:$AJ$652,'Charges to party by investment'!$D$86)</f>
        <v>0</v>
      </c>
      <c r="O92" s="402">
        <f>SUMIFS('Rev Adequacy'!AU$22:AU$652,'Rev Adequacy'!$AH$22:$AH$652,'Charges to party by investment'!$C92,'Rev Adequacy'!$AJ$22:$AJ$652,'Charges to party by investment'!$D$86)</f>
        <v>0</v>
      </c>
      <c r="P92" s="402">
        <f>SUMIFS('Rev Adequacy'!AV$22:AV$652,'Rev Adequacy'!$AH$22:$AH$652,'Charges to party by investment'!$C92,'Rev Adequacy'!$AJ$22:$AJ$652,'Charges to party by investment'!$D$86)</f>
        <v>0</v>
      </c>
      <c r="Q92" s="402">
        <f>SUMIFS('Rev Adequacy'!AW$22:AW$652,'Rev Adequacy'!$AH$22:$AH$652,'Charges to party by investment'!$C92,'Rev Adequacy'!$AJ$22:$AJ$652,'Charges to party by investment'!$D$86)</f>
        <v>0</v>
      </c>
      <c r="R92" s="402">
        <f>SUMIFS('Rev Adequacy'!AX$22:AX$652,'Rev Adequacy'!$AH$22:$AH$652,'Charges to party by investment'!$C92,'Rev Adequacy'!$AJ$22:$AJ$652,'Charges to party by investment'!$D$86)</f>
        <v>0</v>
      </c>
      <c r="S92" s="399"/>
      <c r="T92" s="399"/>
      <c r="U92" s="399"/>
      <c r="V92" s="402">
        <f ca="1">SUMIFS('Rev Adequacy'!$G$6:$G$4999,'Rev Adequacy'!$B$6:$B$4999,'Charges to party by investment'!V$4,'Rev Adequacy'!$E$6:$E$4999,'Charges to party by investment'!$C92,'Rev Adequacy'!$H$6:$H$4999,'Charges to party by investment'!$D$86)*V$5/V$6</f>
        <v>0</v>
      </c>
      <c r="W92" s="402">
        <f ca="1">SUMIFS('Rev Adequacy'!$G$6:$G$4999,'Rev Adequacy'!$B$6:$B$4999,'Charges to party by investment'!W$4,'Rev Adequacy'!$E$6:$E$4999,'Charges to party by investment'!$C92,'Rev Adequacy'!$H$6:$H$4999,'Charges to party by investment'!$D$86)*W$5/W$6</f>
        <v>0</v>
      </c>
      <c r="X92" s="402">
        <f ca="1">SUMIFS('Rev Adequacy'!$G$6:$G$4999,'Rev Adequacy'!$B$6:$B$4999,'Charges to party by investment'!X$4,'Rev Adequacy'!$E$6:$E$4999,'Charges to party by investment'!$C92,'Rev Adequacy'!$H$6:$H$4999,'Charges to party by investment'!$D$86)*X$5/X$6</f>
        <v>0</v>
      </c>
      <c r="Y92" s="402">
        <f ca="1">SUMIFS('Rev Adequacy'!$G$6:$G$4999,'Rev Adequacy'!$B$6:$B$4999,'Charges to party by investment'!Y$4,'Rev Adequacy'!$E$6:$E$4999,'Charges to party by investment'!$C92,'Rev Adequacy'!$H$6:$H$4999,'Charges to party by investment'!$D$86)*Y$5/Y$6</f>
        <v>0</v>
      </c>
      <c r="Z92" s="402">
        <f ca="1">SUMIFS('Rev Adequacy'!$G$6:$G$4999,'Rev Adequacy'!$B$6:$B$4999,'Charges to party by investment'!Z$4,'Rev Adequacy'!$E$6:$E$4999,'Charges to party by investment'!$C92,'Rev Adequacy'!$H$6:$H$4999,'Charges to party by investment'!$D$86)*Z$5/Z$6</f>
        <v>0</v>
      </c>
      <c r="AA92" s="402">
        <f ca="1">SUMIFS('Rev Adequacy'!$G$6:$G$4999,'Rev Adequacy'!$B$6:$B$4999,'Charges to party by investment'!AA$4,'Rev Adequacy'!$E$6:$E$4999,'Charges to party by investment'!$C92,'Rev Adequacy'!$H$6:$H$4999,'Charges to party by investment'!$D$86)*AA$5/AA$6</f>
        <v>0</v>
      </c>
      <c r="AB92" s="402">
        <f>SUMIFS('Rev Adequacy'!$G$6:$G$4999,'Rev Adequacy'!$B$6:$B$4999,'Charges to party by investment'!AB$4,'Rev Adequacy'!$E$6:$E$4999,'Charges to party by investment'!$C92)</f>
        <v>0</v>
      </c>
      <c r="AC92" s="402">
        <f>SUMIFS('Rev Adequacy'!$G$6:$G$4999,'Rev Adequacy'!$B$6:$B$4999,'Charges to party by investment'!AC$4,'Rev Adequacy'!$E$6:$E$4999,'Charges to party by investment'!$C92)</f>
        <v>0</v>
      </c>
      <c r="AD92" s="304">
        <f>SUMIFS('Rev Adequacy'!$G$6:$G$4999,'Rev Adequacy'!$B$6:$B$4999,'Charges to party by investment'!AD$4,'Rev Adequacy'!$E$6:$E$4999,'Charges to party by investment'!$C92)</f>
        <v>0</v>
      </c>
      <c r="AE92" s="304">
        <f>SUMIFS('Rev Adequacy'!$G$6:$G$4999,'Rev Adequacy'!$B$6:$B$4999,'Charges to party by investment'!AE$4,'Rev Adequacy'!$E$6:$E$4999,'Charges to party by investment'!$C92)</f>
        <v>0</v>
      </c>
      <c r="AF92" s="304">
        <f>SUMIFS('Rev Adequacy'!$G$6:$G$4999,'Rev Adequacy'!$B$6:$B$4999,'Charges to party by investment'!AF$4,'Rev Adequacy'!$E$6:$E$4999,'Charges to party by investment'!$C92)</f>
        <v>0</v>
      </c>
      <c r="AG92" s="304">
        <f>SUMIFS('Rev Adequacy'!$G$6:$G$4999,'Rev Adequacy'!$B$6:$B$4999,'Charges to party by investment'!AG$4,'Rev Adequacy'!$E$6:$E$4999,'Charges to party by investment'!$C92)</f>
        <v>0</v>
      </c>
      <c r="AH92" s="304">
        <f>SUMIFS('Rev Adequacy'!$G$6:$G$4999,'Rev Adequacy'!$B$6:$B$4999,'Charges to party by investment'!AH$4,'Rev Adequacy'!$E$6:$E$4999,'Charges to party by investment'!$C92)</f>
        <v>0</v>
      </c>
      <c r="AI92" s="300"/>
      <c r="AJ92" s="307">
        <f t="shared" ca="1" si="29"/>
        <v>0</v>
      </c>
      <c r="AK92" s="308">
        <f>SUMIFS('Rev Adequacy'!$BJ$27:$BJ$257,'Rev Adequacy'!$BM$27:$BM$257,'Charges to party by investment'!$D$86,'Rev Adequacy'!$BF$27:$BF$257,'Charges to party by investment'!C92)</f>
        <v>0</v>
      </c>
      <c r="AL92" s="90"/>
      <c r="AM92" s="290"/>
      <c r="AN92" s="20"/>
      <c r="AO92" s="20"/>
      <c r="AP92" s="20"/>
      <c r="AQ92" s="20"/>
      <c r="AR92" s="20"/>
      <c r="AS92" s="20"/>
      <c r="AT92" s="20"/>
      <c r="AU92" s="20"/>
      <c r="AV92" s="20"/>
      <c r="AW92" s="20"/>
      <c r="AX92" s="20"/>
      <c r="AY92" s="297"/>
      <c r="AZ92" s="297"/>
      <c r="BB92" s="251">
        <f>SUMIFS('Rev Adequacy'!$G$6:$G$4999,'Rev Adequacy'!$B$6:$B$4999,'Charges to party by investment'!V$4,'Rev Adequacy'!$E$6:$E$4999,'Charges to party by investment'!$BJ92)/1000000</f>
        <v>7.8736709520000305</v>
      </c>
      <c r="BC92" s="251">
        <f>SUMIFS('Rev Adequacy'!$G$6:$G$4999,'Rev Adequacy'!$B$6:$B$4999,'Charges to party by investment'!W$4,'Rev Adequacy'!$E$6:$E$4999,'Charges to party by investment'!$BJ92)/1000000</f>
        <v>2.77925784700001</v>
      </c>
      <c r="BD92" s="251">
        <f>SUMIFS('Rev Adequacy'!$G$6:$G$4999,'Rev Adequacy'!$B$6:$B$4999,'Charges to party by investment'!X$4,'Rev Adequacy'!$E$6:$E$4999,'Charges to party by investment'!$BJ92)/1000000</f>
        <v>11.310997625999899</v>
      </c>
      <c r="BE92" s="251">
        <f>SUMIFS('Rev Adequacy'!$G$6:$G$4999,'Rev Adequacy'!$B$6:$B$4999,'Charges to party by investment'!Y$4,'Rev Adequacy'!$E$6:$E$4999,'Charges to party by investment'!$BJ92)/1000000</f>
        <v>0.31438659999999996</v>
      </c>
      <c r="BF92" s="251">
        <f>SUMIFS('Rev Adequacy'!$G$6:$G$4999,'Rev Adequacy'!$B$6:$B$4999,'Charges to party by investment'!Z$4,'Rev Adequacy'!$E$6:$E$4999,'Charges to party by investment'!$BJ92)/1000000</f>
        <v>5.4584130000000499E-3</v>
      </c>
      <c r="BG92" s="251">
        <f>SUMIFS('Rev Adequacy'!$G$6:$G$4999,'Rev Adequacy'!$B$6:$B$4999,'Charges to party by investment'!AA$4,'Rev Adequacy'!$E$6:$E$4999,'Charges to party by investment'!$BJ92)/1000000</f>
        <v>0.463417883999998</v>
      </c>
      <c r="BH92" s="190"/>
      <c r="BI92" s="250" t="str">
        <f>'Charges as $M per year'!A26</f>
        <v>Top Energy</v>
      </c>
      <c r="BJ92" s="252" t="s">
        <v>34</v>
      </c>
      <c r="BK92" s="253">
        <f t="shared" si="23"/>
        <v>22.747189321999937</v>
      </c>
      <c r="BL92" s="260">
        <f t="shared" ca="1" si="27"/>
        <v>3.1930164022646985</v>
      </c>
      <c r="BM92" s="260">
        <f t="shared" ca="1" si="24"/>
        <v>0.14036971148679778</v>
      </c>
      <c r="BN92" s="190">
        <f t="shared" ca="1" si="25"/>
        <v>8.9103911769014665</v>
      </c>
      <c r="BO92" s="190">
        <f>BK92*1000/'Charges as $ per MWh'!J26</f>
        <v>63.478018744375042</v>
      </c>
      <c r="BP92" s="97">
        <f ca="1">AU31-'Charges as $M per year'!C26</f>
        <v>5.1431009591018721</v>
      </c>
      <c r="BQ92" s="190">
        <f t="shared" ca="1" si="26"/>
        <v>0.22609830543449708</v>
      </c>
      <c r="BR92">
        <v>358.34750000000003</v>
      </c>
    </row>
    <row r="93" spans="3:70" x14ac:dyDescent="0.25">
      <c r="C93" s="306" t="s">
        <v>18</v>
      </c>
      <c r="D93" s="401"/>
      <c r="E93" s="90"/>
      <c r="F93" s="402">
        <f>SUMIFS('Rev Adequacy'!AL$22:AL$652,'Rev Adequacy'!$AH$22:$AH$652,'Charges to party by investment'!$C93,'Rev Adequacy'!$AJ$22:$AJ$652,'Charges to party by investment'!$D$86)</f>
        <v>0</v>
      </c>
      <c r="G93" s="402">
        <f>SUMIFS('Rev Adequacy'!AM$22:AM$652,'Rev Adequacy'!$AH$22:$AH$652,'Charges to party by investment'!$C93,'Rev Adequacy'!$AJ$22:$AJ$652,'Charges to party by investment'!$D$86)</f>
        <v>0</v>
      </c>
      <c r="H93" s="402">
        <f>SUMIFS('Rev Adequacy'!AN$22:AN$652,'Rev Adequacy'!$AH$22:$AH$652,'Charges to party by investment'!$C93,'Rev Adequacy'!$AJ$22:$AJ$652,'Charges to party by investment'!$D$86)</f>
        <v>0</v>
      </c>
      <c r="I93" s="402">
        <f>SUMIFS('Rev Adequacy'!AO$22:AO$652,'Rev Adequacy'!$AH$22:$AH$652,'Charges to party by investment'!$C93,'Rev Adequacy'!$AJ$22:$AJ$652,'Charges to party by investment'!$D$86)</f>
        <v>0</v>
      </c>
      <c r="J93" s="402">
        <f>SUMIFS('Rev Adequacy'!AP$22:AP$652,'Rev Adequacy'!$AH$22:$AH$652,'Charges to party by investment'!$C93,'Rev Adequacy'!$AJ$22:$AJ$652,'Charges to party by investment'!$D$86)</f>
        <v>0</v>
      </c>
      <c r="K93" s="402">
        <f>SUMIFS('Rev Adequacy'!AQ$22:AQ$652,'Rev Adequacy'!$AH$22:$AH$652,'Charges to party by investment'!$C93,'Rev Adequacy'!$AJ$22:$AJ$652,'Charges to party by investment'!$D$86)</f>
        <v>0</v>
      </c>
      <c r="L93" s="402">
        <f>SUMIFS('Rev Adequacy'!AR$22:AR$652,'Rev Adequacy'!$AH$22:$AH$652,'Charges to party by investment'!$C93,'Rev Adequacy'!$AJ$22:$AJ$652,'Charges to party by investment'!$D$86)</f>
        <v>0</v>
      </c>
      <c r="M93" s="402">
        <f>SUMIFS('Rev Adequacy'!AS$22:AS$652,'Rev Adequacy'!$AH$22:$AH$652,'Charges to party by investment'!$C93,'Rev Adequacy'!$AJ$22:$AJ$652,'Charges to party by investment'!$D$86)</f>
        <v>0</v>
      </c>
      <c r="N93" s="402">
        <f>SUMIFS('Rev Adequacy'!AT$22:AT$652,'Rev Adequacy'!$AH$22:$AH$652,'Charges to party by investment'!$C93,'Rev Adequacy'!$AJ$22:$AJ$652,'Charges to party by investment'!$D$86)</f>
        <v>0</v>
      </c>
      <c r="O93" s="402">
        <f>SUMIFS('Rev Adequacy'!AU$22:AU$652,'Rev Adequacy'!$AH$22:$AH$652,'Charges to party by investment'!$C93,'Rev Adequacy'!$AJ$22:$AJ$652,'Charges to party by investment'!$D$86)</f>
        <v>0</v>
      </c>
      <c r="P93" s="402">
        <f>SUMIFS('Rev Adequacy'!AV$22:AV$652,'Rev Adequacy'!$AH$22:$AH$652,'Charges to party by investment'!$C93,'Rev Adequacy'!$AJ$22:$AJ$652,'Charges to party by investment'!$D$86)</f>
        <v>0</v>
      </c>
      <c r="Q93" s="402">
        <f>SUMIFS('Rev Adequacy'!AW$22:AW$652,'Rev Adequacy'!$AH$22:$AH$652,'Charges to party by investment'!$C93,'Rev Adequacy'!$AJ$22:$AJ$652,'Charges to party by investment'!$D$86)</f>
        <v>0</v>
      </c>
      <c r="R93" s="402">
        <f>SUMIFS('Rev Adequacy'!AX$22:AX$652,'Rev Adequacy'!$AH$22:$AH$652,'Charges to party by investment'!$C93,'Rev Adequacy'!$AJ$22:$AJ$652,'Charges to party by investment'!$D$86)</f>
        <v>0</v>
      </c>
      <c r="S93" s="399"/>
      <c r="T93" s="399"/>
      <c r="U93" s="399"/>
      <c r="V93" s="402">
        <f ca="1">SUMIFS('Rev Adequacy'!$G$6:$G$4999,'Rev Adequacy'!$B$6:$B$4999,'Charges to party by investment'!V$4,'Rev Adequacy'!$E$6:$E$4999,'Charges to party by investment'!$C93,'Rev Adequacy'!$H$6:$H$4999,'Charges to party by investment'!$D$86)*V$5/V$6</f>
        <v>0</v>
      </c>
      <c r="W93" s="402">
        <f ca="1">SUMIFS('Rev Adequacy'!$G$6:$G$4999,'Rev Adequacy'!$B$6:$B$4999,'Charges to party by investment'!W$4,'Rev Adequacy'!$E$6:$E$4999,'Charges to party by investment'!$C93,'Rev Adequacy'!$H$6:$H$4999,'Charges to party by investment'!$D$86)*W$5/W$6</f>
        <v>0</v>
      </c>
      <c r="X93" s="402">
        <f ca="1">SUMIFS('Rev Adequacy'!$G$6:$G$4999,'Rev Adequacy'!$B$6:$B$4999,'Charges to party by investment'!X$4,'Rev Adequacy'!$E$6:$E$4999,'Charges to party by investment'!$C93,'Rev Adequacy'!$H$6:$H$4999,'Charges to party by investment'!$D$86)*X$5/X$6</f>
        <v>0</v>
      </c>
      <c r="Y93" s="402">
        <f ca="1">SUMIFS('Rev Adequacy'!$G$6:$G$4999,'Rev Adequacy'!$B$6:$B$4999,'Charges to party by investment'!Y$4,'Rev Adequacy'!$E$6:$E$4999,'Charges to party by investment'!$C93,'Rev Adequacy'!$H$6:$H$4999,'Charges to party by investment'!$D$86)*Y$5/Y$6</f>
        <v>0</v>
      </c>
      <c r="Z93" s="402">
        <f ca="1">SUMIFS('Rev Adequacy'!$G$6:$G$4999,'Rev Adequacy'!$B$6:$B$4999,'Charges to party by investment'!Z$4,'Rev Adequacy'!$E$6:$E$4999,'Charges to party by investment'!$C93,'Rev Adequacy'!$H$6:$H$4999,'Charges to party by investment'!$D$86)*Z$5/Z$6</f>
        <v>0</v>
      </c>
      <c r="AA93" s="402">
        <f ca="1">SUMIFS('Rev Adequacy'!$G$6:$G$4999,'Rev Adequacy'!$B$6:$B$4999,'Charges to party by investment'!AA$4,'Rev Adequacy'!$E$6:$E$4999,'Charges to party by investment'!$C93,'Rev Adequacy'!$H$6:$H$4999,'Charges to party by investment'!$D$86)*AA$5/AA$6</f>
        <v>0</v>
      </c>
      <c r="AB93" s="402">
        <f>SUMIFS('Rev Adequacy'!$G$6:$G$4999,'Rev Adequacy'!$B$6:$B$4999,'Charges to party by investment'!AB$4,'Rev Adequacy'!$E$6:$E$4999,'Charges to party by investment'!$C93)</f>
        <v>0</v>
      </c>
      <c r="AC93" s="402">
        <f>SUMIFS('Rev Adequacy'!$G$6:$G$4999,'Rev Adequacy'!$B$6:$B$4999,'Charges to party by investment'!AC$4,'Rev Adequacy'!$E$6:$E$4999,'Charges to party by investment'!$C93)</f>
        <v>0</v>
      </c>
      <c r="AD93" s="304">
        <f>SUMIFS('Rev Adequacy'!$G$6:$G$4999,'Rev Adequacy'!$B$6:$B$4999,'Charges to party by investment'!AD$4,'Rev Adequacy'!$E$6:$E$4999,'Charges to party by investment'!$C93)</f>
        <v>0</v>
      </c>
      <c r="AE93" s="304">
        <f>SUMIFS('Rev Adequacy'!$G$6:$G$4999,'Rev Adequacy'!$B$6:$B$4999,'Charges to party by investment'!AE$4,'Rev Adequacy'!$E$6:$E$4999,'Charges to party by investment'!$C93)</f>
        <v>0</v>
      </c>
      <c r="AF93" s="304">
        <f>SUMIFS('Rev Adequacy'!$G$6:$G$4999,'Rev Adequacy'!$B$6:$B$4999,'Charges to party by investment'!AF$4,'Rev Adequacy'!$E$6:$E$4999,'Charges to party by investment'!$C93)</f>
        <v>0</v>
      </c>
      <c r="AG93" s="304">
        <f>SUMIFS('Rev Adequacy'!$G$6:$G$4999,'Rev Adequacy'!$B$6:$B$4999,'Charges to party by investment'!AG$4,'Rev Adequacy'!$E$6:$E$4999,'Charges to party by investment'!$C93)</f>
        <v>0</v>
      </c>
      <c r="AH93" s="304">
        <f>SUMIFS('Rev Adequacy'!$G$6:$G$4999,'Rev Adequacy'!$B$6:$B$4999,'Charges to party by investment'!AH$4,'Rev Adequacy'!$E$6:$E$4999,'Charges to party by investment'!$C93)</f>
        <v>0</v>
      </c>
      <c r="AI93" s="300"/>
      <c r="AJ93" s="307">
        <f t="shared" ca="1" si="29"/>
        <v>0</v>
      </c>
      <c r="AK93" s="308">
        <f>SUMIFS('Rev Adequacy'!$BJ$27:$BJ$257,'Rev Adequacy'!$BM$27:$BM$257,'Charges to party by investment'!$D$86,'Rev Adequacy'!$BF$27:$BF$257,'Charges to party by investment'!C93)</f>
        <v>0</v>
      </c>
      <c r="AL93" s="90"/>
      <c r="AM93" s="290"/>
      <c r="AN93" s="20"/>
      <c r="AO93" s="20"/>
      <c r="AP93" s="20"/>
      <c r="AQ93" s="20"/>
      <c r="AR93" s="20"/>
      <c r="AS93" s="20"/>
      <c r="AT93" s="20"/>
      <c r="AU93" s="20"/>
      <c r="AV93" s="20"/>
      <c r="AW93" s="20"/>
      <c r="AX93" s="20"/>
      <c r="AY93" s="297"/>
      <c r="AZ93" s="297"/>
      <c r="BB93" s="251">
        <f>SUMIFS('Rev Adequacy'!$G$6:$G$4999,'Rev Adequacy'!$B$6:$B$4999,'Charges to party by investment'!V$4,'Rev Adequacy'!$E$6:$E$4999,'Charges to party by investment'!$BJ93)/1000000</f>
        <v>0</v>
      </c>
      <c r="BC93" s="251">
        <f>SUMIFS('Rev Adequacy'!$G$6:$G$4999,'Rev Adequacy'!$B$6:$B$4999,'Charges to party by investment'!W$4,'Rev Adequacy'!$E$6:$E$4999,'Charges to party by investment'!$BJ93)/1000000</f>
        <v>16.356615983999973</v>
      </c>
      <c r="BD93" s="251">
        <f>SUMIFS('Rev Adequacy'!$G$6:$G$4999,'Rev Adequacy'!$B$6:$B$4999,'Charges to party by investment'!X$4,'Rev Adequacy'!$E$6:$E$4999,'Charges to party by investment'!$BJ93)/1000000</f>
        <v>62.151456569999951</v>
      </c>
      <c r="BE93" s="251">
        <f>SUMIFS('Rev Adequacy'!$G$6:$G$4999,'Rev Adequacy'!$B$6:$B$4999,'Charges to party by investment'!Y$4,'Rev Adequacy'!$E$6:$E$4999,'Charges to party by investment'!$BJ93)/1000000</f>
        <v>0.62532691000000173</v>
      </c>
      <c r="BF93" s="251">
        <f>SUMIFS('Rev Adequacy'!$G$6:$G$4999,'Rev Adequacy'!$B$6:$B$4999,'Charges to party by investment'!Z$4,'Rev Adequacy'!$E$6:$E$4999,'Charges to party by investment'!$BJ93)/1000000</f>
        <v>6.7492109999999156E-3</v>
      </c>
      <c r="BG93" s="251">
        <f>SUMIFS('Rev Adequacy'!$G$6:$G$4999,'Rev Adequacy'!$B$6:$B$4999,'Charges to party by investment'!AA$4,'Rev Adequacy'!$E$6:$E$4999,'Charges to party by investment'!$BJ93)/1000000</f>
        <v>0.49319079199999966</v>
      </c>
      <c r="BH93" s="190"/>
      <c r="BI93" s="250" t="str">
        <f>'Charges as $M per year'!A27</f>
        <v>Unison</v>
      </c>
      <c r="BJ93" s="252" t="s">
        <v>36</v>
      </c>
      <c r="BK93" s="253">
        <f t="shared" si="23"/>
        <v>79.633339466999914</v>
      </c>
      <c r="BL93" s="260">
        <f t="shared" ca="1" si="27"/>
        <v>4.9340059990655689</v>
      </c>
      <c r="BM93" s="260">
        <f t="shared" ca="1" si="24"/>
        <v>6.195904921342929E-2</v>
      </c>
      <c r="BN93" s="190">
        <f t="shared" ca="1" si="25"/>
        <v>3.0267134428888385</v>
      </c>
      <c r="BO93" s="190">
        <f>BK93*1000/'Charges as $ per MWh'!J27</f>
        <v>48.850224161167638</v>
      </c>
      <c r="BP93" s="97">
        <f ca="1">AU32-'Charges as $M per year'!C27</f>
        <v>-5.7381279591501304</v>
      </c>
      <c r="BQ93" s="190">
        <f t="shared" ca="1" si="26"/>
        <v>-7.2056854548062904E-2</v>
      </c>
      <c r="BR93">
        <v>1630.153</v>
      </c>
    </row>
    <row r="94" spans="3:70" x14ac:dyDescent="0.25">
      <c r="C94" s="306" t="s">
        <v>21</v>
      </c>
      <c r="D94" s="401"/>
      <c r="E94" s="90"/>
      <c r="F94" s="402">
        <f>SUMIFS('Rev Adequacy'!AL$22:AL$652,'Rev Adequacy'!$AH$22:$AH$652,'Charges to party by investment'!$C94,'Rev Adequacy'!$AJ$22:$AJ$652,'Charges to party by investment'!$D$86)</f>
        <v>0</v>
      </c>
      <c r="G94" s="402">
        <f>SUMIFS('Rev Adequacy'!AM$22:AM$652,'Rev Adequacy'!$AH$22:$AH$652,'Charges to party by investment'!$C94,'Rev Adequacy'!$AJ$22:$AJ$652,'Charges to party by investment'!$D$86)</f>
        <v>0</v>
      </c>
      <c r="H94" s="402">
        <f>SUMIFS('Rev Adequacy'!AN$22:AN$652,'Rev Adequacy'!$AH$22:$AH$652,'Charges to party by investment'!$C94,'Rev Adequacy'!$AJ$22:$AJ$652,'Charges to party by investment'!$D$86)</f>
        <v>0</v>
      </c>
      <c r="I94" s="402">
        <f>SUMIFS('Rev Adequacy'!AO$22:AO$652,'Rev Adequacy'!$AH$22:$AH$652,'Charges to party by investment'!$C94,'Rev Adequacy'!$AJ$22:$AJ$652,'Charges to party by investment'!$D$86)</f>
        <v>0</v>
      </c>
      <c r="J94" s="402">
        <f>SUMIFS('Rev Adequacy'!AP$22:AP$652,'Rev Adequacy'!$AH$22:$AH$652,'Charges to party by investment'!$C94,'Rev Adequacy'!$AJ$22:$AJ$652,'Charges to party by investment'!$D$86)</f>
        <v>0</v>
      </c>
      <c r="K94" s="402">
        <f>SUMIFS('Rev Adequacy'!AQ$22:AQ$652,'Rev Adequacy'!$AH$22:$AH$652,'Charges to party by investment'!$C94,'Rev Adequacy'!$AJ$22:$AJ$652,'Charges to party by investment'!$D$86)</f>
        <v>0</v>
      </c>
      <c r="L94" s="402">
        <f>SUMIFS('Rev Adequacy'!AR$22:AR$652,'Rev Adequacy'!$AH$22:$AH$652,'Charges to party by investment'!$C94,'Rev Adequacy'!$AJ$22:$AJ$652,'Charges to party by investment'!$D$86)</f>
        <v>0</v>
      </c>
      <c r="M94" s="402">
        <f>SUMIFS('Rev Adequacy'!AS$22:AS$652,'Rev Adequacy'!$AH$22:$AH$652,'Charges to party by investment'!$C94,'Rev Adequacy'!$AJ$22:$AJ$652,'Charges to party by investment'!$D$86)</f>
        <v>0</v>
      </c>
      <c r="N94" s="402">
        <f>SUMIFS('Rev Adequacy'!AT$22:AT$652,'Rev Adequacy'!$AH$22:$AH$652,'Charges to party by investment'!$C94,'Rev Adequacy'!$AJ$22:$AJ$652,'Charges to party by investment'!$D$86)</f>
        <v>0</v>
      </c>
      <c r="O94" s="402">
        <f>SUMIFS('Rev Adequacy'!AU$22:AU$652,'Rev Adequacy'!$AH$22:$AH$652,'Charges to party by investment'!$C94,'Rev Adequacy'!$AJ$22:$AJ$652,'Charges to party by investment'!$D$86)</f>
        <v>0</v>
      </c>
      <c r="P94" s="402">
        <f>SUMIFS('Rev Adequacy'!AV$22:AV$652,'Rev Adequacy'!$AH$22:$AH$652,'Charges to party by investment'!$C94,'Rev Adequacy'!$AJ$22:$AJ$652,'Charges to party by investment'!$D$86)</f>
        <v>0</v>
      </c>
      <c r="Q94" s="402">
        <f>SUMIFS('Rev Adequacy'!AW$22:AW$652,'Rev Adequacy'!$AH$22:$AH$652,'Charges to party by investment'!$C94,'Rev Adequacy'!$AJ$22:$AJ$652,'Charges to party by investment'!$D$86)</f>
        <v>0</v>
      </c>
      <c r="R94" s="402">
        <f>SUMIFS('Rev Adequacy'!AX$22:AX$652,'Rev Adequacy'!$AH$22:$AH$652,'Charges to party by investment'!$C94,'Rev Adequacy'!$AJ$22:$AJ$652,'Charges to party by investment'!$D$86)</f>
        <v>0</v>
      </c>
      <c r="S94" s="399"/>
      <c r="T94" s="399"/>
      <c r="U94" s="399"/>
      <c r="V94" s="402">
        <f ca="1">SUMIFS('Rev Adequacy'!$G$6:$G$4999,'Rev Adequacy'!$B$6:$B$4999,'Charges to party by investment'!V$4,'Rev Adequacy'!$E$6:$E$4999,'Charges to party by investment'!$C94,'Rev Adequacy'!$H$6:$H$4999,'Charges to party by investment'!$D$86)*V$5/V$6</f>
        <v>0</v>
      </c>
      <c r="W94" s="402">
        <f ca="1">SUMIFS('Rev Adequacy'!$G$6:$G$4999,'Rev Adequacy'!$B$6:$B$4999,'Charges to party by investment'!W$4,'Rev Adequacy'!$E$6:$E$4999,'Charges to party by investment'!$C94,'Rev Adequacy'!$H$6:$H$4999,'Charges to party by investment'!$D$86)*W$5/W$6</f>
        <v>0</v>
      </c>
      <c r="X94" s="402">
        <f ca="1">SUMIFS('Rev Adequacy'!$G$6:$G$4999,'Rev Adequacy'!$B$6:$B$4999,'Charges to party by investment'!X$4,'Rev Adequacy'!$E$6:$E$4999,'Charges to party by investment'!$C94,'Rev Adequacy'!$H$6:$H$4999,'Charges to party by investment'!$D$86)*X$5/X$6</f>
        <v>0</v>
      </c>
      <c r="Y94" s="402">
        <f ca="1">SUMIFS('Rev Adequacy'!$G$6:$G$4999,'Rev Adequacy'!$B$6:$B$4999,'Charges to party by investment'!Y$4,'Rev Adequacy'!$E$6:$E$4999,'Charges to party by investment'!$C94,'Rev Adequacy'!$H$6:$H$4999,'Charges to party by investment'!$D$86)*Y$5/Y$6</f>
        <v>0</v>
      </c>
      <c r="Z94" s="402">
        <f ca="1">SUMIFS('Rev Adequacy'!$G$6:$G$4999,'Rev Adequacy'!$B$6:$B$4999,'Charges to party by investment'!Z$4,'Rev Adequacy'!$E$6:$E$4999,'Charges to party by investment'!$C94,'Rev Adequacy'!$H$6:$H$4999,'Charges to party by investment'!$D$86)*Z$5/Z$6</f>
        <v>0</v>
      </c>
      <c r="AA94" s="402">
        <f ca="1">SUMIFS('Rev Adequacy'!$G$6:$G$4999,'Rev Adequacy'!$B$6:$B$4999,'Charges to party by investment'!AA$4,'Rev Adequacy'!$E$6:$E$4999,'Charges to party by investment'!$C94,'Rev Adequacy'!$H$6:$H$4999,'Charges to party by investment'!$D$86)*AA$5/AA$6</f>
        <v>0</v>
      </c>
      <c r="AB94" s="402">
        <f>SUMIFS('Rev Adequacy'!$G$6:$G$4999,'Rev Adequacy'!$B$6:$B$4999,'Charges to party by investment'!AB$4,'Rev Adequacy'!$E$6:$E$4999,'Charges to party by investment'!$C94)</f>
        <v>0</v>
      </c>
      <c r="AC94" s="402">
        <f>SUMIFS('Rev Adequacy'!$G$6:$G$4999,'Rev Adequacy'!$B$6:$B$4999,'Charges to party by investment'!AC$4,'Rev Adequacy'!$E$6:$E$4999,'Charges to party by investment'!$C94)</f>
        <v>0</v>
      </c>
      <c r="AD94" s="304">
        <f>SUMIFS('Rev Adequacy'!$G$6:$G$4999,'Rev Adequacy'!$B$6:$B$4999,'Charges to party by investment'!AD$4,'Rev Adequacy'!$E$6:$E$4999,'Charges to party by investment'!$C94)</f>
        <v>0</v>
      </c>
      <c r="AE94" s="304">
        <f>SUMIFS('Rev Adequacy'!$G$6:$G$4999,'Rev Adequacy'!$B$6:$B$4999,'Charges to party by investment'!AE$4,'Rev Adequacy'!$E$6:$E$4999,'Charges to party by investment'!$C94)</f>
        <v>0</v>
      </c>
      <c r="AF94" s="304">
        <f>SUMIFS('Rev Adequacy'!$G$6:$G$4999,'Rev Adequacy'!$B$6:$B$4999,'Charges to party by investment'!AF$4,'Rev Adequacy'!$E$6:$E$4999,'Charges to party by investment'!$C94)</f>
        <v>0</v>
      </c>
      <c r="AG94" s="304">
        <f>SUMIFS('Rev Adequacy'!$G$6:$G$4999,'Rev Adequacy'!$B$6:$B$4999,'Charges to party by investment'!AG$4,'Rev Adequacy'!$E$6:$E$4999,'Charges to party by investment'!$C94)</f>
        <v>0</v>
      </c>
      <c r="AH94" s="304">
        <f>SUMIFS('Rev Adequacy'!$G$6:$G$4999,'Rev Adequacy'!$B$6:$B$4999,'Charges to party by investment'!AH$4,'Rev Adequacy'!$E$6:$E$4999,'Charges to party by investment'!$C94)</f>
        <v>0</v>
      </c>
      <c r="AI94" s="300"/>
      <c r="AJ94" s="307">
        <f t="shared" ca="1" si="29"/>
        <v>0</v>
      </c>
      <c r="AK94" s="308">
        <f>SUMIFS('Rev Adequacy'!$BJ$27:$BJ$257,'Rev Adequacy'!$BM$27:$BM$257,'Charges to party by investment'!$D$86,'Rev Adequacy'!$BF$27:$BF$257,'Charges to party by investment'!C94)</f>
        <v>0</v>
      </c>
      <c r="AL94" s="90"/>
      <c r="AM94" s="290"/>
      <c r="AN94" s="20"/>
      <c r="AO94" s="20"/>
      <c r="AP94" s="20"/>
      <c r="AQ94" s="20"/>
      <c r="AR94" s="20"/>
      <c r="AS94" s="20"/>
      <c r="AT94" s="20"/>
      <c r="AU94" s="20"/>
      <c r="AV94" s="20"/>
      <c r="AW94" s="20"/>
      <c r="AX94" s="20"/>
      <c r="AY94" s="297"/>
      <c r="AZ94" s="297"/>
      <c r="BB94" s="251">
        <f>SUMIFS('Rev Adequacy'!$G$6:$G$4999,'Rev Adequacy'!$B$6:$B$4999,'Charges to party by investment'!V$4,'Rev Adequacy'!$E$6:$E$4999,'Charges to party by investment'!$BJ94)/1000000</f>
        <v>252.09784151361617</v>
      </c>
      <c r="BC94" s="251">
        <f>SUMIFS('Rev Adequacy'!$G$6:$G$4999,'Rev Adequacy'!$B$6:$B$4999,'Charges to party by investment'!W$4,'Rev Adequacy'!$E$6:$E$4999,'Charges to party by investment'!$BJ94)/1000000</f>
        <v>93.574103755184581</v>
      </c>
      <c r="BD94" s="251">
        <f>SUMIFS('Rev Adequacy'!$G$6:$G$4999,'Rev Adequacy'!$B$6:$B$4999,'Charges to party by investment'!X$4,'Rev Adequacy'!$E$6:$E$4999,'Charges to party by investment'!$BJ94)/1000000</f>
        <v>351.92595286987836</v>
      </c>
      <c r="BE94" s="251">
        <f>SUMIFS('Rev Adequacy'!$G$6:$G$4999,'Rev Adequacy'!$B$6:$B$4999,'Charges to party by investment'!Y$4,'Rev Adequacy'!$E$6:$E$4999,'Charges to party by investment'!$BJ94)/1000000</f>
        <v>9.1691041791395538</v>
      </c>
      <c r="BF94" s="251">
        <f>SUMIFS('Rev Adequacy'!$G$6:$G$4999,'Rev Adequacy'!$B$6:$B$4999,'Charges to party by investment'!Z$4,'Rev Adequacy'!$E$6:$E$4999,'Charges to party by investment'!$BJ94)/1000000</f>
        <v>2.6840503391294079E-2</v>
      </c>
      <c r="BG94" s="251">
        <f>SUMIFS('Rev Adequacy'!$G$6:$G$4999,'Rev Adequacy'!$B$6:$B$4999,'Charges to party by investment'!AA$4,'Rev Adequacy'!$E$6:$E$4999,'Charges to party by investment'!$BJ94)/1000000</f>
        <v>15.58447921924998</v>
      </c>
      <c r="BH94" s="190"/>
      <c r="BI94" s="250" t="str">
        <f>'Charges as $M per year'!A28</f>
        <v>Vector</v>
      </c>
      <c r="BJ94" s="252" t="s">
        <v>37</v>
      </c>
      <c r="BK94" s="253">
        <f t="shared" si="23"/>
        <v>722.37832204045992</v>
      </c>
      <c r="BL94" s="260">
        <f t="shared" ca="1" si="27"/>
        <v>101.63537615135887</v>
      </c>
      <c r="BM94" s="260">
        <f t="shared" ca="1" si="24"/>
        <v>0.14069549576775137</v>
      </c>
      <c r="BN94" s="190">
        <f t="shared" ca="1" si="25"/>
        <v>12.079206804425356</v>
      </c>
      <c r="BO94" s="190">
        <f>BK94*1000/'Charges as $ per MWh'!J28</f>
        <v>85.853543061284086</v>
      </c>
      <c r="BP94" s="97">
        <f ca="1">AU33-'Charges as $M per year'!C28</f>
        <v>78.065522120367859</v>
      </c>
      <c r="BQ94" s="190">
        <f t="shared" ca="1" si="26"/>
        <v>0.10806736544898071</v>
      </c>
      <c r="BR94">
        <v>8414.0769999999993</v>
      </c>
    </row>
    <row r="95" spans="3:70" x14ac:dyDescent="0.25">
      <c r="C95" s="306" t="s">
        <v>27</v>
      </c>
      <c r="D95" s="90"/>
      <c r="E95" s="90"/>
      <c r="F95" s="402">
        <f>SUMIFS('Rev Adequacy'!AL$22:AL$652,'Rev Adequacy'!$AH$22:$AH$652,'Charges to party by investment'!$C95,'Rev Adequacy'!$AJ$22:$AJ$652,'Charges to party by investment'!$D$86)</f>
        <v>0</v>
      </c>
      <c r="G95" s="402">
        <f>SUMIFS('Rev Adequacy'!AM$22:AM$652,'Rev Adequacy'!$AH$22:$AH$652,'Charges to party by investment'!$C95,'Rev Adequacy'!$AJ$22:$AJ$652,'Charges to party by investment'!$D$86)</f>
        <v>0</v>
      </c>
      <c r="H95" s="402">
        <f>SUMIFS('Rev Adequacy'!AN$22:AN$652,'Rev Adequacy'!$AH$22:$AH$652,'Charges to party by investment'!$C95,'Rev Adequacy'!$AJ$22:$AJ$652,'Charges to party by investment'!$D$86)</f>
        <v>0</v>
      </c>
      <c r="I95" s="402">
        <f>SUMIFS('Rev Adequacy'!AO$22:AO$652,'Rev Adequacy'!$AH$22:$AH$652,'Charges to party by investment'!$C95,'Rev Adequacy'!$AJ$22:$AJ$652,'Charges to party by investment'!$D$86)</f>
        <v>0</v>
      </c>
      <c r="J95" s="402">
        <f>SUMIFS('Rev Adequacy'!AP$22:AP$652,'Rev Adequacy'!$AH$22:$AH$652,'Charges to party by investment'!$C95,'Rev Adequacy'!$AJ$22:$AJ$652,'Charges to party by investment'!$D$86)</f>
        <v>0</v>
      </c>
      <c r="K95" s="402">
        <f>SUMIFS('Rev Adequacy'!AQ$22:AQ$652,'Rev Adequacy'!$AH$22:$AH$652,'Charges to party by investment'!$C95,'Rev Adequacy'!$AJ$22:$AJ$652,'Charges to party by investment'!$D$86)</f>
        <v>0</v>
      </c>
      <c r="L95" s="402">
        <f>SUMIFS('Rev Adequacy'!AR$22:AR$652,'Rev Adequacy'!$AH$22:$AH$652,'Charges to party by investment'!$C95,'Rev Adequacy'!$AJ$22:$AJ$652,'Charges to party by investment'!$D$86)</f>
        <v>0</v>
      </c>
      <c r="M95" s="402">
        <f>SUMIFS('Rev Adequacy'!AS$22:AS$652,'Rev Adequacy'!$AH$22:$AH$652,'Charges to party by investment'!$C95,'Rev Adequacy'!$AJ$22:$AJ$652,'Charges to party by investment'!$D$86)</f>
        <v>0</v>
      </c>
      <c r="N95" s="402">
        <f>SUMIFS('Rev Adequacy'!AT$22:AT$652,'Rev Adequacy'!$AH$22:$AH$652,'Charges to party by investment'!$C95,'Rev Adequacy'!$AJ$22:$AJ$652,'Charges to party by investment'!$D$86)</f>
        <v>0</v>
      </c>
      <c r="O95" s="402">
        <f>SUMIFS('Rev Adequacy'!AU$22:AU$652,'Rev Adequacy'!$AH$22:$AH$652,'Charges to party by investment'!$C95,'Rev Adequacy'!$AJ$22:$AJ$652,'Charges to party by investment'!$D$86)</f>
        <v>0</v>
      </c>
      <c r="P95" s="402">
        <f>SUMIFS('Rev Adequacy'!AV$22:AV$652,'Rev Adequacy'!$AH$22:$AH$652,'Charges to party by investment'!$C95,'Rev Adequacy'!$AJ$22:$AJ$652,'Charges to party by investment'!$D$86)</f>
        <v>0</v>
      </c>
      <c r="Q95" s="402">
        <f>SUMIFS('Rev Adequacy'!AW$22:AW$652,'Rev Adequacy'!$AH$22:$AH$652,'Charges to party by investment'!$C95,'Rev Adequacy'!$AJ$22:$AJ$652,'Charges to party by investment'!$D$86)</f>
        <v>0</v>
      </c>
      <c r="R95" s="402">
        <f>SUMIFS('Rev Adequacy'!AX$22:AX$652,'Rev Adequacy'!$AH$22:$AH$652,'Charges to party by investment'!$C95,'Rev Adequacy'!$AJ$22:$AJ$652,'Charges to party by investment'!$D$86)</f>
        <v>0</v>
      </c>
      <c r="S95" s="399"/>
      <c r="T95" s="399"/>
      <c r="U95" s="399"/>
      <c r="V95" s="402">
        <f ca="1">SUMIFS('Rev Adequacy'!$G$6:$G$4999,'Rev Adequacy'!$B$6:$B$4999,'Charges to party by investment'!V$4,'Rev Adequacy'!$E$6:$E$4999,'Charges to party by investment'!$C95,'Rev Adequacy'!$H$6:$H$4999,'Charges to party by investment'!$D$86)*V$5/V$6</f>
        <v>0</v>
      </c>
      <c r="W95" s="402">
        <f ca="1">SUMIFS('Rev Adequacy'!$G$6:$G$4999,'Rev Adequacy'!$B$6:$B$4999,'Charges to party by investment'!W$4,'Rev Adequacy'!$E$6:$E$4999,'Charges to party by investment'!$C95,'Rev Adequacy'!$H$6:$H$4999,'Charges to party by investment'!$D$86)*W$5/W$6</f>
        <v>7.8267683720732298E-2</v>
      </c>
      <c r="X95" s="402">
        <f ca="1">SUMIFS('Rev Adequacy'!$G$6:$G$4999,'Rev Adequacy'!$B$6:$B$4999,'Charges to party by investment'!X$4,'Rev Adequacy'!$E$6:$E$4999,'Charges to party by investment'!$C95,'Rev Adequacy'!$H$6:$H$4999,'Charges to party by investment'!$D$86)*X$5/X$6</f>
        <v>1.9985150655658368E-2</v>
      </c>
      <c r="Y95" s="402">
        <f ca="1">SUMIFS('Rev Adequacy'!$G$6:$G$4999,'Rev Adequacy'!$B$6:$B$4999,'Charges to party by investment'!Y$4,'Rev Adequacy'!$E$6:$E$4999,'Charges to party by investment'!$C95,'Rev Adequacy'!$H$6:$H$4999,'Charges to party by investment'!$D$86)*Y$5/Y$6</f>
        <v>0</v>
      </c>
      <c r="Z95" s="402">
        <f ca="1">SUMIFS('Rev Adequacy'!$G$6:$G$4999,'Rev Adequacy'!$B$6:$B$4999,'Charges to party by investment'!Z$4,'Rev Adequacy'!$E$6:$E$4999,'Charges to party by investment'!$C95,'Rev Adequacy'!$H$6:$H$4999,'Charges to party by investment'!$D$86)*Z$5/Z$6</f>
        <v>0</v>
      </c>
      <c r="AA95" s="402">
        <f ca="1">SUMIFS('Rev Adequacy'!$G$6:$G$4999,'Rev Adequacy'!$B$6:$B$4999,'Charges to party by investment'!AA$4,'Rev Adequacy'!$E$6:$E$4999,'Charges to party by investment'!$C95,'Rev Adequacy'!$H$6:$H$4999,'Charges to party by investment'!$D$86)*AA$5/AA$6</f>
        <v>0</v>
      </c>
      <c r="AB95" s="402">
        <f>SUMIFS('Rev Adequacy'!$G$6:$G$4999,'Rev Adequacy'!$B$6:$B$4999,'Charges to party by investment'!AB$4,'Rev Adequacy'!$E$6:$E$4999,'Charges to party by investment'!$C95)</f>
        <v>0</v>
      </c>
      <c r="AC95" s="402">
        <f>SUMIFS('Rev Adequacy'!$G$6:$G$4999,'Rev Adequacy'!$B$6:$B$4999,'Charges to party by investment'!AC$4,'Rev Adequacy'!$E$6:$E$4999,'Charges to party by investment'!$C95)</f>
        <v>0</v>
      </c>
      <c r="AD95" s="304">
        <f>SUMIFS('Rev Adequacy'!$G$6:$G$4999,'Rev Adequacy'!$B$6:$B$4999,'Charges to party by investment'!AD$4,'Rev Adequacy'!$E$6:$E$4999,'Charges to party by investment'!$C95)</f>
        <v>0</v>
      </c>
      <c r="AE95" s="304">
        <f>SUMIFS('Rev Adequacy'!$G$6:$G$4999,'Rev Adequacy'!$B$6:$B$4999,'Charges to party by investment'!AE$4,'Rev Adequacy'!$E$6:$E$4999,'Charges to party by investment'!$C95)</f>
        <v>0</v>
      </c>
      <c r="AF95" s="304">
        <f>SUMIFS('Rev Adequacy'!$G$6:$G$4999,'Rev Adequacy'!$B$6:$B$4999,'Charges to party by investment'!AF$4,'Rev Adequacy'!$E$6:$E$4999,'Charges to party by investment'!$C95)</f>
        <v>0</v>
      </c>
      <c r="AG95" s="304">
        <f>SUMIFS('Rev Adequacy'!$G$6:$G$4999,'Rev Adequacy'!$B$6:$B$4999,'Charges to party by investment'!AG$4,'Rev Adequacy'!$E$6:$E$4999,'Charges to party by investment'!$C95)</f>
        <v>0</v>
      </c>
      <c r="AH95" s="304">
        <f>SUMIFS('Rev Adequacy'!$G$6:$G$4999,'Rev Adequacy'!$B$6:$B$4999,'Charges to party by investment'!AH$4,'Rev Adequacy'!$E$6:$E$4999,'Charges to party by investment'!$C95)</f>
        <v>0</v>
      </c>
      <c r="AI95" s="300"/>
      <c r="AJ95" s="307">
        <f t="shared" ca="1" si="29"/>
        <v>9.8252834376390666E-2</v>
      </c>
      <c r="AK95" s="308">
        <f>SUMIFS('Rev Adequacy'!$BJ$27:$BJ$257,'Rev Adequacy'!$BM$27:$BM$257,'Charges to party by investment'!$D$86,'Rev Adequacy'!$BF$27:$BF$257,'Charges to party by investment'!C95)</f>
        <v>0</v>
      </c>
      <c r="AL95" s="90"/>
      <c r="AM95" s="290"/>
      <c r="AN95" s="20"/>
      <c r="AO95" s="20"/>
      <c r="AP95" s="20"/>
      <c r="AQ95" s="20"/>
      <c r="AR95" s="20"/>
      <c r="AS95" s="20"/>
      <c r="AT95" s="20"/>
      <c r="AU95" s="20"/>
      <c r="AV95" s="20"/>
      <c r="AW95" s="20"/>
      <c r="AX95" s="20"/>
      <c r="AY95" s="297"/>
      <c r="AZ95" s="297"/>
      <c r="BB95" s="251">
        <f>SUMIFS('Rev Adequacy'!$G$6:$G$4999,'Rev Adequacy'!$B$6:$B$4999,'Charges to party by investment'!V$4,'Rev Adequacy'!$E$6:$E$4999,'Charges to party by investment'!$BJ95)/1000000</f>
        <v>0.58038774799999804</v>
      </c>
      <c r="BC95" s="251">
        <f>SUMIFS('Rev Adequacy'!$G$6:$G$4999,'Rev Adequacy'!$B$6:$B$4999,'Charges to party by investment'!W$4,'Rev Adequacy'!$E$6:$E$4999,'Charges to party by investment'!$BJ95)/1000000</f>
        <v>3.83215648699999</v>
      </c>
      <c r="BD95" s="251">
        <f>SUMIFS('Rev Adequacy'!$G$6:$G$4999,'Rev Adequacy'!$B$6:$B$4999,'Charges to party by investment'!X$4,'Rev Adequacy'!$E$6:$E$4999,'Charges to party by investment'!$BJ95)/1000000</f>
        <v>14.858872081000019</v>
      </c>
      <c r="BE95" s="251">
        <f>SUMIFS('Rev Adequacy'!$G$6:$G$4999,'Rev Adequacy'!$B$6:$B$4999,'Charges to party by investment'!Y$4,'Rev Adequacy'!$E$6:$E$4999,'Charges to party by investment'!$BJ95)/1000000</f>
        <v>0.14583981700000051</v>
      </c>
      <c r="BF95" s="251">
        <f>SUMIFS('Rev Adequacy'!$G$6:$G$4999,'Rev Adequacy'!$B$6:$B$4999,'Charges to party by investment'!Z$4,'Rev Adequacy'!$E$6:$E$4999,'Charges to party by investment'!$BJ95)/1000000</f>
        <v>1.5051000000012399E-5</v>
      </c>
      <c r="BG95" s="251">
        <f>SUMIFS('Rev Adequacy'!$G$6:$G$4999,'Rev Adequacy'!$B$6:$B$4999,'Charges to party by investment'!AA$4,'Rev Adequacy'!$E$6:$E$4999,'Charges to party by investment'!$BJ95)/1000000</f>
        <v>0.70525011300000007</v>
      </c>
      <c r="BH95" s="190"/>
      <c r="BI95" s="250" t="str">
        <f>'Charges as $M per year'!A29</f>
        <v>Waipa Power</v>
      </c>
      <c r="BJ95" s="252" t="s">
        <v>38</v>
      </c>
      <c r="BK95" s="253">
        <f t="shared" si="23"/>
        <v>20.122521297000006</v>
      </c>
      <c r="BL95" s="260">
        <f t="shared" ca="1" si="27"/>
        <v>1.4879680527165906</v>
      </c>
      <c r="BM95" s="260">
        <f t="shared" ca="1" si="24"/>
        <v>7.3945408269411372E-2</v>
      </c>
      <c r="BN95" s="190">
        <f t="shared" ca="1" si="25"/>
        <v>3.9487166732743382</v>
      </c>
      <c r="BO95" s="190">
        <f>BK95*1000/'Charges as $ per MWh'!J29</f>
        <v>53.400431016455485</v>
      </c>
      <c r="BP95" s="97">
        <f ca="1">AU34-'Charges as $M per year'!C29</f>
        <v>-0.47009138411813911</v>
      </c>
      <c r="BQ95" s="190">
        <f t="shared" ca="1" si="26"/>
        <v>-2.3361455415044006E-2</v>
      </c>
      <c r="BR95">
        <v>376.82319999999999</v>
      </c>
    </row>
    <row r="96" spans="3:70" x14ac:dyDescent="0.25">
      <c r="C96" s="306" t="s">
        <v>104</v>
      </c>
      <c r="D96" s="90"/>
      <c r="E96" s="90"/>
      <c r="F96" s="402">
        <f>SUMIFS('Rev Adequacy'!AL$22:AL$652,'Rev Adequacy'!$AH$22:$AH$652,'Charges to party by investment'!$C96,'Rev Adequacy'!$AJ$22:$AJ$652,'Charges to party by investment'!$D$86)</f>
        <v>0</v>
      </c>
      <c r="G96" s="402">
        <f>SUMIFS('Rev Adequacy'!AM$22:AM$652,'Rev Adequacy'!$AH$22:$AH$652,'Charges to party by investment'!$C96,'Rev Adequacy'!$AJ$22:$AJ$652,'Charges to party by investment'!$D$86)</f>
        <v>0</v>
      </c>
      <c r="H96" s="402">
        <f>SUMIFS('Rev Adequacy'!AN$22:AN$652,'Rev Adequacy'!$AH$22:$AH$652,'Charges to party by investment'!$C96,'Rev Adequacy'!$AJ$22:$AJ$652,'Charges to party by investment'!$D$86)</f>
        <v>0</v>
      </c>
      <c r="I96" s="402">
        <f>SUMIFS('Rev Adequacy'!AO$22:AO$652,'Rev Adequacy'!$AH$22:$AH$652,'Charges to party by investment'!$C96,'Rev Adequacy'!$AJ$22:$AJ$652,'Charges to party by investment'!$D$86)</f>
        <v>0</v>
      </c>
      <c r="J96" s="402">
        <f>SUMIFS('Rev Adequacy'!AP$22:AP$652,'Rev Adequacy'!$AH$22:$AH$652,'Charges to party by investment'!$C96,'Rev Adequacy'!$AJ$22:$AJ$652,'Charges to party by investment'!$D$86)</f>
        <v>0</v>
      </c>
      <c r="K96" s="402">
        <f>SUMIFS('Rev Adequacy'!AQ$22:AQ$652,'Rev Adequacy'!$AH$22:$AH$652,'Charges to party by investment'!$C96,'Rev Adequacy'!$AJ$22:$AJ$652,'Charges to party by investment'!$D$86)</f>
        <v>0</v>
      </c>
      <c r="L96" s="402">
        <f>SUMIFS('Rev Adequacy'!AR$22:AR$652,'Rev Adequacy'!$AH$22:$AH$652,'Charges to party by investment'!$C96,'Rev Adequacy'!$AJ$22:$AJ$652,'Charges to party by investment'!$D$86)</f>
        <v>0</v>
      </c>
      <c r="M96" s="402">
        <f>SUMIFS('Rev Adequacy'!AS$22:AS$652,'Rev Adequacy'!$AH$22:$AH$652,'Charges to party by investment'!$C96,'Rev Adequacy'!$AJ$22:$AJ$652,'Charges to party by investment'!$D$86)</f>
        <v>0</v>
      </c>
      <c r="N96" s="402">
        <f>SUMIFS('Rev Adequacy'!AT$22:AT$652,'Rev Adequacy'!$AH$22:$AH$652,'Charges to party by investment'!$C96,'Rev Adequacy'!$AJ$22:$AJ$652,'Charges to party by investment'!$D$86)</f>
        <v>0</v>
      </c>
      <c r="O96" s="402">
        <f>SUMIFS('Rev Adequacy'!AU$22:AU$652,'Rev Adequacy'!$AH$22:$AH$652,'Charges to party by investment'!$C96,'Rev Adequacy'!$AJ$22:$AJ$652,'Charges to party by investment'!$D$86)</f>
        <v>0</v>
      </c>
      <c r="P96" s="402">
        <f>SUMIFS('Rev Adequacy'!AV$22:AV$652,'Rev Adequacy'!$AH$22:$AH$652,'Charges to party by investment'!$C96,'Rev Adequacy'!$AJ$22:$AJ$652,'Charges to party by investment'!$D$86)</f>
        <v>0</v>
      </c>
      <c r="Q96" s="402">
        <f>SUMIFS('Rev Adequacy'!AW$22:AW$652,'Rev Adequacy'!$AH$22:$AH$652,'Charges to party by investment'!$C96,'Rev Adequacy'!$AJ$22:$AJ$652,'Charges to party by investment'!$D$86)</f>
        <v>0</v>
      </c>
      <c r="R96" s="402">
        <f>SUMIFS('Rev Adequacy'!AX$22:AX$652,'Rev Adequacy'!$AH$22:$AH$652,'Charges to party by investment'!$C96,'Rev Adequacy'!$AJ$22:$AJ$652,'Charges to party by investment'!$D$86)</f>
        <v>0</v>
      </c>
      <c r="S96" s="399"/>
      <c r="T96" s="399"/>
      <c r="U96" s="399"/>
      <c r="V96" s="402">
        <f ca="1">SUMIFS('Rev Adequacy'!$G$6:$G$4999,'Rev Adequacy'!$B$6:$B$4999,'Charges to party by investment'!V$4,'Rev Adequacy'!$E$6:$E$4999,'Charges to party by investment'!$C96,'Rev Adequacy'!$H$6:$H$4999,'Charges to party by investment'!$D$86)*V$5/V$6</f>
        <v>0</v>
      </c>
      <c r="W96" s="402">
        <f ca="1">SUMIFS('Rev Adequacy'!$G$6:$G$4999,'Rev Adequacy'!$B$6:$B$4999,'Charges to party by investment'!W$4,'Rev Adequacy'!$E$6:$E$4999,'Charges to party by investment'!$C96,'Rev Adequacy'!$H$6:$H$4999,'Charges to party by investment'!$D$86)*W$5/W$6</f>
        <v>0</v>
      </c>
      <c r="X96" s="402">
        <f ca="1">SUMIFS('Rev Adequacy'!$G$6:$G$4999,'Rev Adequacy'!$B$6:$B$4999,'Charges to party by investment'!X$4,'Rev Adequacy'!$E$6:$E$4999,'Charges to party by investment'!$C96,'Rev Adequacy'!$H$6:$H$4999,'Charges to party by investment'!$D$86)*X$5/X$6</f>
        <v>0</v>
      </c>
      <c r="Y96" s="402">
        <f ca="1">SUMIFS('Rev Adequacy'!$G$6:$G$4999,'Rev Adequacy'!$B$6:$B$4999,'Charges to party by investment'!Y$4,'Rev Adequacy'!$E$6:$E$4999,'Charges to party by investment'!$C96,'Rev Adequacy'!$H$6:$H$4999,'Charges to party by investment'!$D$86)*Y$5/Y$6</f>
        <v>0</v>
      </c>
      <c r="Z96" s="402">
        <f ca="1">SUMIFS('Rev Adequacy'!$G$6:$G$4999,'Rev Adequacy'!$B$6:$B$4999,'Charges to party by investment'!Z$4,'Rev Adequacy'!$E$6:$E$4999,'Charges to party by investment'!$C96,'Rev Adequacy'!$H$6:$H$4999,'Charges to party by investment'!$D$86)*Z$5/Z$6</f>
        <v>0</v>
      </c>
      <c r="AA96" s="402">
        <f ca="1">SUMIFS('Rev Adequacy'!$G$6:$G$4999,'Rev Adequacy'!$B$6:$B$4999,'Charges to party by investment'!AA$4,'Rev Adequacy'!$E$6:$E$4999,'Charges to party by investment'!$C96,'Rev Adequacy'!$H$6:$H$4999,'Charges to party by investment'!$D$86)*AA$5/AA$6</f>
        <v>0</v>
      </c>
      <c r="AB96" s="402">
        <f>SUMIFS('Rev Adequacy'!$G$6:$G$4999,'Rev Adequacy'!$B$6:$B$4999,'Charges to party by investment'!AB$4,'Rev Adequacy'!$E$6:$E$4999,'Charges to party by investment'!$C96)</f>
        <v>0</v>
      </c>
      <c r="AC96" s="402">
        <f>SUMIFS('Rev Adequacy'!$G$6:$G$4999,'Rev Adequacy'!$B$6:$B$4999,'Charges to party by investment'!AC$4,'Rev Adequacy'!$E$6:$E$4999,'Charges to party by investment'!$C96)</f>
        <v>0</v>
      </c>
      <c r="AD96" s="304">
        <f>SUMIFS('Rev Adequacy'!$G$6:$G$4999,'Rev Adequacy'!$B$6:$B$4999,'Charges to party by investment'!AD$4,'Rev Adequacy'!$E$6:$E$4999,'Charges to party by investment'!$C96)</f>
        <v>0</v>
      </c>
      <c r="AE96" s="304">
        <f>SUMIFS('Rev Adequacy'!$G$6:$G$4999,'Rev Adequacy'!$B$6:$B$4999,'Charges to party by investment'!AE$4,'Rev Adequacy'!$E$6:$E$4999,'Charges to party by investment'!$C96)</f>
        <v>0</v>
      </c>
      <c r="AF96" s="304">
        <f>SUMIFS('Rev Adequacy'!$G$6:$G$4999,'Rev Adequacy'!$B$6:$B$4999,'Charges to party by investment'!AF$4,'Rev Adequacy'!$E$6:$E$4999,'Charges to party by investment'!$C96)</f>
        <v>0</v>
      </c>
      <c r="AG96" s="304">
        <f>SUMIFS('Rev Adequacy'!$G$6:$G$4999,'Rev Adequacy'!$B$6:$B$4999,'Charges to party by investment'!AG$4,'Rev Adequacy'!$E$6:$E$4999,'Charges to party by investment'!$C96)</f>
        <v>0</v>
      </c>
      <c r="AH96" s="304">
        <f>SUMIFS('Rev Adequacy'!$G$6:$G$4999,'Rev Adequacy'!$B$6:$B$4999,'Charges to party by investment'!AH$4,'Rev Adequacy'!$E$6:$E$4999,'Charges to party by investment'!$C96)</f>
        <v>0</v>
      </c>
      <c r="AI96" s="300"/>
      <c r="AJ96" s="307">
        <f t="shared" ca="1" si="29"/>
        <v>0</v>
      </c>
      <c r="AK96" s="308">
        <f>SUMIFS('Rev Adequacy'!$BJ$27:$BJ$257,'Rev Adequacy'!$BM$27:$BM$257,'Charges to party by investment'!$D$86,'Rev Adequacy'!$BF$27:$BF$257,'Charges to party by investment'!C96)</f>
        <v>0</v>
      </c>
      <c r="AL96" s="90"/>
      <c r="AM96" s="290"/>
      <c r="AN96" s="20"/>
      <c r="AO96" s="20"/>
      <c r="AP96" s="20"/>
      <c r="AQ96" s="20"/>
      <c r="AR96" s="20"/>
      <c r="AS96" s="20"/>
      <c r="AT96" s="20"/>
      <c r="AU96" s="20"/>
      <c r="AV96" s="20"/>
      <c r="AW96" s="20"/>
      <c r="AX96" s="20"/>
      <c r="AY96" s="297"/>
      <c r="AZ96" s="297"/>
      <c r="BB96" s="251">
        <f>SUMIFS('Rev Adequacy'!$G$6:$G$4999,'Rev Adequacy'!$B$6:$B$4999,'Charges to party by investment'!V$4,'Rev Adequacy'!$E$6:$E$4999,'Charges to party by investment'!$BJ96)/1000000</f>
        <v>2.7857109840000009</v>
      </c>
      <c r="BC96" s="251">
        <f>SUMIFS('Rev Adequacy'!$G$6:$G$4999,'Rev Adequacy'!$B$6:$B$4999,'Charges to party by investment'!W$4,'Rev Adequacy'!$E$6:$E$4999,'Charges to party by investment'!$BJ96)/1000000</f>
        <v>12.825305247999982</v>
      </c>
      <c r="BD96" s="251">
        <f>SUMIFS('Rev Adequacy'!$G$6:$G$4999,'Rev Adequacy'!$B$6:$B$4999,'Charges to party by investment'!X$4,'Rev Adequacy'!$E$6:$E$4999,'Charges to party by investment'!$BJ96)/1000000</f>
        <v>55.875018254999638</v>
      </c>
      <c r="BE96" s="251">
        <f>SUMIFS('Rev Adequacy'!$G$6:$G$4999,'Rev Adequacy'!$B$6:$B$4999,'Charges to party by investment'!Y$4,'Rev Adequacy'!$E$6:$E$4999,'Charges to party by investment'!$BJ96)/1000000</f>
        <v>0.54307078800000042</v>
      </c>
      <c r="BF96" s="251">
        <f>SUMIFS('Rev Adequacy'!$G$6:$G$4999,'Rev Adequacy'!$B$6:$B$4999,'Charges to party by investment'!Z$4,'Rev Adequacy'!$E$6:$E$4999,'Charges to party by investment'!$BJ96)/1000000</f>
        <v>1.31173099999993E-3</v>
      </c>
      <c r="BG96" s="251">
        <f>SUMIFS('Rev Adequacy'!$G$6:$G$4999,'Rev Adequacy'!$B$6:$B$4999,'Charges to party by investment'!AA$4,'Rev Adequacy'!$E$6:$E$4999,'Charges to party by investment'!$BJ96)/1000000</f>
        <v>2.3254866180000029</v>
      </c>
      <c r="BH96" s="190"/>
      <c r="BI96" s="250" t="str">
        <f>'Charges as $M per year'!A30</f>
        <v>WEL Networks</v>
      </c>
      <c r="BJ96" s="252" t="s">
        <v>39</v>
      </c>
      <c r="BK96" s="253">
        <f t="shared" si="23"/>
        <v>74.355903623999609</v>
      </c>
      <c r="BL96" s="260">
        <f t="shared" ca="1" si="27"/>
        <v>5.4484914208433501</v>
      </c>
      <c r="BM96" s="260">
        <f t="shared" ca="1" si="24"/>
        <v>7.3275841665445901E-2</v>
      </c>
      <c r="BN96" s="190">
        <f t="shared" ca="1" si="25"/>
        <v>4.377455103270945</v>
      </c>
      <c r="BO96" s="190">
        <f>BK96*1000/'Charges as $ per MWh'!J30</f>
        <v>59.739403926017076</v>
      </c>
      <c r="BP96" s="97">
        <f ca="1">AU35-'Charges as $M per year'!C30</f>
        <v>2.4158230745002989</v>
      </c>
      <c r="BQ96" s="190">
        <f t="shared" ca="1" si="26"/>
        <v>3.2489996849699394E-2</v>
      </c>
      <c r="BR96">
        <v>1244.671</v>
      </c>
    </row>
    <row r="97" spans="3:70" x14ac:dyDescent="0.25">
      <c r="C97" s="306" t="s">
        <v>33</v>
      </c>
      <c r="D97" s="90"/>
      <c r="E97" s="90"/>
      <c r="F97" s="402">
        <f>SUMIFS('Rev Adequacy'!AL$22:AL$652,'Rev Adequacy'!$AH$22:$AH$652,'Charges to party by investment'!$C97,'Rev Adequacy'!$AJ$22:$AJ$652,'Charges to party by investment'!$D$86)</f>
        <v>0</v>
      </c>
      <c r="G97" s="402">
        <f>SUMIFS('Rev Adequacy'!AM$22:AM$652,'Rev Adequacy'!$AH$22:$AH$652,'Charges to party by investment'!$C97,'Rev Adequacy'!$AJ$22:$AJ$652,'Charges to party by investment'!$D$86)</f>
        <v>0</v>
      </c>
      <c r="H97" s="402">
        <f>SUMIFS('Rev Adequacy'!AN$22:AN$652,'Rev Adequacy'!$AH$22:$AH$652,'Charges to party by investment'!$C97,'Rev Adequacy'!$AJ$22:$AJ$652,'Charges to party by investment'!$D$86)</f>
        <v>0</v>
      </c>
      <c r="I97" s="402">
        <f>SUMIFS('Rev Adequacy'!AO$22:AO$652,'Rev Adequacy'!$AH$22:$AH$652,'Charges to party by investment'!$C97,'Rev Adequacy'!$AJ$22:$AJ$652,'Charges to party by investment'!$D$86)</f>
        <v>0</v>
      </c>
      <c r="J97" s="402">
        <f>SUMIFS('Rev Adequacy'!AP$22:AP$652,'Rev Adequacy'!$AH$22:$AH$652,'Charges to party by investment'!$C97,'Rev Adequacy'!$AJ$22:$AJ$652,'Charges to party by investment'!$D$86)</f>
        <v>0</v>
      </c>
      <c r="K97" s="402">
        <f>SUMIFS('Rev Adequacy'!AQ$22:AQ$652,'Rev Adequacy'!$AH$22:$AH$652,'Charges to party by investment'!$C97,'Rev Adequacy'!$AJ$22:$AJ$652,'Charges to party by investment'!$D$86)</f>
        <v>0</v>
      </c>
      <c r="L97" s="402">
        <f>SUMIFS('Rev Adequacy'!AR$22:AR$652,'Rev Adequacy'!$AH$22:$AH$652,'Charges to party by investment'!$C97,'Rev Adequacy'!$AJ$22:$AJ$652,'Charges to party by investment'!$D$86)</f>
        <v>0</v>
      </c>
      <c r="M97" s="402">
        <f>SUMIFS('Rev Adequacy'!AS$22:AS$652,'Rev Adequacy'!$AH$22:$AH$652,'Charges to party by investment'!$C97,'Rev Adequacy'!$AJ$22:$AJ$652,'Charges to party by investment'!$D$86)</f>
        <v>0</v>
      </c>
      <c r="N97" s="402">
        <f>SUMIFS('Rev Adequacy'!AT$22:AT$652,'Rev Adequacy'!$AH$22:$AH$652,'Charges to party by investment'!$C97,'Rev Adequacy'!$AJ$22:$AJ$652,'Charges to party by investment'!$D$86)</f>
        <v>0</v>
      </c>
      <c r="O97" s="402">
        <f>SUMIFS('Rev Adequacy'!AU$22:AU$652,'Rev Adequacy'!$AH$22:$AH$652,'Charges to party by investment'!$C97,'Rev Adequacy'!$AJ$22:$AJ$652,'Charges to party by investment'!$D$86)</f>
        <v>0</v>
      </c>
      <c r="P97" s="402">
        <f>SUMIFS('Rev Adequacy'!AV$22:AV$652,'Rev Adequacy'!$AH$22:$AH$652,'Charges to party by investment'!$C97,'Rev Adequacy'!$AJ$22:$AJ$652,'Charges to party by investment'!$D$86)</f>
        <v>0</v>
      </c>
      <c r="Q97" s="402">
        <f>SUMIFS('Rev Adequacy'!AW$22:AW$652,'Rev Adequacy'!$AH$22:$AH$652,'Charges to party by investment'!$C97,'Rev Adequacy'!$AJ$22:$AJ$652,'Charges to party by investment'!$D$86)</f>
        <v>0</v>
      </c>
      <c r="R97" s="402">
        <f>SUMIFS('Rev Adequacy'!AX$22:AX$652,'Rev Adequacy'!$AH$22:$AH$652,'Charges to party by investment'!$C97,'Rev Adequacy'!$AJ$22:$AJ$652,'Charges to party by investment'!$D$86)</f>
        <v>0</v>
      </c>
      <c r="S97" s="399"/>
      <c r="T97" s="399"/>
      <c r="U97" s="399"/>
      <c r="V97" s="402">
        <f ca="1">SUMIFS('Rev Adequacy'!$G$6:$G$4999,'Rev Adequacy'!$B$6:$B$4999,'Charges to party by investment'!V$4,'Rev Adequacy'!$E$6:$E$4999,'Charges to party by investment'!$C97,'Rev Adequacy'!$H$6:$H$4999,'Charges to party by investment'!$D$86)*V$5/V$6</f>
        <v>0</v>
      </c>
      <c r="W97" s="402">
        <f ca="1">SUMIFS('Rev Adequacy'!$G$6:$G$4999,'Rev Adequacy'!$B$6:$B$4999,'Charges to party by investment'!W$4,'Rev Adequacy'!$E$6:$E$4999,'Charges to party by investment'!$C97,'Rev Adequacy'!$H$6:$H$4999,'Charges to party by investment'!$D$86)*W$5/W$6</f>
        <v>0</v>
      </c>
      <c r="X97" s="402">
        <f ca="1">SUMIFS('Rev Adequacy'!$G$6:$G$4999,'Rev Adequacy'!$B$6:$B$4999,'Charges to party by investment'!X$4,'Rev Adequacy'!$E$6:$E$4999,'Charges to party by investment'!$C97,'Rev Adequacy'!$H$6:$H$4999,'Charges to party by investment'!$D$86)*X$5/X$6</f>
        <v>0</v>
      </c>
      <c r="Y97" s="402">
        <f ca="1">SUMIFS('Rev Adequacy'!$G$6:$G$4999,'Rev Adequacy'!$B$6:$B$4999,'Charges to party by investment'!Y$4,'Rev Adequacy'!$E$6:$E$4999,'Charges to party by investment'!$C97,'Rev Adequacy'!$H$6:$H$4999,'Charges to party by investment'!$D$86)*Y$5/Y$6</f>
        <v>0</v>
      </c>
      <c r="Z97" s="402">
        <f ca="1">SUMIFS('Rev Adequacy'!$G$6:$G$4999,'Rev Adequacy'!$B$6:$B$4999,'Charges to party by investment'!Z$4,'Rev Adequacy'!$E$6:$E$4999,'Charges to party by investment'!$C97,'Rev Adequacy'!$H$6:$H$4999,'Charges to party by investment'!$D$86)*Z$5/Z$6</f>
        <v>0</v>
      </c>
      <c r="AA97" s="402">
        <f ca="1">SUMIFS('Rev Adequacy'!$G$6:$G$4999,'Rev Adequacy'!$B$6:$B$4999,'Charges to party by investment'!AA$4,'Rev Adequacy'!$E$6:$E$4999,'Charges to party by investment'!$C97,'Rev Adequacy'!$H$6:$H$4999,'Charges to party by investment'!$D$86)*AA$5/AA$6</f>
        <v>0</v>
      </c>
      <c r="AB97" s="402">
        <f>SUMIFS('Rev Adequacy'!$G$6:$G$4999,'Rev Adequacy'!$B$6:$B$4999,'Charges to party by investment'!AB$4,'Rev Adequacy'!$E$6:$E$4999,'Charges to party by investment'!$C97)</f>
        <v>0</v>
      </c>
      <c r="AC97" s="402">
        <f>SUMIFS('Rev Adequacy'!$G$6:$G$4999,'Rev Adequacy'!$B$6:$B$4999,'Charges to party by investment'!AC$4,'Rev Adequacy'!$E$6:$E$4999,'Charges to party by investment'!$C97)</f>
        <v>0</v>
      </c>
      <c r="AD97" s="304">
        <f>SUMIFS('Rev Adequacy'!$G$6:$G$4999,'Rev Adequacy'!$B$6:$B$4999,'Charges to party by investment'!AD$4,'Rev Adequacy'!$E$6:$E$4999,'Charges to party by investment'!$C97)</f>
        <v>0</v>
      </c>
      <c r="AE97" s="304">
        <f>SUMIFS('Rev Adequacy'!$G$6:$G$4999,'Rev Adequacy'!$B$6:$B$4999,'Charges to party by investment'!AE$4,'Rev Adequacy'!$E$6:$E$4999,'Charges to party by investment'!$C97)</f>
        <v>0</v>
      </c>
      <c r="AF97" s="304">
        <f>SUMIFS('Rev Adequacy'!$G$6:$G$4999,'Rev Adequacy'!$B$6:$B$4999,'Charges to party by investment'!AF$4,'Rev Adequacy'!$E$6:$E$4999,'Charges to party by investment'!$C97)</f>
        <v>0</v>
      </c>
      <c r="AG97" s="304">
        <f>SUMIFS('Rev Adequacy'!$G$6:$G$4999,'Rev Adequacy'!$B$6:$B$4999,'Charges to party by investment'!AG$4,'Rev Adequacy'!$E$6:$E$4999,'Charges to party by investment'!$C97)</f>
        <v>0</v>
      </c>
      <c r="AH97" s="304">
        <f>SUMIFS('Rev Adequacy'!$G$6:$G$4999,'Rev Adequacy'!$B$6:$B$4999,'Charges to party by investment'!AH$4,'Rev Adequacy'!$E$6:$E$4999,'Charges to party by investment'!$C97)</f>
        <v>0</v>
      </c>
      <c r="AI97" s="300"/>
      <c r="AJ97" s="307">
        <f t="shared" ca="1" si="29"/>
        <v>0</v>
      </c>
      <c r="AK97" s="308">
        <f>SUMIFS('Rev Adequacy'!$BJ$27:$BJ$257,'Rev Adequacy'!$BM$27:$BM$257,'Charges to party by investment'!$D$86,'Rev Adequacy'!$BF$27:$BF$257,'Charges to party by investment'!C97)</f>
        <v>0</v>
      </c>
      <c r="AL97" s="90"/>
      <c r="AM97" s="290"/>
      <c r="AN97" s="20"/>
      <c r="AO97" s="20"/>
      <c r="AP97" s="20"/>
      <c r="AQ97" s="20"/>
      <c r="AR97" s="20"/>
      <c r="AS97" s="20"/>
      <c r="AT97" s="20"/>
      <c r="AU97" s="20"/>
      <c r="AV97" s="20"/>
      <c r="AW97" s="20"/>
      <c r="AX97" s="20"/>
      <c r="AY97" s="297"/>
      <c r="AZ97" s="297"/>
      <c r="BB97" s="251">
        <f>SUMIFS('Rev Adequacy'!$G$6:$G$4999,'Rev Adequacy'!$B$6:$B$4999,'Charges to party by investment'!V$4,'Rev Adequacy'!$E$6:$E$4999,'Charges to party by investment'!$BJ97)/1000000</f>
        <v>3.8466724999999598E-2</v>
      </c>
      <c r="BC97" s="251">
        <f>SUMIFS('Rev Adequacy'!$G$6:$G$4999,'Rev Adequacy'!$B$6:$B$4999,'Charges to party by investment'!W$4,'Rev Adequacy'!$E$6:$E$4999,'Charges to party by investment'!$BJ97)/1000000</f>
        <v>28.470018412999991</v>
      </c>
      <c r="BD97" s="251">
        <f>SUMIFS('Rev Adequacy'!$G$6:$G$4999,'Rev Adequacy'!$B$6:$B$4999,'Charges to party by investment'!X$4,'Rev Adequacy'!$E$6:$E$4999,'Charges to party by investment'!$BJ97)/1000000</f>
        <v>117.53653259499961</v>
      </c>
      <c r="BE97" s="251">
        <f>SUMIFS('Rev Adequacy'!$G$6:$G$4999,'Rev Adequacy'!$B$6:$B$4999,'Charges to party by investment'!Y$4,'Rev Adequacy'!$E$6:$E$4999,'Charges to party by investment'!$BJ97)/1000000</f>
        <v>0.95099658100000228</v>
      </c>
      <c r="BF97" s="251">
        <f>SUMIFS('Rev Adequacy'!$G$6:$G$4999,'Rev Adequacy'!$B$6:$B$4999,'Charges to party by investment'!Z$4,'Rev Adequacy'!$E$6:$E$4999,'Charges to party by investment'!$BJ97)/1000000</f>
        <v>5.0181200000000599E-4</v>
      </c>
      <c r="BG97" s="251">
        <f>SUMIFS('Rev Adequacy'!$G$6:$G$4999,'Rev Adequacy'!$B$6:$B$4999,'Charges to party by investment'!AA$4,'Rev Adequacy'!$E$6:$E$4999,'Charges to party by investment'!$BJ97)/1000000</f>
        <v>2.2539029509999917</v>
      </c>
      <c r="BH97" s="190"/>
      <c r="BI97" s="250" t="str">
        <f>'Charges as $M per year'!A31</f>
        <v>Wellington Electricity</v>
      </c>
      <c r="BJ97" s="252" t="s">
        <v>40</v>
      </c>
      <c r="BK97" s="253">
        <f t="shared" si="23"/>
        <v>149.25041907699961</v>
      </c>
      <c r="BL97" s="260">
        <f t="shared" ca="1" si="27"/>
        <v>9.1835813008701574</v>
      </c>
      <c r="BM97" s="260">
        <f t="shared" ca="1" si="24"/>
        <v>6.1531360231104393E-2</v>
      </c>
      <c r="BN97" s="190">
        <f t="shared" ca="1" si="25"/>
        <v>3.7264071240231762</v>
      </c>
      <c r="BO97" s="190">
        <f>BK97*1000/'Charges as $ per MWh'!J31</f>
        <v>60.561104289377631</v>
      </c>
      <c r="BP97" s="97">
        <f ca="1">AU36-'Charges as $M per year'!C31</f>
        <v>-12.058509556850787</v>
      </c>
      <c r="BQ97" s="190">
        <f t="shared" ca="1" si="26"/>
        <v>-8.0793807021940056E-2</v>
      </c>
      <c r="BR97">
        <v>2464.46</v>
      </c>
    </row>
    <row r="98" spans="3:70" x14ac:dyDescent="0.25">
      <c r="C98" s="306" t="s">
        <v>35</v>
      </c>
      <c r="D98" s="90"/>
      <c r="E98" s="90"/>
      <c r="F98" s="402">
        <f ca="1">SUMIFS('Rev Adequacy'!AL$22:AL$652,'Rev Adequacy'!$AH$22:$AH$652,'Charges to party by investment'!$C98,'Rev Adequacy'!$AJ$22:$AJ$652,'Charges to party by investment'!$D$86)</f>
        <v>0</v>
      </c>
      <c r="G98" s="402">
        <f ca="1">SUMIFS('Rev Adequacy'!AM$22:AM$652,'Rev Adequacy'!$AH$22:$AH$652,'Charges to party by investment'!$C98,'Rev Adequacy'!$AJ$22:$AJ$652,'Charges to party by investment'!$D$86)</f>
        <v>0</v>
      </c>
      <c r="H98" s="402">
        <f ca="1">SUMIFS('Rev Adequacy'!AN$22:AN$652,'Rev Adequacy'!$AH$22:$AH$652,'Charges to party by investment'!$C98,'Rev Adequacy'!$AJ$22:$AJ$652,'Charges to party by investment'!$D$86)</f>
        <v>0</v>
      </c>
      <c r="I98" s="402">
        <f ca="1">SUMIFS('Rev Adequacy'!AO$22:AO$652,'Rev Adequacy'!$AH$22:$AH$652,'Charges to party by investment'!$C98,'Rev Adequacy'!$AJ$22:$AJ$652,'Charges to party by investment'!$D$86)</f>
        <v>0</v>
      </c>
      <c r="J98" s="402">
        <f>SUMIFS('Rev Adequacy'!AP$22:AP$652,'Rev Adequacy'!$AH$22:$AH$652,'Charges to party by investment'!$C98,'Rev Adequacy'!$AJ$22:$AJ$652,'Charges to party by investment'!$D$86)</f>
        <v>0</v>
      </c>
      <c r="K98" s="402">
        <f ca="1">SUMIFS('Rev Adequacy'!AQ$22:AQ$652,'Rev Adequacy'!$AH$22:$AH$652,'Charges to party by investment'!$C98,'Rev Adequacy'!$AJ$22:$AJ$652,'Charges to party by investment'!$D$86)</f>
        <v>0</v>
      </c>
      <c r="L98" s="402">
        <f ca="1">SUMIFS('Rev Adequacy'!AR$22:AR$652,'Rev Adequacy'!$AH$22:$AH$652,'Charges to party by investment'!$C98,'Rev Adequacy'!$AJ$22:$AJ$652,'Charges to party by investment'!$D$86)</f>
        <v>0</v>
      </c>
      <c r="M98" s="402">
        <f ca="1">SUMIFS('Rev Adequacy'!AS$22:AS$652,'Rev Adequacy'!$AH$22:$AH$652,'Charges to party by investment'!$C98,'Rev Adequacy'!$AJ$22:$AJ$652,'Charges to party by investment'!$D$86)</f>
        <v>0.15664987346374065</v>
      </c>
      <c r="N98" s="402">
        <f ca="1">SUMIFS('Rev Adequacy'!AT$22:AT$652,'Rev Adequacy'!$AH$22:$AH$652,'Charges to party by investment'!$C98,'Rev Adequacy'!$AJ$22:$AJ$652,'Charges to party by investment'!$D$86)</f>
        <v>4.0749441131809211E-4</v>
      </c>
      <c r="O98" s="402">
        <f ca="1">SUMIFS('Rev Adequacy'!AU$22:AU$652,'Rev Adequacy'!$AH$22:$AH$652,'Charges to party by investment'!$C98,'Rev Adequacy'!$AJ$22:$AJ$652,'Charges to party by investment'!$D$86)</f>
        <v>0</v>
      </c>
      <c r="P98" s="402">
        <f ca="1">SUMIFS('Rev Adequacy'!AV$22:AV$652,'Rev Adequacy'!$AH$22:$AH$652,'Charges to party by investment'!$C98,'Rev Adequacy'!$AJ$22:$AJ$652,'Charges to party by investment'!$D$86)</f>
        <v>2.7140859361327177E-4</v>
      </c>
      <c r="Q98" s="402">
        <f>SUMIFS('Rev Adequacy'!AW$22:AW$652,'Rev Adequacy'!$AH$22:$AH$652,'Charges to party by investment'!$C98,'Rev Adequacy'!$AJ$22:$AJ$652,'Charges to party by investment'!$D$86)</f>
        <v>0</v>
      </c>
      <c r="R98" s="402">
        <f>SUMIFS('Rev Adequacy'!AX$22:AX$652,'Rev Adequacy'!$AH$22:$AH$652,'Charges to party by investment'!$C98,'Rev Adequacy'!$AJ$22:$AJ$652,'Charges to party by investment'!$D$86)</f>
        <v>0</v>
      </c>
      <c r="S98" s="399"/>
      <c r="T98" s="399"/>
      <c r="U98" s="399"/>
      <c r="V98" s="402">
        <f ca="1">SUMIFS('Rev Adequacy'!$G$6:$G$4999,'Rev Adequacy'!$B$6:$B$4999,'Charges to party by investment'!V$4,'Rev Adequacy'!$E$6:$E$4999,'Charges to party by investment'!$C98,'Rev Adequacy'!$H$6:$H$4999,'Charges to party by investment'!$D$86)*V$5/V$6</f>
        <v>9.4453001777738424E-2</v>
      </c>
      <c r="W98" s="402">
        <f ca="1">SUMIFS('Rev Adequacy'!$G$6:$G$4999,'Rev Adequacy'!$B$6:$B$4999,'Charges to party by investment'!W$4,'Rev Adequacy'!$E$6:$E$4999,'Charges to party by investment'!$C98,'Rev Adequacy'!$H$6:$H$4999,'Charges to party by investment'!$D$86)*W$5/W$6</f>
        <v>1.8913513101388602</v>
      </c>
      <c r="X98" s="402">
        <f ca="1">SUMIFS('Rev Adequacy'!$G$6:$G$4999,'Rev Adequacy'!$B$6:$B$4999,'Charges to party by investment'!X$4,'Rev Adequacy'!$E$6:$E$4999,'Charges to party by investment'!$C98,'Rev Adequacy'!$H$6:$H$4999,'Charges to party by investment'!$D$86)*X$5/X$6</f>
        <v>0.34468034213644105</v>
      </c>
      <c r="Y98" s="402">
        <f ca="1">SUMIFS('Rev Adequacy'!$G$6:$G$4999,'Rev Adequacy'!$B$6:$B$4999,'Charges to party by investment'!Y$4,'Rev Adequacy'!$E$6:$E$4999,'Charges to party by investment'!$C98,'Rev Adequacy'!$H$6:$H$4999,'Charges to party by investment'!$D$86)*Y$5/Y$6</f>
        <v>2.5881999999999879E-5</v>
      </c>
      <c r="Z98" s="402">
        <f ca="1">SUMIFS('Rev Adequacy'!$G$6:$G$4999,'Rev Adequacy'!$B$6:$B$4999,'Charges to party by investment'!Z$4,'Rev Adequacy'!$E$6:$E$4999,'Charges to party by investment'!$C98,'Rev Adequacy'!$H$6:$H$4999,'Charges to party by investment'!$D$86)*Z$5/Z$6</f>
        <v>5.3719326340858525E-4</v>
      </c>
      <c r="AA98" s="402">
        <f ca="1">SUMIFS('Rev Adequacy'!$G$6:$G$4999,'Rev Adequacy'!$B$6:$B$4999,'Charges to party by investment'!AA$4,'Rev Adequacy'!$E$6:$E$4999,'Charges to party by investment'!$C98,'Rev Adequacy'!$H$6:$H$4999,'Charges to party by investment'!$D$86)*AA$5/AA$6</f>
        <v>1.9509300621734953E-5</v>
      </c>
      <c r="AB98" s="402">
        <f>SUMIFS('Rev Adequacy'!$G$6:$G$4999,'Rev Adequacy'!$B$6:$B$4999,'Charges to party by investment'!AB$4,'Rev Adequacy'!$E$6:$E$4999,'Charges to party by investment'!$C98)</f>
        <v>0</v>
      </c>
      <c r="AC98" s="402">
        <f>SUMIFS('Rev Adequacy'!$G$6:$G$4999,'Rev Adequacy'!$B$6:$B$4999,'Charges to party by investment'!AC$4,'Rev Adequacy'!$E$6:$E$4999,'Charges to party by investment'!$C98)</f>
        <v>0</v>
      </c>
      <c r="AD98" s="304">
        <f>SUMIFS('Rev Adequacy'!$G$6:$G$4999,'Rev Adequacy'!$B$6:$B$4999,'Charges to party by investment'!AD$4,'Rev Adequacy'!$E$6:$E$4999,'Charges to party by investment'!$C98)</f>
        <v>0</v>
      </c>
      <c r="AE98" s="304">
        <f>SUMIFS('Rev Adequacy'!$G$6:$G$4999,'Rev Adequacy'!$B$6:$B$4999,'Charges to party by investment'!AE$4,'Rev Adequacy'!$E$6:$E$4999,'Charges to party by investment'!$C98)</f>
        <v>0</v>
      </c>
      <c r="AF98" s="304">
        <f>SUMIFS('Rev Adequacy'!$G$6:$G$4999,'Rev Adequacy'!$B$6:$B$4999,'Charges to party by investment'!AF$4,'Rev Adequacy'!$E$6:$E$4999,'Charges to party by investment'!$C98)</f>
        <v>0</v>
      </c>
      <c r="AG98" s="304">
        <f>SUMIFS('Rev Adequacy'!$G$6:$G$4999,'Rev Adequacy'!$B$6:$B$4999,'Charges to party by investment'!AG$4,'Rev Adequacy'!$E$6:$E$4999,'Charges to party by investment'!$C98)</f>
        <v>0</v>
      </c>
      <c r="AH98" s="304">
        <f>SUMIFS('Rev Adequacy'!$G$6:$G$4999,'Rev Adequacy'!$B$6:$B$4999,'Charges to party by investment'!AH$4,'Rev Adequacy'!$E$6:$E$4999,'Charges to party by investment'!$C98)</f>
        <v>0</v>
      </c>
      <c r="AI98" s="300"/>
      <c r="AJ98" s="307">
        <f t="shared" ca="1" si="29"/>
        <v>2.4883960150857418</v>
      </c>
      <c r="AK98" s="308">
        <f>SUMIFS('Rev Adequacy'!$BJ$27:$BJ$257,'Rev Adequacy'!$BM$27:$BM$257,'Charges to party by investment'!$D$86,'Rev Adequacy'!$BF$27:$BF$257,'Charges to party by investment'!C98)</f>
        <v>1.2978363915727162E-2</v>
      </c>
      <c r="AL98" s="90"/>
      <c r="AM98" s="290" t="s">
        <v>1595</v>
      </c>
      <c r="AN98" s="20"/>
      <c r="AO98" s="20"/>
      <c r="AP98" s="20"/>
      <c r="AQ98" s="20"/>
      <c r="AR98" s="20"/>
      <c r="AS98" s="20"/>
      <c r="AT98" s="20"/>
      <c r="AU98" s="20"/>
      <c r="AV98" s="20"/>
      <c r="AW98" s="20"/>
      <c r="AX98" s="20"/>
      <c r="AY98" s="297"/>
      <c r="AZ98" s="297"/>
      <c r="BB98" s="251">
        <f>SUMIFS('Rev Adequacy'!$G$6:$G$4999,'Rev Adequacy'!$B$6:$B$4999,'Charges to party by investment'!V$4,'Rev Adequacy'!$E$6:$E$4999,'Charges to party by investment'!$BJ98)/1000000</f>
        <v>0.13603421900000029</v>
      </c>
      <c r="BC98" s="251">
        <f>SUMIFS('Rev Adequacy'!$G$6:$G$4999,'Rev Adequacy'!$B$6:$B$4999,'Charges to party by investment'!W$4,'Rev Adequacy'!$E$6:$E$4999,'Charges to party by investment'!$BJ98)/1000000</f>
        <v>0</v>
      </c>
      <c r="BD98" s="251">
        <f>SUMIFS('Rev Adequacy'!$G$6:$G$4999,'Rev Adequacy'!$B$6:$B$4999,'Charges to party by investment'!X$4,'Rev Adequacy'!$E$6:$E$4999,'Charges to party by investment'!$BJ98)/1000000</f>
        <v>0</v>
      </c>
      <c r="BE98" s="251">
        <f>SUMIFS('Rev Adequacy'!$G$6:$G$4999,'Rev Adequacy'!$B$6:$B$4999,'Charges to party by investment'!Y$4,'Rev Adequacy'!$E$6:$E$4999,'Charges to party by investment'!$BJ98)/1000000</f>
        <v>5.9326363999998598E-2</v>
      </c>
      <c r="BF98" s="251">
        <f>SUMIFS('Rev Adequacy'!$G$6:$G$4999,'Rev Adequacy'!$B$6:$B$4999,'Charges to party by investment'!Z$4,'Rev Adequacy'!$E$6:$E$4999,'Charges to party by investment'!$BJ98)/1000000</f>
        <v>2.8156214000000297E-2</v>
      </c>
      <c r="BG98" s="251">
        <f>SUMIFS('Rev Adequacy'!$G$6:$G$4999,'Rev Adequacy'!$B$6:$B$4999,'Charges to party by investment'!AA$4,'Rev Adequacy'!$E$6:$E$4999,'Charges to party by investment'!$BJ98)/1000000</f>
        <v>0.1676586479999998</v>
      </c>
      <c r="BH98" s="190"/>
      <c r="BI98" s="250" t="str">
        <f>'Charges as $M per year'!A32</f>
        <v>Westpower</v>
      </c>
      <c r="BJ98" s="252" t="s">
        <v>41</v>
      </c>
      <c r="BK98" s="253">
        <f t="shared" si="23"/>
        <v>0.39117544499999901</v>
      </c>
      <c r="BL98" s="260">
        <f t="shared" ca="1" si="27"/>
        <v>0.1732178126400005</v>
      </c>
      <c r="BM98" s="260">
        <f t="shared" ca="1" si="24"/>
        <v>0.44281361433614763</v>
      </c>
      <c r="BN98" s="190">
        <f t="shared" ca="1" si="25"/>
        <v>0.61115710146564006</v>
      </c>
      <c r="BO98" s="190">
        <f>BK98*1000/'Charges as $ per MWh'!J32</f>
        <v>1.3801678215830553</v>
      </c>
      <c r="BP98" s="97">
        <f ca="1">AU37-'Charges as $M per year'!C32</f>
        <v>3.0566397912364063</v>
      </c>
      <c r="BQ98" s="190">
        <f t="shared" ca="1" si="26"/>
        <v>7.8139868703579136</v>
      </c>
      <c r="BR98">
        <v>283.42599999999999</v>
      </c>
    </row>
    <row r="99" spans="3:70" ht="15.75" thickBot="1" x14ac:dyDescent="0.3">
      <c r="C99" s="90"/>
      <c r="D99" s="90"/>
      <c r="E99" s="90"/>
      <c r="F99" s="90"/>
      <c r="G99" s="90"/>
      <c r="H99" s="90"/>
      <c r="I99" s="90"/>
      <c r="J99" s="90"/>
      <c r="K99" s="90"/>
      <c r="L99" s="90"/>
      <c r="M99" s="90"/>
      <c r="N99" s="90"/>
      <c r="O99" s="90"/>
      <c r="P99" s="90"/>
      <c r="Q99" s="90"/>
      <c r="R99" s="90"/>
      <c r="S99" s="90"/>
      <c r="T99" s="90"/>
      <c r="U99" s="90"/>
      <c r="V99" s="399"/>
      <c r="W99" s="399"/>
      <c r="X99" s="399"/>
      <c r="Y99" s="399"/>
      <c r="Z99" s="399"/>
      <c r="AA99" s="399"/>
      <c r="AB99" s="405"/>
      <c r="AC99" s="405"/>
      <c r="AD99" s="301"/>
      <c r="AE99" s="301"/>
      <c r="AF99" s="301"/>
      <c r="AG99" s="301"/>
      <c r="AH99" s="301"/>
      <c r="AI99" s="300"/>
      <c r="AJ99" s="408">
        <f ca="1">SUM(AJ88:AJ98)</f>
        <v>56.34551594893918</v>
      </c>
      <c r="AK99" s="408">
        <f>SUM(AK88:AK98)</f>
        <v>1.1518670916699689</v>
      </c>
      <c r="AL99" s="90"/>
      <c r="AM99" s="309">
        <f ca="1">SUM(AJ99:AK99)/(SUM($AJ$85:$AK$85)+SUM($AJ$99:$AK$99))</f>
        <v>0.83096120114765282</v>
      </c>
      <c r="AN99" s="20"/>
      <c r="AO99" s="20"/>
      <c r="AP99" s="20"/>
      <c r="AQ99" s="20"/>
      <c r="AR99" s="20"/>
      <c r="AS99" s="20"/>
      <c r="AT99" s="20"/>
      <c r="AU99" s="20"/>
      <c r="AV99" s="20"/>
      <c r="AW99" s="20"/>
      <c r="AX99" s="20"/>
      <c r="AY99" s="297"/>
      <c r="AZ99" s="297"/>
      <c r="BB99" s="251">
        <f>SUMIFS('Rev Adequacy'!$G$6:$G$4999,'Rev Adequacy'!$B$6:$B$4999,'Charges to party by investment'!V$4,'Rev Adequacy'!$E$6:$E$4999,'Charges to party by investment'!$BJ99)/1000000</f>
        <v>0</v>
      </c>
      <c r="BC99" s="251">
        <f>SUMIFS('Rev Adequacy'!$G$6:$G$4999,'Rev Adequacy'!$B$6:$B$4999,'Charges to party by investment'!W$4,'Rev Adequacy'!$E$6:$E$4999,'Charges to party by investment'!$BJ99)/1000000</f>
        <v>0</v>
      </c>
      <c r="BD99" s="251">
        <f>SUMIFS('Rev Adequacy'!$G$6:$G$4999,'Rev Adequacy'!$B$6:$B$4999,'Charges to party by investment'!X$4,'Rev Adequacy'!$E$6:$E$4999,'Charges to party by investment'!$BJ99)/1000000</f>
        <v>0</v>
      </c>
      <c r="BE99" s="251">
        <f>SUMIFS('Rev Adequacy'!$G$6:$G$4999,'Rev Adequacy'!$B$6:$B$4999,'Charges to party by investment'!Y$4,'Rev Adequacy'!$E$6:$E$4999,'Charges to party by investment'!$BJ99)/1000000</f>
        <v>0</v>
      </c>
      <c r="BF99" s="251">
        <f>SUMIFS('Rev Adequacy'!$G$6:$G$4999,'Rev Adequacy'!$B$6:$B$4999,'Charges to party by investment'!Z$4,'Rev Adequacy'!$E$6:$E$4999,'Charges to party by investment'!$BJ99)/1000000</f>
        <v>0</v>
      </c>
      <c r="BG99" s="251">
        <f>SUMIFS('Rev Adequacy'!$G$6:$G$4999,'Rev Adequacy'!$B$6:$B$4999,'Charges to party by investment'!AA$4,'Rev Adequacy'!$E$6:$E$4999,'Charges to party by investment'!$BJ99)/1000000</f>
        <v>0</v>
      </c>
      <c r="BH99" s="190"/>
      <c r="BI99" s="250"/>
      <c r="BJ99" s="252"/>
      <c r="BK99" s="253"/>
      <c r="BL99" s="250"/>
      <c r="BM99" s="250"/>
      <c r="BN99" s="190"/>
      <c r="BO99" s="190"/>
      <c r="BP99" s="97"/>
      <c r="BQ99" s="190"/>
    </row>
    <row r="100" spans="3:70" ht="15.75" thickTop="1" x14ac:dyDescent="0.25">
      <c r="C100" s="90"/>
      <c r="D100" s="90"/>
      <c r="E100" s="90"/>
      <c r="F100" s="90"/>
      <c r="G100" s="90"/>
      <c r="H100" s="90"/>
      <c r="I100" s="90"/>
      <c r="J100" s="90"/>
      <c r="K100" s="90"/>
      <c r="L100" s="90"/>
      <c r="M100" s="90"/>
      <c r="N100" s="90"/>
      <c r="O100" s="90"/>
      <c r="P100" s="90"/>
      <c r="Q100" s="90"/>
      <c r="R100" s="90"/>
      <c r="S100" s="90"/>
      <c r="T100" s="90"/>
      <c r="U100" s="90"/>
      <c r="V100" s="399"/>
      <c r="W100" s="399"/>
      <c r="X100" s="399"/>
      <c r="Y100" s="399"/>
      <c r="Z100" s="399"/>
      <c r="AA100" s="399"/>
      <c r="AB100" s="405"/>
      <c r="AC100" s="405"/>
      <c r="AD100" s="301"/>
      <c r="AE100" s="301"/>
      <c r="AF100" s="301"/>
      <c r="AG100" s="301"/>
      <c r="AH100" s="301"/>
      <c r="AI100" s="300"/>
      <c r="AJ100" s="90"/>
      <c r="AK100" s="90"/>
      <c r="AL100" s="90"/>
      <c r="AM100" s="290"/>
      <c r="AN100" s="20"/>
      <c r="AO100" s="20"/>
      <c r="AP100" s="20"/>
      <c r="AQ100" s="20"/>
      <c r="AR100" s="20"/>
      <c r="AS100" s="20"/>
      <c r="AT100" s="20"/>
      <c r="AU100" s="20"/>
      <c r="AV100" s="20"/>
      <c r="AW100" s="20"/>
      <c r="AX100" s="20"/>
      <c r="AY100" s="293"/>
      <c r="AZ100" s="293"/>
      <c r="BB100" s="251">
        <f>SUMIFS('Rev Adequacy'!$G$6:$G$4999,'Rev Adequacy'!$B$6:$B$4999,'Charges to party by investment'!V$4,'Rev Adequacy'!$E$6:$E$4999,'Charges to party by investment'!$BJ100)/1000000</f>
        <v>0</v>
      </c>
      <c r="BC100" s="251">
        <f>SUMIFS('Rev Adequacy'!$G$6:$G$4999,'Rev Adequacy'!$B$6:$B$4999,'Charges to party by investment'!W$4,'Rev Adequacy'!$E$6:$E$4999,'Charges to party by investment'!$BJ100)/1000000</f>
        <v>0</v>
      </c>
      <c r="BD100" s="251">
        <f>SUMIFS('Rev Adequacy'!$G$6:$G$4999,'Rev Adequacy'!$B$6:$B$4999,'Charges to party by investment'!X$4,'Rev Adequacy'!$E$6:$E$4999,'Charges to party by investment'!$BJ100)/1000000</f>
        <v>0</v>
      </c>
      <c r="BE100" s="251">
        <f>SUMIFS('Rev Adequacy'!$G$6:$G$4999,'Rev Adequacy'!$B$6:$B$4999,'Charges to party by investment'!Y$4,'Rev Adequacy'!$E$6:$E$4999,'Charges to party by investment'!$BJ100)/1000000</f>
        <v>0</v>
      </c>
      <c r="BF100" s="251">
        <f>SUMIFS('Rev Adequacy'!$G$6:$G$4999,'Rev Adequacy'!$B$6:$B$4999,'Charges to party by investment'!Z$4,'Rev Adequacy'!$E$6:$E$4999,'Charges to party by investment'!$BJ100)/1000000</f>
        <v>0</v>
      </c>
      <c r="BG100" s="251">
        <f>SUMIFS('Rev Adequacy'!$G$6:$G$4999,'Rev Adequacy'!$B$6:$B$4999,'Charges to party by investment'!AA$4,'Rev Adequacy'!$E$6:$E$4999,'Charges to party by investment'!$BJ100)/1000000</f>
        <v>0</v>
      </c>
      <c r="BH100" s="190"/>
      <c r="BI100" s="250"/>
      <c r="BJ100" s="252"/>
      <c r="BK100" s="253"/>
      <c r="BL100" s="250"/>
      <c r="BM100" s="250"/>
      <c r="BN100" s="190"/>
      <c r="BO100" s="190"/>
      <c r="BP100" s="97"/>
      <c r="BQ100" s="190"/>
    </row>
    <row r="101" spans="3:70" x14ac:dyDescent="0.25">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301"/>
      <c r="AC101" s="301"/>
      <c r="AD101" s="301"/>
      <c r="AE101" s="301"/>
      <c r="AF101" s="301"/>
      <c r="AG101" s="301"/>
      <c r="AH101" s="301"/>
      <c r="AI101" s="300"/>
      <c r="AJ101" s="90"/>
      <c r="AK101" s="90"/>
      <c r="AL101" s="90"/>
      <c r="AM101" s="90"/>
      <c r="AN101" s="20"/>
      <c r="AO101" s="20"/>
      <c r="AP101" s="20"/>
      <c r="AQ101" s="20"/>
      <c r="AR101" s="20"/>
      <c r="AS101" s="20"/>
      <c r="AT101" s="20"/>
      <c r="AU101" s="20"/>
      <c r="AV101" s="20"/>
      <c r="AW101" s="20"/>
      <c r="AX101" s="20"/>
      <c r="AY101" s="293"/>
      <c r="AZ101" s="293"/>
      <c r="BB101" s="251">
        <f>SUMIFS('Rev Adequacy'!$G$6:$G$4999,'Rev Adequacy'!$B$6:$B$4999,'Charges to party by investment'!V$4,'Rev Adequacy'!$E$6:$E$4999,'Charges to party by investment'!$BJ101)/1000000</f>
        <v>0.94592563366766391</v>
      </c>
      <c r="BC101" s="251">
        <f>SUMIFS('Rev Adequacy'!$G$6:$G$4999,'Rev Adequacy'!$B$6:$B$4999,'Charges to party by investment'!W$4,'Rev Adequacy'!$E$6:$E$4999,'Charges to party by investment'!$BJ101)/1000000</f>
        <v>79.080210274389827</v>
      </c>
      <c r="BD101" s="251">
        <f>SUMIFS('Rev Adequacy'!$G$6:$G$4999,'Rev Adequacy'!$B$6:$B$4999,'Charges to party by investment'!X$4,'Rev Adequacy'!$E$6:$E$4999,'Charges to party by investment'!$BJ101)/1000000</f>
        <v>78.066132151988754</v>
      </c>
      <c r="BE101" s="251">
        <f>SUMIFS('Rev Adequacy'!$G$6:$G$4999,'Rev Adequacy'!$B$6:$B$4999,'Charges to party by investment'!Y$4,'Rev Adequacy'!$E$6:$E$4999,'Charges to party by investment'!$BJ101)/1000000</f>
        <v>5.1425540472914213E-3</v>
      </c>
      <c r="BF101" s="251">
        <f>SUMIFS('Rev Adequacy'!$G$6:$G$4999,'Rev Adequacy'!$B$6:$B$4999,'Charges to party by investment'!Z$4,'Rev Adequacy'!$E$6:$E$4999,'Charges to party by investment'!$BJ101)/1000000</f>
        <v>9.8654917767568073E-2</v>
      </c>
      <c r="BG101" s="251">
        <f>SUMIFS('Rev Adequacy'!$G$6:$G$4999,'Rev Adequacy'!$B$6:$B$4999,'Charges to party by investment'!AA$4,'Rev Adequacy'!$E$6:$E$4999,'Charges to party by investment'!$BJ101)/1000000</f>
        <v>2.4205088479900221</v>
      </c>
      <c r="BH101" s="190"/>
      <c r="BI101" s="250" t="str">
        <f>'Charges as $M per year'!A35</f>
        <v>Contact</v>
      </c>
      <c r="BJ101" s="252" t="s">
        <v>4</v>
      </c>
      <c r="BK101" s="253">
        <f t="shared" ref="BK101:BK108" si="30">SUM(BB101:BG101)</f>
        <v>160.61657437985113</v>
      </c>
      <c r="BL101" s="250">
        <f t="shared" ref="BL101:BL110" ca="1" si="31">SUM(V40:AA40)</f>
        <v>13.620176207533154</v>
      </c>
      <c r="BM101" s="250">
        <f t="shared" ref="BM101:BM110" ca="1" si="32">BL101/BK101</f>
        <v>8.4799319498136211E-2</v>
      </c>
      <c r="BN101" s="190">
        <f t="shared" ca="1" si="25"/>
        <v>1.2787682686852733</v>
      </c>
      <c r="BO101" s="190">
        <f>BK101*1000/'Charges as $ per MWh'!J35</f>
        <v>15.079935502470386</v>
      </c>
      <c r="BP101" s="97">
        <f ca="1">AU40-'Charges as $M per year'!C35</f>
        <v>-16.014488932660381</v>
      </c>
      <c r="BQ101" s="190">
        <f t="shared" ca="1" si="26"/>
        <v>-9.9706328531119201E-2</v>
      </c>
      <c r="BR101">
        <v>10651.012025451901</v>
      </c>
    </row>
    <row r="102" spans="3:70" x14ac:dyDescent="0.25">
      <c r="C102" s="90"/>
      <c r="D102" s="90"/>
      <c r="E102" s="90"/>
      <c r="F102" s="90"/>
      <c r="G102" s="90"/>
      <c r="H102" s="90"/>
      <c r="I102" s="90"/>
      <c r="J102" s="90"/>
      <c r="K102" s="90"/>
      <c r="L102" s="90"/>
      <c r="M102" s="90"/>
      <c r="N102" s="90"/>
      <c r="O102" s="90"/>
      <c r="P102" s="90"/>
      <c r="Q102" s="90"/>
      <c r="R102" s="90"/>
      <c r="S102" s="90"/>
      <c r="T102" s="90"/>
      <c r="U102" s="90"/>
      <c r="V102" s="90"/>
      <c r="W102" s="90"/>
      <c r="X102" s="90"/>
      <c r="Y102" s="90"/>
      <c r="Z102" s="90"/>
      <c r="AA102" s="90"/>
      <c r="AB102" s="301"/>
      <c r="AC102" s="301"/>
      <c r="AD102" s="301"/>
      <c r="AE102" s="301"/>
      <c r="AF102" s="301"/>
      <c r="AG102" s="301"/>
      <c r="AH102" s="301"/>
      <c r="AI102" s="300"/>
      <c r="AJ102" s="307">
        <f ca="1">AJ99+AJ85</f>
        <v>63.312312833796213</v>
      </c>
      <c r="AK102" s="307">
        <f t="shared" ref="AK102" si="33">AK99+AK85</f>
        <v>5.8815110910737571</v>
      </c>
      <c r="AL102" s="307">
        <f>SUM(AO40:AO49)</f>
        <v>0.46396430391246701</v>
      </c>
      <c r="AM102" s="410"/>
      <c r="AN102" s="20"/>
      <c r="AO102" s="20"/>
      <c r="AP102" s="20"/>
      <c r="AQ102" s="20"/>
      <c r="AR102" s="20"/>
      <c r="AS102" s="20"/>
      <c r="AT102" s="20"/>
      <c r="AU102" s="20"/>
      <c r="AV102" s="20"/>
      <c r="AW102" s="20"/>
      <c r="AX102" s="20"/>
      <c r="AY102" s="293"/>
      <c r="AZ102" s="293"/>
      <c r="BB102" s="251">
        <f>SUMIFS('Rev Adequacy'!$G$6:$G$4999,'Rev Adequacy'!$B$6:$B$4999,'Charges to party by investment'!V$4,'Rev Adequacy'!$E$6:$E$4999,'Charges to party by investment'!$BJ102)/1000000</f>
        <v>2.1279011458069017</v>
      </c>
      <c r="BC102" s="251">
        <f>SUMIFS('Rev Adequacy'!$G$6:$G$4999,'Rev Adequacy'!$B$6:$B$4999,'Charges to party by investment'!W$4,'Rev Adequacy'!$E$6:$E$4999,'Charges to party by investment'!$BJ102)/1000000</f>
        <v>17.23456891524949</v>
      </c>
      <c r="BD102" s="251">
        <f>SUMIFS('Rev Adequacy'!$G$6:$G$4999,'Rev Adequacy'!$B$6:$B$4999,'Charges to party by investment'!X$4,'Rev Adequacy'!$E$6:$E$4999,'Charges to party by investment'!$BJ102)/1000000</f>
        <v>13.354502271153693</v>
      </c>
      <c r="BE102" s="251">
        <f>SUMIFS('Rev Adequacy'!$G$6:$G$4999,'Rev Adequacy'!$B$6:$B$4999,'Charges to party by investment'!Y$4,'Rev Adequacy'!$E$6:$E$4999,'Charges to party by investment'!$BJ102)/1000000</f>
        <v>1.18517427109337E-4</v>
      </c>
      <c r="BF102" s="251">
        <f>SUMIFS('Rev Adequacy'!$G$6:$G$4999,'Rev Adequacy'!$B$6:$B$4999,'Charges to party by investment'!Z$4,'Rev Adequacy'!$E$6:$E$4999,'Charges to party by investment'!$BJ102)/1000000</f>
        <v>5.4173024592274625E-2</v>
      </c>
      <c r="BG102" s="251">
        <f>SUMIFS('Rev Adequacy'!$G$6:$G$4999,'Rev Adequacy'!$B$6:$B$4999,'Charges to party by investment'!AA$4,'Rev Adequacy'!$E$6:$E$4999,'Charges to party by investment'!$BJ102)/1000000</f>
        <v>0.96135374217882286</v>
      </c>
      <c r="BH102" s="190"/>
      <c r="BI102" s="250" t="str">
        <f>'Charges as $M per year'!A36</f>
        <v>Genesis</v>
      </c>
      <c r="BJ102" s="252" t="s">
        <v>10</v>
      </c>
      <c r="BK102" s="253">
        <f t="shared" si="30"/>
        <v>33.732617616408291</v>
      </c>
      <c r="BL102" s="250">
        <f t="shared" ca="1" si="31"/>
        <v>3.4958880547604396</v>
      </c>
      <c r="BM102" s="250">
        <f t="shared" ca="1" si="32"/>
        <v>0.10363524392070785</v>
      </c>
      <c r="BN102" s="190">
        <f t="shared" ca="1" si="25"/>
        <v>0.47091472142334195</v>
      </c>
      <c r="BO102" s="190">
        <f>BK102*1000/'Charges as $ per MWh'!J36</f>
        <v>4.5439630728677844</v>
      </c>
      <c r="BP102" s="97">
        <f ca="1">AU41-'Charges as $M per year'!C36</f>
        <v>-1.4168423199332221</v>
      </c>
      <c r="BQ102" s="190">
        <f t="shared" ca="1" si="26"/>
        <v>-4.2002145699005539E-2</v>
      </c>
      <c r="BR102">
        <v>7423.6117405591003</v>
      </c>
    </row>
    <row r="103" spans="3:70" x14ac:dyDescent="0.25">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c r="AA103" s="90"/>
      <c r="AB103" s="301"/>
      <c r="AC103" s="301"/>
      <c r="AD103" s="301"/>
      <c r="AE103" s="301"/>
      <c r="AF103" s="301"/>
      <c r="AG103" s="301"/>
      <c r="AH103" s="301"/>
      <c r="AI103" s="300"/>
      <c r="AJ103" s="90"/>
      <c r="AK103" s="90"/>
      <c r="AL103" s="90"/>
      <c r="AM103" s="90"/>
      <c r="AN103" s="20"/>
      <c r="AO103" s="20"/>
      <c r="AP103" s="20"/>
      <c r="AQ103" s="20"/>
      <c r="AR103" s="20"/>
      <c r="AS103" s="20"/>
      <c r="AT103" s="20"/>
      <c r="AU103" s="20"/>
      <c r="AV103" s="20"/>
      <c r="AW103" s="20"/>
      <c r="AX103" s="20"/>
      <c r="AY103" s="293"/>
      <c r="AZ103" s="293"/>
      <c r="BB103" s="251">
        <f>SUMIFS('Rev Adequacy'!$G$6:$G$4999,'Rev Adequacy'!$B$6:$B$4999,'Charges to party by investment'!V$4,'Rev Adequacy'!$E$6:$E$4999,'Charges to party by investment'!$BJ103)/1000000</f>
        <v>4.7188306658923915E-2</v>
      </c>
      <c r="BC103" s="251">
        <f>SUMIFS('Rev Adequacy'!$G$6:$G$4999,'Rev Adequacy'!$B$6:$B$4999,'Charges to party by investment'!W$4,'Rev Adequacy'!$E$6:$E$4999,'Charges to party by investment'!$BJ103)/1000000</f>
        <v>227.21458868799971</v>
      </c>
      <c r="BD103" s="251">
        <f>SUMIFS('Rev Adequacy'!$G$6:$G$4999,'Rev Adequacy'!$B$6:$B$4999,'Charges to party by investment'!X$4,'Rev Adequacy'!$E$6:$E$4999,'Charges to party by investment'!$BJ103)/1000000</f>
        <v>216.47232237399794</v>
      </c>
      <c r="BE103" s="251">
        <f>SUMIFS('Rev Adequacy'!$G$6:$G$4999,'Rev Adequacy'!$B$6:$B$4999,'Charges to party by investment'!Y$4,'Rev Adequacy'!$E$6:$E$4999,'Charges to party by investment'!$BJ103)/1000000</f>
        <v>1.7129437137885688E-3</v>
      </c>
      <c r="BF103" s="251">
        <f>SUMIFS('Rev Adequacy'!$G$6:$G$4999,'Rev Adequacy'!$B$6:$B$4999,'Charges to party by investment'!Z$4,'Rev Adequacy'!$E$6:$E$4999,'Charges to party by investment'!$BJ103)/1000000</f>
        <v>0.11678435347926659</v>
      </c>
      <c r="BG103" s="251">
        <f>SUMIFS('Rev Adequacy'!$G$6:$G$4999,'Rev Adequacy'!$B$6:$B$4999,'Charges to party by investment'!AA$4,'Rev Adequacy'!$E$6:$E$4999,'Charges to party by investment'!$BJ103)/1000000</f>
        <v>4.0891058198158697E-3</v>
      </c>
      <c r="BH103" s="190"/>
      <c r="BI103" s="250" t="str">
        <f>'Charges as $M per year'!A37</f>
        <v>Meridian</v>
      </c>
      <c r="BJ103" s="252" t="s">
        <v>14</v>
      </c>
      <c r="BK103" s="253">
        <f t="shared" si="30"/>
        <v>443.85668577166945</v>
      </c>
      <c r="BL103" s="250">
        <f t="shared" ca="1" si="31"/>
        <v>35.922904379988537</v>
      </c>
      <c r="BM103" s="250">
        <f t="shared" ca="1" si="32"/>
        <v>8.0933566017000691E-2</v>
      </c>
      <c r="BN103" s="190">
        <f t="shared" ca="1" si="25"/>
        <v>2.6671451229078684</v>
      </c>
      <c r="BO103" s="190">
        <f>BK103*1000/'Charges as $ per MWh'!J37</f>
        <v>32.954746147570155</v>
      </c>
      <c r="BP103" s="97">
        <f ca="1">AU42-'Charges as $M per year'!C37</f>
        <v>-57.386220119370847</v>
      </c>
      <c r="BQ103" s="190">
        <f t="shared" ca="1" si="26"/>
        <v>-0.12928997570376061</v>
      </c>
      <c r="BR103">
        <v>13468.672578574731</v>
      </c>
    </row>
    <row r="104" spans="3:70" x14ac:dyDescent="0.25">
      <c r="E104" s="166"/>
      <c r="AA104" s="20"/>
      <c r="AB104" s="296"/>
      <c r="AC104" s="296"/>
      <c r="AD104" s="296"/>
      <c r="AE104" s="296"/>
      <c r="AF104" s="296"/>
      <c r="AG104" s="296"/>
      <c r="AH104" s="296"/>
      <c r="AI104" s="293"/>
      <c r="AJ104" s="20"/>
      <c r="AK104" s="97"/>
      <c r="AL104" s="20"/>
      <c r="AM104" s="20"/>
      <c r="AN104" s="20"/>
      <c r="AO104" s="20"/>
      <c r="AP104" s="20"/>
      <c r="AQ104" s="20"/>
      <c r="AR104" s="20"/>
      <c r="AS104" s="20"/>
      <c r="AT104" s="20"/>
      <c r="AU104" s="20"/>
      <c r="AV104" s="20"/>
      <c r="AW104" s="20"/>
      <c r="AX104" s="20"/>
      <c r="AY104" s="20"/>
      <c r="AZ104" s="293"/>
      <c r="BA104" s="293"/>
      <c r="BB104" s="251">
        <f>SUMIFS('Rev Adequacy'!$G$6:$G$4999,'Rev Adequacy'!$B$6:$B$4999,'Charges to party by investment'!V$4,'Rev Adequacy'!$E$6:$E$4999,'Charges to party by investment'!$BJ104)/1000000</f>
        <v>0.27483723099999896</v>
      </c>
      <c r="BC104" s="251">
        <f>SUMIFS('Rev Adequacy'!$G$6:$G$4999,'Rev Adequacy'!$B$6:$B$4999,'Charges to party by investment'!W$4,'Rev Adequacy'!$E$6:$E$4999,'Charges to party by investment'!$BJ104)/1000000</f>
        <v>0</v>
      </c>
      <c r="BD104" s="251">
        <f>SUMIFS('Rev Adequacy'!$G$6:$G$4999,'Rev Adequacy'!$B$6:$B$4999,'Charges to party by investment'!X$4,'Rev Adequacy'!$E$6:$E$4999,'Charges to party by investment'!$BJ104)/1000000</f>
        <v>0</v>
      </c>
      <c r="BE104" s="251">
        <f>SUMIFS('Rev Adequacy'!$G$6:$G$4999,'Rev Adequacy'!$B$6:$B$4999,'Charges to party by investment'!Y$4,'Rev Adequacy'!$E$6:$E$4999,'Charges to party by investment'!$BJ104)/1000000</f>
        <v>0</v>
      </c>
      <c r="BF104" s="251">
        <f>SUMIFS('Rev Adequacy'!$G$6:$G$4999,'Rev Adequacy'!$B$6:$B$4999,'Charges to party by investment'!Z$4,'Rev Adequacy'!$E$6:$E$4999,'Charges to party by investment'!$BJ104)/1000000</f>
        <v>0</v>
      </c>
      <c r="BG104" s="251">
        <f>SUMIFS('Rev Adequacy'!$G$6:$G$4999,'Rev Adequacy'!$B$6:$B$4999,'Charges to party by investment'!AA$4,'Rev Adequacy'!$E$6:$E$4999,'Charges to party by investment'!$BJ104)/1000000</f>
        <v>0</v>
      </c>
      <c r="BH104" s="190"/>
      <c r="BI104" s="250" t="str">
        <f>'Charges as $M per year'!A38</f>
        <v>Tuaropaki</v>
      </c>
      <c r="BJ104" s="252" t="s">
        <v>16</v>
      </c>
      <c r="BK104" s="253">
        <f t="shared" si="30"/>
        <v>0.27483723099999896</v>
      </c>
      <c r="BL104" s="250">
        <f t="shared" ca="1" si="31"/>
        <v>6.9915759874724287E-2</v>
      </c>
      <c r="BM104" s="250">
        <f t="shared" ca="1" si="32"/>
        <v>0.25438969684105334</v>
      </c>
      <c r="BN104" s="190">
        <f t="shared" ca="1" si="25"/>
        <v>7.6406658311612377E-2</v>
      </c>
      <c r="BO104" s="190">
        <f>BK104*1000/'Charges as $ per MWh'!J38</f>
        <v>0.30035280225736677</v>
      </c>
      <c r="BP104" s="97">
        <f ca="1">AU43-'Charges as $M per year'!C38</f>
        <v>0.18568578724632673</v>
      </c>
      <c r="BQ104" s="190">
        <f t="shared" ca="1" si="26"/>
        <v>0.67562093596528572</v>
      </c>
      <c r="BR104">
        <v>915.048</v>
      </c>
    </row>
    <row r="105" spans="3:70" x14ac:dyDescent="0.25">
      <c r="V105" s="166"/>
      <c r="W105" s="166"/>
      <c r="X105" s="166"/>
      <c r="Y105" s="166"/>
      <c r="Z105" s="166"/>
      <c r="AA105" s="166"/>
      <c r="AB105" s="296"/>
      <c r="AC105" s="296"/>
      <c r="AD105" s="296"/>
      <c r="AE105" s="296"/>
      <c r="AF105" s="296"/>
      <c r="AG105" s="296"/>
      <c r="AH105" s="296"/>
      <c r="AI105" s="293"/>
      <c r="AJ105" s="20"/>
      <c r="AK105" s="20"/>
      <c r="AL105" s="412"/>
      <c r="AM105" s="20"/>
      <c r="AN105" s="20"/>
      <c r="AO105" s="20"/>
      <c r="AP105" s="20"/>
      <c r="AQ105" s="20"/>
      <c r="AR105" s="20"/>
      <c r="AS105" s="20"/>
      <c r="AT105" s="20"/>
      <c r="AU105" s="20"/>
      <c r="AV105" s="20"/>
      <c r="AW105" s="20"/>
      <c r="AX105" s="20"/>
      <c r="AY105" s="20"/>
      <c r="AZ105" s="293"/>
      <c r="BA105" s="293"/>
      <c r="BB105" s="251">
        <f>SUMIFS('Rev Adequacy'!$G$6:$G$4999,'Rev Adequacy'!$B$6:$B$4999,'Charges to party by investment'!V$4,'Rev Adequacy'!$E$6:$E$4999,'Charges to party by investment'!$BJ105)/1000000</f>
        <v>4.629667245999987</v>
      </c>
      <c r="BC105" s="251">
        <f>SUMIFS('Rev Adequacy'!$G$6:$G$4999,'Rev Adequacy'!$B$6:$B$4999,'Charges to party by investment'!W$4,'Rev Adequacy'!$E$6:$E$4999,'Charges to party by investment'!$BJ105)/1000000</f>
        <v>2.42802739999999E-2</v>
      </c>
      <c r="BD105" s="251">
        <f>SUMIFS('Rev Adequacy'!$G$6:$G$4999,'Rev Adequacy'!$B$6:$B$4999,'Charges to party by investment'!X$4,'Rev Adequacy'!$E$6:$E$4999,'Charges to party by investment'!$BJ105)/1000000</f>
        <v>0.136138492999998</v>
      </c>
      <c r="BE105" s="251">
        <f>SUMIFS('Rev Adequacy'!$G$6:$G$4999,'Rev Adequacy'!$B$6:$B$4999,'Charges to party by investment'!Y$4,'Rev Adequacy'!$E$6:$E$4999,'Charges to party by investment'!$BJ105)/1000000</f>
        <v>1.6140540000000199E-3</v>
      </c>
      <c r="BF105" s="251">
        <f>SUMIFS('Rev Adequacy'!$G$6:$G$4999,'Rev Adequacy'!$B$6:$B$4999,'Charges to party by investment'!Z$4,'Rev Adequacy'!$E$6:$E$4999,'Charges to party by investment'!$BJ105)/1000000</f>
        <v>3.3311195000000023E-2</v>
      </c>
      <c r="BG105" s="251">
        <f>SUMIFS('Rev Adequacy'!$G$6:$G$4999,'Rev Adequacy'!$B$6:$B$4999,'Charges to party by investment'!AA$4,'Rev Adequacy'!$E$6:$E$4999,'Charges to party by investment'!$BJ105)/1000000</f>
        <v>0.74064572799999684</v>
      </c>
      <c r="BH105" s="190"/>
      <c r="BI105" s="250" t="str">
        <f>'Charges as $M per year'!A39</f>
        <v>Mercury</v>
      </c>
      <c r="BJ105" s="252" t="s">
        <v>17</v>
      </c>
      <c r="BK105" s="253">
        <f t="shared" si="30"/>
        <v>5.5656569899999822</v>
      </c>
      <c r="BL105" s="250">
        <f t="shared" ca="1" si="31"/>
        <v>1.4431639241981835</v>
      </c>
      <c r="BM105" s="250">
        <f t="shared" ca="1" si="32"/>
        <v>0.25929803557624348</v>
      </c>
      <c r="BN105" s="190">
        <f t="shared" ca="1" si="25"/>
        <v>0.32640401970708416</v>
      </c>
      <c r="BO105" s="190">
        <f>BK105*1000/'Charges as $ per MWh'!J39</f>
        <v>1.2587986599347336</v>
      </c>
      <c r="BP105" s="97">
        <f ca="1">AU44-'Charges as $M per year'!C39</f>
        <v>4.0512740855603653</v>
      </c>
      <c r="BQ105" s="190">
        <f t="shared" ca="1" si="26"/>
        <v>0.72790581468449034</v>
      </c>
      <c r="BR105">
        <v>4421.4036502775998</v>
      </c>
    </row>
    <row r="106" spans="3:70" x14ac:dyDescent="0.25">
      <c r="V106" s="129"/>
      <c r="W106" s="129"/>
      <c r="X106" s="129"/>
      <c r="Y106" s="129"/>
      <c r="Z106" s="129"/>
      <c r="AA106" s="97"/>
      <c r="AB106" s="296"/>
      <c r="AC106" s="296"/>
      <c r="AD106" s="296"/>
      <c r="AE106" s="296"/>
      <c r="AF106" s="296"/>
      <c r="AG106" s="296"/>
      <c r="AH106" s="296"/>
      <c r="AI106" s="293"/>
      <c r="AJ106" s="20"/>
      <c r="AK106" s="20"/>
      <c r="AL106" s="411"/>
      <c r="AM106" s="20"/>
      <c r="AN106" s="20"/>
      <c r="AO106" s="20"/>
      <c r="AP106" s="20"/>
      <c r="AQ106" s="20"/>
      <c r="AR106" s="20"/>
      <c r="AS106" s="20"/>
      <c r="AT106" s="20"/>
      <c r="AU106" s="20"/>
      <c r="AV106" s="20"/>
      <c r="AW106" s="20"/>
      <c r="AX106" s="20"/>
      <c r="AY106" s="20"/>
      <c r="AZ106" s="293"/>
      <c r="BA106" s="293"/>
      <c r="BB106" s="251">
        <f>SUMIFS('Rev Adequacy'!$G$6:$G$4999,'Rev Adequacy'!$B$6:$B$4999,'Charges to party by investment'!V$4,'Rev Adequacy'!$E$6:$E$4999,'Charges to party by investment'!$BJ106)/1000000</f>
        <v>0.19193210600000099</v>
      </c>
      <c r="BC106" s="251">
        <f>SUMIFS('Rev Adequacy'!$G$6:$G$4999,'Rev Adequacy'!$B$6:$B$4999,'Charges to party by investment'!W$4,'Rev Adequacy'!$E$6:$E$4999,'Charges to party by investment'!$BJ106)/1000000</f>
        <v>0</v>
      </c>
      <c r="BD106" s="251">
        <f>SUMIFS('Rev Adequacy'!$G$6:$G$4999,'Rev Adequacy'!$B$6:$B$4999,'Charges to party by investment'!X$4,'Rev Adequacy'!$E$6:$E$4999,'Charges to party by investment'!$BJ106)/1000000</f>
        <v>0</v>
      </c>
      <c r="BE106" s="251">
        <f>SUMIFS('Rev Adequacy'!$G$6:$G$4999,'Rev Adequacy'!$B$6:$B$4999,'Charges to party by investment'!Y$4,'Rev Adequacy'!$E$6:$E$4999,'Charges to party by investment'!$BJ106)/1000000</f>
        <v>0</v>
      </c>
      <c r="BF106" s="251">
        <f>SUMIFS('Rev Adequacy'!$G$6:$G$4999,'Rev Adequacy'!$B$6:$B$4999,'Charges to party by investment'!Z$4,'Rev Adequacy'!$E$6:$E$4999,'Charges to party by investment'!$BJ106)/1000000</f>
        <v>0</v>
      </c>
      <c r="BG106" s="251">
        <f>SUMIFS('Rev Adequacy'!$G$6:$G$4999,'Rev Adequacy'!$B$6:$B$4999,'Charges to party by investment'!AA$4,'Rev Adequacy'!$E$6:$E$4999,'Charges to party by investment'!$BJ106)/1000000</f>
        <v>1.18099032699999</v>
      </c>
      <c r="BH106" s="190"/>
      <c r="BI106" s="250" t="str">
        <f>'Charges as $M per year'!A40</f>
        <v>Nga Awa Purua JV</v>
      </c>
      <c r="BJ106" s="252" t="s">
        <v>18</v>
      </c>
      <c r="BK106" s="253">
        <f t="shared" si="30"/>
        <v>1.3729224329999909</v>
      </c>
      <c r="BL106" s="250">
        <f t="shared" ca="1" si="31"/>
        <v>0.40239953774949039</v>
      </c>
      <c r="BM106" s="250">
        <f t="shared" ca="1" si="32"/>
        <v>0.29309706657658863</v>
      </c>
      <c r="BN106" s="190">
        <f t="shared" ca="1" si="25"/>
        <v>0.3730268685378908</v>
      </c>
      <c r="BO106" s="190">
        <f>BK106*1000/'Charges as $ per MWh'!J40</f>
        <v>1.2727076149034602</v>
      </c>
      <c r="BP106" s="97">
        <f ca="1">AU45-'Charges as $M per year'!C40</f>
        <v>0.54491105964166731</v>
      </c>
      <c r="BQ106" s="190">
        <f t="shared" ca="1" si="26"/>
        <v>0.39689864958428495</v>
      </c>
      <c r="BR106">
        <v>1078.7414304141901</v>
      </c>
    </row>
    <row r="107" spans="3:70" x14ac:dyDescent="0.25">
      <c r="AA107" s="20"/>
      <c r="AB107" s="296"/>
      <c r="AC107" s="296"/>
      <c r="AD107" s="296"/>
      <c r="AE107" s="296"/>
      <c r="AF107" s="296"/>
      <c r="AG107" s="296"/>
      <c r="AH107" s="296"/>
      <c r="AI107" s="293"/>
      <c r="AJ107" s="20"/>
      <c r="AK107" s="20"/>
      <c r="AL107" s="413"/>
      <c r="AM107" s="20"/>
      <c r="AN107" s="20"/>
      <c r="AO107" s="20"/>
      <c r="AP107" s="20"/>
      <c r="AQ107" s="20"/>
      <c r="AR107" s="20"/>
      <c r="AS107" s="20"/>
      <c r="AT107" s="20"/>
      <c r="AU107" s="20"/>
      <c r="AV107" s="20"/>
      <c r="AW107" s="20"/>
      <c r="AX107" s="20"/>
      <c r="AY107" s="20"/>
      <c r="AZ107" s="293"/>
      <c r="BA107" s="293"/>
      <c r="BB107" s="251">
        <f>SUMIFS('Rev Adequacy'!$G$6:$G$4999,'Rev Adequacy'!$B$6:$B$4999,'Charges to party by investment'!V$4,'Rev Adequacy'!$E$6:$E$4999,'Charges to party by investment'!$BJ107)/1000000</f>
        <v>0.13047832299999901</v>
      </c>
      <c r="BC107" s="251">
        <f>SUMIFS('Rev Adequacy'!$G$6:$G$4999,'Rev Adequacy'!$B$6:$B$4999,'Charges to party by investment'!W$4,'Rev Adequacy'!$E$6:$E$4999,'Charges to party by investment'!$BJ107)/1000000</f>
        <v>0</v>
      </c>
      <c r="BD107" s="251">
        <f>SUMIFS('Rev Adequacy'!$G$6:$G$4999,'Rev Adequacy'!$B$6:$B$4999,'Charges to party by investment'!X$4,'Rev Adequacy'!$E$6:$E$4999,'Charges to party by investment'!$BJ107)/1000000</f>
        <v>0</v>
      </c>
      <c r="BE107" s="251">
        <f>SUMIFS('Rev Adequacy'!$G$6:$G$4999,'Rev Adequacy'!$B$6:$B$4999,'Charges to party by investment'!Y$4,'Rev Adequacy'!$E$6:$E$4999,'Charges to party by investment'!$BJ107)/1000000</f>
        <v>0</v>
      </c>
      <c r="BF107" s="251">
        <f>SUMIFS('Rev Adequacy'!$G$6:$G$4999,'Rev Adequacy'!$B$6:$B$4999,'Charges to party by investment'!Z$4,'Rev Adequacy'!$E$6:$E$4999,'Charges to party by investment'!$BJ107)/1000000</f>
        <v>0</v>
      </c>
      <c r="BG107" s="251">
        <f>SUMIFS('Rev Adequacy'!$G$6:$G$4999,'Rev Adequacy'!$B$6:$B$4999,'Charges to party by investment'!AA$4,'Rev Adequacy'!$E$6:$E$4999,'Charges to party by investment'!$BJ107)/1000000</f>
        <v>0.70772691899999896</v>
      </c>
      <c r="BH107" s="190"/>
      <c r="BI107" s="250" t="str">
        <f>'Charges as $M per year'!A41</f>
        <v>Ngatamariki</v>
      </c>
      <c r="BJ107" s="252" t="s">
        <v>21</v>
      </c>
      <c r="BK107" s="253">
        <f t="shared" si="30"/>
        <v>0.83820524199999791</v>
      </c>
      <c r="BL107" s="250">
        <f t="shared" ca="1" si="31"/>
        <v>0.24507708139300818</v>
      </c>
      <c r="BM107" s="250">
        <f t="shared" ca="1" si="32"/>
        <v>0.29238314092171808</v>
      </c>
      <c r="BN107" s="190">
        <f t="shared" ca="1" si="25"/>
        <v>0.37390408977523087</v>
      </c>
      <c r="BO107" s="190">
        <f>BK107*1000/'Charges as $ per MWh'!J41</f>
        <v>1.278815490511948</v>
      </c>
      <c r="BP107" s="97">
        <f ca="1">AU46-'Charges as $M per year'!C41</f>
        <v>0.32789589470360458</v>
      </c>
      <c r="BQ107" s="190">
        <f t="shared" ca="1" si="26"/>
        <v>0.39118807455943516</v>
      </c>
      <c r="BR107">
        <v>655.45440152937101</v>
      </c>
    </row>
    <row r="108" spans="3:70" x14ac:dyDescent="0.25">
      <c r="AA108" s="20"/>
      <c r="AB108" s="296"/>
      <c r="AC108" s="296"/>
      <c r="AD108" s="296"/>
      <c r="AE108" s="296"/>
      <c r="AF108" s="296"/>
      <c r="AG108" s="296"/>
      <c r="AH108" s="296"/>
      <c r="AI108" s="293"/>
      <c r="AJ108" s="20"/>
      <c r="AK108" s="20"/>
      <c r="AL108" s="20"/>
      <c r="AM108" s="20"/>
      <c r="AN108" s="20"/>
      <c r="AO108" s="20"/>
      <c r="AP108" s="20"/>
      <c r="AQ108" s="20"/>
      <c r="AR108" s="20"/>
      <c r="AS108" s="20"/>
      <c r="AT108" s="20"/>
      <c r="AU108" s="20"/>
      <c r="AV108" s="20"/>
      <c r="AW108" s="20"/>
      <c r="AX108" s="20"/>
      <c r="AY108" s="20"/>
      <c r="AZ108" s="293"/>
      <c r="BA108" s="293"/>
      <c r="BB108" s="251">
        <f>SUMIFS('Rev Adequacy'!$G$6:$G$4999,'Rev Adequacy'!$B$6:$B$4999,'Charges to party by investment'!V$4,'Rev Adequacy'!$E$6:$E$4999,'Charges to party by investment'!$BJ108)/1000000</f>
        <v>0</v>
      </c>
      <c r="BC108" s="251">
        <f>SUMIFS('Rev Adequacy'!$G$6:$G$4999,'Rev Adequacy'!$B$6:$B$4999,'Charges to party by investment'!W$4,'Rev Adequacy'!$E$6:$E$4999,'Charges to party by investment'!$BJ108)/1000000</f>
        <v>0.62501885100000099</v>
      </c>
      <c r="BD108" s="251">
        <f>SUMIFS('Rev Adequacy'!$G$6:$G$4999,'Rev Adequacy'!$B$6:$B$4999,'Charges to party by investment'!X$4,'Rev Adequacy'!$E$6:$E$4999,'Charges to party by investment'!$BJ108)/1000000</f>
        <v>0.58984969300000101</v>
      </c>
      <c r="BE108" s="251">
        <f>SUMIFS('Rev Adequacy'!$G$6:$G$4999,'Rev Adequacy'!$B$6:$B$4999,'Charges to party by investment'!Y$4,'Rev Adequacy'!$E$6:$E$4999,'Charges to party by investment'!$BJ108)/1000000</f>
        <v>0</v>
      </c>
      <c r="BF108" s="251">
        <f>SUMIFS('Rev Adequacy'!$G$6:$G$4999,'Rev Adequacy'!$B$6:$B$4999,'Charges to party by investment'!Z$4,'Rev Adequacy'!$E$6:$E$4999,'Charges to party by investment'!$BJ108)/1000000</f>
        <v>0</v>
      </c>
      <c r="BG108" s="251">
        <f>SUMIFS('Rev Adequacy'!$G$6:$G$4999,'Rev Adequacy'!$B$6:$B$4999,'Charges to party by investment'!AA$4,'Rev Adequacy'!$E$6:$E$4999,'Charges to party by investment'!$BJ108)/1000000</f>
        <v>0</v>
      </c>
      <c r="BH108" s="190"/>
      <c r="BI108" s="250" t="str">
        <f>'Charges as $M per year'!A42</f>
        <v>Pioneer</v>
      </c>
      <c r="BJ108" s="252" t="s">
        <v>27</v>
      </c>
      <c r="BK108" s="253">
        <f t="shared" si="30"/>
        <v>1.214868544000002</v>
      </c>
      <c r="BL108" s="250">
        <f t="shared" ca="1" si="31"/>
        <v>9.8252834376390666E-2</v>
      </c>
      <c r="BM108" s="250">
        <f t="shared" ca="1" si="32"/>
        <v>8.0875280590350443E-2</v>
      </c>
      <c r="BN108" s="190">
        <f t="shared" ca="1" si="25"/>
        <v>2.0693833452416146</v>
      </c>
      <c r="BO108" s="190">
        <f>BK108*1000/'Charges as $ per MWh'!J42</f>
        <v>25.587340533919843</v>
      </c>
      <c r="BP108" s="97">
        <f ca="1">AU47-'Charges as $M per year'!C42</f>
        <v>-0.2835543151506611</v>
      </c>
      <c r="BQ108" s="190">
        <f t="shared" ca="1" si="26"/>
        <v>-0.23340329005231089</v>
      </c>
      <c r="BR108">
        <v>47.479281498189003</v>
      </c>
    </row>
    <row r="109" spans="3:70" x14ac:dyDescent="0.25">
      <c r="AA109" s="20"/>
      <c r="AB109" s="296"/>
      <c r="AC109" s="296"/>
      <c r="AD109" s="296"/>
      <c r="AE109" s="296"/>
      <c r="AF109" s="296"/>
      <c r="AG109" s="296"/>
      <c r="AH109" s="296"/>
      <c r="AI109" s="293"/>
      <c r="AJ109" s="20"/>
      <c r="AK109" s="20"/>
      <c r="AL109" s="20"/>
      <c r="AM109" s="20"/>
      <c r="AN109" s="20"/>
      <c r="AO109" s="20"/>
      <c r="AP109" s="20"/>
      <c r="AQ109" s="20"/>
      <c r="AR109" s="20"/>
      <c r="AS109" s="20"/>
      <c r="AT109" s="20"/>
      <c r="AU109" s="20"/>
      <c r="AV109" s="20"/>
      <c r="AW109" s="20"/>
      <c r="AX109" s="20"/>
      <c r="AY109" s="20"/>
      <c r="AZ109" s="293"/>
      <c r="BA109" s="293"/>
      <c r="BB109" s="251">
        <f>SUMIFS('Rev Adequacy'!$G$6:$G$4999,'Rev Adequacy'!$B$6:$B$4999,'Charges to party by investment'!V$4,'Rev Adequacy'!$E$6:$E$4999,'Charges to party by investment'!$BJ109)/1000000</f>
        <v>9.7782881999999988E-2</v>
      </c>
      <c r="BC109" s="251">
        <f>SUMIFS('Rev Adequacy'!$G$6:$G$4999,'Rev Adequacy'!$B$6:$B$4999,'Charges to party by investment'!W$4,'Rev Adequacy'!$E$6:$E$4999,'Charges to party by investment'!$BJ109)/1000000</f>
        <v>1.0818189000000001E-2</v>
      </c>
      <c r="BD109" s="251">
        <f>SUMIFS('Rev Adequacy'!$G$6:$G$4999,'Rev Adequacy'!$B$6:$B$4999,'Charges to party by investment'!X$4,'Rev Adequacy'!$E$6:$E$4999,'Charges to party by investment'!$BJ109)/1000000</f>
        <v>3.7768659999999697E-2</v>
      </c>
      <c r="BE109" s="251">
        <f>SUMIFS('Rev Adequacy'!$G$6:$G$4999,'Rev Adequacy'!$B$6:$B$4999,'Charges to party by investment'!Y$4,'Rev Adequacy'!$E$6:$E$4999,'Charges to party by investment'!$BJ109)/1000000</f>
        <v>2.06601E-4</v>
      </c>
      <c r="BF109" s="251">
        <f>SUMIFS('Rev Adequacy'!$G$6:$G$4999,'Rev Adequacy'!$B$6:$B$4999,'Charges to party by investment'!Z$4,'Rev Adequacy'!$E$6:$E$4999,'Charges to party by investment'!$BJ109)/1000000</f>
        <v>4.0250890000000008E-3</v>
      </c>
      <c r="BG109" s="251">
        <f>SUMIFS('Rev Adequacy'!$G$6:$G$4999,'Rev Adequacy'!$B$6:$B$4999,'Charges to party by investment'!AA$4,'Rev Adequacy'!$E$6:$E$4999,'Charges to party by investment'!$BJ109)/1000000</f>
        <v>3.9602599999999898E-4</v>
      </c>
      <c r="BH109" s="190"/>
      <c r="BI109" s="250" t="str">
        <f>'Charges as $M per year'!A43</f>
        <v>Todd</v>
      </c>
      <c r="BJ109" s="252" t="s">
        <v>33</v>
      </c>
      <c r="BK109" s="253">
        <f>SUM(BB109:BG109)</f>
        <v>0.1509974469999997</v>
      </c>
      <c r="BL109" s="250">
        <f t="shared" ca="1" si="31"/>
        <v>3.1993189756729913E-2</v>
      </c>
      <c r="BM109" s="250">
        <f t="shared" ca="1" si="32"/>
        <v>0.21187901115129434</v>
      </c>
      <c r="BN109" s="190">
        <f t="shared" ca="1" si="25"/>
        <v>3.2933720364669343E-2</v>
      </c>
      <c r="BO109" s="190">
        <f>BK109*1000/'Charges as $ per MWh'!J43</f>
        <v>0.15543644547761595</v>
      </c>
      <c r="BP109" s="97">
        <f ca="1">AU48-'Charges as $M per year'!C43</f>
        <v>0.12520561198631469</v>
      </c>
      <c r="BQ109" s="190">
        <f t="shared" ca="1" si="26"/>
        <v>0.82919025767578003</v>
      </c>
      <c r="BR109">
        <v>971.44171391737405</v>
      </c>
    </row>
    <row r="110" spans="3:70" x14ac:dyDescent="0.25">
      <c r="AA110" s="20"/>
      <c r="AB110" s="296"/>
      <c r="AC110" s="296"/>
      <c r="AD110" s="296"/>
      <c r="AE110" s="296"/>
      <c r="AF110" s="296"/>
      <c r="AG110" s="296"/>
      <c r="AH110" s="296"/>
      <c r="AI110" s="293"/>
      <c r="AJ110" s="20"/>
      <c r="AK110" s="20"/>
      <c r="AL110" s="20"/>
      <c r="AM110" s="20"/>
      <c r="AN110" s="20"/>
      <c r="AO110" s="20"/>
      <c r="AP110" s="20"/>
      <c r="AQ110" s="20"/>
      <c r="AR110" s="20"/>
      <c r="AS110" s="20"/>
      <c r="AT110" s="20"/>
      <c r="AU110" s="20"/>
      <c r="AV110" s="20"/>
      <c r="AW110" s="20"/>
      <c r="AX110" s="20"/>
      <c r="AY110" s="20"/>
      <c r="AZ110" s="293"/>
      <c r="BA110" s="293"/>
      <c r="BB110" s="251">
        <f>SUMIFS('Rev Adequacy'!$G$6:$G$4999,'Rev Adequacy'!$B$6:$B$4999,'Charges to party by investment'!V$4,'Rev Adequacy'!$E$6:$E$4999,'Charges to party by investment'!$BJ110)/1000000</f>
        <v>0.8723745509999955</v>
      </c>
      <c r="BC110" s="251">
        <f>SUMIFS('Rev Adequacy'!$G$6:$G$4999,'Rev Adequacy'!$B$6:$B$4999,'Charges to party by investment'!W$4,'Rev Adequacy'!$E$6:$E$4999,'Charges to party by investment'!$BJ110)/1000000</f>
        <v>15.107221050999998</v>
      </c>
      <c r="BD110" s="251">
        <f>SUMIFS('Rev Adequacy'!$G$6:$G$4999,'Rev Adequacy'!$B$6:$B$4999,'Charges to party by investment'!X$4,'Rev Adequacy'!$E$6:$E$4999,'Charges to party by investment'!$BJ110)/1000000</f>
        <v>10.189727886999977</v>
      </c>
      <c r="BE110" s="251">
        <f>SUMIFS('Rev Adequacy'!$G$6:$G$4999,'Rev Adequacy'!$B$6:$B$4999,'Charges to party by investment'!Y$4,'Rev Adequacy'!$E$6:$E$4999,'Charges to party by investment'!$BJ110)/1000000</f>
        <v>1.9424199999999877E-4</v>
      </c>
      <c r="BF110" s="251">
        <f>SUMIFS('Rev Adequacy'!$G$6:$G$4999,'Rev Adequacy'!$B$6:$B$4999,'Charges to party by investment'!Z$4,'Rev Adequacy'!$E$6:$E$4999,'Charges to party by investment'!$BJ110)/1000000</f>
        <v>8.0393930000000023E-3</v>
      </c>
      <c r="BG110" s="251">
        <f>SUMIFS('Rev Adequacy'!$G$6:$G$4999,'Rev Adequacy'!$B$6:$B$4999,'Charges to party by investment'!AA$4,'Rev Adequacy'!$E$6:$E$4999,'Charges to party by investment'!$BJ110)/1000000</f>
        <v>2.9735999999999874E-4</v>
      </c>
      <c r="BH110" s="190"/>
      <c r="BI110" s="250" t="str">
        <f>'Charges as $M per year'!A44</f>
        <v>Trustpower</v>
      </c>
      <c r="BJ110" s="252" t="s">
        <v>35</v>
      </c>
      <c r="BK110" s="253">
        <f>SUM(BB110:BG110)</f>
        <v>26.177854483999973</v>
      </c>
      <c r="BL110" s="250">
        <f t="shared" ca="1" si="31"/>
        <v>2.4675530697961463</v>
      </c>
      <c r="BM110" s="250">
        <f t="shared" ca="1" si="32"/>
        <v>9.426108894081929E-2</v>
      </c>
      <c r="BN110" s="190">
        <f t="shared" ca="1" si="25"/>
        <v>1.2127765701367224</v>
      </c>
      <c r="BO110" s="190">
        <f>BK110*1000/'Charges as $ per MWh'!J44</f>
        <v>12.866142156475085</v>
      </c>
      <c r="BP110" s="97">
        <f ca="1">AU49-'Charges as $M per year'!C44</f>
        <v>-0.64436444655096548</v>
      </c>
      <c r="BQ110" s="190">
        <f t="shared" ca="1" si="26"/>
        <v>-2.461486853113971E-2</v>
      </c>
      <c r="BR110">
        <v>2034.631217783146</v>
      </c>
    </row>
    <row r="111" spans="3:70" x14ac:dyDescent="0.25">
      <c r="AA111" s="20"/>
      <c r="AB111" s="296"/>
      <c r="AC111" s="296"/>
      <c r="AD111" s="296"/>
      <c r="AE111" s="296"/>
      <c r="AF111" s="296"/>
      <c r="AG111" s="296"/>
      <c r="AH111" s="296"/>
      <c r="AI111" s="293"/>
      <c r="AJ111" s="20"/>
      <c r="AK111" s="20"/>
      <c r="AL111" s="20"/>
      <c r="AM111" s="20"/>
      <c r="AN111" s="20"/>
      <c r="AO111" s="20"/>
      <c r="AP111" s="20"/>
      <c r="AQ111" s="20"/>
      <c r="AR111" s="20"/>
      <c r="AS111" s="20"/>
      <c r="AT111" s="20"/>
      <c r="AU111" s="20"/>
      <c r="AV111" s="20"/>
      <c r="AW111" s="20"/>
      <c r="AX111" s="20"/>
      <c r="AY111" s="20"/>
      <c r="AZ111" s="293"/>
      <c r="BA111" s="293"/>
      <c r="BB111" s="251">
        <f>SUMIFS('Rev Adequacy'!$G$6:$G$4999,'Rev Adequacy'!$B$6:$B$4999,'Charges to party by investment'!V$4,'Rev Adequacy'!$E$6:$E$4999,'Charges to party by investment'!$BJ111)/1000000</f>
        <v>0</v>
      </c>
      <c r="BC111" s="251">
        <f>SUMIFS('Rev Adequacy'!$G$6:$G$4999,'Rev Adequacy'!$B$6:$B$4999,'Charges to party by investment'!W$4,'Rev Adequacy'!$E$6:$E$4999,'Charges to party by investment'!$BJ111)/1000000</f>
        <v>0</v>
      </c>
      <c r="BD111" s="251">
        <f>SUMIFS('Rev Adequacy'!$G$6:$G$4999,'Rev Adequacy'!$B$6:$B$4999,'Charges to party by investment'!X$4,'Rev Adequacy'!$E$6:$E$4999,'Charges to party by investment'!$BJ111)/1000000</f>
        <v>0</v>
      </c>
      <c r="BE111" s="251">
        <f>SUMIFS('Rev Adequacy'!$G$6:$G$4999,'Rev Adequacy'!$B$6:$B$4999,'Charges to party by investment'!Y$4,'Rev Adequacy'!$E$6:$E$4999,'Charges to party by investment'!$BJ111)/1000000</f>
        <v>0</v>
      </c>
      <c r="BF111" s="251">
        <f>SUMIFS('Rev Adequacy'!$G$6:$G$4999,'Rev Adequacy'!$B$6:$B$4999,'Charges to party by investment'!Z$4,'Rev Adequacy'!$E$6:$E$4999,'Charges to party by investment'!$BJ111)/1000000</f>
        <v>0</v>
      </c>
      <c r="BG111" s="251">
        <f>SUMIFS('Rev Adequacy'!$G$6:$G$4999,'Rev Adequacy'!$B$6:$B$4999,'Charges to party by investment'!AA$4,'Rev Adequacy'!$E$6:$E$4999,'Charges to party by investment'!$BJ111)/1000000</f>
        <v>0</v>
      </c>
      <c r="BH111" s="190"/>
      <c r="BI111" s="250"/>
      <c r="BJ111" s="252"/>
      <c r="BK111" s="253"/>
      <c r="BL111" s="250"/>
      <c r="BM111" s="250"/>
      <c r="BN111" s="190"/>
      <c r="BO111" s="190"/>
      <c r="BP111" s="97"/>
      <c r="BQ111" s="190"/>
    </row>
    <row r="112" spans="3:70" x14ac:dyDescent="0.25">
      <c r="AA112" s="20"/>
      <c r="AB112" s="296"/>
      <c r="AC112" s="296"/>
      <c r="AD112" s="296"/>
      <c r="AE112" s="296"/>
      <c r="AF112" s="296"/>
      <c r="AG112" s="296"/>
      <c r="AH112" s="296"/>
      <c r="AI112" s="293"/>
      <c r="AJ112" s="20"/>
      <c r="AK112" s="20"/>
      <c r="AL112" s="20"/>
      <c r="AM112" s="20"/>
      <c r="AN112" s="20"/>
      <c r="AO112" s="20"/>
      <c r="AP112" s="20"/>
      <c r="AQ112" s="20"/>
      <c r="AR112" s="20"/>
      <c r="AS112" s="20"/>
      <c r="AT112" s="20"/>
      <c r="AU112" s="20"/>
      <c r="AV112" s="20"/>
      <c r="AW112" s="20"/>
      <c r="AX112" s="20"/>
      <c r="AY112" s="20"/>
      <c r="AZ112" s="293"/>
      <c r="BA112" s="293"/>
      <c r="BB112" s="251">
        <f>SUMIFS('Rev Adequacy'!$G$6:$G$4999,'Rev Adequacy'!$B$6:$B$4999,'Charges to party by investment'!V$4,'Rev Adequacy'!$E$6:$E$4999,'Charges to party by investment'!$BJ112)/1000000</f>
        <v>0</v>
      </c>
      <c r="BC112" s="251">
        <f>SUMIFS('Rev Adequacy'!$G$6:$G$4999,'Rev Adequacy'!$B$6:$B$4999,'Charges to party by investment'!W$4,'Rev Adequacy'!$E$6:$E$4999,'Charges to party by investment'!$BJ112)/1000000</f>
        <v>0</v>
      </c>
      <c r="BD112" s="251">
        <f>SUMIFS('Rev Adequacy'!$G$6:$G$4999,'Rev Adequacy'!$B$6:$B$4999,'Charges to party by investment'!X$4,'Rev Adequacy'!$E$6:$E$4999,'Charges to party by investment'!$BJ112)/1000000</f>
        <v>0</v>
      </c>
      <c r="BE112" s="251">
        <f>SUMIFS('Rev Adequacy'!$G$6:$G$4999,'Rev Adequacy'!$B$6:$B$4999,'Charges to party by investment'!Y$4,'Rev Adequacy'!$E$6:$E$4999,'Charges to party by investment'!$BJ112)/1000000</f>
        <v>0</v>
      </c>
      <c r="BF112" s="251">
        <f>SUMIFS('Rev Adequacy'!$G$6:$G$4999,'Rev Adequacy'!$B$6:$B$4999,'Charges to party by investment'!Z$4,'Rev Adequacy'!$E$6:$E$4999,'Charges to party by investment'!$BJ112)/1000000</f>
        <v>0</v>
      </c>
      <c r="BG112" s="251">
        <f>SUMIFS('Rev Adequacy'!$G$6:$G$4999,'Rev Adequacy'!$B$6:$B$4999,'Charges to party by investment'!AA$4,'Rev Adequacy'!$E$6:$E$4999,'Charges to party by investment'!$BJ112)/1000000</f>
        <v>0</v>
      </c>
      <c r="BH112" s="190"/>
      <c r="BI112" s="250"/>
      <c r="BJ112" s="252"/>
      <c r="BK112" s="253"/>
      <c r="BL112" s="250"/>
      <c r="BM112" s="250"/>
      <c r="BN112" s="190"/>
      <c r="BO112" s="190"/>
      <c r="BP112" s="97"/>
      <c r="BQ112" s="190"/>
    </row>
    <row r="113" spans="22:70" x14ac:dyDescent="0.25">
      <c r="AA113" s="20"/>
      <c r="AB113" s="296"/>
      <c r="AC113" s="296"/>
      <c r="AD113" s="296"/>
      <c r="AE113" s="296"/>
      <c r="AF113" s="296"/>
      <c r="AG113" s="296"/>
      <c r="AH113" s="296"/>
      <c r="AI113" s="293"/>
      <c r="AJ113" s="20"/>
      <c r="AK113" s="20"/>
      <c r="AL113" s="20"/>
      <c r="AM113" s="20"/>
      <c r="AN113" s="20"/>
      <c r="AO113" s="20"/>
      <c r="AP113" s="20"/>
      <c r="AQ113" s="20"/>
      <c r="AR113" s="20"/>
      <c r="AS113" s="20"/>
      <c r="AT113" s="20"/>
      <c r="AU113" s="20"/>
      <c r="AV113" s="20"/>
      <c r="AW113" s="20"/>
      <c r="AX113" s="20"/>
      <c r="AY113" s="20"/>
      <c r="AZ113" s="293"/>
      <c r="BA113" s="293"/>
      <c r="BB113" s="251">
        <f>SUMIFS('Rev Adequacy'!$G$6:$G$4999,'Rev Adequacy'!$B$6:$B$4999,'Charges to party by investment'!V$4,'Rev Adequacy'!$E$6:$E$4999,'Charges to party by investment'!$BJ113)/1000000</f>
        <v>0.17564438500000001</v>
      </c>
      <c r="BC113" s="251">
        <f>SUMIFS('Rev Adequacy'!$G$6:$G$4999,'Rev Adequacy'!$B$6:$B$4999,'Charges to party by investment'!W$4,'Rev Adequacy'!$E$6:$E$4999,'Charges to party by investment'!$BJ113)/1000000</f>
        <v>2.6681036649999998</v>
      </c>
      <c r="BD113" s="251">
        <f>SUMIFS('Rev Adequacy'!$G$6:$G$4999,'Rev Adequacy'!$B$6:$B$4999,'Charges to party by investment'!X$4,'Rev Adequacy'!$E$6:$E$4999,'Charges to party by investment'!$BJ113)/1000000</f>
        <v>10.9405695969999</v>
      </c>
      <c r="BE113" s="251">
        <f>SUMIFS('Rev Adequacy'!$G$6:$G$4999,'Rev Adequacy'!$B$6:$B$4999,'Charges to party by investment'!Y$4,'Rev Adequacy'!$E$6:$E$4999,'Charges to party by investment'!$BJ113)/1000000</f>
        <v>0.104110541</v>
      </c>
      <c r="BF113" s="251">
        <f>SUMIFS('Rev Adequacy'!$G$6:$G$4999,'Rev Adequacy'!$B$6:$B$4999,'Charges to party by investment'!Z$4,'Rev Adequacy'!$E$6:$E$4999,'Charges to party by investment'!$BJ113)/1000000</f>
        <v>3.3145120000000303E-3</v>
      </c>
      <c r="BG113" s="251">
        <f>SUMIFS('Rev Adequacy'!$G$6:$G$4999,'Rev Adequacy'!$B$6:$B$4999,'Charges to party by investment'!AA$4,'Rev Adequacy'!$E$6:$E$4999,'Charges to party by investment'!$BJ113)/1000000</f>
        <v>0.21681274200000097</v>
      </c>
      <c r="BH113" s="190"/>
      <c r="BI113" s="250" t="str">
        <f>'Charges as $M per year'!A47</f>
        <v>Carter Holt Harvey</v>
      </c>
      <c r="BJ113" s="252" t="s">
        <v>3</v>
      </c>
      <c r="BK113" s="253">
        <f t="shared" ref="BK113:BK123" si="34">SUM(BB113:BG113)</f>
        <v>14.108555441999901</v>
      </c>
      <c r="BL113" s="250">
        <f t="shared" ref="BL113:BL123" ca="1" si="35">SUM(V52:AA52)</f>
        <v>0.92192610112497575</v>
      </c>
      <c r="BM113" s="250">
        <f t="shared" ref="BM113:BM123" ca="1" si="36">BL113/BK113</f>
        <v>6.5345180441399739E-2</v>
      </c>
      <c r="BN113" s="190">
        <f t="shared" ca="1" si="25"/>
        <v>1.5750379544954807</v>
      </c>
      <c r="BO113" s="190">
        <f>BK113*1000/'Charges as $ per MWh'!J47</f>
        <v>24.103353053067831</v>
      </c>
      <c r="BP113" s="97">
        <f ca="1">AU52-'Charges as $M per year'!C47</f>
        <v>2.0384480545176453</v>
      </c>
      <c r="BQ113" s="190">
        <f t="shared" ca="1" si="26"/>
        <v>0.14448311614166881</v>
      </c>
      <c r="BR113">
        <v>585.33579999999995</v>
      </c>
    </row>
    <row r="114" spans="22:70" x14ac:dyDescent="0.25">
      <c r="AA114" s="20"/>
      <c r="AB114" s="296"/>
      <c r="AC114" s="296"/>
      <c r="AD114" s="296"/>
      <c r="AE114" s="296"/>
      <c r="AF114" s="296"/>
      <c r="AG114" s="296"/>
      <c r="AH114" s="296"/>
      <c r="AI114" s="293"/>
      <c r="AJ114" s="20"/>
      <c r="AK114" s="20"/>
      <c r="AL114" s="20"/>
      <c r="AM114" s="20"/>
      <c r="AN114" s="20"/>
      <c r="AO114" s="20"/>
      <c r="AP114" s="20"/>
      <c r="AQ114" s="20"/>
      <c r="AR114" s="20"/>
      <c r="AS114" s="20"/>
      <c r="AT114" s="20"/>
      <c r="AU114" s="20"/>
      <c r="AV114" s="20"/>
      <c r="AW114" s="20"/>
      <c r="AX114" s="20"/>
      <c r="AY114" s="20"/>
      <c r="AZ114" s="293"/>
      <c r="BA114" s="293"/>
      <c r="BB114" s="251">
        <f>SUMIFS('Rev Adequacy'!$G$6:$G$4999,'Rev Adequacy'!$B$6:$B$4999,'Charges to party by investment'!V$4,'Rev Adequacy'!$E$6:$E$4999,'Charges to party by investment'!$BJ114)/1000000</f>
        <v>3.5465893999999998E-2</v>
      </c>
      <c r="BC114" s="251">
        <f>SUMIFS('Rev Adequacy'!$G$6:$G$4999,'Rev Adequacy'!$B$6:$B$4999,'Charges to party by investment'!W$4,'Rev Adequacy'!$E$6:$E$4999,'Charges to party by investment'!$BJ114)/1000000</f>
        <v>0</v>
      </c>
      <c r="BD114" s="251">
        <f>SUMIFS('Rev Adequacy'!$G$6:$G$4999,'Rev Adequacy'!$B$6:$B$4999,'Charges to party by investment'!X$4,'Rev Adequacy'!$E$6:$E$4999,'Charges to party by investment'!$BJ114)/1000000</f>
        <v>0</v>
      </c>
      <c r="BE114" s="251">
        <f>SUMIFS('Rev Adequacy'!$G$6:$G$4999,'Rev Adequacy'!$B$6:$B$4999,'Charges to party by investment'!Y$4,'Rev Adequacy'!$E$6:$E$4999,'Charges to party by investment'!$BJ114)/1000000</f>
        <v>2.0112566999999502E-2</v>
      </c>
      <c r="BF114" s="251">
        <f>SUMIFS('Rev Adequacy'!$G$6:$G$4999,'Rev Adequacy'!$B$6:$B$4999,'Charges to party by investment'!Z$4,'Rev Adequacy'!$E$6:$E$4999,'Charges to party by investment'!$BJ114)/1000000</f>
        <v>7.7805720000001998E-3</v>
      </c>
      <c r="BG114" s="251">
        <f>SUMIFS('Rev Adequacy'!$G$6:$G$4999,'Rev Adequacy'!$B$6:$B$4999,'Charges to party by investment'!AA$4,'Rev Adequacy'!$E$6:$E$4999,'Charges to party by investment'!$BJ114)/1000000</f>
        <v>4.9597469000000102E-2</v>
      </c>
      <c r="BH114" s="190"/>
      <c r="BI114" s="250" t="str">
        <f>'Charges as $M per year'!A48</f>
        <v>Daiken MDF</v>
      </c>
      <c r="BJ114" s="252" t="s">
        <v>6</v>
      </c>
      <c r="BK114" s="253">
        <f t="shared" si="34"/>
        <v>0.11295650199999979</v>
      </c>
      <c r="BL114" s="250">
        <f t="shared" ca="1" si="35"/>
        <v>5.2022431041317291E-2</v>
      </c>
      <c r="BM114" s="250">
        <f t="shared" ca="1" si="36"/>
        <v>0.4605527802314327</v>
      </c>
      <c r="BN114" s="190">
        <f t="shared" ca="1" si="25"/>
        <v>0.76373055754742214</v>
      </c>
      <c r="BO114" s="190">
        <f>BK114*1000/'Charges as $ per MWh'!J48</f>
        <v>1.6582910587655977</v>
      </c>
      <c r="BP114" s="97">
        <f ca="1">AU53-'Charges as $M per year'!C48</f>
        <v>-0.13341627150472046</v>
      </c>
      <c r="BQ114" s="190">
        <f t="shared" ca="1" si="26"/>
        <v>-1.1811296308088639</v>
      </c>
      <c r="BR114">
        <v>68.116209999999995</v>
      </c>
    </row>
    <row r="115" spans="22:70" x14ac:dyDescent="0.25">
      <c r="AA115" s="20"/>
      <c r="AB115" s="296"/>
      <c r="AC115" s="296"/>
      <c r="AD115" s="296"/>
      <c r="AE115" s="296"/>
      <c r="AF115" s="296"/>
      <c r="AG115" s="296"/>
      <c r="AH115" s="296"/>
      <c r="AI115" s="293"/>
      <c r="AJ115" s="20"/>
      <c r="AK115" s="20"/>
      <c r="AL115" s="20"/>
      <c r="AM115" s="20"/>
      <c r="AN115" s="20"/>
      <c r="AO115" s="20"/>
      <c r="AP115" s="20"/>
      <c r="AQ115" s="20"/>
      <c r="AR115" s="20"/>
      <c r="AS115" s="20"/>
      <c r="AT115" s="20"/>
      <c r="AU115" s="20"/>
      <c r="AV115" s="20"/>
      <c r="AW115" s="20"/>
      <c r="AX115" s="20"/>
      <c r="AY115" s="20"/>
      <c r="AZ115" s="293"/>
      <c r="BA115" s="293"/>
      <c r="BB115" s="251">
        <f>SUMIFS('Rev Adequacy'!$G$6:$G$4999,'Rev Adequacy'!$B$6:$B$4999,'Charges to party by investment'!V$4,'Rev Adequacy'!$E$6:$E$4999,'Charges to party by investment'!$BJ115)/1000000</f>
        <v>0.10688440499999947</v>
      </c>
      <c r="BC115" s="251">
        <f>SUMIFS('Rev Adequacy'!$G$6:$G$4999,'Rev Adequacy'!$B$6:$B$4999,'Charges to party by investment'!W$4,'Rev Adequacy'!$E$6:$E$4999,'Charges to party by investment'!$BJ115)/1000000</f>
        <v>0.2919412930000001</v>
      </c>
      <c r="BD115" s="251">
        <f>SUMIFS('Rev Adequacy'!$G$6:$G$4999,'Rev Adequacy'!$B$6:$B$4999,'Charges to party by investment'!X$4,'Rev Adequacy'!$E$6:$E$4999,'Charges to party by investment'!$BJ115)/1000000</f>
        <v>1.2004847510000001</v>
      </c>
      <c r="BE115" s="251">
        <f>SUMIFS('Rev Adequacy'!$G$6:$G$4999,'Rev Adequacy'!$B$6:$B$4999,'Charges to party by investment'!Y$4,'Rev Adequacy'!$E$6:$E$4999,'Charges to party by investment'!$BJ115)/1000000</f>
        <v>1.3954444000000088E-2</v>
      </c>
      <c r="BF115" s="251">
        <f>SUMIFS('Rev Adequacy'!$G$6:$G$4999,'Rev Adequacy'!$B$6:$B$4999,'Charges to party by investment'!Z$4,'Rev Adequacy'!$E$6:$E$4999,'Charges to party by investment'!$BJ115)/1000000</f>
        <v>3.3718600000000158E-4</v>
      </c>
      <c r="BG115" s="251">
        <f>SUMIFS('Rev Adequacy'!$G$6:$G$4999,'Rev Adequacy'!$B$6:$B$4999,'Charges to party by investment'!AA$4,'Rev Adequacy'!$E$6:$E$4999,'Charges to party by investment'!$BJ115)/1000000</f>
        <v>4.3559160000000076E-2</v>
      </c>
      <c r="BH115" s="190"/>
      <c r="BI115" s="250" t="str">
        <f>'Charges as $M per year'!A49</f>
        <v>Kiwirail</v>
      </c>
      <c r="BJ115" s="252" t="s">
        <v>51</v>
      </c>
      <c r="BK115" s="253">
        <f t="shared" si="34"/>
        <v>1.6571612389999999</v>
      </c>
      <c r="BL115" s="250">
        <f t="shared" ca="1" si="35"/>
        <v>0.13176694436202366</v>
      </c>
      <c r="BM115" s="250">
        <f t="shared" ca="1" si="36"/>
        <v>7.9513653385676175E-2</v>
      </c>
      <c r="BN115" s="190">
        <f t="shared" ca="1" si="25"/>
        <v>3.2986796053915559</v>
      </c>
      <c r="BO115" s="190">
        <f>BK115*1000/'Charges as $ per MWh'!J49</f>
        <v>41.485700441803495</v>
      </c>
      <c r="BP115" s="97">
        <f ca="1">AU54-'Charges as $M per year'!C49</f>
        <v>1.7373744957281287</v>
      </c>
      <c r="BQ115" s="190">
        <f t="shared" ca="1" si="26"/>
        <v>1.0484040145523394</v>
      </c>
      <c r="BR115">
        <v>39.945360000000001</v>
      </c>
    </row>
    <row r="116" spans="22:70" x14ac:dyDescent="0.25">
      <c r="AA116" s="20"/>
      <c r="AB116" s="296"/>
      <c r="AC116" s="296"/>
      <c r="AD116" s="296"/>
      <c r="AE116" s="296"/>
      <c r="AF116" s="296"/>
      <c r="AG116" s="296"/>
      <c r="AH116" s="296"/>
      <c r="AI116" s="293"/>
      <c r="AJ116" s="20"/>
      <c r="AK116" s="20"/>
      <c r="AL116" s="20"/>
      <c r="AM116" s="20"/>
      <c r="AN116" s="20"/>
      <c r="AO116" s="20"/>
      <c r="AP116" s="20"/>
      <c r="AQ116" s="20"/>
      <c r="AR116" s="20"/>
      <c r="AS116" s="20"/>
      <c r="AT116" s="20"/>
      <c r="AU116" s="20"/>
      <c r="AV116" s="20"/>
      <c r="AW116" s="20"/>
      <c r="AX116" s="20"/>
      <c r="AY116" s="20"/>
      <c r="AZ116" s="293"/>
      <c r="BA116" s="293"/>
      <c r="BB116" s="251">
        <f>SUMIFS('Rev Adequacy'!$G$6:$G$4999,'Rev Adequacy'!$B$6:$B$4999,'Charges to party by investment'!V$4,'Rev Adequacy'!$E$6:$E$4999,'Charges to party by investment'!$BJ116)/1000000</f>
        <v>6.1859466000000099E-2</v>
      </c>
      <c r="BC116" s="251">
        <f>SUMIFS('Rev Adequacy'!$G$6:$G$4999,'Rev Adequacy'!$B$6:$B$4999,'Charges to party by investment'!W$4,'Rev Adequacy'!$E$6:$E$4999,'Charges to party by investment'!$BJ116)/1000000</f>
        <v>0.419059984000001</v>
      </c>
      <c r="BD116" s="251">
        <f>SUMIFS('Rev Adequacy'!$G$6:$G$4999,'Rev Adequacy'!$B$6:$B$4999,'Charges to party by investment'!X$4,'Rev Adequacy'!$E$6:$E$4999,'Charges to party by investment'!$BJ116)/1000000</f>
        <v>1.75276752599999</v>
      </c>
      <c r="BE116" s="251">
        <f>SUMIFS('Rev Adequacy'!$G$6:$G$4999,'Rev Adequacy'!$B$6:$B$4999,'Charges to party by investment'!Y$4,'Rev Adequacy'!$E$6:$E$4999,'Charges to party by investment'!$BJ116)/1000000</f>
        <v>1.5189425999999799E-2</v>
      </c>
      <c r="BF116" s="251">
        <f>SUMIFS('Rev Adequacy'!$G$6:$G$4999,'Rev Adequacy'!$B$6:$B$4999,'Charges to party by investment'!Z$4,'Rev Adequacy'!$E$6:$E$4999,'Charges to party by investment'!$BJ116)/1000000</f>
        <v>4.6181400000000299E-4</v>
      </c>
      <c r="BG116" s="251">
        <f>SUMIFS('Rev Adequacy'!$G$6:$G$4999,'Rev Adequacy'!$B$6:$B$4999,'Charges to party by investment'!AA$4,'Rev Adequacy'!$E$6:$E$4999,'Charges to party by investment'!$BJ116)/1000000</f>
        <v>4.8227062000000001E-2</v>
      </c>
      <c r="BH116" s="190"/>
      <c r="BI116" s="250" t="str">
        <f>'Charges as $M per year'!A50</f>
        <v>Methanex</v>
      </c>
      <c r="BJ116" s="252" t="s">
        <v>15</v>
      </c>
      <c r="BK116" s="253">
        <f t="shared" si="34"/>
        <v>2.2975652779999907</v>
      </c>
      <c r="BL116" s="250">
        <f t="shared" ca="1" si="35"/>
        <v>0.15770501677593859</v>
      </c>
      <c r="BM116" s="250">
        <f t="shared" ca="1" si="36"/>
        <v>6.8640059234016351E-2</v>
      </c>
      <c r="BN116" s="190">
        <f t="shared" ca="1" si="25"/>
        <v>2.9371008621977079</v>
      </c>
      <c r="BO116" s="190">
        <f>BK116*1000/'Charges as $ per MWh'!J50</f>
        <v>42.789894049831361</v>
      </c>
      <c r="BP116" s="97">
        <f ca="1">AU55-'Charges as $M per year'!C50</f>
        <v>4.3091964809644834E-2</v>
      </c>
      <c r="BQ116" s="190">
        <f t="shared" ca="1" si="26"/>
        <v>1.8755490963528135E-2</v>
      </c>
      <c r="BR116">
        <v>53.694110000000002</v>
      </c>
    </row>
    <row r="117" spans="22:70" x14ac:dyDescent="0.25">
      <c r="AA117" s="20"/>
      <c r="AB117" s="296"/>
      <c r="AC117" s="296"/>
      <c r="AD117" s="296"/>
      <c r="AE117" s="296"/>
      <c r="AF117" s="296"/>
      <c r="AG117" s="296"/>
      <c r="AH117" s="296"/>
      <c r="AI117" s="293"/>
      <c r="AJ117" s="20"/>
      <c r="AK117" s="20"/>
      <c r="AL117" s="20"/>
      <c r="AM117" s="20"/>
      <c r="AN117" s="20"/>
      <c r="AO117" s="20"/>
      <c r="AP117" s="20"/>
      <c r="AQ117" s="20"/>
      <c r="AR117" s="20"/>
      <c r="AS117" s="20"/>
      <c r="AT117" s="20"/>
      <c r="AU117" s="20"/>
      <c r="AV117" s="20"/>
      <c r="AW117" s="20"/>
      <c r="AX117" s="20"/>
      <c r="AY117" s="20"/>
      <c r="AZ117" s="293"/>
      <c r="BA117" s="293"/>
      <c r="BB117" s="251">
        <f>SUMIFS('Rev Adequacy'!$G$6:$G$4999,'Rev Adequacy'!$B$6:$B$4999,'Charges to party by investment'!V$4,'Rev Adequacy'!$E$6:$E$4999,'Charges to party by investment'!$BJ117)/1000000</f>
        <v>0.256660524</v>
      </c>
      <c r="BC117" s="251">
        <f>SUMIFS('Rev Adequacy'!$G$6:$G$4999,'Rev Adequacy'!$B$6:$B$4999,'Charges to party by investment'!W$4,'Rev Adequacy'!$E$6:$E$4999,'Charges to party by investment'!$BJ117)/1000000</f>
        <v>0.62209726400000098</v>
      </c>
      <c r="BD117" s="251">
        <f>SUMIFS('Rev Adequacy'!$G$6:$G$4999,'Rev Adequacy'!$B$6:$B$4999,'Charges to party by investment'!X$4,'Rev Adequacy'!$E$6:$E$4999,'Charges to party by investment'!$BJ117)/1000000</f>
        <v>1.8983717520000001</v>
      </c>
      <c r="BE117" s="251">
        <f>SUMIFS('Rev Adequacy'!$G$6:$G$4999,'Rev Adequacy'!$B$6:$B$4999,'Charges to party by investment'!Y$4,'Rev Adequacy'!$E$6:$E$4999,'Charges to party by investment'!$BJ117)/1000000</f>
        <v>2.4358289999999901E-2</v>
      </c>
      <c r="BF117" s="251">
        <f>SUMIFS('Rev Adequacy'!$G$6:$G$4999,'Rev Adequacy'!$B$6:$B$4999,'Charges to party by investment'!Z$4,'Rev Adequacy'!$E$6:$E$4999,'Charges to party by investment'!$BJ117)/1000000</f>
        <v>0</v>
      </c>
      <c r="BG117" s="251">
        <f>SUMIFS('Rev Adequacy'!$G$6:$G$4999,'Rev Adequacy'!$B$6:$B$4999,'Charges to party by investment'!AA$4,'Rev Adequacy'!$E$6:$E$4999,'Charges to party by investment'!$BJ117)/1000000</f>
        <v>3.9692698999999901E-2</v>
      </c>
      <c r="BH117" s="190"/>
      <c r="BI117" s="250" t="str">
        <f>'Charges as $M per year'!A51</f>
        <v>Norske Skog</v>
      </c>
      <c r="BJ117" s="252" t="s">
        <v>22</v>
      </c>
      <c r="BK117" s="253">
        <f t="shared" si="34"/>
        <v>2.8411805290000007</v>
      </c>
      <c r="BL117" s="250">
        <f t="shared" ca="1" si="35"/>
        <v>0.24375561041088242</v>
      </c>
      <c r="BM117" s="250">
        <f t="shared" ca="1" si="36"/>
        <v>8.5793777594511442E-2</v>
      </c>
      <c r="BN117" s="190">
        <f t="shared" ca="1" si="25"/>
        <v>0.51170482985945165</v>
      </c>
      <c r="BO117" s="190">
        <f>BK117*1000/'Charges as $ per MWh'!J51</f>
        <v>5.9643583043741319</v>
      </c>
      <c r="BP117" s="97">
        <f ca="1">AU56-'Charges as $M per year'!C51</f>
        <v>6.7902954119436645</v>
      </c>
      <c r="BQ117" s="190">
        <f t="shared" ca="1" si="26"/>
        <v>2.3899556338060708</v>
      </c>
      <c r="BR117">
        <v>476.35980000000001</v>
      </c>
    </row>
    <row r="118" spans="22:70" x14ac:dyDescent="0.25">
      <c r="AA118" s="20"/>
      <c r="AB118" s="296"/>
      <c r="AC118" s="296"/>
      <c r="AD118" s="296"/>
      <c r="AE118" s="296"/>
      <c r="AF118" s="296"/>
      <c r="AG118" s="296"/>
      <c r="AH118" s="296"/>
      <c r="AI118" s="293"/>
      <c r="AJ118" s="20"/>
      <c r="AK118" s="20"/>
      <c r="AL118" s="20"/>
      <c r="AM118" s="20"/>
      <c r="AN118" s="20"/>
      <c r="AO118" s="20"/>
      <c r="AP118" s="20"/>
      <c r="AQ118" s="20"/>
      <c r="AR118" s="20"/>
      <c r="AS118" s="20"/>
      <c r="AT118" s="20"/>
      <c r="AU118" s="20"/>
      <c r="AV118" s="20"/>
      <c r="AW118" s="20"/>
      <c r="AX118" s="20"/>
      <c r="AY118" s="20"/>
      <c r="AZ118" s="293"/>
      <c r="BA118" s="293"/>
      <c r="BB118" s="251">
        <f>SUMIFS('Rev Adequacy'!$G$6:$G$4999,'Rev Adequacy'!$B$6:$B$4999,'Charges to party by investment'!V$4,'Rev Adequacy'!$E$6:$E$4999,'Charges to party by investment'!$BJ118)/1000000</f>
        <v>14.0987070719999</v>
      </c>
      <c r="BC118" s="251">
        <f>SUMIFS('Rev Adequacy'!$G$6:$G$4999,'Rev Adequacy'!$B$6:$B$4999,'Charges to party by investment'!W$4,'Rev Adequacy'!$E$6:$E$4999,'Charges to party by investment'!$BJ118)/1000000</f>
        <v>5.7791826379999698</v>
      </c>
      <c r="BD118" s="251">
        <f>SUMIFS('Rev Adequacy'!$G$6:$G$4999,'Rev Adequacy'!$B$6:$B$4999,'Charges to party by investment'!X$4,'Rev Adequacy'!$E$6:$E$4999,'Charges to party by investment'!$BJ118)/1000000</f>
        <v>23.068337998000001</v>
      </c>
      <c r="BE118" s="251">
        <f>SUMIFS('Rev Adequacy'!$G$6:$G$4999,'Rev Adequacy'!$B$6:$B$4999,'Charges to party by investment'!Y$4,'Rev Adequacy'!$E$6:$E$4999,'Charges to party by investment'!$BJ118)/1000000</f>
        <v>0.218549410000001</v>
      </c>
      <c r="BF118" s="251">
        <f>SUMIFS('Rev Adequacy'!$G$6:$G$4999,'Rev Adequacy'!$B$6:$B$4999,'Charges to party by investment'!Z$4,'Rev Adequacy'!$E$6:$E$4999,'Charges to party by investment'!$BJ118)/1000000</f>
        <v>2.2611950000000301E-3</v>
      </c>
      <c r="BG118" s="251">
        <f>SUMIFS('Rev Adequacy'!$G$6:$G$4999,'Rev Adequacy'!$B$6:$B$4999,'Charges to party by investment'!AA$4,'Rev Adequacy'!$E$6:$E$4999,'Charges to party by investment'!$BJ118)/1000000</f>
        <v>0.97541169100000003</v>
      </c>
      <c r="BH118" s="190"/>
      <c r="BI118" s="250" t="str">
        <f>'Charges as $M per year'!A52</f>
        <v>NZ Steel</v>
      </c>
      <c r="BJ118" s="252" t="s">
        <v>24</v>
      </c>
      <c r="BK118" s="253">
        <f t="shared" si="34"/>
        <v>44.142450003999869</v>
      </c>
      <c r="BL118" s="250">
        <f t="shared" ca="1" si="35"/>
        <v>5.6047691883027522</v>
      </c>
      <c r="BM118" s="250">
        <f t="shared" ca="1" si="36"/>
        <v>0.12697005235991407</v>
      </c>
      <c r="BN118" s="190">
        <f t="shared" ca="1" si="25"/>
        <v>5.2607478438049693</v>
      </c>
      <c r="BO118" s="190">
        <f>BK118*1000/'Charges as $ per MWh'!J52</f>
        <v>41.432981604927257</v>
      </c>
      <c r="BP118" s="97">
        <f ca="1">AU57-'Charges as $M per year'!C52</f>
        <v>12.037188248746883</v>
      </c>
      <c r="BQ118" s="190">
        <f t="shared" ca="1" si="26"/>
        <v>0.27268962750495634</v>
      </c>
      <c r="BR118">
        <v>1065.394</v>
      </c>
    </row>
    <row r="119" spans="22:70" x14ac:dyDescent="0.25">
      <c r="AA119" s="20"/>
      <c r="AB119" s="296"/>
      <c r="AC119" s="296"/>
      <c r="AD119" s="296"/>
      <c r="AE119" s="296"/>
      <c r="AF119" s="296"/>
      <c r="AG119" s="296"/>
      <c r="AH119" s="296"/>
      <c r="AI119" s="293"/>
      <c r="AJ119" s="20"/>
      <c r="AK119" s="20"/>
      <c r="AL119" s="20"/>
      <c r="AM119" s="20"/>
      <c r="AN119" s="20"/>
      <c r="AO119" s="20"/>
      <c r="AP119" s="20"/>
      <c r="AQ119" s="20"/>
      <c r="AR119" s="20"/>
      <c r="AS119" s="20"/>
      <c r="AT119" s="20"/>
      <c r="AU119" s="20"/>
      <c r="AV119" s="20"/>
      <c r="AW119" s="20"/>
      <c r="AX119" s="20"/>
      <c r="AY119" s="20"/>
      <c r="AZ119" s="293"/>
      <c r="BA119" s="293"/>
      <c r="BB119" s="251">
        <f>SUMIFS('Rev Adequacy'!$G$6:$G$4999,'Rev Adequacy'!$B$6:$B$4999,'Charges to party by investment'!V$4,'Rev Adequacy'!$E$6:$E$4999,'Charges to party by investment'!$BH119)/1000000</f>
        <v>2.6413110389999903</v>
      </c>
      <c r="BC119" s="251">
        <f>SUMIFS('Rev Adequacy'!$G$6:$G$4999,'Rev Adequacy'!$B$6:$B$4999,'Charges to party by investment'!W$4,'Rev Adequacy'!$E$6:$E$4999,'Charges to party by investment'!$BH119)/1000000</f>
        <v>0</v>
      </c>
      <c r="BD119" s="251">
        <f>SUMIFS('Rev Adequacy'!$G$6:$G$4999,'Rev Adequacy'!$B$6:$B$4999,'Charges to party by investment'!X$4,'Rev Adequacy'!$E$6:$E$4999,'Charges to party by investment'!$BH119)/1000000</f>
        <v>0</v>
      </c>
      <c r="BE119" s="251">
        <f>SUMIFS('Rev Adequacy'!$G$6:$G$4999,'Rev Adequacy'!$B$6:$B$4999,'Charges to party by investment'!Y$4,'Rev Adequacy'!$E$6:$E$4999,'Charges to party by investment'!$BH119)/1000000</f>
        <v>1.32087735099999</v>
      </c>
      <c r="BF119" s="251">
        <f>SUMIFS('Rev Adequacy'!$G$6:$G$4999,'Rev Adequacy'!$B$6:$B$4999,'Charges to party by investment'!Z$4,'Rev Adequacy'!$E$6:$E$4999,'Charges to party by investment'!$BH119)/1000000</f>
        <v>1.9118282279999901</v>
      </c>
      <c r="BG119" s="251">
        <f>SUMIFS('Rev Adequacy'!$G$6:$G$4999,'Rev Adequacy'!$B$6:$B$4999,'Charges to party by investment'!AA$4,'Rev Adequacy'!$E$6:$E$4999,'Charges to party by investment'!$BH119)/1000000</f>
        <v>3.37047457500001</v>
      </c>
      <c r="BH119" s="250" t="s">
        <v>54</v>
      </c>
      <c r="BI119" s="250" t="str">
        <f>'Charges as $M per year'!A53</f>
        <v>NZ Aluminium Smelter</v>
      </c>
      <c r="BJ119" s="252" t="s">
        <v>44</v>
      </c>
      <c r="BK119" s="253">
        <f t="shared" si="34"/>
        <v>9.2444911929999805</v>
      </c>
      <c r="BL119" s="250">
        <f t="shared" ca="1" si="35"/>
        <v>4.9771660907686677</v>
      </c>
      <c r="BM119" s="250">
        <f t="shared" ca="1" si="36"/>
        <v>0.53839264777897422</v>
      </c>
      <c r="BN119" s="190">
        <f t="shared" ca="1" si="25"/>
        <v>0.99835680622508294</v>
      </c>
      <c r="BO119" s="190">
        <f>BK119*1000/'Charges as $ per MWh'!J53</f>
        <v>1.8543284540448208</v>
      </c>
      <c r="BP119" s="97">
        <f ca="1">AU58-'Charges as $M per year'!C53</f>
        <v>-20.869128748289448</v>
      </c>
      <c r="BQ119" s="190">
        <f t="shared" ca="1" si="26"/>
        <v>-2.257466453544978</v>
      </c>
      <c r="BR119">
        <v>4985.3580000000002</v>
      </c>
    </row>
    <row r="120" spans="22:70" x14ac:dyDescent="0.25">
      <c r="AA120" s="20"/>
      <c r="AB120" s="296"/>
      <c r="AC120" s="296"/>
      <c r="AD120" s="296"/>
      <c r="AE120" s="296"/>
      <c r="AF120" s="296"/>
      <c r="AG120" s="296"/>
      <c r="AH120" s="296"/>
      <c r="AI120" s="293"/>
      <c r="AJ120" s="20"/>
      <c r="AK120" s="20"/>
      <c r="AL120" s="20"/>
      <c r="AM120" s="20"/>
      <c r="AN120" s="20"/>
      <c r="AO120" s="20"/>
      <c r="AP120" s="20"/>
      <c r="AQ120" s="20"/>
      <c r="AR120" s="20"/>
      <c r="AS120" s="20"/>
      <c r="AT120" s="20"/>
      <c r="AU120" s="20"/>
      <c r="AV120" s="20"/>
      <c r="AW120" s="20"/>
      <c r="AX120" s="20"/>
      <c r="AY120" s="20"/>
      <c r="AZ120" s="293"/>
      <c r="BA120" s="293"/>
      <c r="BB120" s="251">
        <f>SUMIFS('Rev Adequacy'!$G$6:$G$4999,'Rev Adequacy'!$B$6:$B$4999,'Charges to party by investment'!V$4,'Rev Adequacy'!$E$6:$E$4999,'Charges to party by investment'!$BJ120)/1000000</f>
        <v>0.15041548020522799</v>
      </c>
      <c r="BC120" s="251">
        <f>SUMIFS('Rev Adequacy'!$G$6:$G$4999,'Rev Adequacy'!$B$6:$B$4999,'Charges to party by investment'!W$4,'Rev Adequacy'!$E$6:$E$4999,'Charges to party by investment'!$BJ120)/1000000</f>
        <v>4.0145047962117602</v>
      </c>
      <c r="BD120" s="251">
        <f>SUMIFS('Rev Adequacy'!$G$6:$G$4999,'Rev Adequacy'!$B$6:$B$4999,'Charges to party by investment'!X$4,'Rev Adequacy'!$E$6:$E$4999,'Charges to party by investment'!$BJ120)/1000000</f>
        <v>16.585562636984299</v>
      </c>
      <c r="BE120" s="251">
        <f>SUMIFS('Rev Adequacy'!$G$6:$G$4999,'Rev Adequacy'!$B$6:$B$4999,'Charges to party by investment'!Y$4,'Rev Adequacy'!$E$6:$E$4999,'Charges to party by investment'!$BJ120)/1000000</f>
        <v>0.13623905999027699</v>
      </c>
      <c r="BF120" s="251">
        <f>SUMIFS('Rev Adequacy'!$G$6:$G$4999,'Rev Adequacy'!$B$6:$B$4999,'Charges to party by investment'!Z$4,'Rev Adequacy'!$E$6:$E$4999,'Charges to party by investment'!$BJ120)/1000000</f>
        <v>2.8968723685155102E-3</v>
      </c>
      <c r="BG120" s="251">
        <f>SUMIFS('Rev Adequacy'!$G$6:$G$4999,'Rev Adequacy'!$B$6:$B$4999,'Charges to party by investment'!AA$4,'Rev Adequacy'!$E$6:$E$4999,'Charges to party by investment'!$BJ120)/1000000</f>
        <v>0</v>
      </c>
      <c r="BI120" s="250" t="str">
        <f>'Charges as $M per year'!A54</f>
        <v>Pan Pac</v>
      </c>
      <c r="BJ120" s="252" t="s">
        <v>26</v>
      </c>
      <c r="BK120" s="253">
        <f t="shared" si="34"/>
        <v>20.889618845760083</v>
      </c>
      <c r="BL120" s="250">
        <f t="shared" ca="1" si="35"/>
        <v>1.2421588521290323</v>
      </c>
      <c r="BM120" s="250">
        <f t="shared" ca="1" si="36"/>
        <v>5.9462973513331976E-2</v>
      </c>
      <c r="BN120" s="190">
        <f t="shared" ca="1" si="25"/>
        <v>2.3484899687286789</v>
      </c>
      <c r="BO120" s="190">
        <f>BK120*1000/'Charges as $ per MWh'!J54</f>
        <v>39.494997138044781</v>
      </c>
      <c r="BP120" s="97">
        <f ca="1">AU59-'Charges as $M per year'!C54</f>
        <v>1.8977249282443296</v>
      </c>
      <c r="BQ120" s="190">
        <f t="shared" ca="1" si="26"/>
        <v>9.0845359231123857E-2</v>
      </c>
      <c r="BR120">
        <v>528.91809999999998</v>
      </c>
    </row>
    <row r="121" spans="22:70" x14ac:dyDescent="0.25">
      <c r="AA121" s="20"/>
      <c r="AB121" s="296"/>
      <c r="AC121" s="296"/>
      <c r="AD121" s="296"/>
      <c r="AE121" s="296"/>
      <c r="AF121" s="296"/>
      <c r="AG121" s="296"/>
      <c r="AH121" s="296"/>
      <c r="AI121" s="293"/>
      <c r="AJ121" s="20"/>
      <c r="AK121" s="20"/>
      <c r="AL121" s="20"/>
      <c r="AM121" s="20"/>
      <c r="AN121" s="20"/>
      <c r="AO121" s="20"/>
      <c r="AP121" s="20"/>
      <c r="AQ121" s="20"/>
      <c r="AR121" s="20"/>
      <c r="AS121" s="20"/>
      <c r="AT121" s="20"/>
      <c r="AU121" s="20"/>
      <c r="AV121" s="20"/>
      <c r="AW121" s="20"/>
      <c r="AX121" s="20"/>
      <c r="AY121" s="20"/>
      <c r="AZ121" s="293"/>
      <c r="BA121" s="293"/>
      <c r="BB121" s="251">
        <f>SUMIFS('Rev Adequacy'!$G$6:$G$4999,'Rev Adequacy'!$B$6:$B$4999,'Charges to party by investment'!V$4,'Rev Adequacy'!$E$6:$E$4999,'Charges to party by investment'!$BJ121)/1000000</f>
        <v>3.0024577006224899E-2</v>
      </c>
      <c r="BC121" s="251">
        <f>SUMIFS('Rev Adequacy'!$G$6:$G$4999,'Rev Adequacy'!$B$6:$B$4999,'Charges to party by investment'!W$4,'Rev Adequacy'!$E$6:$E$4999,'Charges to party by investment'!$BJ121)/1000000</f>
        <v>0</v>
      </c>
      <c r="BD121" s="251">
        <f>SUMIFS('Rev Adequacy'!$G$6:$G$4999,'Rev Adequacy'!$B$6:$B$4999,'Charges to party by investment'!X$4,'Rev Adequacy'!$E$6:$E$4999,'Charges to party by investment'!$BJ121)/1000000</f>
        <v>0</v>
      </c>
      <c r="BE121" s="251">
        <f>SUMIFS('Rev Adequacy'!$G$6:$G$4999,'Rev Adequacy'!$B$6:$B$4999,'Charges to party by investment'!Y$4,'Rev Adequacy'!$E$6:$E$4999,'Charges to party by investment'!$BJ121)/1000000</f>
        <v>1.5083082489795799E-2</v>
      </c>
      <c r="BF121" s="251">
        <f>SUMIFS('Rev Adequacy'!$G$6:$G$4999,'Rev Adequacy'!$B$6:$B$4999,'Charges to party by investment'!Z$4,'Rev Adequacy'!$E$6:$E$4999,'Charges to party by investment'!$BJ121)/1000000</f>
        <v>2.1625643140973903E-2</v>
      </c>
      <c r="BG121" s="251">
        <f>SUMIFS('Rev Adequacy'!$G$6:$G$4999,'Rev Adequacy'!$B$6:$B$4999,'Charges to party by investment'!AA$4,'Rev Adequacy'!$E$6:$E$4999,'Charges to party by investment'!$BJ121)/1000000</f>
        <v>3.8941485558037205E-2</v>
      </c>
      <c r="BH121" s="190"/>
      <c r="BI121" s="250" t="str">
        <f>'Charges as $M per year'!A55</f>
        <v>Rayonier</v>
      </c>
      <c r="BJ121" s="252" t="s">
        <v>30</v>
      </c>
      <c r="BK121" s="253">
        <f t="shared" si="34"/>
        <v>0.10567478819503182</v>
      </c>
      <c r="BL121" s="250">
        <f t="shared" ca="1" si="35"/>
        <v>5.6723093299050384E-2</v>
      </c>
      <c r="BM121" s="250">
        <f t="shared" ca="1" si="36"/>
        <v>0.53677035239818116</v>
      </c>
      <c r="BN121" s="190">
        <f t="shared" ca="1" si="25"/>
        <v>1.0591750667326134</v>
      </c>
      <c r="BO121" s="190">
        <f>BK121*1000/'Charges as $ per MWh'!J55</f>
        <v>1.9732369010330655</v>
      </c>
      <c r="BP121" s="97">
        <f ca="1">AU60-'Charges as $M per year'!C55</f>
        <v>-0.12671466755338168</v>
      </c>
      <c r="BQ121" s="190">
        <f t="shared" ca="1" si="26"/>
        <v>-1.199100274698625</v>
      </c>
      <c r="BR121">
        <v>53.554029999999997</v>
      </c>
    </row>
    <row r="122" spans="22:70" x14ac:dyDescent="0.25">
      <c r="AA122" s="20"/>
      <c r="AB122" s="296"/>
      <c r="AC122" s="296"/>
      <c r="AD122" s="296"/>
      <c r="AE122" s="296"/>
      <c r="AF122" s="296"/>
      <c r="AG122" s="296"/>
      <c r="AH122" s="296"/>
      <c r="AI122" s="293"/>
      <c r="AJ122" s="20"/>
      <c r="AK122" s="20"/>
      <c r="AL122" s="20"/>
      <c r="AM122" s="20"/>
      <c r="AN122" s="20"/>
      <c r="AO122" s="20"/>
      <c r="AP122" s="20"/>
      <c r="AQ122" s="20"/>
      <c r="AR122" s="20"/>
      <c r="AS122" s="20"/>
      <c r="AT122" s="20"/>
      <c r="AU122" s="20"/>
      <c r="AV122" s="20"/>
      <c r="AW122" s="20"/>
      <c r="AX122" s="20"/>
      <c r="AY122" s="20"/>
      <c r="AZ122" s="293"/>
      <c r="BA122" s="293"/>
      <c r="BB122" s="251">
        <f>SUMIFS('Rev Adequacy'!$G$6:$G$4999,'Rev Adequacy'!$B$6:$B$4999,'Charges to party by investment'!V$4,'Rev Adequacy'!$E$6:$E$4999,'Charges to party by investment'!$BJ122)/1000000</f>
        <v>6.7309604467738904</v>
      </c>
      <c r="BC122" s="251">
        <f>SUMIFS('Rev Adequacy'!$G$6:$G$4999,'Rev Adequacy'!$B$6:$B$4999,'Charges to party by investment'!W$4,'Rev Adequacy'!$E$6:$E$4999,'Charges to party by investment'!$BJ122)/1000000</f>
        <v>2.62662464931344</v>
      </c>
      <c r="BD122" s="251">
        <f>SUMIFS('Rev Adequacy'!$G$6:$G$4999,'Rev Adequacy'!$B$6:$B$4999,'Charges to party by investment'!X$4,'Rev Adequacy'!$E$6:$E$4999,'Charges to party by investment'!$BJ122)/1000000</f>
        <v>10.299292897048499</v>
      </c>
      <c r="BE122" s="251">
        <f>SUMIFS('Rev Adequacy'!$G$6:$G$4999,'Rev Adequacy'!$B$6:$B$4999,'Charges to party by investment'!Y$4,'Rev Adequacy'!$E$6:$E$4999,'Charges to party by investment'!$BJ122)/1000000</f>
        <v>0.25562642332700297</v>
      </c>
      <c r="BF122" s="251">
        <f>SUMIFS('Rev Adequacy'!$G$6:$G$4999,'Rev Adequacy'!$B$6:$B$4999,'Charges to party by investment'!Z$4,'Rev Adequacy'!$E$6:$E$4999,'Charges to party by investment'!$BJ122)/1000000</f>
        <v>0</v>
      </c>
      <c r="BG122" s="251">
        <f>SUMIFS('Rev Adequacy'!$G$6:$G$4999,'Rev Adequacy'!$B$6:$B$4999,'Charges to party by investment'!AA$4,'Rev Adequacy'!$E$6:$E$4999,'Charges to party by investment'!$BJ122)/1000000</f>
        <v>0.44889658322770104</v>
      </c>
      <c r="BH122" s="190"/>
      <c r="BI122" s="250" t="str">
        <f>'Charges as $M per year'!A56</f>
        <v>Refining NZ</v>
      </c>
      <c r="BJ122" s="252" t="s">
        <v>904</v>
      </c>
      <c r="BK122" s="253">
        <f t="shared" si="34"/>
        <v>20.361400999690531</v>
      </c>
      <c r="BL122" s="250">
        <f t="shared" ca="1" si="35"/>
        <v>2.7801835891743085</v>
      </c>
      <c r="BM122" s="250">
        <f t="shared" ca="1" si="36"/>
        <v>0.13654186120181827</v>
      </c>
      <c r="BN122" s="190">
        <f t="shared" ca="1" si="25"/>
        <v>10.601231603213368</v>
      </c>
      <c r="BO122" s="190">
        <f>BK122*1000/'Charges as $ per MWh'!J56</f>
        <v>77.640889833367766</v>
      </c>
      <c r="BP122" s="97">
        <f ca="1">AU61-'Charges as $M per year'!C56</f>
        <v>2.6446174387714354</v>
      </c>
      <c r="BQ122" s="190">
        <f t="shared" ca="1" si="26"/>
        <v>0.12988386402348395</v>
      </c>
      <c r="BR122">
        <v>262.25099999999998</v>
      </c>
    </row>
    <row r="123" spans="22:70" x14ac:dyDescent="0.25">
      <c r="AA123" s="20"/>
      <c r="AB123" s="296"/>
      <c r="AC123" s="296"/>
      <c r="AD123" s="296"/>
      <c r="AE123" s="296"/>
      <c r="AF123" s="296"/>
      <c r="AG123" s="296"/>
      <c r="AH123" s="296"/>
      <c r="AI123" s="293"/>
      <c r="AJ123" s="20"/>
      <c r="AK123" s="20"/>
      <c r="AL123" s="20"/>
      <c r="AM123" s="20"/>
      <c r="AN123" s="20"/>
      <c r="AO123" s="20"/>
      <c r="AP123" s="20"/>
      <c r="AQ123" s="20"/>
      <c r="AR123" s="20"/>
      <c r="AS123" s="20"/>
      <c r="AT123" s="20"/>
      <c r="AU123" s="20"/>
      <c r="AV123" s="20"/>
      <c r="AW123" s="20"/>
      <c r="AX123" s="20"/>
      <c r="AY123" s="20"/>
      <c r="AZ123" s="293"/>
      <c r="BA123" s="293"/>
      <c r="BB123" s="251">
        <f>SUMIFS('Rev Adequacy'!$G$6:$G$4999,'Rev Adequacy'!$B$6:$B$4999,'Charges to party by investment'!V$4,'Rev Adequacy'!$E$6:$E$4999,'Charges to party by investment'!$BJ123)/1000000</f>
        <v>1.5882495000000101E-2</v>
      </c>
      <c r="BC123" s="251">
        <f>SUMIFS('Rev Adequacy'!$G$6:$G$4999,'Rev Adequacy'!$B$6:$B$4999,'Charges to party by investment'!W$4,'Rev Adequacy'!$E$6:$E$4999,'Charges to party by investment'!$BJ123)/1000000</f>
        <v>0.45940791599999797</v>
      </c>
      <c r="BD123" s="251">
        <f>SUMIFS('Rev Adequacy'!$G$6:$G$4999,'Rev Adequacy'!$B$6:$B$4999,'Charges to party by investment'!X$4,'Rev Adequacy'!$E$6:$E$4999,'Charges to party by investment'!$BJ123)/1000000</f>
        <v>11.174838437999998</v>
      </c>
      <c r="BE123" s="251">
        <f>SUMIFS('Rev Adequacy'!$G$6:$G$4999,'Rev Adequacy'!$B$6:$B$4999,'Charges to party by investment'!Y$4,'Rev Adequacy'!$E$6:$E$4999,'Charges to party by investment'!$BJ123)/1000000</f>
        <v>7.0506574999999197E-2</v>
      </c>
      <c r="BF123" s="251">
        <f>SUMIFS('Rev Adequacy'!$G$6:$G$4999,'Rev Adequacy'!$B$6:$B$4999,'Charges to party by investment'!Z$4,'Rev Adequacy'!$E$6:$E$4999,'Charges to party by investment'!$BJ123)/1000000</f>
        <v>0</v>
      </c>
      <c r="BG123" s="251">
        <f>SUMIFS('Rev Adequacy'!$G$6:$G$4999,'Rev Adequacy'!$B$6:$B$4999,'Charges to party by investment'!AA$4,'Rev Adequacy'!$E$6:$E$4999,'Charges to party by investment'!$BJ123)/1000000</f>
        <v>0</v>
      </c>
      <c r="BH123" s="190"/>
      <c r="BI123" s="250" t="str">
        <f>'Charges as $M per year'!A57</f>
        <v>Winstones</v>
      </c>
      <c r="BJ123" s="254" t="s">
        <v>42</v>
      </c>
      <c r="BK123" s="253">
        <f t="shared" si="34"/>
        <v>11.720635423999996</v>
      </c>
      <c r="BL123" s="250">
        <f t="shared" ca="1" si="35"/>
        <v>0.51069933969801617</v>
      </c>
      <c r="BM123" s="250">
        <f t="shared" ca="1" si="36"/>
        <v>4.3572666602381675E-2</v>
      </c>
      <c r="BN123" s="190">
        <f t="shared" ca="1" si="25"/>
        <v>2.1673727423264051</v>
      </c>
      <c r="BO123" s="190">
        <f>BK123*1000/'Charges as $ per MWh'!J57</f>
        <v>49.741567623220398</v>
      </c>
      <c r="BP123" s="97">
        <f ca="1">AU62-'Charges as $M per year'!C57</f>
        <v>-0.3865817963980418</v>
      </c>
      <c r="BQ123" s="190">
        <f t="shared" ca="1" si="26"/>
        <v>-3.2983006672697095E-2</v>
      </c>
      <c r="BR123">
        <v>235.63059999999999</v>
      </c>
    </row>
    <row r="124" spans="22:70" x14ac:dyDescent="0.25">
      <c r="AA124" s="20"/>
      <c r="AB124" s="296"/>
      <c r="AC124" s="296"/>
      <c r="AD124" s="296"/>
      <c r="AE124" s="296"/>
      <c r="AF124" s="296"/>
      <c r="AG124" s="296"/>
      <c r="AH124" s="296"/>
      <c r="AI124" s="293"/>
      <c r="AJ124" s="20"/>
      <c r="AK124" s="20"/>
      <c r="AL124" s="20"/>
      <c r="AM124" s="20"/>
      <c r="AN124" s="20"/>
      <c r="AO124" s="20"/>
      <c r="AP124" s="20"/>
      <c r="AQ124" s="20"/>
      <c r="AR124" s="20"/>
      <c r="AS124" s="20"/>
      <c r="AT124" s="20"/>
      <c r="AU124" s="20"/>
      <c r="AV124" s="20"/>
      <c r="AW124" s="20"/>
      <c r="AX124" s="20"/>
      <c r="AY124" s="20"/>
      <c r="AZ124" s="293"/>
      <c r="BA124" s="293"/>
      <c r="BC124" s="293"/>
      <c r="BD124" s="293"/>
      <c r="BE124" s="293"/>
      <c r="BF124" s="293"/>
      <c r="BG124" s="293"/>
      <c r="BH124" s="293"/>
      <c r="BI124" s="20"/>
      <c r="BJ124" s="293"/>
    </row>
    <row r="125" spans="22:70" x14ac:dyDescent="0.25">
      <c r="AA125" s="20"/>
      <c r="AB125" s="296"/>
      <c r="AC125" s="296"/>
      <c r="AD125" s="296"/>
      <c r="AE125" s="296"/>
      <c r="AF125" s="296"/>
      <c r="AG125" s="296"/>
      <c r="AH125" s="296"/>
      <c r="AI125" s="293"/>
      <c r="AJ125" s="20"/>
      <c r="AK125" s="20"/>
      <c r="AL125" s="20"/>
      <c r="AM125" s="20"/>
      <c r="AN125" s="20"/>
      <c r="AO125" s="20"/>
      <c r="AP125" s="20"/>
      <c r="AQ125" s="20"/>
      <c r="AR125" s="20"/>
      <c r="AS125" s="20"/>
      <c r="AT125" s="20"/>
      <c r="AU125" s="20"/>
      <c r="AV125" s="20"/>
      <c r="AW125" s="20"/>
      <c r="AX125" s="20"/>
      <c r="AY125" s="20"/>
      <c r="AZ125" s="293"/>
      <c r="BA125" s="293"/>
      <c r="BC125" s="129"/>
      <c r="BD125" s="129"/>
      <c r="BE125" s="129"/>
      <c r="BF125" s="129"/>
      <c r="BG125" s="129"/>
      <c r="BH125" s="129"/>
      <c r="BI125" s="190"/>
      <c r="BJ125" s="190"/>
    </row>
    <row r="126" spans="22:70" x14ac:dyDescent="0.25">
      <c r="V126" s="19"/>
      <c r="W126" s="19"/>
      <c r="X126" s="19"/>
      <c r="Y126" s="19"/>
      <c r="Z126" s="19"/>
      <c r="AA126" s="27"/>
      <c r="AB126" s="27"/>
      <c r="AC126" s="27"/>
      <c r="AD126" s="27"/>
      <c r="AE126" s="27"/>
      <c r="AF126" s="27"/>
      <c r="AG126" s="27"/>
      <c r="AH126" s="27"/>
      <c r="AI126" s="27"/>
      <c r="AJ126" s="27"/>
      <c r="AK126" s="27"/>
      <c r="AL126" s="298"/>
      <c r="AM126" s="27"/>
      <c r="AN126" s="27"/>
      <c r="AO126" s="27"/>
      <c r="AP126" s="27"/>
      <c r="AQ126" s="27"/>
      <c r="AR126" s="27"/>
      <c r="AS126" s="27"/>
      <c r="AT126" s="27"/>
      <c r="AU126" s="27"/>
      <c r="AV126" s="27"/>
      <c r="AW126" s="27"/>
      <c r="AX126" s="27"/>
      <c r="AY126" s="27"/>
      <c r="AZ126" s="27"/>
      <c r="BA126" s="20"/>
      <c r="BC126" s="166"/>
      <c r="BD126" s="166"/>
      <c r="BE126" s="166"/>
      <c r="BF126" s="166"/>
      <c r="BG126" s="166"/>
      <c r="BH126" s="166"/>
      <c r="BI126" s="190"/>
      <c r="BJ126" s="190"/>
    </row>
    <row r="127" spans="22:70" x14ac:dyDescent="0.25">
      <c r="V127" s="19"/>
      <c r="W127" s="19"/>
      <c r="X127" s="19"/>
      <c r="Y127" s="19"/>
      <c r="Z127" s="19"/>
      <c r="AA127" s="27"/>
      <c r="AB127" s="27"/>
      <c r="AC127" s="27"/>
      <c r="AD127" s="27"/>
      <c r="AE127" s="27"/>
      <c r="AF127" s="27"/>
      <c r="AG127" s="27"/>
      <c r="AH127" s="27"/>
      <c r="AI127" s="27"/>
      <c r="AJ127" s="27"/>
      <c r="AK127" s="27"/>
      <c r="AL127" s="31"/>
      <c r="AM127" s="27"/>
      <c r="AN127" s="27"/>
      <c r="AO127" s="27"/>
      <c r="AP127" s="27"/>
      <c r="AQ127" s="27"/>
      <c r="AR127" s="27"/>
      <c r="AS127" s="27"/>
      <c r="AT127" s="27"/>
      <c r="AU127" s="27"/>
      <c r="AV127" s="27"/>
      <c r="AW127" s="27"/>
      <c r="AX127" s="27"/>
      <c r="AY127" s="27"/>
      <c r="AZ127" s="27"/>
      <c r="BA127" s="20"/>
      <c r="BC127" s="190"/>
      <c r="BD127" s="190"/>
      <c r="BE127" s="190"/>
      <c r="BF127" s="190"/>
      <c r="BG127" s="190"/>
      <c r="BH127" s="190"/>
    </row>
    <row r="128" spans="22:70" x14ac:dyDescent="0.25">
      <c r="AA128" s="20"/>
      <c r="AB128" s="27"/>
      <c r="AC128" s="27"/>
      <c r="AD128" s="27"/>
      <c r="AE128" s="27"/>
      <c r="AF128" s="27"/>
      <c r="AG128" s="27"/>
      <c r="AH128" s="27"/>
      <c r="AI128" s="20"/>
      <c r="AJ128" s="20"/>
      <c r="AK128" s="20"/>
      <c r="AL128" s="20"/>
      <c r="AM128" s="20"/>
      <c r="AN128" s="20"/>
      <c r="AO128" s="20"/>
      <c r="AP128" s="20"/>
      <c r="AQ128" s="20"/>
      <c r="AR128" s="20"/>
      <c r="AS128" s="20"/>
      <c r="AT128" s="20"/>
      <c r="AU128" s="20"/>
      <c r="AV128" s="20"/>
      <c r="AW128" s="20"/>
      <c r="AX128" s="20"/>
      <c r="AY128" s="20"/>
      <c r="AZ128" s="20"/>
      <c r="BA128" s="20"/>
      <c r="BC128" s="190"/>
      <c r="BD128" s="190"/>
      <c r="BE128" s="190"/>
      <c r="BF128" s="190"/>
      <c r="BG128" s="190"/>
      <c r="BH128" s="190"/>
    </row>
    <row r="129" spans="27:53" x14ac:dyDescent="0.25">
      <c r="AA129" s="20"/>
      <c r="AB129" s="27"/>
      <c r="AC129" s="27"/>
      <c r="AD129" s="27"/>
      <c r="AE129" s="27"/>
      <c r="AF129" s="27"/>
      <c r="AG129" s="27"/>
      <c r="AH129" s="27"/>
      <c r="AI129" s="20"/>
      <c r="AJ129" s="20"/>
      <c r="AK129" s="20"/>
      <c r="AL129" s="20"/>
      <c r="AM129" s="20"/>
      <c r="AN129" s="20"/>
      <c r="AO129" s="20"/>
      <c r="AP129" s="20"/>
      <c r="AQ129" s="20"/>
      <c r="AR129" s="20"/>
      <c r="AS129" s="20"/>
      <c r="AT129" s="20"/>
      <c r="AU129" s="20"/>
      <c r="AV129" s="20"/>
      <c r="AW129" s="20"/>
      <c r="AX129" s="20"/>
      <c r="AY129" s="20"/>
      <c r="AZ129" s="20"/>
      <c r="BA129" s="20"/>
    </row>
    <row r="130" spans="27:53" x14ac:dyDescent="0.25">
      <c r="AA130" s="20"/>
      <c r="AB130" s="27"/>
      <c r="AC130" s="27"/>
      <c r="AD130" s="27"/>
      <c r="AE130" s="27"/>
      <c r="AF130" s="27"/>
      <c r="AG130" s="27"/>
      <c r="AH130" s="27"/>
      <c r="AI130" s="20"/>
      <c r="AJ130" s="20"/>
      <c r="AK130" s="20"/>
      <c r="AL130" s="20"/>
      <c r="AM130" s="20"/>
      <c r="AN130" s="20"/>
      <c r="AO130" s="20"/>
    </row>
    <row r="131" spans="27:53" x14ac:dyDescent="0.25">
      <c r="AA131" s="20"/>
      <c r="AB131" s="27"/>
      <c r="AC131" s="27"/>
      <c r="AD131" s="27"/>
      <c r="AE131" s="27"/>
      <c r="AF131" s="27"/>
      <c r="AG131" s="27"/>
      <c r="AH131" s="27"/>
      <c r="AI131" s="20"/>
      <c r="AJ131" s="20"/>
      <c r="AK131" s="20"/>
      <c r="AL131" s="20"/>
      <c r="AM131" s="20"/>
      <c r="AN131" s="20"/>
      <c r="AO131" s="20"/>
    </row>
    <row r="132" spans="27:53" x14ac:dyDescent="0.25">
      <c r="AA132" s="20"/>
      <c r="AB132" s="27"/>
      <c r="AC132" s="27"/>
      <c r="AD132" s="27"/>
      <c r="AE132" s="27"/>
      <c r="AF132" s="27"/>
      <c r="AG132" s="27"/>
      <c r="AH132" s="27"/>
      <c r="AI132" s="20"/>
      <c r="AJ132" s="20"/>
      <c r="AK132" s="20"/>
      <c r="AL132" s="20"/>
      <c r="AM132" s="20"/>
      <c r="AN132" s="20"/>
      <c r="AO132" s="20"/>
    </row>
    <row r="133" spans="27:53" x14ac:dyDescent="0.25">
      <c r="AA133" s="20"/>
      <c r="AB133" s="27"/>
      <c r="AC133" s="27"/>
      <c r="AD133" s="27"/>
      <c r="AE133" s="27"/>
      <c r="AF133" s="27"/>
      <c r="AG133" s="27"/>
      <c r="AH133" s="27"/>
      <c r="AI133" s="20"/>
      <c r="AJ133" s="20"/>
      <c r="AK133" s="20"/>
      <c r="AL133" s="20"/>
      <c r="AM133" s="20"/>
      <c r="AN133" s="20"/>
      <c r="AO133" s="20"/>
    </row>
    <row r="134" spans="27:53" x14ac:dyDescent="0.25">
      <c r="AA134" s="20"/>
      <c r="AB134" s="27"/>
      <c r="AC134" s="27"/>
      <c r="AD134" s="27"/>
      <c r="AE134" s="27"/>
      <c r="AF134" s="27"/>
      <c r="AG134" s="27"/>
      <c r="AH134" s="27"/>
      <c r="AI134" s="20"/>
      <c r="AJ134" s="20"/>
      <c r="AK134" s="20"/>
      <c r="AL134" s="20"/>
      <c r="AM134" s="20"/>
      <c r="AN134" s="20"/>
      <c r="AO134" s="20"/>
    </row>
    <row r="135" spans="27:53" x14ac:dyDescent="0.25">
      <c r="AB135" s="19"/>
      <c r="AC135" s="19"/>
      <c r="AD135" s="19"/>
      <c r="AE135" s="19"/>
      <c r="AF135" s="19"/>
      <c r="AG135" s="19"/>
      <c r="AH135" s="19"/>
    </row>
    <row r="136" spans="27:53" x14ac:dyDescent="0.25">
      <c r="AB136" s="19"/>
      <c r="AC136" s="19"/>
      <c r="AD136" s="19"/>
      <c r="AE136" s="19"/>
      <c r="AF136" s="19"/>
      <c r="AG136" s="19"/>
      <c r="AH136" s="19"/>
    </row>
    <row r="137" spans="27:53" x14ac:dyDescent="0.25">
      <c r="AB137" s="19"/>
      <c r="AC137" s="19"/>
      <c r="AD137" s="19"/>
      <c r="AE137" s="19"/>
      <c r="AF137" s="19"/>
      <c r="AG137" s="19"/>
      <c r="AH137" s="19"/>
    </row>
    <row r="138" spans="27:53" x14ac:dyDescent="0.25">
      <c r="AB138" s="19"/>
      <c r="AC138" s="19"/>
      <c r="AD138" s="19"/>
      <c r="AE138" s="19"/>
      <c r="AF138" s="19"/>
      <c r="AG138" s="19"/>
      <c r="AH138" s="19"/>
    </row>
    <row r="139" spans="27:53" x14ac:dyDescent="0.25">
      <c r="AB139" s="19"/>
      <c r="AC139" s="19"/>
      <c r="AD139" s="19"/>
      <c r="AE139" s="19"/>
      <c r="AF139" s="19"/>
      <c r="AG139" s="19"/>
      <c r="AH139" s="19"/>
    </row>
    <row r="140" spans="27:53" x14ac:dyDescent="0.25">
      <c r="AB140" s="19"/>
      <c r="AC140" s="19"/>
      <c r="AD140" s="19"/>
      <c r="AE140" s="19"/>
      <c r="AF140" s="19"/>
      <c r="AG140" s="19"/>
      <c r="AH140" s="19"/>
    </row>
    <row r="141" spans="27:53" x14ac:dyDescent="0.25">
      <c r="AB141" s="19"/>
      <c r="AC141" s="19"/>
      <c r="AD141" s="19"/>
      <c r="AE141" s="19"/>
      <c r="AF141" s="19"/>
      <c r="AG141" s="19"/>
      <c r="AH141" s="19"/>
    </row>
    <row r="142" spans="27:53" x14ac:dyDescent="0.25">
      <c r="AB142" s="19"/>
      <c r="AC142" s="19"/>
      <c r="AD142" s="19"/>
      <c r="AE142" s="19"/>
      <c r="AF142" s="19"/>
      <c r="AG142" s="19"/>
      <c r="AH142" s="19"/>
    </row>
    <row r="143" spans="27:53" x14ac:dyDescent="0.25">
      <c r="AB143" s="19"/>
      <c r="AC143" s="19"/>
      <c r="AD143" s="19"/>
      <c r="AE143" s="19"/>
      <c r="AF143" s="19"/>
      <c r="AG143" s="19"/>
      <c r="AH143" s="19"/>
    </row>
    <row r="144" spans="27:53" x14ac:dyDescent="0.25">
      <c r="AB144" s="19"/>
      <c r="AC144" s="19"/>
      <c r="AD144" s="19"/>
      <c r="AE144" s="19"/>
      <c r="AF144" s="19"/>
      <c r="AG144" s="19"/>
      <c r="AH144" s="19"/>
    </row>
    <row r="145" spans="28:34" x14ac:dyDescent="0.25">
      <c r="AB145" s="19"/>
      <c r="AC145" s="19"/>
      <c r="AD145" s="19"/>
      <c r="AE145" s="19"/>
      <c r="AF145" s="19"/>
      <c r="AG145" s="19"/>
      <c r="AH145" s="19"/>
    </row>
    <row r="146" spans="28:34" x14ac:dyDescent="0.25">
      <c r="AB146" s="19"/>
      <c r="AC146" s="19"/>
      <c r="AD146" s="19"/>
      <c r="AE146" s="19"/>
      <c r="AF146" s="19"/>
      <c r="AG146" s="19"/>
      <c r="AH146" s="19"/>
    </row>
    <row r="147" spans="28:34" x14ac:dyDescent="0.25">
      <c r="AB147" s="19"/>
      <c r="AC147" s="19"/>
      <c r="AD147" s="19"/>
      <c r="AE147" s="19"/>
      <c r="AF147" s="19"/>
      <c r="AG147" s="19"/>
      <c r="AH147" s="19"/>
    </row>
    <row r="148" spans="28:34" x14ac:dyDescent="0.25">
      <c r="AB148" s="19"/>
      <c r="AC148" s="19"/>
      <c r="AD148" s="19"/>
      <c r="AE148" s="19"/>
      <c r="AF148" s="19"/>
      <c r="AG148" s="19"/>
      <c r="AH148" s="19"/>
    </row>
    <row r="149" spans="28:34" x14ac:dyDescent="0.25">
      <c r="AB149" s="19"/>
      <c r="AC149" s="19"/>
      <c r="AD149" s="19"/>
      <c r="AE149" s="19"/>
      <c r="AF149" s="19"/>
      <c r="AG149" s="19"/>
      <c r="AH149" s="19"/>
    </row>
    <row r="150" spans="28:34" x14ac:dyDescent="0.25">
      <c r="AB150" s="19"/>
      <c r="AC150" s="19"/>
      <c r="AD150" s="19"/>
      <c r="AE150" s="19"/>
      <c r="AF150" s="19"/>
      <c r="AG150" s="19"/>
      <c r="AH150" s="19"/>
    </row>
    <row r="151" spans="28:34" x14ac:dyDescent="0.25">
      <c r="AB151" s="19"/>
      <c r="AC151" s="19"/>
      <c r="AD151" s="19"/>
      <c r="AE151" s="19"/>
      <c r="AF151" s="19"/>
      <c r="AG151" s="19"/>
      <c r="AH151" s="19"/>
    </row>
    <row r="152" spans="28:34" x14ac:dyDescent="0.25">
      <c r="AB152" s="19"/>
      <c r="AC152" s="19"/>
      <c r="AD152" s="19"/>
      <c r="AE152" s="19"/>
      <c r="AF152" s="19"/>
      <c r="AG152" s="19"/>
      <c r="AH152" s="19"/>
    </row>
    <row r="153" spans="28:34" x14ac:dyDescent="0.25">
      <c r="AB153" s="19"/>
      <c r="AC153" s="19"/>
      <c r="AD153" s="19"/>
      <c r="AE153" s="19"/>
      <c r="AF153" s="19"/>
      <c r="AG153" s="19"/>
      <c r="AH153" s="19"/>
    </row>
  </sheetData>
  <mergeCells count="4">
    <mergeCell ref="F3:R3"/>
    <mergeCell ref="U3:AH3"/>
    <mergeCell ref="AZ7:BA7"/>
    <mergeCell ref="BX6:CC6"/>
  </mergeCells>
  <pageMargins left="0.7" right="0.7" top="0.75" bottom="0.75" header="0.3" footer="0.3"/>
  <pageSetup paperSize="8" scale="95" orientation="portrait" r:id="rId1"/>
  <cellWatches>
    <cellWatch r="AK102"/>
  </cellWatche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32"/>
  <sheetViews>
    <sheetView zoomScale="55" zoomScaleNormal="55" workbookViewId="0">
      <pane xSplit="33210" topLeftCell="I1"/>
      <selection activeCell="D4" sqref="D4"/>
      <selection pane="topRight" activeCell="L1" sqref="L1"/>
    </sheetView>
  </sheetViews>
  <sheetFormatPr defaultRowHeight="15" x14ac:dyDescent="0.25"/>
  <cols>
    <col min="1" max="1" width="23.85546875" style="7" customWidth="1"/>
    <col min="2" max="2" width="20.28515625" style="13" bestFit="1" customWidth="1"/>
    <col min="3" max="3" width="22.5703125" style="6" customWidth="1"/>
    <col min="4" max="4" width="15.42578125" style="6" customWidth="1"/>
    <col min="5" max="9" width="13" style="6" customWidth="1"/>
    <col min="10" max="10" width="15.7109375" style="6" customWidth="1"/>
    <col min="11" max="11" width="14.7109375" style="6" customWidth="1"/>
    <col min="12" max="12" width="21.85546875" style="48" customWidth="1"/>
    <col min="13" max="13" width="31.28515625" style="48" bestFit="1" customWidth="1"/>
    <col min="14" max="14" width="18.7109375" style="6" customWidth="1"/>
    <col min="15" max="15" width="0.140625" style="6" hidden="1" customWidth="1"/>
    <col min="16" max="16" width="22.85546875" style="13" customWidth="1"/>
    <col min="17" max="17" width="9.140625" style="13"/>
    <col min="18" max="16384" width="9.140625" style="7"/>
  </cols>
  <sheetData>
    <row r="1" spans="1:34" s="16" customFormat="1" x14ac:dyDescent="0.25">
      <c r="B1" s="59"/>
      <c r="C1" s="63"/>
      <c r="D1" s="539"/>
      <c r="E1" s="540"/>
      <c r="F1" s="271"/>
      <c r="G1" s="272"/>
      <c r="H1" s="271"/>
      <c r="I1" s="271"/>
      <c r="J1" s="273"/>
      <c r="K1" s="273"/>
      <c r="L1" s="542" t="s">
        <v>1665</v>
      </c>
      <c r="M1" s="542"/>
      <c r="N1" s="541"/>
      <c r="O1" s="541"/>
      <c r="P1" s="541"/>
      <c r="Q1" s="59"/>
    </row>
    <row r="2" spans="1:34" ht="51.75" customHeight="1" x14ac:dyDescent="0.25">
      <c r="B2" s="114"/>
      <c r="C2" s="186" t="s">
        <v>1569</v>
      </c>
      <c r="D2" s="186" t="s">
        <v>909</v>
      </c>
      <c r="E2" s="150"/>
      <c r="F2" s="446" t="s">
        <v>55</v>
      </c>
      <c r="G2" s="446" t="s">
        <v>56</v>
      </c>
      <c r="H2" s="446" t="s">
        <v>1664</v>
      </c>
      <c r="I2" s="150"/>
      <c r="J2" s="363" t="s">
        <v>1640</v>
      </c>
      <c r="K2" s="363" t="s">
        <v>1662</v>
      </c>
      <c r="L2" s="447" t="s">
        <v>1635</v>
      </c>
      <c r="M2" s="447" t="s">
        <v>1634</v>
      </c>
      <c r="N2" s="60"/>
      <c r="O2" s="42"/>
      <c r="P2" s="53"/>
    </row>
    <row r="3" spans="1:34" x14ac:dyDescent="0.25">
      <c r="A3" s="329" t="s">
        <v>911</v>
      </c>
      <c r="B3" s="124" t="s">
        <v>87</v>
      </c>
      <c r="C3" s="125"/>
      <c r="D3" s="125"/>
      <c r="E3" s="151"/>
      <c r="F3" s="346"/>
      <c r="G3" s="346"/>
      <c r="H3" s="346"/>
      <c r="I3" s="151"/>
      <c r="J3" s="6" t="s">
        <v>629</v>
      </c>
      <c r="K3" s="6" t="s">
        <v>629</v>
      </c>
      <c r="L3" s="20">
        <v>1</v>
      </c>
      <c r="M3" s="448">
        <v>2</v>
      </c>
      <c r="N3" s="8"/>
    </row>
    <row r="4" spans="1:34" x14ac:dyDescent="0.25">
      <c r="A4" s="327" t="s">
        <v>0</v>
      </c>
      <c r="B4" s="114" t="s">
        <v>0</v>
      </c>
      <c r="C4" s="192">
        <v>10.520382771990599</v>
      </c>
      <c r="D4" s="192">
        <f ca="1">'Charges to party by investment'!AU9</f>
        <v>9.9250540884727805</v>
      </c>
      <c r="E4" s="151"/>
      <c r="F4" s="346">
        <f ca="1">'Charges to party by investment'!AL9+'Charges to party by investment'!AO9</f>
        <v>0.81309872057713228</v>
      </c>
      <c r="G4" s="346">
        <f>'Charges to party by investment'!AM9</f>
        <v>5.6363393543439004</v>
      </c>
      <c r="H4" s="346">
        <f>'Charges to party by investment'!AM9+'Charges to party by investment'!AR9</f>
        <v>9.1119553678956464</v>
      </c>
      <c r="I4" s="151"/>
      <c r="J4" s="6">
        <f ca="1">'Charges to party by investment'!AX9+'Charges to party by investment'!AL9+'Charges to party by investment'!AO9+'Charges to party by investment'!AR9</f>
        <v>10.46753702969146</v>
      </c>
      <c r="K4" s="6">
        <f ca="1">'Charges to party by investment'!AY9+'Charges to party by investment'!AL9+'Charges to party by investment'!AO9+'Charges to party by investment'!AR9</f>
        <v>10.829192323837248</v>
      </c>
      <c r="L4" s="97">
        <v>9.9250632004281503</v>
      </c>
      <c r="M4" s="48">
        <v>9.2562029605224598</v>
      </c>
      <c r="P4" s="6"/>
    </row>
    <row r="5" spans="1:34" x14ac:dyDescent="0.25">
      <c r="A5" s="327" t="s">
        <v>1</v>
      </c>
      <c r="B5" s="114" t="s">
        <v>1</v>
      </c>
      <c r="C5" s="192">
        <v>21.554936096804902</v>
      </c>
      <c r="D5" s="192">
        <f ca="1">'Charges to party by investment'!AU10</f>
        <v>19.306609078166034</v>
      </c>
      <c r="E5" s="151"/>
      <c r="F5" s="346">
        <f ca="1">'Charges to party by investment'!AL10+'Charges to party by investment'!AO10</f>
        <v>1.0587023770171544</v>
      </c>
      <c r="G5" s="346">
        <f>'Charges to party by investment'!AM10</f>
        <v>11.287521780062685</v>
      </c>
      <c r="H5" s="346">
        <f>'Charges to party by investment'!AM10+'Charges to party by investment'!AR10</f>
        <v>18.247906701148878</v>
      </c>
      <c r="I5" s="151"/>
      <c r="J5" s="6">
        <f ca="1">'Charges to party by investment'!AX10+'Charges to party by investment'!AL10+'Charges to party by investment'!AO10+'Charges to party by investment'!AR10</f>
        <v>20.393003567454393</v>
      </c>
      <c r="K5" s="6">
        <f ca="1">'Charges to party by investment'!AY10+'Charges to party by investment'!AL10+'Charges to party by investment'!AO10+'Charges to party by investment'!AR10</f>
        <v>21.117266560313301</v>
      </c>
      <c r="L5" s="97">
        <v>19.306627326072743</v>
      </c>
      <c r="M5" s="48">
        <v>17.277511503629697</v>
      </c>
      <c r="P5" s="6"/>
    </row>
    <row r="6" spans="1:34" x14ac:dyDescent="0.25">
      <c r="A6" s="327" t="s">
        <v>2</v>
      </c>
      <c r="B6" s="114" t="s">
        <v>2</v>
      </c>
      <c r="C6" s="192">
        <v>1.27681536780783</v>
      </c>
      <c r="D6" s="192">
        <f ca="1">'Charges to party by investment'!AU11</f>
        <v>1.7941505751254221</v>
      </c>
      <c r="E6" s="151"/>
      <c r="F6" s="346">
        <f ca="1">'Charges to party by investment'!AL11+'Charges to party by investment'!AO11</f>
        <v>0.16097793792378845</v>
      </c>
      <c r="G6" s="346">
        <f>'Charges to party by investment'!AM11</f>
        <v>1.0102239130724637</v>
      </c>
      <c r="H6" s="346">
        <f>'Charges to party by investment'!AM11+'Charges to party by investment'!AR11</f>
        <v>1.6331726372016337</v>
      </c>
      <c r="I6" s="151"/>
      <c r="J6" s="6">
        <f ca="1">'Charges to party by investment'!AX11+'Charges to party by investment'!AL11+'Charges to party by investment'!AO11+'Charges to party by investment'!AR11</f>
        <v>1.8913819881400822</v>
      </c>
      <c r="K6" s="6">
        <f ca="1">'Charges to party by investment'!AY11+'Charges to party by investment'!AL11+'Charges to party by investment'!AO11+'Charges to party by investment'!AR11</f>
        <v>1.9562029301498556</v>
      </c>
      <c r="L6" s="97">
        <v>1.7941522082980597</v>
      </c>
      <c r="M6" s="48">
        <v>1.9625484332606873</v>
      </c>
      <c r="P6" s="6"/>
    </row>
    <row r="7" spans="1:34" x14ac:dyDescent="0.25">
      <c r="A7" s="327" t="s">
        <v>100</v>
      </c>
      <c r="B7" s="114" t="s">
        <v>100</v>
      </c>
      <c r="C7" s="192">
        <v>2.04903385831319</v>
      </c>
      <c r="D7" s="192">
        <f ca="1">'Charges to party by investment'!AU12</f>
        <v>1.5836037439095052</v>
      </c>
      <c r="E7" s="151"/>
      <c r="F7" s="346">
        <f ca="1">'Charges to party by investment'!AL12+'Charges to party by investment'!AO12</f>
        <v>0.41069542715963137</v>
      </c>
      <c r="G7" s="346">
        <f>'Charges to party by investment'!AM12</f>
        <v>0.72552037820849491</v>
      </c>
      <c r="H7" s="346">
        <f>'Charges to party by investment'!AM12+'Charges to party by investment'!AR12</f>
        <v>1.1729083167498739</v>
      </c>
      <c r="I7" s="151"/>
      <c r="J7" s="6">
        <f ca="1">'Charges to party by investment'!AX12+'Charges to party by investment'!AL12+'Charges to party by investment'!AO12+'Charges to party by investment'!AR12</f>
        <v>1.653433185314821</v>
      </c>
      <c r="K7" s="6">
        <f ca="1">'Charges to party by investment'!AY12+'Charges to party by investment'!AL12+'Charges to party by investment'!AO12+'Charges to party by investment'!AR12</f>
        <v>1.6999861462516983</v>
      </c>
      <c r="L7" s="97">
        <v>1.5836049168178221</v>
      </c>
      <c r="M7" s="48">
        <v>1.688096367066936</v>
      </c>
      <c r="P7" s="6"/>
    </row>
    <row r="8" spans="1:34" ht="16.5" customHeight="1" x14ac:dyDescent="0.25">
      <c r="A8" s="327" t="s">
        <v>5</v>
      </c>
      <c r="B8" s="114" t="s">
        <v>5</v>
      </c>
      <c r="C8" s="192">
        <v>10.1765632169326</v>
      </c>
      <c r="D8" s="192">
        <f ca="1">'Charges to party by investment'!AU13</f>
        <v>12.480754185376027</v>
      </c>
      <c r="E8" s="151"/>
      <c r="F8" s="346">
        <f ca="1">'Charges to party by investment'!AL13+'Charges to party by investment'!AO13</f>
        <v>5.1705461258875562</v>
      </c>
      <c r="G8" s="346">
        <f>'Charges to party by investment'!AM13</f>
        <v>4.5218410001554226</v>
      </c>
      <c r="H8" s="346">
        <f>'Charges to party by investment'!AM13+'Charges to party by investment'!AR13</f>
        <v>7.3102080594884704</v>
      </c>
      <c r="I8" s="151"/>
      <c r="J8" s="6">
        <f ca="1">'Charges to party by investment'!AX13+'Charges to party by investment'!AL13+'Charges to party by investment'!AO13+'Charges to party by investment'!AR13</f>
        <v>12.915969570978563</v>
      </c>
      <c r="K8" s="6">
        <f ca="1">'Charges to party by investment'!AY13+'Charges to party by investment'!AL13+'Charges to party by investment'!AO13+'Charges to party by investment'!AR13</f>
        <v>13.206113161380253</v>
      </c>
      <c r="L8" s="97">
        <v>12.515117064014852</v>
      </c>
      <c r="M8" s="48">
        <v>12.880901589638984</v>
      </c>
      <c r="P8" s="6"/>
    </row>
    <row r="9" spans="1:34" x14ac:dyDescent="0.25">
      <c r="A9" s="327" t="s">
        <v>7</v>
      </c>
      <c r="B9" s="114" t="s">
        <v>7</v>
      </c>
      <c r="C9" s="192">
        <v>5.3143687415473497</v>
      </c>
      <c r="D9" s="192">
        <f ca="1">'Charges to party by investment'!AU14</f>
        <v>4.1613402327277855</v>
      </c>
      <c r="E9" s="151"/>
      <c r="F9" s="346">
        <f ca="1">'Charges to party by investment'!AL14+'Charges to party by investment'!AO14</f>
        <v>0.82445405513764947</v>
      </c>
      <c r="G9" s="346">
        <f>'Charges to party by investment'!AM14</f>
        <v>2.0640819806891826</v>
      </c>
      <c r="H9" s="346">
        <f>'Charges to party by investment'!AM14+'Charges to party by investment'!AR14</f>
        <v>3.3368861775901366</v>
      </c>
      <c r="I9" s="151"/>
      <c r="J9" s="6">
        <f ca="1">'Charges to party by investment'!AX14+'Charges to party by investment'!AL14+'Charges to party by investment'!AO14+'Charges to party by investment'!AR14</f>
        <v>4.3600027321633066</v>
      </c>
      <c r="K9" s="6">
        <f ca="1">'Charges to party by investment'!AY14+'Charges to party by investment'!AL14+'Charges to party by investment'!AO14+'Charges to party by investment'!AR14</f>
        <v>4.4924443984536531</v>
      </c>
      <c r="L9" s="97">
        <v>4.1613435696139636</v>
      </c>
      <c r="M9" s="48">
        <v>4.7435090427781708</v>
      </c>
      <c r="P9" s="6"/>
    </row>
    <row r="10" spans="1:34" x14ac:dyDescent="0.25">
      <c r="A10" s="327" t="s">
        <v>8</v>
      </c>
      <c r="B10" s="126" t="s">
        <v>8</v>
      </c>
      <c r="C10" s="192">
        <v>6.3585744350769398</v>
      </c>
      <c r="D10" s="192">
        <f ca="1">'Charges to party by investment'!AU15</f>
        <v>7.3194535136094796</v>
      </c>
      <c r="E10" s="151"/>
      <c r="F10" s="346">
        <f ca="1">'Charges to party by investment'!AL15+'Charges to party by investment'!AO15</f>
        <v>1.7632419972939986</v>
      </c>
      <c r="G10" s="346">
        <f>'Charges to party by investment'!AM15</f>
        <v>3.4368796121199781</v>
      </c>
      <c r="H10" s="346">
        <f>'Charges to party by investment'!AM15+'Charges to party by investment'!AR15</f>
        <v>5.5562115163154813</v>
      </c>
      <c r="I10" s="151"/>
      <c r="J10" s="6">
        <f ca="1">'Charges to party by investment'!AX15+'Charges to party by investment'!AL15+'Charges to party by investment'!AO15+'Charges to party by investment'!AR15</f>
        <v>7.6502441994400705</v>
      </c>
      <c r="K10" s="6">
        <f ca="1">'Charges to party by investment'!AY15+'Charges to party by investment'!AL15+'Charges to party by investment'!AO15+'Charges to party by investment'!AR15</f>
        <v>7.8707713233271299</v>
      </c>
      <c r="L10" s="97">
        <v>7.3194590698209971</v>
      </c>
      <c r="M10" s="48">
        <v>7.0706577723959088</v>
      </c>
      <c r="P10" s="6"/>
    </row>
    <row r="11" spans="1:34" x14ac:dyDescent="0.25">
      <c r="A11" s="327" t="s">
        <v>9</v>
      </c>
      <c r="B11" s="126" t="s">
        <v>9</v>
      </c>
      <c r="C11" s="192">
        <v>3.6332748872742102</v>
      </c>
      <c r="D11" s="192">
        <f ca="1">'Charges to party by investment'!AU16</f>
        <v>12.043838254461853</v>
      </c>
      <c r="E11" s="151"/>
      <c r="F11" s="346">
        <f ca="1">'Charges to party by investment'!AL16+'Charges to party by investment'!AO16</f>
        <v>0.72051600871322319</v>
      </c>
      <c r="G11" s="346">
        <f>'Charges to party by investment'!AM16</f>
        <v>7.004214158082525</v>
      </c>
      <c r="H11" s="346">
        <f>'Charges to party by investment'!AM16+'Charges to party by investment'!AR16</f>
        <v>11.32332224574863</v>
      </c>
      <c r="I11" s="151"/>
      <c r="J11" s="6">
        <f ca="1">'Charges to party by investment'!AX16+'Charges to party by investment'!AL16+'Charges to party by investment'!AO16+'Charges to party by investment'!AR16</f>
        <v>12.717975572768236</v>
      </c>
      <c r="K11" s="6">
        <f ca="1">'Charges to party by investment'!AY16+'Charges to party by investment'!AL16+'Charges to party by investment'!AO16+'Charges to party by investment'!AR16</f>
        <v>13.167400451639157</v>
      </c>
      <c r="L11" s="97">
        <v>12.043849577784099</v>
      </c>
      <c r="M11" s="48">
        <v>10.225052139941575</v>
      </c>
      <c r="P11" s="6"/>
    </row>
    <row r="12" spans="1:34" s="47" customFormat="1" ht="15.75" customHeight="1" x14ac:dyDescent="0.35">
      <c r="A12" s="327" t="s">
        <v>101</v>
      </c>
      <c r="B12" s="127" t="s">
        <v>101</v>
      </c>
      <c r="C12" s="192">
        <v>5.5337714214649196</v>
      </c>
      <c r="D12" s="192">
        <f ca="1">'Charges to party by investment'!AU17</f>
        <v>3.591040788591676</v>
      </c>
      <c r="E12" s="152"/>
      <c r="F12" s="346">
        <f ca="1">'Charges to party by investment'!AL17+'Charges to party by investment'!AO17</f>
        <v>0.40035257079322711</v>
      </c>
      <c r="G12" s="346">
        <f>'Charges to party by investment'!AM17</f>
        <v>1.973648996655704</v>
      </c>
      <c r="H12" s="346">
        <f>'Charges to party by investment'!AM17+'Charges to party by investment'!AR17</f>
        <v>3.1906882177984492</v>
      </c>
      <c r="I12" s="152"/>
      <c r="J12" s="6">
        <f ca="1">'Charges to party by investment'!AX17+'Charges to party by investment'!AL17+'Charges to party by investment'!AO17+'Charges to party by investment'!AR17</f>
        <v>3.7809993495172032</v>
      </c>
      <c r="K12" s="6">
        <f ca="1">'Charges to party by investment'!AY17+'Charges to party by investment'!AL17+'Charges to party by investment'!AO17+'Charges to party by investment'!AR17</f>
        <v>3.9076383901342222</v>
      </c>
      <c r="L12" s="97">
        <v>3.5910439792798945</v>
      </c>
      <c r="M12" s="48">
        <v>3.3586653585111814</v>
      </c>
      <c r="N12" s="48"/>
      <c r="O12" s="48"/>
      <c r="P12" s="48"/>
      <c r="Q12" s="56"/>
      <c r="AH12" s="146"/>
    </row>
    <row r="13" spans="1:34" s="47" customFormat="1" x14ac:dyDescent="0.25">
      <c r="A13" s="327" t="s">
        <v>11</v>
      </c>
      <c r="B13" s="126" t="s">
        <v>11</v>
      </c>
      <c r="C13" s="192">
        <v>3.2476380401893401</v>
      </c>
      <c r="D13" s="192">
        <f ca="1">'Charges to party by investment'!AU18</f>
        <v>6.8562260791197884</v>
      </c>
      <c r="E13" s="151"/>
      <c r="F13" s="346">
        <f ca="1">'Charges to party by investment'!AL18+'Charges to party by investment'!AO18</f>
        <v>1.4072126191002514</v>
      </c>
      <c r="G13" s="346">
        <f>'Charges to party by investment'!AM18</f>
        <v>3.3705706148723831</v>
      </c>
      <c r="H13" s="346">
        <f>'Charges to party by investment'!AM18+'Charges to party by investment'!AR18</f>
        <v>5.4490134600195379</v>
      </c>
      <c r="I13" s="151"/>
      <c r="J13" s="6">
        <f ca="1">'Charges to party by investment'!AX18+'Charges to party by investment'!AL18+'Charges to party by investment'!AO18+'Charges to party by investment'!AR18</f>
        <v>7.1806346971587338</v>
      </c>
      <c r="K13" s="6">
        <f ca="1">'Charges to party by investment'!AY18+'Charges to party by investment'!AL18+'Charges to party by investment'!AO18+'Charges to party by investment'!AR18</f>
        <v>7.3969071091846974</v>
      </c>
      <c r="L13" s="97">
        <v>6.8562315281332502</v>
      </c>
      <c r="M13" s="48">
        <v>6.8824081518909397</v>
      </c>
      <c r="N13" s="6"/>
      <c r="O13" s="6"/>
      <c r="P13" s="6"/>
      <c r="Q13" s="56"/>
    </row>
    <row r="14" spans="1:34" s="47" customFormat="1" x14ac:dyDescent="0.25">
      <c r="A14" s="327" t="s">
        <v>102</v>
      </c>
      <c r="B14" s="126" t="s">
        <v>102</v>
      </c>
      <c r="C14" s="192">
        <v>0.20640741469308699</v>
      </c>
      <c r="D14" s="192">
        <f ca="1">'Charges to party by investment'!AU19</f>
        <v>0.16624817395547289</v>
      </c>
      <c r="E14" s="151"/>
      <c r="F14" s="346">
        <f ca="1">'Charges to party by investment'!AL19+'Charges to party by investment'!AO19</f>
        <v>6.3554600652362099E-3</v>
      </c>
      <c r="G14" s="346">
        <f>'Charges to party by investment'!AM19</f>
        <v>9.8904083633644904E-2</v>
      </c>
      <c r="H14" s="346">
        <f>'Charges to party by investment'!AM19+'Charges to party by investment'!AR19</f>
        <v>0.15989271389023668</v>
      </c>
      <c r="I14" s="151"/>
      <c r="J14" s="6">
        <f ca="1">'Charges to party by investment'!AX19+'Charges to party by investment'!AL19+'Charges to party by investment'!AO19+'Charges to party by investment'!AR19</f>
        <v>0.17576743367619349</v>
      </c>
      <c r="K14" s="6">
        <f ca="1">'Charges to party by investment'!AY19+'Charges to party by investment'!AL19+'Charges to party by investment'!AO19+'Charges to party by investment'!AR19</f>
        <v>0.18211360682334052</v>
      </c>
      <c r="L14" s="97">
        <v>0.16624833384818688</v>
      </c>
      <c r="M14" s="48">
        <v>0.15369497304574145</v>
      </c>
      <c r="N14" s="6"/>
      <c r="O14" s="6"/>
      <c r="P14" s="6"/>
      <c r="Q14" s="56"/>
    </row>
    <row r="15" spans="1:34" s="47" customFormat="1" x14ac:dyDescent="0.25">
      <c r="A15" s="327" t="s">
        <v>12</v>
      </c>
      <c r="B15" s="126" t="s">
        <v>12</v>
      </c>
      <c r="C15" s="192">
        <v>9.4519035472375297</v>
      </c>
      <c r="D15" s="192">
        <f ca="1">'Charges to party by investment'!AU20</f>
        <v>8.2733885880137539</v>
      </c>
      <c r="E15" s="151"/>
      <c r="F15" s="346">
        <f ca="1">'Charges to party by investment'!AL20+'Charges to party by investment'!AO20</f>
        <v>0.9622158666013606</v>
      </c>
      <c r="G15" s="346">
        <f>'Charges to party by investment'!AM20</f>
        <v>4.5224377065423527</v>
      </c>
      <c r="H15" s="346">
        <f>'Charges to party by investment'!AM20+'Charges to party by investment'!AR20</f>
        <v>7.3111727214123938</v>
      </c>
      <c r="I15" s="151"/>
      <c r="J15" s="6">
        <f ca="1">'Charges to party by investment'!AX20+'Charges to party by investment'!AL20+'Charges to party by investment'!AO20+'Charges to party by investment'!AR20</f>
        <v>8.7086614050474864</v>
      </c>
      <c r="K15" s="6">
        <f ca="1">'Charges to party by investment'!AY20+'Charges to party by investment'!AL20+'Charges to party by investment'!AO20+'Charges to party by investment'!AR20</f>
        <v>8.9988432830699754</v>
      </c>
      <c r="L15" s="97">
        <v>8.2733958991864771</v>
      </c>
      <c r="M15" s="48">
        <v>7.9464462685352029</v>
      </c>
      <c r="N15" s="6"/>
      <c r="O15" s="6"/>
      <c r="P15" s="6"/>
      <c r="Q15" s="56"/>
    </row>
    <row r="16" spans="1:34" s="47" customFormat="1" x14ac:dyDescent="0.25">
      <c r="A16" s="327" t="s">
        <v>13</v>
      </c>
      <c r="B16" s="126" t="s">
        <v>13</v>
      </c>
      <c r="C16" s="192">
        <v>6.6040579369931098</v>
      </c>
      <c r="D16" s="192">
        <f ca="1">'Charges to party by investment'!AU21</f>
        <v>4.9369682005229674</v>
      </c>
      <c r="E16" s="151"/>
      <c r="F16" s="346">
        <f ca="1">'Charges to party by investment'!AL21+'Charges to party by investment'!AO21</f>
        <v>0.55788539687452299</v>
      </c>
      <c r="G16" s="346">
        <f>'Charges to party by investment'!AM21</f>
        <v>2.7087486434686645</v>
      </c>
      <c r="H16" s="346">
        <f>'Charges to party by investment'!AM21+'Charges to party by investment'!AR21</f>
        <v>4.3790828036484442</v>
      </c>
      <c r="I16" s="151"/>
      <c r="J16" s="6">
        <f ca="1">'Charges to party by investment'!AX21+'Charges to party by investment'!AL21+'Charges to party by investment'!AO21+'Charges to party by investment'!AR21</f>
        <v>5.1976781824367597</v>
      </c>
      <c r="K16" s="6">
        <f ca="1">'Charges to party by investment'!AY21+'Charges to party by investment'!AL21+'Charges to party by investment'!AO21+'Charges to party by investment'!AR21</f>
        <v>5.371484837045954</v>
      </c>
      <c r="L16" s="97">
        <v>4.9369725796057731</v>
      </c>
      <c r="M16" s="48">
        <v>4.3793510257562094</v>
      </c>
      <c r="N16" s="6"/>
      <c r="O16" s="6"/>
      <c r="P16" s="6"/>
      <c r="Q16" s="56"/>
    </row>
    <row r="17" spans="1:17" s="47" customFormat="1" x14ac:dyDescent="0.25">
      <c r="A17" s="327" t="s">
        <v>19</v>
      </c>
      <c r="B17" s="126" t="s">
        <v>19</v>
      </c>
      <c r="C17" s="192">
        <v>10.727643804966</v>
      </c>
      <c r="D17" s="192">
        <f ca="1">'Charges to party by investment'!AU22</f>
        <v>10.304474168155853</v>
      </c>
      <c r="E17" s="151"/>
      <c r="F17" s="346">
        <f ca="1">'Charges to party by investment'!AL22+'Charges to party by investment'!AO22</f>
        <v>1.078447527756309</v>
      </c>
      <c r="G17" s="346">
        <f>'Charges to party by investment'!AM22</f>
        <v>5.7068998845983723</v>
      </c>
      <c r="H17" s="346">
        <f>'Charges to party by investment'!AM22+'Charges to party by investment'!AR22</f>
        <v>9.2260266403995423</v>
      </c>
      <c r="I17" s="151"/>
      <c r="J17" s="6">
        <f ca="1">'Charges to party by investment'!AX22+'Charges to party by investment'!AL22+'Charges to party by investment'!AO22+'Charges to party by investment'!AR22</f>
        <v>10.853748376113447</v>
      </c>
      <c r="K17" s="6">
        <f ca="1">'Charges to party by investment'!AY22+'Charges to party by investment'!AL22+'Charges to party by investment'!AO22+'Charges to party by investment'!AR22</f>
        <v>11.219931181418511</v>
      </c>
      <c r="L17" s="97">
        <v>10.304483394182492</v>
      </c>
      <c r="M17" s="48">
        <v>9.7010733260303397</v>
      </c>
      <c r="N17" s="6"/>
      <c r="O17" s="6"/>
      <c r="P17" s="6"/>
      <c r="Q17" s="56"/>
    </row>
    <row r="18" spans="1:17" s="47" customFormat="1" x14ac:dyDescent="0.25">
      <c r="A18" s="327" t="s">
        <v>20</v>
      </c>
      <c r="B18" s="126" t="s">
        <v>20</v>
      </c>
      <c r="C18" s="192">
        <v>3.2029211145830998</v>
      </c>
      <c r="D18" s="192">
        <f ca="1">'Charges to party by investment'!AU23</f>
        <v>3.9584934286686919</v>
      </c>
      <c r="E18" s="151"/>
      <c r="F18" s="346">
        <f ca="1">'Charges to party by investment'!AL23+'Charges to party by investment'!AO23</f>
        <v>0.2915722903564002</v>
      </c>
      <c r="G18" s="346">
        <f>'Charges to party by investment'!AM23</f>
        <v>2.2682301533176035</v>
      </c>
      <c r="H18" s="346">
        <f>'Charges to party by investment'!AM23+'Charges to party by investment'!AR23</f>
        <v>3.6669211383122917</v>
      </c>
      <c r="I18" s="151"/>
      <c r="J18" s="6">
        <f ca="1">'Charges to party by investment'!AX23+'Charges to party by investment'!AL23+'Charges to party by investment'!AO23+'Charges to party by investment'!AR23</f>
        <v>4.1768046565021102</v>
      </c>
      <c r="K18" s="6">
        <f ca="1">'Charges to party by investment'!AY23+'Charges to party by investment'!AL23+'Charges to party by investment'!AO23+'Charges to party by investment'!AR23</f>
        <v>4.3223454750577215</v>
      </c>
      <c r="L18" s="97">
        <v>3.9584970955898311</v>
      </c>
      <c r="M18" s="48">
        <v>3.5136709253289906</v>
      </c>
      <c r="N18" s="6"/>
      <c r="O18" s="6"/>
      <c r="P18" s="6"/>
      <c r="Q18" s="56"/>
    </row>
    <row r="19" spans="1:17" s="47" customFormat="1" x14ac:dyDescent="0.25">
      <c r="A19" s="327" t="s">
        <v>23</v>
      </c>
      <c r="B19" s="126" t="s">
        <v>23</v>
      </c>
      <c r="C19" s="192">
        <v>13.0271770053639</v>
      </c>
      <c r="D19" s="192">
        <f ca="1">'Charges to party by investment'!AU24</f>
        <v>20.558996316188146</v>
      </c>
      <c r="E19" s="151"/>
      <c r="F19" s="346">
        <f ca="1">'Charges to party by investment'!AL24+'Charges to party by investment'!AO24</f>
        <v>12.625978402066888</v>
      </c>
      <c r="G19" s="346">
        <f>'Charges to party by investment'!AM24</f>
        <v>4.9070895612170933</v>
      </c>
      <c r="H19" s="346">
        <f>'Charges to party by investment'!AM24+'Charges to party by investment'!AR24</f>
        <v>7.9330179141212547</v>
      </c>
      <c r="I19" s="151"/>
      <c r="J19" s="6">
        <f ca="1">'Charges to party by investment'!AX24+'Charges to party by investment'!AL24+'Charges to party by investment'!AO24+'Charges to party by investment'!AR24</f>
        <v>21.031290869556535</v>
      </c>
      <c r="K19" s="6">
        <f ca="1">'Charges to party by investment'!AY24+'Charges to party by investment'!AL24+'Charges to party by investment'!AO24+'Charges to party by investment'!AR24</f>
        <v>21.346153905135459</v>
      </c>
      <c r="L19" s="97">
        <v>20.596286818675111</v>
      </c>
      <c r="M19" s="48">
        <v>23.699753920822889</v>
      </c>
      <c r="N19" s="6"/>
      <c r="O19" s="6"/>
      <c r="P19" s="6"/>
      <c r="Q19" s="56"/>
    </row>
    <row r="20" spans="1:17" s="47" customFormat="1" x14ac:dyDescent="0.25">
      <c r="A20" s="327" t="s">
        <v>25</v>
      </c>
      <c r="B20" s="126" t="s">
        <v>25</v>
      </c>
      <c r="C20" s="192">
        <v>63.9112827295871</v>
      </c>
      <c r="D20" s="192">
        <f ca="1">'Charges to party by investment'!AU25</f>
        <v>47.58453277599471</v>
      </c>
      <c r="E20" s="151"/>
      <c r="F20" s="346">
        <f ca="1">'Charges to party by investment'!AL25+'Charges to party by investment'!AO25</f>
        <v>5.4089105483788344</v>
      </c>
      <c r="G20" s="346">
        <f>'Charges to party by investment'!AM25</f>
        <v>26.088376178070749</v>
      </c>
      <c r="H20" s="346">
        <f>'Charges to party by investment'!AM25+'Charges to party by investment'!AR25</f>
        <v>42.175622227615868</v>
      </c>
      <c r="I20" s="151"/>
      <c r="J20" s="6">
        <f ca="1">'Charges to party by investment'!AX25+'Charges to party by investment'!AL25+'Charges to party by investment'!AO25+'Charges to party by investment'!AR25</f>
        <v>50.095470842523994</v>
      </c>
      <c r="K20" s="6">
        <f ca="1">'Charges to party by investment'!AY25+'Charges to party by investment'!AL25+'Charges to party by investment'!AO25+'Charges to party by investment'!AR25</f>
        <v>51.769429553543517</v>
      </c>
      <c r="L20" s="97">
        <v>47.584574951616943</v>
      </c>
      <c r="M20" s="48">
        <v>43.437073013487961</v>
      </c>
      <c r="N20" s="6"/>
      <c r="O20" s="6"/>
      <c r="P20" s="6"/>
      <c r="Q20" s="56"/>
    </row>
    <row r="21" spans="1:17" s="47" customFormat="1" x14ac:dyDescent="0.25">
      <c r="A21" s="327" t="s">
        <v>103</v>
      </c>
      <c r="B21" s="127" t="s">
        <v>103</v>
      </c>
      <c r="C21" s="192">
        <v>3.9733324683553399</v>
      </c>
      <c r="D21" s="192">
        <f ca="1">'Charges to party by investment'!AU26</f>
        <v>4.7194829846218855</v>
      </c>
      <c r="E21" s="152"/>
      <c r="F21" s="346">
        <f ca="1">'Charges to party by investment'!AL26+'Charges to party by investment'!AO26</f>
        <v>0.51126592424830153</v>
      </c>
      <c r="G21" s="346">
        <f>'Charges to party by investment'!AM26</f>
        <v>2.6030570246836913</v>
      </c>
      <c r="H21" s="346">
        <f>'Charges to party by investment'!AM26+'Charges to party by investment'!AR26</f>
        <v>4.2082170603735838</v>
      </c>
      <c r="I21" s="152"/>
      <c r="J21" s="6">
        <f ca="1">'Charges to party by investment'!AX26+'Charges to party by investment'!AL26+'Charges to party by investment'!AO26+'Charges to party by investment'!AR26</f>
        <v>4.9700204242851029</v>
      </c>
      <c r="K21" s="6">
        <f ca="1">'Charges to party by investment'!AY26+'Charges to party by investment'!AL26+'Charges to party by investment'!AO26+'Charges to party by investment'!AR26</f>
        <v>5.1370453840605821</v>
      </c>
      <c r="L21" s="97">
        <v>4.7194871928389466</v>
      </c>
      <c r="M21" s="48">
        <v>4.8141360623766127</v>
      </c>
      <c r="N21" s="48"/>
      <c r="O21" s="48"/>
      <c r="P21" s="48"/>
      <c r="Q21" s="56"/>
    </row>
    <row r="22" spans="1:17" s="47" customFormat="1" x14ac:dyDescent="0.25">
      <c r="A22" s="327" t="s">
        <v>28</v>
      </c>
      <c r="B22" s="126" t="s">
        <v>28</v>
      </c>
      <c r="C22" s="192">
        <v>74.224521678971897</v>
      </c>
      <c r="D22" s="192">
        <f ca="1">'Charges to party by investment'!AU27</f>
        <v>72.543360826895437</v>
      </c>
      <c r="E22" s="151"/>
      <c r="F22" s="346">
        <f ca="1">'Charges to party by investment'!AL27+'Charges to party by investment'!AO27</f>
        <v>16.032018330600387</v>
      </c>
      <c r="G22" s="346">
        <f>'Charges to party by investment'!AM27</f>
        <v>34.955955205938885</v>
      </c>
      <c r="H22" s="346">
        <f>'Charges to party by investment'!AM27+'Charges to party by investment'!AR27</f>
        <v>56.511342496295043</v>
      </c>
      <c r="I22" s="151"/>
      <c r="J22" s="6">
        <f ca="1">'Charges to party by investment'!AX27+'Charges to party by investment'!AL27+'Charges to party by investment'!AO27+'Charges to party by investment'!AR27</f>
        <v>75.907780213498086</v>
      </c>
      <c r="K22" s="6">
        <f ca="1">'Charges to party by investment'!AY27+'Charges to party by investment'!AL27+'Charges to party by investment'!AO27+'Charges to party by investment'!AR27</f>
        <v>78.150726471233213</v>
      </c>
      <c r="L22" s="97">
        <v>72.54341733823793</v>
      </c>
      <c r="M22" s="48">
        <v>70.994788640633402</v>
      </c>
      <c r="N22" s="6"/>
      <c r="O22" s="6"/>
      <c r="P22" s="6"/>
      <c r="Q22" s="56"/>
    </row>
    <row r="23" spans="1:17" s="47" customFormat="1" x14ac:dyDescent="0.25">
      <c r="A23" s="327" t="s">
        <v>31</v>
      </c>
      <c r="B23" s="126" t="s">
        <v>31</v>
      </c>
      <c r="C23" s="192">
        <v>1.5144688012252701</v>
      </c>
      <c r="D23" s="192">
        <f ca="1">'Charges to party by investment'!AU28</f>
        <v>1.1874848912420872</v>
      </c>
      <c r="E23" s="151"/>
      <c r="F23" s="346">
        <f ca="1">'Charges to party by investment'!AL28+'Charges to party by investment'!AO28</f>
        <v>0.30481923085254503</v>
      </c>
      <c r="G23" s="346">
        <f>'Charges to party by investment'!AM28</f>
        <v>0.54598634404093582</v>
      </c>
      <c r="H23" s="346">
        <f>'Charges to party by investment'!AM28+'Charges to party by investment'!AR28</f>
        <v>0.88266566038954219</v>
      </c>
      <c r="I23" s="151"/>
      <c r="J23" s="6">
        <f ca="1">'Charges to party by investment'!AX28+'Charges to party by investment'!AL28+'Charges to party by investment'!AO28+'Charges to party by investment'!AR28</f>
        <v>1.2400346507863365</v>
      </c>
      <c r="K23" s="6">
        <f ca="1">'Charges to party by investment'!AY28+'Charges to party by investment'!AL28+'Charges to party by investment'!AO28+'Charges to party by investment'!AR28</f>
        <v>1.2750678238158359</v>
      </c>
      <c r="L23" s="97">
        <v>1.1874857739077478</v>
      </c>
      <c r="M23" s="48">
        <v>1.266470940320142</v>
      </c>
      <c r="N23" s="6"/>
      <c r="O23" s="6"/>
      <c r="P23" s="6"/>
      <c r="Q23" s="56"/>
    </row>
    <row r="24" spans="1:17" s="47" customFormat="1" x14ac:dyDescent="0.25">
      <c r="A24" s="327" t="s">
        <v>32</v>
      </c>
      <c r="B24" s="126" t="s">
        <v>32</v>
      </c>
      <c r="C24" s="192">
        <v>3.6831699708093302</v>
      </c>
      <c r="D24" s="192">
        <f ca="1">'Charges to party by investment'!AU29</f>
        <v>5.1839118258592398</v>
      </c>
      <c r="E24" s="151"/>
      <c r="F24" s="346">
        <f ca="1">'Charges to party by investment'!AL29+'Charges to party by investment'!AO29</f>
        <v>0.80724067702060254</v>
      </c>
      <c r="G24" s="346">
        <f>'Charges to party by investment'!AM29</f>
        <v>2.7072568775013397</v>
      </c>
      <c r="H24" s="346">
        <f>'Charges to party by investment'!AM29+'Charges to party by investment'!AR29</f>
        <v>4.3766711488386374</v>
      </c>
      <c r="I24" s="151"/>
      <c r="J24" s="6">
        <f ca="1">'Charges to party by investment'!AX29+'Charges to party by investment'!AL29+'Charges to party by investment'!AO29+'Charges to party by investment'!AR29</f>
        <v>5.4444782291950418</v>
      </c>
      <c r="K24" s="6">
        <f ca="1">'Charges to party by investment'!AY29+'Charges to party by investment'!AL29+'Charges to party by investment'!AO29+'Charges to party by investment'!AR29</f>
        <v>5.6181891647522431</v>
      </c>
      <c r="L24" s="97">
        <v>5.1839162025303898</v>
      </c>
      <c r="M24" s="48">
        <v>5.0538561944785849</v>
      </c>
      <c r="N24" s="6"/>
      <c r="O24" s="6"/>
      <c r="P24" s="6"/>
      <c r="Q24" s="56"/>
    </row>
    <row r="25" spans="1:17" s="47" customFormat="1" x14ac:dyDescent="0.25">
      <c r="A25" s="327" t="s">
        <v>105</v>
      </c>
      <c r="B25" s="127" t="s">
        <v>105</v>
      </c>
      <c r="C25" s="192">
        <v>9.7015014463208793</v>
      </c>
      <c r="D25" s="192">
        <f ca="1">'Charges to party by investment'!AU30</f>
        <v>10.060413175597491</v>
      </c>
      <c r="E25" s="152"/>
      <c r="F25" s="346">
        <f ca="1">'Charges to party by investment'!AL30+'Charges to party by investment'!AO30</f>
        <v>1.1045665203547872</v>
      </c>
      <c r="G25" s="346">
        <f>'Charges to party by investment'!AM30</f>
        <v>5.5397759225494632</v>
      </c>
      <c r="H25" s="346">
        <f>'Charges to party by investment'!AM30+'Charges to party by investment'!AR30</f>
        <v>8.9558466552427038</v>
      </c>
      <c r="I25" s="152"/>
      <c r="J25" s="6">
        <f ca="1">'Charges to party by investment'!AX30+'Charges to party by investment'!AL30+'Charges to party by investment'!AO30+'Charges to party by investment'!AR30</f>
        <v>10.593602138721392</v>
      </c>
      <c r="K25" s="6">
        <f ca="1">'Charges to party by investment'!AY30+'Charges to party by investment'!AL30+'Charges to party by investment'!AO30+'Charges to party by investment'!AR30</f>
        <v>10.949061447470658</v>
      </c>
      <c r="L25" s="97">
        <v>10.060422131444147</v>
      </c>
      <c r="M25" s="48">
        <v>8.8982635304885189</v>
      </c>
      <c r="N25" s="48"/>
      <c r="O25" s="48"/>
      <c r="P25" s="48"/>
      <c r="Q25" s="56"/>
    </row>
    <row r="26" spans="1:17" x14ac:dyDescent="0.25">
      <c r="A26" s="327" t="s">
        <v>34</v>
      </c>
      <c r="B26" s="126" t="s">
        <v>34</v>
      </c>
      <c r="C26" s="192">
        <v>4.2899040604009198</v>
      </c>
      <c r="D26" s="192">
        <f ca="1">'Charges to party by investment'!AU31</f>
        <v>9.4330050195027919</v>
      </c>
      <c r="E26" s="151"/>
      <c r="F26" s="346">
        <f ca="1">'Charges to party by investment'!AL31+'Charges to party by investment'!AO31</f>
        <v>5.2815824299001743</v>
      </c>
      <c r="G26" s="346">
        <f>'Charges to party by investment'!AM31</f>
        <v>2.5679259361531881</v>
      </c>
      <c r="H26" s="346">
        <f>'Charges to party by investment'!AM31+'Charges to party by investment'!AR31</f>
        <v>4.1514225896026167</v>
      </c>
      <c r="I26" s="151"/>
      <c r="J26" s="6">
        <f ca="1">'Charges to party by investment'!AX31+'Charges to party by investment'!AL31+'Charges to party by investment'!AO31+'Charges to party by investment'!AR31</f>
        <v>9.6801611836543504</v>
      </c>
      <c r="K26" s="6">
        <f ca="1">'Charges to party by investment'!AY31+'Charges to party by investment'!AL31+'Charges to party by investment'!AO31+'Charges to party by investment'!AR31</f>
        <v>9.8449319597553888</v>
      </c>
      <c r="L26" s="97">
        <v>9.4525194887852102</v>
      </c>
      <c r="M26" s="48">
        <v>10.519051906241463</v>
      </c>
      <c r="P26" s="6"/>
    </row>
    <row r="27" spans="1:17" x14ac:dyDescent="0.25">
      <c r="A27" s="327" t="s">
        <v>36</v>
      </c>
      <c r="B27" s="114" t="s">
        <v>36</v>
      </c>
      <c r="C27" s="192">
        <v>30.533498779887701</v>
      </c>
      <c r="D27" s="192">
        <f ca="1">'Charges to party by investment'!AU32</f>
        <v>24.79537082073757</v>
      </c>
      <c r="E27" s="153"/>
      <c r="F27" s="346">
        <f ca="1">'Charges to party by investment'!AL32+'Charges to party by investment'!AO32</f>
        <v>5.0234188625308516</v>
      </c>
      <c r="G27" s="346">
        <f>'Charges to party by investment'!AM32</f>
        <v>12.230243283113692</v>
      </c>
      <c r="H27" s="346">
        <f>'Charges to party by investment'!AM32+'Charges to party by investment'!AR32</f>
        <v>19.771951958206721</v>
      </c>
      <c r="I27" s="153"/>
      <c r="J27" s="6">
        <f ca="1">'Charges to party by investment'!AX32+'Charges to party by investment'!AL32+'Charges to party by investment'!AO32+'Charges to party by investment'!AR32</f>
        <v>25.972499792386557</v>
      </c>
      <c r="K27" s="6">
        <f ca="1">'Charges to party by investment'!AY32+'Charges to party by investment'!AL32+'Charges to party by investment'!AO32+'Charges to party by investment'!AR32</f>
        <v>26.757252440152548</v>
      </c>
      <c r="L27" s="97">
        <v>24.795390592689536</v>
      </c>
      <c r="M27" s="48">
        <v>24.018555046131873</v>
      </c>
      <c r="P27" s="6"/>
    </row>
    <row r="28" spans="1:17" x14ac:dyDescent="0.25">
      <c r="A28" s="327" t="s">
        <v>37</v>
      </c>
      <c r="B28" s="114" t="s">
        <v>37</v>
      </c>
      <c r="C28" s="192">
        <v>178.79932141221201</v>
      </c>
      <c r="D28" s="192">
        <f ca="1">'Charges to party by investment'!AU33</f>
        <v>256.86484353257987</v>
      </c>
      <c r="E28" s="153"/>
      <c r="F28" s="346">
        <f ca="1">'Charges to party by investment'!AL33+'Charges to party by investment'!AO33</f>
        <v>131.04712394655613</v>
      </c>
      <c r="G28" s="346">
        <f>'Charges to party by investment'!AM33</f>
        <v>77.826474751520351</v>
      </c>
      <c r="H28" s="346">
        <f>'Charges to party by investment'!AM33+'Charges to party by investment'!AR33</f>
        <v>125.81771958602371</v>
      </c>
      <c r="I28" s="153"/>
      <c r="J28" s="6">
        <f ca="1">'Charges to party by investment'!AX33+'Charges to party by investment'!AL33+'Charges to party by investment'!AO33+'Charges to party by investment'!AR33</f>
        <v>264.35543845130985</v>
      </c>
      <c r="K28" s="6">
        <f ca="1">'Charges to party by investment'!AY33+'Charges to party by investment'!AL33+'Charges to party by investment'!AO33+'Charges to party by investment'!AR33</f>
        <v>269.3491683971298</v>
      </c>
      <c r="L28" s="97">
        <v>256.71557669072331</v>
      </c>
      <c r="M28" s="48">
        <v>273.81620045725174</v>
      </c>
      <c r="N28" s="347"/>
      <c r="P28" s="6"/>
    </row>
    <row r="29" spans="1:17" ht="17.25" customHeight="1" x14ac:dyDescent="0.25">
      <c r="A29" s="327" t="s">
        <v>38</v>
      </c>
      <c r="B29" s="114" t="s">
        <v>38</v>
      </c>
      <c r="C29" s="192">
        <v>6.4477400565579899</v>
      </c>
      <c r="D29" s="192">
        <f ca="1">'Charges to party by investment'!AU34</f>
        <v>5.9776486724398508</v>
      </c>
      <c r="E29" s="153"/>
      <c r="F29" s="346">
        <f ca="1">'Charges to party by investment'!AL34+'Charges to party by investment'!AO34</f>
        <v>1.5276632173830669</v>
      </c>
      <c r="G29" s="346">
        <f>'Charges to party by investment'!AM34</f>
        <v>2.7526065629080181</v>
      </c>
      <c r="H29" s="346">
        <f>'Charges to party by investment'!AM34+'Charges to party by investment'!AR34</f>
        <v>4.4499854550567841</v>
      </c>
      <c r="I29" s="153"/>
      <c r="J29" s="6">
        <f ca="1">'Charges to party by investment'!AX34+'Charges to party by investment'!AL34+'Charges to party by investment'!AO34+'Charges to party by investment'!AR34</f>
        <v>6.242579864546542</v>
      </c>
      <c r="K29" s="6">
        <f ca="1">'Charges to party by investment'!AY34+'Charges to party by investment'!AL34+'Charges to party by investment'!AO34+'Charges to party by investment'!AR34</f>
        <v>6.4192006592843356</v>
      </c>
      <c r="L29" s="97">
        <v>5.9776531224253064</v>
      </c>
      <c r="M29" s="48">
        <v>6.0537769254769911</v>
      </c>
      <c r="P29" s="6"/>
    </row>
    <row r="30" spans="1:17" x14ac:dyDescent="0.25">
      <c r="A30" s="327" t="s">
        <v>590</v>
      </c>
      <c r="B30" s="114" t="s">
        <v>39</v>
      </c>
      <c r="C30" s="192">
        <v>19.7154639366371</v>
      </c>
      <c r="D30" s="192">
        <f ca="1">'Charges to party by investment'!AU35</f>
        <v>22.131287011137399</v>
      </c>
      <c r="E30" s="153"/>
      <c r="F30" s="346">
        <f ca="1">'Charges to party by investment'!AL35+'Charges to party by investment'!AO35</f>
        <v>5.5968610523567426</v>
      </c>
      <c r="G30" s="346">
        <f>'Charges to party by investment'!AM35</f>
        <v>10.2276220602783</v>
      </c>
      <c r="H30" s="346">
        <f>'Charges to party by investment'!AM35+'Charges to party by investment'!AR35</f>
        <v>16.534425958780655</v>
      </c>
      <c r="I30" s="153"/>
      <c r="J30" s="6">
        <f ca="1">'Charges to party by investment'!AX35+'Charges to party by investment'!AL35+'Charges to party by investment'!AO35+'Charges to party by investment'!AR35</f>
        <v>23.11566892076404</v>
      </c>
      <c r="K30" s="6">
        <f ca="1">'Charges to party by investment'!AY35+'Charges to party by investment'!AL35+'Charges to party by investment'!AO35+'Charges to party by investment'!AR35</f>
        <v>23.771923527181801</v>
      </c>
      <c r="L30" s="97">
        <v>22.131305812359908</v>
      </c>
      <c r="M30" s="48">
        <v>20.935360989566345</v>
      </c>
      <c r="P30" s="6"/>
    </row>
    <row r="31" spans="1:17" ht="18.75" customHeight="1" x14ac:dyDescent="0.25">
      <c r="A31" s="327" t="s">
        <v>40</v>
      </c>
      <c r="B31" s="114" t="s">
        <v>40</v>
      </c>
      <c r="C31" s="192">
        <v>55.243123664533599</v>
      </c>
      <c r="D31" s="192">
        <f ca="1">'Charges to party by investment'!AU36</f>
        <v>43.184614107682812</v>
      </c>
      <c r="E31" s="153"/>
      <c r="F31" s="346">
        <f ca="1">'Charges to party by investment'!AL36+'Charges to party by investment'!AO36</f>
        <v>9.3285980602003402</v>
      </c>
      <c r="G31" s="346">
        <f>'Charges to party by investment'!AM36</f>
        <v>20.942156532291463</v>
      </c>
      <c r="H31" s="346">
        <f>'Charges to party by investment'!AM36+'Charges to party by investment'!AR36</f>
        <v>33.85601604748247</v>
      </c>
      <c r="I31" s="153"/>
      <c r="J31" s="6">
        <f ca="1">'Charges to party by investment'!AX36+'Charges to party by investment'!AL36+'Charges to party by investment'!AO36+'Charges to party by investment'!AR36</f>
        <v>45.20024197479195</v>
      </c>
      <c r="K31" s="6">
        <f ca="1">'Charges to party by investment'!AY36+'Charges to party by investment'!AL36+'Charges to party by investment'!AO36+'Charges to party by investment'!AR36</f>
        <v>46.543993886198038</v>
      </c>
      <c r="L31" s="97">
        <v>43.184647963698872</v>
      </c>
      <c r="M31" s="48">
        <v>41.605672796828131</v>
      </c>
      <c r="P31" s="6"/>
    </row>
    <row r="32" spans="1:17" ht="18" customHeight="1" x14ac:dyDescent="0.25">
      <c r="A32" s="327" t="s">
        <v>41</v>
      </c>
      <c r="B32" s="114" t="s">
        <v>41</v>
      </c>
      <c r="C32" s="192">
        <v>1.60316629528984</v>
      </c>
      <c r="D32" s="192">
        <f ca="1">'Charges to party by investment'!AU37</f>
        <v>4.6598060865262463</v>
      </c>
      <c r="E32" s="153"/>
      <c r="F32" s="346">
        <f ca="1">'Charges to party by investment'!AL37+'Charges to party by investment'!AO37</f>
        <v>0.38563026710442838</v>
      </c>
      <c r="G32" s="346">
        <f>'Charges to party by investment'!AM37</f>
        <v>2.6438568238900286</v>
      </c>
      <c r="H32" s="346">
        <f>'Charges to party by investment'!AM37+'Charges to party by investment'!AR37</f>
        <v>4.274175819421818</v>
      </c>
      <c r="I32" s="153"/>
      <c r="J32" s="6">
        <f ca="1">'Charges to party by investment'!AX37+'Charges to party by investment'!AL37+'Charges to party by investment'!AO37+'Charges to party by investment'!AR37</f>
        <v>4.9142704002974842</v>
      </c>
      <c r="K32" s="6">
        <f ca="1">'Charges to party by investment'!AY37+'Charges to party by investment'!AL37+'Charges to party by investment'!AO37+'Charges to party by investment'!AR37</f>
        <v>5.0839132761449761</v>
      </c>
      <c r="L32" s="97">
        <v>4.6598103607020667</v>
      </c>
      <c r="M32" s="449">
        <v>4.1063598156538204</v>
      </c>
      <c r="P32" s="6"/>
    </row>
    <row r="33" spans="1:17" s="66" customFormat="1" ht="16.5" customHeight="1" x14ac:dyDescent="0.25">
      <c r="A33" s="330"/>
      <c r="B33" s="128"/>
      <c r="C33" s="193"/>
      <c r="D33" s="192"/>
      <c r="E33" s="154"/>
      <c r="F33" s="346"/>
      <c r="G33" s="346"/>
      <c r="H33" s="346"/>
      <c r="I33" s="154"/>
      <c r="J33" s="6"/>
      <c r="K33" s="9"/>
      <c r="L33" s="97"/>
      <c r="M33" s="450"/>
      <c r="N33" s="64"/>
      <c r="O33" s="64"/>
      <c r="P33" s="64"/>
      <c r="Q33" s="65"/>
    </row>
    <row r="34" spans="1:17" x14ac:dyDescent="0.25">
      <c r="A34" s="331"/>
      <c r="B34" s="124" t="s">
        <v>45</v>
      </c>
      <c r="C34" s="194"/>
      <c r="D34" s="194">
        <f>'Charges to party by investment'!AM39+'Charges to party by investment'!AL39+'Charges to party by investment'!AO39</f>
        <v>0</v>
      </c>
      <c r="E34" s="153"/>
      <c r="F34" s="346"/>
      <c r="G34" s="346"/>
      <c r="H34" s="346"/>
      <c r="I34" s="153"/>
      <c r="K34" s="9"/>
      <c r="L34" s="97">
        <v>0</v>
      </c>
      <c r="M34" s="48">
        <v>0</v>
      </c>
    </row>
    <row r="35" spans="1:17" x14ac:dyDescent="0.25">
      <c r="A35" s="327" t="s">
        <v>4</v>
      </c>
      <c r="B35" s="114" t="s">
        <v>4</v>
      </c>
      <c r="C35" s="192">
        <v>32.633689604366353</v>
      </c>
      <c r="D35" s="192">
        <f ca="1">'Charges to party by investment'!AU40</f>
        <v>16.619200671705972</v>
      </c>
      <c r="E35" s="153"/>
      <c r="F35" s="346">
        <f ca="1">'Charges to party by investment'!AL40+'Charges to party by investment'!AO40</f>
        <v>15.164579676967403</v>
      </c>
      <c r="G35" s="346">
        <f>'Charges to party by investment'!AM40</f>
        <v>1.4546209947385698</v>
      </c>
      <c r="H35" s="346">
        <f>'Charges to party by investment'!AM40+'Charges to party by investment'!AR40</f>
        <v>1.4546209947385698</v>
      </c>
      <c r="I35" s="153"/>
      <c r="K35" s="9"/>
      <c r="L35" s="97">
        <v>16.620835353237393</v>
      </c>
      <c r="M35" s="48">
        <v>16.620835353237393</v>
      </c>
      <c r="P35" s="6"/>
    </row>
    <row r="36" spans="1:17" x14ac:dyDescent="0.25">
      <c r="A36" s="327" t="s">
        <v>10</v>
      </c>
      <c r="B36" s="114" t="s">
        <v>10</v>
      </c>
      <c r="C36" s="192">
        <v>6.8211952010486119</v>
      </c>
      <c r="D36" s="192">
        <f ca="1">'Charges to party by investment'!AU41</f>
        <v>5.4043528811153898</v>
      </c>
      <c r="E36" s="153"/>
      <c r="F36" s="346">
        <f ca="1">'Charges to party by investment'!AL41+'Charges to party by investment'!AO41</f>
        <v>4.4884831654762305</v>
      </c>
      <c r="G36" s="346">
        <f>'Charges to party by investment'!AM41</f>
        <v>0.91586971563915975</v>
      </c>
      <c r="H36" s="346">
        <f>'Charges to party by investment'!AM41+'Charges to party by investment'!AR41</f>
        <v>0.91586971563915975</v>
      </c>
      <c r="I36" s="153"/>
      <c r="K36" s="9"/>
      <c r="L36" s="97">
        <v>5.4043537969851068</v>
      </c>
      <c r="M36" s="48">
        <v>5.4043537969851068</v>
      </c>
      <c r="P36" s="6"/>
    </row>
    <row r="37" spans="1:17" x14ac:dyDescent="0.25">
      <c r="A37" s="327" t="s">
        <v>14</v>
      </c>
      <c r="B37" s="114" t="s">
        <v>14</v>
      </c>
      <c r="C37" s="192">
        <v>96.671854352502805</v>
      </c>
      <c r="D37" s="192">
        <f ca="1">'Charges to party by investment'!AU42</f>
        <v>39.285634233131958</v>
      </c>
      <c r="E37" s="153"/>
      <c r="F37" s="346">
        <f ca="1">'Charges to party by investment'!AL42+'Charges to party by investment'!AO42</f>
        <v>37.990781373493896</v>
      </c>
      <c r="G37" s="346">
        <f>'Charges to party by investment'!AM42</f>
        <v>1.2948528596380662</v>
      </c>
      <c r="H37" s="346">
        <f>'Charges to party by investment'!AM42+'Charges to party by investment'!AR42</f>
        <v>1.2948528596380662</v>
      </c>
      <c r="I37" s="153"/>
      <c r="K37" s="9"/>
      <c r="L37" s="97">
        <v>39.285635527984823</v>
      </c>
      <c r="M37" s="48">
        <v>39.285635527984823</v>
      </c>
      <c r="P37" s="6"/>
    </row>
    <row r="38" spans="1:17" x14ac:dyDescent="0.25">
      <c r="A38" s="327" t="s">
        <v>1620</v>
      </c>
      <c r="B38" s="114" t="s">
        <v>16</v>
      </c>
      <c r="C38" s="192">
        <v>0</v>
      </c>
      <c r="D38" s="192">
        <f ca="1">'Charges to party by investment'!AU43</f>
        <v>0.18568578724632673</v>
      </c>
      <c r="E38" s="9"/>
      <c r="F38" s="346">
        <f ca="1">'Charges to party by investment'!AL43+'Charges to party by investment'!AO43</f>
        <v>0.18568578724632673</v>
      </c>
      <c r="G38" s="346">
        <f>'Charges to party by investment'!AM43</f>
        <v>0</v>
      </c>
      <c r="H38" s="346">
        <f>'Charges to party by investment'!AM43+'Charges to party by investment'!AR43</f>
        <v>0</v>
      </c>
      <c r="I38" s="9"/>
      <c r="K38" s="9"/>
      <c r="L38" s="97">
        <v>0.18568578724632673</v>
      </c>
      <c r="M38" s="48">
        <v>0.18568578724632673</v>
      </c>
      <c r="P38" s="6"/>
    </row>
    <row r="39" spans="1:17" x14ac:dyDescent="0.25">
      <c r="A39" s="327" t="s">
        <v>1613</v>
      </c>
      <c r="B39" s="114" t="s">
        <v>17</v>
      </c>
      <c r="C39" s="192">
        <v>0</v>
      </c>
      <c r="D39" s="192">
        <f ca="1">'Charges to party by investment'!AU44</f>
        <v>4.0512740855603653</v>
      </c>
      <c r="E39" s="9"/>
      <c r="F39" s="346">
        <f ca="1">'Charges to party by investment'!AL44+'Charges to party by investment'!AO44</f>
        <v>2.1588197794119197</v>
      </c>
      <c r="G39" s="346">
        <f>'Charges to party by investment'!AM44</f>
        <v>1.8924543061484456</v>
      </c>
      <c r="H39" s="346">
        <f>'Charges to party by investment'!AM44+'Charges to party by investment'!AR44</f>
        <v>1.8924543061484456</v>
      </c>
      <c r="I39" s="9"/>
      <c r="K39" s="9"/>
      <c r="L39" s="97">
        <v>4.052284702477043</v>
      </c>
      <c r="M39" s="48">
        <v>4.052284702477043</v>
      </c>
      <c r="P39" s="6"/>
    </row>
    <row r="40" spans="1:17" x14ac:dyDescent="0.25">
      <c r="A40" s="327" t="s">
        <v>1614</v>
      </c>
      <c r="B40" s="114" t="s">
        <v>18</v>
      </c>
      <c r="C40" s="192">
        <v>0</v>
      </c>
      <c r="D40" s="192">
        <f ca="1">'Charges to party by investment'!AU45</f>
        <v>0.54491105964166731</v>
      </c>
      <c r="F40" s="346">
        <f ca="1">'Charges to party by investment'!AL45+'Charges to party by investment'!AO45</f>
        <v>0.54491105964166731</v>
      </c>
      <c r="G40" s="346">
        <f>'Charges to party by investment'!AM45</f>
        <v>0</v>
      </c>
      <c r="H40" s="346">
        <f>'Charges to party by investment'!AM45+'Charges to party by investment'!AR45</f>
        <v>0</v>
      </c>
      <c r="K40" s="9"/>
      <c r="L40" s="97">
        <v>0.54491105964166731</v>
      </c>
      <c r="M40" s="48">
        <v>0.54491105964166731</v>
      </c>
      <c r="P40" s="6"/>
    </row>
    <row r="41" spans="1:17" x14ac:dyDescent="0.25">
      <c r="A41" s="327" t="s">
        <v>21</v>
      </c>
      <c r="B41" s="114" t="s">
        <v>21</v>
      </c>
      <c r="C41" s="192">
        <v>0</v>
      </c>
      <c r="D41" s="192">
        <f ca="1">'Charges to party by investment'!AU46</f>
        <v>0.32789589470360458</v>
      </c>
      <c r="F41" s="346">
        <f ca="1">'Charges to party by investment'!AL46+'Charges to party by investment'!AO46</f>
        <v>0.32789589470360458</v>
      </c>
      <c r="G41" s="346">
        <f>'Charges to party by investment'!AM46</f>
        <v>0</v>
      </c>
      <c r="H41" s="346">
        <f>'Charges to party by investment'!AM46+'Charges to party by investment'!AR46</f>
        <v>0</v>
      </c>
      <c r="K41" s="9"/>
      <c r="L41" s="97">
        <v>0.32789589470360458</v>
      </c>
      <c r="M41" s="48">
        <v>0.32789589470360458</v>
      </c>
      <c r="P41" s="6"/>
    </row>
    <row r="42" spans="1:17" ht="14.25" customHeight="1" x14ac:dyDescent="0.25">
      <c r="A42" s="327" t="s">
        <v>27</v>
      </c>
      <c r="B42" s="114" t="s">
        <v>27</v>
      </c>
      <c r="C42" s="192">
        <v>0.38253490700876602</v>
      </c>
      <c r="D42" s="192">
        <f ca="1">'Charges to party by investment'!AU47</f>
        <v>9.8980591858104927E-2</v>
      </c>
      <c r="F42" s="346">
        <f ca="1">'Charges to party by investment'!AL47+'Charges to party by investment'!AO47</f>
        <v>9.8980591858104927E-2</v>
      </c>
      <c r="G42" s="346">
        <f>'Charges to party by investment'!AM47</f>
        <v>0</v>
      </c>
      <c r="H42" s="346">
        <f>'Charges to party by investment'!AM47+'Charges to party by investment'!AR47</f>
        <v>0</v>
      </c>
      <c r="K42" s="9"/>
      <c r="L42" s="97">
        <v>9.8980591858104927E-2</v>
      </c>
      <c r="M42" s="48">
        <v>9.8980591858104927E-2</v>
      </c>
      <c r="P42" s="6"/>
    </row>
    <row r="43" spans="1:17" x14ac:dyDescent="0.25">
      <c r="A43" s="327" t="s">
        <v>33</v>
      </c>
      <c r="B43" s="114" t="s">
        <v>33</v>
      </c>
      <c r="C43" s="192">
        <v>0</v>
      </c>
      <c r="D43" s="192">
        <f ca="1">'Charges to party by investment'!AU48</f>
        <v>0.12520561198631469</v>
      </c>
      <c r="F43" s="346">
        <f ca="1">'Charges to party by investment'!AL48+'Charges to party by investment'!AO48</f>
        <v>9.4326056462688004E-2</v>
      </c>
      <c r="G43" s="346">
        <f>'Charges to party by investment'!AM48</f>
        <v>3.087955552362669E-2</v>
      </c>
      <c r="H43" s="346">
        <f>'Charges to party by investment'!AM48+'Charges to party by investment'!AR48</f>
        <v>3.087955552362669E-2</v>
      </c>
      <c r="K43" s="9"/>
      <c r="L43" s="97">
        <v>0.12520564286587021</v>
      </c>
      <c r="M43" s="48">
        <v>0.12520564286587021</v>
      </c>
      <c r="P43" s="6"/>
    </row>
    <row r="44" spans="1:17" x14ac:dyDescent="0.25">
      <c r="A44" s="327" t="s">
        <v>35</v>
      </c>
      <c r="B44" s="114" t="s">
        <v>35</v>
      </c>
      <c r="C44" s="192">
        <v>3.6590118583837001</v>
      </c>
      <c r="D44" s="192">
        <f ca="1">'Charges to party by investment'!AU49</f>
        <v>3.0146474118327347</v>
      </c>
      <c r="F44" s="346">
        <f ca="1">'Charges to party by investment'!AL49+'Charges to party by investment'!AO49</f>
        <v>2.7218137524468449</v>
      </c>
      <c r="G44" s="346">
        <f>'Charges to party by investment'!AM49</f>
        <v>0.2928336593858899</v>
      </c>
      <c r="H44" s="346">
        <f>'Charges to party by investment'!AM49+'Charges to party by investment'!AR49</f>
        <v>0.2928336593858899</v>
      </c>
      <c r="K44" s="9"/>
      <c r="L44" s="97">
        <v>3.0146477046663946</v>
      </c>
      <c r="M44" s="48">
        <v>3.0146477046663946</v>
      </c>
      <c r="P44" s="6"/>
    </row>
    <row r="45" spans="1:17" s="66" customFormat="1" x14ac:dyDescent="0.25">
      <c r="A45" s="330"/>
      <c r="B45" s="128"/>
      <c r="C45" s="193"/>
      <c r="D45" s="193"/>
      <c r="E45" s="64"/>
      <c r="F45" s="346"/>
      <c r="G45" s="346"/>
      <c r="H45" s="346"/>
      <c r="I45" s="64"/>
      <c r="J45" s="6"/>
      <c r="K45" s="9"/>
      <c r="L45" s="97"/>
      <c r="M45" s="451"/>
      <c r="N45" s="64"/>
      <c r="O45" s="64"/>
      <c r="P45" s="64"/>
      <c r="Q45" s="65"/>
    </row>
    <row r="46" spans="1:17" x14ac:dyDescent="0.25">
      <c r="A46" s="331"/>
      <c r="B46" s="124" t="s">
        <v>89</v>
      </c>
      <c r="C46" s="194"/>
      <c r="D46" s="194"/>
      <c r="F46" s="346"/>
      <c r="G46" s="346"/>
      <c r="H46" s="346"/>
      <c r="K46" s="9"/>
      <c r="L46" s="97"/>
    </row>
    <row r="47" spans="1:17" x14ac:dyDescent="0.25">
      <c r="A47" s="327" t="s">
        <v>1671</v>
      </c>
      <c r="B47" s="114" t="s">
        <v>3</v>
      </c>
      <c r="C47" s="192">
        <v>4.0652026313854099</v>
      </c>
      <c r="D47" s="192">
        <f ca="1">'Charges to party by investment'!AU52</f>
        <v>6.1036506859030553</v>
      </c>
      <c r="F47" s="346">
        <f ca="1">'Charges to party by investment'!AL52+'Charges to party by investment'!AO52</f>
        <v>0.99525471027960621</v>
      </c>
      <c r="G47" s="346">
        <f>'Charges to party by investment'!AM52</f>
        <v>3.1598764603725167</v>
      </c>
      <c r="H47" s="346">
        <f>'Charges to party by investment'!AM52+'Charges to party by investment'!AR52</f>
        <v>5.1083959756234494</v>
      </c>
      <c r="K47" s="9"/>
      <c r="L47" s="97">
        <v>6.1036557942990326</v>
      </c>
      <c r="M47" s="48">
        <v>5.4256035211152236</v>
      </c>
      <c r="P47" s="6"/>
    </row>
    <row r="48" spans="1:17" x14ac:dyDescent="0.25">
      <c r="A48" s="327" t="s">
        <v>6</v>
      </c>
      <c r="B48" s="114" t="s">
        <v>6</v>
      </c>
      <c r="C48" s="192">
        <v>0.885456565309233</v>
      </c>
      <c r="D48" s="192">
        <f ca="1">'Charges to party by investment'!AU53</f>
        <v>0.75204029380451254</v>
      </c>
      <c r="F48" s="346">
        <f ca="1">'Charges to party by investment'!AL53+'Charges to party by investment'!AO53</f>
        <v>9.8964171308643642E-2</v>
      </c>
      <c r="G48" s="346">
        <f>'Charges to party by investment'!AM53</f>
        <v>0.40397022395159948</v>
      </c>
      <c r="H48" s="346">
        <f>'Charges to party by investment'!AM53+'Charges to party by investment'!AR53</f>
        <v>0.65307612249586888</v>
      </c>
      <c r="K48" s="9"/>
      <c r="L48" s="97">
        <v>0.75204094688063516</v>
      </c>
      <c r="M48" s="48">
        <v>0.65241967080058505</v>
      </c>
      <c r="P48" s="6"/>
    </row>
    <row r="49" spans="1:17" x14ac:dyDescent="0.25">
      <c r="A49" s="327" t="s">
        <v>51</v>
      </c>
      <c r="B49" s="114" t="s">
        <v>51</v>
      </c>
      <c r="C49" s="192">
        <v>0.54555788504299096</v>
      </c>
      <c r="D49" s="192">
        <f ca="1">'Charges to party by investment'!AU54</f>
        <v>2.2829323807711197</v>
      </c>
      <c r="F49" s="346">
        <f ca="1">'Charges to party by investment'!AL54+'Charges to party by investment'!AO54</f>
        <v>0.14536214009824922</v>
      </c>
      <c r="G49" s="346">
        <f>'Charges to party by investment'!AM54</f>
        <v>1.3222267651384794</v>
      </c>
      <c r="H49" s="346">
        <f>'Charges to party by investment'!AM54+'Charges to party by investment'!AR54</f>
        <v>2.1375702406728707</v>
      </c>
      <c r="K49" s="9"/>
      <c r="L49" s="97">
        <v>2.282934518341361</v>
      </c>
      <c r="M49" s="48">
        <v>2.4026444311890152</v>
      </c>
      <c r="P49" s="6"/>
    </row>
    <row r="50" spans="1:17" x14ac:dyDescent="0.25">
      <c r="A50" s="327" t="s">
        <v>15</v>
      </c>
      <c r="B50" s="114" t="s">
        <v>15</v>
      </c>
      <c r="C50" s="192">
        <v>0.66503186341368803</v>
      </c>
      <c r="D50" s="192">
        <f ca="1">'Charges to party by investment'!AU55</f>
        <v>0.70812382822333286</v>
      </c>
      <c r="F50" s="346">
        <f ca="1">'Charges to party by investment'!AL55+'Charges to party by investment'!AO55</f>
        <v>0.16248692750438781</v>
      </c>
      <c r="G50" s="346">
        <f>'Charges to party by investment'!AM55</f>
        <v>0.33751205010727242</v>
      </c>
      <c r="H50" s="346">
        <f>'Charges to party by investment'!AM55+'Charges to party by investment'!AR55</f>
        <v>0.54563690071894499</v>
      </c>
      <c r="K50" s="9"/>
      <c r="L50" s="97">
        <v>0.70812437386023386</v>
      </c>
      <c r="M50" s="48">
        <v>0.78987229898794598</v>
      </c>
      <c r="P50" s="6"/>
    </row>
    <row r="51" spans="1:17" x14ac:dyDescent="0.25">
      <c r="A51" s="327" t="s">
        <v>22</v>
      </c>
      <c r="B51" s="114" t="s">
        <v>22</v>
      </c>
      <c r="C51" s="192">
        <v>0</v>
      </c>
      <c r="D51" s="192">
        <f ca="1">'Charges to party by investment'!AU56</f>
        <v>6.7902954119436645</v>
      </c>
      <c r="F51" s="346">
        <f ca="1">'Charges to party by investment'!AL56+'Charges to party by investment'!AO56</f>
        <v>0.24609782447319101</v>
      </c>
      <c r="G51" s="346">
        <f>'Charges to party by investment'!AM56</f>
        <v>4.0480135070482337</v>
      </c>
      <c r="H51" s="346">
        <f>'Charges to party by investment'!AM56+'Charges to party by investment'!AR56</f>
        <v>6.5441975874704728</v>
      </c>
      <c r="K51" s="9"/>
      <c r="L51" s="97">
        <v>6.7903019561412536</v>
      </c>
      <c r="M51" s="48">
        <v>5.7418256075022835</v>
      </c>
      <c r="P51" s="6"/>
    </row>
    <row r="52" spans="1:17" x14ac:dyDescent="0.25">
      <c r="A52" s="327" t="s">
        <v>24</v>
      </c>
      <c r="B52" s="114" t="s">
        <v>24</v>
      </c>
      <c r="C52" s="192">
        <v>4.6071233586564801</v>
      </c>
      <c r="D52" s="192">
        <f ca="1">'Charges to party by investment'!AU57</f>
        <v>16.644311607403363</v>
      </c>
      <c r="F52" s="346">
        <f ca="1">'Charges to party by investment'!AL57+'Charges to party by investment'!AO57</f>
        <v>6.8578163892045634</v>
      </c>
      <c r="G52" s="346">
        <f>'Charges to party by investment'!AM57</f>
        <v>6.053586295404692</v>
      </c>
      <c r="H52" s="346">
        <f>'Charges to party by investment'!AM57+'Charges to party by investment'!AR57</f>
        <v>9.7864952181988016</v>
      </c>
      <c r="K52" s="9"/>
      <c r="L52" s="97">
        <v>16.690314695789599</v>
      </c>
      <c r="M52" s="48">
        <v>17.477726609850567</v>
      </c>
      <c r="P52" s="6"/>
    </row>
    <row r="53" spans="1:17" x14ac:dyDescent="0.25">
      <c r="A53" s="327" t="s">
        <v>1617</v>
      </c>
      <c r="B53" s="114" t="s">
        <v>44</v>
      </c>
      <c r="C53" s="192">
        <v>60.844865743536097</v>
      </c>
      <c r="D53" s="192">
        <f ca="1">'Charges to party by investment'!AU58</f>
        <v>39.975736995246649</v>
      </c>
      <c r="F53" s="346">
        <f ca="1">'Charges to party by investment'!AL58+'Charges to party by investment'!AO58</f>
        <v>6.5448038181690391</v>
      </c>
      <c r="G53" s="346">
        <f>'Charges to party by investment'!AM58</f>
        <v>20.679215021431787</v>
      </c>
      <c r="H53" s="346">
        <f>'Charges to party by investment'!AM58+'Charges to party by investment'!AR58</f>
        <v>33.430933177077605</v>
      </c>
      <c r="K53" s="9"/>
      <c r="L53" s="97">
        <v>39.975770426179828</v>
      </c>
      <c r="M53" s="48">
        <v>35.689164528147231</v>
      </c>
      <c r="P53" s="6"/>
    </row>
    <row r="54" spans="1:17" x14ac:dyDescent="0.25">
      <c r="A54" s="327" t="s">
        <v>1615</v>
      </c>
      <c r="B54" s="114" t="s">
        <v>26</v>
      </c>
      <c r="C54" s="192">
        <v>4.2536832649312801</v>
      </c>
      <c r="D54" s="192">
        <f ca="1">'Charges to party by investment'!AU59</f>
        <v>6.1514081931756097</v>
      </c>
      <c r="F54" s="346">
        <f ca="1">'Charges to party by investment'!AL59+'Charges to party by investment'!AO59</f>
        <v>1.262622145474352</v>
      </c>
      <c r="G54" s="346">
        <f>'Charges to party by investment'!AM59</f>
        <v>3.0240333806627948</v>
      </c>
      <c r="H54" s="346">
        <f>'Charges to party by investment'!AM59+'Charges to party by investment'!AR59</f>
        <v>4.8887860477012577</v>
      </c>
      <c r="K54" s="9"/>
      <c r="L54" s="97">
        <v>6.1514130819616595</v>
      </c>
      <c r="M54" s="48">
        <v>5.8551294936131857</v>
      </c>
      <c r="P54" s="6"/>
    </row>
    <row r="55" spans="1:17" ht="14.25" customHeight="1" x14ac:dyDescent="0.25">
      <c r="A55" s="327" t="s">
        <v>30</v>
      </c>
      <c r="B55" s="114" t="s">
        <v>30</v>
      </c>
      <c r="C55" s="192">
        <v>0.74426647291580394</v>
      </c>
      <c r="D55" s="192">
        <f ca="1">'Charges to party by investment'!AU60</f>
        <v>0.61755180536242227</v>
      </c>
      <c r="F55" s="346">
        <f ca="1">'Charges to party by investment'!AL60+'Charges to party by investment'!AO60</f>
        <v>9.3981546153215773E-2</v>
      </c>
      <c r="G55" s="346">
        <f>'Charges to party by investment'!AM60</f>
        <v>0.32386239150624907</v>
      </c>
      <c r="H55" s="346">
        <f>'Charges to party by investment'!AM60+'Charges to party by investment'!AR60</f>
        <v>0.52357025920920652</v>
      </c>
      <c r="K55" s="9"/>
      <c r="L55" s="97">
        <v>0.61755232893268175</v>
      </c>
      <c r="M55" s="48">
        <v>0.54203808868107628</v>
      </c>
      <c r="P55" s="6"/>
    </row>
    <row r="56" spans="1:17" ht="18.75" customHeight="1" x14ac:dyDescent="0.25">
      <c r="A56" s="327" t="s">
        <v>1616</v>
      </c>
      <c r="B56" s="114" t="s">
        <v>904</v>
      </c>
      <c r="C56" s="192">
        <v>3.20120186496698</v>
      </c>
      <c r="D56" s="192">
        <f ca="1">'Charges to party by investment'!AU61</f>
        <v>5.8458193037384154</v>
      </c>
      <c r="F56" s="346">
        <f ca="1">'Charges to party by investment'!AL61+'Charges to party by investment'!AO61</f>
        <v>3.8017006869455852</v>
      </c>
      <c r="G56" s="346">
        <f>'Charges to party by investment'!AM61</f>
        <v>1.2644208339046368</v>
      </c>
      <c r="H56" s="346">
        <f>'Charges to party by investment'!AM61+'Charges to party by investment'!AR61</f>
        <v>2.0441186167928298</v>
      </c>
      <c r="K56" s="9"/>
      <c r="L56" s="97">
        <v>5.855428031613271</v>
      </c>
      <c r="M56" s="48">
        <v>6.5843647621012735</v>
      </c>
      <c r="P56" s="6"/>
    </row>
    <row r="57" spans="1:17" s="13" customFormat="1" ht="18" customHeight="1" x14ac:dyDescent="0.25">
      <c r="A57" s="327" t="s">
        <v>42</v>
      </c>
      <c r="B57" s="114" t="s">
        <v>42</v>
      </c>
      <c r="C57" s="192">
        <v>3.1605549518476299</v>
      </c>
      <c r="D57" s="192">
        <f ca="1">'Charges to party by investment'!AU62</f>
        <v>2.7739731554495881</v>
      </c>
      <c r="E57" s="6"/>
      <c r="F57" s="346">
        <f ca="1">'Charges to party by investment'!AL62+'Charges to party by investment'!AO62</f>
        <v>0.53523399550529316</v>
      </c>
      <c r="G57" s="346">
        <f>'Charges to party by investment'!AM62</f>
        <v>1.3848063474677612</v>
      </c>
      <c r="H57" s="346">
        <f>'Charges to party by investment'!AM62+'Charges to party by investment'!AR62</f>
        <v>2.2387391599442945</v>
      </c>
      <c r="I57" s="6"/>
      <c r="J57" s="6"/>
      <c r="K57" s="9"/>
      <c r="L57" s="97">
        <v>2.7739753941887484</v>
      </c>
      <c r="M57" s="48">
        <v>2.8101966414203794</v>
      </c>
      <c r="N57" s="6"/>
      <c r="O57" s="6"/>
      <c r="P57" s="6"/>
    </row>
    <row r="58" spans="1:17" s="61" customFormat="1" x14ac:dyDescent="0.25">
      <c r="A58" s="332"/>
      <c r="C58" s="64"/>
      <c r="D58" s="41"/>
      <c r="E58" s="41"/>
      <c r="F58" s="41"/>
      <c r="G58" s="151"/>
      <c r="H58" s="41"/>
      <c r="I58" s="41"/>
      <c r="J58" s="41"/>
      <c r="K58" s="9"/>
      <c r="L58" s="97"/>
      <c r="M58" s="452"/>
      <c r="N58" s="41"/>
      <c r="O58" s="41"/>
      <c r="P58" s="41"/>
    </row>
    <row r="59" spans="1:17" x14ac:dyDescent="0.25">
      <c r="B59" s="7"/>
      <c r="C59" s="6">
        <f>SUM(C47:C57)</f>
        <v>82.972944602005597</v>
      </c>
      <c r="D59" s="6">
        <f ca="1">SUM(D47:D57)</f>
        <v>88.645843661021729</v>
      </c>
      <c r="G59" s="151"/>
      <c r="L59" s="97"/>
    </row>
    <row r="60" spans="1:17" x14ac:dyDescent="0.25">
      <c r="B60" s="16"/>
      <c r="C60" s="2"/>
      <c r="D60" s="10"/>
      <c r="E60" s="10"/>
      <c r="F60" s="10"/>
      <c r="G60" s="10"/>
      <c r="H60" s="10"/>
      <c r="I60" s="10"/>
      <c r="J60" s="10"/>
      <c r="K60" s="10"/>
      <c r="L60" s="453"/>
      <c r="M60" s="453"/>
      <c r="N60" s="10"/>
      <c r="O60" s="10"/>
      <c r="P60" s="10"/>
    </row>
    <row r="61" spans="1:17" x14ac:dyDescent="0.25">
      <c r="B61" s="16"/>
      <c r="C61" s="2"/>
      <c r="D61" s="10"/>
      <c r="E61" s="10"/>
      <c r="F61" s="10"/>
      <c r="G61" s="10"/>
      <c r="H61" s="10"/>
      <c r="I61" s="10"/>
      <c r="J61" s="10"/>
      <c r="K61" s="10"/>
      <c r="L61" s="453"/>
      <c r="M61" s="453"/>
      <c r="N61" s="10"/>
      <c r="O61" s="10"/>
      <c r="P61" s="10"/>
    </row>
    <row r="62" spans="1:17" x14ac:dyDescent="0.25">
      <c r="B62" s="16"/>
      <c r="C62" s="2"/>
      <c r="D62" s="10"/>
      <c r="E62" s="10"/>
      <c r="F62" s="10"/>
      <c r="G62" s="10"/>
      <c r="H62" s="10"/>
      <c r="I62" s="10"/>
      <c r="J62" s="10"/>
      <c r="K62" s="10"/>
      <c r="L62" s="453"/>
      <c r="M62" s="453"/>
      <c r="N62" s="10"/>
      <c r="O62" s="10"/>
      <c r="P62" s="10"/>
    </row>
    <row r="63" spans="1:17" x14ac:dyDescent="0.25">
      <c r="B63" s="16"/>
      <c r="C63" s="1"/>
      <c r="D63" s="11"/>
      <c r="E63" s="11"/>
      <c r="F63" s="11"/>
      <c r="G63" s="11"/>
      <c r="H63" s="11"/>
      <c r="I63" s="11"/>
      <c r="J63" s="11"/>
      <c r="K63" s="11"/>
      <c r="L63" s="454"/>
      <c r="M63" s="454"/>
      <c r="N63" s="11"/>
      <c r="O63" s="11"/>
    </row>
    <row r="64" spans="1:17" s="22" customFormat="1" ht="11.25" x14ac:dyDescent="0.2">
      <c r="C64" s="24"/>
      <c r="D64" s="62"/>
      <c r="E64" s="62"/>
      <c r="F64" s="62"/>
      <c r="G64" s="62"/>
      <c r="H64" s="62"/>
      <c r="I64" s="62"/>
      <c r="J64" s="23"/>
      <c r="K64" s="23"/>
      <c r="L64" s="455"/>
      <c r="M64" s="455"/>
      <c r="N64" s="23"/>
      <c r="O64" s="23"/>
      <c r="P64" s="23"/>
      <c r="Q64" s="46"/>
    </row>
    <row r="68" spans="1:31" x14ac:dyDescent="0.25">
      <c r="A68" s="7" t="s">
        <v>1719</v>
      </c>
    </row>
    <row r="69" spans="1:31" x14ac:dyDescent="0.25">
      <c r="S69" s="37"/>
      <c r="T69" s="37"/>
      <c r="U69" s="37"/>
      <c r="V69" s="37"/>
      <c r="W69" s="45"/>
      <c r="X69" s="45"/>
      <c r="Y69" s="45"/>
      <c r="Z69" s="37"/>
      <c r="AA69" s="45"/>
      <c r="AB69" s="53"/>
      <c r="AC69" s="13"/>
      <c r="AD69" s="13"/>
      <c r="AE69" s="13"/>
    </row>
    <row r="70" spans="1:31" ht="15.75" x14ac:dyDescent="0.25">
      <c r="A70" s="336" t="s">
        <v>1627</v>
      </c>
    </row>
    <row r="71" spans="1:31" x14ac:dyDescent="0.25">
      <c r="A71" s="7" t="s">
        <v>1626</v>
      </c>
    </row>
    <row r="72" spans="1:31" x14ac:dyDescent="0.25">
      <c r="A72" s="7" t="s">
        <v>52</v>
      </c>
      <c r="B72" s="13" t="s">
        <v>93</v>
      </c>
      <c r="C72" s="6" t="s">
        <v>1622</v>
      </c>
      <c r="D72" s="6" t="s">
        <v>46</v>
      </c>
      <c r="E72" s="6" t="s">
        <v>1623</v>
      </c>
      <c r="H72" s="6" t="s">
        <v>1624</v>
      </c>
      <c r="I72" s="6" t="s">
        <v>1625</v>
      </c>
    </row>
    <row r="73" spans="1:31" x14ac:dyDescent="0.25">
      <c r="A73" s="7" t="s">
        <v>0</v>
      </c>
      <c r="B73" s="13" t="s">
        <v>96</v>
      </c>
      <c r="C73" s="6">
        <v>10.520382771990599</v>
      </c>
      <c r="D73" s="6">
        <f t="shared" ref="D73:D119" si="0">_xlfn.IFNA(VLOOKUP(A73,$A$128:$B$132,2,0),0)</f>
        <v>0</v>
      </c>
      <c r="E73" s="6">
        <f>C73+D73</f>
        <v>10.520382771990599</v>
      </c>
      <c r="G73" s="6" t="s">
        <v>0</v>
      </c>
      <c r="H73" s="6">
        <v>10.4491926138164</v>
      </c>
      <c r="I73" s="6">
        <f t="shared" ref="I73:I126" si="1">VLOOKUP(G73,$A$73:$E$119,5,0)</f>
        <v>10.520382771990599</v>
      </c>
      <c r="J73" s="517"/>
    </row>
    <row r="74" spans="1:31" x14ac:dyDescent="0.25">
      <c r="A74" s="7" t="s">
        <v>1</v>
      </c>
      <c r="B74" s="13" t="s">
        <v>96</v>
      </c>
      <c r="C74" s="6">
        <v>21.554936096804902</v>
      </c>
      <c r="D74" s="6">
        <f t="shared" si="0"/>
        <v>0</v>
      </c>
      <c r="E74" s="6">
        <f t="shared" ref="E74:E121" si="2">C74+D74</f>
        <v>21.554936096804902</v>
      </c>
      <c r="G74" s="6" t="s">
        <v>1</v>
      </c>
      <c r="H74" s="6">
        <v>22.3530215685375</v>
      </c>
      <c r="I74" s="6">
        <f t="shared" si="1"/>
        <v>21.554936096804902</v>
      </c>
      <c r="J74" s="517"/>
    </row>
    <row r="75" spans="1:31" x14ac:dyDescent="0.25">
      <c r="A75" s="7" t="s">
        <v>2</v>
      </c>
      <c r="B75" s="13" t="s">
        <v>96</v>
      </c>
      <c r="C75" s="6">
        <v>1.27681536780783</v>
      </c>
      <c r="D75" s="6">
        <f t="shared" si="0"/>
        <v>0</v>
      </c>
      <c r="E75" s="6">
        <f t="shared" si="2"/>
        <v>1.27681536780783</v>
      </c>
      <c r="G75" s="6" t="s">
        <v>2</v>
      </c>
      <c r="H75" s="6">
        <v>1.5508587716723199</v>
      </c>
      <c r="I75" s="6">
        <f t="shared" si="1"/>
        <v>1.27681536780783</v>
      </c>
      <c r="J75" s="517"/>
    </row>
    <row r="76" spans="1:31" x14ac:dyDescent="0.25">
      <c r="A76" s="7" t="s">
        <v>100</v>
      </c>
      <c r="B76" s="13" t="s">
        <v>95</v>
      </c>
      <c r="C76" s="6">
        <v>2.04903385831319</v>
      </c>
      <c r="D76" s="6">
        <f t="shared" si="0"/>
        <v>0</v>
      </c>
      <c r="E76" s="6">
        <f t="shared" si="2"/>
        <v>2.04903385831319</v>
      </c>
      <c r="G76" s="6" t="s">
        <v>100</v>
      </c>
      <c r="H76" s="6">
        <v>2.1131131819459998</v>
      </c>
      <c r="I76" s="6">
        <f t="shared" si="1"/>
        <v>2.04903385831319</v>
      </c>
      <c r="J76" s="517"/>
    </row>
    <row r="77" spans="1:31" x14ac:dyDescent="0.25">
      <c r="A77" s="7" t="s">
        <v>3</v>
      </c>
      <c r="B77" s="13" t="s">
        <v>95</v>
      </c>
      <c r="C77" s="6">
        <v>4.0652026313854099</v>
      </c>
      <c r="D77" s="6">
        <f t="shared" si="0"/>
        <v>0</v>
      </c>
      <c r="E77" s="6">
        <f t="shared" si="2"/>
        <v>4.0652026313854099</v>
      </c>
      <c r="G77" s="6" t="s">
        <v>5</v>
      </c>
      <c r="H77" s="6">
        <v>10.661999836259501</v>
      </c>
      <c r="I77" s="6">
        <f t="shared" si="1"/>
        <v>10.1765632169326</v>
      </c>
      <c r="J77" s="517"/>
    </row>
    <row r="78" spans="1:31" x14ac:dyDescent="0.25">
      <c r="A78" s="7" t="s">
        <v>4</v>
      </c>
      <c r="B78" s="13" t="s">
        <v>96</v>
      </c>
      <c r="C78" s="6">
        <v>4.7421994570274301E-5</v>
      </c>
      <c r="D78" s="6">
        <f t="shared" si="0"/>
        <v>32.5583311908985</v>
      </c>
      <c r="E78" s="6">
        <f>C79+D78</f>
        <v>32.633689604366353</v>
      </c>
      <c r="G78" s="6" t="s">
        <v>7</v>
      </c>
      <c r="H78" s="6">
        <v>5.5460953941826796</v>
      </c>
      <c r="I78" s="6">
        <f t="shared" si="1"/>
        <v>5.3143687415473497</v>
      </c>
      <c r="J78" s="517"/>
    </row>
    <row r="79" spans="1:31" x14ac:dyDescent="0.25">
      <c r="A79" s="7" t="s">
        <v>4</v>
      </c>
      <c r="B79" s="13" t="s">
        <v>95</v>
      </c>
      <c r="C79" s="6">
        <v>7.5358413467853505E-2</v>
      </c>
      <c r="D79" s="6">
        <v>0</v>
      </c>
      <c r="E79" s="6">
        <f>C78+D79</f>
        <v>4.7421994570274301E-5</v>
      </c>
      <c r="G79" s="6" t="s">
        <v>8</v>
      </c>
      <c r="H79" s="6">
        <v>6.802795659969</v>
      </c>
      <c r="I79" s="6">
        <f t="shared" si="1"/>
        <v>6.3585744350769398</v>
      </c>
      <c r="J79" s="517"/>
    </row>
    <row r="80" spans="1:31" x14ac:dyDescent="0.25">
      <c r="A80" s="7" t="s">
        <v>5</v>
      </c>
      <c r="B80" s="13" t="s">
        <v>95</v>
      </c>
      <c r="C80" s="6">
        <v>10.1765632169326</v>
      </c>
      <c r="D80" s="6">
        <f t="shared" si="0"/>
        <v>0</v>
      </c>
      <c r="E80" s="6">
        <f t="shared" si="2"/>
        <v>10.1765632169326</v>
      </c>
      <c r="G80" s="6" t="s">
        <v>9</v>
      </c>
      <c r="H80" s="6">
        <v>3.6033655832134102</v>
      </c>
      <c r="I80" s="6">
        <f t="shared" si="1"/>
        <v>3.6332748872742102</v>
      </c>
      <c r="J80" s="517"/>
    </row>
    <row r="81" spans="1:10" x14ac:dyDescent="0.25">
      <c r="A81" s="7" t="s">
        <v>6</v>
      </c>
      <c r="B81" s="13" t="s">
        <v>96</v>
      </c>
      <c r="C81" s="6">
        <v>0.885456565309233</v>
      </c>
      <c r="D81" s="6">
        <f t="shared" si="0"/>
        <v>0</v>
      </c>
      <c r="E81" s="6">
        <f t="shared" si="2"/>
        <v>0.885456565309233</v>
      </c>
      <c r="G81" s="6" t="s">
        <v>101</v>
      </c>
      <c r="H81" s="6">
        <v>5.6771086948779299</v>
      </c>
      <c r="I81" s="6">
        <f t="shared" si="1"/>
        <v>5.5337714214649196</v>
      </c>
      <c r="J81" s="517"/>
    </row>
    <row r="82" spans="1:10" x14ac:dyDescent="0.25">
      <c r="A82" s="7" t="s">
        <v>7</v>
      </c>
      <c r="B82" s="13" t="s">
        <v>95</v>
      </c>
      <c r="C82" s="6">
        <v>5.3143687415473497</v>
      </c>
      <c r="D82" s="6">
        <f t="shared" si="0"/>
        <v>0</v>
      </c>
      <c r="E82" s="6">
        <f t="shared" si="2"/>
        <v>5.3143687415473497</v>
      </c>
      <c r="G82" s="6" t="s">
        <v>11</v>
      </c>
      <c r="H82" s="6">
        <v>3.05169257895278</v>
      </c>
      <c r="I82" s="6">
        <f t="shared" si="1"/>
        <v>3.2476380401893401</v>
      </c>
      <c r="J82" s="517"/>
    </row>
    <row r="83" spans="1:10" x14ac:dyDescent="0.25">
      <c r="A83" s="7" t="s">
        <v>8</v>
      </c>
      <c r="B83" s="13" t="s">
        <v>95</v>
      </c>
      <c r="C83" s="6">
        <v>6.3585744350769398</v>
      </c>
      <c r="D83" s="6">
        <f t="shared" si="0"/>
        <v>0</v>
      </c>
      <c r="E83" s="6">
        <f t="shared" si="2"/>
        <v>6.3585744350769398</v>
      </c>
      <c r="G83" s="6" t="s">
        <v>102</v>
      </c>
      <c r="H83" s="6">
        <v>0.18899492977508001</v>
      </c>
      <c r="I83" s="6">
        <f t="shared" si="1"/>
        <v>0.20640741469308699</v>
      </c>
      <c r="J83" s="517"/>
    </row>
    <row r="84" spans="1:10" x14ac:dyDescent="0.25">
      <c r="A84" s="7" t="s">
        <v>9</v>
      </c>
      <c r="B84" s="13" t="s">
        <v>96</v>
      </c>
      <c r="C84" s="6">
        <v>3.6332748872742102</v>
      </c>
      <c r="D84" s="6">
        <f t="shared" si="0"/>
        <v>0</v>
      </c>
      <c r="E84" s="6">
        <f t="shared" si="2"/>
        <v>3.6332748872742102</v>
      </c>
      <c r="G84" s="6" t="s">
        <v>12</v>
      </c>
      <c r="H84" s="6">
        <v>9.3744779270124798</v>
      </c>
      <c r="I84" s="6">
        <f t="shared" si="1"/>
        <v>9.4519035472375297</v>
      </c>
      <c r="J84" s="517"/>
    </row>
    <row r="85" spans="1:10" x14ac:dyDescent="0.25">
      <c r="A85" s="7" t="s">
        <v>101</v>
      </c>
      <c r="B85" s="13" t="s">
        <v>96</v>
      </c>
      <c r="C85" s="6">
        <v>5.5337714214649196</v>
      </c>
      <c r="D85" s="6">
        <f t="shared" si="0"/>
        <v>0</v>
      </c>
      <c r="E85" s="6">
        <f t="shared" si="2"/>
        <v>5.5337714214649196</v>
      </c>
      <c r="G85" s="6" t="s">
        <v>13</v>
      </c>
      <c r="H85" s="6">
        <v>6.8400248396786001</v>
      </c>
      <c r="I85" s="6">
        <f t="shared" si="1"/>
        <v>6.6040579369931098</v>
      </c>
      <c r="J85" s="517"/>
    </row>
    <row r="86" spans="1:10" x14ac:dyDescent="0.25">
      <c r="A86" s="7" t="s">
        <v>49</v>
      </c>
      <c r="B86" s="13" t="s">
        <v>95</v>
      </c>
      <c r="C86" s="6">
        <v>0.292653772786999</v>
      </c>
      <c r="D86" s="6">
        <f t="shared" si="0"/>
        <v>0</v>
      </c>
      <c r="E86" s="6">
        <f t="shared" si="2"/>
        <v>0.292653772786999</v>
      </c>
      <c r="G86" s="6" t="s">
        <v>19</v>
      </c>
      <c r="H86" s="6">
        <v>11.7439434822574</v>
      </c>
      <c r="I86" s="6">
        <f t="shared" si="1"/>
        <v>10.727643804966</v>
      </c>
      <c r="J86" s="517"/>
    </row>
    <row r="87" spans="1:10" x14ac:dyDescent="0.25">
      <c r="A87" s="7" t="s">
        <v>10</v>
      </c>
      <c r="B87" s="13" t="s">
        <v>95</v>
      </c>
      <c r="C87" s="6">
        <v>1.4621378147913701E-3</v>
      </c>
      <c r="D87" s="6">
        <f t="shared" si="0"/>
        <v>6.8197330632338202</v>
      </c>
      <c r="E87" s="6">
        <f t="shared" si="2"/>
        <v>6.8211952010486119</v>
      </c>
      <c r="G87" s="6" t="s">
        <v>20</v>
      </c>
      <c r="H87" s="6">
        <v>3.4745692066475198</v>
      </c>
      <c r="I87" s="6">
        <f t="shared" si="1"/>
        <v>3.2029211145830998</v>
      </c>
      <c r="J87" s="517"/>
    </row>
    <row r="88" spans="1:10" x14ac:dyDescent="0.25">
      <c r="A88" s="7" t="s">
        <v>11</v>
      </c>
      <c r="B88" s="13" t="s">
        <v>95</v>
      </c>
      <c r="C88" s="6">
        <v>3.2476380401893401</v>
      </c>
      <c r="D88" s="6">
        <f t="shared" si="0"/>
        <v>0</v>
      </c>
      <c r="E88" s="6">
        <f t="shared" si="2"/>
        <v>3.2476380401893401</v>
      </c>
      <c r="G88" s="6" t="s">
        <v>23</v>
      </c>
      <c r="H88" s="6">
        <v>9.7222848171469884</v>
      </c>
      <c r="I88" s="6">
        <f t="shared" si="1"/>
        <v>13.0271770053639</v>
      </c>
      <c r="J88" s="517"/>
    </row>
    <row r="89" spans="1:10" x14ac:dyDescent="0.25">
      <c r="A89" s="7" t="s">
        <v>51</v>
      </c>
      <c r="B89" s="13" t="s">
        <v>95</v>
      </c>
      <c r="C89" s="6">
        <v>0.54555788504299096</v>
      </c>
      <c r="D89" s="6">
        <f t="shared" si="0"/>
        <v>0</v>
      </c>
      <c r="E89" s="6">
        <f t="shared" si="2"/>
        <v>0.54555788504299096</v>
      </c>
      <c r="G89" s="6" t="s">
        <v>25</v>
      </c>
      <c r="H89" s="6">
        <v>66.294441198876996</v>
      </c>
      <c r="I89" s="6">
        <f t="shared" si="1"/>
        <v>63.9112827295871</v>
      </c>
      <c r="J89" s="517"/>
    </row>
    <row r="90" spans="1:10" x14ac:dyDescent="0.25">
      <c r="A90" s="7" t="s">
        <v>102</v>
      </c>
      <c r="B90" s="13" t="s">
        <v>96</v>
      </c>
      <c r="C90" s="6">
        <v>0.20640741469308699</v>
      </c>
      <c r="D90" s="6">
        <f t="shared" si="0"/>
        <v>0</v>
      </c>
      <c r="E90" s="6">
        <f t="shared" si="2"/>
        <v>0.20640741469308699</v>
      </c>
      <c r="G90" s="6" t="s">
        <v>103</v>
      </c>
      <c r="H90" s="6">
        <v>4.5618238796996398</v>
      </c>
      <c r="I90" s="6">
        <f t="shared" si="1"/>
        <v>3.9733324683553399</v>
      </c>
      <c r="J90" s="517"/>
    </row>
    <row r="91" spans="1:10" x14ac:dyDescent="0.25">
      <c r="A91" s="7" t="s">
        <v>12</v>
      </c>
      <c r="B91" s="13" t="s">
        <v>96</v>
      </c>
      <c r="C91" s="6">
        <v>9.4519035472375297</v>
      </c>
      <c r="D91" s="6">
        <f t="shared" si="0"/>
        <v>0</v>
      </c>
      <c r="E91" s="6">
        <f t="shared" si="2"/>
        <v>9.4519035472375297</v>
      </c>
      <c r="G91" s="6" t="s">
        <v>28</v>
      </c>
      <c r="H91" s="6">
        <v>74.540727600108596</v>
      </c>
      <c r="I91" s="6">
        <f t="shared" si="1"/>
        <v>74.224521678971897</v>
      </c>
      <c r="J91" s="517"/>
    </row>
    <row r="92" spans="1:10" x14ac:dyDescent="0.25">
      <c r="A92" s="7" t="s">
        <v>13</v>
      </c>
      <c r="B92" s="13" t="s">
        <v>96</v>
      </c>
      <c r="C92" s="6">
        <v>6.6040579369931098</v>
      </c>
      <c r="D92" s="6">
        <f t="shared" si="0"/>
        <v>0</v>
      </c>
      <c r="E92" s="6">
        <f t="shared" si="2"/>
        <v>6.6040579369931098</v>
      </c>
      <c r="G92" s="6" t="s">
        <v>31</v>
      </c>
      <c r="H92" s="6">
        <v>1.5700928022067699</v>
      </c>
      <c r="I92" s="6">
        <f t="shared" si="1"/>
        <v>1.5144688012252701</v>
      </c>
      <c r="J92" s="517"/>
    </row>
    <row r="93" spans="1:10" x14ac:dyDescent="0.25">
      <c r="A93" s="7" t="s">
        <v>14</v>
      </c>
      <c r="B93" s="13" t="s">
        <v>96</v>
      </c>
      <c r="C93" s="6">
        <v>9.1465372027695099E-2</v>
      </c>
      <c r="D93" s="6">
        <f t="shared" si="0"/>
        <v>96.580388980475107</v>
      </c>
      <c r="E93" s="6">
        <f t="shared" si="2"/>
        <v>96.671854352502805</v>
      </c>
      <c r="G93" s="6" t="s">
        <v>32</v>
      </c>
      <c r="H93" s="6">
        <v>3.9510201101452802</v>
      </c>
      <c r="I93" s="6">
        <f t="shared" si="1"/>
        <v>3.6831699708093302</v>
      </c>
      <c r="J93" s="517"/>
    </row>
    <row r="94" spans="1:10" x14ac:dyDescent="0.25">
      <c r="A94" s="7" t="s">
        <v>15</v>
      </c>
      <c r="B94" s="13" t="s">
        <v>95</v>
      </c>
      <c r="C94" s="6">
        <v>0.66503186341368803</v>
      </c>
      <c r="D94" s="6">
        <f t="shared" si="0"/>
        <v>0</v>
      </c>
      <c r="E94" s="6">
        <f t="shared" si="2"/>
        <v>0.66503186341368803</v>
      </c>
      <c r="G94" s="6" t="s">
        <v>105</v>
      </c>
      <c r="H94" s="6">
        <v>10.7551367536272</v>
      </c>
      <c r="I94" s="6">
        <f t="shared" si="1"/>
        <v>9.7015014463208793</v>
      </c>
      <c r="J94" s="517"/>
    </row>
    <row r="95" spans="1:10" x14ac:dyDescent="0.25">
      <c r="A95" s="7" t="s">
        <v>19</v>
      </c>
      <c r="B95" s="13" t="s">
        <v>96</v>
      </c>
      <c r="C95" s="6">
        <v>10.727643804966</v>
      </c>
      <c r="D95" s="6">
        <f t="shared" si="0"/>
        <v>0</v>
      </c>
      <c r="E95" s="6">
        <f t="shared" si="2"/>
        <v>10.727643804966</v>
      </c>
      <c r="G95" s="6" t="s">
        <v>34</v>
      </c>
      <c r="H95" s="6">
        <v>4.5886495298061396</v>
      </c>
      <c r="I95" s="6">
        <f t="shared" si="1"/>
        <v>4.2899040604009198</v>
      </c>
      <c r="J95" s="517"/>
    </row>
    <row r="96" spans="1:10" x14ac:dyDescent="0.25">
      <c r="A96" s="7" t="s">
        <v>20</v>
      </c>
      <c r="B96" s="13" t="s">
        <v>96</v>
      </c>
      <c r="C96" s="6">
        <v>3.2029211145830998</v>
      </c>
      <c r="D96" s="6">
        <f t="shared" si="0"/>
        <v>0</v>
      </c>
      <c r="E96" s="6">
        <f t="shared" si="2"/>
        <v>3.2029211145830998</v>
      </c>
      <c r="G96" s="6" t="s">
        <v>36</v>
      </c>
      <c r="H96" s="6">
        <v>31.825474578295601</v>
      </c>
      <c r="I96" s="6">
        <f t="shared" si="1"/>
        <v>30.533498779887701</v>
      </c>
      <c r="J96" s="517"/>
    </row>
    <row r="97" spans="1:10" x14ac:dyDescent="0.25">
      <c r="A97" s="7" t="s">
        <v>23</v>
      </c>
      <c r="B97" s="13" t="s">
        <v>95</v>
      </c>
      <c r="C97" s="6">
        <v>13.0271770053639</v>
      </c>
      <c r="D97" s="6">
        <f t="shared" si="0"/>
        <v>0</v>
      </c>
      <c r="E97" s="6">
        <f t="shared" si="2"/>
        <v>13.0271770053639</v>
      </c>
      <c r="G97" s="6" t="s">
        <v>37</v>
      </c>
      <c r="H97" s="6">
        <v>181.903018935072</v>
      </c>
      <c r="I97" s="6">
        <f t="shared" si="1"/>
        <v>178.79932141221201</v>
      </c>
      <c r="J97" s="517"/>
    </row>
    <row r="98" spans="1:10" x14ac:dyDescent="0.25">
      <c r="A98" s="7" t="s">
        <v>24</v>
      </c>
      <c r="B98" s="13" t="s">
        <v>95</v>
      </c>
      <c r="C98" s="6">
        <v>4.6071233586564801</v>
      </c>
      <c r="D98" s="6">
        <f t="shared" si="0"/>
        <v>0</v>
      </c>
      <c r="E98" s="6">
        <f t="shared" si="2"/>
        <v>4.6071233586564801</v>
      </c>
      <c r="G98" s="6" t="s">
        <v>38</v>
      </c>
      <c r="H98" s="6">
        <v>6.6113854213059797</v>
      </c>
      <c r="I98" s="6">
        <f t="shared" si="1"/>
        <v>6.4477400565579899</v>
      </c>
      <c r="J98" s="517"/>
    </row>
    <row r="99" spans="1:10" x14ac:dyDescent="0.25">
      <c r="A99" s="7" t="s">
        <v>25</v>
      </c>
      <c r="B99" s="13" t="s">
        <v>96</v>
      </c>
      <c r="C99" s="6">
        <v>63.9112827295871</v>
      </c>
      <c r="D99" s="6">
        <f t="shared" si="0"/>
        <v>0</v>
      </c>
      <c r="E99" s="6">
        <f t="shared" si="2"/>
        <v>63.9112827295871</v>
      </c>
      <c r="G99" s="6" t="s">
        <v>39</v>
      </c>
      <c r="H99" s="6">
        <v>20.9699625621218</v>
      </c>
      <c r="I99" s="6">
        <f t="shared" si="1"/>
        <v>19.7154639366371</v>
      </c>
      <c r="J99" s="517"/>
    </row>
    <row r="100" spans="1:10" x14ac:dyDescent="0.25">
      <c r="A100" s="7" t="s">
        <v>103</v>
      </c>
      <c r="B100" s="13" t="s">
        <v>96</v>
      </c>
      <c r="C100" s="6">
        <v>3.9733324683553399</v>
      </c>
      <c r="D100" s="6">
        <f t="shared" si="0"/>
        <v>0</v>
      </c>
      <c r="E100" s="6">
        <f t="shared" si="2"/>
        <v>3.9733324683553399</v>
      </c>
      <c r="G100" s="6" t="s">
        <v>40</v>
      </c>
      <c r="H100" s="6">
        <v>57.060775046716103</v>
      </c>
      <c r="I100" s="6">
        <f t="shared" si="1"/>
        <v>55.243123664533599</v>
      </c>
      <c r="J100" s="517"/>
    </row>
    <row r="101" spans="1:10" x14ac:dyDescent="0.25">
      <c r="A101" s="7" t="s">
        <v>53</v>
      </c>
      <c r="B101" s="13" t="s">
        <v>95</v>
      </c>
      <c r="C101" s="6">
        <v>1.54141938785977</v>
      </c>
      <c r="D101" s="6">
        <f t="shared" si="0"/>
        <v>0</v>
      </c>
      <c r="G101" s="6" t="s">
        <v>41</v>
      </c>
      <c r="H101" s="6">
        <v>1.9640139260485101</v>
      </c>
      <c r="I101" s="6">
        <f t="shared" si="1"/>
        <v>1.60316629528984</v>
      </c>
      <c r="J101" s="517"/>
    </row>
    <row r="102" spans="1:10" x14ac:dyDescent="0.25">
      <c r="A102" s="7" t="s">
        <v>53</v>
      </c>
      <c r="B102" s="13" t="s">
        <v>96</v>
      </c>
      <c r="C102" s="6">
        <v>4.30397968981556E-3</v>
      </c>
      <c r="D102" s="6">
        <f t="shared" si="0"/>
        <v>0</v>
      </c>
      <c r="J102" s="517"/>
    </row>
    <row r="103" spans="1:10" x14ac:dyDescent="0.25">
      <c r="A103" s="7" t="s">
        <v>44</v>
      </c>
      <c r="B103" s="13" t="s">
        <v>96</v>
      </c>
      <c r="C103" s="6">
        <v>60.844865743536097</v>
      </c>
      <c r="D103" s="6">
        <f t="shared" si="0"/>
        <v>0</v>
      </c>
      <c r="E103" s="6">
        <f t="shared" si="2"/>
        <v>60.844865743536097</v>
      </c>
      <c r="J103" s="517"/>
    </row>
    <row r="104" spans="1:10" x14ac:dyDescent="0.25">
      <c r="A104" s="7" t="s">
        <v>50</v>
      </c>
      <c r="B104" s="13" t="s">
        <v>95</v>
      </c>
      <c r="C104" s="6">
        <v>3.5526218321872398</v>
      </c>
      <c r="D104" s="6">
        <f t="shared" si="0"/>
        <v>0</v>
      </c>
      <c r="E104" s="6">
        <f t="shared" si="2"/>
        <v>3.5526218321872398</v>
      </c>
      <c r="G104" s="6" t="s">
        <v>4</v>
      </c>
      <c r="H104" s="6">
        <v>30.2320571959422</v>
      </c>
      <c r="I104" s="6">
        <f>VLOOKUP(G104,$A$73:$E$121,5,0)</f>
        <v>32.633689604366353</v>
      </c>
      <c r="J104" s="517"/>
    </row>
    <row r="105" spans="1:10" x14ac:dyDescent="0.25">
      <c r="A105" s="7" t="s">
        <v>26</v>
      </c>
      <c r="B105" s="13" t="s">
        <v>95</v>
      </c>
      <c r="C105" s="6">
        <v>4.2536832649312801</v>
      </c>
      <c r="D105" s="6">
        <f t="shared" si="0"/>
        <v>0</v>
      </c>
      <c r="E105" s="6">
        <f t="shared" si="2"/>
        <v>4.2536832649312801</v>
      </c>
      <c r="G105" s="6" t="s">
        <v>10</v>
      </c>
      <c r="H105" s="6">
        <v>7.1746054951382403</v>
      </c>
      <c r="I105" s="6">
        <f t="shared" ref="I105:I113" si="3">VLOOKUP(G105,$A$73:$E$121,5,0)</f>
        <v>6.8211952010486119</v>
      </c>
      <c r="J105" s="517"/>
    </row>
    <row r="106" spans="1:10" x14ac:dyDescent="0.25">
      <c r="A106" s="7" t="s">
        <v>28</v>
      </c>
      <c r="B106" s="13" t="s">
        <v>95</v>
      </c>
      <c r="C106" s="6">
        <v>74.224521678971897</v>
      </c>
      <c r="D106" s="6">
        <f t="shared" si="0"/>
        <v>0</v>
      </c>
      <c r="E106" s="6">
        <f t="shared" si="2"/>
        <v>74.224521678971897</v>
      </c>
      <c r="G106" s="6" t="s">
        <v>14</v>
      </c>
      <c r="H106" s="6">
        <v>89.213102985631096</v>
      </c>
      <c r="I106" s="6">
        <f t="shared" si="3"/>
        <v>96.671854352502805</v>
      </c>
      <c r="J106" s="517"/>
    </row>
    <row r="107" spans="1:10" x14ac:dyDescent="0.25">
      <c r="A107" s="7" t="s">
        <v>30</v>
      </c>
      <c r="B107" s="13" t="s">
        <v>96</v>
      </c>
      <c r="C107" s="6">
        <v>0.74426647291580394</v>
      </c>
      <c r="D107" s="6">
        <f t="shared" si="0"/>
        <v>0</v>
      </c>
      <c r="E107" s="6">
        <f t="shared" si="2"/>
        <v>0.74426647291580394</v>
      </c>
      <c r="G107" s="6" t="s">
        <v>16</v>
      </c>
      <c r="H107" s="6">
        <v>0</v>
      </c>
      <c r="I107" s="6">
        <v>0</v>
      </c>
      <c r="J107" s="517"/>
    </row>
    <row r="108" spans="1:10" x14ac:dyDescent="0.25">
      <c r="A108" s="7" t="s">
        <v>904</v>
      </c>
      <c r="B108" s="13" t="s">
        <v>95</v>
      </c>
      <c r="C108" s="6">
        <v>3.20120186496698</v>
      </c>
      <c r="D108" s="6">
        <f t="shared" si="0"/>
        <v>0</v>
      </c>
      <c r="E108" s="6">
        <f t="shared" si="2"/>
        <v>3.20120186496698</v>
      </c>
      <c r="G108" s="6" t="s">
        <v>17</v>
      </c>
      <c r="H108" s="6">
        <v>0</v>
      </c>
      <c r="I108" s="6">
        <v>0</v>
      </c>
      <c r="J108" s="517"/>
    </row>
    <row r="109" spans="1:10" x14ac:dyDescent="0.25">
      <c r="A109" s="7" t="s">
        <v>31</v>
      </c>
      <c r="B109" s="13" t="s">
        <v>95</v>
      </c>
      <c r="C109" s="6">
        <v>1.5144688012252701</v>
      </c>
      <c r="D109" s="6">
        <f t="shared" si="0"/>
        <v>0</v>
      </c>
      <c r="E109" s="6">
        <f t="shared" si="2"/>
        <v>1.5144688012252701</v>
      </c>
      <c r="G109" s="6" t="s">
        <v>18</v>
      </c>
      <c r="H109" s="6">
        <v>0</v>
      </c>
      <c r="I109" s="6">
        <v>0</v>
      </c>
      <c r="J109" s="517"/>
    </row>
    <row r="110" spans="1:10" x14ac:dyDescent="0.25">
      <c r="A110" s="7" t="s">
        <v>32</v>
      </c>
      <c r="B110" s="13" t="s">
        <v>95</v>
      </c>
      <c r="C110" s="6">
        <v>3.6831699708093302</v>
      </c>
      <c r="D110" s="6">
        <f t="shared" si="0"/>
        <v>0</v>
      </c>
      <c r="E110" s="6">
        <f t="shared" si="2"/>
        <v>3.6831699708093302</v>
      </c>
      <c r="G110" s="6" t="s">
        <v>21</v>
      </c>
      <c r="H110" s="6">
        <v>0</v>
      </c>
      <c r="I110" s="6">
        <v>0</v>
      </c>
      <c r="J110" s="517"/>
    </row>
    <row r="111" spans="1:10" x14ac:dyDescent="0.25">
      <c r="A111" s="7" t="s">
        <v>105</v>
      </c>
      <c r="B111" s="13" t="s">
        <v>96</v>
      </c>
      <c r="C111" s="6">
        <v>9.7015014463208793</v>
      </c>
      <c r="D111" s="6">
        <f t="shared" si="0"/>
        <v>0</v>
      </c>
      <c r="E111" s="6">
        <f t="shared" si="2"/>
        <v>9.7015014463208793</v>
      </c>
      <c r="G111" s="6" t="s">
        <v>27</v>
      </c>
      <c r="H111" s="6">
        <v>0.317390200144618</v>
      </c>
      <c r="I111" s="6">
        <f t="shared" si="3"/>
        <v>0.38253490700876602</v>
      </c>
      <c r="J111" s="517"/>
    </row>
    <row r="112" spans="1:10" x14ac:dyDescent="0.25">
      <c r="A112" s="7" t="s">
        <v>34</v>
      </c>
      <c r="B112" s="13" t="s">
        <v>95</v>
      </c>
      <c r="C112" s="6">
        <v>4.2899040604009198</v>
      </c>
      <c r="D112" s="6">
        <f t="shared" si="0"/>
        <v>0</v>
      </c>
      <c r="E112" s="6">
        <f t="shared" si="2"/>
        <v>4.2899040604009198</v>
      </c>
      <c r="G112" s="6" t="s">
        <v>33</v>
      </c>
      <c r="H112" s="6">
        <v>0</v>
      </c>
      <c r="I112" s="6">
        <v>0</v>
      </c>
      <c r="J112" s="517"/>
    </row>
    <row r="113" spans="1:10" x14ac:dyDescent="0.25">
      <c r="A113" s="7" t="s">
        <v>36</v>
      </c>
      <c r="B113" s="13" t="s">
        <v>95</v>
      </c>
      <c r="C113" s="6">
        <v>30.533498779887701</v>
      </c>
      <c r="D113" s="6">
        <f t="shared" si="0"/>
        <v>0</v>
      </c>
      <c r="E113" s="6">
        <f t="shared" si="2"/>
        <v>30.533498779887701</v>
      </c>
      <c r="G113" s="6" t="s">
        <v>35</v>
      </c>
      <c r="H113" s="6">
        <v>3.42432252546639</v>
      </c>
      <c r="I113" s="6">
        <f t="shared" si="3"/>
        <v>3.6590118583837001</v>
      </c>
      <c r="J113" s="517"/>
    </row>
    <row r="114" spans="1:10" x14ac:dyDescent="0.25">
      <c r="A114" s="7" t="s">
        <v>37</v>
      </c>
      <c r="B114" s="13" t="s">
        <v>95</v>
      </c>
      <c r="C114" s="6">
        <v>178.79932141221201</v>
      </c>
      <c r="D114" s="6">
        <f t="shared" si="0"/>
        <v>0</v>
      </c>
      <c r="E114" s="6">
        <f t="shared" si="2"/>
        <v>178.79932141221201</v>
      </c>
      <c r="J114" s="517"/>
    </row>
    <row r="115" spans="1:10" x14ac:dyDescent="0.25">
      <c r="A115" s="7" t="s">
        <v>38</v>
      </c>
      <c r="B115" s="13" t="s">
        <v>95</v>
      </c>
      <c r="C115" s="6">
        <v>6.4477400565579899</v>
      </c>
      <c r="D115" s="6">
        <f t="shared" si="0"/>
        <v>0</v>
      </c>
      <c r="E115" s="6">
        <f t="shared" si="2"/>
        <v>6.4477400565579899</v>
      </c>
      <c r="J115" s="517"/>
    </row>
    <row r="116" spans="1:10" x14ac:dyDescent="0.25">
      <c r="A116" s="7" t="s">
        <v>39</v>
      </c>
      <c r="B116" s="13" t="s">
        <v>95</v>
      </c>
      <c r="C116" s="6">
        <v>19.7154639366371</v>
      </c>
      <c r="D116" s="6">
        <f t="shared" si="0"/>
        <v>0</v>
      </c>
      <c r="E116" s="6">
        <f t="shared" si="2"/>
        <v>19.7154639366371</v>
      </c>
      <c r="G116" s="6" t="s">
        <v>3</v>
      </c>
      <c r="H116" s="6">
        <v>4.0992873027335097</v>
      </c>
      <c r="I116" s="6">
        <f t="shared" si="1"/>
        <v>4.0652026313854099</v>
      </c>
      <c r="J116" s="517"/>
    </row>
    <row r="117" spans="1:10" x14ac:dyDescent="0.25">
      <c r="A117" s="7" t="s">
        <v>40</v>
      </c>
      <c r="B117" s="13" t="s">
        <v>95</v>
      </c>
      <c r="C117" s="6">
        <v>55.243123664533599</v>
      </c>
      <c r="D117" s="6">
        <f t="shared" si="0"/>
        <v>0</v>
      </c>
      <c r="E117" s="6">
        <f t="shared" si="2"/>
        <v>55.243123664533599</v>
      </c>
      <c r="G117" s="6" t="s">
        <v>6</v>
      </c>
      <c r="H117" s="6">
        <v>0.89049206297184702</v>
      </c>
      <c r="I117" s="6">
        <f t="shared" si="1"/>
        <v>0.885456565309233</v>
      </c>
      <c r="J117" s="517"/>
    </row>
    <row r="118" spans="1:10" x14ac:dyDescent="0.25">
      <c r="A118" s="7" t="s">
        <v>41</v>
      </c>
      <c r="B118" s="13" t="s">
        <v>96</v>
      </c>
      <c r="C118" s="6">
        <v>1.60316629528984</v>
      </c>
      <c r="D118" s="6">
        <f t="shared" si="0"/>
        <v>0</v>
      </c>
      <c r="E118" s="6">
        <f t="shared" si="2"/>
        <v>1.60316629528984</v>
      </c>
      <c r="G118" s="6" t="s">
        <v>51</v>
      </c>
      <c r="H118" s="6">
        <v>0.54626416094959995</v>
      </c>
      <c r="I118" s="6">
        <f t="shared" si="1"/>
        <v>0.54555788504299096</v>
      </c>
      <c r="J118" s="517"/>
    </row>
    <row r="119" spans="1:10" x14ac:dyDescent="0.25">
      <c r="A119" s="7" t="s">
        <v>42</v>
      </c>
      <c r="B119" s="13" t="s">
        <v>95</v>
      </c>
      <c r="C119" s="6">
        <v>3.1605549518476299</v>
      </c>
      <c r="D119" s="6">
        <f t="shared" si="0"/>
        <v>0</v>
      </c>
      <c r="E119" s="6">
        <f t="shared" si="2"/>
        <v>3.1605549518476299</v>
      </c>
      <c r="G119" s="6" t="s">
        <v>15</v>
      </c>
      <c r="H119" s="6">
        <v>0.65380493601414602</v>
      </c>
      <c r="I119" s="6">
        <f t="shared" si="1"/>
        <v>0.66503186341368803</v>
      </c>
      <c r="J119" s="517"/>
    </row>
    <row r="120" spans="1:10" x14ac:dyDescent="0.25">
      <c r="A120" s="7" t="s">
        <v>35</v>
      </c>
      <c r="B120" s="56" t="s">
        <v>96</v>
      </c>
      <c r="C120" s="6">
        <v>0</v>
      </c>
      <c r="D120" s="6">
        <f t="shared" ref="D120:D121" si="4">_xlfn.IFNA(VLOOKUP(A120,$A$128:$B$132,2,0),0)</f>
        <v>3.6590118583837001</v>
      </c>
      <c r="E120" s="6">
        <f t="shared" si="2"/>
        <v>3.6590118583837001</v>
      </c>
      <c r="G120" s="6" t="s">
        <v>22</v>
      </c>
      <c r="H120" s="6">
        <v>8.2938585690851302E-2</v>
      </c>
      <c r="I120" s="148">
        <v>0</v>
      </c>
      <c r="J120" s="517"/>
    </row>
    <row r="121" spans="1:10" x14ac:dyDescent="0.25">
      <c r="A121" s="7" t="s">
        <v>27</v>
      </c>
      <c r="B121" s="56" t="s">
        <v>96</v>
      </c>
      <c r="C121" s="6">
        <v>0</v>
      </c>
      <c r="D121" s="6">
        <f t="shared" si="4"/>
        <v>0.38253490700876602</v>
      </c>
      <c r="E121" s="6">
        <f t="shared" si="2"/>
        <v>0.38253490700876602</v>
      </c>
      <c r="G121" s="6" t="s">
        <v>24</v>
      </c>
      <c r="H121" s="6">
        <v>5.0711437958153001</v>
      </c>
      <c r="I121" s="6">
        <f t="shared" si="1"/>
        <v>4.6071233586564801</v>
      </c>
      <c r="J121" s="517"/>
    </row>
    <row r="122" spans="1:10" x14ac:dyDescent="0.25">
      <c r="G122" s="6" t="s">
        <v>44</v>
      </c>
      <c r="H122" s="6">
        <v>63.051362638381697</v>
      </c>
      <c r="I122" s="6">
        <f t="shared" si="1"/>
        <v>60.844865743536097</v>
      </c>
      <c r="J122" s="517"/>
    </row>
    <row r="123" spans="1:10" x14ac:dyDescent="0.25">
      <c r="G123" s="6" t="s">
        <v>26</v>
      </c>
      <c r="H123" s="6">
        <v>3.4378882873053498</v>
      </c>
      <c r="I123" s="6">
        <f t="shared" si="1"/>
        <v>4.2536832649312801</v>
      </c>
      <c r="J123" s="517"/>
    </row>
    <row r="124" spans="1:10" x14ac:dyDescent="0.25">
      <c r="G124" s="6" t="s">
        <v>30</v>
      </c>
      <c r="H124" s="6">
        <v>0.74251981793766897</v>
      </c>
      <c r="I124" s="6">
        <f t="shared" si="1"/>
        <v>0.74426647291580394</v>
      </c>
      <c r="J124" s="517"/>
    </row>
    <row r="125" spans="1:10" ht="15.75" x14ac:dyDescent="0.25">
      <c r="A125" s="336" t="s">
        <v>1628</v>
      </c>
      <c r="G125" s="6" t="s">
        <v>904</v>
      </c>
      <c r="H125" s="6">
        <v>6.9971890728059112</v>
      </c>
      <c r="I125" s="6">
        <f t="shared" si="1"/>
        <v>3.20120186496698</v>
      </c>
      <c r="J125" s="517"/>
    </row>
    <row r="126" spans="1:10" x14ac:dyDescent="0.25">
      <c r="A126" s="7" t="s">
        <v>1626</v>
      </c>
      <c r="G126" s="6" t="s">
        <v>42</v>
      </c>
      <c r="H126" s="6">
        <v>3.5437542872252501</v>
      </c>
      <c r="I126" s="6">
        <f t="shared" si="1"/>
        <v>3.1605549518476299</v>
      </c>
      <c r="J126" s="517"/>
    </row>
    <row r="127" spans="1:10" x14ac:dyDescent="0.25">
      <c r="A127" s="7" t="s">
        <v>91</v>
      </c>
      <c r="B127" s="13" t="s">
        <v>1621</v>
      </c>
    </row>
    <row r="128" spans="1:10" x14ac:dyDescent="0.25">
      <c r="A128" s="7" t="s">
        <v>4</v>
      </c>
      <c r="B128" s="13">
        <v>32.5583311908985</v>
      </c>
    </row>
    <row r="129" spans="1:2" x14ac:dyDescent="0.25">
      <c r="A129" s="7" t="s">
        <v>10</v>
      </c>
      <c r="B129" s="13">
        <v>6.8197330632338202</v>
      </c>
    </row>
    <row r="130" spans="1:2" x14ac:dyDescent="0.25">
      <c r="A130" s="7" t="s">
        <v>14</v>
      </c>
      <c r="B130" s="13">
        <v>96.580388980475107</v>
      </c>
    </row>
    <row r="131" spans="1:2" x14ac:dyDescent="0.25">
      <c r="A131" s="7" t="s">
        <v>27</v>
      </c>
      <c r="B131" s="13">
        <v>0.38253490700876602</v>
      </c>
    </row>
    <row r="132" spans="1:2" x14ac:dyDescent="0.25">
      <c r="A132" s="7" t="s">
        <v>35</v>
      </c>
      <c r="B132" s="13">
        <v>3.6590118583837001</v>
      </c>
    </row>
  </sheetData>
  <mergeCells count="3">
    <mergeCell ref="D1:E1"/>
    <mergeCell ref="N1:P1"/>
    <mergeCell ref="L1:M1"/>
  </mergeCells>
  <pageMargins left="0.7" right="0.7" top="0.75" bottom="0.75" header="0.3" footer="0.3"/>
  <pageSetup paperSize="8"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F152"/>
  <sheetViews>
    <sheetView topLeftCell="B1" zoomScale="70" zoomScaleNormal="70" workbookViewId="0">
      <selection activeCell="D38" sqref="D38"/>
    </sheetView>
  </sheetViews>
  <sheetFormatPr defaultRowHeight="15" x14ac:dyDescent="0.25"/>
  <cols>
    <col min="1" max="1" width="15.7109375" style="328" customWidth="1"/>
    <col min="2" max="2" width="21.5703125" style="13" bestFit="1" customWidth="1"/>
    <col min="3" max="3" width="12.42578125" style="6" customWidth="1"/>
    <col min="4" max="4" width="16.7109375" style="6" customWidth="1"/>
    <col min="5" max="7" width="25.5703125" style="6" customWidth="1"/>
    <col min="8" max="8" width="22.42578125" style="6" customWidth="1"/>
    <col min="9" max="9" width="16.42578125" style="6" customWidth="1"/>
    <col min="10" max="10" width="21.5703125" style="6" customWidth="1"/>
    <col min="11" max="11" width="17.5703125" style="6" customWidth="1"/>
    <col min="12" max="12" width="15.140625" style="6" customWidth="1"/>
    <col min="13" max="13" width="17.5703125" style="6" customWidth="1"/>
    <col min="14" max="14" width="20.5703125" style="13" customWidth="1"/>
    <col min="15" max="15" width="19.140625" style="13" hidden="1" customWidth="1"/>
    <col min="16" max="16" width="12.42578125" style="56" customWidth="1"/>
    <col min="17" max="17" width="14.5703125" style="19" customWidth="1"/>
    <col min="18" max="18" width="14.5703125" style="27" customWidth="1"/>
    <col min="19" max="19" width="13.85546875" style="19" customWidth="1"/>
    <col min="20" max="22" width="9.140625" style="19"/>
    <col min="23" max="23" width="15.5703125" style="19" customWidth="1"/>
    <col min="24" max="24" width="17.5703125" style="19" bestFit="1" customWidth="1"/>
    <col min="25" max="25" width="16.42578125" style="19" bestFit="1" customWidth="1"/>
    <col min="26" max="32" width="9.140625" style="19"/>
    <col min="33" max="16384" width="9.140625" style="13"/>
  </cols>
  <sheetData>
    <row r="1" spans="1:28" s="59" customFormat="1" x14ac:dyDescent="0.25">
      <c r="A1" s="333"/>
      <c r="C1" s="73"/>
      <c r="D1" s="67"/>
      <c r="E1" s="67"/>
      <c r="F1" s="67"/>
      <c r="G1" s="67"/>
      <c r="H1" s="67"/>
      <c r="I1" s="68"/>
      <c r="J1" s="52"/>
      <c r="K1" s="52"/>
      <c r="L1" s="52"/>
      <c r="M1" s="52"/>
      <c r="N1" s="52"/>
      <c r="O1" s="52"/>
      <c r="P1" s="273"/>
      <c r="Q1" s="263"/>
      <c r="R1" s="263"/>
    </row>
    <row r="2" spans="1:28" ht="116.25" customHeight="1" x14ac:dyDescent="0.25">
      <c r="A2" s="328" t="s">
        <v>1611</v>
      </c>
      <c r="B2" s="114"/>
      <c r="C2" s="282" t="s">
        <v>1603</v>
      </c>
      <c r="D2" s="282" t="s">
        <v>909</v>
      </c>
      <c r="E2" s="184" t="s">
        <v>887</v>
      </c>
      <c r="F2" s="184" t="s">
        <v>955</v>
      </c>
      <c r="G2" s="445" t="s">
        <v>1663</v>
      </c>
      <c r="H2" s="370"/>
      <c r="I2" s="6" t="s">
        <v>940</v>
      </c>
      <c r="J2" s="345" t="s">
        <v>1633</v>
      </c>
      <c r="K2" s="426" t="s">
        <v>595</v>
      </c>
      <c r="L2" s="427"/>
      <c r="M2" s="427" t="s">
        <v>632</v>
      </c>
      <c r="N2" s="427" t="s">
        <v>632</v>
      </c>
      <c r="O2" s="184"/>
      <c r="Q2" s="427" t="s">
        <v>1630</v>
      </c>
      <c r="R2" s="427" t="s">
        <v>1643</v>
      </c>
      <c r="S2" s="359"/>
      <c r="T2" s="362"/>
      <c r="U2" s="362"/>
      <c r="V2" s="362"/>
    </row>
    <row r="3" spans="1:28" x14ac:dyDescent="0.25">
      <c r="B3" s="208" t="str">
        <f>'Charges as $M per year'!B3</f>
        <v>EDBs</v>
      </c>
      <c r="C3" s="209"/>
      <c r="D3" s="121"/>
      <c r="I3" s="180" t="s">
        <v>570</v>
      </c>
      <c r="J3" s="11">
        <f>SUM(J4:J32)</f>
        <v>31727.788099999994</v>
      </c>
      <c r="K3" s="428">
        <f>SUM(K4:K32)</f>
        <v>59.189268873304144</v>
      </c>
      <c r="L3" s="429"/>
      <c r="M3" s="430" t="s">
        <v>633</v>
      </c>
      <c r="N3" s="430" t="s">
        <v>627</v>
      </c>
      <c r="O3" s="6"/>
      <c r="Q3" s="438"/>
      <c r="R3" s="439"/>
      <c r="S3" s="266"/>
      <c r="T3" s="267"/>
      <c r="U3" s="171">
        <f ca="1">SUM(U4:U32)/J3</f>
        <v>4.3132425224108373E-2</v>
      </c>
      <c r="V3" s="171"/>
      <c r="W3" s="171">
        <f ca="1">SUM(W4:W32)/J3</f>
        <v>7.1887375373513918E-2</v>
      </c>
      <c r="X3" s="364" t="s">
        <v>1642</v>
      </c>
      <c r="Y3" s="364"/>
      <c r="AA3" s="19" t="s">
        <v>1675</v>
      </c>
      <c r="AB3" s="19" t="s">
        <v>1676</v>
      </c>
    </row>
    <row r="4" spans="1:28" ht="15.75" x14ac:dyDescent="0.25">
      <c r="A4" s="328" t="str">
        <f>'Charges as $M per year'!A4</f>
        <v>Alpine Energy</v>
      </c>
      <c r="B4" s="114" t="str">
        <f>'Charges as $M per year'!B4</f>
        <v>Alpine Energy</v>
      </c>
      <c r="C4" s="192">
        <f>'Charges as $M per year'!C4*1000/$J4</f>
        <v>13.25388193840117</v>
      </c>
      <c r="D4" s="192">
        <f ca="1">'Charges as $M per year'!D4*1000/$J4</f>
        <v>12.503869675834416</v>
      </c>
      <c r="E4" s="9">
        <f ca="1">'Charges as $M per year'!$F4*1000/'Charges as $ per MWh'!$J4</f>
        <v>1.0243652422501404</v>
      </c>
      <c r="F4" s="9">
        <f>'Charges as $M per year'!G4*1000/'Charges as $ per MWh'!$J4</f>
        <v>7.1008230390749789</v>
      </c>
      <c r="G4" s="9">
        <f>'Charges as $M per year'!H4*1000/'Charges as $ per MWh'!$J4</f>
        <v>11.479504433584275</v>
      </c>
      <c r="H4" s="9"/>
      <c r="I4" s="181">
        <f t="shared" ref="I4:I32" ca="1" si="0">$Y$6</f>
        <v>20.032483800718612</v>
      </c>
      <c r="J4" s="9">
        <f>VLOOKUP(B4,Volumes!$B$2:$C$44,2,0)</f>
        <v>793.7586</v>
      </c>
      <c r="K4" s="431">
        <v>0</v>
      </c>
      <c r="L4" s="432" t="s">
        <v>0</v>
      </c>
      <c r="M4" s="179">
        <f>K4*1000000/(J4*1000)</f>
        <v>0</v>
      </c>
      <c r="N4" s="433">
        <f t="shared" ref="N4:N32" si="1">C4+K4*1000000/(J4*1000)</f>
        <v>13.25388193840117</v>
      </c>
      <c r="O4" s="9"/>
      <c r="P4" s="360"/>
      <c r="Q4" s="440">
        <f ca="1">'Charges as $M per year'!J4*1000/J4</f>
        <v>13.18730534660218</v>
      </c>
      <c r="R4" s="440">
        <f ca="1">'Charges as $M per year'!K4*1000/J4</f>
        <v>13.642929127114021</v>
      </c>
      <c r="S4" s="462" t="s">
        <v>1672</v>
      </c>
      <c r="T4" s="457">
        <f ca="1">(Q4-D4)/D4</f>
        <v>5.4657932982827319E-2</v>
      </c>
      <c r="U4" s="266">
        <f ca="1">T4*J4</f>
        <v>43.385204363342837</v>
      </c>
      <c r="V4" s="457">
        <f ca="1">(R4-D4)/D4</f>
        <v>9.1096554971378724E-2</v>
      </c>
      <c r="W4" s="457">
        <f ca="1">V4*J4</f>
        <v>72.308673938904619</v>
      </c>
      <c r="X4" s="179" t="s">
        <v>569</v>
      </c>
      <c r="Y4" s="179" t="s">
        <v>108</v>
      </c>
      <c r="AA4" s="19">
        <f>J4*C4</f>
        <v>10520.382771990598</v>
      </c>
      <c r="AB4" s="19">
        <f ca="1">J4*D4</f>
        <v>9925.0540884727798</v>
      </c>
    </row>
    <row r="5" spans="1:28" ht="15.75" x14ac:dyDescent="0.25">
      <c r="A5" s="328" t="str">
        <f>'Charges as $M per year'!A5</f>
        <v>Aurora Energy</v>
      </c>
      <c r="B5" s="114" t="str">
        <f>'Charges as $M per year'!B5</f>
        <v>Aurora Energy</v>
      </c>
      <c r="C5" s="192">
        <f>'Charges as $M per year'!C5*1000/$J5</f>
        <v>15.962835547725652</v>
      </c>
      <c r="D5" s="192">
        <f ca="1">'Charges as $M per year'!D5*1000/$J5</f>
        <v>14.297802800940545</v>
      </c>
      <c r="E5" s="9">
        <f ca="1">'Charges as $M per year'!$F5*1000/'Charges as $ per MWh'!$J5</f>
        <v>0.78403813689877555</v>
      </c>
      <c r="F5" s="9">
        <f>'Charges as $M per year'!G5*1000/'Charges as $ per MWh'!$J5</f>
        <v>8.3591458173341771</v>
      </c>
      <c r="G5" s="9">
        <f>'Charges as $M per year'!H5*1000/'Charges as $ per MWh'!$J5</f>
        <v>13.513764664041766</v>
      </c>
      <c r="H5" s="9"/>
      <c r="I5" s="181">
        <f t="shared" ca="1" si="0"/>
        <v>20.032483800718612</v>
      </c>
      <c r="J5" s="9">
        <f>VLOOKUP(B5,Volumes!$B$2:$C$44,2,0)</f>
        <v>1350.32</v>
      </c>
      <c r="K5" s="431">
        <v>7.1595000000000004</v>
      </c>
      <c r="L5" s="432" t="s">
        <v>1</v>
      </c>
      <c r="M5" s="179">
        <f t="shared" ref="M5:M32" si="2">K5*1000000/(J5*1000)</f>
        <v>5.3020765448190055</v>
      </c>
      <c r="N5" s="433">
        <f t="shared" si="1"/>
        <v>21.264912092544655</v>
      </c>
      <c r="O5" s="9"/>
      <c r="P5" s="360"/>
      <c r="Q5" s="440">
        <f ca="1">'Charges as $M per year'!J5*1000/J5</f>
        <v>15.102348752484149</v>
      </c>
      <c r="R5" s="440">
        <f ca="1">'Charges as $M per year'!K5*1000/J5</f>
        <v>15.638712720179884</v>
      </c>
      <c r="S5" s="462" t="s">
        <v>1672</v>
      </c>
      <c r="T5" s="457">
        <f t="shared" ref="T5:T32" ca="1" si="3">(Q5-D5)/D5</f>
        <v>5.62706006471623E-2</v>
      </c>
      <c r="U5" s="266">
        <f t="shared" ref="U5:U32" ca="1" si="4">T5*J5</f>
        <v>75.983317465876198</v>
      </c>
      <c r="V5" s="457">
        <f t="shared" ref="V5:V32" ca="1" si="5">(R5-D5)/D5</f>
        <v>9.3784334411937079E-2</v>
      </c>
      <c r="W5" s="457">
        <f t="shared" ref="W5:W32" ca="1" si="6">V5*J5</f>
        <v>126.63886244312687</v>
      </c>
      <c r="X5" s="443" t="s">
        <v>568</v>
      </c>
      <c r="Y5" s="443" t="s">
        <v>568</v>
      </c>
      <c r="AA5" s="19">
        <f t="shared" ref="AA5:AA32" si="7">J5*C5</f>
        <v>21554.9360968049</v>
      </c>
      <c r="AB5" s="19">
        <f t="shared" ref="AB5:AB32" ca="1" si="8">J5*D5</f>
        <v>19306.609078166035</v>
      </c>
    </row>
    <row r="6" spans="1:28" ht="15.75" x14ac:dyDescent="0.25">
      <c r="A6" s="328" t="str">
        <f>'Charges as $M per year'!A6</f>
        <v>Buller Electricity</v>
      </c>
      <c r="B6" s="114" t="str">
        <f>'Charges as $M per year'!B6</f>
        <v>Buller Electricity</v>
      </c>
      <c r="C6" s="192">
        <f>'Charges as $M per year'!C6*1000/$J6</f>
        <v>11.92197927691965</v>
      </c>
      <c r="D6" s="192">
        <f ca="1">'Charges as $M per year'!D6*1000/$J6</f>
        <v>16.752481616071901</v>
      </c>
      <c r="E6" s="9">
        <f ca="1">'Charges as $M per year'!$F6*1000/'Charges as $ per MWh'!$J6</f>
        <v>1.5030956615628031</v>
      </c>
      <c r="F6" s="9">
        <f>'Charges as $M per year'!G6*1000/'Charges as $ per MWh'!$J6</f>
        <v>9.432740911770793</v>
      </c>
      <c r="G6" s="9">
        <f>'Charges as $M per year'!H6*1000/'Charges as $ per MWh'!$J6</f>
        <v>15.2493859545091</v>
      </c>
      <c r="H6" s="9"/>
      <c r="I6" s="181">
        <f t="shared" ca="1" si="0"/>
        <v>20.032483800718612</v>
      </c>
      <c r="J6" s="9">
        <f>VLOOKUP(B6,Volumes!$B$2:$C$44,2,0)</f>
        <v>107.0976</v>
      </c>
      <c r="K6" s="431">
        <v>0</v>
      </c>
      <c r="L6" s="434" t="s">
        <v>2</v>
      </c>
      <c r="M6" s="179">
        <f t="shared" si="2"/>
        <v>0</v>
      </c>
      <c r="N6" s="433">
        <f t="shared" si="1"/>
        <v>11.92197927691965</v>
      </c>
      <c r="O6" s="9"/>
      <c r="P6" s="360"/>
      <c r="Q6" s="440">
        <f ca="1">'Charges as $M per year'!J6*1000/J6</f>
        <v>17.660358291316353</v>
      </c>
      <c r="R6" s="440">
        <f ca="1">'Charges as $M per year'!K6*1000/J6</f>
        <v>18.265609408145988</v>
      </c>
      <c r="S6" s="462" t="s">
        <v>1672</v>
      </c>
      <c r="T6" s="457">
        <f t="shared" ca="1" si="3"/>
        <v>5.4193563440383584E-2</v>
      </c>
      <c r="U6" s="266">
        <f t="shared" ca="1" si="4"/>
        <v>5.8040005799128247</v>
      </c>
      <c r="V6" s="457">
        <f t="shared" ca="1" si="5"/>
        <v>9.0322605733972647E-2</v>
      </c>
      <c r="W6" s="457">
        <f t="shared" ca="1" si="6"/>
        <v>9.6733342998547087</v>
      </c>
      <c r="X6" s="444">
        <f>SUM('Charges as $M per year'!C4:C32)*1000/J3</f>
        <v>17.855829192266565</v>
      </c>
      <c r="Y6" s="444">
        <f ca="1">1000000*SUM('Charges as $M per year'!D4:D32)/(J3*1000)</f>
        <v>20.032483800718612</v>
      </c>
      <c r="AA6" s="19">
        <f t="shared" si="7"/>
        <v>1276.8153678078299</v>
      </c>
      <c r="AB6" s="19">
        <f t="shared" ca="1" si="8"/>
        <v>1794.1505751254219</v>
      </c>
    </row>
    <row r="7" spans="1:28" ht="15.75" x14ac:dyDescent="0.25">
      <c r="A7" s="328" t="str">
        <f>'Charges as $M per year'!A7</f>
        <v>Centralines</v>
      </c>
      <c r="B7" s="114" t="str">
        <f>'Charges as $M per year'!B7</f>
        <v>Centralines</v>
      </c>
      <c r="C7" s="192">
        <f>'Charges as $M per year'!C7*1000/$J7</f>
        <v>18.096082146493618</v>
      </c>
      <c r="D7" s="192">
        <f ca="1">'Charges as $M per year'!D7*1000/$J7</f>
        <v>13.985627090062998</v>
      </c>
      <c r="E7" s="9">
        <f ca="1">'Charges as $M per year'!$F7*1000/'Charges as $ per MWh'!$J7</f>
        <v>3.6270646075063619</v>
      </c>
      <c r="F7" s="9">
        <f>'Charges as $M per year'!G7*1000/'Charges as $ per MWh'!$J7</f>
        <v>6.407447251176313</v>
      </c>
      <c r="G7" s="9">
        <f>'Charges as $M per year'!H7*1000/'Charges as $ per MWh'!$J7</f>
        <v>10.358562482556636</v>
      </c>
      <c r="H7" s="9"/>
      <c r="I7" s="181">
        <f t="shared" ca="1" si="0"/>
        <v>20.032483800718612</v>
      </c>
      <c r="J7" s="9">
        <f>VLOOKUP(B7,Volumes!$B$2:$C$44,2,0)</f>
        <v>113.2308</v>
      </c>
      <c r="K7" s="431">
        <v>0</v>
      </c>
      <c r="L7" s="432" t="s">
        <v>594</v>
      </c>
      <c r="M7" s="179">
        <f t="shared" si="2"/>
        <v>0</v>
      </c>
      <c r="N7" s="433">
        <f t="shared" si="1"/>
        <v>18.096082146493618</v>
      </c>
      <c r="O7" s="9"/>
      <c r="P7" s="360"/>
      <c r="Q7" s="440">
        <f ca="1">'Charges as $M per year'!J7*1000/J7</f>
        <v>14.60232715228384</v>
      </c>
      <c r="R7" s="440">
        <f ca="1">'Charges as $M per year'!K7*1000/J7</f>
        <v>15.013460527097736</v>
      </c>
      <c r="S7" s="462" t="s">
        <v>1673</v>
      </c>
      <c r="T7" s="457">
        <f t="shared" ca="1" si="3"/>
        <v>4.4095274259029572E-2</v>
      </c>
      <c r="U7" s="266">
        <f t="shared" ca="1" si="4"/>
        <v>4.9929431805693261</v>
      </c>
      <c r="V7" s="457">
        <f t="shared" ca="1" si="5"/>
        <v>7.3492123765049461E-2</v>
      </c>
      <c r="W7" s="457">
        <f t="shared" ca="1" si="6"/>
        <v>8.3215719676155633</v>
      </c>
      <c r="AA7" s="19">
        <f t="shared" si="7"/>
        <v>2049.0338583131897</v>
      </c>
      <c r="AB7" s="19">
        <f t="shared" ca="1" si="8"/>
        <v>1583.6037439095053</v>
      </c>
    </row>
    <row r="8" spans="1:28" ht="15.75" x14ac:dyDescent="0.25">
      <c r="A8" s="328" t="str">
        <f>'Charges as $M per year'!A8</f>
        <v>Counties Power</v>
      </c>
      <c r="B8" s="114" t="str">
        <f>'Charges as $M per year'!B8</f>
        <v>Counties Power</v>
      </c>
      <c r="C8" s="192">
        <f>'Charges as $M per year'!C8*1000/$J8</f>
        <v>17.96692160816341</v>
      </c>
      <c r="D8" s="192">
        <f ca="1">'Charges as $M per year'!D8*1000/J8</f>
        <v>22.035015877098701</v>
      </c>
      <c r="E8" s="9">
        <f ca="1">'Charges as $M per year'!$F8*1000/'Charges as $ per MWh'!$J8</f>
        <v>9.1287004202599675</v>
      </c>
      <c r="F8" s="9">
        <f>'Charges as $M per year'!G8*1000/'Charges as $ per MWh'!$J8</f>
        <v>7.9833988196714607</v>
      </c>
      <c r="G8" s="9">
        <f>'Charges as $M per year'!H8*1000/'Charges as $ per MWh'!$J8</f>
        <v>12.906315456838731</v>
      </c>
      <c r="H8" s="9"/>
      <c r="I8" s="181">
        <f t="shared" ca="1" si="0"/>
        <v>20.032483800718612</v>
      </c>
      <c r="J8" s="9">
        <f>VLOOKUP(B8,Volumes!$B$2:$C$44,2,0)</f>
        <v>566.40549999999996</v>
      </c>
      <c r="K8" s="431">
        <v>0</v>
      </c>
      <c r="L8" s="435" t="s">
        <v>5</v>
      </c>
      <c r="M8" s="179">
        <f t="shared" si="2"/>
        <v>0</v>
      </c>
      <c r="N8" s="433">
        <f t="shared" si="1"/>
        <v>17.96692160816341</v>
      </c>
      <c r="O8" s="9"/>
      <c r="P8" s="360"/>
      <c r="Q8" s="440">
        <f ca="1">'Charges as $M per year'!J8*1000/J8</f>
        <v>22.803397161536328</v>
      </c>
      <c r="R8" s="440">
        <f ca="1">'Charges as $M per year'!K8*1000/J8</f>
        <v>23.31565135116141</v>
      </c>
      <c r="S8" s="462" t="s">
        <v>1673</v>
      </c>
      <c r="T8" s="457">
        <f t="shared" ca="1" si="3"/>
        <v>3.4870920389770008E-2</v>
      </c>
      <c r="U8" s="266">
        <f t="shared" ca="1" si="4"/>
        <v>19.751081098827875</v>
      </c>
      <c r="V8" s="457">
        <f t="shared" ca="1" si="5"/>
        <v>5.8118200649616578E-2</v>
      </c>
      <c r="W8" s="457">
        <f t="shared" ca="1" si="6"/>
        <v>32.918468498046401</v>
      </c>
      <c r="AA8" s="19">
        <f t="shared" si="7"/>
        <v>10176.5632169326</v>
      </c>
      <c r="AB8" s="19">
        <f t="shared" ca="1" si="8"/>
        <v>12480.754185376027</v>
      </c>
    </row>
    <row r="9" spans="1:28" ht="15.75" x14ac:dyDescent="0.25">
      <c r="A9" s="328" t="str">
        <f>'Charges as $M per year'!A9</f>
        <v>Eastland Network</v>
      </c>
      <c r="B9" s="126" t="str">
        <f>'Charges as $M per year'!B9</f>
        <v>Eastland Network</v>
      </c>
      <c r="C9" s="192">
        <f>'Charges as $M per year'!C9*1000/$J9</f>
        <v>17.573854476978823</v>
      </c>
      <c r="D9" s="192">
        <f ca="1">'Charges as $M per year'!D9*1000/J9</f>
        <v>13.760954731542071</v>
      </c>
      <c r="E9" s="9">
        <f ca="1">'Charges as $M per year'!$F9*1000/'Charges as $ per MWh'!$J9</f>
        <v>2.7263511985292741</v>
      </c>
      <c r="F9" s="9">
        <f>'Charges as $M per year'!G9*1000/'Charges as $ per MWh'!$J9</f>
        <v>6.8256227825516458</v>
      </c>
      <c r="G9" s="9">
        <f>'Charges as $M per year'!H9*1000/'Charges as $ per MWh'!$J9</f>
        <v>11.034603533012799</v>
      </c>
      <c r="H9" s="9"/>
      <c r="I9" s="181">
        <f t="shared" ca="1" si="0"/>
        <v>20.032483800718612</v>
      </c>
      <c r="J9" s="9">
        <f>VLOOKUP(B9,Volumes!$B$2:$C$44,2,0)</f>
        <v>302.40199999999999</v>
      </c>
      <c r="K9" s="431">
        <v>2.64550537</v>
      </c>
      <c r="L9" s="432" t="s">
        <v>7</v>
      </c>
      <c r="M9" s="179">
        <f t="shared" si="2"/>
        <v>8.748306459613362</v>
      </c>
      <c r="N9" s="433">
        <f t="shared" si="1"/>
        <v>26.322160936592184</v>
      </c>
      <c r="O9" s="9"/>
      <c r="P9" s="360"/>
      <c r="Q9" s="440">
        <f ca="1">'Charges as $M per year'!J9*1000/J9</f>
        <v>14.417903096419028</v>
      </c>
      <c r="R9" s="440">
        <f ca="1">'Charges as $M per year'!K9*1000/J9</f>
        <v>14.855868673003661</v>
      </c>
      <c r="S9" s="462" t="s">
        <v>1673</v>
      </c>
      <c r="T9" s="457">
        <f t="shared" ca="1" si="3"/>
        <v>4.7740028049880694E-2</v>
      </c>
      <c r="U9" s="266">
        <f t="shared" ca="1" si="4"/>
        <v>14.436679962340021</v>
      </c>
      <c r="V9" s="457">
        <f t="shared" ca="1" si="5"/>
        <v>7.9566713416467441E-2</v>
      </c>
      <c r="W9" s="457">
        <f t="shared" ca="1" si="6"/>
        <v>24.061133270566586</v>
      </c>
      <c r="AA9" s="19">
        <f t="shared" si="7"/>
        <v>5314.3687415473496</v>
      </c>
      <c r="AB9" s="19">
        <f t="shared" ca="1" si="8"/>
        <v>4161.3402327277854</v>
      </c>
    </row>
    <row r="10" spans="1:28" ht="15.75" x14ac:dyDescent="0.25">
      <c r="A10" s="328" t="str">
        <f>'Charges as $M per year'!A10</f>
        <v>Electra</v>
      </c>
      <c r="B10" s="126" t="str">
        <f>'Charges as $M per year'!B10</f>
        <v>Electra</v>
      </c>
      <c r="C10" s="192">
        <f>'Charges as $M per year'!C10*1000/$J10</f>
        <v>14.67676059070342</v>
      </c>
      <c r="D10" s="192">
        <f ca="1">'Charges as $M per year'!D10*1000/J10</f>
        <v>16.894646429145624</v>
      </c>
      <c r="E10" s="9">
        <f ca="1">'Charges as $M per year'!$F10*1000/'Charges as $ per MWh'!$J10</f>
        <v>4.0698871927956928</v>
      </c>
      <c r="F10" s="9">
        <f>'Charges as $M per year'!G10*1000/'Charges as $ per MWh'!$J10</f>
        <v>7.932950972137859</v>
      </c>
      <c r="G10" s="9">
        <f>'Charges as $M per year'!H10*1000/'Charges as $ per MWh'!$J10</f>
        <v>12.824759236349934</v>
      </c>
      <c r="H10" s="9"/>
      <c r="I10" s="181">
        <f t="shared" ca="1" si="0"/>
        <v>20.032483800718612</v>
      </c>
      <c r="J10" s="9">
        <f>VLOOKUP(B10,Volumes!$B$2:$C$44,2,0)</f>
        <v>433.24099999999999</v>
      </c>
      <c r="K10" s="431">
        <v>1.3814254999999998</v>
      </c>
      <c r="L10" s="435" t="s">
        <v>574</v>
      </c>
      <c r="M10" s="179">
        <f t="shared" si="2"/>
        <v>3.1885844137558537</v>
      </c>
      <c r="N10" s="433">
        <f t="shared" si="1"/>
        <v>17.865345004459275</v>
      </c>
      <c r="O10" s="9"/>
      <c r="P10" s="360"/>
      <c r="Q10" s="440">
        <f ca="1">'Charges as $M per year'!J10*1000/J10</f>
        <v>17.658172240023614</v>
      </c>
      <c r="R10" s="440">
        <f ca="1">'Charges as $M per year'!K10*1000/J10</f>
        <v>18.167189447275604</v>
      </c>
      <c r="S10" s="462" t="s">
        <v>1673</v>
      </c>
      <c r="T10" s="457">
        <f t="shared" ca="1" si="3"/>
        <v>4.5193358386050715E-2</v>
      </c>
      <c r="U10" s="266">
        <f t="shared" ca="1" si="4"/>
        <v>19.579615780530997</v>
      </c>
      <c r="V10" s="457">
        <f t="shared" ca="1" si="5"/>
        <v>7.5322263976750972E-2</v>
      </c>
      <c r="W10" s="457">
        <f t="shared" ca="1" si="6"/>
        <v>32.63269296755157</v>
      </c>
      <c r="AA10" s="19">
        <f t="shared" si="7"/>
        <v>6358.5744350769401</v>
      </c>
      <c r="AB10" s="19">
        <f t="shared" ca="1" si="8"/>
        <v>7319.4535136094792</v>
      </c>
    </row>
    <row r="11" spans="1:28" ht="15.75" x14ac:dyDescent="0.25">
      <c r="A11" s="328" t="str">
        <f>'Charges as $M per year'!A11</f>
        <v>Electricity Ashburton</v>
      </c>
      <c r="B11" s="126" t="str">
        <f>'Charges as $M per year'!B11</f>
        <v>Electricity Ashburton</v>
      </c>
      <c r="C11" s="192">
        <f>'Charges as $M per year'!C11*1000/$J11</f>
        <v>5.7932009059769269</v>
      </c>
      <c r="D11" s="192">
        <f ca="1">'Charges as $M per year'!D11*1000/J11</f>
        <v>19.203714789533379</v>
      </c>
      <c r="E11" s="9">
        <f ca="1">'Charges as $M per year'!$F11*1000/'Charges as $ per MWh'!$J11</f>
        <v>1.1488516899914094</v>
      </c>
      <c r="F11" s="9">
        <f>'Charges as $M per year'!G11*1000/'Charges as $ per MWh'!$J11</f>
        <v>11.168111707810256</v>
      </c>
      <c r="G11" s="9">
        <f>'Charges as $M per year'!H11*1000/'Charges as $ per MWh'!$J11</f>
        <v>18.054863099541969</v>
      </c>
      <c r="H11" s="9"/>
      <c r="I11" s="181">
        <f t="shared" ca="1" si="0"/>
        <v>20.032483800718612</v>
      </c>
      <c r="J11" s="9">
        <f>VLOOKUP(B11,Volumes!$B$2:$C$44,2,0)</f>
        <v>627.16189999999995</v>
      </c>
      <c r="K11" s="431">
        <v>1.0925</v>
      </c>
      <c r="L11" s="432" t="s">
        <v>9</v>
      </c>
      <c r="M11" s="179">
        <f t="shared" si="2"/>
        <v>1.7419744407305358</v>
      </c>
      <c r="N11" s="433">
        <f t="shared" si="1"/>
        <v>7.5351753467074625</v>
      </c>
      <c r="O11" s="9"/>
      <c r="P11" s="360"/>
      <c r="Q11" s="440">
        <f ca="1">'Charges as $M per year'!J11*1000/J11</f>
        <v>20.278616371256348</v>
      </c>
      <c r="R11" s="440">
        <f ca="1">'Charges as $M per year'!K11*1000/J11</f>
        <v>20.995217425738328</v>
      </c>
      <c r="S11" s="462" t="s">
        <v>1672</v>
      </c>
      <c r="T11" s="457">
        <f t="shared" ca="1" si="3"/>
        <v>5.5973627681078858E-2</v>
      </c>
      <c r="U11" s="266">
        <f t="shared" ca="1" si="4"/>
        <v>35.104526686358007</v>
      </c>
      <c r="V11" s="457">
        <f t="shared" ca="1" si="5"/>
        <v>9.3289379468464828E-2</v>
      </c>
      <c r="W11" s="457">
        <f t="shared" ca="1" si="6"/>
        <v>58.507544477263387</v>
      </c>
      <c r="AA11" s="19">
        <f t="shared" si="7"/>
        <v>3633.2748872742104</v>
      </c>
      <c r="AB11" s="19">
        <f t="shared" ca="1" si="8"/>
        <v>12043.838254461853</v>
      </c>
    </row>
    <row r="12" spans="1:28" ht="15.75" x14ac:dyDescent="0.25">
      <c r="A12" s="328" t="str">
        <f>'Charges as $M per year'!A12</f>
        <v>Electricity Invercargill</v>
      </c>
      <c r="B12" s="126" t="str">
        <f>'Charges as $M per year'!B12</f>
        <v>Electricity Invercargill</v>
      </c>
      <c r="C12" s="192">
        <f>'Charges as $M per year'!C12*1000/$J12</f>
        <v>21.451836124558053</v>
      </c>
      <c r="D12" s="192">
        <f ca="1">'Charges as $M per year'!D12*1000/J12</f>
        <v>13.920780720118637</v>
      </c>
      <c r="E12" s="9">
        <f ca="1">'Charges as $M per year'!$F12*1000/'Charges as $ per MWh'!$J12</f>
        <v>1.5519791271805568</v>
      </c>
      <c r="F12" s="9">
        <f>'Charges as $M per year'!G12*1000/'Charges as $ per MWh'!$J12</f>
        <v>7.6509113982247969</v>
      </c>
      <c r="G12" s="9">
        <f>'Charges as $M per year'!H12*1000/'Charges as $ per MWh'!$J12</f>
        <v>12.368801592938082</v>
      </c>
      <c r="H12" s="9"/>
      <c r="I12" s="181">
        <f t="shared" ca="1" si="0"/>
        <v>20.032483800718612</v>
      </c>
      <c r="J12" s="9">
        <f>VLOOKUP(B12,Volumes!$B$2:$C$44,2,0)</f>
        <v>257.96260000000001</v>
      </c>
      <c r="K12" s="431">
        <v>0</v>
      </c>
      <c r="L12" s="432" t="s">
        <v>101</v>
      </c>
      <c r="M12" s="179">
        <f t="shared" si="2"/>
        <v>0</v>
      </c>
      <c r="N12" s="433">
        <f t="shared" si="1"/>
        <v>21.451836124558053</v>
      </c>
      <c r="O12" s="9"/>
      <c r="P12" s="360"/>
      <c r="Q12" s="440">
        <f ca="1">'Charges as $M per year'!J12*1000/J12</f>
        <v>14.657160958670763</v>
      </c>
      <c r="R12" s="440">
        <f ca="1">'Charges as $M per year'!K12*1000/J12</f>
        <v>15.148081117705521</v>
      </c>
      <c r="S12" s="462" t="s">
        <v>1672</v>
      </c>
      <c r="T12" s="457">
        <f t="shared" ca="1" si="3"/>
        <v>5.2897912362622895E-2</v>
      </c>
      <c r="U12" s="266">
        <f t="shared" ca="1" si="4"/>
        <v>13.645683007634345</v>
      </c>
      <c r="V12" s="457">
        <f t="shared" ca="1" si="5"/>
        <v>8.8163187271038668E-2</v>
      </c>
      <c r="W12" s="457">
        <f t="shared" ca="1" si="6"/>
        <v>22.742805012724041</v>
      </c>
      <c r="AA12" s="19">
        <f t="shared" si="7"/>
        <v>5533.7714214649195</v>
      </c>
      <c r="AB12" s="19">
        <f t="shared" ca="1" si="8"/>
        <v>3591.0407885916761</v>
      </c>
    </row>
    <row r="13" spans="1:28" ht="15.75" x14ac:dyDescent="0.25">
      <c r="A13" s="328" t="str">
        <f>'Charges as $M per year'!A13</f>
        <v>Horizon</v>
      </c>
      <c r="B13" s="126" t="str">
        <f>'Charges as $M per year'!B13</f>
        <v>Horizon</v>
      </c>
      <c r="C13" s="192">
        <f>'Charges as $M per year'!C13*1000/$J13</f>
        <v>6.5134486019781992</v>
      </c>
      <c r="D13" s="192">
        <f ca="1">'Charges as $M per year'!D13*1000/J13</f>
        <v>13.750816937495188</v>
      </c>
      <c r="E13" s="9">
        <f ca="1">'Charges as $M per year'!$F13*1000/'Charges as $ per MWh'!$J13</f>
        <v>2.8222994536762598</v>
      </c>
      <c r="F13" s="9">
        <f>'Charges as $M per year'!G13*1000/'Charges as $ per MWh'!$J13</f>
        <v>6.7600016343044755</v>
      </c>
      <c r="G13" s="9">
        <f>'Charges as $M per year'!H13*1000/'Charges as $ per MWh'!$J13</f>
        <v>10.928517483818931</v>
      </c>
      <c r="H13" s="9"/>
      <c r="I13" s="181">
        <f t="shared" ca="1" si="0"/>
        <v>20.032483800718612</v>
      </c>
      <c r="J13" s="9">
        <f>VLOOKUP(B13,Volumes!$B$2:$C$44,2,0)</f>
        <v>498.60500000000002</v>
      </c>
      <c r="K13" s="431">
        <v>3.3949570199999997</v>
      </c>
      <c r="L13" s="432" t="s">
        <v>575</v>
      </c>
      <c r="M13" s="179">
        <f t="shared" si="2"/>
        <v>6.8089109014149471</v>
      </c>
      <c r="N13" s="433">
        <f t="shared" si="1"/>
        <v>13.322359503393146</v>
      </c>
      <c r="O13" s="9"/>
      <c r="P13" s="360"/>
      <c r="Q13" s="440">
        <f ca="1">'Charges as $M per year'!J13*1000/J13</f>
        <v>14.401449438250184</v>
      </c>
      <c r="R13" s="440">
        <f ca="1">'Charges as $M per year'!K13*1000/J13</f>
        <v>14.835204438753516</v>
      </c>
      <c r="S13" s="462" t="s">
        <v>1673</v>
      </c>
      <c r="T13" s="457">
        <f t="shared" ca="1" si="3"/>
        <v>4.7315916117018277E-2</v>
      </c>
      <c r="U13" s="266">
        <f t="shared" ca="1" si="4"/>
        <v>23.591952355525898</v>
      </c>
      <c r="V13" s="457">
        <f t="shared" ca="1" si="5"/>
        <v>7.8859860195030551E-2</v>
      </c>
      <c r="W13" s="457">
        <f t="shared" ca="1" si="6"/>
        <v>39.319920592543212</v>
      </c>
      <c r="AA13" s="19">
        <f t="shared" si="7"/>
        <v>3247.6380401893402</v>
      </c>
      <c r="AB13" s="19">
        <f t="shared" ca="1" si="8"/>
        <v>6856.2260791197887</v>
      </c>
    </row>
    <row r="14" spans="1:28" x14ac:dyDescent="0.25">
      <c r="A14" s="328" t="str">
        <f>'Charges as $M per year'!A14</f>
        <v>Lakeland Network</v>
      </c>
      <c r="B14" s="126" t="str">
        <f>'Charges as $M per year'!B14</f>
        <v>Lakeland Network</v>
      </c>
      <c r="C14" s="192">
        <f>'Charges as $M per year'!C14*1000/$J14</f>
        <v>18.542891445609651</v>
      </c>
      <c r="D14" s="192">
        <f ca="1">'Charges as $M per year'!D14*1000/J14</f>
        <v>14.935131314303559</v>
      </c>
      <c r="E14" s="9">
        <f ca="1">'Charges as $M per year'!$F14*1000/'Charges as $ per MWh'!$J14</f>
        <v>0.57095141786362036</v>
      </c>
      <c r="F14" s="9">
        <f>'Charges as $M per year'!G14*1000/'Charges as $ per MWh'!$J14</f>
        <v>8.8851831658913714</v>
      </c>
      <c r="G14" s="9">
        <f>'Charges as $M per year'!H14*1000/'Charges as $ per MWh'!$J14</f>
        <v>14.364179896439936</v>
      </c>
      <c r="H14" s="9"/>
      <c r="I14" s="181">
        <f t="shared" ca="1" si="0"/>
        <v>20.032483800718612</v>
      </c>
      <c r="J14" s="9">
        <f>VLOOKUP(B14,Volumes!$B$2:$C$44,2,0)</f>
        <v>11.131349999999999</v>
      </c>
      <c r="K14" s="436"/>
      <c r="L14" s="429"/>
      <c r="M14" s="179">
        <f t="shared" si="2"/>
        <v>0</v>
      </c>
      <c r="N14" s="433">
        <f t="shared" si="1"/>
        <v>18.542891445609651</v>
      </c>
      <c r="O14" s="9"/>
      <c r="P14" s="360"/>
      <c r="Q14" s="440">
        <f ca="1">'Charges as $M per year'!J14*1000/J14</f>
        <v>15.790306986681175</v>
      </c>
      <c r="R14" s="440">
        <f ca="1">'Charges as $M per year'!K14*1000/J14</f>
        <v>16.360424101599584</v>
      </c>
      <c r="S14" s="462" t="s">
        <v>1672</v>
      </c>
      <c r="T14" s="457">
        <f t="shared" ca="1" si="3"/>
        <v>5.7259334007904138E-2</v>
      </c>
      <c r="U14" s="266">
        <f t="shared" ca="1" si="4"/>
        <v>0.63737368760888369</v>
      </c>
      <c r="V14" s="457">
        <f t="shared" ca="1" si="5"/>
        <v>9.5432223346506778E-2</v>
      </c>
      <c r="W14" s="457">
        <f t="shared" ca="1" si="6"/>
        <v>1.0622894793481381</v>
      </c>
      <c r="AA14" s="19">
        <f t="shared" si="7"/>
        <v>206.40741469308699</v>
      </c>
      <c r="AB14" s="19">
        <f t="shared" ca="1" si="8"/>
        <v>166.24817395547291</v>
      </c>
    </row>
    <row r="15" spans="1:28" x14ac:dyDescent="0.25">
      <c r="A15" s="328" t="str">
        <f>'Charges as $M per year'!A15</f>
        <v>Mainpower</v>
      </c>
      <c r="B15" s="126" t="str">
        <f>'Charges as $M per year'!B15</f>
        <v>Mainpower</v>
      </c>
      <c r="C15" s="192">
        <f>'Charges as $M per year'!C15*1000/$J15</f>
        <v>17.259365788961251</v>
      </c>
      <c r="D15" s="192">
        <f ca="1">'Charges as $M per year'!D15*1000/J15</f>
        <v>15.10737379418992</v>
      </c>
      <c r="E15" s="9">
        <f ca="1">'Charges as $M per year'!$F15*1000/'Charges as $ per MWh'!$J15</f>
        <v>1.7570255056685335</v>
      </c>
      <c r="F15" s="9">
        <f>'Charges as $M per year'!G15*1000/'Charges as $ per MWh'!$J15</f>
        <v>8.2580621189070555</v>
      </c>
      <c r="G15" s="9">
        <f>'Charges as $M per year'!H15*1000/'Charges as $ per MWh'!$J15</f>
        <v>13.35034828852139</v>
      </c>
      <c r="H15" s="9"/>
      <c r="I15" s="181">
        <f t="shared" ca="1" si="0"/>
        <v>20.032483800718612</v>
      </c>
      <c r="J15" s="9">
        <f>VLOOKUP(B15,Volumes!$B$2:$C$44,2,0)</f>
        <v>547.63909999999998</v>
      </c>
      <c r="K15" s="436">
        <v>0.91449999999999998</v>
      </c>
      <c r="L15" s="437" t="s">
        <v>576</v>
      </c>
      <c r="M15" s="179">
        <f t="shared" si="2"/>
        <v>1.6698953745267642</v>
      </c>
      <c r="N15" s="433">
        <f t="shared" si="1"/>
        <v>18.929261163488015</v>
      </c>
      <c r="O15" s="9"/>
      <c r="P15" s="360"/>
      <c r="Q15" s="440">
        <f ca="1">'Charges as $M per year'!J15*1000/J15</f>
        <v>15.902190703781903</v>
      </c>
      <c r="R15" s="440">
        <f ca="1">'Charges as $M per year'!K15*1000/J15</f>
        <v>16.432068643509886</v>
      </c>
      <c r="S15" s="462" t="s">
        <v>1672</v>
      </c>
      <c r="T15" s="457">
        <f t="shared" ca="1" si="3"/>
        <v>5.2611189768645178E-2</v>
      </c>
      <c r="U15" s="266">
        <f t="shared" ca="1" si="4"/>
        <v>28.811944614830054</v>
      </c>
      <c r="V15" s="457">
        <f t="shared" ca="1" si="5"/>
        <v>8.7685316281074954E-2</v>
      </c>
      <c r="W15" s="457">
        <f t="shared" ca="1" si="6"/>
        <v>48.019907691383231</v>
      </c>
      <c r="AA15" s="19">
        <f t="shared" si="7"/>
        <v>9451.903547237529</v>
      </c>
      <c r="AB15" s="19">
        <f t="shared" ca="1" si="8"/>
        <v>8273.3885880137532</v>
      </c>
    </row>
    <row r="16" spans="1:28" ht="15.75" x14ac:dyDescent="0.25">
      <c r="A16" s="328" t="str">
        <f>'Charges as $M per year'!A16</f>
        <v>Marlborough Lines</v>
      </c>
      <c r="B16" s="126" t="str">
        <f>'Charges as $M per year'!B16</f>
        <v>Marlborough Lines</v>
      </c>
      <c r="C16" s="192">
        <f>'Charges as $M per year'!C16*1000/$J16</f>
        <v>16.853410902389928</v>
      </c>
      <c r="D16" s="192">
        <f ca="1">'Charges as $M per year'!D16*1000/J16</f>
        <v>12.599034485958805</v>
      </c>
      <c r="E16" s="9">
        <f ca="1">'Charges as $M per year'!$F16*1000/'Charges as $ per MWh'!$J16</f>
        <v>1.4237112877677387</v>
      </c>
      <c r="F16" s="9">
        <f>'Charges as $M per year'!G16*1000/'Charges as $ per MWh'!$J16</f>
        <v>6.9126670836649788</v>
      </c>
      <c r="G16" s="9">
        <f>'Charges as $M per year'!H16*1000/'Charges as $ per MWh'!$J16</f>
        <v>11.175323198191068</v>
      </c>
      <c r="H16" s="9"/>
      <c r="I16" s="181">
        <f t="shared" ca="1" si="0"/>
        <v>20.032483800718612</v>
      </c>
      <c r="J16" s="9">
        <f>VLOOKUP(B16,Volumes!$B$2:$C$44,2,0)</f>
        <v>391.85289999999998</v>
      </c>
      <c r="K16" s="431">
        <v>0.15587799999999999</v>
      </c>
      <c r="L16" s="435" t="s">
        <v>577</v>
      </c>
      <c r="M16" s="179">
        <f t="shared" si="2"/>
        <v>0.39779723462554445</v>
      </c>
      <c r="N16" s="433">
        <f t="shared" si="1"/>
        <v>17.251208137015471</v>
      </c>
      <c r="O16" s="9"/>
      <c r="P16" s="360"/>
      <c r="Q16" s="440">
        <f ca="1">'Charges as $M per year'!J16*1000/J16</f>
        <v>13.264360637465641</v>
      </c>
      <c r="R16" s="440">
        <f ca="1">'Charges as $M per year'!K16*1000/J16</f>
        <v>13.707911405136862</v>
      </c>
      <c r="S16" s="462" t="s">
        <v>1672</v>
      </c>
      <c r="T16" s="457">
        <f t="shared" ca="1" si="3"/>
        <v>5.2807709372358583E-2</v>
      </c>
      <c r="U16" s="266">
        <f t="shared" ca="1" si="4"/>
        <v>20.692854059915888</v>
      </c>
      <c r="V16" s="457">
        <f t="shared" ca="1" si="5"/>
        <v>8.8012848953930745E-2</v>
      </c>
      <c r="W16" s="457">
        <f t="shared" ca="1" si="6"/>
        <v>34.488090099859726</v>
      </c>
      <c r="AA16" s="19">
        <f t="shared" si="7"/>
        <v>6604.0579369931102</v>
      </c>
      <c r="AB16" s="19">
        <f t="shared" ca="1" si="8"/>
        <v>4936.968200522967</v>
      </c>
    </row>
    <row r="17" spans="1:28" ht="15.75" x14ac:dyDescent="0.25">
      <c r="A17" s="328" t="str">
        <f>'Charges as $M per year'!A17</f>
        <v>Network Tasman</v>
      </c>
      <c r="B17" s="126" t="str">
        <f>'Charges as $M per year'!B17</f>
        <v>Network Tasman</v>
      </c>
      <c r="C17" s="192">
        <f>'Charges as $M per year'!C17*1000/$J17</f>
        <v>14.697353395219174</v>
      </c>
      <c r="D17" s="192">
        <f ca="1">'Charges as $M per year'!D17*1000/J17</f>
        <v>14.117592003864422</v>
      </c>
      <c r="E17" s="9">
        <f ca="1">'Charges as $M per year'!$F17*1000/'Charges as $ per MWh'!$J17</f>
        <v>1.4775215062880387</v>
      </c>
      <c r="F17" s="9">
        <f>'Charges as $M per year'!G17*1000/'Charges as $ per MWh'!$J17</f>
        <v>7.8187089280732911</v>
      </c>
      <c r="G17" s="9">
        <f>'Charges as $M per year'!H17*1000/'Charges as $ per MWh'!$J17</f>
        <v>12.640070497576382</v>
      </c>
      <c r="H17" s="9"/>
      <c r="I17" s="181">
        <f t="shared" ca="1" si="0"/>
        <v>20.032483800718612</v>
      </c>
      <c r="J17" s="9">
        <f>VLOOKUP(B17,Volumes!$B$2:$C$44,2,0)</f>
        <v>729.90309999999999</v>
      </c>
      <c r="K17" s="431">
        <v>7.2999999999999995E-2</v>
      </c>
      <c r="L17" s="432" t="s">
        <v>579</v>
      </c>
      <c r="M17" s="179">
        <f t="shared" si="2"/>
        <v>0.10001327573482015</v>
      </c>
      <c r="N17" s="433">
        <f t="shared" si="1"/>
        <v>14.797366670953995</v>
      </c>
      <c r="O17" s="9"/>
      <c r="P17" s="360"/>
      <c r="Q17" s="440">
        <f ca="1">'Charges as $M per year'!J17*1000/J17</f>
        <v>14.870122316391653</v>
      </c>
      <c r="R17" s="440">
        <f ca="1">'Charges as $M per year'!K17*1000/J17</f>
        <v>15.371809191409806</v>
      </c>
      <c r="S17" s="462" t="s">
        <v>1672</v>
      </c>
      <c r="T17" s="457">
        <f t="shared" ca="1" si="3"/>
        <v>5.3304438343397376E-2</v>
      </c>
      <c r="U17" s="266">
        <f t="shared" ca="1" si="4"/>
        <v>38.907074790604611</v>
      </c>
      <c r="V17" s="457">
        <f t="shared" ca="1" si="5"/>
        <v>8.8840730572328927E-2</v>
      </c>
      <c r="W17" s="457">
        <f t="shared" ca="1" si="6"/>
        <v>64.845124651007652</v>
      </c>
      <c r="AA17" s="19">
        <f t="shared" si="7"/>
        <v>10727.643804966001</v>
      </c>
      <c r="AB17" s="19">
        <f t="shared" ca="1" si="8"/>
        <v>10304.474168155853</v>
      </c>
    </row>
    <row r="18" spans="1:28" ht="15.75" x14ac:dyDescent="0.25">
      <c r="A18" s="328" t="str">
        <f>'Charges as $M per year'!A18</f>
        <v>Network Waitaki</v>
      </c>
      <c r="B18" s="126" t="str">
        <f>'Charges as $M per year'!B18</f>
        <v>Network Waitaki</v>
      </c>
      <c r="C18" s="192">
        <f>'Charges as $M per year'!C18*1000/$J18</f>
        <v>11.907872195541893</v>
      </c>
      <c r="D18" s="192">
        <f ca="1">'Charges as $M per year'!D18*1000/J18</f>
        <v>14.71695122956992</v>
      </c>
      <c r="E18" s="9">
        <f ca="1">'Charges as $M per year'!$F18*1000/'Charges as $ per MWh'!$J18</f>
        <v>1.0840122017108653</v>
      </c>
      <c r="F18" s="9">
        <f>'Charges as $M per year'!G18*1000/'Charges as $ per MWh'!$J18</f>
        <v>8.4328629427690647</v>
      </c>
      <c r="G18" s="9">
        <f>'Charges as $M per year'!H18*1000/'Charges as $ per MWh'!$J18</f>
        <v>13.632939027859052</v>
      </c>
      <c r="H18" s="9"/>
      <c r="I18" s="181">
        <f t="shared" ca="1" si="0"/>
        <v>20.032483800718612</v>
      </c>
      <c r="J18" s="9">
        <f>VLOOKUP(B18,Volumes!$B$2:$C$44,2,0)</f>
        <v>268.9751</v>
      </c>
      <c r="K18" s="431">
        <v>0</v>
      </c>
      <c r="L18" s="435" t="s">
        <v>580</v>
      </c>
      <c r="M18" s="179">
        <f t="shared" si="2"/>
        <v>0</v>
      </c>
      <c r="N18" s="433">
        <f t="shared" si="1"/>
        <v>11.907872195541893</v>
      </c>
      <c r="O18" s="9"/>
      <c r="P18" s="360"/>
      <c r="Q18" s="440">
        <f ca="1">'Charges as $M per year'!J18*1000/J18</f>
        <v>15.528592261893797</v>
      </c>
      <c r="R18" s="440">
        <f ca="1">'Charges as $M per year'!K18*1000/J18</f>
        <v>16.069686283443044</v>
      </c>
      <c r="S18" s="462" t="s">
        <v>1672</v>
      </c>
      <c r="T18" s="457">
        <f t="shared" ca="1" si="3"/>
        <v>5.5150079636949075E-2</v>
      </c>
      <c r="U18" s="266">
        <f t="shared" ca="1" si="4"/>
        <v>14.833998185356341</v>
      </c>
      <c r="V18" s="457">
        <f t="shared" ca="1" si="5"/>
        <v>9.1916799394914844E-2</v>
      </c>
      <c r="W18" s="457">
        <f t="shared" ca="1" si="6"/>
        <v>24.72333030892716</v>
      </c>
      <c r="AA18" s="19">
        <f t="shared" si="7"/>
        <v>3202.9211145831</v>
      </c>
      <c r="AB18" s="19">
        <f t="shared" ca="1" si="8"/>
        <v>3958.4934286686921</v>
      </c>
    </row>
    <row r="19" spans="1:28" ht="15.75" x14ac:dyDescent="0.25">
      <c r="A19" s="328" t="str">
        <f>'Charges as $M per year'!A19</f>
        <v>Northpower</v>
      </c>
      <c r="B19" s="126" t="str">
        <f>'Charges as $M per year'!B19</f>
        <v>Northpower</v>
      </c>
      <c r="C19" s="192">
        <f>'Charges as $M per year'!C19*1000/$J19</f>
        <v>17.168688813887194</v>
      </c>
      <c r="D19" s="192">
        <f ca="1">'Charges as $M per year'!D19*1000/J19</f>
        <v>27.094973065396495</v>
      </c>
      <c r="E19" s="9">
        <f ca="1">'Charges as $M per year'!$F19*1000/'Charges as $ per MWh'!$J19</f>
        <v>16.63994387016405</v>
      </c>
      <c r="F19" s="9">
        <f>'Charges as $M per year'!G19*1000/'Charges as $ per MWh'!$J19</f>
        <v>6.4671182116986321</v>
      </c>
      <c r="G19" s="9">
        <f>'Charges as $M per year'!H19*1000/'Charges as $ per MWh'!$J19</f>
        <v>10.455029195232441</v>
      </c>
      <c r="H19" s="9"/>
      <c r="I19" s="181">
        <f t="shared" ca="1" si="0"/>
        <v>20.032483800718612</v>
      </c>
      <c r="J19" s="9">
        <f>VLOOKUP(B19,Volumes!$B$2:$C$44,2,0)</f>
        <v>758.77530000000002</v>
      </c>
      <c r="K19" s="431">
        <v>3.298</v>
      </c>
      <c r="L19" s="435" t="s">
        <v>581</v>
      </c>
      <c r="M19" s="179">
        <f t="shared" si="2"/>
        <v>4.3464778044303758</v>
      </c>
      <c r="N19" s="433">
        <f t="shared" si="1"/>
        <v>21.515166618317568</v>
      </c>
      <c r="O19" s="9"/>
      <c r="P19" s="360"/>
      <c r="Q19" s="440">
        <f ca="1">'Charges as $M per year'!J19*1000/J19</f>
        <v>27.717416301712159</v>
      </c>
      <c r="R19" s="440">
        <f ca="1">'Charges as $M per year'!K19*1000/J19</f>
        <v>28.132378459255932</v>
      </c>
      <c r="S19" s="462" t="s">
        <v>1673</v>
      </c>
      <c r="T19" s="457">
        <f t="shared" ca="1" si="3"/>
        <v>2.2972646431990682E-2</v>
      </c>
      <c r="U19" s="266">
        <f t="shared" ca="1" si="4"/>
        <v>17.431076688227659</v>
      </c>
      <c r="V19" s="457">
        <f t="shared" ca="1" si="5"/>
        <v>3.8287744053317675E-2</v>
      </c>
      <c r="W19" s="457">
        <f t="shared" ca="1" si="6"/>
        <v>29.051794480379336</v>
      </c>
      <c r="AA19" s="19">
        <f t="shared" si="7"/>
        <v>13027.177005363899</v>
      </c>
      <c r="AB19" s="19">
        <f t="shared" ca="1" si="8"/>
        <v>20558.996316188146</v>
      </c>
    </row>
    <row r="20" spans="1:28" ht="15.75" x14ac:dyDescent="0.25">
      <c r="A20" s="328" t="str">
        <f>'Charges as $M per year'!A20</f>
        <v>Orion</v>
      </c>
      <c r="B20" s="126" t="str">
        <f>'Charges as $M per year'!B20</f>
        <v>Orion</v>
      </c>
      <c r="C20" s="192">
        <f>'Charges as $M per year'!C20*1000/$J20</f>
        <v>19.714557302656988</v>
      </c>
      <c r="D20" s="192">
        <f ca="1">'Charges as $M per year'!D20*1000/J20</f>
        <v>14.678284616844646</v>
      </c>
      <c r="E20" s="9">
        <f ca="1">'Charges as $M per year'!$F20*1000/'Charges as $ per MWh'!$J20</f>
        <v>1.6684734274875548</v>
      </c>
      <c r="F20" s="9">
        <f>'Charges as $M per year'!G20*1000/'Charges as $ per MWh'!$J20</f>
        <v>8.0474176879217527</v>
      </c>
      <c r="G20" s="9">
        <f>'Charges as $M per year'!H20*1000/'Charges as $ per MWh'!$J20</f>
        <v>13.009811189357087</v>
      </c>
      <c r="H20" s="9"/>
      <c r="I20" s="181">
        <f t="shared" ca="1" si="0"/>
        <v>20.032483800718612</v>
      </c>
      <c r="J20" s="9">
        <f>VLOOKUP(B20,Volumes!$B$2:$C$44,2,0)</f>
        <v>3241.8319999999999</v>
      </c>
      <c r="K20" s="431">
        <v>1.2258154999999999</v>
      </c>
      <c r="L20" s="432" t="s">
        <v>582</v>
      </c>
      <c r="M20" s="179">
        <f t="shared" si="2"/>
        <v>0.3781243136596838</v>
      </c>
      <c r="N20" s="433">
        <f t="shared" si="1"/>
        <v>20.092681616316671</v>
      </c>
      <c r="O20" s="9"/>
      <c r="P20" s="360"/>
      <c r="Q20" s="440">
        <f ca="1">'Charges as $M per year'!J20*1000/J20</f>
        <v>15.452827550139549</v>
      </c>
      <c r="R20" s="440">
        <f ca="1">'Charges as $M per year'!K20*1000/J20</f>
        <v>15.969189505669485</v>
      </c>
      <c r="S20" s="462" t="s">
        <v>1672</v>
      </c>
      <c r="T20" s="457">
        <f t="shared" ca="1" si="3"/>
        <v>5.276794622213863E-2</v>
      </c>
      <c r="U20" s="266">
        <f t="shared" ca="1" si="4"/>
        <v>171.06481663720811</v>
      </c>
      <c r="V20" s="457">
        <f t="shared" ca="1" si="5"/>
        <v>8.7946577036897747E-2</v>
      </c>
      <c r="W20" s="457">
        <f t="shared" ca="1" si="6"/>
        <v>285.10802772868027</v>
      </c>
      <c r="AA20" s="19">
        <f t="shared" si="7"/>
        <v>63911.28272958711</v>
      </c>
      <c r="AB20" s="19">
        <f t="shared" ca="1" si="8"/>
        <v>47584.53277599471</v>
      </c>
    </row>
    <row r="21" spans="1:28" ht="15.75" x14ac:dyDescent="0.25">
      <c r="A21" s="328" t="str">
        <f>'Charges as $M per year'!A21</f>
        <v>OtagoNet JV</v>
      </c>
      <c r="B21" s="126" t="str">
        <f>'Charges as $M per year'!B21</f>
        <v>OtagoNet JV</v>
      </c>
      <c r="C21" s="192">
        <f>'Charges as $M per year'!C21*1000/$J21</f>
        <v>9.3559409689177997</v>
      </c>
      <c r="D21" s="192">
        <f ca="1">'Charges as $M per year'!D21*1000/J21</f>
        <v>11.112889384313535</v>
      </c>
      <c r="E21" s="9">
        <f ca="1">'Charges as $M per year'!$F21*1000/'Charges as $ per MWh'!$J21</f>
        <v>1.2038695087265789</v>
      </c>
      <c r="F21" s="9">
        <f>'Charges as $M per year'!G21*1000/'Charges as $ per MWh'!$J21</f>
        <v>6.1293757961684392</v>
      </c>
      <c r="G21" s="9">
        <f>'Charges as $M per year'!H21*1000/'Charges as $ per MWh'!$J21</f>
        <v>9.9090198755869565</v>
      </c>
      <c r="H21" s="9"/>
      <c r="I21" s="181">
        <f t="shared" ca="1" si="0"/>
        <v>20.032483800718612</v>
      </c>
      <c r="J21" s="9">
        <f>VLOOKUP(B21,Volumes!$B$2:$C$44,2,0)</f>
        <v>424.68549999999999</v>
      </c>
      <c r="K21" s="431">
        <v>1.0174785</v>
      </c>
      <c r="L21" s="432" t="s">
        <v>583</v>
      </c>
      <c r="M21" s="179">
        <f t="shared" si="2"/>
        <v>2.3958399804090322</v>
      </c>
      <c r="N21" s="433">
        <f t="shared" si="1"/>
        <v>11.751780949326832</v>
      </c>
      <c r="O21" s="9"/>
      <c r="P21" s="360"/>
      <c r="Q21" s="440">
        <f ca="1">'Charges as $M per year'!J21*1000/J21</f>
        <v>11.702825795288756</v>
      </c>
      <c r="R21" s="440">
        <f ca="1">'Charges as $M per year'!K21*1000/J21</f>
        <v>12.096116735938907</v>
      </c>
      <c r="S21" s="462" t="s">
        <v>1672</v>
      </c>
      <c r="T21" s="457">
        <f t="shared" ca="1" si="3"/>
        <v>5.3085780895826239E-2</v>
      </c>
      <c r="U21" s="266">
        <f t="shared" ca="1" si="4"/>
        <v>22.544761402634414</v>
      </c>
      <c r="V21" s="457">
        <f t="shared" ca="1" si="5"/>
        <v>8.8476301493043946E-2</v>
      </c>
      <c r="W21" s="457">
        <f t="shared" ca="1" si="6"/>
        <v>37.574602337724116</v>
      </c>
      <c r="AA21" s="19">
        <f t="shared" si="7"/>
        <v>3973.3324683553401</v>
      </c>
      <c r="AB21" s="19">
        <f t="shared" ca="1" si="8"/>
        <v>4719.4829846218854</v>
      </c>
    </row>
    <row r="22" spans="1:28" ht="15.75" x14ac:dyDescent="0.25">
      <c r="A22" s="328" t="str">
        <f>'Charges as $M per year'!A22</f>
        <v>Powerco</v>
      </c>
      <c r="B22" s="126" t="str">
        <f>'Charges as $M per year'!B22</f>
        <v>Powerco</v>
      </c>
      <c r="C22" s="192">
        <f>'Charges as $M per year'!C22*1000/$J22</f>
        <v>16.933916275753671</v>
      </c>
      <c r="D22" s="192">
        <f ca="1">'Charges as $M per year'!D22*1000/J22</f>
        <v>16.550368676238417</v>
      </c>
      <c r="E22" s="9">
        <f ca="1">'Charges as $M per year'!$F22*1000/'Charges as $ per MWh'!$J22</f>
        <v>3.6576167821725125</v>
      </c>
      <c r="F22" s="9">
        <f>'Charges as $M per year'!G22*1000/'Charges as $ per MWh'!$J22</f>
        <v>7.9750088704723048</v>
      </c>
      <c r="G22" s="9">
        <f>'Charges as $M per year'!H22*1000/'Charges as $ per MWh'!$J22</f>
        <v>12.892751894065904</v>
      </c>
      <c r="H22" s="9"/>
      <c r="I22" s="181">
        <f t="shared" ca="1" si="0"/>
        <v>20.032483800718612</v>
      </c>
      <c r="J22" s="9">
        <f>VLOOKUP(B22,Volumes!$B$2:$C$44,2,0)</f>
        <v>4383.1869999999999</v>
      </c>
      <c r="K22" s="431">
        <v>9.2052942900000012</v>
      </c>
      <c r="L22" s="432" t="s">
        <v>584</v>
      </c>
      <c r="M22" s="179">
        <f t="shared" si="2"/>
        <v>2.1001372494488599</v>
      </c>
      <c r="N22" s="433">
        <f t="shared" si="1"/>
        <v>19.03405352520253</v>
      </c>
      <c r="O22" s="9"/>
      <c r="P22" s="360"/>
      <c r="Q22" s="440">
        <f ca="1">'Charges as $M per year'!J22*1000/J22</f>
        <v>17.317942449979455</v>
      </c>
      <c r="R22" s="440">
        <f ca="1">'Charges as $M per year'!K22*1000/J22</f>
        <v>17.829658299140149</v>
      </c>
      <c r="S22" s="462" t="s">
        <v>1673</v>
      </c>
      <c r="T22" s="457">
        <f t="shared" ca="1" si="3"/>
        <v>4.6378046843334297E-2</v>
      </c>
      <c r="U22" s="266">
        <f t="shared" ca="1" si="4"/>
        <v>203.28365200909391</v>
      </c>
      <c r="V22" s="457">
        <f t="shared" ca="1" si="5"/>
        <v>7.7296744738890644E-2</v>
      </c>
      <c r="W22" s="457">
        <f t="shared" ca="1" si="6"/>
        <v>338.80608668182384</v>
      </c>
      <c r="AA22" s="19">
        <f t="shared" si="7"/>
        <v>74224.521678971898</v>
      </c>
      <c r="AB22" s="19">
        <f t="shared" ca="1" si="8"/>
        <v>72543.360826895441</v>
      </c>
    </row>
    <row r="23" spans="1:28" ht="15.75" x14ac:dyDescent="0.25">
      <c r="A23" s="328" t="str">
        <f>'Charges as $M per year'!A23</f>
        <v>Scanpower</v>
      </c>
      <c r="B23" s="126" t="str">
        <f>'Charges as $M per year'!B23</f>
        <v>Scanpower</v>
      </c>
      <c r="C23" s="192">
        <f>'Charges as $M per year'!C23*1000/$J23</f>
        <v>18.15965357724091</v>
      </c>
      <c r="D23" s="192">
        <f ca="1">'Charges as $M per year'!D23*1000/J23</f>
        <v>14.238863313471661</v>
      </c>
      <c r="E23" s="9">
        <f ca="1">'Charges as $M per year'!$F23*1000/'Charges as $ per MWh'!$J23</f>
        <v>3.655018598920531</v>
      </c>
      <c r="F23" s="9">
        <f>'Charges as $M per year'!G23*1000/'Charges as $ per MWh'!$J23</f>
        <v>6.5467990213242224</v>
      </c>
      <c r="G23" s="9">
        <f>'Charges as $M per year'!H23*1000/'Charges as $ per MWh'!$J23</f>
        <v>10.58384471455113</v>
      </c>
      <c r="H23" s="9"/>
      <c r="I23" s="181">
        <f t="shared" ca="1" si="0"/>
        <v>20.032483800718612</v>
      </c>
      <c r="J23" s="9">
        <f>VLOOKUP(B23,Volumes!$B$2:$C$44,2,0)</f>
        <v>83.397450000000006</v>
      </c>
      <c r="K23" s="431">
        <v>0</v>
      </c>
      <c r="L23" s="435" t="s">
        <v>585</v>
      </c>
      <c r="M23" s="179">
        <f t="shared" si="2"/>
        <v>0</v>
      </c>
      <c r="N23" s="433">
        <f t="shared" si="1"/>
        <v>18.15965357724091</v>
      </c>
      <c r="O23" s="9"/>
      <c r="P23" s="360"/>
      <c r="Q23" s="440">
        <f ca="1">'Charges as $M per year'!J23*1000/J23</f>
        <v>14.86897561959432</v>
      </c>
      <c r="R23" s="440">
        <f ca="1">'Charges as $M per year'!K23*1000/J23</f>
        <v>15.28905049034276</v>
      </c>
      <c r="S23" s="462" t="s">
        <v>1673</v>
      </c>
      <c r="T23" s="457">
        <f t="shared" ca="1" si="3"/>
        <v>4.4252992127995008E-2</v>
      </c>
      <c r="U23" s="266">
        <f t="shared" ca="1" si="4"/>
        <v>3.6905866983448576</v>
      </c>
      <c r="V23" s="457">
        <f t="shared" ca="1" si="5"/>
        <v>7.3754986879991769E-2</v>
      </c>
      <c r="W23" s="457">
        <f t="shared" ca="1" si="6"/>
        <v>6.15097783057477</v>
      </c>
      <c r="AA23" s="19">
        <f t="shared" si="7"/>
        <v>1514.46880122527</v>
      </c>
      <c r="AB23" s="19">
        <f t="shared" ca="1" si="8"/>
        <v>1187.4848912420873</v>
      </c>
    </row>
    <row r="24" spans="1:28" ht="15.75" x14ac:dyDescent="0.25">
      <c r="A24" s="328" t="str">
        <f>'Charges as $M per year'!A24</f>
        <v>The Lines Company</v>
      </c>
      <c r="B24" s="126" t="str">
        <f>'Charges as $M per year'!B24</f>
        <v>The Lines Company</v>
      </c>
      <c r="C24" s="192">
        <f>'Charges as $M per year'!C24*1000/$J24</f>
        <v>12.646163993604523</v>
      </c>
      <c r="D24" s="192">
        <f ca="1">'Charges as $M per year'!D24*1000/J24</f>
        <v>17.798961111696013</v>
      </c>
      <c r="E24" s="9">
        <f ca="1">'Charges as $M per year'!$F24*1000/'Charges as $ per MWh'!$J24</f>
        <v>2.7716608423769524</v>
      </c>
      <c r="F24" s="9">
        <f>'Charges as $M per year'!G24*1000/'Charges as $ per MWh'!$J24</f>
        <v>9.2953664145379182</v>
      </c>
      <c r="G24" s="9">
        <f>'Charges as $M per year'!H24*1000/'Charges as $ per MWh'!$J24</f>
        <v>15.02730026931906</v>
      </c>
      <c r="H24" s="9"/>
      <c r="I24" s="181">
        <f t="shared" ca="1" si="0"/>
        <v>20.032483800718612</v>
      </c>
      <c r="J24" s="9">
        <f>VLOOKUP(B24,Volumes!$B$2:$C$44,2,0)</f>
        <v>291.24799999999999</v>
      </c>
      <c r="K24" s="431">
        <v>1.3505178599999998</v>
      </c>
      <c r="L24" s="432" t="s">
        <v>32</v>
      </c>
      <c r="M24" s="179">
        <f t="shared" si="2"/>
        <v>4.6370030352139748</v>
      </c>
      <c r="N24" s="433">
        <f t="shared" si="1"/>
        <v>17.283167028818497</v>
      </c>
      <c r="O24" s="9"/>
      <c r="P24" s="360"/>
      <c r="Q24" s="440">
        <f ca="1">'Charges as $M per year'!J24*1000/J24</f>
        <v>18.693615850392248</v>
      </c>
      <c r="R24" s="440">
        <f ca="1">'Charges as $M per year'!K24*1000/J24</f>
        <v>19.290052342856409</v>
      </c>
      <c r="S24" s="462" t="s">
        <v>1673</v>
      </c>
      <c r="T24" s="457">
        <f t="shared" ca="1" si="3"/>
        <v>5.0264435833187043E-2</v>
      </c>
      <c r="U24" s="266">
        <f t="shared" ca="1" si="4"/>
        <v>14.63941640754406</v>
      </c>
      <c r="V24" s="457">
        <f t="shared" ca="1" si="5"/>
        <v>8.3774059721978614E-2</v>
      </c>
      <c r="W24" s="457">
        <f t="shared" ca="1" si="6"/>
        <v>24.399027345906827</v>
      </c>
      <c r="AA24" s="19">
        <f t="shared" si="7"/>
        <v>3683.1699708093297</v>
      </c>
      <c r="AB24" s="19">
        <f t="shared" ca="1" si="8"/>
        <v>5183.9118258592398</v>
      </c>
    </row>
    <row r="25" spans="1:28" ht="15.75" x14ac:dyDescent="0.25">
      <c r="A25" s="328" t="str">
        <f>'Charges as $M per year'!A25</f>
        <v>The Power Company</v>
      </c>
      <c r="B25" s="126" t="str">
        <f>'Charges as $M per year'!B25</f>
        <v>The Power Company</v>
      </c>
      <c r="C25" s="192">
        <f>'Charges as $M per year'!C25*1000/$J25</f>
        <v>12.550152669445314</v>
      </c>
      <c r="D25" s="192">
        <f ca="1">'Charges as $M per year'!D25*1000/J25</f>
        <v>13.014451625869663</v>
      </c>
      <c r="E25" s="9">
        <f ca="1">'Charges as $M per year'!$F25*1000/'Charges as $ per MWh'!$J25</f>
        <v>1.428900314112477</v>
      </c>
      <c r="F25" s="9">
        <f>'Charges as $M per year'!G25*1000/'Charges as $ per MWh'!$J25</f>
        <v>7.1664199574880385</v>
      </c>
      <c r="G25" s="9">
        <f>'Charges as $M per year'!H25*1000/'Charges as $ per MWh'!$J25</f>
        <v>11.585551311757186</v>
      </c>
      <c r="H25" s="9"/>
      <c r="I25" s="181">
        <f t="shared" ca="1" si="0"/>
        <v>20.032483800718612</v>
      </c>
      <c r="J25" s="9">
        <f>VLOOKUP(B25,Volumes!$B$2:$C$44,2,0)</f>
        <v>773.01859999999999</v>
      </c>
      <c r="K25" s="431">
        <v>2.1408615000000002</v>
      </c>
      <c r="L25" s="435" t="s">
        <v>105</v>
      </c>
      <c r="M25" s="179">
        <f t="shared" si="2"/>
        <v>2.7694825195667998</v>
      </c>
      <c r="N25" s="433">
        <f t="shared" si="1"/>
        <v>15.319635189012114</v>
      </c>
      <c r="O25" s="9"/>
      <c r="P25" s="360"/>
      <c r="Q25" s="440">
        <f ca="1">'Charges as $M per year'!J25*1000/J25</f>
        <v>13.704200828701138</v>
      </c>
      <c r="R25" s="440">
        <f ca="1">'Charges as $M per year'!K25*1000/J25</f>
        <v>14.164033630588783</v>
      </c>
      <c r="S25" s="462" t="s">
        <v>1672</v>
      </c>
      <c r="T25" s="457">
        <f t="shared" ca="1" si="3"/>
        <v>5.2998714249351563E-2</v>
      </c>
      <c r="U25" s="266">
        <f t="shared" ca="1" si="4"/>
        <v>40.968991890833799</v>
      </c>
      <c r="V25" s="457">
        <f t="shared" ca="1" si="5"/>
        <v>8.8331190415585528E-2</v>
      </c>
      <c r="W25" s="457">
        <f t="shared" ca="1" si="6"/>
        <v>68.281653151389349</v>
      </c>
      <c r="X25" s="265"/>
      <c r="AA25" s="19">
        <f t="shared" si="7"/>
        <v>9701.501446320879</v>
      </c>
      <c r="AB25" s="19">
        <f t="shared" ca="1" si="8"/>
        <v>10060.41317559749</v>
      </c>
    </row>
    <row r="26" spans="1:28" ht="15.75" x14ac:dyDescent="0.25">
      <c r="A26" s="328" t="str">
        <f>'Charges as $M per year'!A26</f>
        <v>Top Energy</v>
      </c>
      <c r="B26" s="126" t="str">
        <f>'Charges as $M per year'!B26</f>
        <v>Top Energy</v>
      </c>
      <c r="C26" s="192">
        <f>'Charges as $M per year'!C26*1000/$J26</f>
        <v>11.971351998830519</v>
      </c>
      <c r="D26" s="192">
        <f ca="1">'Charges as $M per year'!D26*1000/J26</f>
        <v>26.323624469272961</v>
      </c>
      <c r="E26" s="9">
        <f ca="1">'Charges as $M per year'!$F26*1000/'Charges as $ per MWh'!$J26</f>
        <v>14.738717110905403</v>
      </c>
      <c r="F26" s="9">
        <f>'Charges as $M per year'!G26*1000/'Charges as $ per MWh'!$J26</f>
        <v>7.1660216302700253</v>
      </c>
      <c r="G26" s="9">
        <f>'Charges as $M per year'!H26*1000/'Charges as $ per MWh'!$J26</f>
        <v>11.584907358367552</v>
      </c>
      <c r="H26" s="9"/>
      <c r="I26" s="181">
        <f t="shared" ca="1" si="0"/>
        <v>20.032483800718612</v>
      </c>
      <c r="J26" s="9">
        <f>VLOOKUP(B26,Volumes!$B$2:$C$44,2,0)</f>
        <v>358.34750000000003</v>
      </c>
      <c r="K26" s="431">
        <v>3.9469162283041488</v>
      </c>
      <c r="L26" s="432" t="s">
        <v>586</v>
      </c>
      <c r="M26" s="179">
        <f t="shared" si="2"/>
        <v>11.01421449376415</v>
      </c>
      <c r="N26" s="433">
        <f t="shared" si="1"/>
        <v>22.985566492594671</v>
      </c>
      <c r="O26" s="9"/>
      <c r="P26" s="360"/>
      <c r="Q26" s="440">
        <f ca="1">'Charges as $M per year'!J26*1000/J26</f>
        <v>27.013335334150092</v>
      </c>
      <c r="R26" s="440">
        <f ca="1">'Charges as $M per year'!K26*1000/J26</f>
        <v>27.473142577401514</v>
      </c>
      <c r="S26" s="462" t="s">
        <v>1673</v>
      </c>
      <c r="T26" s="457">
        <f t="shared" ca="1" si="3"/>
        <v>2.6201211982879377E-2</v>
      </c>
      <c r="U26" s="266">
        <f t="shared" ca="1" si="4"/>
        <v>9.3891388110348686</v>
      </c>
      <c r="V26" s="457">
        <f t="shared" ca="1" si="5"/>
        <v>4.3668686638132344E-2</v>
      </c>
      <c r="W26" s="457">
        <f t="shared" ca="1" si="6"/>
        <v>15.648564685058131</v>
      </c>
      <c r="AA26" s="19">
        <f t="shared" si="7"/>
        <v>4289.9040604009197</v>
      </c>
      <c r="AB26" s="19">
        <f t="shared" ca="1" si="8"/>
        <v>9433.0050195027925</v>
      </c>
    </row>
    <row r="27" spans="1:28" ht="15.75" x14ac:dyDescent="0.25">
      <c r="A27" s="328" t="str">
        <f>'Charges as $M per year'!A27</f>
        <v>Unison</v>
      </c>
      <c r="B27" s="114" t="str">
        <f>'Charges as $M per year'!B27</f>
        <v>Unison</v>
      </c>
      <c r="C27" s="192">
        <f>'Charges as $M per year'!C27*1000/$J27</f>
        <v>18.730449706185677</v>
      </c>
      <c r="D27" s="192">
        <f ca="1">'Charges as $M per year'!D27*1000/J27</f>
        <v>15.210456209164153</v>
      </c>
      <c r="E27" s="9">
        <f ca="1">'Charges as $M per year'!$F27*1000/'Charges as $ per MWh'!$J27</f>
        <v>3.081562811914496</v>
      </c>
      <c r="F27" s="9">
        <f>'Charges as $M per year'!G27*1000/'Charges as $ per MWh'!$J27</f>
        <v>7.5025125145392435</v>
      </c>
      <c r="G27" s="9">
        <f>'Charges as $M per year'!H27*1000/'Charges as $ per MWh'!$J27</f>
        <v>12.128893397249659</v>
      </c>
      <c r="H27" s="9"/>
      <c r="I27" s="181">
        <f t="shared" ca="1" si="0"/>
        <v>20.032483800718612</v>
      </c>
      <c r="J27" s="9">
        <f>VLOOKUP(B27,Volumes!$B$2:$C$44,2,0)</f>
        <v>1630.153</v>
      </c>
      <c r="K27" s="431">
        <v>5.9971291649999952</v>
      </c>
      <c r="L27" s="432" t="s">
        <v>587</v>
      </c>
      <c r="M27" s="179">
        <f t="shared" si="2"/>
        <v>3.6788750289083265</v>
      </c>
      <c r="N27" s="433">
        <f t="shared" si="1"/>
        <v>22.409324735094003</v>
      </c>
      <c r="O27" s="9"/>
      <c r="P27" s="360"/>
      <c r="Q27" s="440">
        <f ca="1">'Charges as $M per year'!J27*1000/J27</f>
        <v>15.932553442766755</v>
      </c>
      <c r="R27" s="440">
        <f ca="1">'Charges as $M per year'!K27*1000/J27</f>
        <v>16.413951598501825</v>
      </c>
      <c r="S27" s="462" t="s">
        <v>1673</v>
      </c>
      <c r="T27" s="457">
        <f t="shared" ca="1" si="3"/>
        <v>4.7473739358819843E-2</v>
      </c>
      <c r="U27" s="266">
        <f t="shared" ca="1" si="4"/>
        <v>77.389458636998242</v>
      </c>
      <c r="V27" s="457">
        <f t="shared" ca="1" si="5"/>
        <v>7.9122898931366523E-2</v>
      </c>
      <c r="W27" s="457">
        <f t="shared" ca="1" si="6"/>
        <v>128.98243106166393</v>
      </c>
      <c r="AA27" s="19">
        <f t="shared" si="7"/>
        <v>30533.498779887701</v>
      </c>
      <c r="AB27" s="19">
        <f t="shared" ca="1" si="8"/>
        <v>24795.370820737571</v>
      </c>
    </row>
    <row r="28" spans="1:28" ht="15.75" x14ac:dyDescent="0.25">
      <c r="A28" s="328" t="str">
        <f>'Charges as $M per year'!A28</f>
        <v>Vector</v>
      </c>
      <c r="B28" s="114" t="str">
        <f>'Charges as $M per year'!B28</f>
        <v>Vector</v>
      </c>
      <c r="C28" s="192">
        <f>'Charges as $M per year'!C28*1000/$J28</f>
        <v>21.250022006241686</v>
      </c>
      <c r="D28" s="192">
        <f ca="1">'Charges as $M per year'!D28*1000/J28</f>
        <v>30.527988219335274</v>
      </c>
      <c r="E28" s="9">
        <f ca="1">'Charges as $M per year'!$F28*1000/'Charges as $ per MWh'!$J28</f>
        <v>15.574747408011138</v>
      </c>
      <c r="F28" s="9">
        <f>'Charges as $M per year'!G28*1000/'Charges as $ per MWh'!$J28</f>
        <v>9.2495558041030943</v>
      </c>
      <c r="G28" s="9">
        <f>'Charges as $M per year'!H28*1000/'Charges as $ per MWh'!$J28</f>
        <v>14.953240811324132</v>
      </c>
      <c r="H28" s="9"/>
      <c r="I28" s="181">
        <f t="shared" ca="1" si="0"/>
        <v>20.032483800718612</v>
      </c>
      <c r="J28" s="9">
        <f>VLOOKUP(B28,Volumes!$B$2:$C$44,2,0)</f>
        <v>8414.0769999999993</v>
      </c>
      <c r="K28" s="431">
        <v>9.4745000000000008</v>
      </c>
      <c r="L28" s="432" t="s">
        <v>588</v>
      </c>
      <c r="M28" s="179">
        <f t="shared" si="2"/>
        <v>1.1260296286806029</v>
      </c>
      <c r="N28" s="433">
        <f t="shared" si="1"/>
        <v>22.376051634922288</v>
      </c>
      <c r="O28" s="9"/>
      <c r="P28" s="360"/>
      <c r="Q28" s="440">
        <f ca="1">'Charges as $M per year'!J28*1000/J28</f>
        <v>31.418233806430568</v>
      </c>
      <c r="R28" s="440">
        <f ca="1">'Charges as $M per year'!K28*1000/J28</f>
        <v>32.011730864494091</v>
      </c>
      <c r="S28" s="462" t="s">
        <v>1673</v>
      </c>
      <c r="T28" s="457">
        <f t="shared" ca="1" si="3"/>
        <v>2.9161619845340662E-2</v>
      </c>
      <c r="U28" s="266">
        <f t="shared" ca="1" si="4"/>
        <v>245.36811482342441</v>
      </c>
      <c r="V28" s="457">
        <f t="shared" ca="1" si="5"/>
        <v>4.8602699742234239E-2</v>
      </c>
      <c r="W28" s="457">
        <f t="shared" ca="1" si="6"/>
        <v>408.946858039039</v>
      </c>
      <c r="AA28" s="19">
        <f t="shared" si="7"/>
        <v>178799.32141221201</v>
      </c>
      <c r="AB28" s="19">
        <f t="shared" ca="1" si="8"/>
        <v>256864.84353257986</v>
      </c>
    </row>
    <row r="29" spans="1:28" ht="15.75" x14ac:dyDescent="0.25">
      <c r="A29" s="328" t="str">
        <f>'Charges as $M per year'!A29</f>
        <v>Waipa Power</v>
      </c>
      <c r="B29" s="114" t="str">
        <f>'Charges as $M per year'!B29</f>
        <v>Waipa Power</v>
      </c>
      <c r="C29" s="192">
        <f>'Charges as $M per year'!C29*1000/$J29</f>
        <v>17.110783137975556</v>
      </c>
      <c r="D29" s="192">
        <f ca="1">'Charges as $M per year'!D29*1000/J29</f>
        <v>15.863271349640497</v>
      </c>
      <c r="E29" s="9">
        <f ca="1">'Charges as $M per year'!$F29*1000/'Charges as $ per MWh'!$J29</f>
        <v>4.0540582888289975</v>
      </c>
      <c r="F29" s="9">
        <f>'Charges as $M per year'!G29*1000/'Charges as $ per MWh'!$J29</f>
        <v>7.304769353129049</v>
      </c>
      <c r="G29" s="9">
        <f>'Charges as $M per year'!H29*1000/'Charges as $ per MWh'!$J29</f>
        <v>11.809213060811501</v>
      </c>
      <c r="H29" s="9"/>
      <c r="I29" s="181">
        <f t="shared" ca="1" si="0"/>
        <v>20.032483800718612</v>
      </c>
      <c r="J29" s="9">
        <f>VLOOKUP(B29,Volumes!$B$2:$C$44,2,0)</f>
        <v>376.82319999999999</v>
      </c>
      <c r="K29" s="431">
        <v>0</v>
      </c>
      <c r="L29" s="435" t="s">
        <v>589</v>
      </c>
      <c r="M29" s="179">
        <f t="shared" si="2"/>
        <v>0</v>
      </c>
      <c r="N29" s="433">
        <f t="shared" si="1"/>
        <v>17.110783137975556</v>
      </c>
      <c r="O29" s="9"/>
      <c r="P29" s="360"/>
      <c r="Q29" s="440">
        <f ca="1">'Charges as $M per year'!J29*1000/J29</f>
        <v>16.566336320445615</v>
      </c>
      <c r="R29" s="440">
        <f ca="1">'Charges as $M per year'!K29*1000/J29</f>
        <v>17.035046300982359</v>
      </c>
      <c r="S29" s="462" t="s">
        <v>1673</v>
      </c>
      <c r="T29" s="457">
        <f t="shared" ca="1" si="3"/>
        <v>4.4320301614272695E-2</v>
      </c>
      <c r="U29" s="266">
        <f t="shared" ca="1" si="4"/>
        <v>16.700917879255403</v>
      </c>
      <c r="V29" s="457">
        <f t="shared" ca="1" si="5"/>
        <v>7.3867169357121079E-2</v>
      </c>
      <c r="W29" s="457">
        <f t="shared" ca="1" si="6"/>
        <v>27.834863132092305</v>
      </c>
      <c r="AA29" s="19">
        <f t="shared" si="7"/>
        <v>6447.7400565579901</v>
      </c>
      <c r="AB29" s="19">
        <f t="shared" ca="1" si="8"/>
        <v>5977.648672439851</v>
      </c>
    </row>
    <row r="30" spans="1:28" ht="15.75" x14ac:dyDescent="0.25">
      <c r="A30" s="328" t="str">
        <f>'Charges as $M per year'!A30</f>
        <v>WEL Networks</v>
      </c>
      <c r="B30" s="114" t="str">
        <f>'Charges as $M per year'!B30</f>
        <v>WEL</v>
      </c>
      <c r="C30" s="192">
        <f>'Charges as $M per year'!C30*1000/$J30</f>
        <v>15.839899810180441</v>
      </c>
      <c r="D30" s="192">
        <f ca="1">'Charges as $M per year'!D30*1000/J30</f>
        <v>17.780832855539657</v>
      </c>
      <c r="E30" s="9">
        <f ca="1">'Charges as $M per year'!$F30*1000/'Charges as $ per MWh'!$J30</f>
        <v>4.4966589985279182</v>
      </c>
      <c r="F30" s="9">
        <f>'Charges as $M per year'!G30*1000/'Charges as $ per MWh'!$J30</f>
        <v>8.2171289122011348</v>
      </c>
      <c r="G30" s="9">
        <f>'Charges as $M per year'!H30*1000/'Charges as $ per MWh'!$J30</f>
        <v>13.284173857011737</v>
      </c>
      <c r="H30" s="9"/>
      <c r="I30" s="181">
        <f t="shared" ca="1" si="0"/>
        <v>20.032483800718612</v>
      </c>
      <c r="J30" s="9">
        <f>VLOOKUP(B30,Volumes!$B$2:$C$44,2,0)</f>
        <v>1244.671</v>
      </c>
      <c r="K30" s="431">
        <v>3.7228957350000003</v>
      </c>
      <c r="L30" s="435" t="s">
        <v>590</v>
      </c>
      <c r="M30" s="179">
        <f t="shared" si="2"/>
        <v>2.9910681095646963</v>
      </c>
      <c r="N30" s="433">
        <f t="shared" si="1"/>
        <v>18.830967919745138</v>
      </c>
      <c r="O30" s="9"/>
      <c r="P30" s="360"/>
      <c r="Q30" s="440">
        <f ca="1">'Charges as $M per year'!J30*1000/J30</f>
        <v>18.571710050900229</v>
      </c>
      <c r="R30" s="440">
        <f ca="1">'Charges as $M per year'!K30*1000/J30</f>
        <v>19.098961514473945</v>
      </c>
      <c r="S30" s="462" t="s">
        <v>1673</v>
      </c>
      <c r="T30" s="457">
        <f t="shared" ca="1" si="3"/>
        <v>4.447919857219583E-2</v>
      </c>
      <c r="U30" s="266">
        <f t="shared" ca="1" si="4"/>
        <v>55.361968566053555</v>
      </c>
      <c r="V30" s="457">
        <f t="shared" ca="1" si="5"/>
        <v>7.4131997620326448E-2</v>
      </c>
      <c r="W30" s="457">
        <f t="shared" ca="1" si="6"/>
        <v>92.269947610089346</v>
      </c>
      <c r="AA30" s="19">
        <f t="shared" si="7"/>
        <v>19715.463936637101</v>
      </c>
      <c r="AB30" s="19">
        <f t="shared" ca="1" si="8"/>
        <v>22131.287011137403</v>
      </c>
    </row>
    <row r="31" spans="1:28" ht="15.75" x14ac:dyDescent="0.25">
      <c r="A31" s="328" t="str">
        <f>'Charges as $M per year'!A31</f>
        <v>Wellington Electricity</v>
      </c>
      <c r="B31" s="114" t="str">
        <f>'Charges as $M per year'!B31</f>
        <v>Wellington Electricity</v>
      </c>
      <c r="C31" s="192">
        <f>'Charges as $M per year'!C31*1000/$J31</f>
        <v>22.415914100668541</v>
      </c>
      <c r="D31" s="192">
        <f ca="1">'Charges as $M per year'!D31*1000/J31</f>
        <v>17.522951927676981</v>
      </c>
      <c r="E31" s="9">
        <f ca="1">'Charges as $M per year'!$F31*1000/'Charges as $ per MWh'!$J31</f>
        <v>3.7852503429555928</v>
      </c>
      <c r="F31" s="9">
        <f>'Charges as $M per year'!G31*1000/'Charges as $ per MWh'!$J31</f>
        <v>8.4976654245925936</v>
      </c>
      <c r="G31" s="9">
        <f>'Charges as $M per year'!H31*1000/'Charges as $ per MWh'!$J31</f>
        <v>13.737701584721389</v>
      </c>
      <c r="H31" s="9"/>
      <c r="I31" s="181">
        <f t="shared" ca="1" si="0"/>
        <v>20.032483800718612</v>
      </c>
      <c r="J31" s="9">
        <f>VLOOKUP(B31,Volumes!$B$2:$C$44,2,0)</f>
        <v>2464.46</v>
      </c>
      <c r="K31" s="431">
        <v>0.17559420499999998</v>
      </c>
      <c r="L31" s="432" t="s">
        <v>591</v>
      </c>
      <c r="M31" s="179">
        <f t="shared" si="2"/>
        <v>7.1250580248817183E-2</v>
      </c>
      <c r="N31" s="433">
        <f t="shared" si="1"/>
        <v>22.48716468091736</v>
      </c>
      <c r="O31" s="9"/>
      <c r="P31" s="360"/>
      <c r="Q31" s="440">
        <f ca="1">'Charges as $M per year'!J31*1000/J31</f>
        <v>18.340830029617827</v>
      </c>
      <c r="R31" s="440">
        <f ca="1">'Charges as $M per year'!K31*1000/J31</f>
        <v>18.886082097578392</v>
      </c>
      <c r="S31" s="462" t="s">
        <v>1673</v>
      </c>
      <c r="T31" s="457">
        <f t="shared" ca="1" si="3"/>
        <v>4.6674675894592357E-2</v>
      </c>
      <c r="U31" s="266">
        <f t="shared" ca="1" si="4"/>
        <v>115.02787175518708</v>
      </c>
      <c r="V31" s="457">
        <f t="shared" ca="1" si="5"/>
        <v>7.7791126490987322E-2</v>
      </c>
      <c r="W31" s="457">
        <f t="shared" ca="1" si="6"/>
        <v>191.71311959197863</v>
      </c>
      <c r="AA31" s="19">
        <f t="shared" si="7"/>
        <v>55243.123664533596</v>
      </c>
      <c r="AB31" s="19">
        <f t="shared" ca="1" si="8"/>
        <v>43184.614107682813</v>
      </c>
    </row>
    <row r="32" spans="1:28" ht="15.75" x14ac:dyDescent="0.25">
      <c r="A32" s="328" t="str">
        <f>'Charges as $M per year'!A32</f>
        <v>Westpower</v>
      </c>
      <c r="B32" s="114" t="str">
        <f>'Charges as $M per year'!B32</f>
        <v>Westpower</v>
      </c>
      <c r="C32" s="192">
        <f>'Charges as $M per year'!C32*1000/$J32</f>
        <v>5.6563840130751597</v>
      </c>
      <c r="D32" s="192">
        <f ca="1">'Charges as $M per year'!D32*1000/J32</f>
        <v>16.440997249815634</v>
      </c>
      <c r="E32" s="9">
        <f ca="1">'Charges as $M per year'!$F32*1000/'Charges as $ per MWh'!$J32</f>
        <v>1.3606030043271555</v>
      </c>
      <c r="F32" s="9">
        <f>'Charges as $M per year'!G32*1000/'Charges as $ per MWh'!$J32</f>
        <v>9.3282085055359367</v>
      </c>
      <c r="G32" s="9">
        <f>'Charges as $M per year'!H32*1000/'Charges as $ per MWh'!$J32</f>
        <v>15.080394245488481</v>
      </c>
      <c r="H32" s="9"/>
      <c r="I32" s="181">
        <f t="shared" ca="1" si="0"/>
        <v>20.032483800718612</v>
      </c>
      <c r="J32" s="9">
        <f>VLOOKUP(B32,Volumes!$B$2:$C$44,2,0)</f>
        <v>283.42599999999999</v>
      </c>
      <c r="K32" s="431">
        <v>0.81699999999999995</v>
      </c>
      <c r="L32" s="435" t="s">
        <v>592</v>
      </c>
      <c r="M32" s="179">
        <f t="shared" si="2"/>
        <v>2.8825866363706929</v>
      </c>
      <c r="N32" s="433">
        <f t="shared" si="1"/>
        <v>8.5389706494458526</v>
      </c>
      <c r="O32" s="9"/>
      <c r="P32" s="360"/>
      <c r="Q32" s="440">
        <f ca="1">'Charges as $M per year'!J32*1000/J32</f>
        <v>17.338812953989699</v>
      </c>
      <c r="R32" s="440">
        <f ca="1">'Charges as $M per year'!K32*1000/J32</f>
        <v>17.937356756772409</v>
      </c>
      <c r="S32" s="462" t="s">
        <v>1672</v>
      </c>
      <c r="T32" s="457">
        <f t="shared" ca="1" si="3"/>
        <v>5.4608348297371823E-2</v>
      </c>
      <c r="U32" s="266">
        <f t="shared" ca="1" si="4"/>
        <v>15.477425724530905</v>
      </c>
      <c r="V32" s="457">
        <f t="shared" ca="1" si="5"/>
        <v>9.1013913828953116E-2</v>
      </c>
      <c r="W32" s="457">
        <f t="shared" ca="1" si="6"/>
        <v>25.795709540884864</v>
      </c>
      <c r="AA32" s="19">
        <f t="shared" si="7"/>
        <v>1603.16629528984</v>
      </c>
      <c r="AB32" s="19">
        <f t="shared" ca="1" si="8"/>
        <v>4659.806086526246</v>
      </c>
    </row>
    <row r="33" spans="1:31" ht="15.75" x14ac:dyDescent="0.25">
      <c r="B33" s="114"/>
      <c r="C33" s="192"/>
      <c r="D33" s="192"/>
      <c r="E33" s="9"/>
      <c r="F33" s="9"/>
      <c r="G33" s="9"/>
      <c r="H33" s="9"/>
      <c r="I33" s="181"/>
      <c r="J33" s="9"/>
      <c r="K33" s="441"/>
      <c r="L33" s="161"/>
      <c r="M33" s="361"/>
      <c r="N33" s="442"/>
      <c r="O33" s="9"/>
      <c r="P33" s="360"/>
      <c r="Q33" s="183"/>
      <c r="R33" s="268"/>
      <c r="S33" s="462"/>
      <c r="T33" s="266"/>
      <c r="U33" s="266"/>
      <c r="V33" s="266"/>
    </row>
    <row r="34" spans="1:31" ht="17.25" customHeight="1" x14ac:dyDescent="0.25">
      <c r="B34" s="208"/>
      <c r="C34" s="192"/>
      <c r="D34" s="192"/>
      <c r="E34" s="9"/>
      <c r="F34" s="9"/>
      <c r="G34" s="9"/>
      <c r="H34" s="9"/>
      <c r="I34" s="149"/>
      <c r="J34" s="9"/>
      <c r="N34" s="9"/>
      <c r="O34" s="9"/>
      <c r="Q34" s="38"/>
      <c r="R34" s="38"/>
      <c r="S34" s="463"/>
      <c r="T34" s="266"/>
      <c r="U34" s="266"/>
      <c r="V34" s="266"/>
      <c r="AC34" s="19" t="s">
        <v>1677</v>
      </c>
      <c r="AD34" s="19" t="s">
        <v>1678</v>
      </c>
      <c r="AE34" s="19" t="s">
        <v>1679</v>
      </c>
    </row>
    <row r="35" spans="1:31" x14ac:dyDescent="0.25">
      <c r="A35" s="328" t="str">
        <f>'Charges as $M per year'!A35</f>
        <v>Contact</v>
      </c>
      <c r="B35" s="114" t="str">
        <f>'Charges as $M per year'!B35</f>
        <v>Contact</v>
      </c>
      <c r="C35" s="192">
        <v>2.9604771388227418</v>
      </c>
      <c r="D35" s="192">
        <f ca="1">'Charges as $M per year'!D35*1000/(IF(ISNA(VLOOKUP('Charges as $ per MWh'!$B35,Volumes!$B:$C,2,FALSE)),0,VLOOKUP('Charges as $ per MWh'!$B35,Volumes!$B:$C,2,FALSE))+IF(ISNA(VLOOKUP('Charges as $ per MWh'!$B35,Volumes!$E:$F,2,FALSE)),0,VLOOKUP('Charges as $ per MWh'!$B35,Volumes!$E:$F,2,FALSE)))</f>
        <v>1.5603400533200367</v>
      </c>
      <c r="E35" s="9">
        <f ca="1">'Charges as $M per year'!$F35*1000/$J35</f>
        <v>1.4237689001505001</v>
      </c>
      <c r="F35" s="9">
        <f>'Charges as $M per year'!G35*1000/'Charges as $ per MWh'!$J35</f>
        <v>0.1365711531695368</v>
      </c>
      <c r="G35" s="9">
        <f>'Charges as $M per year'!$H35*1000/$J35</f>
        <v>0.1365711531695368</v>
      </c>
      <c r="H35" s="9"/>
      <c r="J35" s="9">
        <f>VLOOKUP(B35,Volumes!$E$2:$F$12,2,0)</f>
        <v>10651.012025451901</v>
      </c>
      <c r="K35" s="9"/>
      <c r="L35" s="9"/>
      <c r="M35" s="9"/>
      <c r="N35" s="9"/>
      <c r="O35" s="9"/>
      <c r="P35" s="361"/>
      <c r="Q35" s="38"/>
      <c r="R35" s="38"/>
      <c r="S35" s="195"/>
      <c r="T35" s="266"/>
      <c r="U35" s="266"/>
      <c r="V35" s="266"/>
      <c r="AB35" s="19" t="s">
        <v>96</v>
      </c>
      <c r="AC35" s="19">
        <f>SUMIF($S$4:$S$32,AB35,$AA$4:$AA$32)</f>
        <v>151901.39730336846</v>
      </c>
      <c r="AD35" s="19">
        <f ca="1">SUMIF($S$4:$S$32,AB35,$AB$4:$AB$32)</f>
        <v>141324.50036687485</v>
      </c>
      <c r="AE35" s="19">
        <f>SUMIF($S$4:$S$32,AB35,$J$4:$J$32)</f>
        <v>9808.7643499999976</v>
      </c>
    </row>
    <row r="36" spans="1:31" x14ac:dyDescent="0.25">
      <c r="A36" s="328" t="str">
        <f>'Charges as $M per year'!A36</f>
        <v>Genesis</v>
      </c>
      <c r="B36" s="114" t="str">
        <f>'Charges as $M per year'!B36</f>
        <v>Genesis</v>
      </c>
      <c r="C36" s="192">
        <v>0.94181281083698498</v>
      </c>
      <c r="D36" s="192">
        <f ca="1">'Charges as $M per year'!D36*1000/(IF(ISNA(VLOOKUP('Charges as $ per MWh'!$B36,Volumes!$B:$C,2,FALSE)),0,VLOOKUP('Charges as $ per MWh'!$B36,Volumes!$B:$C,2,FALSE))+IF(ISNA(VLOOKUP('Charges as $ per MWh'!$B36,Volumes!$E:$F,2,FALSE)),0,VLOOKUP('Charges as $ per MWh'!$B36,Volumes!$E:$F,2,FALSE)))</f>
        <v>0.72799508783420941</v>
      </c>
      <c r="E36" s="9">
        <f ca="1">'Charges as $M per year'!$F36*1000/$J36</f>
        <v>0.6046225641022257</v>
      </c>
      <c r="F36" s="9">
        <f>'Charges as $M per year'!G36*1000/'Charges as $ per MWh'!$J36</f>
        <v>0.12337252373198361</v>
      </c>
      <c r="G36" s="9">
        <f>'Charges as $M per year'!$H36*1000/$J36</f>
        <v>0.12337252373198361</v>
      </c>
      <c r="H36" s="9"/>
      <c r="J36" s="9">
        <f>VLOOKUP(B36,Volumes!$E$2:$F$12,2,0)</f>
        <v>7423.6117405591003</v>
      </c>
      <c r="N36" s="9"/>
      <c r="O36" s="9"/>
      <c r="P36" s="361"/>
      <c r="Q36" s="38"/>
      <c r="R36" s="38"/>
      <c r="S36" s="195"/>
      <c r="T36" s="266"/>
      <c r="U36" s="266"/>
      <c r="V36" s="266"/>
      <c r="AB36" s="19" t="s">
        <v>95</v>
      </c>
      <c r="AC36" s="19">
        <f>SUMIF($S$4:$S$32,AB36,$AA$4:$AA$32)</f>
        <v>414624.56765865919</v>
      </c>
      <c r="AD36" s="19">
        <f ca="1">SUMIF($S$4:$S$32,AB36,$AB$4:$AB$32)</f>
        <v>494261.90077900782</v>
      </c>
      <c r="AE36" s="19">
        <f>SUMIF($S$4:$S$32,AB36,$J$4:$J$32)</f>
        <v>21919.023749999997</v>
      </c>
    </row>
    <row r="37" spans="1:31" x14ac:dyDescent="0.25">
      <c r="A37" s="328" t="str">
        <f>'Charges as $M per year'!A37</f>
        <v>Meridian</v>
      </c>
      <c r="B37" s="114" t="str">
        <f>'Charges as $M per year'!B37</f>
        <v>Meridian</v>
      </c>
      <c r="C37" s="192">
        <v>7.3664921985804241</v>
      </c>
      <c r="D37" s="192">
        <f ca="1">'Charges as $M per year'!D37*1000/(IF(ISNA(VLOOKUP('Charges as $ per MWh'!$B37,Volumes!$B:$C,2,FALSE)),0,VLOOKUP('Charges as $ per MWh'!$B37,Volumes!$B:$C,2,FALSE))+IF(ISNA(VLOOKUP('Charges as $ per MWh'!$B37,Volumes!$E:$F,2,FALSE)),0,VLOOKUP('Charges as $ per MWh'!$B37,Volumes!$E:$F,2,FALSE)))</f>
        <v>2.9168155958906832</v>
      </c>
      <c r="E37" s="9">
        <f ca="1">'Charges as $M per year'!$F37*1000/$J37</f>
        <v>2.8206774759620834</v>
      </c>
      <c r="F37" s="9">
        <f>'Charges as $M per year'!G37*1000/'Charges as $ per MWh'!$J37</f>
        <v>9.6138119928600177E-2</v>
      </c>
      <c r="G37" s="9">
        <f>'Charges as $M per year'!$H37*1000/$J37</f>
        <v>9.6138119928600177E-2</v>
      </c>
      <c r="H37" s="9"/>
      <c r="J37" s="9">
        <f>VLOOKUP(B37,Volumes!$E$2:$F$12,2,0)</f>
        <v>13468.672578574731</v>
      </c>
      <c r="N37" s="9"/>
      <c r="O37" s="9"/>
      <c r="P37" s="361"/>
      <c r="Q37" s="38"/>
      <c r="R37" s="38"/>
      <c r="S37" s="195"/>
      <c r="T37" s="266"/>
      <c r="U37" s="266"/>
      <c r="V37" s="266"/>
    </row>
    <row r="38" spans="1:31" x14ac:dyDescent="0.25">
      <c r="A38" s="328" t="str">
        <f>'Charges as $M per year'!A38</f>
        <v>Tuaropaki</v>
      </c>
      <c r="B38" s="114" t="str">
        <f>'Charges as $M per year'!B38</f>
        <v>Mokai JV</v>
      </c>
      <c r="C38" s="192">
        <v>0</v>
      </c>
      <c r="D38" s="192">
        <f ca="1">'Charges as $M per year'!D38*1000/(IF(ISNA(VLOOKUP('Charges as $ per MWh'!$B38,Volumes!$B:$C,2,FALSE)),0,VLOOKUP('Charges as $ per MWh'!$B38,Volumes!$B:$C,2,FALSE))+IF(ISNA(VLOOKUP('Charges as $ per MWh'!$B38,Volumes!$E:$F,2,FALSE)),0,VLOOKUP('Charges as $ per MWh'!$B38,Volumes!$E:$F,2,FALSE)))</f>
        <v>0.20292464138091851</v>
      </c>
      <c r="E38" s="9">
        <f ca="1">'Charges as $M per year'!$F38*1000/$J38</f>
        <v>0.20292464138091851</v>
      </c>
      <c r="F38" s="9">
        <f>'Charges as $M per year'!G38*1000/'Charges as $ per MWh'!$J38</f>
        <v>0</v>
      </c>
      <c r="G38" s="9">
        <f>'Charges as $M per year'!$H38*1000/$J38</f>
        <v>0</v>
      </c>
      <c r="H38" s="9"/>
      <c r="I38" s="149"/>
      <c r="J38" s="9">
        <f>VLOOKUP(B38,Volumes!$E$2:$F$12,2,0)</f>
        <v>915.048</v>
      </c>
      <c r="N38" s="9"/>
      <c r="O38" s="9"/>
      <c r="P38" s="361"/>
      <c r="Q38" s="38"/>
      <c r="R38" s="38"/>
      <c r="S38" s="195"/>
      <c r="T38" s="266"/>
      <c r="U38" s="266"/>
      <c r="V38" s="266"/>
      <c r="AB38" s="19" t="s">
        <v>96</v>
      </c>
      <c r="AC38" s="19">
        <f>AC35/$AE35</f>
        <v>15.486292858423957</v>
      </c>
      <c r="AD38" s="19">
        <f ca="1">AD35/$AE35</f>
        <v>14.407982017314433</v>
      </c>
    </row>
    <row r="39" spans="1:31" x14ac:dyDescent="0.25">
      <c r="A39" s="328" t="str">
        <f>'Charges as $M per year'!A39</f>
        <v>Mercury</v>
      </c>
      <c r="B39" s="114" t="str">
        <f>'Charges as $M per year'!B39</f>
        <v>MRP</v>
      </c>
      <c r="C39" s="192">
        <v>0</v>
      </c>
      <c r="D39" s="192">
        <f ca="1">'Charges as $M per year'!D39*1000/(IF(ISNA(VLOOKUP('Charges as $ per MWh'!$B39,Volumes!$B:$C,2,FALSE)),0,VLOOKUP('Charges as $ per MWh'!$B39,Volumes!$B:$C,2,FALSE))+IF(ISNA(VLOOKUP('Charges as $ per MWh'!$B39,Volumes!$E:$F,2,FALSE)),0,VLOOKUP('Charges as $ per MWh'!$B39,Volumes!$E:$F,2,FALSE)))</f>
        <v>0.91628686408353699</v>
      </c>
      <c r="E39" s="9">
        <f ca="1">'Charges as $M per year'!$F39*1000/$J39</f>
        <v>0.48826570703997524</v>
      </c>
      <c r="F39" s="9">
        <f>'Charges as $M per year'!G39*1000/'Charges as $ per MWh'!$J39</f>
        <v>0.4280211570435617</v>
      </c>
      <c r="G39" s="9">
        <f>'Charges as $M per year'!$H39*1000/$J39</f>
        <v>0.4280211570435617</v>
      </c>
      <c r="H39" s="9"/>
      <c r="I39" s="149"/>
      <c r="J39" s="9">
        <f>VLOOKUP(B39,Volumes!$E$2:$F$12,2,0)</f>
        <v>4421.4036502775998</v>
      </c>
      <c r="L39" s="9"/>
      <c r="M39" s="9"/>
      <c r="N39" s="9"/>
      <c r="O39" s="9"/>
      <c r="P39" s="361"/>
      <c r="Q39" s="38"/>
      <c r="R39" s="38"/>
      <c r="S39" s="195"/>
      <c r="T39" s="266"/>
      <c r="U39" s="266"/>
      <c r="V39" s="266"/>
      <c r="AB39" s="19" t="s">
        <v>95</v>
      </c>
      <c r="AC39" s="19">
        <f>AC36/$AE36</f>
        <v>18.916196833750831</v>
      </c>
      <c r="AD39" s="19">
        <f ca="1">AD36/$AE36</f>
        <v>22.549448662329585</v>
      </c>
    </row>
    <row r="40" spans="1:31" x14ac:dyDescent="0.25">
      <c r="A40" s="328" t="str">
        <f>'Charges as $M per year'!A40</f>
        <v>Nga Awa Purua JV</v>
      </c>
      <c r="B40" s="114" t="str">
        <f>'Charges as $M per year'!B40</f>
        <v>NAP JV</v>
      </c>
      <c r="C40" s="192">
        <v>0</v>
      </c>
      <c r="D40" s="192">
        <f ca="1">'Charges as $M per year'!D40*1000/(IF(ISNA(VLOOKUP('Charges as $ per MWh'!$B40,Volumes!$B:$C,2,FALSE)),0,VLOOKUP('Charges as $ per MWh'!$B40,Volumes!$B:$C,2,FALSE))+IF(ISNA(VLOOKUP('Charges as $ per MWh'!$B40,Volumes!$E:$F,2,FALSE)),0,VLOOKUP('Charges as $ per MWh'!$B40,Volumes!$E:$F,2,FALSE)))</f>
        <v>0.50513593367081955</v>
      </c>
      <c r="E40" s="9">
        <f ca="1">'Charges as $M per year'!$F40*1000/$J40</f>
        <v>0.50513593367081955</v>
      </c>
      <c r="F40" s="9">
        <f>'Charges as $M per year'!G40*1000/'Charges as $ per MWh'!$J40</f>
        <v>0</v>
      </c>
      <c r="G40" s="9">
        <f>'Charges as $M per year'!$H40*1000/$J40</f>
        <v>0</v>
      </c>
      <c r="H40" s="9"/>
      <c r="I40" s="149"/>
      <c r="J40" s="9">
        <f>VLOOKUP(B40,Volumes!$E$2:$F$12,2,0)</f>
        <v>1078.7414304141901</v>
      </c>
      <c r="K40" s="9"/>
      <c r="L40" s="9"/>
      <c r="M40" s="9"/>
      <c r="N40" s="9"/>
      <c r="O40" s="9"/>
      <c r="P40" s="361"/>
      <c r="Q40" s="38"/>
      <c r="R40" s="38"/>
      <c r="S40" s="195"/>
      <c r="T40" s="266"/>
      <c r="U40" s="266"/>
      <c r="V40" s="266"/>
    </row>
    <row r="41" spans="1:31" x14ac:dyDescent="0.25">
      <c r="A41" s="328" t="str">
        <f>'Charges as $M per year'!A41</f>
        <v>Ngatamariki</v>
      </c>
      <c r="B41" s="114" t="str">
        <f>'Charges as $M per year'!B41</f>
        <v>Ngatamariki</v>
      </c>
      <c r="C41" s="192">
        <v>0</v>
      </c>
      <c r="D41" s="192">
        <f ca="1">'Charges as $M per year'!D41*1000/(IF(ISNA(VLOOKUP('Charges as $ per MWh'!$B41,Volumes!$B:$C,2,FALSE)),0,VLOOKUP('Charges as $ per MWh'!$B41,Volumes!$B:$C,2,FALSE))+IF(ISNA(VLOOKUP('Charges as $ per MWh'!$B41,Volumes!$E:$F,2,FALSE)),0,VLOOKUP('Charges as $ per MWh'!$B41,Volumes!$E:$F,2,FALSE)))</f>
        <v>0.50025736945014865</v>
      </c>
      <c r="E41" s="9">
        <f ca="1">'Charges as $M per year'!$F41*1000/$J41</f>
        <v>0.50025736945014865</v>
      </c>
      <c r="F41" s="9">
        <f>'Charges as $M per year'!G41*1000/'Charges as $ per MWh'!$J41</f>
        <v>0</v>
      </c>
      <c r="G41" s="9">
        <f>'Charges as $M per year'!$H41*1000/$J41</f>
        <v>0</v>
      </c>
      <c r="H41" s="9"/>
      <c r="I41" s="149"/>
      <c r="J41" s="9">
        <f>VLOOKUP(B41,Volumes!$E$2:$F$12,2,0)</f>
        <v>655.45440152937101</v>
      </c>
      <c r="K41" s="9"/>
      <c r="L41" s="9"/>
      <c r="M41" s="9"/>
      <c r="N41" s="9"/>
      <c r="O41" s="9"/>
      <c r="P41" s="361"/>
      <c r="Q41" s="38"/>
      <c r="R41" s="38"/>
      <c r="S41" s="195"/>
      <c r="T41" s="266"/>
      <c r="U41" s="266"/>
      <c r="V41" s="266"/>
    </row>
    <row r="42" spans="1:31" ht="15.75" customHeight="1" x14ac:dyDescent="0.25">
      <c r="A42" s="328" t="str">
        <f>'Charges as $M per year'!A42</f>
        <v>Pioneer</v>
      </c>
      <c r="B42" s="114" t="str">
        <f>'Charges as $M per year'!B42</f>
        <v>Pioneer</v>
      </c>
      <c r="C42" s="192">
        <v>7.4552943431958223</v>
      </c>
      <c r="D42" s="192">
        <f ca="1">'Charges as $M per year'!D42*1000/(IF(ISNA(VLOOKUP('Charges as $ per MWh'!$B42,Volumes!$B:$C,2,FALSE)),0,VLOOKUP('Charges as $ per MWh'!$B42,Volumes!$B:$C,2,FALSE))+IF(ISNA(VLOOKUP('Charges as $ per MWh'!$B42,Volumes!$E:$F,2,FALSE)),0,VLOOKUP('Charges as $ per MWh'!$B42,Volumes!$E:$F,2,FALSE)))</f>
        <v>2.0847112410890283</v>
      </c>
      <c r="E42" s="9">
        <f ca="1">'Charges as $M per year'!$F42*1000/$J42</f>
        <v>2.0847112410890283</v>
      </c>
      <c r="F42" s="9">
        <f>'Charges as $M per year'!G42*1000/'Charges as $ per MWh'!$J42</f>
        <v>0</v>
      </c>
      <c r="G42" s="9">
        <f>'Charges as $M per year'!$H42*1000/$J42</f>
        <v>0</v>
      </c>
      <c r="H42" s="9"/>
      <c r="I42" s="149"/>
      <c r="J42" s="9">
        <f>VLOOKUP(B42,Volumes!$E$2:$F$12,2,0)</f>
        <v>47.479281498189003</v>
      </c>
      <c r="K42" s="9"/>
      <c r="L42" s="9"/>
      <c r="M42" s="9"/>
      <c r="N42" s="9"/>
      <c r="O42" s="9"/>
      <c r="P42" s="361"/>
      <c r="Q42" s="38"/>
      <c r="R42" s="38"/>
      <c r="S42" s="195"/>
      <c r="T42" s="266"/>
      <c r="U42" s="266"/>
      <c r="V42" s="266"/>
    </row>
    <row r="43" spans="1:31" x14ac:dyDescent="0.25">
      <c r="A43" s="328" t="str">
        <f>'Charges as $M per year'!A43</f>
        <v>Todd</v>
      </c>
      <c r="B43" s="114" t="str">
        <f>'Charges as $M per year'!B43</f>
        <v>Todd</v>
      </c>
      <c r="C43" s="192">
        <v>0</v>
      </c>
      <c r="D43" s="192">
        <f ca="1">'Charges as $M per year'!D43*1000/(IF(ISNA(VLOOKUP('Charges as $ per MWh'!$B43,Volumes!$B:$C,2,FALSE)),0,VLOOKUP('Charges as $ per MWh'!$B43,Volumes!$B:$C,2,FALSE))+IF(ISNA(VLOOKUP('Charges as $ per MWh'!$B43,Volumes!$E:$F,2,FALSE)),0,VLOOKUP('Charges as $ per MWh'!$B43,Volumes!$E:$F,2,FALSE)))</f>
        <v>0.1288863862777917</v>
      </c>
      <c r="E43" s="9">
        <f ca="1">'Charges as $M per year'!$F43*1000/$J43</f>
        <v>9.7099038584944786E-2</v>
      </c>
      <c r="F43" s="9">
        <f>'Charges as $M per year'!G43*1000/'Charges as $ per MWh'!$J43</f>
        <v>3.1787347692846912E-2</v>
      </c>
      <c r="G43" s="9">
        <f>'Charges as $M per year'!$H43*1000/$J43</f>
        <v>3.1787347692846912E-2</v>
      </c>
      <c r="H43" s="9"/>
      <c r="I43" s="149"/>
      <c r="J43" s="9">
        <f>VLOOKUP(B43,Volumes!$E$2:$F$12,2,0)</f>
        <v>971.44171391737405</v>
      </c>
      <c r="K43" s="9"/>
      <c r="L43" s="9"/>
      <c r="M43" s="9"/>
      <c r="N43" s="9"/>
      <c r="O43" s="9"/>
      <c r="P43" s="361"/>
      <c r="Q43" s="38"/>
      <c r="R43" s="38"/>
      <c r="S43" s="195"/>
      <c r="T43" s="266"/>
      <c r="U43" s="266"/>
      <c r="V43" s="266"/>
    </row>
    <row r="44" spans="1:31" x14ac:dyDescent="0.25">
      <c r="A44" s="328" t="str">
        <f>'Charges as $M per year'!A44</f>
        <v>Trustpower</v>
      </c>
      <c r="B44" s="114" t="str">
        <f>'Charges as $M per year'!B44</f>
        <v>Trustpower</v>
      </c>
      <c r="C44" s="192">
        <v>1.8508727784343857</v>
      </c>
      <c r="D44" s="192">
        <f ca="1">'Charges as $M per year'!D44*1000/(IF(ISNA(VLOOKUP('Charges as $ per MWh'!$B44,Volumes!$B:$C,2,FALSE)),0,VLOOKUP('Charges as $ per MWh'!$B44,Volumes!$B:$C,2,FALSE))+IF(ISNA(VLOOKUP('Charges as $ per MWh'!$B44,Volumes!$E:$F,2,FALSE)),0,VLOOKUP('Charges as $ per MWh'!$B44,Volumes!$E:$F,2,FALSE)))</f>
        <v>1.481667727047546</v>
      </c>
      <c r="E44" s="9">
        <f ca="1">'Charges as $M per year'!$F44*1000/$J44</f>
        <v>1.3377430409292677</v>
      </c>
      <c r="F44" s="9">
        <f>'Charges as $M per year'!G44*1000/'Charges as $ per MWh'!$J44</f>
        <v>0.14392468611827844</v>
      </c>
      <c r="G44" s="9">
        <f>'Charges as $M per year'!$H44*1000/$J44</f>
        <v>0.14392468611827844</v>
      </c>
      <c r="H44" s="9"/>
      <c r="I44" s="149"/>
      <c r="J44" s="9">
        <f>VLOOKUP(B44,Volumes!$E$2:$F$12,2,0)</f>
        <v>2034.631217783146</v>
      </c>
      <c r="K44" s="9"/>
      <c r="L44" s="9"/>
      <c r="M44" s="9"/>
      <c r="N44" s="9"/>
      <c r="O44" s="9"/>
      <c r="P44" s="361"/>
      <c r="Q44" s="38"/>
      <c r="R44" s="38"/>
      <c r="S44" s="195"/>
      <c r="T44" s="266"/>
      <c r="U44" s="266"/>
      <c r="V44" s="266"/>
    </row>
    <row r="45" spans="1:31" x14ac:dyDescent="0.25">
      <c r="B45" s="114"/>
      <c r="C45" s="192"/>
      <c r="D45" s="192"/>
      <c r="E45" s="9"/>
      <c r="F45" s="9"/>
      <c r="G45" s="9"/>
      <c r="H45" s="9"/>
      <c r="I45" s="149"/>
      <c r="J45" s="9"/>
      <c r="K45" s="9"/>
      <c r="L45" s="9"/>
      <c r="M45" s="9"/>
      <c r="N45" s="9"/>
      <c r="O45" s="9"/>
      <c r="P45" s="361"/>
      <c r="Q45" s="38"/>
      <c r="R45" s="38"/>
      <c r="S45" s="195"/>
      <c r="T45" s="266"/>
      <c r="U45" s="266"/>
      <c r="V45" s="266"/>
    </row>
    <row r="46" spans="1:31" x14ac:dyDescent="0.25">
      <c r="B46" s="208"/>
      <c r="C46" s="192"/>
      <c r="D46" s="192"/>
      <c r="E46" s="9"/>
      <c r="F46" s="9"/>
      <c r="G46" s="9"/>
      <c r="H46" s="9"/>
      <c r="I46" s="9"/>
      <c r="J46" s="9"/>
      <c r="K46" s="9"/>
      <c r="L46" s="9"/>
      <c r="M46" s="9"/>
      <c r="N46" s="9"/>
      <c r="O46" s="9"/>
      <c r="P46" s="361"/>
      <c r="Q46" s="38"/>
      <c r="R46" s="38"/>
      <c r="S46" s="195"/>
      <c r="T46" s="266"/>
      <c r="U46" s="266"/>
      <c r="V46" s="266"/>
    </row>
    <row r="47" spans="1:31" x14ac:dyDescent="0.25">
      <c r="A47" s="332" t="str">
        <f>'Charges as $M per year'!A47</f>
        <v>Carter Holt Harvey</v>
      </c>
      <c r="B47" s="114" t="str">
        <f>'Charges as $M per year'!B47</f>
        <v>CHH</v>
      </c>
      <c r="C47" s="192">
        <v>6.8001809722452364</v>
      </c>
      <c r="D47" s="192">
        <f ca="1">'Charges as $M per year'!D47*1000/(IF(ISNA(VLOOKUP('Charges as $ per MWh'!$B47,Volumes!$B:$C,2,FALSE)),0,VLOOKUP('Charges as $ per MWh'!$B47,Volumes!$B:$C,2,FALSE))+IF(ISNA(VLOOKUP('Charges as $ per MWh'!$B47,Volumes!$E:$F,2,FALSE)),0,VLOOKUP('Charges as $ per MWh'!$B47,Volumes!$E:$F,2,FALSE)))</f>
        <v>7.1803760410464408</v>
      </c>
      <c r="E47" s="9">
        <f ca="1">'Charges as $M per year'!$F47*1000/$J47</f>
        <v>1.7003140936870875</v>
      </c>
      <c r="F47" s="9">
        <f>'Charges as $M per year'!G47*1000/'Charges as $ per MWh'!$J47</f>
        <v>5.398399449294776</v>
      </c>
      <c r="G47" s="9">
        <f>'Charges as $M per year'!$H47*1000/$J47</f>
        <v>8.7272911986990191</v>
      </c>
      <c r="H47" s="9"/>
      <c r="I47" s="9"/>
      <c r="J47" s="9">
        <f>VLOOKUP(B47,Volumes!$B$2:$C$44,2,0)</f>
        <v>585.33579999999995</v>
      </c>
      <c r="K47" s="9"/>
      <c r="L47" s="9"/>
      <c r="M47" s="9"/>
      <c r="N47" s="9"/>
      <c r="O47" s="9"/>
      <c r="P47" s="361"/>
      <c r="Q47" s="38"/>
      <c r="R47" s="38"/>
      <c r="S47" s="195"/>
      <c r="T47" s="266"/>
      <c r="U47" s="266"/>
      <c r="V47" s="266"/>
    </row>
    <row r="48" spans="1:31" x14ac:dyDescent="0.25">
      <c r="A48" s="328" t="str">
        <f>'Charges as $M per year'!A48</f>
        <v>Daiken MDF</v>
      </c>
      <c r="B48" s="114" t="str">
        <f>'Charges as $M per year'!B48</f>
        <v>Daiken MDF</v>
      </c>
      <c r="C48" s="192">
        <v>12.679639171557145</v>
      </c>
      <c r="D48" s="192">
        <f ca="1">'Charges as $M per year'!D48*1000/(IF(ISNA(VLOOKUP('Charges as $ per MWh'!$B48,Volumes!$B:$C,2,FALSE)),0,VLOOKUP('Charges as $ per MWh'!$B48,Volumes!$B:$C,2,FALSE))+IF(ISNA(VLOOKUP('Charges as $ per MWh'!$B48,Volumes!$E:$F,2,FALSE)),0,VLOOKUP('Charges as $ per MWh'!$B48,Volumes!$E:$F,2,FALSE)))</f>
        <v>11.040548113356756</v>
      </c>
      <c r="E48" s="9">
        <f ca="1">'Charges as $M per year'!$F48*1000/$J48</f>
        <v>1.452872543975122</v>
      </c>
      <c r="F48" s="9">
        <f>'Charges as $M per year'!G48*1000/'Charges as $ per MWh'!$J48</f>
        <v>5.9306033608094095</v>
      </c>
      <c r="G48" s="9">
        <f>'Charges as $M per year'!$H48*1000/$J48</f>
        <v>9.5876755693816325</v>
      </c>
      <c r="H48" s="9"/>
      <c r="I48" s="9"/>
      <c r="J48" s="9">
        <f>VLOOKUP(B48,Volumes!$B$2:$C$44,2,0)</f>
        <v>68.116209999999995</v>
      </c>
      <c r="K48" s="9"/>
      <c r="L48" s="9"/>
      <c r="M48" s="9"/>
      <c r="N48" s="9"/>
      <c r="O48" s="9"/>
      <c r="P48" s="361"/>
      <c r="Q48" s="38"/>
      <c r="R48" s="38"/>
      <c r="S48" s="195"/>
      <c r="T48" s="266"/>
      <c r="U48" s="266"/>
      <c r="V48" s="266"/>
    </row>
    <row r="49" spans="1:23" ht="15.75" customHeight="1" x14ac:dyDescent="0.25">
      <c r="A49" s="328" t="str">
        <f>'Charges as $M per year'!A49</f>
        <v>Kiwirail</v>
      </c>
      <c r="B49" s="114" t="str">
        <f>'Charges as $M per year'!B49</f>
        <v>Kiwirail</v>
      </c>
      <c r="C49" s="192">
        <v>14.291574881176242</v>
      </c>
      <c r="D49" s="192">
        <f ca="1">'Charges as $M per year'!D49*1000/(IF(ISNA(VLOOKUP('Charges as $ per MWh'!$B49,Volumes!$B:$C,2,FALSE)),0,VLOOKUP('Charges as $ per MWh'!$B49,Volumes!$B:$C,2,FALSE))+IF(ISNA(VLOOKUP('Charges as $ per MWh'!$B49,Volumes!$E:$F,2,FALSE)),0,VLOOKUP('Charges as $ per MWh'!$B49,Volumes!$E:$F,2,FALSE)))</f>
        <v>57.15137830203858</v>
      </c>
      <c r="E49" s="9">
        <f ca="1">'Charges as $M per year'!$F49*1000/$J49</f>
        <v>3.6390244098000175</v>
      </c>
      <c r="F49" s="9">
        <f>'Charges as $M per year'!G49*1000/'Charges as $ per MWh'!$J49</f>
        <v>33.100884937286317</v>
      </c>
      <c r="G49" s="9">
        <f>'Charges as $M per year'!$H49*1000/$J49</f>
        <v>53.512353892238558</v>
      </c>
      <c r="H49" s="9"/>
      <c r="I49" s="9"/>
      <c r="J49" s="9">
        <f>VLOOKUP(B49,Volumes!$B$2:$C$44,2,0)</f>
        <v>39.945360000000001</v>
      </c>
      <c r="K49" s="9"/>
      <c r="L49" s="9"/>
      <c r="M49" s="9"/>
      <c r="N49" s="9"/>
      <c r="O49" s="9"/>
      <c r="P49" s="361"/>
      <c r="Q49" s="38"/>
      <c r="R49" s="38"/>
      <c r="S49" s="195"/>
      <c r="T49" s="266"/>
      <c r="U49" s="266"/>
      <c r="V49" s="266"/>
    </row>
    <row r="50" spans="1:23" x14ac:dyDescent="0.25">
      <c r="A50" s="328" t="str">
        <f>'Charges as $M per year'!A50</f>
        <v>Methanex</v>
      </c>
      <c r="B50" s="114" t="str">
        <f>'Charges as $M per year'!B50</f>
        <v>Methanex</v>
      </c>
      <c r="C50" s="192">
        <v>12.930062628414241</v>
      </c>
      <c r="D50" s="192">
        <f ca="1">'Charges as $M per year'!D50*1000/(IF(ISNA(VLOOKUP('Charges as $ per MWh'!$B50,Volumes!$B:$C,2,FALSE)),0,VLOOKUP('Charges as $ per MWh'!$B50,Volumes!$B:$C,2,FALSE))+IF(ISNA(VLOOKUP('Charges as $ per MWh'!$B50,Volumes!$E:$F,2,FALSE)),0,VLOOKUP('Charges as $ per MWh'!$B50,Volumes!$E:$F,2,FALSE)))</f>
        <v>13.188109984937508</v>
      </c>
      <c r="E50" s="9">
        <f ca="1">'Charges as $M per year'!$F50*1000/$J50</f>
        <v>3.0261592473436623</v>
      </c>
      <c r="F50" s="9">
        <f>'Charges as $M per year'!G50*1000/'Charges as $ per MWh'!$J50</f>
        <v>6.2858300492786343</v>
      </c>
      <c r="G50" s="9">
        <f>'Charges as $M per year'!$H50*1000/$J50</f>
        <v>10.161950737593843</v>
      </c>
      <c r="H50" s="9"/>
      <c r="I50" s="9"/>
      <c r="J50" s="9">
        <f>VLOOKUP(B50,Volumes!$B$2:$C$44,2,0)</f>
        <v>53.694110000000002</v>
      </c>
      <c r="K50" s="9"/>
      <c r="L50" s="9"/>
      <c r="M50" s="9"/>
      <c r="N50" s="9"/>
      <c r="O50" s="9"/>
      <c r="P50" s="361"/>
      <c r="Q50" s="38"/>
      <c r="R50" s="38"/>
      <c r="S50" s="195"/>
      <c r="T50" s="266"/>
      <c r="U50" s="266"/>
      <c r="V50" s="266"/>
    </row>
    <row r="51" spans="1:23" x14ac:dyDescent="0.25">
      <c r="A51" s="328" t="str">
        <f>'Charges as $M per year'!A51</f>
        <v>Norske Skog</v>
      </c>
      <c r="B51" s="114" t="str">
        <f>'Charges as $M per year'!B51</f>
        <v>Norske Skog</v>
      </c>
      <c r="C51" s="192">
        <v>0.12266607928491202</v>
      </c>
      <c r="D51" s="192">
        <f ca="1">'Charges as $M per year'!D51*1000/(IF(ISNA(VLOOKUP('Charges as $ per MWh'!$B51,Volumes!$B:$C,2,FALSE)),0,VLOOKUP('Charges as $ per MWh'!$B51,Volumes!$B:$C,2,FALSE))+IF(ISNA(VLOOKUP('Charges as $ per MWh'!$B51,Volumes!$E:$F,2,FALSE)),0,VLOOKUP('Charges as $ per MWh'!$B51,Volumes!$E:$F,2,FALSE)))</f>
        <v>14.254551731576981</v>
      </c>
      <c r="E51" s="9">
        <f ca="1">'Charges as $M per year'!$F51*1000/$J51</f>
        <v>0.51662173103857834</v>
      </c>
      <c r="F51" s="9">
        <f>'Charges as $M per year'!G51*1000/'Charges as $ per MWh'!$J51</f>
        <v>8.4978067146896823</v>
      </c>
      <c r="G51" s="9">
        <f>'Charges as $M per year'!$H51*1000/$J51</f>
        <v>13.737930000538402</v>
      </c>
      <c r="H51" s="9"/>
      <c r="I51" s="9"/>
      <c r="J51" s="9">
        <f>VLOOKUP(B51,Volumes!$B$2:$C$44,2,0)</f>
        <v>476.35980000000001</v>
      </c>
      <c r="K51" s="9"/>
      <c r="L51" s="9"/>
      <c r="M51" s="9"/>
      <c r="N51" s="9"/>
      <c r="O51" s="9"/>
      <c r="P51" s="361"/>
      <c r="Q51" s="38"/>
      <c r="R51" s="38"/>
      <c r="S51" s="195"/>
      <c r="T51" s="266"/>
      <c r="U51" s="266"/>
      <c r="V51" s="266"/>
    </row>
    <row r="52" spans="1:23" s="19" customFormat="1" x14ac:dyDescent="0.25">
      <c r="A52" s="328" t="str">
        <f>'Charges as $M per year'!A52</f>
        <v>NZ Steel</v>
      </c>
      <c r="B52" s="114" t="str">
        <f>'Charges as $M per year'!B52</f>
        <v>NZ Steel</v>
      </c>
      <c r="C52" s="192">
        <v>5.170932278318384</v>
      </c>
      <c r="D52" s="192">
        <f ca="1">'Charges as $M per year'!D52*1000/(IF(ISNA(VLOOKUP('Charges as $ per MWh'!$B52,Volumes!$B:$C,2,FALSE)),0,VLOOKUP('Charges as $ per MWh'!$B52,Volumes!$B:$C,2,FALSE))+IF(ISNA(VLOOKUP('Charges as $ per MWh'!$B52,Volumes!$E:$F,2,FALSE)),0,VLOOKUP('Charges as $ per MWh'!$B52,Volumes!$E:$F,2,FALSE)))</f>
        <v>11.185557975376215</v>
      </c>
      <c r="E52" s="9">
        <f ca="1">'Charges as $M per year'!$F52*1000/$J52</f>
        <v>6.436882870754447</v>
      </c>
      <c r="F52" s="9">
        <f>'Charges as $M per year'!G52*1000/'Charges as $ per MWh'!$J52</f>
        <v>5.6820165078878722</v>
      </c>
      <c r="G52" s="9">
        <f>'Charges as $M per year'!$H52*1000/$J52</f>
        <v>9.1857990735810429</v>
      </c>
      <c r="H52" s="9"/>
      <c r="I52" s="9"/>
      <c r="J52" s="9">
        <f>VLOOKUP(B52,Volumes!$B$2:$C$44,2,0)</f>
        <v>1065.394</v>
      </c>
      <c r="K52" s="9"/>
      <c r="L52" s="9"/>
      <c r="M52" s="9"/>
      <c r="N52" s="9"/>
      <c r="O52" s="9"/>
      <c r="P52" s="361"/>
      <c r="Q52" s="38"/>
      <c r="R52" s="38"/>
      <c r="S52" s="195"/>
      <c r="T52" s="266"/>
      <c r="U52" s="266"/>
      <c r="V52" s="266"/>
    </row>
    <row r="53" spans="1:23" s="19" customFormat="1" x14ac:dyDescent="0.25">
      <c r="A53" s="328" t="str">
        <f>'Charges as $M per year'!A53</f>
        <v>NZ Aluminium Smelter</v>
      </c>
      <c r="B53" s="114" t="str">
        <f>'Charges as $M per year'!B53</f>
        <v>NZAS</v>
      </c>
      <c r="C53" s="192">
        <v>12.737814231932109</v>
      </c>
      <c r="D53" s="121">
        <f ca="1">'Charges as $M per year'!D53*1000/(IF(ISNA(VLOOKUP('Charges as $ per MWh'!$B53,Volumes!$B:$C,2,FALSE)),0,VLOOKUP('Charges as $ per MWh'!$B53,Volumes!$B:$C,2,FALSE))+IF(ISNA(VLOOKUP('Charges as $ per MWh'!$B53,Volumes!$E:$F,2,FALSE)),0,VLOOKUP('Charges as $ per MWh'!$B53,Volumes!$E:$F,2,FALSE)))</f>
        <v>8.0186291526599778</v>
      </c>
      <c r="E53" s="9">
        <f ca="1">'Charges as $M per year'!$F53*1000/$J53</f>
        <v>1.3128051823297422</v>
      </c>
      <c r="F53" s="9">
        <f>'Charges as $M per year'!G53*1000/'Charges as $ per MWh'!$J53</f>
        <v>4.1479899781383374</v>
      </c>
      <c r="G53" s="9">
        <f>'Charges as $M per year'!$H53*1000/$J53</f>
        <v>6.7058239703302354</v>
      </c>
      <c r="H53" s="9"/>
      <c r="I53" s="9"/>
      <c r="J53" s="9">
        <f>VLOOKUP(B53,Volumes!$B$2:$C$44,2,0)</f>
        <v>4985.3580000000002</v>
      </c>
      <c r="K53" s="9"/>
      <c r="L53" s="9"/>
      <c r="M53" s="9"/>
      <c r="N53" s="9"/>
      <c r="O53" s="9"/>
      <c r="P53" s="361"/>
      <c r="Q53" s="38"/>
      <c r="R53" s="38"/>
      <c r="S53" s="195"/>
      <c r="T53" s="266"/>
      <c r="U53" s="266"/>
      <c r="V53" s="266"/>
    </row>
    <row r="54" spans="1:23" s="19" customFormat="1" x14ac:dyDescent="0.25">
      <c r="A54" s="328" t="str">
        <f>'Charges as $M per year'!A54</f>
        <v>Pan Pac</v>
      </c>
      <c r="B54" s="114" t="str">
        <f>'Charges as $M per year'!B54</f>
        <v>PanPac</v>
      </c>
      <c r="C54" s="192">
        <v>6.7314131197370193</v>
      </c>
      <c r="D54" s="192">
        <f ca="1">'Charges as $M per year'!D54*1000/(IF(ISNA(VLOOKUP('Charges as $ per MWh'!$B54,Volumes!$B:$C,2,FALSE)),0,VLOOKUP('Charges as $ per MWh'!$B54,Volumes!$B:$C,2,FALSE))+IF(ISNA(VLOOKUP('Charges as $ per MWh'!$B54,Volumes!$E:$F,2,FALSE)),0,VLOOKUP('Charges as $ per MWh'!$B54,Volumes!$E:$F,2,FALSE)))</f>
        <v>11.630171463550992</v>
      </c>
      <c r="E54" s="9">
        <f ca="1">'Charges as $M per year'!$F54*1000/$J54</f>
        <v>2.38717893275793</v>
      </c>
      <c r="F54" s="9">
        <f>'Charges as $M per year'!G54*1000/'Charges as $ per MWh'!$J54</f>
        <v>5.7173943955837307</v>
      </c>
      <c r="G54" s="9">
        <f>'Charges as $M per year'!$H54*1000/$J54</f>
        <v>9.242992530793062</v>
      </c>
      <c r="H54" s="9"/>
      <c r="I54" s="9"/>
      <c r="J54" s="9">
        <f>VLOOKUP(B54,Volumes!$B$2:$C$44,2,0)</f>
        <v>528.91809999999998</v>
      </c>
      <c r="K54" s="9"/>
      <c r="L54" s="9"/>
      <c r="M54" s="9"/>
      <c r="N54" s="9"/>
      <c r="O54" s="9"/>
      <c r="P54" s="361"/>
      <c r="Q54" s="38"/>
      <c r="R54" s="38"/>
      <c r="S54" s="195"/>
      <c r="T54" s="266"/>
      <c r="U54" s="266"/>
      <c r="V54" s="266"/>
    </row>
    <row r="55" spans="1:23" s="19" customFormat="1" ht="16.5" customHeight="1" x14ac:dyDescent="0.25">
      <c r="A55" s="328" t="str">
        <f>'Charges as $M per year'!A55</f>
        <v>Rayonier</v>
      </c>
      <c r="B55" s="114" t="str">
        <f>'Charges as $M per year'!B55</f>
        <v>Rayonier</v>
      </c>
      <c r="C55" s="192">
        <v>13.766576392240696</v>
      </c>
      <c r="D55" s="192">
        <f ca="1">'Charges as $M per year'!D55*1000/(IF(ISNA(VLOOKUP('Charges as $ per MWh'!$B55,Volumes!$B:$C,2,FALSE)),0,VLOOKUP('Charges as $ per MWh'!$B55,Volumes!$B:$C,2,FALSE))+IF(ISNA(VLOOKUP('Charges as $ per MWh'!$B55,Volumes!$E:$F,2,FALSE)),0,VLOOKUP('Charges as $ per MWh'!$B55,Volumes!$E:$F,2,FALSE)))</f>
        <v>11.531378784424295</v>
      </c>
      <c r="E55" s="9">
        <f ca="1">'Charges as $M per year'!$F55*1000/$J55</f>
        <v>1.7548921370290111</v>
      </c>
      <c r="F55" s="9">
        <f>'Charges as $M per year'!G55*1000/'Charges as $ per MWh'!$J55</f>
        <v>6.0473953408594854</v>
      </c>
      <c r="G55" s="9">
        <f>'Charges as $M per year'!$H55*1000/$J55</f>
        <v>9.7764866473952843</v>
      </c>
      <c r="H55" s="9"/>
      <c r="I55" s="9"/>
      <c r="J55" s="9">
        <f>VLOOKUP(B55,Volumes!$B$2:$C$44,2,0)</f>
        <v>53.554029999999997</v>
      </c>
      <c r="K55" s="9"/>
      <c r="L55" s="9"/>
      <c r="M55" s="9"/>
      <c r="N55" s="9"/>
      <c r="O55" s="9"/>
      <c r="P55" s="361"/>
      <c r="Q55" s="38"/>
      <c r="R55" s="38"/>
      <c r="S55" s="195"/>
      <c r="T55" s="266"/>
      <c r="U55" s="266"/>
      <c r="V55" s="266"/>
    </row>
    <row r="56" spans="1:23" s="19" customFormat="1" ht="17.25" customHeight="1" x14ac:dyDescent="0.25">
      <c r="A56" s="328" t="str">
        <f>'Charges as $M per year'!A56</f>
        <v>Refining NZ</v>
      </c>
      <c r="B56" s="114" t="s">
        <v>904</v>
      </c>
      <c r="C56" s="192">
        <f>'Charges as $M per year'!$C$56*1000/Volumes!$C$45</f>
        <v>12.206633587543919</v>
      </c>
      <c r="D56" s="192">
        <f ca="1">'Charges as $M per year'!D56*1000/(IF(ISNA(VLOOKUP('Charges as $ per MWh'!$B56,Volumes!$B:$C,2,FALSE)),0,VLOOKUP('Charges as $ per MWh'!$B56,Volumes!$B:$C,2,FALSE))+IF(ISNA(VLOOKUP('Charges as $ per MWh'!$B56,Volumes!$E:$F,2,FALSE)),0,VLOOKUP('Charges as $ per MWh'!$B56,Volumes!$E:$F,2,FALSE)))</f>
        <v>22.290932365323357</v>
      </c>
      <c r="E56" s="9">
        <f ca="1">'Charges as $M per year'!$F56*1000/$J56</f>
        <v>14.496420173595469</v>
      </c>
      <c r="F56" s="9">
        <f>'Charges as $M per year'!G56*1000/'Charges as $ per MWh'!$J56</f>
        <v>4.821414728274199</v>
      </c>
      <c r="G56" s="9">
        <f>'Charges as $M per year'!$H56*1000/$J56</f>
        <v>7.7945121917278861</v>
      </c>
      <c r="H56" s="9"/>
      <c r="I56" s="9"/>
      <c r="J56" s="9">
        <f>VLOOKUP(B56,Volumes!$B$2:$C$45,2,0)</f>
        <v>262.25099999999998</v>
      </c>
      <c r="K56" s="9"/>
      <c r="L56" s="9"/>
      <c r="M56" s="9"/>
      <c r="N56" s="9"/>
      <c r="O56" s="9"/>
      <c r="P56" s="361"/>
      <c r="Q56" s="38"/>
      <c r="R56" s="38"/>
      <c r="S56" s="195"/>
      <c r="T56" s="266"/>
      <c r="U56" s="266"/>
      <c r="V56" s="266"/>
    </row>
    <row r="57" spans="1:23" s="19" customFormat="1" ht="15.75" customHeight="1" x14ac:dyDescent="0.25">
      <c r="A57" s="328" t="str">
        <f>'Charges as $M per year'!A57</f>
        <v>Winstones</v>
      </c>
      <c r="B57" s="114" t="str">
        <f>'Charges as $M per year'!B57</f>
        <v>Winstones</v>
      </c>
      <c r="C57" s="192">
        <v>13.817470075746938</v>
      </c>
      <c r="D57" s="192">
        <f ca="1">'Charges as $M per year'!D57*1000/(IF(ISNA(VLOOKUP('Charges as $ per MWh'!$B57,Volumes!$B:$C,2,FALSE)),0,VLOOKUP('Charges as $ per MWh'!$B57,Volumes!$B:$C,2,FALSE))+IF(ISNA(VLOOKUP('Charges as $ per MWh'!$B57,Volumes!$E:$F,2,FALSE)),0,VLOOKUP('Charges as $ per MWh'!$B57,Volumes!$E:$F,2,FALSE)))</f>
        <v>11.772550574711383</v>
      </c>
      <c r="E57" s="9">
        <f ca="1">'Charges as $M per year'!$F57*1000/$J57</f>
        <v>2.2714961278598498</v>
      </c>
      <c r="F57" s="9">
        <f>'Charges as $M per year'!G57*1000/'Charges as $ per MWh'!$J57</f>
        <v>5.8770225406537238</v>
      </c>
      <c r="G57" s="9">
        <f>'Charges as $M per year'!$H57*1000/$J57</f>
        <v>9.5010544468515317</v>
      </c>
      <c r="H57" s="6"/>
      <c r="I57" s="9"/>
      <c r="J57" s="9">
        <f>VLOOKUP(B57,Volumes!$B$2:$C$44,2,0)</f>
        <v>235.63059999999999</v>
      </c>
      <c r="K57" s="9"/>
      <c r="L57" s="9"/>
      <c r="M57" s="9"/>
      <c r="N57" s="9"/>
      <c r="O57" s="9"/>
      <c r="P57" s="361"/>
      <c r="Q57" s="38"/>
      <c r="R57" s="38"/>
      <c r="S57" s="195"/>
      <c r="T57" s="266"/>
      <c r="U57" s="266"/>
      <c r="V57" s="266"/>
    </row>
    <row r="58" spans="1:23" x14ac:dyDescent="0.25">
      <c r="Q58" s="27"/>
    </row>
    <row r="60" spans="1:23" x14ac:dyDescent="0.25">
      <c r="Q60" s="195"/>
      <c r="R60" s="195"/>
      <c r="S60" s="195"/>
      <c r="T60" s="182"/>
      <c r="W60" s="182"/>
    </row>
    <row r="64" spans="1:23" x14ac:dyDescent="0.25">
      <c r="A64" s="338" t="s">
        <v>1629</v>
      </c>
      <c r="B64" s="337"/>
      <c r="C64" s="543" t="s">
        <v>889</v>
      </c>
      <c r="D64" s="543"/>
      <c r="E64" s="543"/>
      <c r="F64" s="543"/>
      <c r="G64" s="543"/>
      <c r="H64" s="543"/>
      <c r="I64" s="543"/>
    </row>
    <row r="65" spans="1:18" x14ac:dyDescent="0.25">
      <c r="B65" s="13" t="s">
        <v>87</v>
      </c>
      <c r="C65" s="200" t="s">
        <v>638</v>
      </c>
      <c r="D65" s="200" t="s">
        <v>637</v>
      </c>
      <c r="E65" s="200" t="s">
        <v>954</v>
      </c>
      <c r="F65" s="200"/>
      <c r="G65" s="200"/>
      <c r="H65" s="200" t="s">
        <v>953</v>
      </c>
      <c r="I65" s="12"/>
    </row>
    <row r="66" spans="1:18" s="14" customFormat="1" x14ac:dyDescent="0.25">
      <c r="A66" s="334"/>
      <c r="B66" s="13"/>
      <c r="C66" s="200"/>
      <c r="D66" s="200"/>
      <c r="E66" s="200"/>
      <c r="F66" s="200"/>
      <c r="G66" s="200"/>
      <c r="H66" s="200"/>
      <c r="I66" s="12"/>
      <c r="J66" s="12"/>
      <c r="K66" s="210"/>
      <c r="L66" s="211"/>
      <c r="P66" s="264"/>
      <c r="R66" s="264"/>
    </row>
    <row r="67" spans="1:18" x14ac:dyDescent="0.25">
      <c r="A67" s="333" t="s">
        <v>911</v>
      </c>
      <c r="B67" s="59" t="s">
        <v>1612</v>
      </c>
      <c r="C67" s="200"/>
      <c r="D67" s="200"/>
      <c r="E67" s="200"/>
      <c r="F67" s="200"/>
      <c r="G67" s="200"/>
      <c r="H67" s="200"/>
      <c r="I67" s="12"/>
      <c r="L67" s="213"/>
      <c r="N67" s="212"/>
    </row>
    <row r="68" spans="1:18" x14ac:dyDescent="0.25">
      <c r="B68" s="79" t="s">
        <v>57</v>
      </c>
      <c r="C68" s="270">
        <v>2</v>
      </c>
      <c r="D68" s="270">
        <v>3</v>
      </c>
      <c r="E68" s="270">
        <v>4</v>
      </c>
      <c r="F68" s="270"/>
      <c r="G68" s="270"/>
      <c r="H68" s="270">
        <v>6</v>
      </c>
      <c r="I68" s="12"/>
      <c r="L68" s="213"/>
      <c r="N68" s="212"/>
    </row>
    <row r="69" spans="1:18" x14ac:dyDescent="0.25">
      <c r="A69" s="328" t="str">
        <f ca="1">OFFSET($A$3,MATCH(B69,$B$4:$B$57,0),0)</f>
        <v>Contact</v>
      </c>
      <c r="B69" s="13" t="s">
        <v>4</v>
      </c>
      <c r="C69" s="6" t="s">
        <v>905</v>
      </c>
      <c r="D69" s="6" t="e">
        <f t="shared" ref="D69:E88" ca="1" si="9">_xlfn.IFNA(VLOOKUP($B69,$B$4:$G$57,D$68,0),0)</f>
        <v>#NAME?</v>
      </c>
      <c r="E69" s="6" t="e">
        <f t="shared" ca="1" si="9"/>
        <v>#NAME?</v>
      </c>
      <c r="H69" s="6">
        <f t="shared" ref="H69:H100" si="10">_xlfn.IFNA(VLOOKUP($B69,$B$4:$G$57,H$68,0),0)</f>
        <v>0.1365711531695368</v>
      </c>
      <c r="I69" s="12"/>
      <c r="L69" s="213"/>
      <c r="N69" s="212"/>
    </row>
    <row r="70" spans="1:18" x14ac:dyDescent="0.25">
      <c r="A70" s="328" t="str">
        <f t="shared" ref="A70:A118" ca="1" si="11">OFFSET($A$3,MATCH(B70,$B$4:$B$57,0),0)</f>
        <v>Genesis</v>
      </c>
      <c r="B70" s="13" t="s">
        <v>10</v>
      </c>
      <c r="C70" s="6">
        <f t="shared" ref="C70:C101" si="12">_xlfn.IFNA(VLOOKUP($B70,$B$4:$G$57,C$68,0),0)</f>
        <v>0.94181281083698498</v>
      </c>
      <c r="D70" s="6" t="e">
        <f t="shared" ca="1" si="9"/>
        <v>#NAME?</v>
      </c>
      <c r="E70" s="6" t="e">
        <f t="shared" ca="1" si="9"/>
        <v>#NAME?</v>
      </c>
      <c r="H70" s="6">
        <f t="shared" si="10"/>
        <v>0.12337252373198361</v>
      </c>
      <c r="I70" s="12"/>
      <c r="L70" s="213"/>
      <c r="N70" s="212"/>
    </row>
    <row r="71" spans="1:18" x14ac:dyDescent="0.25">
      <c r="A71" s="328" t="str">
        <f t="shared" ca="1" si="11"/>
        <v>Meridian</v>
      </c>
      <c r="B71" s="13" t="s">
        <v>14</v>
      </c>
      <c r="C71" s="6">
        <f t="shared" si="12"/>
        <v>7.3664921985804241</v>
      </c>
      <c r="D71" s="6" t="e">
        <f t="shared" ca="1" si="9"/>
        <v>#NAME?</v>
      </c>
      <c r="E71" s="6" t="e">
        <f t="shared" ca="1" si="9"/>
        <v>#NAME?</v>
      </c>
      <c r="H71" s="6">
        <f t="shared" si="10"/>
        <v>9.6138119928600177E-2</v>
      </c>
      <c r="I71" s="12"/>
      <c r="L71" s="213"/>
      <c r="N71" s="212"/>
    </row>
    <row r="72" spans="1:18" x14ac:dyDescent="0.25">
      <c r="A72" s="328" t="str">
        <f t="shared" ca="1" si="11"/>
        <v>Tuaropaki</v>
      </c>
      <c r="B72" s="13" t="s">
        <v>16</v>
      </c>
      <c r="C72" s="6">
        <f t="shared" si="12"/>
        <v>0</v>
      </c>
      <c r="D72" s="6" t="e">
        <f t="shared" ca="1" si="9"/>
        <v>#NAME?</v>
      </c>
      <c r="E72" s="6" t="e">
        <f t="shared" ca="1" si="9"/>
        <v>#NAME?</v>
      </c>
      <c r="H72" s="6">
        <f t="shared" si="10"/>
        <v>0</v>
      </c>
      <c r="I72" s="12"/>
      <c r="L72" s="213"/>
      <c r="N72" s="212"/>
    </row>
    <row r="73" spans="1:18" x14ac:dyDescent="0.25">
      <c r="A73" s="328" t="str">
        <f t="shared" ca="1" si="11"/>
        <v>Mercury</v>
      </c>
      <c r="B73" s="13" t="s">
        <v>17</v>
      </c>
      <c r="C73" s="6">
        <f t="shared" si="12"/>
        <v>0</v>
      </c>
      <c r="D73" s="6" t="e">
        <f t="shared" ca="1" si="9"/>
        <v>#NAME?</v>
      </c>
      <c r="E73" s="6" t="e">
        <f t="shared" ca="1" si="9"/>
        <v>#NAME?</v>
      </c>
      <c r="H73" s="6">
        <f t="shared" si="10"/>
        <v>0.4280211570435617</v>
      </c>
      <c r="I73" s="12"/>
      <c r="L73" s="213"/>
      <c r="N73" s="212"/>
    </row>
    <row r="74" spans="1:18" x14ac:dyDescent="0.25">
      <c r="A74" s="328" t="str">
        <f t="shared" ca="1" si="11"/>
        <v>Nga Awa Purua JV</v>
      </c>
      <c r="B74" s="13" t="s">
        <v>18</v>
      </c>
      <c r="C74" s="6">
        <f t="shared" si="12"/>
        <v>0</v>
      </c>
      <c r="D74" s="6" t="e">
        <f t="shared" ca="1" si="9"/>
        <v>#NAME?</v>
      </c>
      <c r="E74" s="6" t="e">
        <f t="shared" ca="1" si="9"/>
        <v>#NAME?</v>
      </c>
      <c r="H74" s="6">
        <f t="shared" si="10"/>
        <v>0</v>
      </c>
      <c r="I74" s="12"/>
      <c r="L74" s="213"/>
      <c r="N74" s="212"/>
    </row>
    <row r="75" spans="1:18" x14ac:dyDescent="0.25">
      <c r="A75" s="328" t="str">
        <f t="shared" ca="1" si="11"/>
        <v>Ngatamariki</v>
      </c>
      <c r="B75" s="13" t="s">
        <v>21</v>
      </c>
      <c r="C75" s="6">
        <f t="shared" si="12"/>
        <v>0</v>
      </c>
      <c r="D75" s="6" t="e">
        <f t="shared" ca="1" si="9"/>
        <v>#NAME?</v>
      </c>
      <c r="E75" s="6" t="e">
        <f t="shared" ca="1" si="9"/>
        <v>#NAME?</v>
      </c>
      <c r="H75" s="6">
        <f t="shared" si="10"/>
        <v>0</v>
      </c>
      <c r="I75" s="12"/>
      <c r="L75" s="213"/>
      <c r="N75" s="212"/>
    </row>
    <row r="76" spans="1:18" x14ac:dyDescent="0.25">
      <c r="A76" s="328" t="str">
        <f t="shared" ca="1" si="11"/>
        <v>Pioneer</v>
      </c>
      <c r="B76" s="13" t="s">
        <v>27</v>
      </c>
      <c r="C76" s="6">
        <f t="shared" si="12"/>
        <v>7.4552943431958223</v>
      </c>
      <c r="D76" s="6" t="e">
        <f t="shared" ca="1" si="9"/>
        <v>#NAME?</v>
      </c>
      <c r="E76" s="6" t="e">
        <f t="shared" ca="1" si="9"/>
        <v>#NAME?</v>
      </c>
      <c r="H76" s="6">
        <f t="shared" si="10"/>
        <v>0</v>
      </c>
      <c r="I76" s="12"/>
      <c r="L76" s="213"/>
      <c r="N76" s="212"/>
    </row>
    <row r="77" spans="1:18" hidden="1" x14ac:dyDescent="0.25">
      <c r="A77" s="328" t="e">
        <f t="shared" ca="1" si="11"/>
        <v>#N/A</v>
      </c>
      <c r="B77" s="13" t="s">
        <v>104</v>
      </c>
      <c r="C77" s="6">
        <f t="shared" si="12"/>
        <v>0</v>
      </c>
      <c r="D77" s="6">
        <f t="shared" si="9"/>
        <v>0</v>
      </c>
      <c r="E77" s="6">
        <f t="shared" si="9"/>
        <v>0</v>
      </c>
      <c r="H77" s="6">
        <f t="shared" si="10"/>
        <v>0</v>
      </c>
      <c r="I77" s="12"/>
      <c r="L77" s="213"/>
      <c r="N77" s="212"/>
    </row>
    <row r="78" spans="1:18" x14ac:dyDescent="0.25">
      <c r="A78" s="328" t="str">
        <f t="shared" ca="1" si="11"/>
        <v>Todd</v>
      </c>
      <c r="B78" s="13" t="s">
        <v>33</v>
      </c>
      <c r="C78" s="6">
        <f t="shared" si="12"/>
        <v>0</v>
      </c>
      <c r="D78" s="6" t="e">
        <f t="shared" ca="1" si="9"/>
        <v>#NAME?</v>
      </c>
      <c r="E78" s="6" t="e">
        <f t="shared" ca="1" si="9"/>
        <v>#NAME?</v>
      </c>
      <c r="H78" s="6">
        <f t="shared" si="10"/>
        <v>3.1787347692846912E-2</v>
      </c>
      <c r="I78" s="12"/>
      <c r="L78" s="213"/>
      <c r="N78" s="212"/>
    </row>
    <row r="79" spans="1:18" x14ac:dyDescent="0.25">
      <c r="A79" s="328" t="str">
        <f t="shared" ca="1" si="11"/>
        <v>Trustpower</v>
      </c>
      <c r="B79" s="13" t="s">
        <v>35</v>
      </c>
      <c r="C79" s="6">
        <f t="shared" si="12"/>
        <v>1.8508727784343857</v>
      </c>
      <c r="D79" s="6" t="e">
        <f t="shared" ca="1" si="9"/>
        <v>#NAME?</v>
      </c>
      <c r="E79" s="6" t="e">
        <f t="shared" ca="1" si="9"/>
        <v>#NAME?</v>
      </c>
      <c r="H79" s="6">
        <f t="shared" si="10"/>
        <v>0.14392468611827844</v>
      </c>
      <c r="I79" s="12"/>
      <c r="L79" s="213"/>
      <c r="N79" s="212"/>
    </row>
    <row r="80" spans="1:18" x14ac:dyDescent="0.25">
      <c r="A80" s="328" t="str">
        <f t="shared" ca="1" si="11"/>
        <v>NZ Aluminium Smelter</v>
      </c>
      <c r="B80" s="13" t="s">
        <v>44</v>
      </c>
      <c r="C80" s="6">
        <f t="shared" si="12"/>
        <v>12.737814231932109</v>
      </c>
      <c r="D80" s="6" t="e">
        <f t="shared" ca="1" si="9"/>
        <v>#NAME?</v>
      </c>
      <c r="E80" s="6" t="e">
        <f t="shared" ca="1" si="9"/>
        <v>#NAME?</v>
      </c>
      <c r="H80" s="6">
        <f t="shared" si="10"/>
        <v>6.7058239703302354</v>
      </c>
      <c r="I80" s="14"/>
      <c r="L80" s="213"/>
      <c r="N80" s="212"/>
    </row>
    <row r="81" spans="1:14" x14ac:dyDescent="0.25">
      <c r="A81" s="328" t="str">
        <f t="shared" ca="1" si="11"/>
        <v>The Power Company</v>
      </c>
      <c r="B81" s="13" t="s">
        <v>105</v>
      </c>
      <c r="C81" s="6">
        <f t="shared" si="12"/>
        <v>12.550152669445314</v>
      </c>
      <c r="D81" s="6" t="e">
        <f t="shared" ca="1" si="9"/>
        <v>#NAME?</v>
      </c>
      <c r="E81" s="6" t="e">
        <f t="shared" ca="1" si="9"/>
        <v>#NAME?</v>
      </c>
      <c r="H81" s="6">
        <f t="shared" si="10"/>
        <v>11.585551311757186</v>
      </c>
      <c r="I81" s="14"/>
      <c r="L81" s="213"/>
      <c r="N81" s="212"/>
    </row>
    <row r="82" spans="1:14" x14ac:dyDescent="0.25">
      <c r="A82" s="328" t="str">
        <f t="shared" ca="1" si="11"/>
        <v>Electricity Invercargill</v>
      </c>
      <c r="B82" s="13" t="s">
        <v>101</v>
      </c>
      <c r="C82" s="6">
        <f t="shared" si="12"/>
        <v>21.451836124558053</v>
      </c>
      <c r="D82" s="6" t="e">
        <f t="shared" ca="1" si="9"/>
        <v>#NAME?</v>
      </c>
      <c r="E82" s="6" t="e">
        <f t="shared" ca="1" si="9"/>
        <v>#NAME?</v>
      </c>
      <c r="H82" s="6">
        <f t="shared" si="10"/>
        <v>12.368801592938082</v>
      </c>
      <c r="I82" s="14"/>
      <c r="L82" s="213"/>
      <c r="N82" s="212"/>
    </row>
    <row r="83" spans="1:14" x14ac:dyDescent="0.25">
      <c r="A83" s="328" t="str">
        <f t="shared" ca="1" si="11"/>
        <v>Rayonier</v>
      </c>
      <c r="B83" s="13" t="s">
        <v>30</v>
      </c>
      <c r="C83" s="6">
        <f t="shared" si="12"/>
        <v>13.766576392240696</v>
      </c>
      <c r="D83" s="6" t="e">
        <f t="shared" ca="1" si="9"/>
        <v>#NAME?</v>
      </c>
      <c r="E83" s="6" t="e">
        <f t="shared" ca="1" si="9"/>
        <v>#NAME?</v>
      </c>
      <c r="H83" s="6">
        <f t="shared" si="10"/>
        <v>9.7764866473952843</v>
      </c>
      <c r="I83" s="14"/>
      <c r="L83" s="213"/>
      <c r="N83" s="212"/>
    </row>
    <row r="84" spans="1:14" x14ac:dyDescent="0.25">
      <c r="A84" s="328" t="str">
        <f t="shared" ca="1" si="11"/>
        <v>Aurora Energy</v>
      </c>
      <c r="B84" s="13" t="s">
        <v>1</v>
      </c>
      <c r="C84" s="6">
        <f t="shared" si="12"/>
        <v>15.962835547725652</v>
      </c>
      <c r="D84" s="6" t="e">
        <f t="shared" ca="1" si="9"/>
        <v>#NAME?</v>
      </c>
      <c r="E84" s="6" t="e">
        <f t="shared" ca="1" si="9"/>
        <v>#NAME?</v>
      </c>
      <c r="H84" s="6">
        <f t="shared" si="10"/>
        <v>13.513764664041766</v>
      </c>
      <c r="I84" s="14"/>
      <c r="L84" s="213"/>
      <c r="N84" s="212"/>
    </row>
    <row r="85" spans="1:14" x14ac:dyDescent="0.25">
      <c r="A85" s="328" t="str">
        <f t="shared" ca="1" si="11"/>
        <v>Lakeland Network</v>
      </c>
      <c r="B85" s="13" t="s">
        <v>102</v>
      </c>
      <c r="C85" s="6">
        <f t="shared" si="12"/>
        <v>18.542891445609651</v>
      </c>
      <c r="D85" s="6" t="e">
        <f t="shared" ca="1" si="9"/>
        <v>#NAME?</v>
      </c>
      <c r="E85" s="6" t="e">
        <f t="shared" ca="1" si="9"/>
        <v>#NAME?</v>
      </c>
      <c r="H85" s="6">
        <f t="shared" si="10"/>
        <v>14.364179896439936</v>
      </c>
      <c r="I85" s="14"/>
      <c r="L85" s="213"/>
      <c r="N85" s="212"/>
    </row>
    <row r="86" spans="1:14" x14ac:dyDescent="0.25">
      <c r="A86" s="328" t="str">
        <f t="shared" ca="1" si="11"/>
        <v>OtagoNet JV</v>
      </c>
      <c r="B86" s="13" t="s">
        <v>103</v>
      </c>
      <c r="C86" s="6">
        <f t="shared" si="12"/>
        <v>9.3559409689177997</v>
      </c>
      <c r="D86" s="6" t="e">
        <f t="shared" ca="1" si="9"/>
        <v>#NAME?</v>
      </c>
      <c r="E86" s="6" t="e">
        <f t="shared" ca="1" si="9"/>
        <v>#NAME?</v>
      </c>
      <c r="H86" s="6">
        <f t="shared" si="10"/>
        <v>9.9090198755869565</v>
      </c>
      <c r="I86" s="14"/>
      <c r="L86" s="213"/>
      <c r="N86" s="212"/>
    </row>
    <row r="87" spans="1:14" x14ac:dyDescent="0.25">
      <c r="A87" s="328" t="str">
        <f t="shared" ca="1" si="11"/>
        <v>Network Waitaki</v>
      </c>
      <c r="B87" s="13" t="s">
        <v>20</v>
      </c>
      <c r="C87" s="6">
        <f t="shared" si="12"/>
        <v>11.907872195541893</v>
      </c>
      <c r="D87" s="6" t="e">
        <f t="shared" ca="1" si="9"/>
        <v>#NAME?</v>
      </c>
      <c r="E87" s="6" t="e">
        <f t="shared" ca="1" si="9"/>
        <v>#NAME?</v>
      </c>
      <c r="H87" s="6">
        <f t="shared" si="10"/>
        <v>13.632939027859052</v>
      </c>
      <c r="I87" s="14"/>
      <c r="L87" s="213"/>
      <c r="N87" s="212"/>
    </row>
    <row r="88" spans="1:14" x14ac:dyDescent="0.25">
      <c r="A88" s="328" t="str">
        <f t="shared" ca="1" si="11"/>
        <v>Alpine Energy</v>
      </c>
      <c r="B88" s="13" t="s">
        <v>0</v>
      </c>
      <c r="C88" s="6">
        <f t="shared" si="12"/>
        <v>13.25388193840117</v>
      </c>
      <c r="D88" s="6" t="e">
        <f t="shared" ca="1" si="9"/>
        <v>#NAME?</v>
      </c>
      <c r="E88" s="6" t="e">
        <f t="shared" ca="1" si="9"/>
        <v>#NAME?</v>
      </c>
      <c r="H88" s="6">
        <f t="shared" si="10"/>
        <v>11.479504433584275</v>
      </c>
      <c r="I88" s="14"/>
      <c r="L88" s="213"/>
      <c r="N88" s="212"/>
    </row>
    <row r="89" spans="1:14" x14ac:dyDescent="0.25">
      <c r="A89" s="328" t="str">
        <f t="shared" ca="1" si="11"/>
        <v>Electricity Ashburton</v>
      </c>
      <c r="B89" s="13" t="s">
        <v>9</v>
      </c>
      <c r="C89" s="6">
        <f t="shared" si="12"/>
        <v>5.7932009059769269</v>
      </c>
      <c r="D89" s="6" t="e">
        <f t="shared" ref="D89:E108" ca="1" si="13">_xlfn.IFNA(VLOOKUP($B89,$B$4:$G$57,D$68,0),0)</f>
        <v>#NAME?</v>
      </c>
      <c r="E89" s="6" t="e">
        <f t="shared" ca="1" si="13"/>
        <v>#NAME?</v>
      </c>
      <c r="H89" s="6">
        <f t="shared" si="10"/>
        <v>18.054863099541969</v>
      </c>
      <c r="I89" s="14"/>
      <c r="L89" s="213"/>
      <c r="N89" s="212"/>
    </row>
    <row r="90" spans="1:14" x14ac:dyDescent="0.25">
      <c r="A90" s="328" t="str">
        <f t="shared" ca="1" si="11"/>
        <v>Daiken MDF</v>
      </c>
      <c r="B90" s="13" t="s">
        <v>6</v>
      </c>
      <c r="C90" s="6">
        <f t="shared" si="12"/>
        <v>12.679639171557145</v>
      </c>
      <c r="D90" s="6" t="e">
        <f t="shared" ca="1" si="13"/>
        <v>#NAME?</v>
      </c>
      <c r="E90" s="6" t="e">
        <f t="shared" ca="1" si="13"/>
        <v>#NAME?</v>
      </c>
      <c r="H90" s="6">
        <f t="shared" si="10"/>
        <v>9.5876755693816325</v>
      </c>
      <c r="I90" s="14"/>
      <c r="L90" s="213"/>
      <c r="N90" s="212"/>
    </row>
    <row r="91" spans="1:14" x14ac:dyDescent="0.25">
      <c r="A91" s="328" t="str">
        <f t="shared" ca="1" si="11"/>
        <v>Orion</v>
      </c>
      <c r="B91" s="13" t="s">
        <v>25</v>
      </c>
      <c r="C91" s="6">
        <f t="shared" si="12"/>
        <v>19.714557302656988</v>
      </c>
      <c r="D91" s="6" t="e">
        <f t="shared" ca="1" si="13"/>
        <v>#NAME?</v>
      </c>
      <c r="E91" s="6" t="e">
        <f t="shared" ca="1" si="13"/>
        <v>#NAME?</v>
      </c>
      <c r="H91" s="6">
        <f t="shared" si="10"/>
        <v>13.009811189357087</v>
      </c>
      <c r="I91" s="14"/>
      <c r="L91" s="213"/>
      <c r="N91" s="212"/>
    </row>
    <row r="92" spans="1:14" x14ac:dyDescent="0.25">
      <c r="A92" s="328" t="str">
        <f t="shared" ca="1" si="11"/>
        <v>Mainpower</v>
      </c>
      <c r="B92" s="13" t="s">
        <v>12</v>
      </c>
      <c r="C92" s="6">
        <f t="shared" si="12"/>
        <v>17.259365788961251</v>
      </c>
      <c r="D92" s="6" t="e">
        <f t="shared" ca="1" si="13"/>
        <v>#NAME?</v>
      </c>
      <c r="E92" s="6" t="e">
        <f t="shared" ca="1" si="13"/>
        <v>#NAME?</v>
      </c>
      <c r="H92" s="6">
        <f t="shared" si="10"/>
        <v>13.35034828852139</v>
      </c>
      <c r="I92" s="14"/>
      <c r="L92" s="213"/>
      <c r="N92" s="212"/>
    </row>
    <row r="93" spans="1:14" x14ac:dyDescent="0.25">
      <c r="A93" s="328" t="str">
        <f t="shared" ca="1" si="11"/>
        <v>Marlborough Lines</v>
      </c>
      <c r="B93" s="13" t="s">
        <v>13</v>
      </c>
      <c r="C93" s="6">
        <f t="shared" si="12"/>
        <v>16.853410902389928</v>
      </c>
      <c r="D93" s="6" t="e">
        <f t="shared" ca="1" si="13"/>
        <v>#NAME?</v>
      </c>
      <c r="E93" s="6" t="e">
        <f t="shared" ca="1" si="13"/>
        <v>#NAME?</v>
      </c>
      <c r="H93" s="6">
        <f t="shared" si="10"/>
        <v>11.175323198191068</v>
      </c>
      <c r="I93" s="14"/>
      <c r="L93" s="213"/>
      <c r="N93" s="212"/>
    </row>
    <row r="94" spans="1:14" x14ac:dyDescent="0.25">
      <c r="A94" s="328" t="str">
        <f t="shared" ca="1" si="11"/>
        <v>Network Tasman</v>
      </c>
      <c r="B94" s="13" t="s">
        <v>19</v>
      </c>
      <c r="C94" s="6">
        <f t="shared" si="12"/>
        <v>14.697353395219174</v>
      </c>
      <c r="D94" s="6" t="e">
        <f t="shared" ca="1" si="13"/>
        <v>#NAME?</v>
      </c>
      <c r="E94" s="6" t="e">
        <f t="shared" ca="1" si="13"/>
        <v>#NAME?</v>
      </c>
      <c r="H94" s="6">
        <f t="shared" si="10"/>
        <v>12.640070497576382</v>
      </c>
      <c r="I94" s="14"/>
      <c r="L94" s="213"/>
      <c r="N94" s="212"/>
    </row>
    <row r="95" spans="1:14" x14ac:dyDescent="0.25">
      <c r="A95" s="328" t="str">
        <f t="shared" ca="1" si="11"/>
        <v>Buller Electricity</v>
      </c>
      <c r="B95" s="13" t="s">
        <v>2</v>
      </c>
      <c r="C95" s="6">
        <f t="shared" si="12"/>
        <v>11.92197927691965</v>
      </c>
      <c r="D95" s="6" t="e">
        <f t="shared" ca="1" si="13"/>
        <v>#NAME?</v>
      </c>
      <c r="E95" s="6" t="e">
        <f t="shared" ca="1" si="13"/>
        <v>#NAME?</v>
      </c>
      <c r="H95" s="6">
        <f t="shared" si="10"/>
        <v>15.2493859545091</v>
      </c>
      <c r="I95" s="14"/>
    </row>
    <row r="96" spans="1:14" x14ac:dyDescent="0.25">
      <c r="A96" s="328" t="str">
        <f t="shared" ca="1" si="11"/>
        <v>Westpower</v>
      </c>
      <c r="B96" s="13" t="s">
        <v>41</v>
      </c>
      <c r="C96" s="6">
        <f t="shared" si="12"/>
        <v>5.6563840130751597</v>
      </c>
      <c r="D96" s="6" t="e">
        <f t="shared" ca="1" si="13"/>
        <v>#NAME?</v>
      </c>
      <c r="E96" s="6" t="e">
        <f t="shared" ca="1" si="13"/>
        <v>#NAME?</v>
      </c>
      <c r="H96" s="6">
        <f t="shared" si="10"/>
        <v>15.080394245488481</v>
      </c>
      <c r="I96" s="14"/>
    </row>
    <row r="97" spans="1:9" x14ac:dyDescent="0.25">
      <c r="A97" s="328" t="str">
        <f t="shared" ca="1" si="11"/>
        <v>Wellington Electricity</v>
      </c>
      <c r="B97" s="13" t="s">
        <v>40</v>
      </c>
      <c r="C97" s="6">
        <f t="shared" si="12"/>
        <v>22.415914100668541</v>
      </c>
      <c r="D97" s="6" t="e">
        <f t="shared" ca="1" si="13"/>
        <v>#NAME?</v>
      </c>
      <c r="E97" s="6" t="e">
        <f t="shared" ca="1" si="13"/>
        <v>#NAME?</v>
      </c>
      <c r="H97" s="6">
        <f t="shared" si="10"/>
        <v>13.737701584721389</v>
      </c>
      <c r="I97" s="14"/>
    </row>
    <row r="98" spans="1:9" x14ac:dyDescent="0.25">
      <c r="A98" s="328" t="str">
        <f t="shared" ca="1" si="11"/>
        <v>Electra</v>
      </c>
      <c r="B98" s="13" t="s">
        <v>8</v>
      </c>
      <c r="C98" s="6">
        <f t="shared" si="12"/>
        <v>14.67676059070342</v>
      </c>
      <c r="D98" s="6" t="e">
        <f t="shared" ca="1" si="13"/>
        <v>#NAME?</v>
      </c>
      <c r="E98" s="6" t="e">
        <f t="shared" ca="1" si="13"/>
        <v>#NAME?</v>
      </c>
      <c r="H98" s="6">
        <f t="shared" si="10"/>
        <v>12.824759236349934</v>
      </c>
      <c r="I98" s="14"/>
    </row>
    <row r="99" spans="1:9" x14ac:dyDescent="0.25">
      <c r="A99" s="328" t="str">
        <f t="shared" ca="1" si="11"/>
        <v>Scanpower</v>
      </c>
      <c r="B99" s="13" t="s">
        <v>31</v>
      </c>
      <c r="C99" s="6">
        <f t="shared" si="12"/>
        <v>18.15965357724091</v>
      </c>
      <c r="D99" s="6" t="e">
        <f t="shared" ca="1" si="13"/>
        <v>#NAME?</v>
      </c>
      <c r="E99" s="6" t="e">
        <f t="shared" ca="1" si="13"/>
        <v>#NAME?</v>
      </c>
      <c r="H99" s="6">
        <f t="shared" si="10"/>
        <v>10.58384471455113</v>
      </c>
      <c r="I99" s="14"/>
    </row>
    <row r="100" spans="1:9" x14ac:dyDescent="0.25">
      <c r="A100" s="328" t="str">
        <f t="shared" ca="1" si="11"/>
        <v>Winstones</v>
      </c>
      <c r="B100" s="13" t="s">
        <v>42</v>
      </c>
      <c r="C100" s="6">
        <f t="shared" si="12"/>
        <v>13.817470075746938</v>
      </c>
      <c r="D100" s="6" t="e">
        <f t="shared" ca="1" si="13"/>
        <v>#NAME?</v>
      </c>
      <c r="E100" s="6" t="e">
        <f t="shared" ca="1" si="13"/>
        <v>#NAME?</v>
      </c>
      <c r="H100" s="6">
        <f t="shared" si="10"/>
        <v>9.5010544468515317</v>
      </c>
      <c r="I100" s="14"/>
    </row>
    <row r="101" spans="1:9" x14ac:dyDescent="0.25">
      <c r="A101" s="328" t="str">
        <f t="shared" ca="1" si="11"/>
        <v>Methanex</v>
      </c>
      <c r="B101" s="13" t="s">
        <v>15</v>
      </c>
      <c r="C101" s="6">
        <f t="shared" si="12"/>
        <v>12.930062628414241</v>
      </c>
      <c r="D101" s="6" t="e">
        <f t="shared" ca="1" si="13"/>
        <v>#NAME?</v>
      </c>
      <c r="E101" s="6" t="e">
        <f t="shared" ca="1" si="13"/>
        <v>#NAME?</v>
      </c>
      <c r="H101" s="6">
        <f t="shared" ref="H101:H118" si="14">_xlfn.IFNA(VLOOKUP($B101,$B$4:$G$57,H$68,0),0)</f>
        <v>10.161950737593843</v>
      </c>
      <c r="I101" s="14"/>
    </row>
    <row r="102" spans="1:9" x14ac:dyDescent="0.25">
      <c r="A102" s="328" t="str">
        <f t="shared" ca="1" si="11"/>
        <v>Centralines</v>
      </c>
      <c r="B102" s="13" t="s">
        <v>100</v>
      </c>
      <c r="C102" s="6">
        <f t="shared" ref="C102:C118" si="15">_xlfn.IFNA(VLOOKUP($B102,$B$4:$G$57,C$68,0),0)</f>
        <v>18.096082146493618</v>
      </c>
      <c r="D102" s="6" t="e">
        <f t="shared" ca="1" si="13"/>
        <v>#NAME?</v>
      </c>
      <c r="E102" s="6" t="e">
        <f t="shared" ca="1" si="13"/>
        <v>#NAME?</v>
      </c>
      <c r="H102" s="6">
        <f t="shared" si="14"/>
        <v>10.358562482556636</v>
      </c>
      <c r="I102" s="14"/>
    </row>
    <row r="103" spans="1:9" x14ac:dyDescent="0.25">
      <c r="A103" s="328" t="str">
        <f t="shared" ca="1" si="11"/>
        <v>Unison</v>
      </c>
      <c r="B103" s="13" t="s">
        <v>36</v>
      </c>
      <c r="C103" s="6">
        <f t="shared" si="15"/>
        <v>18.730449706185677</v>
      </c>
      <c r="D103" s="6" t="e">
        <f t="shared" ca="1" si="13"/>
        <v>#NAME?</v>
      </c>
      <c r="E103" s="6" t="e">
        <f t="shared" ca="1" si="13"/>
        <v>#NAME?</v>
      </c>
      <c r="H103" s="6">
        <f t="shared" si="14"/>
        <v>12.128893397249659</v>
      </c>
      <c r="I103" s="14"/>
    </row>
    <row r="104" spans="1:9" x14ac:dyDescent="0.25">
      <c r="A104" s="328" t="str">
        <f t="shared" ca="1" si="11"/>
        <v>Pan Pac</v>
      </c>
      <c r="B104" s="13" t="s">
        <v>26</v>
      </c>
      <c r="C104" s="6">
        <f t="shared" si="15"/>
        <v>6.7314131197370193</v>
      </c>
      <c r="D104" s="6" t="e">
        <f t="shared" ca="1" si="13"/>
        <v>#NAME?</v>
      </c>
      <c r="E104" s="6" t="e">
        <f t="shared" ca="1" si="13"/>
        <v>#NAME?</v>
      </c>
      <c r="H104" s="6">
        <f t="shared" si="14"/>
        <v>9.242992530793062</v>
      </c>
      <c r="I104" s="14"/>
    </row>
    <row r="105" spans="1:9" x14ac:dyDescent="0.25">
      <c r="A105" s="328" t="str">
        <f t="shared" ca="1" si="11"/>
        <v>Eastland Network</v>
      </c>
      <c r="B105" s="13" t="s">
        <v>7</v>
      </c>
      <c r="C105" s="6">
        <f t="shared" si="15"/>
        <v>17.573854476978823</v>
      </c>
      <c r="D105" s="6" t="e">
        <f t="shared" ca="1" si="13"/>
        <v>#NAME?</v>
      </c>
      <c r="E105" s="6" t="e">
        <f t="shared" ca="1" si="13"/>
        <v>#NAME?</v>
      </c>
      <c r="H105" s="6">
        <f t="shared" si="14"/>
        <v>11.034603533012799</v>
      </c>
      <c r="I105" s="14"/>
    </row>
    <row r="106" spans="1:9" x14ac:dyDescent="0.25">
      <c r="A106" s="328" t="str">
        <f t="shared" ca="1" si="11"/>
        <v>Horizon</v>
      </c>
      <c r="B106" s="13" t="s">
        <v>11</v>
      </c>
      <c r="C106" s="6">
        <f t="shared" si="15"/>
        <v>6.5134486019781992</v>
      </c>
      <c r="D106" s="6" t="e">
        <f t="shared" ca="1" si="13"/>
        <v>#NAME?</v>
      </c>
      <c r="E106" s="6" t="e">
        <f t="shared" ca="1" si="13"/>
        <v>#NAME?</v>
      </c>
      <c r="H106" s="6">
        <f t="shared" si="14"/>
        <v>10.928517483818931</v>
      </c>
      <c r="I106" s="14"/>
    </row>
    <row r="107" spans="1:9" x14ac:dyDescent="0.25">
      <c r="A107" s="328" t="str">
        <f t="shared" ca="1" si="11"/>
        <v>Norske Skog</v>
      </c>
      <c r="B107" s="13" t="s">
        <v>22</v>
      </c>
      <c r="C107" s="6">
        <f t="shared" si="15"/>
        <v>0.12266607928491202</v>
      </c>
      <c r="D107" s="6" t="e">
        <f t="shared" ca="1" si="13"/>
        <v>#NAME?</v>
      </c>
      <c r="E107" s="6" t="e">
        <f t="shared" ca="1" si="13"/>
        <v>#NAME?</v>
      </c>
      <c r="H107" s="6">
        <f t="shared" si="14"/>
        <v>13.737930000538402</v>
      </c>
      <c r="I107" s="14"/>
    </row>
    <row r="108" spans="1:9" x14ac:dyDescent="0.25">
      <c r="A108" s="328" t="str">
        <f t="shared" ca="1" si="11"/>
        <v>Carter Holt Harvey</v>
      </c>
      <c r="B108" s="13" t="s">
        <v>3</v>
      </c>
      <c r="C108" s="6">
        <f t="shared" si="15"/>
        <v>6.8001809722452364</v>
      </c>
      <c r="D108" s="6" t="e">
        <f t="shared" ca="1" si="13"/>
        <v>#NAME?</v>
      </c>
      <c r="E108" s="6" t="e">
        <f t="shared" ca="1" si="13"/>
        <v>#NAME?</v>
      </c>
      <c r="H108" s="6">
        <f t="shared" si="14"/>
        <v>8.7272911986990191</v>
      </c>
      <c r="I108" s="14"/>
    </row>
    <row r="109" spans="1:9" x14ac:dyDescent="0.25">
      <c r="A109" s="328" t="str">
        <f t="shared" ca="1" si="11"/>
        <v>Powerco</v>
      </c>
      <c r="B109" s="13" t="s">
        <v>28</v>
      </c>
      <c r="C109" s="6">
        <f t="shared" si="15"/>
        <v>16.933916275753671</v>
      </c>
      <c r="D109" s="6" t="e">
        <f t="shared" ref="D109:E118" ca="1" si="16">_xlfn.IFNA(VLOOKUP($B109,$B$4:$G$57,D$68,0),0)</f>
        <v>#NAME?</v>
      </c>
      <c r="E109" s="6" t="e">
        <f t="shared" ca="1" si="16"/>
        <v>#NAME?</v>
      </c>
      <c r="H109" s="6">
        <f t="shared" si="14"/>
        <v>12.892751894065904</v>
      </c>
      <c r="I109" s="14"/>
    </row>
    <row r="110" spans="1:9" x14ac:dyDescent="0.25">
      <c r="A110" s="328" t="str">
        <f t="shared" ca="1" si="11"/>
        <v>The Lines Company</v>
      </c>
      <c r="B110" s="13" t="s">
        <v>32</v>
      </c>
      <c r="C110" s="6">
        <f t="shared" si="15"/>
        <v>12.646163993604523</v>
      </c>
      <c r="D110" s="6" t="e">
        <f t="shared" ca="1" si="16"/>
        <v>#NAME?</v>
      </c>
      <c r="E110" s="6" t="e">
        <f t="shared" ca="1" si="16"/>
        <v>#NAME?</v>
      </c>
      <c r="H110" s="6">
        <f t="shared" si="14"/>
        <v>15.02730026931906</v>
      </c>
      <c r="I110" s="14"/>
    </row>
    <row r="111" spans="1:9" x14ac:dyDescent="0.25">
      <c r="A111" s="328" t="str">
        <f t="shared" ca="1" si="11"/>
        <v>Waipa Power</v>
      </c>
      <c r="B111" s="13" t="s">
        <v>38</v>
      </c>
      <c r="C111" s="6">
        <f t="shared" si="15"/>
        <v>17.110783137975556</v>
      </c>
      <c r="D111" s="6" t="e">
        <f t="shared" ca="1" si="16"/>
        <v>#NAME?</v>
      </c>
      <c r="E111" s="6" t="e">
        <f t="shared" ca="1" si="16"/>
        <v>#NAME?</v>
      </c>
      <c r="H111" s="6">
        <f t="shared" si="14"/>
        <v>11.809213060811501</v>
      </c>
      <c r="I111" s="14"/>
    </row>
    <row r="112" spans="1:9" x14ac:dyDescent="0.25">
      <c r="A112" s="328" t="str">
        <f t="shared" ca="1" si="11"/>
        <v>WEL Networks</v>
      </c>
      <c r="B112" s="13" t="s">
        <v>39</v>
      </c>
      <c r="C112" s="6">
        <f t="shared" si="15"/>
        <v>15.839899810180441</v>
      </c>
      <c r="D112" s="6" t="e">
        <f t="shared" ca="1" si="16"/>
        <v>#NAME?</v>
      </c>
      <c r="E112" s="6" t="e">
        <f t="shared" ca="1" si="16"/>
        <v>#NAME?</v>
      </c>
      <c r="H112" s="6">
        <f t="shared" si="14"/>
        <v>13.284173857011737</v>
      </c>
      <c r="I112" s="14"/>
    </row>
    <row r="113" spans="1:9" x14ac:dyDescent="0.25">
      <c r="A113" s="328" t="str">
        <f t="shared" ca="1" si="11"/>
        <v>NZ Steel</v>
      </c>
      <c r="B113" s="13" t="s">
        <v>24</v>
      </c>
      <c r="C113" s="6">
        <f t="shared" si="15"/>
        <v>5.170932278318384</v>
      </c>
      <c r="D113" s="6" t="e">
        <f t="shared" ca="1" si="16"/>
        <v>#NAME?</v>
      </c>
      <c r="E113" s="6" t="e">
        <f t="shared" ca="1" si="16"/>
        <v>#NAME?</v>
      </c>
      <c r="H113" s="6">
        <f t="shared" si="14"/>
        <v>9.1857990735810429</v>
      </c>
      <c r="I113" s="14"/>
    </row>
    <row r="114" spans="1:9" x14ac:dyDescent="0.25">
      <c r="A114" s="328" t="str">
        <f t="shared" ca="1" si="11"/>
        <v>Counties Power</v>
      </c>
      <c r="B114" s="13" t="s">
        <v>5</v>
      </c>
      <c r="C114" s="6">
        <f t="shared" si="15"/>
        <v>17.96692160816341</v>
      </c>
      <c r="D114" s="6" t="e">
        <f t="shared" ca="1" si="16"/>
        <v>#NAME?</v>
      </c>
      <c r="E114" s="6" t="e">
        <f t="shared" ca="1" si="16"/>
        <v>#NAME?</v>
      </c>
      <c r="H114" s="6">
        <f t="shared" si="14"/>
        <v>12.906315456838731</v>
      </c>
      <c r="I114" s="14"/>
    </row>
    <row r="115" spans="1:9" x14ac:dyDescent="0.25">
      <c r="A115" s="328" t="str">
        <f t="shared" ca="1" si="11"/>
        <v>Vector</v>
      </c>
      <c r="B115" s="13" t="s">
        <v>37</v>
      </c>
      <c r="C115" s="6">
        <f t="shared" si="15"/>
        <v>21.250022006241686</v>
      </c>
      <c r="D115" s="6" t="e">
        <f t="shared" ca="1" si="16"/>
        <v>#NAME?</v>
      </c>
      <c r="E115" s="6" t="e">
        <f t="shared" ca="1" si="16"/>
        <v>#NAME?</v>
      </c>
      <c r="H115" s="6">
        <f t="shared" si="14"/>
        <v>14.953240811324132</v>
      </c>
      <c r="I115" s="14"/>
    </row>
    <row r="116" spans="1:9" x14ac:dyDescent="0.25">
      <c r="A116" s="328" t="str">
        <f t="shared" ca="1" si="11"/>
        <v>Refining NZ</v>
      </c>
      <c r="B116" s="56" t="s">
        <v>904</v>
      </c>
      <c r="C116" s="6">
        <f t="shared" si="15"/>
        <v>12.206633587543919</v>
      </c>
      <c r="D116" s="6" t="e">
        <f t="shared" ca="1" si="16"/>
        <v>#NAME?</v>
      </c>
      <c r="E116" s="6" t="e">
        <f t="shared" ca="1" si="16"/>
        <v>#NAME?</v>
      </c>
      <c r="H116" s="6">
        <f t="shared" si="14"/>
        <v>7.7945121917278861</v>
      </c>
      <c r="I116" s="14"/>
    </row>
    <row r="117" spans="1:9" x14ac:dyDescent="0.25">
      <c r="A117" s="328" t="str">
        <f t="shared" ca="1" si="11"/>
        <v>Northpower</v>
      </c>
      <c r="B117" s="13" t="s">
        <v>23</v>
      </c>
      <c r="C117" s="6">
        <f t="shared" si="15"/>
        <v>17.168688813887194</v>
      </c>
      <c r="D117" s="6" t="e">
        <f t="shared" ca="1" si="16"/>
        <v>#NAME?</v>
      </c>
      <c r="E117" s="6" t="e">
        <f t="shared" ca="1" si="16"/>
        <v>#NAME?</v>
      </c>
      <c r="H117" s="6">
        <f t="shared" si="14"/>
        <v>10.455029195232441</v>
      </c>
      <c r="I117" s="14"/>
    </row>
    <row r="118" spans="1:9" x14ac:dyDescent="0.25">
      <c r="A118" s="328" t="str">
        <f t="shared" ca="1" si="11"/>
        <v>Top Energy</v>
      </c>
      <c r="B118" s="13" t="s">
        <v>34</v>
      </c>
      <c r="C118" s="6">
        <f t="shared" si="15"/>
        <v>11.971351998830519</v>
      </c>
      <c r="D118" s="6" t="e">
        <f t="shared" ca="1" si="16"/>
        <v>#NAME?</v>
      </c>
      <c r="E118" s="6" t="e">
        <f t="shared" ca="1" si="16"/>
        <v>#NAME?</v>
      </c>
      <c r="H118" s="6">
        <f t="shared" si="14"/>
        <v>11.584907358367552</v>
      </c>
      <c r="I118" s="14"/>
    </row>
    <row r="133" spans="3:8" x14ac:dyDescent="0.25">
      <c r="C133" s="13"/>
      <c r="D133" s="13"/>
      <c r="E133" s="13"/>
      <c r="F133" s="13"/>
      <c r="G133" s="13"/>
      <c r="H133" s="13"/>
    </row>
    <row r="134" spans="3:8" x14ac:dyDescent="0.25">
      <c r="C134" s="13"/>
      <c r="D134" s="13"/>
      <c r="E134" s="13"/>
      <c r="F134" s="13"/>
      <c r="G134" s="13"/>
      <c r="H134" s="13"/>
    </row>
    <row r="136" spans="3:8" x14ac:dyDescent="0.25">
      <c r="C136" s="13"/>
      <c r="D136" s="13"/>
      <c r="E136" s="13"/>
      <c r="F136" s="13"/>
      <c r="G136" s="13"/>
      <c r="H136" s="13"/>
    </row>
    <row r="137" spans="3:8" x14ac:dyDescent="0.25">
      <c r="C137" s="13"/>
      <c r="D137" s="13"/>
      <c r="E137" s="13"/>
      <c r="F137" s="13"/>
      <c r="G137" s="13"/>
      <c r="H137" s="13"/>
    </row>
    <row r="140" spans="3:8" x14ac:dyDescent="0.25">
      <c r="C140" s="13"/>
      <c r="D140" s="13"/>
      <c r="E140" s="13"/>
      <c r="F140" s="13"/>
      <c r="G140" s="13"/>
      <c r="H140" s="13"/>
    </row>
    <row r="142" spans="3:8" x14ac:dyDescent="0.25">
      <c r="C142" s="13"/>
      <c r="D142" s="13"/>
      <c r="E142" s="13"/>
      <c r="F142" s="13"/>
      <c r="G142" s="13"/>
      <c r="H142" s="13"/>
    </row>
    <row r="143" spans="3:8" x14ac:dyDescent="0.25">
      <c r="C143" s="13"/>
      <c r="D143" s="13"/>
      <c r="E143" s="13"/>
      <c r="F143" s="13"/>
      <c r="G143" s="13"/>
      <c r="H143" s="13"/>
    </row>
    <row r="144" spans="3:8" x14ac:dyDescent="0.25">
      <c r="C144" s="13"/>
      <c r="D144" s="13"/>
      <c r="E144" s="13"/>
      <c r="F144" s="13"/>
      <c r="G144" s="13"/>
      <c r="H144" s="13"/>
    </row>
    <row r="145" spans="3:8" x14ac:dyDescent="0.25">
      <c r="C145" s="13"/>
      <c r="D145" s="13"/>
      <c r="E145" s="13"/>
      <c r="F145" s="13"/>
      <c r="G145" s="13"/>
      <c r="H145" s="13"/>
    </row>
    <row r="146" spans="3:8" x14ac:dyDescent="0.25">
      <c r="C146" s="13"/>
      <c r="D146" s="13"/>
      <c r="E146" s="13"/>
      <c r="F146" s="13"/>
      <c r="G146" s="13"/>
      <c r="H146" s="13"/>
    </row>
    <row r="147" spans="3:8" x14ac:dyDescent="0.25">
      <c r="C147" s="13"/>
      <c r="D147" s="13"/>
      <c r="E147" s="13"/>
      <c r="F147" s="13"/>
      <c r="G147" s="13"/>
      <c r="H147" s="13"/>
    </row>
    <row r="148" spans="3:8" x14ac:dyDescent="0.25">
      <c r="C148" s="13"/>
      <c r="D148" s="13"/>
      <c r="E148" s="13"/>
      <c r="F148" s="13"/>
      <c r="G148" s="13"/>
      <c r="H148" s="13"/>
    </row>
    <row r="149" spans="3:8" x14ac:dyDescent="0.25">
      <c r="C149" s="13"/>
      <c r="D149" s="13"/>
      <c r="E149" s="13"/>
      <c r="F149" s="13"/>
      <c r="G149" s="13"/>
      <c r="H149" s="13"/>
    </row>
    <row r="150" spans="3:8" x14ac:dyDescent="0.25">
      <c r="C150" s="13"/>
      <c r="D150" s="13"/>
      <c r="E150" s="13"/>
      <c r="F150" s="13"/>
      <c r="G150" s="13"/>
      <c r="H150" s="13"/>
    </row>
    <row r="151" spans="3:8" x14ac:dyDescent="0.25">
      <c r="C151" s="13"/>
      <c r="D151" s="13"/>
      <c r="E151" s="13"/>
      <c r="F151" s="13"/>
      <c r="G151" s="13"/>
      <c r="H151" s="13"/>
    </row>
    <row r="152" spans="3:8" x14ac:dyDescent="0.25">
      <c r="C152" s="13"/>
      <c r="D152" s="13"/>
      <c r="E152" s="13"/>
      <c r="F152" s="13"/>
      <c r="G152" s="13"/>
      <c r="H152" s="13"/>
    </row>
  </sheetData>
  <mergeCells count="1">
    <mergeCell ref="C64:I64"/>
  </mergeCells>
  <pageMargins left="0.7" right="0.7" top="0.75" bottom="0.75" header="0.3" footer="0.3"/>
  <pageSetup paperSize="8"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5</vt:i4>
      </vt:variant>
    </vt:vector>
  </HeadingPairs>
  <TitlesOfParts>
    <vt:vector size="22" baseType="lpstr">
      <vt:lpstr>Notes</vt:lpstr>
      <vt:lpstr>Recovery amounts</vt:lpstr>
      <vt:lpstr>Mapping A</vt:lpstr>
      <vt:lpstr>Mapping B</vt:lpstr>
      <vt:lpstr>Rev Adequacy</vt:lpstr>
      <vt:lpstr>Beneficiary graphs</vt:lpstr>
      <vt:lpstr>Charges to party by investment</vt:lpstr>
      <vt:lpstr>Charges as $M per year</vt:lpstr>
      <vt:lpstr>Charges as $ per MWh</vt:lpstr>
      <vt:lpstr>ACOT</vt:lpstr>
      <vt:lpstr>Connection</vt:lpstr>
      <vt:lpstr>Charges as residential impact</vt:lpstr>
      <vt:lpstr>Deltas</vt:lpstr>
      <vt:lpstr>$M by option and group</vt:lpstr>
      <vt:lpstr>$ per MWh by option and group</vt:lpstr>
      <vt:lpstr>Load factors</vt:lpstr>
      <vt:lpstr>Volumes</vt:lpstr>
      <vt:lpstr>'Charges as $ per MWh'!Print_Area</vt:lpstr>
      <vt:lpstr>'Charges to party by investment'!Print_Area</vt:lpstr>
      <vt:lpstr>'Mapping A'!Print_Area</vt:lpstr>
      <vt:lpstr>Notes!Print_Area</vt:lpstr>
      <vt:lpstr>Volumes!Print_Area</vt:lpstr>
    </vt:vector>
  </TitlesOfParts>
  <Company>Concept Group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Bull</dc:creator>
  <cp:lastModifiedBy>Blair Robertson</cp:lastModifiedBy>
  <cp:lastPrinted>2016-05-09T03:42:22Z</cp:lastPrinted>
  <dcterms:created xsi:type="dcterms:W3CDTF">2015-09-28T03:40:47Z</dcterms:created>
  <dcterms:modified xsi:type="dcterms:W3CDTF">2016-05-17T02:22:47Z</dcterms:modified>
</cp:coreProperties>
</file>